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SOTER\SOTER-rating\scripts\rating\data_inspection\"/>
    </mc:Choice>
  </mc:AlternateContent>
  <xr:revisionPtr revIDLastSave="0" documentId="13_ncr:1_{87A9B962-D333-4336-9983-33EFD9339A97}" xr6:coauthVersionLast="47" xr6:coauthVersionMax="47" xr10:uidLastSave="{00000000-0000-0000-0000-000000000000}"/>
  <bookViews>
    <workbookView xWindow="-120" yWindow="-120" windowWidth="38640" windowHeight="21120" activeTab="2" xr2:uid="{00000000-000D-0000-FFFF-FFFF00000000}"/>
  </bookViews>
  <sheets>
    <sheet name="ALL" sheetId="1" r:id="rId1"/>
    <sheet name="FINAL" sheetId="2" r:id="rId2"/>
    <sheet name="PRED_E1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350" i="3" l="1"/>
  <c r="O5350" i="3"/>
  <c r="P5349" i="3"/>
  <c r="O5349" i="3"/>
  <c r="P5348" i="3"/>
  <c r="O5348" i="3"/>
  <c r="P5347" i="3"/>
  <c r="O5347" i="3"/>
  <c r="P5346" i="3"/>
  <c r="O5346" i="3"/>
  <c r="P5345" i="3"/>
  <c r="O5345" i="3"/>
  <c r="P5344" i="3"/>
  <c r="O5344" i="3"/>
  <c r="P5343" i="3"/>
  <c r="O5343" i="3"/>
  <c r="P5342" i="3"/>
  <c r="O5342" i="3"/>
  <c r="P5341" i="3"/>
  <c r="O5341" i="3"/>
  <c r="P5340" i="3"/>
  <c r="O5340" i="3"/>
  <c r="P5339" i="3"/>
  <c r="O5339" i="3"/>
  <c r="P5338" i="3"/>
  <c r="O5338" i="3"/>
  <c r="P5337" i="3"/>
  <c r="O5337" i="3"/>
  <c r="P5336" i="3"/>
  <c r="O5336" i="3"/>
  <c r="P5335" i="3"/>
  <c r="O5335" i="3"/>
  <c r="P5334" i="3"/>
  <c r="O5334" i="3"/>
  <c r="P5333" i="3"/>
  <c r="O5333" i="3"/>
  <c r="P5332" i="3"/>
  <c r="O5332" i="3"/>
  <c r="P5331" i="3"/>
  <c r="O5331" i="3"/>
  <c r="P5330" i="3"/>
  <c r="O5330" i="3"/>
  <c r="P5329" i="3"/>
  <c r="O5329" i="3"/>
  <c r="P5328" i="3"/>
  <c r="O5328" i="3"/>
  <c r="P5327" i="3"/>
  <c r="O5327" i="3"/>
  <c r="P5326" i="3"/>
  <c r="O5326" i="3"/>
  <c r="P5325" i="3"/>
  <c r="O5325" i="3"/>
  <c r="P5324" i="3"/>
  <c r="O5324" i="3"/>
  <c r="P5323" i="3"/>
  <c r="O5323" i="3"/>
  <c r="P5322" i="3"/>
  <c r="O5322" i="3"/>
  <c r="P5321" i="3"/>
  <c r="O5321" i="3"/>
  <c r="P5320" i="3"/>
  <c r="O5320" i="3"/>
  <c r="P5319" i="3"/>
  <c r="O5319" i="3"/>
  <c r="P5318" i="3"/>
  <c r="O5318" i="3"/>
  <c r="P5317" i="3"/>
  <c r="O5317" i="3"/>
  <c r="P5316" i="3"/>
  <c r="O5316" i="3"/>
  <c r="P5315" i="3"/>
  <c r="O5315" i="3"/>
  <c r="P5314" i="3"/>
  <c r="O5314" i="3"/>
  <c r="P5313" i="3"/>
  <c r="O5313" i="3"/>
  <c r="P5312" i="3"/>
  <c r="O5312" i="3"/>
  <c r="P5311" i="3"/>
  <c r="O5311" i="3"/>
  <c r="P5310" i="3"/>
  <c r="O5310" i="3"/>
  <c r="P5309" i="3"/>
  <c r="O5309" i="3"/>
  <c r="P5308" i="3"/>
  <c r="O5308" i="3"/>
  <c r="P5307" i="3"/>
  <c r="O5307" i="3"/>
  <c r="P5306" i="3"/>
  <c r="O5306" i="3"/>
  <c r="P5305" i="3"/>
  <c r="O5305" i="3"/>
  <c r="P5304" i="3"/>
  <c r="O5304" i="3"/>
  <c r="P5303" i="3"/>
  <c r="O5303" i="3"/>
  <c r="P5302" i="3"/>
  <c r="O5302" i="3"/>
  <c r="P5301" i="3"/>
  <c r="O5301" i="3"/>
  <c r="P5300" i="3"/>
  <c r="O5300" i="3"/>
  <c r="P5299" i="3"/>
  <c r="O5299" i="3"/>
  <c r="P5298" i="3"/>
  <c r="O5298" i="3"/>
  <c r="P5297" i="3"/>
  <c r="O5297" i="3"/>
  <c r="P5296" i="3"/>
  <c r="O5296" i="3"/>
  <c r="P5295" i="3"/>
  <c r="O5295" i="3"/>
  <c r="P5294" i="3"/>
  <c r="O5294" i="3"/>
  <c r="P5293" i="3"/>
  <c r="O5293" i="3"/>
  <c r="P5292" i="3"/>
  <c r="O5292" i="3"/>
  <c r="P5291" i="3"/>
  <c r="O5291" i="3"/>
  <c r="P5290" i="3"/>
  <c r="O5290" i="3"/>
  <c r="P5289" i="3"/>
  <c r="O5289" i="3"/>
  <c r="P5288" i="3"/>
  <c r="O5288" i="3"/>
  <c r="P5287" i="3"/>
  <c r="O5287" i="3"/>
  <c r="P5286" i="3"/>
  <c r="O5286" i="3"/>
  <c r="P5285" i="3"/>
  <c r="O5285" i="3"/>
  <c r="P5284" i="3"/>
  <c r="O5284" i="3"/>
  <c r="P5283" i="3"/>
  <c r="O5283" i="3"/>
  <c r="P5282" i="3"/>
  <c r="O5282" i="3"/>
  <c r="P5281" i="3"/>
  <c r="O5281" i="3"/>
  <c r="P5280" i="3"/>
  <c r="O5280" i="3"/>
  <c r="P5279" i="3"/>
  <c r="O5279" i="3"/>
  <c r="P5278" i="3"/>
  <c r="O5278" i="3"/>
  <c r="P5277" i="3"/>
  <c r="O5277" i="3"/>
  <c r="P5276" i="3"/>
  <c r="O5276" i="3"/>
  <c r="P5275" i="3"/>
  <c r="O5275" i="3"/>
  <c r="P5274" i="3"/>
  <c r="O5274" i="3"/>
  <c r="P5273" i="3"/>
  <c r="O5273" i="3"/>
  <c r="P5272" i="3"/>
  <c r="O5272" i="3"/>
  <c r="P5271" i="3"/>
  <c r="O5271" i="3"/>
  <c r="P5270" i="3"/>
  <c r="O5270" i="3"/>
  <c r="P5269" i="3"/>
  <c r="O5269" i="3"/>
  <c r="P5268" i="3"/>
  <c r="O5268" i="3"/>
  <c r="P5267" i="3"/>
  <c r="O5267" i="3"/>
  <c r="P5266" i="3"/>
  <c r="O5266" i="3"/>
  <c r="P5265" i="3"/>
  <c r="O5265" i="3"/>
  <c r="P5264" i="3"/>
  <c r="O5264" i="3"/>
  <c r="P5263" i="3"/>
  <c r="O5263" i="3"/>
  <c r="P5262" i="3"/>
  <c r="O5262" i="3"/>
  <c r="P5261" i="3"/>
  <c r="O5261" i="3"/>
  <c r="P5260" i="3"/>
  <c r="O5260" i="3"/>
  <c r="P5259" i="3"/>
  <c r="O5259" i="3"/>
  <c r="P5258" i="3"/>
  <c r="O5258" i="3"/>
  <c r="P5257" i="3"/>
  <c r="O5257" i="3"/>
  <c r="P5256" i="3"/>
  <c r="O5256" i="3"/>
  <c r="P5255" i="3"/>
  <c r="O5255" i="3"/>
  <c r="P5254" i="3"/>
  <c r="O5254" i="3"/>
  <c r="P5253" i="3"/>
  <c r="O5253" i="3"/>
  <c r="P5252" i="3"/>
  <c r="O5252" i="3"/>
  <c r="P5251" i="3"/>
  <c r="O5251" i="3"/>
  <c r="P5250" i="3"/>
  <c r="O5250" i="3"/>
  <c r="P5249" i="3"/>
  <c r="O5249" i="3"/>
  <c r="P5248" i="3"/>
  <c r="O5248" i="3"/>
  <c r="P5247" i="3"/>
  <c r="O5247" i="3"/>
  <c r="P5246" i="3"/>
  <c r="O5246" i="3"/>
  <c r="P5245" i="3"/>
  <c r="O5245" i="3"/>
  <c r="P5244" i="3"/>
  <c r="O5244" i="3"/>
  <c r="P5243" i="3"/>
  <c r="O5243" i="3"/>
  <c r="P5242" i="3"/>
  <c r="O5242" i="3"/>
  <c r="P5241" i="3"/>
  <c r="O5241" i="3"/>
  <c r="P5240" i="3"/>
  <c r="O5240" i="3"/>
  <c r="P5239" i="3"/>
  <c r="O5239" i="3"/>
  <c r="P5238" i="3"/>
  <c r="O5238" i="3"/>
  <c r="P5237" i="3"/>
  <c r="O5237" i="3"/>
  <c r="P5236" i="3"/>
  <c r="O5236" i="3"/>
  <c r="P5235" i="3"/>
  <c r="O5235" i="3"/>
  <c r="P5234" i="3"/>
  <c r="O5234" i="3"/>
  <c r="P5233" i="3"/>
  <c r="O5233" i="3"/>
  <c r="P5232" i="3"/>
  <c r="O5232" i="3"/>
  <c r="P5231" i="3"/>
  <c r="O5231" i="3"/>
  <c r="P5230" i="3"/>
  <c r="O5230" i="3"/>
  <c r="P5229" i="3"/>
  <c r="O5229" i="3"/>
  <c r="P5228" i="3"/>
  <c r="O5228" i="3"/>
  <c r="P5227" i="3"/>
  <c r="O5227" i="3"/>
  <c r="P5226" i="3"/>
  <c r="O5226" i="3"/>
  <c r="P5225" i="3"/>
  <c r="O5225" i="3"/>
  <c r="P5224" i="3"/>
  <c r="O5224" i="3"/>
  <c r="P5223" i="3"/>
  <c r="O5223" i="3"/>
  <c r="P5222" i="3"/>
  <c r="O5222" i="3"/>
  <c r="P5221" i="3"/>
  <c r="O5221" i="3"/>
  <c r="P5220" i="3"/>
  <c r="O5220" i="3"/>
  <c r="P5219" i="3"/>
  <c r="O5219" i="3"/>
  <c r="P5218" i="3"/>
  <c r="O5218" i="3"/>
  <c r="P5217" i="3"/>
  <c r="O5217" i="3"/>
  <c r="P5216" i="3"/>
  <c r="O5216" i="3"/>
  <c r="P5215" i="3"/>
  <c r="O5215" i="3"/>
  <c r="P5214" i="3"/>
  <c r="O5214" i="3"/>
  <c r="P5213" i="3"/>
  <c r="O5213" i="3"/>
  <c r="P5212" i="3"/>
  <c r="O5212" i="3"/>
  <c r="P5211" i="3"/>
  <c r="O5211" i="3"/>
  <c r="P5210" i="3"/>
  <c r="O5210" i="3"/>
  <c r="P5209" i="3"/>
  <c r="O5209" i="3"/>
  <c r="P5208" i="3"/>
  <c r="O5208" i="3"/>
  <c r="P5207" i="3"/>
  <c r="O5207" i="3"/>
  <c r="P5206" i="3"/>
  <c r="O5206" i="3"/>
  <c r="P5205" i="3"/>
  <c r="O5205" i="3"/>
  <c r="P5204" i="3"/>
  <c r="O5204" i="3"/>
  <c r="P5203" i="3"/>
  <c r="O5203" i="3"/>
  <c r="P5202" i="3"/>
  <c r="O5202" i="3"/>
  <c r="P5201" i="3"/>
  <c r="O5201" i="3"/>
  <c r="P5200" i="3"/>
  <c r="O5200" i="3"/>
  <c r="P5199" i="3"/>
  <c r="O5199" i="3"/>
  <c r="P5198" i="3"/>
  <c r="O5198" i="3"/>
  <c r="P5197" i="3"/>
  <c r="O5197" i="3"/>
  <c r="P5196" i="3"/>
  <c r="O5196" i="3"/>
  <c r="P5195" i="3"/>
  <c r="O5195" i="3"/>
  <c r="P5194" i="3"/>
  <c r="O5194" i="3"/>
  <c r="P5193" i="3"/>
  <c r="O5193" i="3"/>
  <c r="P5192" i="3"/>
  <c r="O5192" i="3"/>
  <c r="P5191" i="3"/>
  <c r="O5191" i="3"/>
  <c r="P5190" i="3"/>
  <c r="O5190" i="3"/>
  <c r="P5189" i="3"/>
  <c r="O5189" i="3"/>
  <c r="P5188" i="3"/>
  <c r="O5188" i="3"/>
  <c r="P5187" i="3"/>
  <c r="O5187" i="3"/>
  <c r="P5186" i="3"/>
  <c r="O5186" i="3"/>
  <c r="P5185" i="3"/>
  <c r="O5185" i="3"/>
  <c r="P5184" i="3"/>
  <c r="O5184" i="3"/>
  <c r="P5183" i="3"/>
  <c r="O5183" i="3"/>
  <c r="P5182" i="3"/>
  <c r="O5182" i="3"/>
  <c r="P5181" i="3"/>
  <c r="O5181" i="3"/>
  <c r="P5180" i="3"/>
  <c r="O5180" i="3"/>
  <c r="P5179" i="3"/>
  <c r="O5179" i="3"/>
  <c r="P5178" i="3"/>
  <c r="O5178" i="3"/>
  <c r="P5177" i="3"/>
  <c r="O5177" i="3"/>
  <c r="P5176" i="3"/>
  <c r="O5176" i="3"/>
  <c r="P5175" i="3"/>
  <c r="O5175" i="3"/>
  <c r="P5174" i="3"/>
  <c r="O5174" i="3"/>
  <c r="P5173" i="3"/>
  <c r="O5173" i="3"/>
  <c r="P5172" i="3"/>
  <c r="O5172" i="3"/>
  <c r="P5171" i="3"/>
  <c r="O5171" i="3"/>
  <c r="P5170" i="3"/>
  <c r="O5170" i="3"/>
  <c r="P5169" i="3"/>
  <c r="O5169" i="3"/>
  <c r="P5168" i="3"/>
  <c r="O5168" i="3"/>
  <c r="P5167" i="3"/>
  <c r="O5167" i="3"/>
  <c r="P5166" i="3"/>
  <c r="O5166" i="3"/>
  <c r="P5165" i="3"/>
  <c r="O5165" i="3"/>
  <c r="P5164" i="3"/>
  <c r="O5164" i="3"/>
  <c r="P5163" i="3"/>
  <c r="O5163" i="3"/>
  <c r="P5162" i="3"/>
  <c r="O5162" i="3"/>
  <c r="P5161" i="3"/>
  <c r="O5161" i="3"/>
  <c r="P5160" i="3"/>
  <c r="O5160" i="3"/>
  <c r="P5159" i="3"/>
  <c r="O5159" i="3"/>
  <c r="P5158" i="3"/>
  <c r="O5158" i="3"/>
  <c r="P5157" i="3"/>
  <c r="O5157" i="3"/>
  <c r="P5156" i="3"/>
  <c r="O5156" i="3"/>
  <c r="P5155" i="3"/>
  <c r="O5155" i="3"/>
  <c r="P5154" i="3"/>
  <c r="O5154" i="3"/>
  <c r="P5153" i="3"/>
  <c r="O5153" i="3"/>
  <c r="P5152" i="3"/>
  <c r="O5152" i="3"/>
  <c r="P5151" i="3"/>
  <c r="O5151" i="3"/>
  <c r="P5150" i="3"/>
  <c r="O5150" i="3"/>
  <c r="P5149" i="3"/>
  <c r="O5149" i="3"/>
  <c r="P5148" i="3"/>
  <c r="O5148" i="3"/>
  <c r="P5147" i="3"/>
  <c r="O5147" i="3"/>
  <c r="P5146" i="3"/>
  <c r="O5146" i="3"/>
  <c r="P5145" i="3"/>
  <c r="O5145" i="3"/>
  <c r="P5144" i="3"/>
  <c r="O5144" i="3"/>
  <c r="P5143" i="3"/>
  <c r="O5143" i="3"/>
  <c r="P5142" i="3"/>
  <c r="O5142" i="3"/>
  <c r="P5141" i="3"/>
  <c r="O5141" i="3"/>
  <c r="P5140" i="3"/>
  <c r="O5140" i="3"/>
  <c r="P5139" i="3"/>
  <c r="O5139" i="3"/>
  <c r="P5138" i="3"/>
  <c r="O5138" i="3"/>
  <c r="P5137" i="3"/>
  <c r="O5137" i="3"/>
  <c r="P5136" i="3"/>
  <c r="O5136" i="3"/>
  <c r="P5135" i="3"/>
  <c r="O5135" i="3"/>
  <c r="P5134" i="3"/>
  <c r="O5134" i="3"/>
  <c r="P5133" i="3"/>
  <c r="O5133" i="3"/>
  <c r="P5132" i="3"/>
  <c r="O5132" i="3"/>
  <c r="P5131" i="3"/>
  <c r="O5131" i="3"/>
  <c r="P5130" i="3"/>
  <c r="O5130" i="3"/>
  <c r="P5129" i="3"/>
  <c r="O5129" i="3"/>
  <c r="P5128" i="3"/>
  <c r="O5128" i="3"/>
  <c r="P5127" i="3"/>
  <c r="O5127" i="3"/>
  <c r="P5126" i="3"/>
  <c r="O5126" i="3"/>
  <c r="P5125" i="3"/>
  <c r="O5125" i="3"/>
  <c r="P5124" i="3"/>
  <c r="O5124" i="3"/>
  <c r="P5123" i="3"/>
  <c r="O5123" i="3"/>
  <c r="P5122" i="3"/>
  <c r="O5122" i="3"/>
  <c r="P5121" i="3"/>
  <c r="O5121" i="3"/>
  <c r="P5120" i="3"/>
  <c r="O5120" i="3"/>
  <c r="P5119" i="3"/>
  <c r="O5119" i="3"/>
  <c r="P5118" i="3"/>
  <c r="O5118" i="3"/>
  <c r="P5117" i="3"/>
  <c r="O5117" i="3"/>
  <c r="P5116" i="3"/>
  <c r="O5116" i="3"/>
  <c r="P5115" i="3"/>
  <c r="O5115" i="3"/>
  <c r="P5114" i="3"/>
  <c r="O5114" i="3"/>
  <c r="P5113" i="3"/>
  <c r="O5113" i="3"/>
  <c r="P5112" i="3"/>
  <c r="O5112" i="3"/>
  <c r="P5111" i="3"/>
  <c r="O5111" i="3"/>
  <c r="P5110" i="3"/>
  <c r="O5110" i="3"/>
  <c r="P5109" i="3"/>
  <c r="O5109" i="3"/>
  <c r="P5108" i="3"/>
  <c r="O5108" i="3"/>
  <c r="P5107" i="3"/>
  <c r="O5107" i="3"/>
  <c r="P5106" i="3"/>
  <c r="O5106" i="3"/>
  <c r="P5105" i="3"/>
  <c r="O5105" i="3"/>
  <c r="P5104" i="3"/>
  <c r="O5104" i="3"/>
  <c r="P5103" i="3"/>
  <c r="O5103" i="3"/>
  <c r="P5102" i="3"/>
  <c r="O5102" i="3"/>
  <c r="P5101" i="3"/>
  <c r="O5101" i="3"/>
  <c r="P5100" i="3"/>
  <c r="O5100" i="3"/>
  <c r="P5099" i="3"/>
  <c r="O5099" i="3"/>
  <c r="P5098" i="3"/>
  <c r="O5098" i="3"/>
  <c r="P5097" i="3"/>
  <c r="O5097" i="3"/>
  <c r="P5096" i="3"/>
  <c r="O5096" i="3"/>
  <c r="P5095" i="3"/>
  <c r="O5095" i="3"/>
  <c r="P5094" i="3"/>
  <c r="O5094" i="3"/>
  <c r="P5093" i="3"/>
  <c r="O5093" i="3"/>
  <c r="P5092" i="3"/>
  <c r="O5092" i="3"/>
  <c r="P5091" i="3"/>
  <c r="O5091" i="3"/>
  <c r="P5090" i="3"/>
  <c r="O5090" i="3"/>
  <c r="P5089" i="3"/>
  <c r="O5089" i="3"/>
  <c r="P5088" i="3"/>
  <c r="O5088" i="3"/>
  <c r="P5087" i="3"/>
  <c r="O5087" i="3"/>
  <c r="P5086" i="3"/>
  <c r="O5086" i="3"/>
  <c r="P5085" i="3"/>
  <c r="O5085" i="3"/>
  <c r="P5084" i="3"/>
  <c r="O5084" i="3"/>
  <c r="P5083" i="3"/>
  <c r="O5083" i="3"/>
  <c r="P5082" i="3"/>
  <c r="O5082" i="3"/>
  <c r="P5081" i="3"/>
  <c r="O5081" i="3"/>
  <c r="P5080" i="3"/>
  <c r="O5080" i="3"/>
  <c r="P5079" i="3"/>
  <c r="O5079" i="3"/>
  <c r="P5078" i="3"/>
  <c r="O5078" i="3"/>
  <c r="P5077" i="3"/>
  <c r="O5077" i="3"/>
  <c r="P5076" i="3"/>
  <c r="O5076" i="3"/>
  <c r="P5075" i="3"/>
  <c r="O5075" i="3"/>
  <c r="P5074" i="3"/>
  <c r="O5074" i="3"/>
  <c r="P5073" i="3"/>
  <c r="O5073" i="3"/>
  <c r="P5072" i="3"/>
  <c r="O5072" i="3"/>
  <c r="P5071" i="3"/>
  <c r="O5071" i="3"/>
  <c r="P5070" i="3"/>
  <c r="O5070" i="3"/>
  <c r="P5069" i="3"/>
  <c r="O5069" i="3"/>
  <c r="P5068" i="3"/>
  <c r="O5068" i="3"/>
  <c r="P5067" i="3"/>
  <c r="O5067" i="3"/>
  <c r="P5066" i="3"/>
  <c r="O5066" i="3"/>
  <c r="P5065" i="3"/>
  <c r="O5065" i="3"/>
  <c r="P5064" i="3"/>
  <c r="O5064" i="3"/>
  <c r="P5063" i="3"/>
  <c r="O5063" i="3"/>
  <c r="P5062" i="3"/>
  <c r="O5062" i="3"/>
  <c r="P5061" i="3"/>
  <c r="O5061" i="3"/>
  <c r="P5060" i="3"/>
  <c r="O5060" i="3"/>
  <c r="P5059" i="3"/>
  <c r="O5059" i="3"/>
  <c r="P5058" i="3"/>
  <c r="O5058" i="3"/>
  <c r="P5057" i="3"/>
  <c r="O5057" i="3"/>
  <c r="P5056" i="3"/>
  <c r="O5056" i="3"/>
  <c r="P5055" i="3"/>
  <c r="O5055" i="3"/>
  <c r="P5054" i="3"/>
  <c r="O5054" i="3"/>
  <c r="P5053" i="3"/>
  <c r="O5053" i="3"/>
  <c r="P5052" i="3"/>
  <c r="O5052" i="3"/>
  <c r="P5051" i="3"/>
  <c r="O5051" i="3"/>
  <c r="P5050" i="3"/>
  <c r="O5050" i="3"/>
  <c r="P5049" i="3"/>
  <c r="O5049" i="3"/>
  <c r="P5048" i="3"/>
  <c r="O5048" i="3"/>
  <c r="P5047" i="3"/>
  <c r="O5047" i="3"/>
  <c r="P5046" i="3"/>
  <c r="O5046" i="3"/>
  <c r="P5045" i="3"/>
  <c r="O5045" i="3"/>
  <c r="P5044" i="3"/>
  <c r="O5044" i="3"/>
  <c r="P5043" i="3"/>
  <c r="O5043" i="3"/>
  <c r="P5042" i="3"/>
  <c r="O5042" i="3"/>
  <c r="P5041" i="3"/>
  <c r="O5041" i="3"/>
  <c r="P5040" i="3"/>
  <c r="O5040" i="3"/>
  <c r="P5039" i="3"/>
  <c r="O5039" i="3"/>
  <c r="P5038" i="3"/>
  <c r="O5038" i="3"/>
  <c r="P5037" i="3"/>
  <c r="O5037" i="3"/>
  <c r="P5036" i="3"/>
  <c r="O5036" i="3"/>
  <c r="P5035" i="3"/>
  <c r="O5035" i="3"/>
  <c r="P5034" i="3"/>
  <c r="O5034" i="3"/>
  <c r="P5033" i="3"/>
  <c r="O5033" i="3"/>
  <c r="P5032" i="3"/>
  <c r="O5032" i="3"/>
  <c r="P5031" i="3"/>
  <c r="O5031" i="3"/>
  <c r="P5030" i="3"/>
  <c r="O5030" i="3"/>
  <c r="P5029" i="3"/>
  <c r="O5029" i="3"/>
  <c r="P5028" i="3"/>
  <c r="O5028" i="3"/>
  <c r="P5027" i="3"/>
  <c r="O5027" i="3"/>
  <c r="P5026" i="3"/>
  <c r="O5026" i="3"/>
  <c r="P5025" i="3"/>
  <c r="O5025" i="3"/>
  <c r="P5024" i="3"/>
  <c r="O5024" i="3"/>
  <c r="P5023" i="3"/>
  <c r="O5023" i="3"/>
  <c r="P5022" i="3"/>
  <c r="O5022" i="3"/>
  <c r="P5021" i="3"/>
  <c r="O5021" i="3"/>
  <c r="P5020" i="3"/>
  <c r="O5020" i="3"/>
  <c r="P5019" i="3"/>
  <c r="O5019" i="3"/>
  <c r="P5018" i="3"/>
  <c r="O5018" i="3"/>
  <c r="P5017" i="3"/>
  <c r="O5017" i="3"/>
  <c r="P5016" i="3"/>
  <c r="O5016" i="3"/>
  <c r="P5015" i="3"/>
  <c r="O5015" i="3"/>
  <c r="P5014" i="3"/>
  <c r="O5014" i="3"/>
  <c r="P5013" i="3"/>
  <c r="O5013" i="3"/>
  <c r="P5012" i="3"/>
  <c r="O5012" i="3"/>
  <c r="P5011" i="3"/>
  <c r="O5011" i="3"/>
  <c r="P5010" i="3"/>
  <c r="O5010" i="3"/>
  <c r="P5009" i="3"/>
  <c r="O5009" i="3"/>
  <c r="P5008" i="3"/>
  <c r="O5008" i="3"/>
  <c r="P5007" i="3"/>
  <c r="O5007" i="3"/>
  <c r="P5006" i="3"/>
  <c r="O5006" i="3"/>
  <c r="P5005" i="3"/>
  <c r="O5005" i="3"/>
  <c r="P5004" i="3"/>
  <c r="O5004" i="3"/>
  <c r="P5003" i="3"/>
  <c r="O5003" i="3"/>
  <c r="P5002" i="3"/>
  <c r="O5002" i="3"/>
  <c r="P5001" i="3"/>
  <c r="O5001" i="3"/>
  <c r="P5000" i="3"/>
  <c r="O5000" i="3"/>
  <c r="P4999" i="3"/>
  <c r="O4999" i="3"/>
  <c r="P4998" i="3"/>
  <c r="O4998" i="3"/>
  <c r="P4997" i="3"/>
  <c r="O4997" i="3"/>
  <c r="P4996" i="3"/>
  <c r="O4996" i="3"/>
  <c r="P4995" i="3"/>
  <c r="O4995" i="3"/>
  <c r="P4994" i="3"/>
  <c r="O4994" i="3"/>
  <c r="P4993" i="3"/>
  <c r="O4993" i="3"/>
  <c r="P4992" i="3"/>
  <c r="O4992" i="3"/>
  <c r="P4991" i="3"/>
  <c r="O4991" i="3"/>
  <c r="P4990" i="3"/>
  <c r="O4990" i="3"/>
  <c r="P4989" i="3"/>
  <c r="O4989" i="3"/>
  <c r="P4988" i="3"/>
  <c r="O4988" i="3"/>
  <c r="P4987" i="3"/>
  <c r="O4987" i="3"/>
  <c r="P4986" i="3"/>
  <c r="O4986" i="3"/>
  <c r="P4985" i="3"/>
  <c r="O4985" i="3"/>
  <c r="P4984" i="3"/>
  <c r="O4984" i="3"/>
  <c r="P4983" i="3"/>
  <c r="O4983" i="3"/>
  <c r="P4982" i="3"/>
  <c r="O4982" i="3"/>
  <c r="P4981" i="3"/>
  <c r="O4981" i="3"/>
  <c r="P4980" i="3"/>
  <c r="O4980" i="3"/>
  <c r="P4979" i="3"/>
  <c r="O4979" i="3"/>
  <c r="P4978" i="3"/>
  <c r="O4978" i="3"/>
  <c r="P4977" i="3"/>
  <c r="O4977" i="3"/>
  <c r="P4976" i="3"/>
  <c r="O4976" i="3"/>
  <c r="P4975" i="3"/>
  <c r="O4975" i="3"/>
  <c r="P4974" i="3"/>
  <c r="O4974" i="3"/>
  <c r="P4973" i="3"/>
  <c r="O4973" i="3"/>
  <c r="P4972" i="3"/>
  <c r="O4972" i="3"/>
  <c r="P4971" i="3"/>
  <c r="O4971" i="3"/>
  <c r="P4970" i="3"/>
  <c r="O4970" i="3"/>
  <c r="P4969" i="3"/>
  <c r="O4969" i="3"/>
  <c r="P4968" i="3"/>
  <c r="O4968" i="3"/>
  <c r="P4967" i="3"/>
  <c r="O4967" i="3"/>
  <c r="P4966" i="3"/>
  <c r="O4966" i="3"/>
  <c r="P4965" i="3"/>
  <c r="O4965" i="3"/>
  <c r="P4964" i="3"/>
  <c r="O4964" i="3"/>
  <c r="P4963" i="3"/>
  <c r="O4963" i="3"/>
  <c r="P4962" i="3"/>
  <c r="O4962" i="3"/>
  <c r="P4961" i="3"/>
  <c r="O4961" i="3"/>
  <c r="P4960" i="3"/>
  <c r="O4960" i="3"/>
  <c r="P4959" i="3"/>
  <c r="O4959" i="3"/>
  <c r="P4958" i="3"/>
  <c r="O4958" i="3"/>
  <c r="P4957" i="3"/>
  <c r="O4957" i="3"/>
  <c r="P4956" i="3"/>
  <c r="O4956" i="3"/>
  <c r="P4955" i="3"/>
  <c r="O4955" i="3"/>
  <c r="P4954" i="3"/>
  <c r="O4954" i="3"/>
  <c r="P4953" i="3"/>
  <c r="O4953" i="3"/>
  <c r="P4952" i="3"/>
  <c r="O4952" i="3"/>
  <c r="P4951" i="3"/>
  <c r="O4951" i="3"/>
  <c r="P4950" i="3"/>
  <c r="O4950" i="3"/>
  <c r="P4949" i="3"/>
  <c r="O4949" i="3"/>
  <c r="P4948" i="3"/>
  <c r="O4948" i="3"/>
  <c r="P4947" i="3"/>
  <c r="O4947" i="3"/>
  <c r="P4946" i="3"/>
  <c r="O4946" i="3"/>
  <c r="P4945" i="3"/>
  <c r="O4945" i="3"/>
  <c r="P4944" i="3"/>
  <c r="O4944" i="3"/>
  <c r="P4943" i="3"/>
  <c r="O4943" i="3"/>
  <c r="P4942" i="3"/>
  <c r="O4942" i="3"/>
  <c r="P4941" i="3"/>
  <c r="O4941" i="3"/>
  <c r="P4940" i="3"/>
  <c r="O4940" i="3"/>
  <c r="P4939" i="3"/>
  <c r="O4939" i="3"/>
  <c r="P4938" i="3"/>
  <c r="O4938" i="3"/>
  <c r="P4937" i="3"/>
  <c r="O4937" i="3"/>
  <c r="P4936" i="3"/>
  <c r="O4936" i="3"/>
  <c r="P4935" i="3"/>
  <c r="O4935" i="3"/>
  <c r="P4934" i="3"/>
  <c r="O4934" i="3"/>
  <c r="P4933" i="3"/>
  <c r="O4933" i="3"/>
  <c r="P4932" i="3"/>
  <c r="O4932" i="3"/>
  <c r="P4931" i="3"/>
  <c r="O4931" i="3"/>
  <c r="P4930" i="3"/>
  <c r="O4930" i="3"/>
  <c r="P4929" i="3"/>
  <c r="O4929" i="3"/>
  <c r="P4928" i="3"/>
  <c r="O4928" i="3"/>
  <c r="P4927" i="3"/>
  <c r="O4927" i="3"/>
  <c r="P4926" i="3"/>
  <c r="O4926" i="3"/>
  <c r="P4925" i="3"/>
  <c r="O4925" i="3"/>
  <c r="P4924" i="3"/>
  <c r="O4924" i="3"/>
  <c r="P4923" i="3"/>
  <c r="O4923" i="3"/>
  <c r="P4922" i="3"/>
  <c r="O4922" i="3"/>
  <c r="P4921" i="3"/>
  <c r="O4921" i="3"/>
  <c r="P4920" i="3"/>
  <c r="O4920" i="3"/>
  <c r="P4919" i="3"/>
  <c r="O4919" i="3"/>
  <c r="P4918" i="3"/>
  <c r="O4918" i="3"/>
  <c r="P4917" i="3"/>
  <c r="O4917" i="3"/>
  <c r="P4916" i="3"/>
  <c r="O4916" i="3"/>
  <c r="P4915" i="3"/>
  <c r="O4915" i="3"/>
  <c r="P4914" i="3"/>
  <c r="O4914" i="3"/>
  <c r="P4913" i="3"/>
  <c r="O4913" i="3"/>
  <c r="P4912" i="3"/>
  <c r="O4912" i="3"/>
  <c r="P4911" i="3"/>
  <c r="O4911" i="3"/>
  <c r="P4910" i="3"/>
  <c r="O4910" i="3"/>
  <c r="P4909" i="3"/>
  <c r="O4909" i="3"/>
  <c r="P4908" i="3"/>
  <c r="O4908" i="3"/>
  <c r="P4907" i="3"/>
  <c r="O4907" i="3"/>
  <c r="P4906" i="3"/>
  <c r="O4906" i="3"/>
  <c r="P4905" i="3"/>
  <c r="O4905" i="3"/>
  <c r="P4904" i="3"/>
  <c r="O4904" i="3"/>
  <c r="P4903" i="3"/>
  <c r="O4903" i="3"/>
  <c r="P4902" i="3"/>
  <c r="O4902" i="3"/>
  <c r="P4901" i="3"/>
  <c r="O4901" i="3"/>
  <c r="P4900" i="3"/>
  <c r="O4900" i="3"/>
  <c r="P4899" i="3"/>
  <c r="O4899" i="3"/>
  <c r="P4898" i="3"/>
  <c r="O4898" i="3"/>
  <c r="P4897" i="3"/>
  <c r="O4897" i="3"/>
  <c r="P4896" i="3"/>
  <c r="O4896" i="3"/>
  <c r="P4895" i="3"/>
  <c r="O4895" i="3"/>
  <c r="P4894" i="3"/>
  <c r="O4894" i="3"/>
  <c r="P4893" i="3"/>
  <c r="O4893" i="3"/>
  <c r="P4892" i="3"/>
  <c r="O4892" i="3"/>
  <c r="P4891" i="3"/>
  <c r="O4891" i="3"/>
  <c r="P4890" i="3"/>
  <c r="O4890" i="3"/>
  <c r="P4889" i="3"/>
  <c r="O4889" i="3"/>
  <c r="P4888" i="3"/>
  <c r="O4888" i="3"/>
  <c r="P4887" i="3"/>
  <c r="O4887" i="3"/>
  <c r="P4886" i="3"/>
  <c r="O4886" i="3"/>
  <c r="P4885" i="3"/>
  <c r="O4885" i="3"/>
  <c r="P4884" i="3"/>
  <c r="O4884" i="3"/>
  <c r="P4883" i="3"/>
  <c r="O4883" i="3"/>
  <c r="P4882" i="3"/>
  <c r="O4882" i="3"/>
  <c r="P4881" i="3"/>
  <c r="O4881" i="3"/>
  <c r="P4880" i="3"/>
  <c r="O4880" i="3"/>
  <c r="P4879" i="3"/>
  <c r="O4879" i="3"/>
  <c r="P4878" i="3"/>
  <c r="O4878" i="3"/>
  <c r="P4877" i="3"/>
  <c r="O4877" i="3"/>
  <c r="P4876" i="3"/>
  <c r="O4876" i="3"/>
  <c r="P4875" i="3"/>
  <c r="O4875" i="3"/>
  <c r="P4874" i="3"/>
  <c r="O4874" i="3"/>
  <c r="P4873" i="3"/>
  <c r="O4873" i="3"/>
  <c r="P4872" i="3"/>
  <c r="O4872" i="3"/>
  <c r="P4871" i="3"/>
  <c r="O4871" i="3"/>
  <c r="P4870" i="3"/>
  <c r="O4870" i="3"/>
  <c r="P4869" i="3"/>
  <c r="O4869" i="3"/>
  <c r="P4868" i="3"/>
  <c r="O4868" i="3"/>
  <c r="P4867" i="3"/>
  <c r="O4867" i="3"/>
  <c r="P4866" i="3"/>
  <c r="O4866" i="3"/>
  <c r="P4865" i="3"/>
  <c r="O4865" i="3"/>
  <c r="P4864" i="3"/>
  <c r="O4864" i="3"/>
  <c r="P4863" i="3"/>
  <c r="O4863" i="3"/>
  <c r="P4862" i="3"/>
  <c r="O4862" i="3"/>
  <c r="P4861" i="3"/>
  <c r="O4861" i="3"/>
  <c r="P4860" i="3"/>
  <c r="O4860" i="3"/>
  <c r="P4859" i="3"/>
  <c r="O4859" i="3"/>
  <c r="P4858" i="3"/>
  <c r="O4858" i="3"/>
  <c r="P4857" i="3"/>
  <c r="O4857" i="3"/>
  <c r="P4856" i="3"/>
  <c r="O4856" i="3"/>
  <c r="P4855" i="3"/>
  <c r="O4855" i="3"/>
  <c r="P4854" i="3"/>
  <c r="O4854" i="3"/>
  <c r="P4853" i="3"/>
  <c r="O4853" i="3"/>
  <c r="P4852" i="3"/>
  <c r="O4852" i="3"/>
  <c r="P4851" i="3"/>
  <c r="O4851" i="3"/>
  <c r="P4850" i="3"/>
  <c r="O4850" i="3"/>
  <c r="P4849" i="3"/>
  <c r="O4849" i="3"/>
  <c r="P4848" i="3"/>
  <c r="O4848" i="3"/>
  <c r="P4847" i="3"/>
  <c r="O4847" i="3"/>
  <c r="P4846" i="3"/>
  <c r="O4846" i="3"/>
  <c r="P4845" i="3"/>
  <c r="O4845" i="3"/>
  <c r="P4844" i="3"/>
  <c r="O4844" i="3"/>
  <c r="P4843" i="3"/>
  <c r="O4843" i="3"/>
  <c r="P4842" i="3"/>
  <c r="O4842" i="3"/>
  <c r="P4841" i="3"/>
  <c r="O4841" i="3"/>
  <c r="P4840" i="3"/>
  <c r="O4840" i="3"/>
  <c r="P4839" i="3"/>
  <c r="O4839" i="3"/>
  <c r="P4838" i="3"/>
  <c r="O4838" i="3"/>
  <c r="P4837" i="3"/>
  <c r="O4837" i="3"/>
  <c r="P4836" i="3"/>
  <c r="O4836" i="3"/>
  <c r="P4835" i="3"/>
  <c r="O4835" i="3"/>
  <c r="P4834" i="3"/>
  <c r="O4834" i="3"/>
  <c r="P4833" i="3"/>
  <c r="O4833" i="3"/>
  <c r="P4832" i="3"/>
  <c r="O4832" i="3"/>
  <c r="P4831" i="3"/>
  <c r="O4831" i="3"/>
  <c r="P4830" i="3"/>
  <c r="O4830" i="3"/>
  <c r="P4829" i="3"/>
  <c r="O4829" i="3"/>
  <c r="P4828" i="3"/>
  <c r="O4828" i="3"/>
  <c r="P4827" i="3"/>
  <c r="O4827" i="3"/>
  <c r="P4826" i="3"/>
  <c r="O4826" i="3"/>
  <c r="P4825" i="3"/>
  <c r="O4825" i="3"/>
  <c r="P4824" i="3"/>
  <c r="O4824" i="3"/>
  <c r="P4823" i="3"/>
  <c r="O4823" i="3"/>
  <c r="P4822" i="3"/>
  <c r="O4822" i="3"/>
  <c r="P4821" i="3"/>
  <c r="O4821" i="3"/>
  <c r="P4820" i="3"/>
  <c r="O4820" i="3"/>
  <c r="P4819" i="3"/>
  <c r="O4819" i="3"/>
  <c r="P4818" i="3"/>
  <c r="O4818" i="3"/>
  <c r="P4817" i="3"/>
  <c r="O4817" i="3"/>
  <c r="P4816" i="3"/>
  <c r="O4816" i="3"/>
  <c r="P4815" i="3"/>
  <c r="O4815" i="3"/>
  <c r="P4814" i="3"/>
  <c r="O4814" i="3"/>
  <c r="P4813" i="3"/>
  <c r="O4813" i="3"/>
  <c r="P4812" i="3"/>
  <c r="O4812" i="3"/>
  <c r="P4811" i="3"/>
  <c r="O4811" i="3"/>
  <c r="P4810" i="3"/>
  <c r="O4810" i="3"/>
  <c r="P4809" i="3"/>
  <c r="O4809" i="3"/>
  <c r="P4808" i="3"/>
  <c r="O4808" i="3"/>
  <c r="P4807" i="3"/>
  <c r="O4807" i="3"/>
  <c r="P4806" i="3"/>
  <c r="O4806" i="3"/>
  <c r="P4805" i="3"/>
  <c r="O4805" i="3"/>
  <c r="P4804" i="3"/>
  <c r="O4804" i="3"/>
  <c r="P4803" i="3"/>
  <c r="O4803" i="3"/>
  <c r="P4802" i="3"/>
  <c r="O4802" i="3"/>
  <c r="P4801" i="3"/>
  <c r="O4801" i="3"/>
  <c r="P4800" i="3"/>
  <c r="O4800" i="3"/>
  <c r="P4799" i="3"/>
  <c r="O4799" i="3"/>
  <c r="P4798" i="3"/>
  <c r="O4798" i="3"/>
  <c r="P4797" i="3"/>
  <c r="O4797" i="3"/>
  <c r="P4796" i="3"/>
  <c r="O4796" i="3"/>
  <c r="P4795" i="3"/>
  <c r="O4795" i="3"/>
  <c r="P4794" i="3"/>
  <c r="O4794" i="3"/>
  <c r="P4793" i="3"/>
  <c r="O4793" i="3"/>
  <c r="P4792" i="3"/>
  <c r="O4792" i="3"/>
  <c r="P4791" i="3"/>
  <c r="O4791" i="3"/>
  <c r="P4790" i="3"/>
  <c r="O4790" i="3"/>
  <c r="P4789" i="3"/>
  <c r="O4789" i="3"/>
  <c r="P4788" i="3"/>
  <c r="O4788" i="3"/>
  <c r="P4787" i="3"/>
  <c r="O4787" i="3"/>
  <c r="P4786" i="3"/>
  <c r="O4786" i="3"/>
  <c r="P4785" i="3"/>
  <c r="O4785" i="3"/>
  <c r="P4784" i="3"/>
  <c r="O4784" i="3"/>
  <c r="P4783" i="3"/>
  <c r="O4783" i="3"/>
  <c r="P4782" i="3"/>
  <c r="O4782" i="3"/>
  <c r="P4781" i="3"/>
  <c r="O4781" i="3"/>
  <c r="P4780" i="3"/>
  <c r="O4780" i="3"/>
  <c r="P4779" i="3"/>
  <c r="O4779" i="3"/>
  <c r="P4778" i="3"/>
  <c r="O4778" i="3"/>
  <c r="P4777" i="3"/>
  <c r="O4777" i="3"/>
  <c r="P4776" i="3"/>
  <c r="O4776" i="3"/>
  <c r="P4775" i="3"/>
  <c r="O4775" i="3"/>
  <c r="P4774" i="3"/>
  <c r="O4774" i="3"/>
  <c r="P4773" i="3"/>
  <c r="O4773" i="3"/>
  <c r="P4772" i="3"/>
  <c r="O4772" i="3"/>
  <c r="P4771" i="3"/>
  <c r="O4771" i="3"/>
  <c r="P4770" i="3"/>
  <c r="O4770" i="3"/>
  <c r="P4769" i="3"/>
  <c r="O4769" i="3"/>
  <c r="P4768" i="3"/>
  <c r="O4768" i="3"/>
  <c r="P4767" i="3"/>
  <c r="O4767" i="3"/>
  <c r="P4766" i="3"/>
  <c r="O4766" i="3"/>
  <c r="P4765" i="3"/>
  <c r="O4765" i="3"/>
  <c r="P4764" i="3"/>
  <c r="O4764" i="3"/>
  <c r="P4763" i="3"/>
  <c r="O4763" i="3"/>
  <c r="P4762" i="3"/>
  <c r="O4762" i="3"/>
  <c r="P4761" i="3"/>
  <c r="O4761" i="3"/>
  <c r="P4760" i="3"/>
  <c r="O4760" i="3"/>
  <c r="P4759" i="3"/>
  <c r="O4759" i="3"/>
  <c r="P4758" i="3"/>
  <c r="O4758" i="3"/>
  <c r="P4757" i="3"/>
  <c r="O4757" i="3"/>
  <c r="P4756" i="3"/>
  <c r="O4756" i="3"/>
  <c r="P4755" i="3"/>
  <c r="O4755" i="3"/>
  <c r="P4754" i="3"/>
  <c r="O4754" i="3"/>
  <c r="P4753" i="3"/>
  <c r="O4753" i="3"/>
  <c r="P4752" i="3"/>
  <c r="O4752" i="3"/>
  <c r="P4751" i="3"/>
  <c r="O4751" i="3"/>
  <c r="P4750" i="3"/>
  <c r="O4750" i="3"/>
  <c r="P4749" i="3"/>
  <c r="O4749" i="3"/>
  <c r="P4748" i="3"/>
  <c r="O4748" i="3"/>
  <c r="P4747" i="3"/>
  <c r="O4747" i="3"/>
  <c r="P4746" i="3"/>
  <c r="O4746" i="3"/>
  <c r="P4745" i="3"/>
  <c r="O4745" i="3"/>
  <c r="P4744" i="3"/>
  <c r="O4744" i="3"/>
  <c r="P4743" i="3"/>
  <c r="O4743" i="3"/>
  <c r="P4742" i="3"/>
  <c r="O4742" i="3"/>
  <c r="P4741" i="3"/>
  <c r="O4741" i="3"/>
  <c r="P4740" i="3"/>
  <c r="O4740" i="3"/>
  <c r="P4739" i="3"/>
  <c r="O4739" i="3"/>
  <c r="P4738" i="3"/>
  <c r="O4738" i="3"/>
  <c r="P4737" i="3"/>
  <c r="O4737" i="3"/>
  <c r="P4736" i="3"/>
  <c r="O4736" i="3"/>
  <c r="P4735" i="3"/>
  <c r="O4735" i="3"/>
  <c r="P4734" i="3"/>
  <c r="O4734" i="3"/>
  <c r="P4733" i="3"/>
  <c r="O4733" i="3"/>
  <c r="P4732" i="3"/>
  <c r="O4732" i="3"/>
  <c r="P4731" i="3"/>
  <c r="O4731" i="3"/>
  <c r="P4730" i="3"/>
  <c r="O4730" i="3"/>
  <c r="P4729" i="3"/>
  <c r="O4729" i="3"/>
  <c r="P4728" i="3"/>
  <c r="O4728" i="3"/>
  <c r="P4727" i="3"/>
  <c r="O4727" i="3"/>
  <c r="P4726" i="3"/>
  <c r="O4726" i="3"/>
  <c r="P4725" i="3"/>
  <c r="O4725" i="3"/>
  <c r="P4724" i="3"/>
  <c r="O4724" i="3"/>
  <c r="P4723" i="3"/>
  <c r="O4723" i="3"/>
  <c r="P4722" i="3"/>
  <c r="O4722" i="3"/>
  <c r="P4721" i="3"/>
  <c r="O4721" i="3"/>
  <c r="P4720" i="3"/>
  <c r="O4720" i="3"/>
  <c r="P4719" i="3"/>
  <c r="O4719" i="3"/>
  <c r="P4718" i="3"/>
  <c r="O4718" i="3"/>
  <c r="P4717" i="3"/>
  <c r="O4717" i="3"/>
  <c r="P4716" i="3"/>
  <c r="O4716" i="3"/>
  <c r="P4715" i="3"/>
  <c r="O4715" i="3"/>
  <c r="P4714" i="3"/>
  <c r="O4714" i="3"/>
  <c r="P4713" i="3"/>
  <c r="O4713" i="3"/>
  <c r="P4712" i="3"/>
  <c r="O4712" i="3"/>
  <c r="P4711" i="3"/>
  <c r="O4711" i="3"/>
  <c r="P4710" i="3"/>
  <c r="O4710" i="3"/>
  <c r="P4709" i="3"/>
  <c r="O4709" i="3"/>
  <c r="P4708" i="3"/>
  <c r="O4708" i="3"/>
  <c r="P4707" i="3"/>
  <c r="O4707" i="3"/>
  <c r="P4706" i="3"/>
  <c r="O4706" i="3"/>
  <c r="P4705" i="3"/>
  <c r="O4705" i="3"/>
  <c r="P4704" i="3"/>
  <c r="O4704" i="3"/>
  <c r="P4703" i="3"/>
  <c r="O4703" i="3"/>
  <c r="P4702" i="3"/>
  <c r="O4702" i="3"/>
  <c r="P4701" i="3"/>
  <c r="O4701" i="3"/>
  <c r="P4700" i="3"/>
  <c r="O4700" i="3"/>
  <c r="P4699" i="3"/>
  <c r="O4699" i="3"/>
  <c r="P4698" i="3"/>
  <c r="O4698" i="3"/>
  <c r="P4697" i="3"/>
  <c r="O4697" i="3"/>
  <c r="P4696" i="3"/>
  <c r="O4696" i="3"/>
  <c r="P4695" i="3"/>
  <c r="O4695" i="3"/>
  <c r="P4694" i="3"/>
  <c r="O4694" i="3"/>
  <c r="P4693" i="3"/>
  <c r="O4693" i="3"/>
  <c r="P4692" i="3"/>
  <c r="O4692" i="3"/>
  <c r="P4691" i="3"/>
  <c r="O4691" i="3"/>
  <c r="P4690" i="3"/>
  <c r="O4690" i="3"/>
  <c r="P4689" i="3"/>
  <c r="O4689" i="3"/>
  <c r="P4688" i="3"/>
  <c r="O4688" i="3"/>
  <c r="P4687" i="3"/>
  <c r="O4687" i="3"/>
  <c r="P4686" i="3"/>
  <c r="O4686" i="3"/>
  <c r="P4685" i="3"/>
  <c r="O4685" i="3"/>
  <c r="P4684" i="3"/>
  <c r="O4684" i="3"/>
  <c r="P4683" i="3"/>
  <c r="O4683" i="3"/>
  <c r="P4682" i="3"/>
  <c r="O4682" i="3"/>
  <c r="P4681" i="3"/>
  <c r="O4681" i="3"/>
  <c r="P4680" i="3"/>
  <c r="O4680" i="3"/>
  <c r="P4679" i="3"/>
  <c r="O4679" i="3"/>
  <c r="P4678" i="3"/>
  <c r="O4678" i="3"/>
  <c r="P4677" i="3"/>
  <c r="O4677" i="3"/>
  <c r="P4676" i="3"/>
  <c r="O4676" i="3"/>
  <c r="P4675" i="3"/>
  <c r="O4675" i="3"/>
  <c r="P4674" i="3"/>
  <c r="O4674" i="3"/>
  <c r="P4673" i="3"/>
  <c r="O4673" i="3"/>
  <c r="P4672" i="3"/>
  <c r="O4672" i="3"/>
  <c r="P4671" i="3"/>
  <c r="O4671" i="3"/>
  <c r="P4670" i="3"/>
  <c r="O4670" i="3"/>
  <c r="P4669" i="3"/>
  <c r="O4669" i="3"/>
  <c r="P4668" i="3"/>
  <c r="O4668" i="3"/>
  <c r="P4667" i="3"/>
  <c r="O4667" i="3"/>
  <c r="P4666" i="3"/>
  <c r="O4666" i="3"/>
  <c r="P4665" i="3"/>
  <c r="O4665" i="3"/>
  <c r="P4664" i="3"/>
  <c r="O4664" i="3"/>
  <c r="P4663" i="3"/>
  <c r="O4663" i="3"/>
  <c r="P4662" i="3"/>
  <c r="O4662" i="3"/>
  <c r="P4661" i="3"/>
  <c r="O4661" i="3"/>
  <c r="P4660" i="3"/>
  <c r="O4660" i="3"/>
  <c r="P4659" i="3"/>
  <c r="O4659" i="3"/>
  <c r="P4658" i="3"/>
  <c r="O4658" i="3"/>
  <c r="P4657" i="3"/>
  <c r="O4657" i="3"/>
  <c r="P4656" i="3"/>
  <c r="O4656" i="3"/>
  <c r="P4655" i="3"/>
  <c r="O4655" i="3"/>
  <c r="P4654" i="3"/>
  <c r="O4654" i="3"/>
  <c r="P4653" i="3"/>
  <c r="O4653" i="3"/>
  <c r="P4652" i="3"/>
  <c r="O4652" i="3"/>
  <c r="P4651" i="3"/>
  <c r="O4651" i="3"/>
  <c r="P4650" i="3"/>
  <c r="O4650" i="3"/>
  <c r="P4649" i="3"/>
  <c r="O4649" i="3"/>
  <c r="P4648" i="3"/>
  <c r="O4648" i="3"/>
  <c r="P4647" i="3"/>
  <c r="O4647" i="3"/>
  <c r="P4646" i="3"/>
  <c r="O4646" i="3"/>
  <c r="P4645" i="3"/>
  <c r="O4645" i="3"/>
  <c r="P4644" i="3"/>
  <c r="O4644" i="3"/>
  <c r="P4643" i="3"/>
  <c r="O4643" i="3"/>
  <c r="P4642" i="3"/>
  <c r="O4642" i="3"/>
  <c r="P4641" i="3"/>
  <c r="O4641" i="3"/>
  <c r="P4640" i="3"/>
  <c r="O4640" i="3"/>
  <c r="P4639" i="3"/>
  <c r="O4639" i="3"/>
  <c r="P4638" i="3"/>
  <c r="O4638" i="3"/>
  <c r="P4637" i="3"/>
  <c r="O4637" i="3"/>
  <c r="P4636" i="3"/>
  <c r="O4636" i="3"/>
  <c r="P4635" i="3"/>
  <c r="O4635" i="3"/>
  <c r="P4634" i="3"/>
  <c r="O4634" i="3"/>
  <c r="P4633" i="3"/>
  <c r="O4633" i="3"/>
  <c r="P4632" i="3"/>
  <c r="O4632" i="3"/>
  <c r="P4631" i="3"/>
  <c r="O4631" i="3"/>
  <c r="P4630" i="3"/>
  <c r="O4630" i="3"/>
  <c r="P4629" i="3"/>
  <c r="O4629" i="3"/>
  <c r="P4628" i="3"/>
  <c r="O4628" i="3"/>
  <c r="P4627" i="3"/>
  <c r="O4627" i="3"/>
  <c r="P4626" i="3"/>
  <c r="O4626" i="3"/>
  <c r="P4625" i="3"/>
  <c r="O4625" i="3"/>
  <c r="P4624" i="3"/>
  <c r="O4624" i="3"/>
  <c r="P4623" i="3"/>
  <c r="O4623" i="3"/>
  <c r="P4622" i="3"/>
  <c r="O4622" i="3"/>
  <c r="P4621" i="3"/>
  <c r="O4621" i="3"/>
  <c r="P4620" i="3"/>
  <c r="O4620" i="3"/>
  <c r="P4619" i="3"/>
  <c r="O4619" i="3"/>
  <c r="P4618" i="3"/>
  <c r="O4618" i="3"/>
  <c r="P4617" i="3"/>
  <c r="O4617" i="3"/>
  <c r="P4616" i="3"/>
  <c r="O4616" i="3"/>
  <c r="P4615" i="3"/>
  <c r="O4615" i="3"/>
  <c r="P4614" i="3"/>
  <c r="O4614" i="3"/>
  <c r="P4613" i="3"/>
  <c r="O4613" i="3"/>
  <c r="P4612" i="3"/>
  <c r="O4612" i="3"/>
  <c r="P4611" i="3"/>
  <c r="O4611" i="3"/>
  <c r="P4610" i="3"/>
  <c r="O4610" i="3"/>
  <c r="P4609" i="3"/>
  <c r="O4609" i="3"/>
  <c r="P4608" i="3"/>
  <c r="O4608" i="3"/>
  <c r="P4607" i="3"/>
  <c r="O4607" i="3"/>
  <c r="P4606" i="3"/>
  <c r="O4606" i="3"/>
  <c r="P4605" i="3"/>
  <c r="O4605" i="3"/>
  <c r="P4604" i="3"/>
  <c r="O4604" i="3"/>
  <c r="P4603" i="3"/>
  <c r="O4603" i="3"/>
  <c r="P4602" i="3"/>
  <c r="O4602" i="3"/>
  <c r="P4601" i="3"/>
  <c r="O4601" i="3"/>
  <c r="P4600" i="3"/>
  <c r="O4600" i="3"/>
  <c r="P4599" i="3"/>
  <c r="O4599" i="3"/>
  <c r="P4598" i="3"/>
  <c r="O4598" i="3"/>
  <c r="P4597" i="3"/>
  <c r="O4597" i="3"/>
  <c r="P4596" i="3"/>
  <c r="O4596" i="3"/>
  <c r="P4595" i="3"/>
  <c r="O4595" i="3"/>
  <c r="P4594" i="3"/>
  <c r="O4594" i="3"/>
  <c r="P4593" i="3"/>
  <c r="O4593" i="3"/>
  <c r="P4592" i="3"/>
  <c r="O4592" i="3"/>
  <c r="P4591" i="3"/>
  <c r="O4591" i="3"/>
  <c r="P4590" i="3"/>
  <c r="O4590" i="3"/>
  <c r="P4589" i="3"/>
  <c r="O4589" i="3"/>
  <c r="P4588" i="3"/>
  <c r="O4588" i="3"/>
  <c r="P4587" i="3"/>
  <c r="O4587" i="3"/>
  <c r="P4586" i="3"/>
  <c r="O4586" i="3"/>
  <c r="P4585" i="3"/>
  <c r="O4585" i="3"/>
  <c r="P4584" i="3"/>
  <c r="O4584" i="3"/>
  <c r="P4583" i="3"/>
  <c r="O4583" i="3"/>
  <c r="P4582" i="3"/>
  <c r="O4582" i="3"/>
  <c r="P4581" i="3"/>
  <c r="O4581" i="3"/>
  <c r="P4580" i="3"/>
  <c r="O4580" i="3"/>
  <c r="P4579" i="3"/>
  <c r="O4579" i="3"/>
  <c r="P4578" i="3"/>
  <c r="O4578" i="3"/>
  <c r="P4577" i="3"/>
  <c r="O4577" i="3"/>
  <c r="P4576" i="3"/>
  <c r="O4576" i="3"/>
  <c r="P4575" i="3"/>
  <c r="O4575" i="3"/>
  <c r="P4574" i="3"/>
  <c r="O4574" i="3"/>
  <c r="P4573" i="3"/>
  <c r="O4573" i="3"/>
  <c r="P4572" i="3"/>
  <c r="O4572" i="3"/>
  <c r="P4571" i="3"/>
  <c r="O4571" i="3"/>
  <c r="P4570" i="3"/>
  <c r="O4570" i="3"/>
  <c r="P4569" i="3"/>
  <c r="O4569" i="3"/>
  <c r="P4568" i="3"/>
  <c r="O4568" i="3"/>
  <c r="P4567" i="3"/>
  <c r="O4567" i="3"/>
  <c r="P4566" i="3"/>
  <c r="O4566" i="3"/>
  <c r="P4565" i="3"/>
  <c r="O4565" i="3"/>
  <c r="P4564" i="3"/>
  <c r="O4564" i="3"/>
  <c r="P4563" i="3"/>
  <c r="O4563" i="3"/>
  <c r="P4562" i="3"/>
  <c r="O4562" i="3"/>
  <c r="P4561" i="3"/>
  <c r="O4561" i="3"/>
  <c r="P4560" i="3"/>
  <c r="O4560" i="3"/>
  <c r="P4559" i="3"/>
  <c r="O4559" i="3"/>
  <c r="P4558" i="3"/>
  <c r="O4558" i="3"/>
  <c r="P4557" i="3"/>
  <c r="O4557" i="3"/>
  <c r="P4556" i="3"/>
  <c r="O4556" i="3"/>
  <c r="P4555" i="3"/>
  <c r="O4555" i="3"/>
  <c r="P4554" i="3"/>
  <c r="O4554" i="3"/>
  <c r="P4553" i="3"/>
  <c r="O4553" i="3"/>
  <c r="P4552" i="3"/>
  <c r="O4552" i="3"/>
  <c r="P4551" i="3"/>
  <c r="O4551" i="3"/>
  <c r="P4550" i="3"/>
  <c r="O4550" i="3"/>
  <c r="P4549" i="3"/>
  <c r="O4549" i="3"/>
  <c r="P4548" i="3"/>
  <c r="O4548" i="3"/>
  <c r="P4547" i="3"/>
  <c r="O4547" i="3"/>
  <c r="P4546" i="3"/>
  <c r="O4546" i="3"/>
  <c r="P4545" i="3"/>
  <c r="O4545" i="3"/>
  <c r="P4544" i="3"/>
  <c r="O4544" i="3"/>
  <c r="P4543" i="3"/>
  <c r="O4543" i="3"/>
  <c r="P4542" i="3"/>
  <c r="O4542" i="3"/>
  <c r="P4541" i="3"/>
  <c r="O4541" i="3"/>
  <c r="P4540" i="3"/>
  <c r="O4540" i="3"/>
  <c r="P4539" i="3"/>
  <c r="O4539" i="3"/>
  <c r="P4538" i="3"/>
  <c r="O4538" i="3"/>
  <c r="P4537" i="3"/>
  <c r="O4537" i="3"/>
  <c r="P4536" i="3"/>
  <c r="O4536" i="3"/>
  <c r="P4535" i="3"/>
  <c r="O4535" i="3"/>
  <c r="P4534" i="3"/>
  <c r="O4534" i="3"/>
  <c r="P4533" i="3"/>
  <c r="O4533" i="3"/>
  <c r="P4532" i="3"/>
  <c r="O4532" i="3"/>
  <c r="P4531" i="3"/>
  <c r="O4531" i="3"/>
  <c r="P4530" i="3"/>
  <c r="O4530" i="3"/>
  <c r="P4529" i="3"/>
  <c r="O4529" i="3"/>
  <c r="P4528" i="3"/>
  <c r="O4528" i="3"/>
  <c r="P4527" i="3"/>
  <c r="O4527" i="3"/>
  <c r="P4526" i="3"/>
  <c r="O4526" i="3"/>
  <c r="P4525" i="3"/>
  <c r="O4525" i="3"/>
  <c r="P4524" i="3"/>
  <c r="O4524" i="3"/>
  <c r="P4523" i="3"/>
  <c r="O4523" i="3"/>
  <c r="P4522" i="3"/>
  <c r="O4522" i="3"/>
  <c r="P4521" i="3"/>
  <c r="O4521" i="3"/>
  <c r="P4520" i="3"/>
  <c r="O4520" i="3"/>
  <c r="P4519" i="3"/>
  <c r="O4519" i="3"/>
  <c r="P4518" i="3"/>
  <c r="O4518" i="3"/>
  <c r="P4517" i="3"/>
  <c r="O4517" i="3"/>
  <c r="P4516" i="3"/>
  <c r="O4516" i="3"/>
  <c r="P4515" i="3"/>
  <c r="O4515" i="3"/>
  <c r="P4514" i="3"/>
  <c r="O4514" i="3"/>
  <c r="P4513" i="3"/>
  <c r="O4513" i="3"/>
  <c r="P4512" i="3"/>
  <c r="O4512" i="3"/>
  <c r="P4511" i="3"/>
  <c r="O4511" i="3"/>
  <c r="P4510" i="3"/>
  <c r="O4510" i="3"/>
  <c r="P4509" i="3"/>
  <c r="O4509" i="3"/>
  <c r="P4508" i="3"/>
  <c r="O4508" i="3"/>
  <c r="P4507" i="3"/>
  <c r="O4507" i="3"/>
  <c r="P4506" i="3"/>
  <c r="O4506" i="3"/>
  <c r="P4505" i="3"/>
  <c r="O4505" i="3"/>
  <c r="P4504" i="3"/>
  <c r="O4504" i="3"/>
  <c r="P4503" i="3"/>
  <c r="O4503" i="3"/>
  <c r="P4502" i="3"/>
  <c r="O4502" i="3"/>
  <c r="P4501" i="3"/>
  <c r="O4501" i="3"/>
  <c r="P4500" i="3"/>
  <c r="O4500" i="3"/>
  <c r="P4499" i="3"/>
  <c r="O4499" i="3"/>
  <c r="P4498" i="3"/>
  <c r="O4498" i="3"/>
  <c r="P4497" i="3"/>
  <c r="O4497" i="3"/>
  <c r="P4496" i="3"/>
  <c r="O4496" i="3"/>
  <c r="P4495" i="3"/>
  <c r="O4495" i="3"/>
  <c r="P4494" i="3"/>
  <c r="O4494" i="3"/>
  <c r="P4493" i="3"/>
  <c r="O4493" i="3"/>
  <c r="P4492" i="3"/>
  <c r="O4492" i="3"/>
  <c r="P4491" i="3"/>
  <c r="O4491" i="3"/>
  <c r="P4490" i="3"/>
  <c r="O4490" i="3"/>
  <c r="P4489" i="3"/>
  <c r="O4489" i="3"/>
  <c r="P4488" i="3"/>
  <c r="O4488" i="3"/>
  <c r="P4487" i="3"/>
  <c r="O4487" i="3"/>
  <c r="P4486" i="3"/>
  <c r="O4486" i="3"/>
  <c r="P4485" i="3"/>
  <c r="O4485" i="3"/>
  <c r="P4484" i="3"/>
  <c r="O4484" i="3"/>
  <c r="P4483" i="3"/>
  <c r="O4483" i="3"/>
  <c r="P4482" i="3"/>
  <c r="O4482" i="3"/>
  <c r="P4481" i="3"/>
  <c r="O4481" i="3"/>
  <c r="P4480" i="3"/>
  <c r="O4480" i="3"/>
  <c r="P4479" i="3"/>
  <c r="O4479" i="3"/>
  <c r="P4478" i="3"/>
  <c r="O4478" i="3"/>
  <c r="P4477" i="3"/>
  <c r="O4477" i="3"/>
  <c r="P4476" i="3"/>
  <c r="O4476" i="3"/>
  <c r="P4475" i="3"/>
  <c r="O4475" i="3"/>
  <c r="P4474" i="3"/>
  <c r="O4474" i="3"/>
  <c r="P4473" i="3"/>
  <c r="O4473" i="3"/>
  <c r="P4472" i="3"/>
  <c r="O4472" i="3"/>
  <c r="P4471" i="3"/>
  <c r="O4471" i="3"/>
  <c r="P4470" i="3"/>
  <c r="O4470" i="3"/>
  <c r="P4469" i="3"/>
  <c r="O4469" i="3"/>
  <c r="P4468" i="3"/>
  <c r="O4468" i="3"/>
  <c r="P4467" i="3"/>
  <c r="O4467" i="3"/>
  <c r="P4466" i="3"/>
  <c r="O4466" i="3"/>
  <c r="P4465" i="3"/>
  <c r="O4465" i="3"/>
  <c r="P4464" i="3"/>
  <c r="O4464" i="3"/>
  <c r="P4463" i="3"/>
  <c r="O4463" i="3"/>
  <c r="P4462" i="3"/>
  <c r="O4462" i="3"/>
  <c r="P4461" i="3"/>
  <c r="O4461" i="3"/>
  <c r="P4460" i="3"/>
  <c r="O4460" i="3"/>
  <c r="P4459" i="3"/>
  <c r="O4459" i="3"/>
  <c r="P4458" i="3"/>
  <c r="O4458" i="3"/>
  <c r="P4457" i="3"/>
  <c r="O4457" i="3"/>
  <c r="P4456" i="3"/>
  <c r="O4456" i="3"/>
  <c r="P4455" i="3"/>
  <c r="O4455" i="3"/>
  <c r="P4454" i="3"/>
  <c r="O4454" i="3"/>
  <c r="P4453" i="3"/>
  <c r="O4453" i="3"/>
  <c r="P4452" i="3"/>
  <c r="O4452" i="3"/>
  <c r="P4451" i="3"/>
  <c r="O4451" i="3"/>
  <c r="P4450" i="3"/>
  <c r="O4450" i="3"/>
  <c r="P4449" i="3"/>
  <c r="O4449" i="3"/>
  <c r="P4448" i="3"/>
  <c r="O4448" i="3"/>
  <c r="P4447" i="3"/>
  <c r="O4447" i="3"/>
  <c r="P4446" i="3"/>
  <c r="O4446" i="3"/>
  <c r="P4445" i="3"/>
  <c r="O4445" i="3"/>
  <c r="P4444" i="3"/>
  <c r="O4444" i="3"/>
  <c r="P4443" i="3"/>
  <c r="O4443" i="3"/>
  <c r="P4442" i="3"/>
  <c r="O4442" i="3"/>
  <c r="P4441" i="3"/>
  <c r="O4441" i="3"/>
  <c r="P4440" i="3"/>
  <c r="O4440" i="3"/>
  <c r="P4439" i="3"/>
  <c r="O4439" i="3"/>
  <c r="P4438" i="3"/>
  <c r="O4438" i="3"/>
  <c r="P4437" i="3"/>
  <c r="O4437" i="3"/>
  <c r="P4436" i="3"/>
  <c r="O4436" i="3"/>
  <c r="P4435" i="3"/>
  <c r="O4435" i="3"/>
  <c r="P4434" i="3"/>
  <c r="O4434" i="3"/>
  <c r="P4433" i="3"/>
  <c r="O4433" i="3"/>
  <c r="P4432" i="3"/>
  <c r="O4432" i="3"/>
  <c r="P4431" i="3"/>
  <c r="O4431" i="3"/>
  <c r="P4430" i="3"/>
  <c r="O4430" i="3"/>
  <c r="P4429" i="3"/>
  <c r="O4429" i="3"/>
  <c r="P4428" i="3"/>
  <c r="O4428" i="3"/>
  <c r="P4427" i="3"/>
  <c r="O4427" i="3"/>
  <c r="P4426" i="3"/>
  <c r="O4426" i="3"/>
  <c r="P4425" i="3"/>
  <c r="O4425" i="3"/>
  <c r="P4424" i="3"/>
  <c r="O4424" i="3"/>
  <c r="P4423" i="3"/>
  <c r="O4423" i="3"/>
  <c r="P4422" i="3"/>
  <c r="O4422" i="3"/>
  <c r="P4421" i="3"/>
  <c r="O4421" i="3"/>
  <c r="P4420" i="3"/>
  <c r="O4420" i="3"/>
  <c r="P4419" i="3"/>
  <c r="O4419" i="3"/>
  <c r="P4418" i="3"/>
  <c r="O4418" i="3"/>
  <c r="P4417" i="3"/>
  <c r="O4417" i="3"/>
  <c r="P4416" i="3"/>
  <c r="O4416" i="3"/>
  <c r="P4415" i="3"/>
  <c r="O4415" i="3"/>
  <c r="P4414" i="3"/>
  <c r="O4414" i="3"/>
  <c r="P4413" i="3"/>
  <c r="O4413" i="3"/>
  <c r="P4412" i="3"/>
  <c r="O4412" i="3"/>
  <c r="P4411" i="3"/>
  <c r="O4411" i="3"/>
  <c r="P4410" i="3"/>
  <c r="O4410" i="3"/>
  <c r="P4409" i="3"/>
  <c r="O4409" i="3"/>
  <c r="P4408" i="3"/>
  <c r="O4408" i="3"/>
  <c r="P4407" i="3"/>
  <c r="O4407" i="3"/>
  <c r="P4406" i="3"/>
  <c r="O4406" i="3"/>
  <c r="P4405" i="3"/>
  <c r="O4405" i="3"/>
  <c r="P4404" i="3"/>
  <c r="O4404" i="3"/>
  <c r="P4403" i="3"/>
  <c r="O4403" i="3"/>
  <c r="P4402" i="3"/>
  <c r="O4402" i="3"/>
  <c r="P4401" i="3"/>
  <c r="O4401" i="3"/>
  <c r="P4400" i="3"/>
  <c r="O4400" i="3"/>
  <c r="P4399" i="3"/>
  <c r="O4399" i="3"/>
  <c r="P4398" i="3"/>
  <c r="O4398" i="3"/>
  <c r="P4397" i="3"/>
  <c r="O4397" i="3"/>
  <c r="P4396" i="3"/>
  <c r="O4396" i="3"/>
  <c r="P4395" i="3"/>
  <c r="O4395" i="3"/>
  <c r="P4394" i="3"/>
  <c r="O4394" i="3"/>
  <c r="P4393" i="3"/>
  <c r="O4393" i="3"/>
  <c r="P4392" i="3"/>
  <c r="O4392" i="3"/>
  <c r="P4391" i="3"/>
  <c r="O4391" i="3"/>
  <c r="P4390" i="3"/>
  <c r="O4390" i="3"/>
  <c r="P4389" i="3"/>
  <c r="O4389" i="3"/>
  <c r="P4388" i="3"/>
  <c r="O4388" i="3"/>
  <c r="P4387" i="3"/>
  <c r="O4387" i="3"/>
  <c r="P4386" i="3"/>
  <c r="O4386" i="3"/>
  <c r="P4385" i="3"/>
  <c r="O4385" i="3"/>
  <c r="P4384" i="3"/>
  <c r="O4384" i="3"/>
  <c r="P4383" i="3"/>
  <c r="O4383" i="3"/>
  <c r="P4382" i="3"/>
  <c r="O4382" i="3"/>
  <c r="P4381" i="3"/>
  <c r="O4381" i="3"/>
  <c r="P4380" i="3"/>
  <c r="O4380" i="3"/>
  <c r="P4379" i="3"/>
  <c r="O4379" i="3"/>
  <c r="P4378" i="3"/>
  <c r="O4378" i="3"/>
  <c r="P4377" i="3"/>
  <c r="O4377" i="3"/>
  <c r="P4376" i="3"/>
  <c r="O4376" i="3"/>
  <c r="P4375" i="3"/>
  <c r="O4375" i="3"/>
  <c r="P4374" i="3"/>
  <c r="O4374" i="3"/>
  <c r="P4373" i="3"/>
  <c r="O4373" i="3"/>
  <c r="P4372" i="3"/>
  <c r="O4372" i="3"/>
  <c r="P4371" i="3"/>
  <c r="O4371" i="3"/>
  <c r="P4370" i="3"/>
  <c r="O4370" i="3"/>
  <c r="P4369" i="3"/>
  <c r="O4369" i="3"/>
  <c r="P4368" i="3"/>
  <c r="O4368" i="3"/>
  <c r="P4367" i="3"/>
  <c r="O4367" i="3"/>
  <c r="P4366" i="3"/>
  <c r="O4366" i="3"/>
  <c r="P4365" i="3"/>
  <c r="O4365" i="3"/>
  <c r="P4364" i="3"/>
  <c r="O4364" i="3"/>
  <c r="P4363" i="3"/>
  <c r="O4363" i="3"/>
  <c r="P4362" i="3"/>
  <c r="O4362" i="3"/>
  <c r="P4361" i="3"/>
  <c r="O4361" i="3"/>
  <c r="P4360" i="3"/>
  <c r="O4360" i="3"/>
  <c r="P4359" i="3"/>
  <c r="O4359" i="3"/>
  <c r="P4358" i="3"/>
  <c r="O4358" i="3"/>
  <c r="P4357" i="3"/>
  <c r="O4357" i="3"/>
  <c r="P4356" i="3"/>
  <c r="O4356" i="3"/>
  <c r="P4355" i="3"/>
  <c r="O4355" i="3"/>
  <c r="P4354" i="3"/>
  <c r="O4354" i="3"/>
  <c r="P4353" i="3"/>
  <c r="O4353" i="3"/>
  <c r="P4352" i="3"/>
  <c r="O4352" i="3"/>
  <c r="P4351" i="3"/>
  <c r="O4351" i="3"/>
  <c r="P4350" i="3"/>
  <c r="O4350" i="3"/>
  <c r="P4349" i="3"/>
  <c r="O4349" i="3"/>
  <c r="P4348" i="3"/>
  <c r="O4348" i="3"/>
  <c r="P4347" i="3"/>
  <c r="O4347" i="3"/>
  <c r="P4346" i="3"/>
  <c r="O4346" i="3"/>
  <c r="P4345" i="3"/>
  <c r="O4345" i="3"/>
  <c r="P4344" i="3"/>
  <c r="O4344" i="3"/>
  <c r="P4343" i="3"/>
  <c r="O4343" i="3"/>
  <c r="P4342" i="3"/>
  <c r="O4342" i="3"/>
  <c r="P4341" i="3"/>
  <c r="O4341" i="3"/>
  <c r="P4340" i="3"/>
  <c r="O4340" i="3"/>
  <c r="P4339" i="3"/>
  <c r="O4339" i="3"/>
  <c r="P4338" i="3"/>
  <c r="O4338" i="3"/>
  <c r="P4337" i="3"/>
  <c r="O4337" i="3"/>
  <c r="P4336" i="3"/>
  <c r="O4336" i="3"/>
  <c r="P4335" i="3"/>
  <c r="O4335" i="3"/>
  <c r="P4334" i="3"/>
  <c r="O4334" i="3"/>
  <c r="P4333" i="3"/>
  <c r="O4333" i="3"/>
  <c r="P4332" i="3"/>
  <c r="O4332" i="3"/>
  <c r="P4331" i="3"/>
  <c r="O4331" i="3"/>
  <c r="P4330" i="3"/>
  <c r="O4330" i="3"/>
  <c r="P4329" i="3"/>
  <c r="O4329" i="3"/>
  <c r="P4328" i="3"/>
  <c r="O4328" i="3"/>
  <c r="P4327" i="3"/>
  <c r="O4327" i="3"/>
  <c r="P4326" i="3"/>
  <c r="O4326" i="3"/>
  <c r="P4325" i="3"/>
  <c r="O4325" i="3"/>
  <c r="P4324" i="3"/>
  <c r="O4324" i="3"/>
  <c r="P4323" i="3"/>
  <c r="O4323" i="3"/>
  <c r="P4322" i="3"/>
  <c r="O4322" i="3"/>
  <c r="P4321" i="3"/>
  <c r="O4321" i="3"/>
  <c r="P4320" i="3"/>
  <c r="O4320" i="3"/>
  <c r="P4319" i="3"/>
  <c r="O4319" i="3"/>
  <c r="P4318" i="3"/>
  <c r="O4318" i="3"/>
  <c r="P4317" i="3"/>
  <c r="O4317" i="3"/>
  <c r="P4316" i="3"/>
  <c r="O4316" i="3"/>
  <c r="P4315" i="3"/>
  <c r="O4315" i="3"/>
  <c r="P4314" i="3"/>
  <c r="O4314" i="3"/>
  <c r="P4313" i="3"/>
  <c r="O4313" i="3"/>
  <c r="P4312" i="3"/>
  <c r="O4312" i="3"/>
  <c r="P4311" i="3"/>
  <c r="O4311" i="3"/>
  <c r="P4310" i="3"/>
  <c r="O4310" i="3"/>
  <c r="P4309" i="3"/>
  <c r="O4309" i="3"/>
  <c r="P4308" i="3"/>
  <c r="O4308" i="3"/>
  <c r="P4307" i="3"/>
  <c r="O4307" i="3"/>
  <c r="P4306" i="3"/>
  <c r="O4306" i="3"/>
  <c r="P4305" i="3"/>
  <c r="O4305" i="3"/>
  <c r="P4304" i="3"/>
  <c r="O4304" i="3"/>
  <c r="P4303" i="3"/>
  <c r="O4303" i="3"/>
  <c r="P4302" i="3"/>
  <c r="O4302" i="3"/>
  <c r="P4301" i="3"/>
  <c r="O4301" i="3"/>
  <c r="P4300" i="3"/>
  <c r="O4300" i="3"/>
  <c r="P4299" i="3"/>
  <c r="O4299" i="3"/>
  <c r="P4298" i="3"/>
  <c r="O4298" i="3"/>
  <c r="P4297" i="3"/>
  <c r="O4297" i="3"/>
  <c r="P4296" i="3"/>
  <c r="O4296" i="3"/>
  <c r="P4295" i="3"/>
  <c r="O4295" i="3"/>
  <c r="P4294" i="3"/>
  <c r="O4294" i="3"/>
  <c r="P4293" i="3"/>
  <c r="O4293" i="3"/>
  <c r="P4292" i="3"/>
  <c r="O4292" i="3"/>
  <c r="P4291" i="3"/>
  <c r="O4291" i="3"/>
  <c r="P4290" i="3"/>
  <c r="O4290" i="3"/>
  <c r="P4289" i="3"/>
  <c r="O4289" i="3"/>
  <c r="P4288" i="3"/>
  <c r="O4288" i="3"/>
  <c r="P4287" i="3"/>
  <c r="O4287" i="3"/>
  <c r="P4286" i="3"/>
  <c r="O4286" i="3"/>
  <c r="P4285" i="3"/>
  <c r="O4285" i="3"/>
  <c r="P4284" i="3"/>
  <c r="O4284" i="3"/>
  <c r="P4283" i="3"/>
  <c r="O4283" i="3"/>
  <c r="P4282" i="3"/>
  <c r="O4282" i="3"/>
  <c r="P4281" i="3"/>
  <c r="O4281" i="3"/>
  <c r="P4280" i="3"/>
  <c r="O4280" i="3"/>
  <c r="P4279" i="3"/>
  <c r="O4279" i="3"/>
  <c r="P4278" i="3"/>
  <c r="O4278" i="3"/>
  <c r="P4277" i="3"/>
  <c r="O4277" i="3"/>
  <c r="P4276" i="3"/>
  <c r="O4276" i="3"/>
  <c r="P4275" i="3"/>
  <c r="O4275" i="3"/>
  <c r="P4274" i="3"/>
  <c r="O4274" i="3"/>
  <c r="P4273" i="3"/>
  <c r="O4273" i="3"/>
  <c r="P4272" i="3"/>
  <c r="O4272" i="3"/>
  <c r="P4271" i="3"/>
  <c r="O4271" i="3"/>
  <c r="P4270" i="3"/>
  <c r="O4270" i="3"/>
  <c r="P4269" i="3"/>
  <c r="O4269" i="3"/>
  <c r="P4268" i="3"/>
  <c r="O4268" i="3"/>
  <c r="P4267" i="3"/>
  <c r="O4267" i="3"/>
  <c r="P4266" i="3"/>
  <c r="O4266" i="3"/>
  <c r="P4265" i="3"/>
  <c r="O4265" i="3"/>
  <c r="P4264" i="3"/>
  <c r="O4264" i="3"/>
  <c r="P4263" i="3"/>
  <c r="O4263" i="3"/>
  <c r="P4262" i="3"/>
  <c r="O4262" i="3"/>
  <c r="P4261" i="3"/>
  <c r="O4261" i="3"/>
  <c r="P4260" i="3"/>
  <c r="O4260" i="3"/>
  <c r="P4259" i="3"/>
  <c r="O4259" i="3"/>
  <c r="P4258" i="3"/>
  <c r="O4258" i="3"/>
  <c r="P4257" i="3"/>
  <c r="O4257" i="3"/>
  <c r="P4256" i="3"/>
  <c r="O4256" i="3"/>
  <c r="P4255" i="3"/>
  <c r="O4255" i="3"/>
  <c r="P4254" i="3"/>
  <c r="O4254" i="3"/>
  <c r="P4253" i="3"/>
  <c r="O4253" i="3"/>
  <c r="P4252" i="3"/>
  <c r="O4252" i="3"/>
  <c r="P4251" i="3"/>
  <c r="O4251" i="3"/>
  <c r="P4250" i="3"/>
  <c r="O4250" i="3"/>
  <c r="P4249" i="3"/>
  <c r="O4249" i="3"/>
  <c r="P4248" i="3"/>
  <c r="O4248" i="3"/>
  <c r="P4247" i="3"/>
  <c r="O4247" i="3"/>
  <c r="P4246" i="3"/>
  <c r="O4246" i="3"/>
  <c r="P4245" i="3"/>
  <c r="O4245" i="3"/>
  <c r="P4244" i="3"/>
  <c r="O4244" i="3"/>
  <c r="P4243" i="3"/>
  <c r="O4243" i="3"/>
  <c r="P4242" i="3"/>
  <c r="O4242" i="3"/>
  <c r="P4241" i="3"/>
  <c r="O4241" i="3"/>
  <c r="P4240" i="3"/>
  <c r="O4240" i="3"/>
  <c r="P4239" i="3"/>
  <c r="O4239" i="3"/>
  <c r="P4238" i="3"/>
  <c r="O4238" i="3"/>
  <c r="P4237" i="3"/>
  <c r="O4237" i="3"/>
  <c r="P4236" i="3"/>
  <c r="O4236" i="3"/>
  <c r="P4235" i="3"/>
  <c r="O4235" i="3"/>
  <c r="P4234" i="3"/>
  <c r="O4234" i="3"/>
  <c r="P4233" i="3"/>
  <c r="O4233" i="3"/>
  <c r="P4232" i="3"/>
  <c r="O4232" i="3"/>
  <c r="P4231" i="3"/>
  <c r="O4231" i="3"/>
  <c r="P4230" i="3"/>
  <c r="O4230" i="3"/>
  <c r="P4229" i="3"/>
  <c r="O4229" i="3"/>
  <c r="P4228" i="3"/>
  <c r="O4228" i="3"/>
  <c r="P4227" i="3"/>
  <c r="O4227" i="3"/>
  <c r="P4226" i="3"/>
  <c r="O4226" i="3"/>
  <c r="P4225" i="3"/>
  <c r="O4225" i="3"/>
  <c r="P4224" i="3"/>
  <c r="O4224" i="3"/>
  <c r="P4223" i="3"/>
  <c r="O4223" i="3"/>
  <c r="P4222" i="3"/>
  <c r="O4222" i="3"/>
  <c r="P4221" i="3"/>
  <c r="O4221" i="3"/>
  <c r="P4220" i="3"/>
  <c r="O4220" i="3"/>
  <c r="P4219" i="3"/>
  <c r="O4219" i="3"/>
  <c r="P4218" i="3"/>
  <c r="O4218" i="3"/>
  <c r="P4217" i="3"/>
  <c r="O4217" i="3"/>
  <c r="P4216" i="3"/>
  <c r="O4216" i="3"/>
  <c r="P4215" i="3"/>
  <c r="O4215" i="3"/>
  <c r="P4214" i="3"/>
  <c r="O4214" i="3"/>
  <c r="P4213" i="3"/>
  <c r="O4213" i="3"/>
  <c r="P4212" i="3"/>
  <c r="O4212" i="3"/>
  <c r="P4211" i="3"/>
  <c r="O4211" i="3"/>
  <c r="P4210" i="3"/>
  <c r="O4210" i="3"/>
  <c r="P4209" i="3"/>
  <c r="O4209" i="3"/>
  <c r="P4208" i="3"/>
  <c r="O4208" i="3"/>
  <c r="P4207" i="3"/>
  <c r="O4207" i="3"/>
  <c r="P4206" i="3"/>
  <c r="O4206" i="3"/>
  <c r="P4205" i="3"/>
  <c r="O4205" i="3"/>
  <c r="P4204" i="3"/>
  <c r="O4204" i="3"/>
  <c r="P4203" i="3"/>
  <c r="O4203" i="3"/>
  <c r="P4202" i="3"/>
  <c r="O4202" i="3"/>
  <c r="P4201" i="3"/>
  <c r="O4201" i="3"/>
  <c r="P4200" i="3"/>
  <c r="O4200" i="3"/>
  <c r="P4199" i="3"/>
  <c r="O4199" i="3"/>
  <c r="P4198" i="3"/>
  <c r="O4198" i="3"/>
  <c r="P4197" i="3"/>
  <c r="O4197" i="3"/>
  <c r="P4196" i="3"/>
  <c r="O4196" i="3"/>
  <c r="P4195" i="3"/>
  <c r="O4195" i="3"/>
  <c r="P4194" i="3"/>
  <c r="O4194" i="3"/>
  <c r="P4193" i="3"/>
  <c r="O4193" i="3"/>
  <c r="P4192" i="3"/>
  <c r="O4192" i="3"/>
  <c r="P4191" i="3"/>
  <c r="O4191" i="3"/>
  <c r="P4190" i="3"/>
  <c r="O4190" i="3"/>
  <c r="P4189" i="3"/>
  <c r="O4189" i="3"/>
  <c r="P4188" i="3"/>
  <c r="O4188" i="3"/>
  <c r="P4187" i="3"/>
  <c r="O4187" i="3"/>
  <c r="P4186" i="3"/>
  <c r="O4186" i="3"/>
  <c r="P4185" i="3"/>
  <c r="O4185" i="3"/>
  <c r="P4184" i="3"/>
  <c r="O4184" i="3"/>
  <c r="P4183" i="3"/>
  <c r="O4183" i="3"/>
  <c r="P4182" i="3"/>
  <c r="O4182" i="3"/>
  <c r="P4181" i="3"/>
  <c r="O4181" i="3"/>
  <c r="P4180" i="3"/>
  <c r="O4180" i="3"/>
  <c r="P4179" i="3"/>
  <c r="O4179" i="3"/>
  <c r="P4178" i="3"/>
  <c r="O4178" i="3"/>
  <c r="P4177" i="3"/>
  <c r="O4177" i="3"/>
  <c r="P4176" i="3"/>
  <c r="O4176" i="3"/>
  <c r="P4175" i="3"/>
  <c r="O4175" i="3"/>
  <c r="P4174" i="3"/>
  <c r="O4174" i="3"/>
  <c r="P4173" i="3"/>
  <c r="O4173" i="3"/>
  <c r="P4172" i="3"/>
  <c r="O4172" i="3"/>
  <c r="P4171" i="3"/>
  <c r="O4171" i="3"/>
  <c r="P4170" i="3"/>
  <c r="O4170" i="3"/>
  <c r="P4169" i="3"/>
  <c r="O4169" i="3"/>
  <c r="P4168" i="3"/>
  <c r="O4168" i="3"/>
  <c r="P4167" i="3"/>
  <c r="O4167" i="3"/>
  <c r="P4166" i="3"/>
  <c r="O4166" i="3"/>
  <c r="P4165" i="3"/>
  <c r="O4165" i="3"/>
  <c r="P4164" i="3"/>
  <c r="O4164" i="3"/>
  <c r="P4163" i="3"/>
  <c r="O4163" i="3"/>
  <c r="P4162" i="3"/>
  <c r="O4162" i="3"/>
  <c r="P4161" i="3"/>
  <c r="O4161" i="3"/>
  <c r="P4160" i="3"/>
  <c r="O4160" i="3"/>
  <c r="P4159" i="3"/>
  <c r="O4159" i="3"/>
  <c r="P4158" i="3"/>
  <c r="O4158" i="3"/>
  <c r="P4157" i="3"/>
  <c r="O4157" i="3"/>
  <c r="P4156" i="3"/>
  <c r="O4156" i="3"/>
  <c r="P4155" i="3"/>
  <c r="O4155" i="3"/>
  <c r="P4154" i="3"/>
  <c r="O4154" i="3"/>
  <c r="P4153" i="3"/>
  <c r="O4153" i="3"/>
  <c r="P4152" i="3"/>
  <c r="O4152" i="3"/>
  <c r="P4151" i="3"/>
  <c r="O4151" i="3"/>
  <c r="P4150" i="3"/>
  <c r="O4150" i="3"/>
  <c r="P4149" i="3"/>
  <c r="O4149" i="3"/>
  <c r="P4148" i="3"/>
  <c r="O4148" i="3"/>
  <c r="P4147" i="3"/>
  <c r="O4147" i="3"/>
  <c r="P4146" i="3"/>
  <c r="O4146" i="3"/>
  <c r="P4145" i="3"/>
  <c r="O4145" i="3"/>
  <c r="P4144" i="3"/>
  <c r="O4144" i="3"/>
  <c r="P4143" i="3"/>
  <c r="O4143" i="3"/>
  <c r="P4142" i="3"/>
  <c r="O4142" i="3"/>
  <c r="P4141" i="3"/>
  <c r="O4141" i="3"/>
  <c r="P4140" i="3"/>
  <c r="O4140" i="3"/>
  <c r="P4139" i="3"/>
  <c r="O4139" i="3"/>
  <c r="P4138" i="3"/>
  <c r="O4138" i="3"/>
  <c r="P4137" i="3"/>
  <c r="O4137" i="3"/>
  <c r="P4136" i="3"/>
  <c r="O4136" i="3"/>
  <c r="P4135" i="3"/>
  <c r="O4135" i="3"/>
  <c r="P4134" i="3"/>
  <c r="O4134" i="3"/>
  <c r="P4133" i="3"/>
  <c r="O4133" i="3"/>
  <c r="P4132" i="3"/>
  <c r="O4132" i="3"/>
  <c r="P4131" i="3"/>
  <c r="O4131" i="3"/>
  <c r="P4130" i="3"/>
  <c r="O4130" i="3"/>
  <c r="P4129" i="3"/>
  <c r="O4129" i="3"/>
  <c r="P4128" i="3"/>
  <c r="O4128" i="3"/>
  <c r="P4127" i="3"/>
  <c r="O4127" i="3"/>
  <c r="P4126" i="3"/>
  <c r="O4126" i="3"/>
  <c r="P4125" i="3"/>
  <c r="O4125" i="3"/>
  <c r="P4124" i="3"/>
  <c r="O4124" i="3"/>
  <c r="P4123" i="3"/>
  <c r="O4123" i="3"/>
  <c r="P4122" i="3"/>
  <c r="O4122" i="3"/>
  <c r="P4121" i="3"/>
  <c r="O4121" i="3"/>
  <c r="P4120" i="3"/>
  <c r="O4120" i="3"/>
  <c r="P4119" i="3"/>
  <c r="O4119" i="3"/>
  <c r="P4118" i="3"/>
  <c r="O4118" i="3"/>
  <c r="P4117" i="3"/>
  <c r="O4117" i="3"/>
  <c r="P4116" i="3"/>
  <c r="O4116" i="3"/>
  <c r="P4115" i="3"/>
  <c r="O4115" i="3"/>
  <c r="P4114" i="3"/>
  <c r="O4114" i="3"/>
  <c r="P4113" i="3"/>
  <c r="O4113" i="3"/>
  <c r="P4112" i="3"/>
  <c r="O4112" i="3"/>
  <c r="P4111" i="3"/>
  <c r="O4111" i="3"/>
  <c r="P4110" i="3"/>
  <c r="O4110" i="3"/>
  <c r="P4109" i="3"/>
  <c r="O4109" i="3"/>
  <c r="P4108" i="3"/>
  <c r="O4108" i="3"/>
  <c r="P4107" i="3"/>
  <c r="O4107" i="3"/>
  <c r="P4106" i="3"/>
  <c r="O4106" i="3"/>
  <c r="P4105" i="3"/>
  <c r="O4105" i="3"/>
  <c r="P4104" i="3"/>
  <c r="O4104" i="3"/>
  <c r="P4103" i="3"/>
  <c r="O4103" i="3"/>
  <c r="P4102" i="3"/>
  <c r="O4102" i="3"/>
  <c r="P4101" i="3"/>
  <c r="O4101" i="3"/>
  <c r="P4100" i="3"/>
  <c r="O4100" i="3"/>
  <c r="P4099" i="3"/>
  <c r="O4099" i="3"/>
  <c r="P4098" i="3"/>
  <c r="O4098" i="3"/>
  <c r="P4097" i="3"/>
  <c r="O4097" i="3"/>
  <c r="P4096" i="3"/>
  <c r="O4096" i="3"/>
  <c r="P4095" i="3"/>
  <c r="O4095" i="3"/>
  <c r="P4094" i="3"/>
  <c r="O4094" i="3"/>
  <c r="P4093" i="3"/>
  <c r="O4093" i="3"/>
  <c r="P4092" i="3"/>
  <c r="O4092" i="3"/>
  <c r="P4091" i="3"/>
  <c r="O4091" i="3"/>
  <c r="P4090" i="3"/>
  <c r="O4090" i="3"/>
  <c r="P4089" i="3"/>
  <c r="O4089" i="3"/>
  <c r="P4088" i="3"/>
  <c r="O4088" i="3"/>
  <c r="P4087" i="3"/>
  <c r="O4087" i="3"/>
  <c r="P4086" i="3"/>
  <c r="O4086" i="3"/>
  <c r="P4085" i="3"/>
  <c r="O4085" i="3"/>
  <c r="P4084" i="3"/>
  <c r="O4084" i="3"/>
  <c r="P4083" i="3"/>
  <c r="O4083" i="3"/>
  <c r="P4082" i="3"/>
  <c r="O4082" i="3"/>
  <c r="P4081" i="3"/>
  <c r="O4081" i="3"/>
  <c r="P4080" i="3"/>
  <c r="O4080" i="3"/>
  <c r="P4079" i="3"/>
  <c r="O4079" i="3"/>
  <c r="P4078" i="3"/>
  <c r="O4078" i="3"/>
  <c r="P4077" i="3"/>
  <c r="O4077" i="3"/>
  <c r="P4076" i="3"/>
  <c r="O4076" i="3"/>
  <c r="P4075" i="3"/>
  <c r="O4075" i="3"/>
  <c r="P4074" i="3"/>
  <c r="O4074" i="3"/>
  <c r="P4073" i="3"/>
  <c r="O4073" i="3"/>
  <c r="P4072" i="3"/>
  <c r="O4072" i="3"/>
  <c r="P4071" i="3"/>
  <c r="O4071" i="3"/>
  <c r="P4070" i="3"/>
  <c r="O4070" i="3"/>
  <c r="P4069" i="3"/>
  <c r="O4069" i="3"/>
  <c r="P4068" i="3"/>
  <c r="O4068" i="3"/>
  <c r="P4067" i="3"/>
  <c r="O4067" i="3"/>
  <c r="P4066" i="3"/>
  <c r="O4066" i="3"/>
  <c r="P4065" i="3"/>
  <c r="O4065" i="3"/>
  <c r="P4064" i="3"/>
  <c r="O4064" i="3"/>
  <c r="P4063" i="3"/>
  <c r="O4063" i="3"/>
  <c r="P4062" i="3"/>
  <c r="O4062" i="3"/>
  <c r="P4061" i="3"/>
  <c r="O4061" i="3"/>
  <c r="P4060" i="3"/>
  <c r="O4060" i="3"/>
  <c r="P4059" i="3"/>
  <c r="O4059" i="3"/>
  <c r="P4058" i="3"/>
  <c r="O4058" i="3"/>
  <c r="P4057" i="3"/>
  <c r="O4057" i="3"/>
  <c r="P4056" i="3"/>
  <c r="O4056" i="3"/>
  <c r="P4055" i="3"/>
  <c r="O4055" i="3"/>
  <c r="P4054" i="3"/>
  <c r="O4054" i="3"/>
  <c r="P4053" i="3"/>
  <c r="O4053" i="3"/>
  <c r="P4052" i="3"/>
  <c r="O4052" i="3"/>
  <c r="P4051" i="3"/>
  <c r="O4051" i="3"/>
  <c r="P4050" i="3"/>
  <c r="O4050" i="3"/>
  <c r="P4049" i="3"/>
  <c r="O4049" i="3"/>
  <c r="P4048" i="3"/>
  <c r="O4048" i="3"/>
  <c r="P4047" i="3"/>
  <c r="O4047" i="3"/>
  <c r="P4046" i="3"/>
  <c r="O4046" i="3"/>
  <c r="P4045" i="3"/>
  <c r="O4045" i="3"/>
  <c r="P4044" i="3"/>
  <c r="O4044" i="3"/>
  <c r="P4043" i="3"/>
  <c r="O4043" i="3"/>
  <c r="P4042" i="3"/>
  <c r="O4042" i="3"/>
  <c r="P4041" i="3"/>
  <c r="O4041" i="3"/>
  <c r="P4040" i="3"/>
  <c r="O4040" i="3"/>
  <c r="P4039" i="3"/>
  <c r="O4039" i="3"/>
  <c r="P4038" i="3"/>
  <c r="O4038" i="3"/>
  <c r="P4037" i="3"/>
  <c r="O4037" i="3"/>
  <c r="P4036" i="3"/>
  <c r="O4036" i="3"/>
  <c r="P4035" i="3"/>
  <c r="O4035" i="3"/>
  <c r="P4034" i="3"/>
  <c r="O4034" i="3"/>
  <c r="P4033" i="3"/>
  <c r="O4033" i="3"/>
  <c r="P4032" i="3"/>
  <c r="O4032" i="3"/>
  <c r="P4031" i="3"/>
  <c r="O4031" i="3"/>
  <c r="P4030" i="3"/>
  <c r="O4030" i="3"/>
  <c r="P4029" i="3"/>
  <c r="O4029" i="3"/>
  <c r="P4028" i="3"/>
  <c r="O4028" i="3"/>
  <c r="P4027" i="3"/>
  <c r="O4027" i="3"/>
  <c r="P4026" i="3"/>
  <c r="O4026" i="3"/>
  <c r="P4025" i="3"/>
  <c r="O4025" i="3"/>
  <c r="P4024" i="3"/>
  <c r="O4024" i="3"/>
  <c r="P4023" i="3"/>
  <c r="O4023" i="3"/>
  <c r="P4022" i="3"/>
  <c r="O4022" i="3"/>
  <c r="P4021" i="3"/>
  <c r="O4021" i="3"/>
  <c r="P4020" i="3"/>
  <c r="O4020" i="3"/>
  <c r="P4019" i="3"/>
  <c r="O4019" i="3"/>
  <c r="P4018" i="3"/>
  <c r="O4018" i="3"/>
  <c r="P4017" i="3"/>
  <c r="O4017" i="3"/>
  <c r="P4016" i="3"/>
  <c r="O4016" i="3"/>
  <c r="P4015" i="3"/>
  <c r="O4015" i="3"/>
  <c r="P4014" i="3"/>
  <c r="O4014" i="3"/>
  <c r="P4013" i="3"/>
  <c r="O4013" i="3"/>
  <c r="P4012" i="3"/>
  <c r="O4012" i="3"/>
  <c r="P4011" i="3"/>
  <c r="O4011" i="3"/>
  <c r="P4010" i="3"/>
  <c r="O4010" i="3"/>
  <c r="P4009" i="3"/>
  <c r="O4009" i="3"/>
  <c r="P4008" i="3"/>
  <c r="O4008" i="3"/>
  <c r="P4007" i="3"/>
  <c r="O4007" i="3"/>
  <c r="P4006" i="3"/>
  <c r="O4006" i="3"/>
  <c r="P4005" i="3"/>
  <c r="O4005" i="3"/>
  <c r="P4004" i="3"/>
  <c r="O4004" i="3"/>
  <c r="P4003" i="3"/>
  <c r="O4003" i="3"/>
  <c r="P4002" i="3"/>
  <c r="O4002" i="3"/>
  <c r="P4001" i="3"/>
  <c r="O4001" i="3"/>
  <c r="P4000" i="3"/>
  <c r="O4000" i="3"/>
  <c r="P3999" i="3"/>
  <c r="O3999" i="3"/>
  <c r="P3998" i="3"/>
  <c r="O3998" i="3"/>
  <c r="P3997" i="3"/>
  <c r="O3997" i="3"/>
  <c r="P3996" i="3"/>
  <c r="O3996" i="3"/>
  <c r="P3995" i="3"/>
  <c r="O3995" i="3"/>
  <c r="P3994" i="3"/>
  <c r="O3994" i="3"/>
  <c r="P3993" i="3"/>
  <c r="O3993" i="3"/>
  <c r="P3992" i="3"/>
  <c r="O3992" i="3"/>
  <c r="P3991" i="3"/>
  <c r="O3991" i="3"/>
  <c r="P3990" i="3"/>
  <c r="O3990" i="3"/>
  <c r="P3989" i="3"/>
  <c r="O3989" i="3"/>
  <c r="P3988" i="3"/>
  <c r="O3988" i="3"/>
  <c r="P3987" i="3"/>
  <c r="O3987" i="3"/>
  <c r="P3986" i="3"/>
  <c r="O3986" i="3"/>
  <c r="P3985" i="3"/>
  <c r="O3985" i="3"/>
  <c r="P3984" i="3"/>
  <c r="O3984" i="3"/>
  <c r="P3983" i="3"/>
  <c r="O3983" i="3"/>
  <c r="P3982" i="3"/>
  <c r="O3982" i="3"/>
  <c r="P3981" i="3"/>
  <c r="O3981" i="3"/>
  <c r="P3980" i="3"/>
  <c r="O3980" i="3"/>
  <c r="P3979" i="3"/>
  <c r="O3979" i="3"/>
  <c r="P3978" i="3"/>
  <c r="O3978" i="3"/>
  <c r="P3977" i="3"/>
  <c r="O3977" i="3"/>
  <c r="P3976" i="3"/>
  <c r="O3976" i="3"/>
  <c r="P3975" i="3"/>
  <c r="O3975" i="3"/>
  <c r="P3974" i="3"/>
  <c r="O3974" i="3"/>
  <c r="P3973" i="3"/>
  <c r="O3973" i="3"/>
  <c r="P3972" i="3"/>
  <c r="O3972" i="3"/>
  <c r="P3971" i="3"/>
  <c r="O3971" i="3"/>
  <c r="P3970" i="3"/>
  <c r="O3970" i="3"/>
  <c r="P3969" i="3"/>
  <c r="O3969" i="3"/>
  <c r="P3968" i="3"/>
  <c r="O3968" i="3"/>
  <c r="P3967" i="3"/>
  <c r="O3967" i="3"/>
  <c r="P3966" i="3"/>
  <c r="O3966" i="3"/>
  <c r="P3965" i="3"/>
  <c r="O3965" i="3"/>
  <c r="P3964" i="3"/>
  <c r="O3964" i="3"/>
  <c r="P3963" i="3"/>
  <c r="O3963" i="3"/>
  <c r="P3962" i="3"/>
  <c r="O3962" i="3"/>
  <c r="P3961" i="3"/>
  <c r="O3961" i="3"/>
  <c r="P3960" i="3"/>
  <c r="O3960" i="3"/>
  <c r="P3959" i="3"/>
  <c r="O3959" i="3"/>
  <c r="P3958" i="3"/>
  <c r="O3958" i="3"/>
  <c r="P3957" i="3"/>
  <c r="O3957" i="3"/>
  <c r="P3956" i="3"/>
  <c r="O3956" i="3"/>
  <c r="P3955" i="3"/>
  <c r="O3955" i="3"/>
  <c r="P3954" i="3"/>
  <c r="O3954" i="3"/>
  <c r="P3953" i="3"/>
  <c r="O3953" i="3"/>
  <c r="P3952" i="3"/>
  <c r="O3952" i="3"/>
  <c r="P3951" i="3"/>
  <c r="O3951" i="3"/>
  <c r="P3950" i="3"/>
  <c r="O3950" i="3"/>
  <c r="P3949" i="3"/>
  <c r="O3949" i="3"/>
  <c r="P3948" i="3"/>
  <c r="O3948" i="3"/>
  <c r="P3947" i="3"/>
  <c r="O3947" i="3"/>
  <c r="P3946" i="3"/>
  <c r="O3946" i="3"/>
  <c r="P3945" i="3"/>
  <c r="O3945" i="3"/>
  <c r="P3944" i="3"/>
  <c r="O3944" i="3"/>
  <c r="P3943" i="3"/>
  <c r="O3943" i="3"/>
  <c r="P3942" i="3"/>
  <c r="O3942" i="3"/>
  <c r="P3941" i="3"/>
  <c r="O3941" i="3"/>
  <c r="P3940" i="3"/>
  <c r="O3940" i="3"/>
  <c r="P3939" i="3"/>
  <c r="O3939" i="3"/>
  <c r="P3938" i="3"/>
  <c r="O3938" i="3"/>
  <c r="P3937" i="3"/>
  <c r="O3937" i="3"/>
  <c r="P3936" i="3"/>
  <c r="O3936" i="3"/>
  <c r="P3935" i="3"/>
  <c r="O3935" i="3"/>
  <c r="P3934" i="3"/>
  <c r="O3934" i="3"/>
  <c r="P3933" i="3"/>
  <c r="O3933" i="3"/>
  <c r="P3932" i="3"/>
  <c r="O3932" i="3"/>
  <c r="P3931" i="3"/>
  <c r="O3931" i="3"/>
  <c r="P3930" i="3"/>
  <c r="O3930" i="3"/>
  <c r="P3929" i="3"/>
  <c r="O3929" i="3"/>
  <c r="P3928" i="3"/>
  <c r="O3928" i="3"/>
  <c r="P3927" i="3"/>
  <c r="O3927" i="3"/>
  <c r="P3926" i="3"/>
  <c r="O3926" i="3"/>
  <c r="P3925" i="3"/>
  <c r="O3925" i="3"/>
  <c r="P3924" i="3"/>
  <c r="O3924" i="3"/>
  <c r="P3923" i="3"/>
  <c r="O3923" i="3"/>
  <c r="P3922" i="3"/>
  <c r="O3922" i="3"/>
  <c r="P3921" i="3"/>
  <c r="O3921" i="3"/>
  <c r="P3920" i="3"/>
  <c r="O3920" i="3"/>
  <c r="P3919" i="3"/>
  <c r="O3919" i="3"/>
  <c r="P3918" i="3"/>
  <c r="O3918" i="3"/>
  <c r="P3917" i="3"/>
  <c r="O3917" i="3"/>
  <c r="P3916" i="3"/>
  <c r="O3916" i="3"/>
  <c r="P3915" i="3"/>
  <c r="O3915" i="3"/>
  <c r="P3914" i="3"/>
  <c r="O3914" i="3"/>
  <c r="P3913" i="3"/>
  <c r="O3913" i="3"/>
  <c r="P3912" i="3"/>
  <c r="O3912" i="3"/>
  <c r="P3911" i="3"/>
  <c r="O3911" i="3"/>
  <c r="P3910" i="3"/>
  <c r="O3910" i="3"/>
  <c r="P3909" i="3"/>
  <c r="O3909" i="3"/>
  <c r="P3908" i="3"/>
  <c r="O3908" i="3"/>
  <c r="P3907" i="3"/>
  <c r="O3907" i="3"/>
  <c r="P3906" i="3"/>
  <c r="O3906" i="3"/>
  <c r="P3905" i="3"/>
  <c r="O3905" i="3"/>
  <c r="P3904" i="3"/>
  <c r="O3904" i="3"/>
  <c r="P3903" i="3"/>
  <c r="O3903" i="3"/>
  <c r="P3902" i="3"/>
  <c r="O3902" i="3"/>
  <c r="P3901" i="3"/>
  <c r="O3901" i="3"/>
  <c r="P3900" i="3"/>
  <c r="O3900" i="3"/>
  <c r="P3899" i="3"/>
  <c r="O3899" i="3"/>
  <c r="P3898" i="3"/>
  <c r="O3898" i="3"/>
  <c r="P3897" i="3"/>
  <c r="O3897" i="3"/>
  <c r="P3896" i="3"/>
  <c r="O3896" i="3"/>
  <c r="P3895" i="3"/>
  <c r="O3895" i="3"/>
  <c r="P3894" i="3"/>
  <c r="O3894" i="3"/>
  <c r="P3893" i="3"/>
  <c r="O3893" i="3"/>
  <c r="P3892" i="3"/>
  <c r="O3892" i="3"/>
  <c r="P3891" i="3"/>
  <c r="O3891" i="3"/>
  <c r="P3890" i="3"/>
  <c r="O3890" i="3"/>
  <c r="P3889" i="3"/>
  <c r="O3889" i="3"/>
  <c r="P3888" i="3"/>
  <c r="O3888" i="3"/>
  <c r="P3887" i="3"/>
  <c r="O3887" i="3"/>
  <c r="P3886" i="3"/>
  <c r="O3886" i="3"/>
  <c r="P3885" i="3"/>
  <c r="O3885" i="3"/>
  <c r="P3884" i="3"/>
  <c r="O3884" i="3"/>
  <c r="P3883" i="3"/>
  <c r="O3883" i="3"/>
  <c r="P3882" i="3"/>
  <c r="O3882" i="3"/>
  <c r="P3881" i="3"/>
  <c r="O3881" i="3"/>
  <c r="P3880" i="3"/>
  <c r="O3880" i="3"/>
  <c r="P3879" i="3"/>
  <c r="O3879" i="3"/>
  <c r="P3878" i="3"/>
  <c r="O3878" i="3"/>
  <c r="P3877" i="3"/>
  <c r="O3877" i="3"/>
  <c r="P3876" i="3"/>
  <c r="O3876" i="3"/>
  <c r="P3875" i="3"/>
  <c r="O3875" i="3"/>
  <c r="P3874" i="3"/>
  <c r="O3874" i="3"/>
  <c r="P3873" i="3"/>
  <c r="O3873" i="3"/>
  <c r="P3872" i="3"/>
  <c r="O3872" i="3"/>
  <c r="P3871" i="3"/>
  <c r="O3871" i="3"/>
  <c r="P3870" i="3"/>
  <c r="O3870" i="3"/>
  <c r="P3869" i="3"/>
  <c r="O3869" i="3"/>
  <c r="P3868" i="3"/>
  <c r="O3868" i="3"/>
  <c r="P3867" i="3"/>
  <c r="O3867" i="3"/>
  <c r="P3866" i="3"/>
  <c r="O3866" i="3"/>
  <c r="P3865" i="3"/>
  <c r="O3865" i="3"/>
  <c r="P3864" i="3"/>
  <c r="O3864" i="3"/>
  <c r="P3863" i="3"/>
  <c r="O3863" i="3"/>
  <c r="P3862" i="3"/>
  <c r="O3862" i="3"/>
  <c r="P3861" i="3"/>
  <c r="O3861" i="3"/>
  <c r="P3860" i="3"/>
  <c r="O3860" i="3"/>
  <c r="P3859" i="3"/>
  <c r="O3859" i="3"/>
  <c r="P3858" i="3"/>
  <c r="O3858" i="3"/>
  <c r="P3857" i="3"/>
  <c r="O3857" i="3"/>
  <c r="P3856" i="3"/>
  <c r="O3856" i="3"/>
  <c r="P3855" i="3"/>
  <c r="O3855" i="3"/>
  <c r="P3854" i="3"/>
  <c r="O3854" i="3"/>
  <c r="P3853" i="3"/>
  <c r="O3853" i="3"/>
  <c r="P3852" i="3"/>
  <c r="O3852" i="3"/>
  <c r="P3851" i="3"/>
  <c r="O3851" i="3"/>
  <c r="P3850" i="3"/>
  <c r="O3850" i="3"/>
  <c r="P3849" i="3"/>
  <c r="O3849" i="3"/>
  <c r="P3848" i="3"/>
  <c r="O3848" i="3"/>
  <c r="P3847" i="3"/>
  <c r="O3847" i="3"/>
  <c r="P3846" i="3"/>
  <c r="O3846" i="3"/>
  <c r="P3845" i="3"/>
  <c r="O3845" i="3"/>
  <c r="P3844" i="3"/>
  <c r="O3844" i="3"/>
  <c r="P3843" i="3"/>
  <c r="O3843" i="3"/>
  <c r="P3842" i="3"/>
  <c r="O3842" i="3"/>
  <c r="P3841" i="3"/>
  <c r="O3841" i="3"/>
  <c r="P3840" i="3"/>
  <c r="O3840" i="3"/>
  <c r="P3839" i="3"/>
  <c r="O3839" i="3"/>
  <c r="P3838" i="3"/>
  <c r="O3838" i="3"/>
  <c r="P3837" i="3"/>
  <c r="O3837" i="3"/>
  <c r="P3836" i="3"/>
  <c r="O3836" i="3"/>
  <c r="P3835" i="3"/>
  <c r="O3835" i="3"/>
  <c r="P3834" i="3"/>
  <c r="O3834" i="3"/>
  <c r="P3833" i="3"/>
  <c r="O3833" i="3"/>
  <c r="P3832" i="3"/>
  <c r="O3832" i="3"/>
  <c r="P3831" i="3"/>
  <c r="O3831" i="3"/>
  <c r="P3830" i="3"/>
  <c r="O3830" i="3"/>
  <c r="P3829" i="3"/>
  <c r="O3829" i="3"/>
  <c r="P3828" i="3"/>
  <c r="O3828" i="3"/>
  <c r="P3827" i="3"/>
  <c r="O3827" i="3"/>
  <c r="P3826" i="3"/>
  <c r="O3826" i="3"/>
  <c r="P3825" i="3"/>
  <c r="O3825" i="3"/>
  <c r="P3824" i="3"/>
  <c r="O3824" i="3"/>
  <c r="P3823" i="3"/>
  <c r="O3823" i="3"/>
  <c r="P3822" i="3"/>
  <c r="O3822" i="3"/>
  <c r="P3821" i="3"/>
  <c r="O3821" i="3"/>
  <c r="P3820" i="3"/>
  <c r="O3820" i="3"/>
  <c r="P3819" i="3"/>
  <c r="O3819" i="3"/>
  <c r="P3818" i="3"/>
  <c r="O3818" i="3"/>
  <c r="P3817" i="3"/>
  <c r="O3817" i="3"/>
  <c r="P3816" i="3"/>
  <c r="O3816" i="3"/>
  <c r="P3815" i="3"/>
  <c r="O3815" i="3"/>
  <c r="P3814" i="3"/>
  <c r="O3814" i="3"/>
  <c r="P3813" i="3"/>
  <c r="O3813" i="3"/>
  <c r="P3812" i="3"/>
  <c r="O3812" i="3"/>
  <c r="P3811" i="3"/>
  <c r="O3811" i="3"/>
  <c r="P3810" i="3"/>
  <c r="O3810" i="3"/>
  <c r="P3809" i="3"/>
  <c r="O3809" i="3"/>
  <c r="P3808" i="3"/>
  <c r="O3808" i="3"/>
  <c r="P3807" i="3"/>
  <c r="O3807" i="3"/>
  <c r="P3806" i="3"/>
  <c r="O3806" i="3"/>
  <c r="P3805" i="3"/>
  <c r="O3805" i="3"/>
  <c r="P3804" i="3"/>
  <c r="O3804" i="3"/>
  <c r="P3803" i="3"/>
  <c r="O3803" i="3"/>
  <c r="P3802" i="3"/>
  <c r="O3802" i="3"/>
  <c r="P3801" i="3"/>
  <c r="O3801" i="3"/>
  <c r="P3800" i="3"/>
  <c r="O3800" i="3"/>
  <c r="P3799" i="3"/>
  <c r="O3799" i="3"/>
  <c r="P3798" i="3"/>
  <c r="O3798" i="3"/>
  <c r="P3797" i="3"/>
  <c r="O3797" i="3"/>
  <c r="P3796" i="3"/>
  <c r="O3796" i="3"/>
  <c r="P3795" i="3"/>
  <c r="O3795" i="3"/>
  <c r="P3794" i="3"/>
  <c r="O3794" i="3"/>
  <c r="P3793" i="3"/>
  <c r="O3793" i="3"/>
  <c r="P3792" i="3"/>
  <c r="O3792" i="3"/>
  <c r="P3791" i="3"/>
  <c r="O3791" i="3"/>
  <c r="P3790" i="3"/>
  <c r="O3790" i="3"/>
  <c r="P3789" i="3"/>
  <c r="O3789" i="3"/>
  <c r="P3788" i="3"/>
  <c r="O3788" i="3"/>
  <c r="P3787" i="3"/>
  <c r="O3787" i="3"/>
  <c r="P3786" i="3"/>
  <c r="O3786" i="3"/>
  <c r="P3785" i="3"/>
  <c r="O3785" i="3"/>
  <c r="P3784" i="3"/>
  <c r="O3784" i="3"/>
  <c r="P3783" i="3"/>
  <c r="O3783" i="3"/>
  <c r="P3782" i="3"/>
  <c r="O3782" i="3"/>
  <c r="P3781" i="3"/>
  <c r="O3781" i="3"/>
  <c r="P3780" i="3"/>
  <c r="O3780" i="3"/>
  <c r="P3779" i="3"/>
  <c r="O3779" i="3"/>
  <c r="P3778" i="3"/>
  <c r="O3778" i="3"/>
  <c r="P3777" i="3"/>
  <c r="O3777" i="3"/>
  <c r="P3776" i="3"/>
  <c r="O3776" i="3"/>
  <c r="P3775" i="3"/>
  <c r="O3775" i="3"/>
  <c r="P3774" i="3"/>
  <c r="O3774" i="3"/>
  <c r="P3773" i="3"/>
  <c r="O3773" i="3"/>
  <c r="P3772" i="3"/>
  <c r="O3772" i="3"/>
  <c r="P3771" i="3"/>
  <c r="O3771" i="3"/>
  <c r="P3770" i="3"/>
  <c r="O3770" i="3"/>
  <c r="P3769" i="3"/>
  <c r="O3769" i="3"/>
  <c r="P3768" i="3"/>
  <c r="O3768" i="3"/>
  <c r="P3767" i="3"/>
  <c r="O3767" i="3"/>
  <c r="P3766" i="3"/>
  <c r="O3766" i="3"/>
  <c r="P3765" i="3"/>
  <c r="O3765" i="3"/>
  <c r="P3764" i="3"/>
  <c r="O3764" i="3"/>
  <c r="P3763" i="3"/>
  <c r="O3763" i="3"/>
  <c r="P3762" i="3"/>
  <c r="O3762" i="3"/>
  <c r="P3761" i="3"/>
  <c r="O3761" i="3"/>
  <c r="P3760" i="3"/>
  <c r="O3760" i="3"/>
  <c r="P3759" i="3"/>
  <c r="O3759" i="3"/>
  <c r="P3758" i="3"/>
  <c r="O3758" i="3"/>
  <c r="P3757" i="3"/>
  <c r="O3757" i="3"/>
  <c r="P3756" i="3"/>
  <c r="O3756" i="3"/>
  <c r="P3755" i="3"/>
  <c r="O3755" i="3"/>
  <c r="P3754" i="3"/>
  <c r="O3754" i="3"/>
  <c r="P3753" i="3"/>
  <c r="O3753" i="3"/>
  <c r="P3752" i="3"/>
  <c r="O3752" i="3"/>
  <c r="P3751" i="3"/>
  <c r="O3751" i="3"/>
  <c r="P3750" i="3"/>
  <c r="O3750" i="3"/>
  <c r="P3749" i="3"/>
  <c r="O3749" i="3"/>
  <c r="P3748" i="3"/>
  <c r="O3748" i="3"/>
  <c r="P3747" i="3"/>
  <c r="O3747" i="3"/>
  <c r="P3746" i="3"/>
  <c r="O3746" i="3"/>
  <c r="P3745" i="3"/>
  <c r="O3745" i="3"/>
  <c r="P3744" i="3"/>
  <c r="O3744" i="3"/>
  <c r="P3743" i="3"/>
  <c r="O3743" i="3"/>
  <c r="P3742" i="3"/>
  <c r="O3742" i="3"/>
  <c r="P3741" i="3"/>
  <c r="O3741" i="3"/>
  <c r="P3740" i="3"/>
  <c r="O3740" i="3"/>
  <c r="P3739" i="3"/>
  <c r="O3739" i="3"/>
  <c r="P3738" i="3"/>
  <c r="O3738" i="3"/>
  <c r="P3737" i="3"/>
  <c r="O3737" i="3"/>
  <c r="P3736" i="3"/>
  <c r="O3736" i="3"/>
  <c r="P3735" i="3"/>
  <c r="O3735" i="3"/>
  <c r="P3734" i="3"/>
  <c r="O3734" i="3"/>
  <c r="P3733" i="3"/>
  <c r="O3733" i="3"/>
  <c r="P3732" i="3"/>
  <c r="O3732" i="3"/>
  <c r="P3731" i="3"/>
  <c r="O3731" i="3"/>
  <c r="P3730" i="3"/>
  <c r="O3730" i="3"/>
  <c r="P3729" i="3"/>
  <c r="O3729" i="3"/>
  <c r="P3728" i="3"/>
  <c r="O3728" i="3"/>
  <c r="P3727" i="3"/>
  <c r="O3727" i="3"/>
  <c r="P3726" i="3"/>
  <c r="O3726" i="3"/>
  <c r="P3725" i="3"/>
  <c r="O3725" i="3"/>
  <c r="P3724" i="3"/>
  <c r="O3724" i="3"/>
  <c r="P3723" i="3"/>
  <c r="O3723" i="3"/>
  <c r="P3722" i="3"/>
  <c r="O3722" i="3"/>
  <c r="P3721" i="3"/>
  <c r="O3721" i="3"/>
  <c r="P3720" i="3"/>
  <c r="O3720" i="3"/>
  <c r="P3719" i="3"/>
  <c r="O3719" i="3"/>
  <c r="P3718" i="3"/>
  <c r="O3718" i="3"/>
  <c r="P3717" i="3"/>
  <c r="O3717" i="3"/>
  <c r="P3716" i="3"/>
  <c r="O3716" i="3"/>
  <c r="P3715" i="3"/>
  <c r="O3715" i="3"/>
  <c r="P3714" i="3"/>
  <c r="O3714" i="3"/>
  <c r="P3713" i="3"/>
  <c r="O3713" i="3"/>
  <c r="P3712" i="3"/>
  <c r="O3712" i="3"/>
  <c r="P3711" i="3"/>
  <c r="O3711" i="3"/>
  <c r="P3710" i="3"/>
  <c r="O3710" i="3"/>
  <c r="P3709" i="3"/>
  <c r="O3709" i="3"/>
  <c r="P3708" i="3"/>
  <c r="O3708" i="3"/>
  <c r="P3707" i="3"/>
  <c r="O3707" i="3"/>
  <c r="P3706" i="3"/>
  <c r="O3706" i="3"/>
  <c r="P3705" i="3"/>
  <c r="O3705" i="3"/>
  <c r="P3704" i="3"/>
  <c r="O3704" i="3"/>
  <c r="P3703" i="3"/>
  <c r="O3703" i="3"/>
  <c r="P3702" i="3"/>
  <c r="O3702" i="3"/>
  <c r="P3701" i="3"/>
  <c r="O3701" i="3"/>
  <c r="P3700" i="3"/>
  <c r="O3700" i="3"/>
  <c r="P3699" i="3"/>
  <c r="O3699" i="3"/>
  <c r="P3698" i="3"/>
  <c r="O3698" i="3"/>
  <c r="P3697" i="3"/>
  <c r="O3697" i="3"/>
  <c r="P3696" i="3"/>
  <c r="O3696" i="3"/>
  <c r="P3695" i="3"/>
  <c r="O3695" i="3"/>
  <c r="P3694" i="3"/>
  <c r="O3694" i="3"/>
  <c r="P3693" i="3"/>
  <c r="O3693" i="3"/>
  <c r="P3692" i="3"/>
  <c r="O3692" i="3"/>
  <c r="P3691" i="3"/>
  <c r="O3691" i="3"/>
  <c r="P3690" i="3"/>
  <c r="O3690" i="3"/>
  <c r="P3689" i="3"/>
  <c r="O3689" i="3"/>
  <c r="P3688" i="3"/>
  <c r="O3688" i="3"/>
  <c r="P3687" i="3"/>
  <c r="O3687" i="3"/>
  <c r="P3686" i="3"/>
  <c r="O3686" i="3"/>
  <c r="P3685" i="3"/>
  <c r="O3685" i="3"/>
  <c r="P3684" i="3"/>
  <c r="O3684" i="3"/>
  <c r="P3683" i="3"/>
  <c r="O3683" i="3"/>
  <c r="P3682" i="3"/>
  <c r="O3682" i="3"/>
  <c r="P3681" i="3"/>
  <c r="O3681" i="3"/>
  <c r="P3680" i="3"/>
  <c r="O3680" i="3"/>
  <c r="P3679" i="3"/>
  <c r="O3679" i="3"/>
  <c r="P3678" i="3"/>
  <c r="O3678" i="3"/>
  <c r="P3677" i="3"/>
  <c r="O3677" i="3"/>
  <c r="P3676" i="3"/>
  <c r="O3676" i="3"/>
  <c r="P3675" i="3"/>
  <c r="O3675" i="3"/>
  <c r="P3674" i="3"/>
  <c r="O3674" i="3"/>
  <c r="P3673" i="3"/>
  <c r="O3673" i="3"/>
  <c r="P3672" i="3"/>
  <c r="O3672" i="3"/>
  <c r="P3671" i="3"/>
  <c r="O3671" i="3"/>
  <c r="P3670" i="3"/>
  <c r="O3670" i="3"/>
  <c r="P3669" i="3"/>
  <c r="O3669" i="3"/>
  <c r="P3668" i="3"/>
  <c r="O3668" i="3"/>
  <c r="P3667" i="3"/>
  <c r="O3667" i="3"/>
  <c r="P3666" i="3"/>
  <c r="O3666" i="3"/>
  <c r="P3665" i="3"/>
  <c r="O3665" i="3"/>
  <c r="P3664" i="3"/>
  <c r="O3664" i="3"/>
  <c r="P3663" i="3"/>
  <c r="O3663" i="3"/>
  <c r="P3662" i="3"/>
  <c r="O3662" i="3"/>
  <c r="P3661" i="3"/>
  <c r="O3661" i="3"/>
  <c r="P3660" i="3"/>
  <c r="O3660" i="3"/>
  <c r="P3659" i="3"/>
  <c r="O3659" i="3"/>
  <c r="P3658" i="3"/>
  <c r="O3658" i="3"/>
  <c r="P3657" i="3"/>
  <c r="O3657" i="3"/>
  <c r="P3656" i="3"/>
  <c r="O3656" i="3"/>
  <c r="P3655" i="3"/>
  <c r="O3655" i="3"/>
  <c r="P3654" i="3"/>
  <c r="O3654" i="3"/>
  <c r="P3653" i="3"/>
  <c r="O3653" i="3"/>
  <c r="P3652" i="3"/>
  <c r="O3652" i="3"/>
  <c r="P3651" i="3"/>
  <c r="O3651" i="3"/>
  <c r="P3650" i="3"/>
  <c r="O3650" i="3"/>
  <c r="P3649" i="3"/>
  <c r="O3649" i="3"/>
  <c r="P3648" i="3"/>
  <c r="O3648" i="3"/>
  <c r="P3647" i="3"/>
  <c r="O3647" i="3"/>
  <c r="P3646" i="3"/>
  <c r="O3646" i="3"/>
  <c r="P3645" i="3"/>
  <c r="O3645" i="3"/>
  <c r="P3644" i="3"/>
  <c r="O3644" i="3"/>
  <c r="P3643" i="3"/>
  <c r="O3643" i="3"/>
  <c r="P3642" i="3"/>
  <c r="O3642" i="3"/>
  <c r="P3641" i="3"/>
  <c r="O3641" i="3"/>
  <c r="P3640" i="3"/>
  <c r="O3640" i="3"/>
  <c r="P3639" i="3"/>
  <c r="O3639" i="3"/>
  <c r="P3638" i="3"/>
  <c r="O3638" i="3"/>
  <c r="P3637" i="3"/>
  <c r="O3637" i="3"/>
  <c r="P3636" i="3"/>
  <c r="O3636" i="3"/>
  <c r="P3635" i="3"/>
  <c r="O3635" i="3"/>
  <c r="P3634" i="3"/>
  <c r="O3634" i="3"/>
  <c r="P3633" i="3"/>
  <c r="O3633" i="3"/>
  <c r="P3632" i="3"/>
  <c r="O3632" i="3"/>
  <c r="P3631" i="3"/>
  <c r="O3631" i="3"/>
  <c r="P3630" i="3"/>
  <c r="O3630" i="3"/>
  <c r="P3629" i="3"/>
  <c r="O3629" i="3"/>
  <c r="P3628" i="3"/>
  <c r="O3628" i="3"/>
  <c r="P3627" i="3"/>
  <c r="O3627" i="3"/>
  <c r="P3626" i="3"/>
  <c r="O3626" i="3"/>
  <c r="P3625" i="3"/>
  <c r="O3625" i="3"/>
  <c r="P3624" i="3"/>
  <c r="O3624" i="3"/>
  <c r="P3623" i="3"/>
  <c r="O3623" i="3"/>
  <c r="P3622" i="3"/>
  <c r="O3622" i="3"/>
  <c r="P3621" i="3"/>
  <c r="O3621" i="3"/>
  <c r="P3620" i="3"/>
  <c r="O3620" i="3"/>
  <c r="P3619" i="3"/>
  <c r="O3619" i="3"/>
  <c r="P3618" i="3"/>
  <c r="O3618" i="3"/>
  <c r="P3617" i="3"/>
  <c r="O3617" i="3"/>
  <c r="P3616" i="3"/>
  <c r="O3616" i="3"/>
  <c r="P3615" i="3"/>
  <c r="O3615" i="3"/>
  <c r="P3614" i="3"/>
  <c r="O3614" i="3"/>
  <c r="P3613" i="3"/>
  <c r="O3613" i="3"/>
  <c r="P3612" i="3"/>
  <c r="O3612" i="3"/>
  <c r="P3611" i="3"/>
  <c r="O3611" i="3"/>
  <c r="P3610" i="3"/>
  <c r="O3610" i="3"/>
  <c r="P3609" i="3"/>
  <c r="O3609" i="3"/>
  <c r="P3608" i="3"/>
  <c r="O3608" i="3"/>
  <c r="P3607" i="3"/>
  <c r="O3607" i="3"/>
  <c r="P3606" i="3"/>
  <c r="O3606" i="3"/>
  <c r="P3605" i="3"/>
  <c r="O3605" i="3"/>
  <c r="P3604" i="3"/>
  <c r="O3604" i="3"/>
  <c r="P3603" i="3"/>
  <c r="O3603" i="3"/>
  <c r="P3602" i="3"/>
  <c r="O3602" i="3"/>
  <c r="P3601" i="3"/>
  <c r="O3601" i="3"/>
  <c r="P3600" i="3"/>
  <c r="O3600" i="3"/>
  <c r="P3599" i="3"/>
  <c r="O3599" i="3"/>
  <c r="P3598" i="3"/>
  <c r="O3598" i="3"/>
  <c r="P3597" i="3"/>
  <c r="O3597" i="3"/>
  <c r="P3596" i="3"/>
  <c r="O3596" i="3"/>
  <c r="P3595" i="3"/>
  <c r="O3595" i="3"/>
  <c r="P3594" i="3"/>
  <c r="O3594" i="3"/>
  <c r="P3593" i="3"/>
  <c r="O3593" i="3"/>
  <c r="P3592" i="3"/>
  <c r="O3592" i="3"/>
  <c r="P3591" i="3"/>
  <c r="O3591" i="3"/>
  <c r="P3590" i="3"/>
  <c r="O3590" i="3"/>
  <c r="P3589" i="3"/>
  <c r="O3589" i="3"/>
  <c r="P3588" i="3"/>
  <c r="O3588" i="3"/>
  <c r="P3587" i="3"/>
  <c r="O3587" i="3"/>
  <c r="P3586" i="3"/>
  <c r="O3586" i="3"/>
  <c r="P3585" i="3"/>
  <c r="O3585" i="3"/>
  <c r="P3584" i="3"/>
  <c r="O3584" i="3"/>
  <c r="P3583" i="3"/>
  <c r="O3583" i="3"/>
  <c r="P3582" i="3"/>
  <c r="O3582" i="3"/>
  <c r="P3581" i="3"/>
  <c r="O3581" i="3"/>
  <c r="P3580" i="3"/>
  <c r="O3580" i="3"/>
  <c r="P3579" i="3"/>
  <c r="O3579" i="3"/>
  <c r="P3578" i="3"/>
  <c r="O3578" i="3"/>
  <c r="P3577" i="3"/>
  <c r="O3577" i="3"/>
  <c r="P3576" i="3"/>
  <c r="O3576" i="3"/>
  <c r="P3575" i="3"/>
  <c r="O3575" i="3"/>
  <c r="P3574" i="3"/>
  <c r="O3574" i="3"/>
  <c r="P3573" i="3"/>
  <c r="O3573" i="3"/>
  <c r="P3572" i="3"/>
  <c r="O3572" i="3"/>
  <c r="P3571" i="3"/>
  <c r="O3571" i="3"/>
  <c r="P3570" i="3"/>
  <c r="O3570" i="3"/>
  <c r="P3569" i="3"/>
  <c r="O3569" i="3"/>
  <c r="P3568" i="3"/>
  <c r="O3568" i="3"/>
  <c r="P3567" i="3"/>
  <c r="O3567" i="3"/>
  <c r="P3566" i="3"/>
  <c r="O3566" i="3"/>
  <c r="P3565" i="3"/>
  <c r="O3565" i="3"/>
  <c r="P3564" i="3"/>
  <c r="O3564" i="3"/>
  <c r="P3563" i="3"/>
  <c r="O3563" i="3"/>
  <c r="P3562" i="3"/>
  <c r="O3562" i="3"/>
  <c r="P3561" i="3"/>
  <c r="O3561" i="3"/>
  <c r="P3560" i="3"/>
  <c r="O3560" i="3"/>
  <c r="P3559" i="3"/>
  <c r="O3559" i="3"/>
  <c r="P3558" i="3"/>
  <c r="O3558" i="3"/>
  <c r="P3557" i="3"/>
  <c r="O3557" i="3"/>
  <c r="P3556" i="3"/>
  <c r="O3556" i="3"/>
  <c r="P3555" i="3"/>
  <c r="O3555" i="3"/>
  <c r="P3554" i="3"/>
  <c r="O3554" i="3"/>
  <c r="P3553" i="3"/>
  <c r="O3553" i="3"/>
  <c r="P3552" i="3"/>
  <c r="O3552" i="3"/>
  <c r="P3551" i="3"/>
  <c r="O3551" i="3"/>
  <c r="P3550" i="3"/>
  <c r="O3550" i="3"/>
  <c r="P3549" i="3"/>
  <c r="O3549" i="3"/>
  <c r="P3548" i="3"/>
  <c r="O3548" i="3"/>
  <c r="P3547" i="3"/>
  <c r="O3547" i="3"/>
  <c r="P3546" i="3"/>
  <c r="O3546" i="3"/>
  <c r="P3545" i="3"/>
  <c r="O3545" i="3"/>
  <c r="P3544" i="3"/>
  <c r="O3544" i="3"/>
  <c r="P3543" i="3"/>
  <c r="O3543" i="3"/>
  <c r="P3542" i="3"/>
  <c r="O3542" i="3"/>
  <c r="P3541" i="3"/>
  <c r="O3541" i="3"/>
  <c r="P3540" i="3"/>
  <c r="O3540" i="3"/>
  <c r="P3539" i="3"/>
  <c r="O3539" i="3"/>
  <c r="P3538" i="3"/>
  <c r="O3538" i="3"/>
  <c r="P3537" i="3"/>
  <c r="O3537" i="3"/>
  <c r="P3536" i="3"/>
  <c r="O3536" i="3"/>
  <c r="P3535" i="3"/>
  <c r="O3535" i="3"/>
  <c r="P3534" i="3"/>
  <c r="O3534" i="3"/>
  <c r="P3533" i="3"/>
  <c r="O3533" i="3"/>
  <c r="P3532" i="3"/>
  <c r="O3532" i="3"/>
  <c r="P3531" i="3"/>
  <c r="O3531" i="3"/>
  <c r="P3530" i="3"/>
  <c r="O3530" i="3"/>
  <c r="P3529" i="3"/>
  <c r="O3529" i="3"/>
  <c r="P3528" i="3"/>
  <c r="O3528" i="3"/>
  <c r="P3527" i="3"/>
  <c r="O3527" i="3"/>
  <c r="P3526" i="3"/>
  <c r="O3526" i="3"/>
  <c r="P3525" i="3"/>
  <c r="O3525" i="3"/>
  <c r="P3524" i="3"/>
  <c r="O3524" i="3"/>
  <c r="P3523" i="3"/>
  <c r="O3523" i="3"/>
  <c r="P3522" i="3"/>
  <c r="O3522" i="3"/>
  <c r="P3521" i="3"/>
  <c r="O3521" i="3"/>
  <c r="P3520" i="3"/>
  <c r="O3520" i="3"/>
  <c r="P3519" i="3"/>
  <c r="O3519" i="3"/>
  <c r="P3518" i="3"/>
  <c r="O3518" i="3"/>
  <c r="P3517" i="3"/>
  <c r="O3517" i="3"/>
  <c r="P3516" i="3"/>
  <c r="O3516" i="3"/>
  <c r="P3515" i="3"/>
  <c r="O3515" i="3"/>
  <c r="P3514" i="3"/>
  <c r="O3514" i="3"/>
  <c r="P3513" i="3"/>
  <c r="O3513" i="3"/>
  <c r="P3512" i="3"/>
  <c r="O3512" i="3"/>
  <c r="P3511" i="3"/>
  <c r="O3511" i="3"/>
  <c r="P3510" i="3"/>
  <c r="O3510" i="3"/>
  <c r="P3509" i="3"/>
  <c r="O3509" i="3"/>
  <c r="P3508" i="3"/>
  <c r="O3508" i="3"/>
  <c r="P3507" i="3"/>
  <c r="O3507" i="3"/>
  <c r="P3506" i="3"/>
  <c r="O3506" i="3"/>
  <c r="P3505" i="3"/>
  <c r="O3505" i="3"/>
  <c r="P3504" i="3"/>
  <c r="O3504" i="3"/>
  <c r="P3503" i="3"/>
  <c r="O3503" i="3"/>
  <c r="P3502" i="3"/>
  <c r="O3502" i="3"/>
  <c r="P3501" i="3"/>
  <c r="O3501" i="3"/>
  <c r="P3500" i="3"/>
  <c r="O3500" i="3"/>
  <c r="P3499" i="3"/>
  <c r="O3499" i="3"/>
  <c r="P3498" i="3"/>
  <c r="O3498" i="3"/>
  <c r="P3497" i="3"/>
  <c r="O3497" i="3"/>
  <c r="P3496" i="3"/>
  <c r="O3496" i="3"/>
  <c r="P3495" i="3"/>
  <c r="O3495" i="3"/>
  <c r="P3494" i="3"/>
  <c r="O3494" i="3"/>
  <c r="P3493" i="3"/>
  <c r="O3493" i="3"/>
  <c r="P3492" i="3"/>
  <c r="O3492" i="3"/>
  <c r="P3491" i="3"/>
  <c r="O3491" i="3"/>
  <c r="P3490" i="3"/>
  <c r="O3490" i="3"/>
  <c r="P3489" i="3"/>
  <c r="O3489" i="3"/>
  <c r="P3488" i="3"/>
  <c r="O3488" i="3"/>
  <c r="P3487" i="3"/>
  <c r="O3487" i="3"/>
  <c r="P3486" i="3"/>
  <c r="O3486" i="3"/>
  <c r="P3485" i="3"/>
  <c r="O3485" i="3"/>
  <c r="P3484" i="3"/>
  <c r="O3484" i="3"/>
  <c r="P3483" i="3"/>
  <c r="O3483" i="3"/>
  <c r="P3482" i="3"/>
  <c r="O3482" i="3"/>
  <c r="P3481" i="3"/>
  <c r="O3481" i="3"/>
  <c r="P3480" i="3"/>
  <c r="O3480" i="3"/>
  <c r="P3479" i="3"/>
  <c r="O3479" i="3"/>
  <c r="P3478" i="3"/>
  <c r="O3478" i="3"/>
  <c r="P3477" i="3"/>
  <c r="O3477" i="3"/>
  <c r="P3476" i="3"/>
  <c r="O3476" i="3"/>
  <c r="P3475" i="3"/>
  <c r="O3475" i="3"/>
  <c r="P3474" i="3"/>
  <c r="O3474" i="3"/>
  <c r="P3473" i="3"/>
  <c r="O3473" i="3"/>
  <c r="P3472" i="3"/>
  <c r="O3472" i="3"/>
  <c r="P3471" i="3"/>
  <c r="O3471" i="3"/>
  <c r="P3470" i="3"/>
  <c r="O3470" i="3"/>
  <c r="P3469" i="3"/>
  <c r="O3469" i="3"/>
  <c r="P3468" i="3"/>
  <c r="O3468" i="3"/>
  <c r="P3467" i="3"/>
  <c r="O3467" i="3"/>
  <c r="P3466" i="3"/>
  <c r="O3466" i="3"/>
  <c r="P3465" i="3"/>
  <c r="O3465" i="3"/>
  <c r="P3464" i="3"/>
  <c r="O3464" i="3"/>
  <c r="P3463" i="3"/>
  <c r="O3463" i="3"/>
  <c r="P3462" i="3"/>
  <c r="O3462" i="3"/>
  <c r="P3461" i="3"/>
  <c r="O3461" i="3"/>
  <c r="P3460" i="3"/>
  <c r="O3460" i="3"/>
  <c r="P3459" i="3"/>
  <c r="O3459" i="3"/>
  <c r="P3458" i="3"/>
  <c r="O3458" i="3"/>
  <c r="P3457" i="3"/>
  <c r="O3457" i="3"/>
  <c r="P3456" i="3"/>
  <c r="O3456" i="3"/>
  <c r="P3455" i="3"/>
  <c r="O3455" i="3"/>
  <c r="P3454" i="3"/>
  <c r="O3454" i="3"/>
  <c r="P3453" i="3"/>
  <c r="O3453" i="3"/>
  <c r="P3452" i="3"/>
  <c r="O3452" i="3"/>
  <c r="P3451" i="3"/>
  <c r="O3451" i="3"/>
  <c r="P3450" i="3"/>
  <c r="O3450" i="3"/>
  <c r="P3449" i="3"/>
  <c r="O3449" i="3"/>
  <c r="P3448" i="3"/>
  <c r="O3448" i="3"/>
  <c r="P3447" i="3"/>
  <c r="O3447" i="3"/>
  <c r="P3446" i="3"/>
  <c r="O3446" i="3"/>
  <c r="P3445" i="3"/>
  <c r="O3445" i="3"/>
  <c r="P3444" i="3"/>
  <c r="O3444" i="3"/>
  <c r="P3443" i="3"/>
  <c r="O3443" i="3"/>
  <c r="P3442" i="3"/>
  <c r="O3442" i="3"/>
  <c r="P3441" i="3"/>
  <c r="O3441" i="3"/>
  <c r="P3440" i="3"/>
  <c r="O3440" i="3"/>
  <c r="P3439" i="3"/>
  <c r="O3439" i="3"/>
  <c r="P3438" i="3"/>
  <c r="O3438" i="3"/>
  <c r="P3437" i="3"/>
  <c r="O3437" i="3"/>
  <c r="P3436" i="3"/>
  <c r="O3436" i="3"/>
  <c r="P3435" i="3"/>
  <c r="O3435" i="3"/>
  <c r="P3434" i="3"/>
  <c r="O3434" i="3"/>
  <c r="P3433" i="3"/>
  <c r="O3433" i="3"/>
  <c r="P3432" i="3"/>
  <c r="O3432" i="3"/>
  <c r="P3431" i="3"/>
  <c r="O3431" i="3"/>
  <c r="P3430" i="3"/>
  <c r="O3430" i="3"/>
  <c r="P3429" i="3"/>
  <c r="O3429" i="3"/>
  <c r="P3428" i="3"/>
  <c r="O3428" i="3"/>
  <c r="P3427" i="3"/>
  <c r="O3427" i="3"/>
  <c r="P3426" i="3"/>
  <c r="O3426" i="3"/>
  <c r="P3425" i="3"/>
  <c r="O3425" i="3"/>
  <c r="P3424" i="3"/>
  <c r="O3424" i="3"/>
  <c r="P3423" i="3"/>
  <c r="O3423" i="3"/>
  <c r="P3422" i="3"/>
  <c r="O3422" i="3"/>
  <c r="P3421" i="3"/>
  <c r="O3421" i="3"/>
  <c r="P3420" i="3"/>
  <c r="O3420" i="3"/>
  <c r="P3419" i="3"/>
  <c r="O3419" i="3"/>
  <c r="P3418" i="3"/>
  <c r="O3418" i="3"/>
  <c r="P3417" i="3"/>
  <c r="O3417" i="3"/>
  <c r="P3416" i="3"/>
  <c r="O3416" i="3"/>
  <c r="P3415" i="3"/>
  <c r="O3415" i="3"/>
  <c r="P3414" i="3"/>
  <c r="O3414" i="3"/>
  <c r="P3413" i="3"/>
  <c r="O3413" i="3"/>
  <c r="P3412" i="3"/>
  <c r="O3412" i="3"/>
  <c r="P3411" i="3"/>
  <c r="O3411" i="3"/>
  <c r="P3410" i="3"/>
  <c r="O3410" i="3"/>
  <c r="P3409" i="3"/>
  <c r="O3409" i="3"/>
  <c r="P3408" i="3"/>
  <c r="O3408" i="3"/>
  <c r="P3407" i="3"/>
  <c r="O3407" i="3"/>
  <c r="P3406" i="3"/>
  <c r="O3406" i="3"/>
  <c r="P3405" i="3"/>
  <c r="O3405" i="3"/>
  <c r="P3404" i="3"/>
  <c r="O3404" i="3"/>
  <c r="P3403" i="3"/>
  <c r="O3403" i="3"/>
  <c r="P3402" i="3"/>
  <c r="O3402" i="3"/>
  <c r="P3401" i="3"/>
  <c r="O3401" i="3"/>
  <c r="P3400" i="3"/>
  <c r="O3400" i="3"/>
  <c r="P3399" i="3"/>
  <c r="O3399" i="3"/>
  <c r="P3398" i="3"/>
  <c r="O3398" i="3"/>
  <c r="P3397" i="3"/>
  <c r="O3397" i="3"/>
  <c r="P3396" i="3"/>
  <c r="O3396" i="3"/>
  <c r="P3395" i="3"/>
  <c r="O3395" i="3"/>
  <c r="P3394" i="3"/>
  <c r="O3394" i="3"/>
  <c r="P3393" i="3"/>
  <c r="O3393" i="3"/>
  <c r="P3392" i="3"/>
  <c r="O3392" i="3"/>
  <c r="P3391" i="3"/>
  <c r="O3391" i="3"/>
  <c r="P3390" i="3"/>
  <c r="O3390" i="3"/>
  <c r="P3389" i="3"/>
  <c r="O3389" i="3"/>
  <c r="P3388" i="3"/>
  <c r="O3388" i="3"/>
  <c r="P3387" i="3"/>
  <c r="O3387" i="3"/>
  <c r="P3386" i="3"/>
  <c r="O3386" i="3"/>
  <c r="P3385" i="3"/>
  <c r="O3385" i="3"/>
  <c r="P3384" i="3"/>
  <c r="O3384" i="3"/>
  <c r="P3383" i="3"/>
  <c r="O3383" i="3"/>
  <c r="P3382" i="3"/>
  <c r="O3382" i="3"/>
  <c r="P3381" i="3"/>
  <c r="O3381" i="3"/>
  <c r="P3380" i="3"/>
  <c r="O3380" i="3"/>
  <c r="P3379" i="3"/>
  <c r="O3379" i="3"/>
  <c r="P3378" i="3"/>
  <c r="O3378" i="3"/>
  <c r="P3377" i="3"/>
  <c r="O3377" i="3"/>
  <c r="P3376" i="3"/>
  <c r="O3376" i="3"/>
  <c r="P3375" i="3"/>
  <c r="O3375" i="3"/>
  <c r="P3374" i="3"/>
  <c r="O3374" i="3"/>
  <c r="P3373" i="3"/>
  <c r="O3373" i="3"/>
  <c r="P3372" i="3"/>
  <c r="O3372" i="3"/>
  <c r="P3371" i="3"/>
  <c r="O3371" i="3"/>
  <c r="P3370" i="3"/>
  <c r="O3370" i="3"/>
  <c r="P3369" i="3"/>
  <c r="O3369" i="3"/>
  <c r="P3368" i="3"/>
  <c r="O3368" i="3"/>
  <c r="P3367" i="3"/>
  <c r="O3367" i="3"/>
  <c r="P3366" i="3"/>
  <c r="O3366" i="3"/>
  <c r="P3365" i="3"/>
  <c r="O3365" i="3"/>
  <c r="P3364" i="3"/>
  <c r="O3364" i="3"/>
  <c r="P3363" i="3"/>
  <c r="O3363" i="3"/>
  <c r="P3362" i="3"/>
  <c r="O3362" i="3"/>
  <c r="P3361" i="3"/>
  <c r="O3361" i="3"/>
  <c r="P3360" i="3"/>
  <c r="O3360" i="3"/>
  <c r="P3359" i="3"/>
  <c r="O3359" i="3"/>
  <c r="P3358" i="3"/>
  <c r="O3358" i="3"/>
  <c r="P3357" i="3"/>
  <c r="O3357" i="3"/>
  <c r="P3356" i="3"/>
  <c r="O3356" i="3"/>
  <c r="P3355" i="3"/>
  <c r="O3355" i="3"/>
  <c r="P3354" i="3"/>
  <c r="O3354" i="3"/>
  <c r="P3353" i="3"/>
  <c r="O3353" i="3"/>
  <c r="P3352" i="3"/>
  <c r="O3352" i="3"/>
  <c r="P3351" i="3"/>
  <c r="O3351" i="3"/>
  <c r="P3350" i="3"/>
  <c r="O3350" i="3"/>
  <c r="P3349" i="3"/>
  <c r="O3349" i="3"/>
  <c r="P3348" i="3"/>
  <c r="O3348" i="3"/>
  <c r="P3347" i="3"/>
  <c r="O3347" i="3"/>
  <c r="P3346" i="3"/>
  <c r="O3346" i="3"/>
  <c r="P3345" i="3"/>
  <c r="O3345" i="3"/>
  <c r="P3344" i="3"/>
  <c r="O3344" i="3"/>
  <c r="P3343" i="3"/>
  <c r="O3343" i="3"/>
  <c r="P3342" i="3"/>
  <c r="O3342" i="3"/>
  <c r="P3341" i="3"/>
  <c r="O3341" i="3"/>
  <c r="P3340" i="3"/>
  <c r="O3340" i="3"/>
  <c r="P3339" i="3"/>
  <c r="O3339" i="3"/>
  <c r="P3338" i="3"/>
  <c r="O3338" i="3"/>
  <c r="P3337" i="3"/>
  <c r="O3337" i="3"/>
  <c r="P3336" i="3"/>
  <c r="O3336" i="3"/>
  <c r="P3335" i="3"/>
  <c r="O3335" i="3"/>
  <c r="P3334" i="3"/>
  <c r="O3334" i="3"/>
  <c r="P3333" i="3"/>
  <c r="O3333" i="3"/>
  <c r="P3332" i="3"/>
  <c r="O3332" i="3"/>
  <c r="P3331" i="3"/>
  <c r="O3331" i="3"/>
  <c r="P3330" i="3"/>
  <c r="O3330" i="3"/>
  <c r="P3329" i="3"/>
  <c r="O3329" i="3"/>
  <c r="P3328" i="3"/>
  <c r="O3328" i="3"/>
  <c r="P3327" i="3"/>
  <c r="O3327" i="3"/>
  <c r="P3326" i="3"/>
  <c r="O3326" i="3"/>
  <c r="P3325" i="3"/>
  <c r="O3325" i="3"/>
  <c r="P3324" i="3"/>
  <c r="O3324" i="3"/>
  <c r="P3323" i="3"/>
  <c r="O3323" i="3"/>
  <c r="P3322" i="3"/>
  <c r="O3322" i="3"/>
  <c r="P3321" i="3"/>
  <c r="O3321" i="3"/>
  <c r="P3320" i="3"/>
  <c r="O3320" i="3"/>
  <c r="P3319" i="3"/>
  <c r="O3319" i="3"/>
  <c r="P3318" i="3"/>
  <c r="O3318" i="3"/>
  <c r="P3317" i="3"/>
  <c r="O3317" i="3"/>
  <c r="P3316" i="3"/>
  <c r="O3316" i="3"/>
  <c r="P3315" i="3"/>
  <c r="O3315" i="3"/>
  <c r="P3314" i="3"/>
  <c r="O3314" i="3"/>
  <c r="P3313" i="3"/>
  <c r="O3313" i="3"/>
  <c r="P3312" i="3"/>
  <c r="O3312" i="3"/>
  <c r="P3311" i="3"/>
  <c r="O3311" i="3"/>
  <c r="P3310" i="3"/>
  <c r="O3310" i="3"/>
  <c r="P3309" i="3"/>
  <c r="O3309" i="3"/>
  <c r="P3308" i="3"/>
  <c r="O3308" i="3"/>
  <c r="P3307" i="3"/>
  <c r="O3307" i="3"/>
  <c r="P3306" i="3"/>
  <c r="O3306" i="3"/>
  <c r="P3305" i="3"/>
  <c r="O3305" i="3"/>
  <c r="P3304" i="3"/>
  <c r="O3304" i="3"/>
  <c r="P3303" i="3"/>
  <c r="O3303" i="3"/>
  <c r="P3302" i="3"/>
  <c r="O3302" i="3"/>
  <c r="P3301" i="3"/>
  <c r="O3301" i="3"/>
  <c r="P3300" i="3"/>
  <c r="O3300" i="3"/>
  <c r="P3299" i="3"/>
  <c r="O3299" i="3"/>
  <c r="P3298" i="3"/>
  <c r="O3298" i="3"/>
  <c r="P3297" i="3"/>
  <c r="O3297" i="3"/>
  <c r="P3296" i="3"/>
  <c r="O3296" i="3"/>
  <c r="P3295" i="3"/>
  <c r="O3295" i="3"/>
  <c r="P3294" i="3"/>
  <c r="O3294" i="3"/>
  <c r="P3293" i="3"/>
  <c r="O3293" i="3"/>
  <c r="P3292" i="3"/>
  <c r="O3292" i="3"/>
  <c r="P3291" i="3"/>
  <c r="O3291" i="3"/>
  <c r="P3290" i="3"/>
  <c r="O3290" i="3"/>
  <c r="P3289" i="3"/>
  <c r="O3289" i="3"/>
  <c r="P3288" i="3"/>
  <c r="O3288" i="3"/>
  <c r="P3287" i="3"/>
  <c r="O3287" i="3"/>
  <c r="P3286" i="3"/>
  <c r="O3286" i="3"/>
  <c r="P3285" i="3"/>
  <c r="O3285" i="3"/>
  <c r="P3284" i="3"/>
  <c r="O3284" i="3"/>
  <c r="P3283" i="3"/>
  <c r="O3283" i="3"/>
  <c r="P3282" i="3"/>
  <c r="O3282" i="3"/>
  <c r="P3281" i="3"/>
  <c r="O3281" i="3"/>
  <c r="P3280" i="3"/>
  <c r="O3280" i="3"/>
  <c r="P3279" i="3"/>
  <c r="O3279" i="3"/>
  <c r="P3278" i="3"/>
  <c r="O3278" i="3"/>
  <c r="P3277" i="3"/>
  <c r="O3277" i="3"/>
  <c r="P3276" i="3"/>
  <c r="O3276" i="3"/>
  <c r="P3275" i="3"/>
  <c r="O3275" i="3"/>
  <c r="P3274" i="3"/>
  <c r="O3274" i="3"/>
  <c r="P3273" i="3"/>
  <c r="O3273" i="3"/>
  <c r="P3272" i="3"/>
  <c r="O3272" i="3"/>
  <c r="P3271" i="3"/>
  <c r="O3271" i="3"/>
  <c r="P3270" i="3"/>
  <c r="O3270" i="3"/>
  <c r="P3269" i="3"/>
  <c r="O3269" i="3"/>
  <c r="P3268" i="3"/>
  <c r="O3268" i="3"/>
  <c r="P3267" i="3"/>
  <c r="O3267" i="3"/>
  <c r="P3266" i="3"/>
  <c r="O3266" i="3"/>
  <c r="P3265" i="3"/>
  <c r="O3265" i="3"/>
  <c r="P3264" i="3"/>
  <c r="O3264" i="3"/>
  <c r="P3263" i="3"/>
  <c r="O3263" i="3"/>
  <c r="P3262" i="3"/>
  <c r="O3262" i="3"/>
  <c r="P3261" i="3"/>
  <c r="O3261" i="3"/>
  <c r="P3260" i="3"/>
  <c r="O3260" i="3"/>
  <c r="P3259" i="3"/>
  <c r="O3259" i="3"/>
  <c r="P3258" i="3"/>
  <c r="O3258" i="3"/>
  <c r="P3257" i="3"/>
  <c r="O3257" i="3"/>
  <c r="P3256" i="3"/>
  <c r="O3256" i="3"/>
  <c r="P3255" i="3"/>
  <c r="O3255" i="3"/>
  <c r="P3254" i="3"/>
  <c r="O3254" i="3"/>
  <c r="P3253" i="3"/>
  <c r="O3253" i="3"/>
  <c r="P3252" i="3"/>
  <c r="O3252" i="3"/>
  <c r="P3251" i="3"/>
  <c r="O3251" i="3"/>
  <c r="P3250" i="3"/>
  <c r="O3250" i="3"/>
  <c r="P3249" i="3"/>
  <c r="O3249" i="3"/>
  <c r="P3248" i="3"/>
  <c r="O3248" i="3"/>
  <c r="P3247" i="3"/>
  <c r="O3247" i="3"/>
  <c r="P3246" i="3"/>
  <c r="O3246" i="3"/>
  <c r="P3245" i="3"/>
  <c r="O3245" i="3"/>
  <c r="P3244" i="3"/>
  <c r="O3244" i="3"/>
  <c r="P3243" i="3"/>
  <c r="O3243" i="3"/>
  <c r="P3242" i="3"/>
  <c r="O3242" i="3"/>
  <c r="P3241" i="3"/>
  <c r="O3241" i="3"/>
  <c r="P3240" i="3"/>
  <c r="O3240" i="3"/>
  <c r="P3239" i="3"/>
  <c r="O3239" i="3"/>
  <c r="P3238" i="3"/>
  <c r="O3238" i="3"/>
  <c r="P3237" i="3"/>
  <c r="O3237" i="3"/>
  <c r="P3236" i="3"/>
  <c r="O3236" i="3"/>
  <c r="P3235" i="3"/>
  <c r="O3235" i="3"/>
  <c r="P3234" i="3"/>
  <c r="O3234" i="3"/>
  <c r="P3233" i="3"/>
  <c r="O3233" i="3"/>
  <c r="P3232" i="3"/>
  <c r="O3232" i="3"/>
  <c r="P3231" i="3"/>
  <c r="O3231" i="3"/>
  <c r="P3230" i="3"/>
  <c r="O3230" i="3"/>
  <c r="P3229" i="3"/>
  <c r="O3229" i="3"/>
  <c r="P3228" i="3"/>
  <c r="O3228" i="3"/>
  <c r="P3227" i="3"/>
  <c r="O3227" i="3"/>
  <c r="P3226" i="3"/>
  <c r="O3226" i="3"/>
  <c r="P3225" i="3"/>
  <c r="O3225" i="3"/>
  <c r="P3224" i="3"/>
  <c r="O3224" i="3"/>
  <c r="P3223" i="3"/>
  <c r="O3223" i="3"/>
  <c r="P3222" i="3"/>
  <c r="O3222" i="3"/>
  <c r="P3221" i="3"/>
  <c r="O3221" i="3"/>
  <c r="P3220" i="3"/>
  <c r="O3220" i="3"/>
  <c r="P3219" i="3"/>
  <c r="O3219" i="3"/>
  <c r="P3218" i="3"/>
  <c r="O3218" i="3"/>
  <c r="P3217" i="3"/>
  <c r="O3217" i="3"/>
  <c r="P3216" i="3"/>
  <c r="O3216" i="3"/>
  <c r="P3215" i="3"/>
  <c r="O3215" i="3"/>
  <c r="P3214" i="3"/>
  <c r="O3214" i="3"/>
  <c r="P3213" i="3"/>
  <c r="O3213" i="3"/>
  <c r="P3212" i="3"/>
  <c r="O3212" i="3"/>
  <c r="P3211" i="3"/>
  <c r="O3211" i="3"/>
  <c r="P3210" i="3"/>
  <c r="O3210" i="3"/>
  <c r="P3209" i="3"/>
  <c r="O3209" i="3"/>
  <c r="P3208" i="3"/>
  <c r="O3208" i="3"/>
  <c r="P3207" i="3"/>
  <c r="O3207" i="3"/>
  <c r="P3206" i="3"/>
  <c r="O3206" i="3"/>
  <c r="P3205" i="3"/>
  <c r="O3205" i="3"/>
  <c r="P3204" i="3"/>
  <c r="O3204" i="3"/>
  <c r="P3203" i="3"/>
  <c r="O3203" i="3"/>
  <c r="P3202" i="3"/>
  <c r="O3202" i="3"/>
  <c r="P3201" i="3"/>
  <c r="O3201" i="3"/>
  <c r="P3200" i="3"/>
  <c r="O3200" i="3"/>
  <c r="P3199" i="3"/>
  <c r="O3199" i="3"/>
  <c r="P3198" i="3"/>
  <c r="O3198" i="3"/>
  <c r="P3197" i="3"/>
  <c r="O3197" i="3"/>
  <c r="P3196" i="3"/>
  <c r="O3196" i="3"/>
  <c r="P3195" i="3"/>
  <c r="O3195" i="3"/>
  <c r="P3194" i="3"/>
  <c r="O3194" i="3"/>
  <c r="P3193" i="3"/>
  <c r="O3193" i="3"/>
  <c r="P3192" i="3"/>
  <c r="O3192" i="3"/>
  <c r="P3191" i="3"/>
  <c r="O3191" i="3"/>
  <c r="P3190" i="3"/>
  <c r="O3190" i="3"/>
  <c r="P3189" i="3"/>
  <c r="O3189" i="3"/>
  <c r="P3188" i="3"/>
  <c r="O3188" i="3"/>
  <c r="P3187" i="3"/>
  <c r="O3187" i="3"/>
  <c r="P3186" i="3"/>
  <c r="O3186" i="3"/>
  <c r="P3185" i="3"/>
  <c r="O3185" i="3"/>
  <c r="P3184" i="3"/>
  <c r="O3184" i="3"/>
  <c r="P3183" i="3"/>
  <c r="O3183" i="3"/>
  <c r="P3182" i="3"/>
  <c r="O3182" i="3"/>
  <c r="P3181" i="3"/>
  <c r="O3181" i="3"/>
  <c r="P3180" i="3"/>
  <c r="O3180" i="3"/>
  <c r="P3179" i="3"/>
  <c r="O3179" i="3"/>
  <c r="P3178" i="3"/>
  <c r="O3178" i="3"/>
  <c r="P3177" i="3"/>
  <c r="O3177" i="3"/>
  <c r="P3176" i="3"/>
  <c r="O3176" i="3"/>
  <c r="P3175" i="3"/>
  <c r="O3175" i="3"/>
  <c r="P3174" i="3"/>
  <c r="O3174" i="3"/>
  <c r="P3173" i="3"/>
  <c r="O3173" i="3"/>
  <c r="P3172" i="3"/>
  <c r="O3172" i="3"/>
  <c r="P3171" i="3"/>
  <c r="O3171" i="3"/>
  <c r="P3170" i="3"/>
  <c r="O3170" i="3"/>
  <c r="P3169" i="3"/>
  <c r="O3169" i="3"/>
  <c r="P3168" i="3"/>
  <c r="O3168" i="3"/>
  <c r="P3167" i="3"/>
  <c r="O3167" i="3"/>
  <c r="P3166" i="3"/>
  <c r="O3166" i="3"/>
  <c r="P3165" i="3"/>
  <c r="O3165" i="3"/>
  <c r="P3164" i="3"/>
  <c r="O3164" i="3"/>
  <c r="P3163" i="3"/>
  <c r="O3163" i="3"/>
  <c r="P3162" i="3"/>
  <c r="O3162" i="3"/>
  <c r="P3161" i="3"/>
  <c r="O3161" i="3"/>
  <c r="P3160" i="3"/>
  <c r="O3160" i="3"/>
  <c r="P3159" i="3"/>
  <c r="O3159" i="3"/>
  <c r="P3158" i="3"/>
  <c r="O3158" i="3"/>
  <c r="P3157" i="3"/>
  <c r="O3157" i="3"/>
  <c r="P3156" i="3"/>
  <c r="O3156" i="3"/>
  <c r="P3155" i="3"/>
  <c r="O3155" i="3"/>
  <c r="P3154" i="3"/>
  <c r="O3154" i="3"/>
  <c r="P3153" i="3"/>
  <c r="O3153" i="3"/>
  <c r="P3152" i="3"/>
  <c r="O3152" i="3"/>
  <c r="P3151" i="3"/>
  <c r="O3151" i="3"/>
  <c r="P3150" i="3"/>
  <c r="O3150" i="3"/>
  <c r="P3149" i="3"/>
  <c r="O3149" i="3"/>
  <c r="P3148" i="3"/>
  <c r="O3148" i="3"/>
  <c r="P3147" i="3"/>
  <c r="O3147" i="3"/>
  <c r="P3146" i="3"/>
  <c r="O3146" i="3"/>
  <c r="P3145" i="3"/>
  <c r="O3145" i="3"/>
  <c r="P3144" i="3"/>
  <c r="O3144" i="3"/>
  <c r="P3143" i="3"/>
  <c r="O3143" i="3"/>
  <c r="P3142" i="3"/>
  <c r="O3142" i="3"/>
  <c r="P3141" i="3"/>
  <c r="O3141" i="3"/>
  <c r="P3140" i="3"/>
  <c r="O3140" i="3"/>
  <c r="P3139" i="3"/>
  <c r="O3139" i="3"/>
  <c r="P3138" i="3"/>
  <c r="O3138" i="3"/>
  <c r="P3137" i="3"/>
  <c r="O3137" i="3"/>
  <c r="P3136" i="3"/>
  <c r="O3136" i="3"/>
  <c r="P3135" i="3"/>
  <c r="O3135" i="3"/>
  <c r="P3134" i="3"/>
  <c r="O3134" i="3"/>
  <c r="P3133" i="3"/>
  <c r="O3133" i="3"/>
  <c r="P3132" i="3"/>
  <c r="O3132" i="3"/>
  <c r="P3131" i="3"/>
  <c r="O3131" i="3"/>
  <c r="P3130" i="3"/>
  <c r="O3130" i="3"/>
  <c r="P3129" i="3"/>
  <c r="O3129" i="3"/>
  <c r="P3128" i="3"/>
  <c r="O3128" i="3"/>
  <c r="P3127" i="3"/>
  <c r="O3127" i="3"/>
  <c r="P3126" i="3"/>
  <c r="O3126" i="3"/>
  <c r="P3125" i="3"/>
  <c r="O3125" i="3"/>
  <c r="P3124" i="3"/>
  <c r="O3124" i="3"/>
  <c r="P3123" i="3"/>
  <c r="O3123" i="3"/>
  <c r="P3122" i="3"/>
  <c r="O3122" i="3"/>
  <c r="P3121" i="3"/>
  <c r="O3121" i="3"/>
  <c r="P3120" i="3"/>
  <c r="O3120" i="3"/>
  <c r="P3119" i="3"/>
  <c r="O3119" i="3"/>
  <c r="P3118" i="3"/>
  <c r="O3118" i="3"/>
  <c r="P3117" i="3"/>
  <c r="O3117" i="3"/>
  <c r="P3116" i="3"/>
  <c r="O3116" i="3"/>
  <c r="P3115" i="3"/>
  <c r="O3115" i="3"/>
  <c r="P3114" i="3"/>
  <c r="O3114" i="3"/>
  <c r="P3113" i="3"/>
  <c r="O3113" i="3"/>
  <c r="P3112" i="3"/>
  <c r="O3112" i="3"/>
  <c r="P3111" i="3"/>
  <c r="O3111" i="3"/>
  <c r="P3110" i="3"/>
  <c r="O3110" i="3"/>
  <c r="P3109" i="3"/>
  <c r="O3109" i="3"/>
  <c r="P3108" i="3"/>
  <c r="O3108" i="3"/>
  <c r="P3107" i="3"/>
  <c r="O3107" i="3"/>
  <c r="P3106" i="3"/>
  <c r="O3106" i="3"/>
  <c r="P3105" i="3"/>
  <c r="O3105" i="3"/>
  <c r="P3104" i="3"/>
  <c r="O3104" i="3"/>
  <c r="P3103" i="3"/>
  <c r="O3103" i="3"/>
  <c r="P3102" i="3"/>
  <c r="O3102" i="3"/>
  <c r="P3101" i="3"/>
  <c r="O3101" i="3"/>
  <c r="P3100" i="3"/>
  <c r="O3100" i="3"/>
  <c r="P3099" i="3"/>
  <c r="O3099" i="3"/>
  <c r="P3098" i="3"/>
  <c r="O3098" i="3"/>
  <c r="P3097" i="3"/>
  <c r="O3097" i="3"/>
  <c r="P3096" i="3"/>
  <c r="O3096" i="3"/>
  <c r="P3095" i="3"/>
  <c r="O3095" i="3"/>
  <c r="P3094" i="3"/>
  <c r="O3094" i="3"/>
  <c r="P3093" i="3"/>
  <c r="O3093" i="3"/>
  <c r="P3092" i="3"/>
  <c r="O3092" i="3"/>
  <c r="P3091" i="3"/>
  <c r="O3091" i="3"/>
  <c r="P3090" i="3"/>
  <c r="O3090" i="3"/>
  <c r="P3089" i="3"/>
  <c r="O3089" i="3"/>
  <c r="P3088" i="3"/>
  <c r="O3088" i="3"/>
  <c r="P3087" i="3"/>
  <c r="O3087" i="3"/>
  <c r="P3086" i="3"/>
  <c r="O3086" i="3"/>
  <c r="P3085" i="3"/>
  <c r="O3085" i="3"/>
  <c r="P3084" i="3"/>
  <c r="O3084" i="3"/>
  <c r="P3083" i="3"/>
  <c r="O3083" i="3"/>
  <c r="P3082" i="3"/>
  <c r="O3082" i="3"/>
  <c r="P3081" i="3"/>
  <c r="O3081" i="3"/>
  <c r="P3080" i="3"/>
  <c r="O3080" i="3"/>
  <c r="P3079" i="3"/>
  <c r="O3079" i="3"/>
  <c r="P3078" i="3"/>
  <c r="O3078" i="3"/>
  <c r="P3077" i="3"/>
  <c r="O3077" i="3"/>
  <c r="P3076" i="3"/>
  <c r="O3076" i="3"/>
  <c r="P3075" i="3"/>
  <c r="O3075" i="3"/>
  <c r="P3074" i="3"/>
  <c r="O3074" i="3"/>
  <c r="P3073" i="3"/>
  <c r="O3073" i="3"/>
  <c r="P3072" i="3"/>
  <c r="O3072" i="3"/>
  <c r="P3071" i="3"/>
  <c r="O3071" i="3"/>
  <c r="P3070" i="3"/>
  <c r="O3070" i="3"/>
  <c r="P3069" i="3"/>
  <c r="O3069" i="3"/>
  <c r="P3068" i="3"/>
  <c r="O3068" i="3"/>
  <c r="P3067" i="3"/>
  <c r="O3067" i="3"/>
  <c r="P3066" i="3"/>
  <c r="O3066" i="3"/>
  <c r="P3065" i="3"/>
  <c r="O3065" i="3"/>
  <c r="P3064" i="3"/>
  <c r="O3064" i="3"/>
  <c r="P3063" i="3"/>
  <c r="O3063" i="3"/>
  <c r="P3062" i="3"/>
  <c r="O3062" i="3"/>
  <c r="P3061" i="3"/>
  <c r="O3061" i="3"/>
  <c r="P3060" i="3"/>
  <c r="O3060" i="3"/>
  <c r="P3059" i="3"/>
  <c r="O3059" i="3"/>
  <c r="P3058" i="3"/>
  <c r="O3058" i="3"/>
  <c r="P3057" i="3"/>
  <c r="O3057" i="3"/>
  <c r="P3056" i="3"/>
  <c r="O3056" i="3"/>
  <c r="P3055" i="3"/>
  <c r="O3055" i="3"/>
  <c r="P3054" i="3"/>
  <c r="O3054" i="3"/>
  <c r="P3053" i="3"/>
  <c r="O3053" i="3"/>
  <c r="P3052" i="3"/>
  <c r="O3052" i="3"/>
  <c r="P3051" i="3"/>
  <c r="O3051" i="3"/>
  <c r="P3050" i="3"/>
  <c r="O3050" i="3"/>
  <c r="P3049" i="3"/>
  <c r="O3049" i="3"/>
  <c r="P3048" i="3"/>
  <c r="O3048" i="3"/>
  <c r="P3047" i="3"/>
  <c r="O3047" i="3"/>
  <c r="P3046" i="3"/>
  <c r="O3046" i="3"/>
  <c r="P3045" i="3"/>
  <c r="O3045" i="3"/>
  <c r="P3044" i="3"/>
  <c r="O3044" i="3"/>
  <c r="P3043" i="3"/>
  <c r="O3043" i="3"/>
  <c r="P3042" i="3"/>
  <c r="O3042" i="3"/>
  <c r="P3041" i="3"/>
  <c r="O3041" i="3"/>
  <c r="P3040" i="3"/>
  <c r="O3040" i="3"/>
  <c r="P3039" i="3"/>
  <c r="O3039" i="3"/>
  <c r="P3038" i="3"/>
  <c r="O3038" i="3"/>
  <c r="P3037" i="3"/>
  <c r="O3037" i="3"/>
  <c r="P3036" i="3"/>
  <c r="O3036" i="3"/>
  <c r="P3035" i="3"/>
  <c r="O3035" i="3"/>
  <c r="P3034" i="3"/>
  <c r="O3034" i="3"/>
  <c r="P3033" i="3"/>
  <c r="O3033" i="3"/>
  <c r="P3032" i="3"/>
  <c r="O3032" i="3"/>
  <c r="P3031" i="3"/>
  <c r="O3031" i="3"/>
  <c r="P3030" i="3"/>
  <c r="O3030" i="3"/>
  <c r="P3029" i="3"/>
  <c r="O3029" i="3"/>
  <c r="P3028" i="3"/>
  <c r="O3028" i="3"/>
  <c r="P3027" i="3"/>
  <c r="O3027" i="3"/>
  <c r="P3026" i="3"/>
  <c r="O3026" i="3"/>
  <c r="P3025" i="3"/>
  <c r="O3025" i="3"/>
  <c r="P3024" i="3"/>
  <c r="O3024" i="3"/>
  <c r="P3023" i="3"/>
  <c r="O3023" i="3"/>
  <c r="P3022" i="3"/>
  <c r="O3022" i="3"/>
  <c r="P3021" i="3"/>
  <c r="O3021" i="3"/>
  <c r="P3020" i="3"/>
  <c r="O3020" i="3"/>
  <c r="P3019" i="3"/>
  <c r="O3019" i="3"/>
  <c r="P3018" i="3"/>
  <c r="O3018" i="3"/>
  <c r="P3017" i="3"/>
  <c r="O3017" i="3"/>
  <c r="P3016" i="3"/>
  <c r="O3016" i="3"/>
  <c r="P3015" i="3"/>
  <c r="O3015" i="3"/>
  <c r="P3014" i="3"/>
  <c r="O3014" i="3"/>
  <c r="P3013" i="3"/>
  <c r="O3013" i="3"/>
  <c r="P3012" i="3"/>
  <c r="O3012" i="3"/>
  <c r="P3011" i="3"/>
  <c r="O3011" i="3"/>
  <c r="P3010" i="3"/>
  <c r="O3010" i="3"/>
  <c r="P3009" i="3"/>
  <c r="O3009" i="3"/>
  <c r="P3008" i="3"/>
  <c r="O3008" i="3"/>
  <c r="P3007" i="3"/>
  <c r="O3007" i="3"/>
  <c r="P3006" i="3"/>
  <c r="O3006" i="3"/>
  <c r="P3005" i="3"/>
  <c r="O3005" i="3"/>
  <c r="P3004" i="3"/>
  <c r="O3004" i="3"/>
  <c r="P3003" i="3"/>
  <c r="O3003" i="3"/>
  <c r="P3002" i="3"/>
  <c r="O3002" i="3"/>
  <c r="P3001" i="3"/>
  <c r="O3001" i="3"/>
  <c r="P3000" i="3"/>
  <c r="O3000" i="3"/>
  <c r="P2999" i="3"/>
  <c r="O2999" i="3"/>
  <c r="P2998" i="3"/>
  <c r="O2998" i="3"/>
  <c r="P2997" i="3"/>
  <c r="O2997" i="3"/>
  <c r="P2996" i="3"/>
  <c r="O2996" i="3"/>
  <c r="P2995" i="3"/>
  <c r="O2995" i="3"/>
  <c r="P2994" i="3"/>
  <c r="O2994" i="3"/>
  <c r="P2993" i="3"/>
  <c r="O2993" i="3"/>
  <c r="P2992" i="3"/>
  <c r="O2992" i="3"/>
  <c r="P2991" i="3"/>
  <c r="O2991" i="3"/>
  <c r="P2990" i="3"/>
  <c r="O2990" i="3"/>
  <c r="P2989" i="3"/>
  <c r="O2989" i="3"/>
  <c r="P2988" i="3"/>
  <c r="O2988" i="3"/>
  <c r="P2987" i="3"/>
  <c r="O2987" i="3"/>
  <c r="P2986" i="3"/>
  <c r="O2986" i="3"/>
  <c r="P2985" i="3"/>
  <c r="O2985" i="3"/>
  <c r="P2984" i="3"/>
  <c r="O2984" i="3"/>
  <c r="P2983" i="3"/>
  <c r="O2983" i="3"/>
  <c r="P2982" i="3"/>
  <c r="O2982" i="3"/>
  <c r="P2981" i="3"/>
  <c r="O2981" i="3"/>
  <c r="P2980" i="3"/>
  <c r="O2980" i="3"/>
  <c r="P2979" i="3"/>
  <c r="O2979" i="3"/>
  <c r="P2978" i="3"/>
  <c r="O2978" i="3"/>
  <c r="P2977" i="3"/>
  <c r="O2977" i="3"/>
  <c r="P2976" i="3"/>
  <c r="O2976" i="3"/>
  <c r="P2975" i="3"/>
  <c r="O2975" i="3"/>
  <c r="P2974" i="3"/>
  <c r="O2974" i="3"/>
  <c r="P2973" i="3"/>
  <c r="O2973" i="3"/>
  <c r="P2972" i="3"/>
  <c r="O2972" i="3"/>
  <c r="P2971" i="3"/>
  <c r="O2971" i="3"/>
  <c r="P2970" i="3"/>
  <c r="O2970" i="3"/>
  <c r="P2969" i="3"/>
  <c r="O2969" i="3"/>
  <c r="P2968" i="3"/>
  <c r="O2968" i="3"/>
  <c r="P2967" i="3"/>
  <c r="O2967" i="3"/>
  <c r="P2966" i="3"/>
  <c r="O2966" i="3"/>
  <c r="P2965" i="3"/>
  <c r="O2965" i="3"/>
  <c r="P2964" i="3"/>
  <c r="O2964" i="3"/>
  <c r="P2963" i="3"/>
  <c r="O2963" i="3"/>
  <c r="P2962" i="3"/>
  <c r="O2962" i="3"/>
  <c r="P2961" i="3"/>
  <c r="O2961" i="3"/>
  <c r="P2960" i="3"/>
  <c r="O2960" i="3"/>
  <c r="P2959" i="3"/>
  <c r="O2959" i="3"/>
  <c r="P2958" i="3"/>
  <c r="O2958" i="3"/>
  <c r="P2957" i="3"/>
  <c r="O2957" i="3"/>
  <c r="P2956" i="3"/>
  <c r="O2956" i="3"/>
  <c r="P2955" i="3"/>
  <c r="O2955" i="3"/>
  <c r="P2954" i="3"/>
  <c r="O2954" i="3"/>
  <c r="P2953" i="3"/>
  <c r="O2953" i="3"/>
  <c r="P2952" i="3"/>
  <c r="O2952" i="3"/>
  <c r="P2951" i="3"/>
  <c r="O2951" i="3"/>
  <c r="P2950" i="3"/>
  <c r="O2950" i="3"/>
  <c r="P2949" i="3"/>
  <c r="O2949" i="3"/>
  <c r="P2948" i="3"/>
  <c r="O2948" i="3"/>
  <c r="P2947" i="3"/>
  <c r="O2947" i="3"/>
  <c r="P2946" i="3"/>
  <c r="O2946" i="3"/>
  <c r="P2945" i="3"/>
  <c r="O2945" i="3"/>
  <c r="P2944" i="3"/>
  <c r="O2944" i="3"/>
  <c r="P2943" i="3"/>
  <c r="O2943" i="3"/>
  <c r="P2942" i="3"/>
  <c r="O2942" i="3"/>
  <c r="P2941" i="3"/>
  <c r="O2941" i="3"/>
  <c r="P2940" i="3"/>
  <c r="O2940" i="3"/>
  <c r="P2939" i="3"/>
  <c r="O2939" i="3"/>
  <c r="P2938" i="3"/>
  <c r="O2938" i="3"/>
  <c r="P2937" i="3"/>
  <c r="O2937" i="3"/>
  <c r="P2936" i="3"/>
  <c r="O2936" i="3"/>
  <c r="P2935" i="3"/>
  <c r="O2935" i="3"/>
  <c r="P2934" i="3"/>
  <c r="O2934" i="3"/>
  <c r="P2933" i="3"/>
  <c r="O2933" i="3"/>
  <c r="P2932" i="3"/>
  <c r="O2932" i="3"/>
  <c r="P2931" i="3"/>
  <c r="O2931" i="3"/>
  <c r="P2930" i="3"/>
  <c r="O2930" i="3"/>
  <c r="P2929" i="3"/>
  <c r="O2929" i="3"/>
  <c r="P2928" i="3"/>
  <c r="O2928" i="3"/>
  <c r="P2927" i="3"/>
  <c r="O2927" i="3"/>
  <c r="P2926" i="3"/>
  <c r="O2926" i="3"/>
  <c r="P2925" i="3"/>
  <c r="O2925" i="3"/>
  <c r="P2924" i="3"/>
  <c r="O2924" i="3"/>
  <c r="P2923" i="3"/>
  <c r="O2923" i="3"/>
  <c r="P2922" i="3"/>
  <c r="O2922" i="3"/>
  <c r="P2921" i="3"/>
  <c r="O2921" i="3"/>
  <c r="P2920" i="3"/>
  <c r="O2920" i="3"/>
  <c r="P2919" i="3"/>
  <c r="O2919" i="3"/>
  <c r="P2918" i="3"/>
  <c r="O2918" i="3"/>
  <c r="P2917" i="3"/>
  <c r="O2917" i="3"/>
  <c r="P2916" i="3"/>
  <c r="O2916" i="3"/>
  <c r="P2915" i="3"/>
  <c r="O2915" i="3"/>
  <c r="P2914" i="3"/>
  <c r="O2914" i="3"/>
  <c r="P2913" i="3"/>
  <c r="O2913" i="3"/>
  <c r="P2912" i="3"/>
  <c r="O2912" i="3"/>
  <c r="P2911" i="3"/>
  <c r="O2911" i="3"/>
  <c r="P2910" i="3"/>
  <c r="O2910" i="3"/>
  <c r="P2909" i="3"/>
  <c r="O2909" i="3"/>
  <c r="P2908" i="3"/>
  <c r="O2908" i="3"/>
  <c r="P2907" i="3"/>
  <c r="O2907" i="3"/>
  <c r="P2906" i="3"/>
  <c r="O2906" i="3"/>
  <c r="P2905" i="3"/>
  <c r="O2905" i="3"/>
  <c r="P2904" i="3"/>
  <c r="O2904" i="3"/>
  <c r="P2903" i="3"/>
  <c r="O2903" i="3"/>
  <c r="P2902" i="3"/>
  <c r="O2902" i="3"/>
  <c r="P2901" i="3"/>
  <c r="O2901" i="3"/>
  <c r="P2900" i="3"/>
  <c r="O2900" i="3"/>
  <c r="P2899" i="3"/>
  <c r="O2899" i="3"/>
  <c r="P2898" i="3"/>
  <c r="O2898" i="3"/>
  <c r="P2897" i="3"/>
  <c r="O2897" i="3"/>
  <c r="P2896" i="3"/>
  <c r="O2896" i="3"/>
  <c r="P2895" i="3"/>
  <c r="O2895" i="3"/>
  <c r="P2894" i="3"/>
  <c r="O2894" i="3"/>
  <c r="P2893" i="3"/>
  <c r="O2893" i="3"/>
  <c r="P2892" i="3"/>
  <c r="O2892" i="3"/>
  <c r="P2891" i="3"/>
  <c r="O2891" i="3"/>
  <c r="P2890" i="3"/>
  <c r="O2890" i="3"/>
  <c r="P2889" i="3"/>
  <c r="O2889" i="3"/>
  <c r="P2888" i="3"/>
  <c r="O2888" i="3"/>
  <c r="P2887" i="3"/>
  <c r="O2887" i="3"/>
  <c r="P2886" i="3"/>
  <c r="O2886" i="3"/>
  <c r="P2885" i="3"/>
  <c r="O2885" i="3"/>
  <c r="P2884" i="3"/>
  <c r="O2884" i="3"/>
  <c r="P2883" i="3"/>
  <c r="O2883" i="3"/>
  <c r="P2882" i="3"/>
  <c r="O2882" i="3"/>
  <c r="P2881" i="3"/>
  <c r="O2881" i="3"/>
  <c r="P2880" i="3"/>
  <c r="O2880" i="3"/>
  <c r="P2879" i="3"/>
  <c r="O2879" i="3"/>
  <c r="P2878" i="3"/>
  <c r="O2878" i="3"/>
  <c r="P2877" i="3"/>
  <c r="O2877" i="3"/>
  <c r="P2876" i="3"/>
  <c r="O2876" i="3"/>
  <c r="P2875" i="3"/>
  <c r="O2875" i="3"/>
  <c r="P2874" i="3"/>
  <c r="O2874" i="3"/>
  <c r="P2873" i="3"/>
  <c r="O2873" i="3"/>
  <c r="P2872" i="3"/>
  <c r="O2872" i="3"/>
  <c r="P2871" i="3"/>
  <c r="O2871" i="3"/>
  <c r="P2870" i="3"/>
  <c r="O2870" i="3"/>
  <c r="P2869" i="3"/>
  <c r="O2869" i="3"/>
  <c r="P2868" i="3"/>
  <c r="O2868" i="3"/>
  <c r="P2867" i="3"/>
  <c r="O2867" i="3"/>
  <c r="P2866" i="3"/>
  <c r="O2866" i="3"/>
  <c r="P2865" i="3"/>
  <c r="O2865" i="3"/>
  <c r="P2864" i="3"/>
  <c r="O2864" i="3"/>
  <c r="P2863" i="3"/>
  <c r="O2863" i="3"/>
  <c r="P2862" i="3"/>
  <c r="O2862" i="3"/>
  <c r="P2861" i="3"/>
  <c r="O2861" i="3"/>
  <c r="P2860" i="3"/>
  <c r="O2860" i="3"/>
  <c r="P2859" i="3"/>
  <c r="O2859" i="3"/>
  <c r="P2858" i="3"/>
  <c r="O2858" i="3"/>
  <c r="P2857" i="3"/>
  <c r="O2857" i="3"/>
  <c r="P2856" i="3"/>
  <c r="O2856" i="3"/>
  <c r="P2855" i="3"/>
  <c r="O2855" i="3"/>
  <c r="P2854" i="3"/>
  <c r="O2854" i="3"/>
  <c r="P2853" i="3"/>
  <c r="O2853" i="3"/>
  <c r="P2852" i="3"/>
  <c r="O2852" i="3"/>
  <c r="P2851" i="3"/>
  <c r="O2851" i="3"/>
  <c r="P2850" i="3"/>
  <c r="O2850" i="3"/>
  <c r="P2849" i="3"/>
  <c r="O2849" i="3"/>
  <c r="P2848" i="3"/>
  <c r="O2848" i="3"/>
  <c r="P2847" i="3"/>
  <c r="O2847" i="3"/>
  <c r="P2846" i="3"/>
  <c r="O2846" i="3"/>
  <c r="P2845" i="3"/>
  <c r="O2845" i="3"/>
  <c r="P2844" i="3"/>
  <c r="O2844" i="3"/>
  <c r="P2843" i="3"/>
  <c r="O2843" i="3"/>
  <c r="P2842" i="3"/>
  <c r="O2842" i="3"/>
  <c r="P2841" i="3"/>
  <c r="O2841" i="3"/>
  <c r="P2840" i="3"/>
  <c r="O2840" i="3"/>
  <c r="P2839" i="3"/>
  <c r="O2839" i="3"/>
  <c r="P2838" i="3"/>
  <c r="O2838" i="3"/>
  <c r="P2837" i="3"/>
  <c r="O2837" i="3"/>
  <c r="P2836" i="3"/>
  <c r="O2836" i="3"/>
  <c r="P2835" i="3"/>
  <c r="O2835" i="3"/>
  <c r="P2834" i="3"/>
  <c r="O2834" i="3"/>
  <c r="P2833" i="3"/>
  <c r="O2833" i="3"/>
  <c r="P2832" i="3"/>
  <c r="O2832" i="3"/>
  <c r="P2831" i="3"/>
  <c r="O2831" i="3"/>
  <c r="P2830" i="3"/>
  <c r="O2830" i="3"/>
  <c r="P2829" i="3"/>
  <c r="O2829" i="3"/>
  <c r="P2828" i="3"/>
  <c r="O2828" i="3"/>
  <c r="P2827" i="3"/>
  <c r="O2827" i="3"/>
  <c r="P2826" i="3"/>
  <c r="O2826" i="3"/>
  <c r="P2825" i="3"/>
  <c r="O2825" i="3"/>
  <c r="P2824" i="3"/>
  <c r="O2824" i="3"/>
  <c r="P2823" i="3"/>
  <c r="O2823" i="3"/>
  <c r="P2822" i="3"/>
  <c r="O2822" i="3"/>
  <c r="P2821" i="3"/>
  <c r="O2821" i="3"/>
  <c r="P2820" i="3"/>
  <c r="O2820" i="3"/>
  <c r="P2819" i="3"/>
  <c r="O2819" i="3"/>
  <c r="P2818" i="3"/>
  <c r="O2818" i="3"/>
  <c r="P2817" i="3"/>
  <c r="O2817" i="3"/>
  <c r="P2816" i="3"/>
  <c r="O2816" i="3"/>
  <c r="P2815" i="3"/>
  <c r="O2815" i="3"/>
  <c r="P2814" i="3"/>
  <c r="O2814" i="3"/>
  <c r="P2813" i="3"/>
  <c r="O2813" i="3"/>
  <c r="P2812" i="3"/>
  <c r="O2812" i="3"/>
  <c r="P2811" i="3"/>
  <c r="O2811" i="3"/>
  <c r="P2810" i="3"/>
  <c r="O2810" i="3"/>
  <c r="P2809" i="3"/>
  <c r="O2809" i="3"/>
  <c r="P2808" i="3"/>
  <c r="O2808" i="3"/>
  <c r="P2807" i="3"/>
  <c r="O2807" i="3"/>
  <c r="P2806" i="3"/>
  <c r="O2806" i="3"/>
  <c r="P2805" i="3"/>
  <c r="O2805" i="3"/>
  <c r="P2804" i="3"/>
  <c r="O2804" i="3"/>
  <c r="P2803" i="3"/>
  <c r="O2803" i="3"/>
  <c r="P2802" i="3"/>
  <c r="O2802" i="3"/>
  <c r="P2801" i="3"/>
  <c r="O2801" i="3"/>
  <c r="P2800" i="3"/>
  <c r="O2800" i="3"/>
  <c r="P2799" i="3"/>
  <c r="O2799" i="3"/>
  <c r="P2798" i="3"/>
  <c r="O2798" i="3"/>
  <c r="P2797" i="3"/>
  <c r="O2797" i="3"/>
  <c r="P2796" i="3"/>
  <c r="O2796" i="3"/>
  <c r="P2795" i="3"/>
  <c r="O2795" i="3"/>
  <c r="P2794" i="3"/>
  <c r="O2794" i="3"/>
  <c r="P2793" i="3"/>
  <c r="O2793" i="3"/>
  <c r="P2792" i="3"/>
  <c r="O2792" i="3"/>
  <c r="P2791" i="3"/>
  <c r="O2791" i="3"/>
  <c r="P2790" i="3"/>
  <c r="O2790" i="3"/>
  <c r="P2789" i="3"/>
  <c r="O2789" i="3"/>
  <c r="P2788" i="3"/>
  <c r="O2788" i="3"/>
  <c r="P2787" i="3"/>
  <c r="O2787" i="3"/>
  <c r="P2786" i="3"/>
  <c r="O2786" i="3"/>
  <c r="P2785" i="3"/>
  <c r="O2785" i="3"/>
  <c r="P2784" i="3"/>
  <c r="O2784" i="3"/>
  <c r="P2783" i="3"/>
  <c r="O2783" i="3"/>
  <c r="P2782" i="3"/>
  <c r="O2782" i="3"/>
  <c r="P2781" i="3"/>
  <c r="O2781" i="3"/>
  <c r="P2780" i="3"/>
  <c r="O2780" i="3"/>
  <c r="P2779" i="3"/>
  <c r="O2779" i="3"/>
  <c r="P2778" i="3"/>
  <c r="O2778" i="3"/>
  <c r="P2777" i="3"/>
  <c r="O2777" i="3"/>
  <c r="P2776" i="3"/>
  <c r="O2776" i="3"/>
  <c r="P2775" i="3"/>
  <c r="O2775" i="3"/>
  <c r="P2774" i="3"/>
  <c r="O2774" i="3"/>
  <c r="P2773" i="3"/>
  <c r="O2773" i="3"/>
  <c r="P2772" i="3"/>
  <c r="O2772" i="3"/>
  <c r="P2771" i="3"/>
  <c r="O2771" i="3"/>
  <c r="P2770" i="3"/>
  <c r="O2770" i="3"/>
  <c r="P2769" i="3"/>
  <c r="O2769" i="3"/>
  <c r="P2768" i="3"/>
  <c r="O2768" i="3"/>
  <c r="P2767" i="3"/>
  <c r="O2767" i="3"/>
  <c r="P2766" i="3"/>
  <c r="O2766" i="3"/>
  <c r="P2765" i="3"/>
  <c r="O2765" i="3"/>
  <c r="P2764" i="3"/>
  <c r="O2764" i="3"/>
  <c r="P2763" i="3"/>
  <c r="O2763" i="3"/>
  <c r="P2762" i="3"/>
  <c r="O2762" i="3"/>
  <c r="P2761" i="3"/>
  <c r="O2761" i="3"/>
  <c r="P2760" i="3"/>
  <c r="O2760" i="3"/>
  <c r="P2759" i="3"/>
  <c r="O2759" i="3"/>
  <c r="P2758" i="3"/>
  <c r="O2758" i="3"/>
  <c r="P2757" i="3"/>
  <c r="O2757" i="3"/>
  <c r="P2756" i="3"/>
  <c r="O2756" i="3"/>
  <c r="P2755" i="3"/>
  <c r="O2755" i="3"/>
  <c r="P2754" i="3"/>
  <c r="O2754" i="3"/>
  <c r="P2753" i="3"/>
  <c r="O2753" i="3"/>
  <c r="P2752" i="3"/>
  <c r="O2752" i="3"/>
  <c r="P2751" i="3"/>
  <c r="O2751" i="3"/>
  <c r="P2750" i="3"/>
  <c r="O2750" i="3"/>
  <c r="P2749" i="3"/>
  <c r="O2749" i="3"/>
  <c r="P2748" i="3"/>
  <c r="O2748" i="3"/>
  <c r="P2747" i="3"/>
  <c r="O2747" i="3"/>
  <c r="P2746" i="3"/>
  <c r="O2746" i="3"/>
  <c r="P2745" i="3"/>
  <c r="O2745" i="3"/>
  <c r="P2744" i="3"/>
  <c r="O2744" i="3"/>
  <c r="P2743" i="3"/>
  <c r="O2743" i="3"/>
  <c r="P2742" i="3"/>
  <c r="O2742" i="3"/>
  <c r="P2741" i="3"/>
  <c r="O2741" i="3"/>
  <c r="P2740" i="3"/>
  <c r="O2740" i="3"/>
  <c r="P2739" i="3"/>
  <c r="O2739" i="3"/>
  <c r="P2738" i="3"/>
  <c r="O2738" i="3"/>
  <c r="P2737" i="3"/>
  <c r="O2737" i="3"/>
  <c r="P2736" i="3"/>
  <c r="O2736" i="3"/>
  <c r="P2735" i="3"/>
  <c r="O2735" i="3"/>
  <c r="P2734" i="3"/>
  <c r="O2734" i="3"/>
  <c r="P2733" i="3"/>
  <c r="O2733" i="3"/>
  <c r="P2732" i="3"/>
  <c r="O2732" i="3"/>
  <c r="P2731" i="3"/>
  <c r="O2731" i="3"/>
  <c r="P2730" i="3"/>
  <c r="O2730" i="3"/>
  <c r="P2729" i="3"/>
  <c r="O2729" i="3"/>
  <c r="P2728" i="3"/>
  <c r="O2728" i="3"/>
  <c r="P2727" i="3"/>
  <c r="O2727" i="3"/>
  <c r="P2726" i="3"/>
  <c r="O2726" i="3"/>
  <c r="P2725" i="3"/>
  <c r="O2725" i="3"/>
  <c r="P2724" i="3"/>
  <c r="O2724" i="3"/>
  <c r="P2723" i="3"/>
  <c r="O2723" i="3"/>
  <c r="P2722" i="3"/>
  <c r="O2722" i="3"/>
  <c r="P2721" i="3"/>
  <c r="O2721" i="3"/>
  <c r="P2720" i="3"/>
  <c r="O2720" i="3"/>
  <c r="P2719" i="3"/>
  <c r="O2719" i="3"/>
  <c r="P2718" i="3"/>
  <c r="O2718" i="3"/>
  <c r="P2717" i="3"/>
  <c r="O2717" i="3"/>
  <c r="P2716" i="3"/>
  <c r="O2716" i="3"/>
  <c r="P2715" i="3"/>
  <c r="O2715" i="3"/>
  <c r="P2714" i="3"/>
  <c r="O2714" i="3"/>
  <c r="P2713" i="3"/>
  <c r="O2713" i="3"/>
  <c r="P2712" i="3"/>
  <c r="O2712" i="3"/>
  <c r="P2711" i="3"/>
  <c r="O2711" i="3"/>
  <c r="P2710" i="3"/>
  <c r="O2710" i="3"/>
  <c r="P2709" i="3"/>
  <c r="O2709" i="3"/>
  <c r="P2708" i="3"/>
  <c r="O2708" i="3"/>
  <c r="P2707" i="3"/>
  <c r="O2707" i="3"/>
  <c r="P2706" i="3"/>
  <c r="O2706" i="3"/>
  <c r="P2705" i="3"/>
  <c r="O2705" i="3"/>
  <c r="P2704" i="3"/>
  <c r="O2704" i="3"/>
  <c r="P2703" i="3"/>
  <c r="O2703" i="3"/>
  <c r="P2702" i="3"/>
  <c r="O2702" i="3"/>
  <c r="P2701" i="3"/>
  <c r="O2701" i="3"/>
  <c r="P2700" i="3"/>
  <c r="O2700" i="3"/>
  <c r="P2699" i="3"/>
  <c r="O2699" i="3"/>
  <c r="P2698" i="3"/>
  <c r="O2698" i="3"/>
  <c r="P2697" i="3"/>
  <c r="O2697" i="3"/>
  <c r="P2696" i="3"/>
  <c r="O2696" i="3"/>
  <c r="P2695" i="3"/>
  <c r="O2695" i="3"/>
  <c r="P2694" i="3"/>
  <c r="O2694" i="3"/>
  <c r="P2693" i="3"/>
  <c r="O2693" i="3"/>
  <c r="P2692" i="3"/>
  <c r="O2692" i="3"/>
  <c r="P2691" i="3"/>
  <c r="O2691" i="3"/>
  <c r="P2690" i="3"/>
  <c r="O2690" i="3"/>
  <c r="P2689" i="3"/>
  <c r="O2689" i="3"/>
  <c r="P2688" i="3"/>
  <c r="O2688" i="3"/>
  <c r="P2687" i="3"/>
  <c r="O2687" i="3"/>
  <c r="P2686" i="3"/>
  <c r="O2686" i="3"/>
  <c r="P2685" i="3"/>
  <c r="O2685" i="3"/>
  <c r="P2684" i="3"/>
  <c r="O2684" i="3"/>
  <c r="P2683" i="3"/>
  <c r="O2683" i="3"/>
  <c r="P2682" i="3"/>
  <c r="O2682" i="3"/>
  <c r="P2681" i="3"/>
  <c r="O2681" i="3"/>
  <c r="P2680" i="3"/>
  <c r="O2680" i="3"/>
  <c r="P2679" i="3"/>
  <c r="O2679" i="3"/>
  <c r="P2678" i="3"/>
  <c r="O2678" i="3"/>
  <c r="P2677" i="3"/>
  <c r="O2677" i="3"/>
  <c r="P2676" i="3"/>
  <c r="O2676" i="3"/>
  <c r="P2675" i="3"/>
  <c r="O2675" i="3"/>
  <c r="P2674" i="3"/>
  <c r="O2674" i="3"/>
  <c r="P2673" i="3"/>
  <c r="O2673" i="3"/>
  <c r="P2672" i="3"/>
  <c r="O2672" i="3"/>
  <c r="P2671" i="3"/>
  <c r="O2671" i="3"/>
  <c r="P2670" i="3"/>
  <c r="O2670" i="3"/>
  <c r="P2669" i="3"/>
  <c r="O2669" i="3"/>
  <c r="P2668" i="3"/>
  <c r="O2668" i="3"/>
  <c r="P2667" i="3"/>
  <c r="O2667" i="3"/>
  <c r="P2666" i="3"/>
  <c r="O2666" i="3"/>
  <c r="P2665" i="3"/>
  <c r="O2665" i="3"/>
  <c r="P2664" i="3"/>
  <c r="O2664" i="3"/>
  <c r="P2663" i="3"/>
  <c r="O2663" i="3"/>
  <c r="P2662" i="3"/>
  <c r="O2662" i="3"/>
  <c r="P2661" i="3"/>
  <c r="O2661" i="3"/>
  <c r="P2660" i="3"/>
  <c r="O2660" i="3"/>
  <c r="P2659" i="3"/>
  <c r="O2659" i="3"/>
  <c r="P2658" i="3"/>
  <c r="O2658" i="3"/>
  <c r="P2657" i="3"/>
  <c r="O2657" i="3"/>
  <c r="P2656" i="3"/>
  <c r="O2656" i="3"/>
  <c r="P2655" i="3"/>
  <c r="O2655" i="3"/>
  <c r="P2654" i="3"/>
  <c r="O2654" i="3"/>
  <c r="P2653" i="3"/>
  <c r="O2653" i="3"/>
  <c r="P2652" i="3"/>
  <c r="O2652" i="3"/>
  <c r="P2651" i="3"/>
  <c r="O2651" i="3"/>
  <c r="P2650" i="3"/>
  <c r="O2650" i="3"/>
  <c r="P2649" i="3"/>
  <c r="O2649" i="3"/>
  <c r="P2648" i="3"/>
  <c r="O2648" i="3"/>
  <c r="P2647" i="3"/>
  <c r="O2647" i="3"/>
  <c r="P2646" i="3"/>
  <c r="O2646" i="3"/>
  <c r="P2645" i="3"/>
  <c r="O2645" i="3"/>
  <c r="P2644" i="3"/>
  <c r="O2644" i="3"/>
  <c r="P2643" i="3"/>
  <c r="O2643" i="3"/>
  <c r="P2642" i="3"/>
  <c r="O2642" i="3"/>
  <c r="P2641" i="3"/>
  <c r="O2641" i="3"/>
  <c r="P2640" i="3"/>
  <c r="O2640" i="3"/>
  <c r="P2639" i="3"/>
  <c r="O2639" i="3"/>
  <c r="P2638" i="3"/>
  <c r="O2638" i="3"/>
  <c r="P2637" i="3"/>
  <c r="O2637" i="3"/>
  <c r="P2636" i="3"/>
  <c r="O2636" i="3"/>
  <c r="P2635" i="3"/>
  <c r="O2635" i="3"/>
  <c r="P2634" i="3"/>
  <c r="O2634" i="3"/>
  <c r="P2633" i="3"/>
  <c r="O2633" i="3"/>
  <c r="P2632" i="3"/>
  <c r="O2632" i="3"/>
  <c r="P2631" i="3"/>
  <c r="O2631" i="3"/>
  <c r="P2630" i="3"/>
  <c r="O2630" i="3"/>
  <c r="P2629" i="3"/>
  <c r="O2629" i="3"/>
  <c r="P2628" i="3"/>
  <c r="O2628" i="3"/>
  <c r="P2627" i="3"/>
  <c r="O2627" i="3"/>
  <c r="P2626" i="3"/>
  <c r="O2626" i="3"/>
  <c r="P2625" i="3"/>
  <c r="O2625" i="3"/>
  <c r="P2624" i="3"/>
  <c r="O2624" i="3"/>
  <c r="P2623" i="3"/>
  <c r="O2623" i="3"/>
  <c r="P2622" i="3"/>
  <c r="O2622" i="3"/>
  <c r="P2621" i="3"/>
  <c r="O2621" i="3"/>
  <c r="P2620" i="3"/>
  <c r="O2620" i="3"/>
  <c r="P2619" i="3"/>
  <c r="O2619" i="3"/>
  <c r="P2618" i="3"/>
  <c r="O2618" i="3"/>
  <c r="P2617" i="3"/>
  <c r="O2617" i="3"/>
  <c r="P2616" i="3"/>
  <c r="O2616" i="3"/>
  <c r="P2615" i="3"/>
  <c r="O2615" i="3"/>
  <c r="P2614" i="3"/>
  <c r="O2614" i="3"/>
  <c r="P2613" i="3"/>
  <c r="O2613" i="3"/>
  <c r="P2612" i="3"/>
  <c r="O2612" i="3"/>
  <c r="P2611" i="3"/>
  <c r="O2611" i="3"/>
  <c r="P2610" i="3"/>
  <c r="O2610" i="3"/>
  <c r="P2609" i="3"/>
  <c r="O2609" i="3"/>
  <c r="P2608" i="3"/>
  <c r="O2608" i="3"/>
  <c r="P2607" i="3"/>
  <c r="O2607" i="3"/>
  <c r="P2606" i="3"/>
  <c r="O2606" i="3"/>
  <c r="P2605" i="3"/>
  <c r="O2605" i="3"/>
  <c r="P2604" i="3"/>
  <c r="O2604" i="3"/>
  <c r="P2603" i="3"/>
  <c r="O2603" i="3"/>
  <c r="P2602" i="3"/>
  <c r="O2602" i="3"/>
  <c r="P2601" i="3"/>
  <c r="O2601" i="3"/>
  <c r="P2600" i="3"/>
  <c r="O2600" i="3"/>
  <c r="P2599" i="3"/>
  <c r="O2599" i="3"/>
  <c r="P2598" i="3"/>
  <c r="O2598" i="3"/>
  <c r="P2597" i="3"/>
  <c r="O2597" i="3"/>
  <c r="P2596" i="3"/>
  <c r="O2596" i="3"/>
  <c r="P2595" i="3"/>
  <c r="O2595" i="3"/>
  <c r="P2594" i="3"/>
  <c r="O2594" i="3"/>
  <c r="P2593" i="3"/>
  <c r="O2593" i="3"/>
  <c r="P2592" i="3"/>
  <c r="O2592" i="3"/>
  <c r="P2591" i="3"/>
  <c r="O2591" i="3"/>
  <c r="P2590" i="3"/>
  <c r="O2590" i="3"/>
  <c r="P2589" i="3"/>
  <c r="O2589" i="3"/>
  <c r="P2588" i="3"/>
  <c r="O2588" i="3"/>
  <c r="P2587" i="3"/>
  <c r="O2587" i="3"/>
  <c r="P2586" i="3"/>
  <c r="O2586" i="3"/>
  <c r="P2585" i="3"/>
  <c r="O2585" i="3"/>
  <c r="P2584" i="3"/>
  <c r="O2584" i="3"/>
  <c r="P2583" i="3"/>
  <c r="O2583" i="3"/>
  <c r="P2582" i="3"/>
  <c r="O2582" i="3"/>
  <c r="P2581" i="3"/>
  <c r="O2581" i="3"/>
  <c r="P2580" i="3"/>
  <c r="O2580" i="3"/>
  <c r="P2579" i="3"/>
  <c r="O2579" i="3"/>
  <c r="P2578" i="3"/>
  <c r="O2578" i="3"/>
  <c r="P2577" i="3"/>
  <c r="O2577" i="3"/>
  <c r="P2576" i="3"/>
  <c r="O2576" i="3"/>
  <c r="P2575" i="3"/>
  <c r="O2575" i="3"/>
  <c r="P2574" i="3"/>
  <c r="O2574" i="3"/>
  <c r="P2573" i="3"/>
  <c r="O2573" i="3"/>
  <c r="P2572" i="3"/>
  <c r="O2572" i="3"/>
  <c r="P2571" i="3"/>
  <c r="O2571" i="3"/>
  <c r="P2570" i="3"/>
  <c r="O2570" i="3"/>
  <c r="P2569" i="3"/>
  <c r="O2569" i="3"/>
  <c r="P2568" i="3"/>
  <c r="O2568" i="3"/>
  <c r="P2567" i="3"/>
  <c r="O2567" i="3"/>
  <c r="P2566" i="3"/>
  <c r="O2566" i="3"/>
  <c r="P2565" i="3"/>
  <c r="O2565" i="3"/>
  <c r="P2564" i="3"/>
  <c r="O2564" i="3"/>
  <c r="P2563" i="3"/>
  <c r="O2563" i="3"/>
  <c r="P2562" i="3"/>
  <c r="O2562" i="3"/>
  <c r="P2561" i="3"/>
  <c r="O2561" i="3"/>
  <c r="P2560" i="3"/>
  <c r="O2560" i="3"/>
  <c r="P2559" i="3"/>
  <c r="O2559" i="3"/>
  <c r="P2558" i="3"/>
  <c r="O2558" i="3"/>
  <c r="P2557" i="3"/>
  <c r="O2557" i="3"/>
  <c r="P2556" i="3"/>
  <c r="O2556" i="3"/>
  <c r="P2555" i="3"/>
  <c r="O2555" i="3"/>
  <c r="P2554" i="3"/>
  <c r="O2554" i="3"/>
  <c r="P2553" i="3"/>
  <c r="O2553" i="3"/>
  <c r="P2552" i="3"/>
  <c r="O2552" i="3"/>
  <c r="P2551" i="3"/>
  <c r="O2551" i="3"/>
  <c r="P2550" i="3"/>
  <c r="O2550" i="3"/>
  <c r="P2549" i="3"/>
  <c r="O2549" i="3"/>
  <c r="P2548" i="3"/>
  <c r="O2548" i="3"/>
  <c r="P2547" i="3"/>
  <c r="O2547" i="3"/>
  <c r="P2546" i="3"/>
  <c r="O2546" i="3"/>
  <c r="P2545" i="3"/>
  <c r="O2545" i="3"/>
  <c r="P2544" i="3"/>
  <c r="O2544" i="3"/>
  <c r="P2543" i="3"/>
  <c r="O2543" i="3"/>
  <c r="P2542" i="3"/>
  <c r="O2542" i="3"/>
  <c r="P2541" i="3"/>
  <c r="O2541" i="3"/>
  <c r="P2540" i="3"/>
  <c r="O2540" i="3"/>
  <c r="P2539" i="3"/>
  <c r="O2539" i="3"/>
  <c r="P2538" i="3"/>
  <c r="O2538" i="3"/>
  <c r="P2537" i="3"/>
  <c r="O2537" i="3"/>
  <c r="P2536" i="3"/>
  <c r="O2536" i="3"/>
  <c r="P2535" i="3"/>
  <c r="O2535" i="3"/>
  <c r="P2534" i="3"/>
  <c r="O2534" i="3"/>
  <c r="P2533" i="3"/>
  <c r="O2533" i="3"/>
  <c r="P2532" i="3"/>
  <c r="O2532" i="3"/>
  <c r="P2531" i="3"/>
  <c r="O2531" i="3"/>
  <c r="P2530" i="3"/>
  <c r="O2530" i="3"/>
  <c r="P2529" i="3"/>
  <c r="O2529" i="3"/>
  <c r="P2528" i="3"/>
  <c r="O2528" i="3"/>
  <c r="P2527" i="3"/>
  <c r="O2527" i="3"/>
  <c r="P2526" i="3"/>
  <c r="O2526" i="3"/>
  <c r="P2525" i="3"/>
  <c r="O2525" i="3"/>
  <c r="P2524" i="3"/>
  <c r="O2524" i="3"/>
  <c r="P2523" i="3"/>
  <c r="O2523" i="3"/>
  <c r="P2522" i="3"/>
  <c r="O2522" i="3"/>
  <c r="P2521" i="3"/>
  <c r="O2521" i="3"/>
  <c r="P2520" i="3"/>
  <c r="O2520" i="3"/>
  <c r="P2519" i="3"/>
  <c r="O2519" i="3"/>
  <c r="P2518" i="3"/>
  <c r="O2518" i="3"/>
  <c r="P2517" i="3"/>
  <c r="O2517" i="3"/>
  <c r="P2516" i="3"/>
  <c r="O2516" i="3"/>
  <c r="P2515" i="3"/>
  <c r="O2515" i="3"/>
  <c r="P2514" i="3"/>
  <c r="O2514" i="3"/>
  <c r="P2513" i="3"/>
  <c r="O2513" i="3"/>
  <c r="P2512" i="3"/>
  <c r="O2512" i="3"/>
  <c r="P2511" i="3"/>
  <c r="O2511" i="3"/>
  <c r="P2510" i="3"/>
  <c r="O2510" i="3"/>
  <c r="P2509" i="3"/>
  <c r="O2509" i="3"/>
  <c r="P2508" i="3"/>
  <c r="O2508" i="3"/>
  <c r="P2507" i="3"/>
  <c r="O2507" i="3"/>
  <c r="P2506" i="3"/>
  <c r="O2506" i="3"/>
  <c r="P2505" i="3"/>
  <c r="O2505" i="3"/>
  <c r="P2504" i="3"/>
  <c r="O2504" i="3"/>
  <c r="P2503" i="3"/>
  <c r="O2503" i="3"/>
  <c r="P2502" i="3"/>
  <c r="O2502" i="3"/>
  <c r="P2501" i="3"/>
  <c r="O2501" i="3"/>
  <c r="P2500" i="3"/>
  <c r="O2500" i="3"/>
  <c r="P2499" i="3"/>
  <c r="O2499" i="3"/>
  <c r="P2498" i="3"/>
  <c r="O2498" i="3"/>
  <c r="P2497" i="3"/>
  <c r="O2497" i="3"/>
  <c r="P2496" i="3"/>
  <c r="O2496" i="3"/>
  <c r="P2495" i="3"/>
  <c r="O2495" i="3"/>
  <c r="P2494" i="3"/>
  <c r="O2494" i="3"/>
  <c r="P2493" i="3"/>
  <c r="O2493" i="3"/>
  <c r="P2492" i="3"/>
  <c r="O2492" i="3"/>
  <c r="P2491" i="3"/>
  <c r="O2491" i="3"/>
  <c r="P2490" i="3"/>
  <c r="O2490" i="3"/>
  <c r="P2489" i="3"/>
  <c r="O2489" i="3"/>
  <c r="P2488" i="3"/>
  <c r="O2488" i="3"/>
  <c r="P2487" i="3"/>
  <c r="O2487" i="3"/>
  <c r="P2486" i="3"/>
  <c r="O2486" i="3"/>
  <c r="P2485" i="3"/>
  <c r="O2485" i="3"/>
  <c r="P2484" i="3"/>
  <c r="O2484" i="3"/>
  <c r="P2483" i="3"/>
  <c r="O2483" i="3"/>
  <c r="P2482" i="3"/>
  <c r="O2482" i="3"/>
  <c r="P2481" i="3"/>
  <c r="O2481" i="3"/>
  <c r="P2480" i="3"/>
  <c r="O2480" i="3"/>
  <c r="P2479" i="3"/>
  <c r="O2479" i="3"/>
  <c r="P2478" i="3"/>
  <c r="O2478" i="3"/>
  <c r="P2477" i="3"/>
  <c r="O2477" i="3"/>
  <c r="P2476" i="3"/>
  <c r="O2476" i="3"/>
  <c r="P2475" i="3"/>
  <c r="O2475" i="3"/>
  <c r="P2474" i="3"/>
  <c r="O2474" i="3"/>
  <c r="P2473" i="3"/>
  <c r="O2473" i="3"/>
  <c r="P2472" i="3"/>
  <c r="O2472" i="3"/>
  <c r="P2471" i="3"/>
  <c r="O2471" i="3"/>
  <c r="P2470" i="3"/>
  <c r="O2470" i="3"/>
  <c r="P2469" i="3"/>
  <c r="O2469" i="3"/>
  <c r="P2468" i="3"/>
  <c r="O2468" i="3"/>
  <c r="P2467" i="3"/>
  <c r="O2467" i="3"/>
  <c r="P2466" i="3"/>
  <c r="O2466" i="3"/>
  <c r="P2465" i="3"/>
  <c r="O2465" i="3"/>
  <c r="P2464" i="3"/>
  <c r="O2464" i="3"/>
  <c r="P2463" i="3"/>
  <c r="O2463" i="3"/>
  <c r="P2462" i="3"/>
  <c r="O2462" i="3"/>
  <c r="P2461" i="3"/>
  <c r="O2461" i="3"/>
  <c r="P2460" i="3"/>
  <c r="O2460" i="3"/>
  <c r="P2459" i="3"/>
  <c r="O2459" i="3"/>
  <c r="P2458" i="3"/>
  <c r="O2458" i="3"/>
  <c r="P2457" i="3"/>
  <c r="O2457" i="3"/>
  <c r="P2456" i="3"/>
  <c r="O2456" i="3"/>
  <c r="P2455" i="3"/>
  <c r="O2455" i="3"/>
  <c r="P2454" i="3"/>
  <c r="O2454" i="3"/>
  <c r="P2453" i="3"/>
  <c r="O2453" i="3"/>
  <c r="P2452" i="3"/>
  <c r="O2452" i="3"/>
  <c r="P2451" i="3"/>
  <c r="O2451" i="3"/>
  <c r="P2450" i="3"/>
  <c r="O2450" i="3"/>
  <c r="P2449" i="3"/>
  <c r="O2449" i="3"/>
  <c r="P2448" i="3"/>
  <c r="O2448" i="3"/>
  <c r="P2447" i="3"/>
  <c r="O2447" i="3"/>
  <c r="P2446" i="3"/>
  <c r="O2446" i="3"/>
  <c r="P2445" i="3"/>
  <c r="O2445" i="3"/>
  <c r="P2444" i="3"/>
  <c r="O2444" i="3"/>
  <c r="P2443" i="3"/>
  <c r="O2443" i="3"/>
  <c r="P2442" i="3"/>
  <c r="O2442" i="3"/>
  <c r="P2441" i="3"/>
  <c r="O2441" i="3"/>
  <c r="P2440" i="3"/>
  <c r="O2440" i="3"/>
  <c r="P2439" i="3"/>
  <c r="O2439" i="3"/>
  <c r="P2438" i="3"/>
  <c r="O2438" i="3"/>
  <c r="P2437" i="3"/>
  <c r="O2437" i="3"/>
  <c r="P2436" i="3"/>
  <c r="O2436" i="3"/>
  <c r="P2435" i="3"/>
  <c r="O2435" i="3"/>
  <c r="P2434" i="3"/>
  <c r="O2434" i="3"/>
  <c r="P2433" i="3"/>
  <c r="O2433" i="3"/>
  <c r="P2432" i="3"/>
  <c r="O2432" i="3"/>
  <c r="P2431" i="3"/>
  <c r="O2431" i="3"/>
  <c r="P2430" i="3"/>
  <c r="O2430" i="3"/>
  <c r="P2429" i="3"/>
  <c r="O2429" i="3"/>
  <c r="P2428" i="3"/>
  <c r="O2428" i="3"/>
  <c r="P2427" i="3"/>
  <c r="O2427" i="3"/>
  <c r="P2426" i="3"/>
  <c r="O2426" i="3"/>
  <c r="P2425" i="3"/>
  <c r="O2425" i="3"/>
  <c r="P2424" i="3"/>
  <c r="O2424" i="3"/>
  <c r="P2423" i="3"/>
  <c r="O2423" i="3"/>
  <c r="P2422" i="3"/>
  <c r="O2422" i="3"/>
  <c r="P2421" i="3"/>
  <c r="O2421" i="3"/>
  <c r="P2420" i="3"/>
  <c r="O2420" i="3"/>
  <c r="P2419" i="3"/>
  <c r="O2419" i="3"/>
  <c r="P2418" i="3"/>
  <c r="O2418" i="3"/>
  <c r="P2417" i="3"/>
  <c r="O2417" i="3"/>
  <c r="P2416" i="3"/>
  <c r="O2416" i="3"/>
  <c r="P2415" i="3"/>
  <c r="O2415" i="3"/>
  <c r="P2414" i="3"/>
  <c r="O2414" i="3"/>
  <c r="P2413" i="3"/>
  <c r="O2413" i="3"/>
  <c r="P2412" i="3"/>
  <c r="O2412" i="3"/>
  <c r="P2411" i="3"/>
  <c r="O2411" i="3"/>
  <c r="P2410" i="3"/>
  <c r="O2410" i="3"/>
  <c r="P2409" i="3"/>
  <c r="O2409" i="3"/>
  <c r="P2408" i="3"/>
  <c r="O2408" i="3"/>
  <c r="P2407" i="3"/>
  <c r="O2407" i="3"/>
  <c r="P2406" i="3"/>
  <c r="O2406" i="3"/>
  <c r="P2405" i="3"/>
  <c r="O2405" i="3"/>
  <c r="P2404" i="3"/>
  <c r="O2404" i="3"/>
  <c r="P2403" i="3"/>
  <c r="O2403" i="3"/>
  <c r="P2402" i="3"/>
  <c r="O2402" i="3"/>
  <c r="P2401" i="3"/>
  <c r="O2401" i="3"/>
  <c r="P2400" i="3"/>
  <c r="O2400" i="3"/>
  <c r="P2399" i="3"/>
  <c r="O2399" i="3"/>
  <c r="P2398" i="3"/>
  <c r="O2398" i="3"/>
  <c r="P2397" i="3"/>
  <c r="O2397" i="3"/>
  <c r="P2396" i="3"/>
  <c r="O2396" i="3"/>
  <c r="P2395" i="3"/>
  <c r="O2395" i="3"/>
  <c r="P2394" i="3"/>
  <c r="O2394" i="3"/>
  <c r="P2393" i="3"/>
  <c r="O2393" i="3"/>
  <c r="P2392" i="3"/>
  <c r="O2392" i="3"/>
  <c r="P2391" i="3"/>
  <c r="O2391" i="3"/>
  <c r="P2390" i="3"/>
  <c r="O2390" i="3"/>
  <c r="P2389" i="3"/>
  <c r="O2389" i="3"/>
  <c r="P2388" i="3"/>
  <c r="O2388" i="3"/>
  <c r="P2387" i="3"/>
  <c r="O2387" i="3"/>
  <c r="P2386" i="3"/>
  <c r="O2386" i="3"/>
  <c r="P2385" i="3"/>
  <c r="O2385" i="3"/>
  <c r="P2384" i="3"/>
  <c r="O2384" i="3"/>
  <c r="P2383" i="3"/>
  <c r="O2383" i="3"/>
  <c r="P2382" i="3"/>
  <c r="O2382" i="3"/>
  <c r="P2381" i="3"/>
  <c r="O2381" i="3"/>
  <c r="P2380" i="3"/>
  <c r="O2380" i="3"/>
  <c r="P2379" i="3"/>
  <c r="O2379" i="3"/>
  <c r="P2378" i="3"/>
  <c r="O2378" i="3"/>
  <c r="P2377" i="3"/>
  <c r="O2377" i="3"/>
  <c r="P2376" i="3"/>
  <c r="O2376" i="3"/>
  <c r="P2375" i="3"/>
  <c r="O2375" i="3"/>
  <c r="P2374" i="3"/>
  <c r="O2374" i="3"/>
  <c r="P2373" i="3"/>
  <c r="O2373" i="3"/>
  <c r="P2372" i="3"/>
  <c r="O2372" i="3"/>
  <c r="P2371" i="3"/>
  <c r="O2371" i="3"/>
  <c r="P2370" i="3"/>
  <c r="O2370" i="3"/>
  <c r="P2369" i="3"/>
  <c r="O2369" i="3"/>
  <c r="P2368" i="3"/>
  <c r="O2368" i="3"/>
  <c r="P2367" i="3"/>
  <c r="O2367" i="3"/>
  <c r="P2366" i="3"/>
  <c r="O2366" i="3"/>
  <c r="P2365" i="3"/>
  <c r="O2365" i="3"/>
  <c r="P2364" i="3"/>
  <c r="O2364" i="3"/>
  <c r="P2363" i="3"/>
  <c r="O2363" i="3"/>
  <c r="P2362" i="3"/>
  <c r="O2362" i="3"/>
  <c r="P2361" i="3"/>
  <c r="O2361" i="3"/>
  <c r="P2360" i="3"/>
  <c r="O2360" i="3"/>
  <c r="P2359" i="3"/>
  <c r="O2359" i="3"/>
  <c r="P2358" i="3"/>
  <c r="O2358" i="3"/>
  <c r="P2357" i="3"/>
  <c r="O2357" i="3"/>
  <c r="P2356" i="3"/>
  <c r="O2356" i="3"/>
  <c r="P2355" i="3"/>
  <c r="O2355" i="3"/>
  <c r="P2354" i="3"/>
  <c r="O2354" i="3"/>
  <c r="P2353" i="3"/>
  <c r="O2353" i="3"/>
  <c r="P2352" i="3"/>
  <c r="O2352" i="3"/>
  <c r="P2351" i="3"/>
  <c r="O2351" i="3"/>
  <c r="P2350" i="3"/>
  <c r="O2350" i="3"/>
  <c r="P2349" i="3"/>
  <c r="O2349" i="3"/>
  <c r="P2348" i="3"/>
  <c r="O2348" i="3"/>
  <c r="P2347" i="3"/>
  <c r="O2347" i="3"/>
  <c r="P2346" i="3"/>
  <c r="O2346" i="3"/>
  <c r="P2345" i="3"/>
  <c r="O2345" i="3"/>
  <c r="P2344" i="3"/>
  <c r="O2344" i="3"/>
  <c r="P2343" i="3"/>
  <c r="O2343" i="3"/>
  <c r="P2342" i="3"/>
  <c r="O2342" i="3"/>
  <c r="P2341" i="3"/>
  <c r="O2341" i="3"/>
  <c r="P2340" i="3"/>
  <c r="O2340" i="3"/>
  <c r="P2339" i="3"/>
  <c r="O2339" i="3"/>
  <c r="P2338" i="3"/>
  <c r="O2338" i="3"/>
  <c r="P2337" i="3"/>
  <c r="O2337" i="3"/>
  <c r="P2336" i="3"/>
  <c r="O2336" i="3"/>
  <c r="P2335" i="3"/>
  <c r="O2335" i="3"/>
  <c r="P2334" i="3"/>
  <c r="O2334" i="3"/>
  <c r="P2333" i="3"/>
  <c r="O2333" i="3"/>
  <c r="P2332" i="3"/>
  <c r="O2332" i="3"/>
  <c r="P2331" i="3"/>
  <c r="O2331" i="3"/>
  <c r="P2330" i="3"/>
  <c r="O2330" i="3"/>
  <c r="P2329" i="3"/>
  <c r="O2329" i="3"/>
  <c r="P2328" i="3"/>
  <c r="O2328" i="3"/>
  <c r="P2327" i="3"/>
  <c r="O2327" i="3"/>
  <c r="P2326" i="3"/>
  <c r="O2326" i="3"/>
  <c r="P2325" i="3"/>
  <c r="O2325" i="3"/>
  <c r="P2324" i="3"/>
  <c r="O2324" i="3"/>
  <c r="P2323" i="3"/>
  <c r="O2323" i="3"/>
  <c r="P2322" i="3"/>
  <c r="O2322" i="3"/>
  <c r="P2321" i="3"/>
  <c r="O2321" i="3"/>
  <c r="P2320" i="3"/>
  <c r="O2320" i="3"/>
  <c r="P2319" i="3"/>
  <c r="O2319" i="3"/>
  <c r="P2318" i="3"/>
  <c r="O2318" i="3"/>
  <c r="P2317" i="3"/>
  <c r="O2317" i="3"/>
  <c r="P2316" i="3"/>
  <c r="O2316" i="3"/>
  <c r="P2315" i="3"/>
  <c r="O2315" i="3"/>
  <c r="P2314" i="3"/>
  <c r="O2314" i="3"/>
  <c r="P2313" i="3"/>
  <c r="O2313" i="3"/>
  <c r="P2312" i="3"/>
  <c r="O2312" i="3"/>
  <c r="P2311" i="3"/>
  <c r="O2311" i="3"/>
  <c r="P2310" i="3"/>
  <c r="O2310" i="3"/>
  <c r="P2309" i="3"/>
  <c r="O2309" i="3"/>
  <c r="P2308" i="3"/>
  <c r="O2308" i="3"/>
  <c r="P2307" i="3"/>
  <c r="O2307" i="3"/>
  <c r="P2306" i="3"/>
  <c r="O2306" i="3"/>
  <c r="P2305" i="3"/>
  <c r="O2305" i="3"/>
  <c r="P2304" i="3"/>
  <c r="O2304" i="3"/>
  <c r="P2303" i="3"/>
  <c r="O2303" i="3"/>
  <c r="P2302" i="3"/>
  <c r="O2302" i="3"/>
  <c r="P2301" i="3"/>
  <c r="O2301" i="3"/>
  <c r="P2300" i="3"/>
  <c r="O2300" i="3"/>
  <c r="P2299" i="3"/>
  <c r="O2299" i="3"/>
  <c r="P2298" i="3"/>
  <c r="O2298" i="3"/>
  <c r="P2297" i="3"/>
  <c r="O2297" i="3"/>
  <c r="P2296" i="3"/>
  <c r="O2296" i="3"/>
  <c r="P2295" i="3"/>
  <c r="O2295" i="3"/>
  <c r="P2294" i="3"/>
  <c r="O2294" i="3"/>
  <c r="P2293" i="3"/>
  <c r="O2293" i="3"/>
  <c r="P2292" i="3"/>
  <c r="O2292" i="3"/>
  <c r="P2291" i="3"/>
  <c r="O2291" i="3"/>
  <c r="P2290" i="3"/>
  <c r="O2290" i="3"/>
  <c r="P2289" i="3"/>
  <c r="O2289" i="3"/>
  <c r="P2288" i="3"/>
  <c r="O2288" i="3"/>
  <c r="P2287" i="3"/>
  <c r="O2287" i="3"/>
  <c r="P2286" i="3"/>
  <c r="O2286" i="3"/>
  <c r="P2285" i="3"/>
  <c r="O2285" i="3"/>
  <c r="P2284" i="3"/>
  <c r="O2284" i="3"/>
  <c r="P2283" i="3"/>
  <c r="O2283" i="3"/>
  <c r="P2282" i="3"/>
  <c r="O2282" i="3"/>
  <c r="P2281" i="3"/>
  <c r="O2281" i="3"/>
  <c r="P2280" i="3"/>
  <c r="O2280" i="3"/>
  <c r="P2279" i="3"/>
  <c r="O2279" i="3"/>
  <c r="P2278" i="3"/>
  <c r="O2278" i="3"/>
  <c r="P2277" i="3"/>
  <c r="O2277" i="3"/>
  <c r="P2276" i="3"/>
  <c r="O2276" i="3"/>
  <c r="P2275" i="3"/>
  <c r="O2275" i="3"/>
  <c r="P2274" i="3"/>
  <c r="O2274" i="3"/>
  <c r="P2273" i="3"/>
  <c r="O2273" i="3"/>
  <c r="P2272" i="3"/>
  <c r="O2272" i="3"/>
  <c r="P2271" i="3"/>
  <c r="O2271" i="3"/>
  <c r="P2270" i="3"/>
  <c r="O2270" i="3"/>
  <c r="P2269" i="3"/>
  <c r="O2269" i="3"/>
  <c r="P2268" i="3"/>
  <c r="O2268" i="3"/>
  <c r="P2267" i="3"/>
  <c r="O2267" i="3"/>
  <c r="P2266" i="3"/>
  <c r="O2266" i="3"/>
  <c r="P2265" i="3"/>
  <c r="O2265" i="3"/>
  <c r="P2264" i="3"/>
  <c r="O2264" i="3"/>
  <c r="P2263" i="3"/>
  <c r="O2263" i="3"/>
  <c r="P2262" i="3"/>
  <c r="O2262" i="3"/>
  <c r="P2261" i="3"/>
  <c r="O2261" i="3"/>
  <c r="P2260" i="3"/>
  <c r="O2260" i="3"/>
  <c r="P2259" i="3"/>
  <c r="O2259" i="3"/>
  <c r="P2258" i="3"/>
  <c r="O2258" i="3"/>
  <c r="P2257" i="3"/>
  <c r="O2257" i="3"/>
  <c r="P2256" i="3"/>
  <c r="O2256" i="3"/>
  <c r="P2255" i="3"/>
  <c r="O2255" i="3"/>
  <c r="P2254" i="3"/>
  <c r="O2254" i="3"/>
  <c r="P2253" i="3"/>
  <c r="O2253" i="3"/>
  <c r="P2252" i="3"/>
  <c r="O2252" i="3"/>
  <c r="P2251" i="3"/>
  <c r="O2251" i="3"/>
  <c r="P2250" i="3"/>
  <c r="O2250" i="3"/>
  <c r="P2249" i="3"/>
  <c r="O2249" i="3"/>
  <c r="P2248" i="3"/>
  <c r="O2248" i="3"/>
  <c r="P2247" i="3"/>
  <c r="O2247" i="3"/>
  <c r="P2246" i="3"/>
  <c r="O2246" i="3"/>
  <c r="P2245" i="3"/>
  <c r="O2245" i="3"/>
  <c r="P2244" i="3"/>
  <c r="O2244" i="3"/>
  <c r="P2243" i="3"/>
  <c r="O2243" i="3"/>
  <c r="P2242" i="3"/>
  <c r="O2242" i="3"/>
  <c r="P2241" i="3"/>
  <c r="O2241" i="3"/>
  <c r="P2240" i="3"/>
  <c r="O2240" i="3"/>
  <c r="P2239" i="3"/>
  <c r="O2239" i="3"/>
  <c r="P2238" i="3"/>
  <c r="O2238" i="3"/>
  <c r="P2237" i="3"/>
  <c r="O2237" i="3"/>
  <c r="P2236" i="3"/>
  <c r="O2236" i="3"/>
  <c r="P2235" i="3"/>
  <c r="O2235" i="3"/>
  <c r="P2234" i="3"/>
  <c r="O2234" i="3"/>
  <c r="P2233" i="3"/>
  <c r="O2233" i="3"/>
  <c r="P2232" i="3"/>
  <c r="O2232" i="3"/>
  <c r="P2231" i="3"/>
  <c r="O2231" i="3"/>
  <c r="P2230" i="3"/>
  <c r="O2230" i="3"/>
  <c r="P2229" i="3"/>
  <c r="O2229" i="3"/>
  <c r="P2228" i="3"/>
  <c r="O2228" i="3"/>
  <c r="P2227" i="3"/>
  <c r="O2227" i="3"/>
  <c r="P2226" i="3"/>
  <c r="O2226" i="3"/>
  <c r="P2225" i="3"/>
  <c r="O2225" i="3"/>
  <c r="P2224" i="3"/>
  <c r="O2224" i="3"/>
  <c r="P2223" i="3"/>
  <c r="O2223" i="3"/>
  <c r="P2222" i="3"/>
  <c r="O2222" i="3"/>
  <c r="P2221" i="3"/>
  <c r="O2221" i="3"/>
  <c r="P2220" i="3"/>
  <c r="O2220" i="3"/>
  <c r="P2219" i="3"/>
  <c r="O2219" i="3"/>
  <c r="P2218" i="3"/>
  <c r="O2218" i="3"/>
  <c r="P2217" i="3"/>
  <c r="O2217" i="3"/>
  <c r="P2216" i="3"/>
  <c r="O2216" i="3"/>
  <c r="P2215" i="3"/>
  <c r="O2215" i="3"/>
  <c r="P2214" i="3"/>
  <c r="O2214" i="3"/>
  <c r="P2213" i="3"/>
  <c r="O2213" i="3"/>
  <c r="P2212" i="3"/>
  <c r="O2212" i="3"/>
  <c r="P2211" i="3"/>
  <c r="O2211" i="3"/>
  <c r="P2210" i="3"/>
  <c r="O2210" i="3"/>
  <c r="P2209" i="3"/>
  <c r="O2209" i="3"/>
  <c r="P2208" i="3"/>
  <c r="O2208" i="3"/>
  <c r="P2207" i="3"/>
  <c r="O2207" i="3"/>
  <c r="P2206" i="3"/>
  <c r="O2206" i="3"/>
  <c r="P2205" i="3"/>
  <c r="O2205" i="3"/>
  <c r="P2204" i="3"/>
  <c r="O2204" i="3"/>
  <c r="P2203" i="3"/>
  <c r="O2203" i="3"/>
  <c r="P2202" i="3"/>
  <c r="O2202" i="3"/>
  <c r="P2201" i="3"/>
  <c r="O2201" i="3"/>
  <c r="P2200" i="3"/>
  <c r="O2200" i="3"/>
  <c r="P2199" i="3"/>
  <c r="O2199" i="3"/>
  <c r="P2198" i="3"/>
  <c r="O2198" i="3"/>
  <c r="P2197" i="3"/>
  <c r="O2197" i="3"/>
  <c r="P2196" i="3"/>
  <c r="O2196" i="3"/>
  <c r="P2195" i="3"/>
  <c r="O2195" i="3"/>
  <c r="P2194" i="3"/>
  <c r="O2194" i="3"/>
  <c r="P2193" i="3"/>
  <c r="O2193" i="3"/>
  <c r="P2192" i="3"/>
  <c r="O2192" i="3"/>
  <c r="P2191" i="3"/>
  <c r="O2191" i="3"/>
  <c r="P2190" i="3"/>
  <c r="O2190" i="3"/>
  <c r="P2189" i="3"/>
  <c r="O2189" i="3"/>
  <c r="P2188" i="3"/>
  <c r="O2188" i="3"/>
  <c r="P2187" i="3"/>
  <c r="O2187" i="3"/>
  <c r="P2186" i="3"/>
  <c r="O2186" i="3"/>
  <c r="P2185" i="3"/>
  <c r="O2185" i="3"/>
  <c r="P2184" i="3"/>
  <c r="O2184" i="3"/>
  <c r="P2183" i="3"/>
  <c r="O2183" i="3"/>
  <c r="P2182" i="3"/>
  <c r="O2182" i="3"/>
  <c r="P2181" i="3"/>
  <c r="O2181" i="3"/>
  <c r="P2180" i="3"/>
  <c r="O2180" i="3"/>
  <c r="P2179" i="3"/>
  <c r="O2179" i="3"/>
  <c r="P2178" i="3"/>
  <c r="O2178" i="3"/>
  <c r="P2177" i="3"/>
  <c r="O2177" i="3"/>
  <c r="P2176" i="3"/>
  <c r="O2176" i="3"/>
  <c r="P2175" i="3"/>
  <c r="O2175" i="3"/>
  <c r="P2174" i="3"/>
  <c r="O2174" i="3"/>
  <c r="P2173" i="3"/>
  <c r="O2173" i="3"/>
  <c r="P2172" i="3"/>
  <c r="O2172" i="3"/>
  <c r="P2171" i="3"/>
  <c r="O2171" i="3"/>
  <c r="P2170" i="3"/>
  <c r="O2170" i="3"/>
  <c r="P2169" i="3"/>
  <c r="O2169" i="3"/>
  <c r="P2168" i="3"/>
  <c r="O2168" i="3"/>
  <c r="P2167" i="3"/>
  <c r="O2167" i="3"/>
  <c r="P2166" i="3"/>
  <c r="O2166" i="3"/>
  <c r="P2165" i="3"/>
  <c r="O2165" i="3"/>
  <c r="P2164" i="3"/>
  <c r="O2164" i="3"/>
  <c r="P2163" i="3"/>
  <c r="O2163" i="3"/>
  <c r="P2162" i="3"/>
  <c r="O2162" i="3"/>
  <c r="P2161" i="3"/>
  <c r="O2161" i="3"/>
  <c r="P2160" i="3"/>
  <c r="O2160" i="3"/>
  <c r="P2159" i="3"/>
  <c r="O2159" i="3"/>
  <c r="P2158" i="3"/>
  <c r="O2158" i="3"/>
  <c r="P2157" i="3"/>
  <c r="O2157" i="3"/>
  <c r="P2156" i="3"/>
  <c r="O2156" i="3"/>
  <c r="P2155" i="3"/>
  <c r="O2155" i="3"/>
  <c r="P2154" i="3"/>
  <c r="O2154" i="3"/>
  <c r="P2153" i="3"/>
  <c r="O2153" i="3"/>
  <c r="P2152" i="3"/>
  <c r="O2152" i="3"/>
  <c r="P2151" i="3"/>
  <c r="O2151" i="3"/>
  <c r="P2150" i="3"/>
  <c r="O2150" i="3"/>
  <c r="P2149" i="3"/>
  <c r="O2149" i="3"/>
  <c r="P2148" i="3"/>
  <c r="O2148" i="3"/>
  <c r="P2147" i="3"/>
  <c r="O2147" i="3"/>
  <c r="P2146" i="3"/>
  <c r="O2146" i="3"/>
  <c r="P2145" i="3"/>
  <c r="O2145" i="3"/>
  <c r="P2144" i="3"/>
  <c r="O2144" i="3"/>
  <c r="P2143" i="3"/>
  <c r="O2143" i="3"/>
  <c r="P2142" i="3"/>
  <c r="O2142" i="3"/>
  <c r="P2141" i="3"/>
  <c r="O2141" i="3"/>
  <c r="P2140" i="3"/>
  <c r="O2140" i="3"/>
  <c r="P2139" i="3"/>
  <c r="O2139" i="3"/>
  <c r="P2138" i="3"/>
  <c r="O2138" i="3"/>
  <c r="P2137" i="3"/>
  <c r="O2137" i="3"/>
  <c r="P2136" i="3"/>
  <c r="O2136" i="3"/>
  <c r="P2135" i="3"/>
  <c r="O2135" i="3"/>
  <c r="P2134" i="3"/>
  <c r="O2134" i="3"/>
  <c r="P2133" i="3"/>
  <c r="O2133" i="3"/>
  <c r="P2132" i="3"/>
  <c r="O2132" i="3"/>
  <c r="P2131" i="3"/>
  <c r="O2131" i="3"/>
  <c r="P2130" i="3"/>
  <c r="O2130" i="3"/>
  <c r="P2129" i="3"/>
  <c r="O2129" i="3"/>
  <c r="P2128" i="3"/>
  <c r="O2128" i="3"/>
  <c r="P2127" i="3"/>
  <c r="O2127" i="3"/>
  <c r="P2126" i="3"/>
  <c r="O2126" i="3"/>
  <c r="P2125" i="3"/>
  <c r="O2125" i="3"/>
  <c r="P2124" i="3"/>
  <c r="O2124" i="3"/>
  <c r="P2123" i="3"/>
  <c r="O2123" i="3"/>
  <c r="P2122" i="3"/>
  <c r="O2122" i="3"/>
  <c r="P2121" i="3"/>
  <c r="O2121" i="3"/>
  <c r="P2120" i="3"/>
  <c r="O2120" i="3"/>
  <c r="P2119" i="3"/>
  <c r="O2119" i="3"/>
  <c r="P2118" i="3"/>
  <c r="O2118" i="3"/>
  <c r="P2117" i="3"/>
  <c r="O2117" i="3"/>
  <c r="P2116" i="3"/>
  <c r="O2116" i="3"/>
  <c r="P2115" i="3"/>
  <c r="O2115" i="3"/>
  <c r="P2114" i="3"/>
  <c r="O2114" i="3"/>
  <c r="P2113" i="3"/>
  <c r="O2113" i="3"/>
  <c r="P2112" i="3"/>
  <c r="O2112" i="3"/>
  <c r="P2111" i="3"/>
  <c r="O2111" i="3"/>
  <c r="P2110" i="3"/>
  <c r="O2110" i="3"/>
  <c r="P2109" i="3"/>
  <c r="O2109" i="3"/>
  <c r="P2108" i="3"/>
  <c r="O2108" i="3"/>
  <c r="P2107" i="3"/>
  <c r="O2107" i="3"/>
  <c r="P2106" i="3"/>
  <c r="O2106" i="3"/>
  <c r="P2105" i="3"/>
  <c r="O2105" i="3"/>
  <c r="P2104" i="3"/>
  <c r="O2104" i="3"/>
  <c r="P2103" i="3"/>
  <c r="O2103" i="3"/>
  <c r="P2102" i="3"/>
  <c r="O2102" i="3"/>
  <c r="P2101" i="3"/>
  <c r="O2101" i="3"/>
  <c r="P2100" i="3"/>
  <c r="O2100" i="3"/>
  <c r="P2099" i="3"/>
  <c r="O2099" i="3"/>
  <c r="P2098" i="3"/>
  <c r="O2098" i="3"/>
  <c r="P2097" i="3"/>
  <c r="O2097" i="3"/>
  <c r="P2096" i="3"/>
  <c r="O2096" i="3"/>
  <c r="P2095" i="3"/>
  <c r="O2095" i="3"/>
  <c r="P2094" i="3"/>
  <c r="O2094" i="3"/>
  <c r="P2093" i="3"/>
  <c r="O2093" i="3"/>
  <c r="P2092" i="3"/>
  <c r="O2092" i="3"/>
  <c r="P2091" i="3"/>
  <c r="O2091" i="3"/>
  <c r="P2090" i="3"/>
  <c r="O2090" i="3"/>
  <c r="P2089" i="3"/>
  <c r="O2089" i="3"/>
  <c r="P2088" i="3"/>
  <c r="O2088" i="3"/>
  <c r="P2087" i="3"/>
  <c r="O2087" i="3"/>
  <c r="P2086" i="3"/>
  <c r="O2086" i="3"/>
  <c r="P2085" i="3"/>
  <c r="O2085" i="3"/>
  <c r="P2084" i="3"/>
  <c r="O2084" i="3"/>
  <c r="P2083" i="3"/>
  <c r="O2083" i="3"/>
  <c r="P2082" i="3"/>
  <c r="O2082" i="3"/>
  <c r="P2081" i="3"/>
  <c r="O2081" i="3"/>
  <c r="P2080" i="3"/>
  <c r="O2080" i="3"/>
  <c r="P2079" i="3"/>
  <c r="O2079" i="3"/>
  <c r="P2078" i="3"/>
  <c r="O2078" i="3"/>
  <c r="P2077" i="3"/>
  <c r="O2077" i="3"/>
  <c r="P2076" i="3"/>
  <c r="O2076" i="3"/>
  <c r="P2075" i="3"/>
  <c r="O2075" i="3"/>
  <c r="P2074" i="3"/>
  <c r="O2074" i="3"/>
  <c r="P2073" i="3"/>
  <c r="O2073" i="3"/>
  <c r="P2072" i="3"/>
  <c r="O2072" i="3"/>
  <c r="P2071" i="3"/>
  <c r="O2071" i="3"/>
  <c r="P2070" i="3"/>
  <c r="O2070" i="3"/>
  <c r="P2069" i="3"/>
  <c r="O2069" i="3"/>
  <c r="P2068" i="3"/>
  <c r="O2068" i="3"/>
  <c r="P2067" i="3"/>
  <c r="O2067" i="3"/>
  <c r="P2066" i="3"/>
  <c r="O2066" i="3"/>
  <c r="P2065" i="3"/>
  <c r="O2065" i="3"/>
  <c r="P2064" i="3"/>
  <c r="O2064" i="3"/>
  <c r="P2063" i="3"/>
  <c r="O2063" i="3"/>
  <c r="P2062" i="3"/>
  <c r="O2062" i="3"/>
  <c r="P2061" i="3"/>
  <c r="O2061" i="3"/>
  <c r="P2060" i="3"/>
  <c r="O2060" i="3"/>
  <c r="P2059" i="3"/>
  <c r="O2059" i="3"/>
  <c r="P2058" i="3"/>
  <c r="O2058" i="3"/>
  <c r="P2057" i="3"/>
  <c r="O2057" i="3"/>
  <c r="P2056" i="3"/>
  <c r="O2056" i="3"/>
  <c r="P2055" i="3"/>
  <c r="O2055" i="3"/>
  <c r="P2054" i="3"/>
  <c r="O2054" i="3"/>
  <c r="P2053" i="3"/>
  <c r="O2053" i="3"/>
  <c r="P2052" i="3"/>
  <c r="O2052" i="3"/>
  <c r="P2051" i="3"/>
  <c r="O2051" i="3"/>
  <c r="P2050" i="3"/>
  <c r="O2050" i="3"/>
  <c r="P2049" i="3"/>
  <c r="O2049" i="3"/>
  <c r="P2048" i="3"/>
  <c r="O2048" i="3"/>
  <c r="P2047" i="3"/>
  <c r="O2047" i="3"/>
  <c r="P2046" i="3"/>
  <c r="O2046" i="3"/>
  <c r="P2045" i="3"/>
  <c r="O2045" i="3"/>
  <c r="P2044" i="3"/>
  <c r="O2044" i="3"/>
  <c r="P2043" i="3"/>
  <c r="O2043" i="3"/>
  <c r="P2042" i="3"/>
  <c r="O2042" i="3"/>
  <c r="P2041" i="3"/>
  <c r="O2041" i="3"/>
  <c r="P2040" i="3"/>
  <c r="O2040" i="3"/>
  <c r="P2039" i="3"/>
  <c r="O2039" i="3"/>
  <c r="P2038" i="3"/>
  <c r="O2038" i="3"/>
  <c r="P2037" i="3"/>
  <c r="O2037" i="3"/>
  <c r="P2036" i="3"/>
  <c r="O2036" i="3"/>
  <c r="P2035" i="3"/>
  <c r="O2035" i="3"/>
  <c r="P2034" i="3"/>
  <c r="O2034" i="3"/>
  <c r="P2033" i="3"/>
  <c r="O2033" i="3"/>
  <c r="P2032" i="3"/>
  <c r="O2032" i="3"/>
  <c r="P2031" i="3"/>
  <c r="O2031" i="3"/>
  <c r="P2030" i="3"/>
  <c r="O2030" i="3"/>
  <c r="P2029" i="3"/>
  <c r="O2029" i="3"/>
  <c r="P2028" i="3"/>
  <c r="O2028" i="3"/>
  <c r="P2027" i="3"/>
  <c r="O2027" i="3"/>
  <c r="P2026" i="3"/>
  <c r="O2026" i="3"/>
  <c r="P2025" i="3"/>
  <c r="O2025" i="3"/>
  <c r="P2024" i="3"/>
  <c r="O2024" i="3"/>
  <c r="P2023" i="3"/>
  <c r="O2023" i="3"/>
  <c r="P2022" i="3"/>
  <c r="O2022" i="3"/>
  <c r="P2021" i="3"/>
  <c r="O2021" i="3"/>
  <c r="P2020" i="3"/>
  <c r="O2020" i="3"/>
  <c r="P2019" i="3"/>
  <c r="O2019" i="3"/>
  <c r="P2018" i="3"/>
  <c r="O2018" i="3"/>
  <c r="P2017" i="3"/>
  <c r="O2017" i="3"/>
  <c r="P2016" i="3"/>
  <c r="O2016" i="3"/>
  <c r="P2015" i="3"/>
  <c r="O2015" i="3"/>
  <c r="P2014" i="3"/>
  <c r="O2014" i="3"/>
  <c r="P2013" i="3"/>
  <c r="O2013" i="3"/>
  <c r="P2012" i="3"/>
  <c r="O2012" i="3"/>
  <c r="P2011" i="3"/>
  <c r="O2011" i="3"/>
  <c r="P2010" i="3"/>
  <c r="O2010" i="3"/>
  <c r="P2009" i="3"/>
  <c r="O2009" i="3"/>
  <c r="P2008" i="3"/>
  <c r="O2008" i="3"/>
  <c r="P2007" i="3"/>
  <c r="O2007" i="3"/>
  <c r="P2006" i="3"/>
  <c r="O2006" i="3"/>
  <c r="P2005" i="3"/>
  <c r="O2005" i="3"/>
  <c r="P2004" i="3"/>
  <c r="O2004" i="3"/>
  <c r="P2003" i="3"/>
  <c r="O2003" i="3"/>
  <c r="P2002" i="3"/>
  <c r="O2002" i="3"/>
  <c r="P2001" i="3"/>
  <c r="O2001" i="3"/>
  <c r="P2000" i="3"/>
  <c r="O2000" i="3"/>
  <c r="P1999" i="3"/>
  <c r="O1999" i="3"/>
  <c r="P1998" i="3"/>
  <c r="O1998" i="3"/>
  <c r="P1997" i="3"/>
  <c r="O1997" i="3"/>
  <c r="P1996" i="3"/>
  <c r="O1996" i="3"/>
  <c r="P1995" i="3"/>
  <c r="O1995" i="3"/>
  <c r="P1994" i="3"/>
  <c r="O1994" i="3"/>
  <c r="P1993" i="3"/>
  <c r="O1993" i="3"/>
  <c r="P1992" i="3"/>
  <c r="O1992" i="3"/>
  <c r="P1991" i="3"/>
  <c r="O1991" i="3"/>
  <c r="P1990" i="3"/>
  <c r="O1990" i="3"/>
  <c r="P1989" i="3"/>
  <c r="O1989" i="3"/>
  <c r="P1988" i="3"/>
  <c r="O1988" i="3"/>
  <c r="P1987" i="3"/>
  <c r="O1987" i="3"/>
  <c r="P1986" i="3"/>
  <c r="O1986" i="3"/>
  <c r="P1985" i="3"/>
  <c r="O1985" i="3"/>
  <c r="P1984" i="3"/>
  <c r="O1984" i="3"/>
  <c r="P1983" i="3"/>
  <c r="O1983" i="3"/>
  <c r="P1982" i="3"/>
  <c r="O1982" i="3"/>
  <c r="P1981" i="3"/>
  <c r="O1981" i="3"/>
  <c r="P1980" i="3"/>
  <c r="O1980" i="3"/>
  <c r="P1979" i="3"/>
  <c r="O1979" i="3"/>
  <c r="P1978" i="3"/>
  <c r="O1978" i="3"/>
  <c r="P1977" i="3"/>
  <c r="O1977" i="3"/>
  <c r="P1976" i="3"/>
  <c r="O1976" i="3"/>
  <c r="P1975" i="3"/>
  <c r="O1975" i="3"/>
  <c r="P1974" i="3"/>
  <c r="O1974" i="3"/>
  <c r="P1973" i="3"/>
  <c r="O1973" i="3"/>
  <c r="P1972" i="3"/>
  <c r="O1972" i="3"/>
  <c r="P1971" i="3"/>
  <c r="O1971" i="3"/>
  <c r="P1970" i="3"/>
  <c r="O1970" i="3"/>
  <c r="P1969" i="3"/>
  <c r="O1969" i="3"/>
  <c r="P1968" i="3"/>
  <c r="O1968" i="3"/>
  <c r="P1967" i="3"/>
  <c r="O1967" i="3"/>
  <c r="P1966" i="3"/>
  <c r="O1966" i="3"/>
  <c r="P1965" i="3"/>
  <c r="O1965" i="3"/>
  <c r="P1964" i="3"/>
  <c r="O1964" i="3"/>
  <c r="P1963" i="3"/>
  <c r="O1963" i="3"/>
  <c r="P1962" i="3"/>
  <c r="O1962" i="3"/>
  <c r="P1961" i="3"/>
  <c r="O1961" i="3"/>
  <c r="P1960" i="3"/>
  <c r="O1960" i="3"/>
  <c r="P1959" i="3"/>
  <c r="O1959" i="3"/>
  <c r="P1958" i="3"/>
  <c r="O1958" i="3"/>
  <c r="P1957" i="3"/>
  <c r="O1957" i="3"/>
  <c r="P1956" i="3"/>
  <c r="O1956" i="3"/>
  <c r="P1955" i="3"/>
  <c r="O1955" i="3"/>
  <c r="P1954" i="3"/>
  <c r="O1954" i="3"/>
  <c r="P1953" i="3"/>
  <c r="O1953" i="3"/>
  <c r="P1952" i="3"/>
  <c r="O1952" i="3"/>
  <c r="P1951" i="3"/>
  <c r="O1951" i="3"/>
  <c r="P1950" i="3"/>
  <c r="O1950" i="3"/>
  <c r="P1949" i="3"/>
  <c r="O1949" i="3"/>
  <c r="P1948" i="3"/>
  <c r="O1948" i="3"/>
  <c r="P1947" i="3"/>
  <c r="O1947" i="3"/>
  <c r="P1946" i="3"/>
  <c r="O1946" i="3"/>
  <c r="P1945" i="3"/>
  <c r="O1945" i="3"/>
  <c r="P1944" i="3"/>
  <c r="O1944" i="3"/>
  <c r="P1943" i="3"/>
  <c r="O1943" i="3"/>
  <c r="P1942" i="3"/>
  <c r="O1942" i="3"/>
  <c r="P1941" i="3"/>
  <c r="O1941" i="3"/>
  <c r="P1940" i="3"/>
  <c r="O1940" i="3"/>
  <c r="P1939" i="3"/>
  <c r="O1939" i="3"/>
  <c r="P1938" i="3"/>
  <c r="O1938" i="3"/>
  <c r="P1937" i="3"/>
  <c r="O1937" i="3"/>
  <c r="P1936" i="3"/>
  <c r="O1936" i="3"/>
  <c r="P1935" i="3"/>
  <c r="O1935" i="3"/>
  <c r="P1934" i="3"/>
  <c r="O1934" i="3"/>
  <c r="P1933" i="3"/>
  <c r="O1933" i="3"/>
  <c r="P1932" i="3"/>
  <c r="O1932" i="3"/>
  <c r="P1931" i="3"/>
  <c r="O1931" i="3"/>
  <c r="P1930" i="3"/>
  <c r="O1930" i="3"/>
  <c r="P1929" i="3"/>
  <c r="O1929" i="3"/>
  <c r="P1928" i="3"/>
  <c r="O1928" i="3"/>
  <c r="P1927" i="3"/>
  <c r="O1927" i="3"/>
  <c r="P1926" i="3"/>
  <c r="O1926" i="3"/>
  <c r="P1925" i="3"/>
  <c r="O1925" i="3"/>
  <c r="P1924" i="3"/>
  <c r="O1924" i="3"/>
  <c r="P1923" i="3"/>
  <c r="O1923" i="3"/>
  <c r="P1922" i="3"/>
  <c r="O1922" i="3"/>
  <c r="P1921" i="3"/>
  <c r="O1921" i="3"/>
  <c r="P1920" i="3"/>
  <c r="O1920" i="3"/>
  <c r="P1919" i="3"/>
  <c r="O1919" i="3"/>
  <c r="P1918" i="3"/>
  <c r="O1918" i="3"/>
  <c r="P1917" i="3"/>
  <c r="O1917" i="3"/>
  <c r="P1916" i="3"/>
  <c r="O1916" i="3"/>
  <c r="P1915" i="3"/>
  <c r="O1915" i="3"/>
  <c r="P1914" i="3"/>
  <c r="O1914" i="3"/>
  <c r="P1913" i="3"/>
  <c r="O1913" i="3"/>
  <c r="P1912" i="3"/>
  <c r="O1912" i="3"/>
  <c r="P1911" i="3"/>
  <c r="O1911" i="3"/>
  <c r="P1910" i="3"/>
  <c r="O1910" i="3"/>
  <c r="P1909" i="3"/>
  <c r="O1909" i="3"/>
  <c r="P1908" i="3"/>
  <c r="O1908" i="3"/>
  <c r="P1907" i="3"/>
  <c r="O1907" i="3"/>
  <c r="P1906" i="3"/>
  <c r="O1906" i="3"/>
  <c r="P1905" i="3"/>
  <c r="O1905" i="3"/>
  <c r="P1904" i="3"/>
  <c r="O1904" i="3"/>
  <c r="P1903" i="3"/>
  <c r="O1903" i="3"/>
  <c r="P1902" i="3"/>
  <c r="O1902" i="3"/>
  <c r="P1901" i="3"/>
  <c r="O1901" i="3"/>
  <c r="P1900" i="3"/>
  <c r="O1900" i="3"/>
  <c r="P1899" i="3"/>
  <c r="O1899" i="3"/>
  <c r="P1898" i="3"/>
  <c r="O1898" i="3"/>
  <c r="P1897" i="3"/>
  <c r="O1897" i="3"/>
  <c r="P1896" i="3"/>
  <c r="O1896" i="3"/>
  <c r="P1895" i="3"/>
  <c r="O1895" i="3"/>
  <c r="P1894" i="3"/>
  <c r="O1894" i="3"/>
  <c r="P1893" i="3"/>
  <c r="O1893" i="3"/>
  <c r="P1892" i="3"/>
  <c r="O1892" i="3"/>
  <c r="P1891" i="3"/>
  <c r="O1891" i="3"/>
  <c r="P1890" i="3"/>
  <c r="O1890" i="3"/>
  <c r="P1889" i="3"/>
  <c r="O1889" i="3"/>
  <c r="P1888" i="3"/>
  <c r="O1888" i="3"/>
  <c r="P1887" i="3"/>
  <c r="O1887" i="3"/>
  <c r="P1886" i="3"/>
  <c r="O1886" i="3"/>
  <c r="P1885" i="3"/>
  <c r="O1885" i="3"/>
  <c r="P1884" i="3"/>
  <c r="O1884" i="3"/>
  <c r="P1883" i="3"/>
  <c r="O1883" i="3"/>
  <c r="P1882" i="3"/>
  <c r="O1882" i="3"/>
  <c r="P1881" i="3"/>
  <c r="O1881" i="3"/>
  <c r="P1880" i="3"/>
  <c r="O1880" i="3"/>
  <c r="P1879" i="3"/>
  <c r="O1879" i="3"/>
  <c r="P1878" i="3"/>
  <c r="O1878" i="3"/>
  <c r="P1877" i="3"/>
  <c r="O1877" i="3"/>
  <c r="P1876" i="3"/>
  <c r="O1876" i="3"/>
  <c r="P1875" i="3"/>
  <c r="O1875" i="3"/>
  <c r="P1874" i="3"/>
  <c r="O1874" i="3"/>
  <c r="P1873" i="3"/>
  <c r="O1873" i="3"/>
  <c r="P1872" i="3"/>
  <c r="O1872" i="3"/>
  <c r="P1871" i="3"/>
  <c r="O1871" i="3"/>
  <c r="P1870" i="3"/>
  <c r="O1870" i="3"/>
  <c r="P1869" i="3"/>
  <c r="O1869" i="3"/>
  <c r="P1868" i="3"/>
  <c r="O1868" i="3"/>
  <c r="P1867" i="3"/>
  <c r="O1867" i="3"/>
  <c r="P1866" i="3"/>
  <c r="O1866" i="3"/>
  <c r="P1865" i="3"/>
  <c r="O1865" i="3"/>
  <c r="P1864" i="3"/>
  <c r="O1864" i="3"/>
  <c r="P1863" i="3"/>
  <c r="O1863" i="3"/>
  <c r="P1862" i="3"/>
  <c r="O1862" i="3"/>
  <c r="P1861" i="3"/>
  <c r="O1861" i="3"/>
  <c r="P1860" i="3"/>
  <c r="O1860" i="3"/>
  <c r="P1859" i="3"/>
  <c r="O1859" i="3"/>
  <c r="P1858" i="3"/>
  <c r="O1858" i="3"/>
  <c r="P1857" i="3"/>
  <c r="O1857" i="3"/>
  <c r="P1856" i="3"/>
  <c r="O1856" i="3"/>
  <c r="P1855" i="3"/>
  <c r="O1855" i="3"/>
  <c r="P1854" i="3"/>
  <c r="O1854" i="3"/>
  <c r="P1853" i="3"/>
  <c r="O1853" i="3"/>
  <c r="P1852" i="3"/>
  <c r="O1852" i="3"/>
  <c r="P1851" i="3"/>
  <c r="O1851" i="3"/>
  <c r="P1850" i="3"/>
  <c r="O1850" i="3"/>
  <c r="P1849" i="3"/>
  <c r="O1849" i="3"/>
  <c r="P1848" i="3"/>
  <c r="O1848" i="3"/>
  <c r="P1847" i="3"/>
  <c r="O1847" i="3"/>
  <c r="P1846" i="3"/>
  <c r="O1846" i="3"/>
  <c r="P1845" i="3"/>
  <c r="O1845" i="3"/>
  <c r="P1844" i="3"/>
  <c r="O1844" i="3"/>
  <c r="P1843" i="3"/>
  <c r="O1843" i="3"/>
  <c r="P1842" i="3"/>
  <c r="O1842" i="3"/>
  <c r="P1841" i="3"/>
  <c r="O1841" i="3"/>
  <c r="P1840" i="3"/>
  <c r="O1840" i="3"/>
  <c r="P1839" i="3"/>
  <c r="O1839" i="3"/>
  <c r="P1838" i="3"/>
  <c r="O1838" i="3"/>
  <c r="P1837" i="3"/>
  <c r="O1837" i="3"/>
  <c r="P1836" i="3"/>
  <c r="O1836" i="3"/>
  <c r="P1835" i="3"/>
  <c r="O1835" i="3"/>
  <c r="P1834" i="3"/>
  <c r="O1834" i="3"/>
  <c r="P1833" i="3"/>
  <c r="O1833" i="3"/>
  <c r="P1832" i="3"/>
  <c r="O1832" i="3"/>
  <c r="P1831" i="3"/>
  <c r="O1831" i="3"/>
  <c r="P1830" i="3"/>
  <c r="O1830" i="3"/>
  <c r="P1829" i="3"/>
  <c r="O1829" i="3"/>
  <c r="P1828" i="3"/>
  <c r="O1828" i="3"/>
  <c r="P1827" i="3"/>
  <c r="O1827" i="3"/>
  <c r="P1826" i="3"/>
  <c r="O1826" i="3"/>
  <c r="P1825" i="3"/>
  <c r="O1825" i="3"/>
  <c r="P1824" i="3"/>
  <c r="O1824" i="3"/>
  <c r="P1823" i="3"/>
  <c r="O1823" i="3"/>
  <c r="P1822" i="3"/>
  <c r="O1822" i="3"/>
  <c r="P1821" i="3"/>
  <c r="O1821" i="3"/>
  <c r="P1820" i="3"/>
  <c r="O1820" i="3"/>
  <c r="P1819" i="3"/>
  <c r="O1819" i="3"/>
  <c r="P1818" i="3"/>
  <c r="O1818" i="3"/>
  <c r="P1817" i="3"/>
  <c r="O1817" i="3"/>
  <c r="P1816" i="3"/>
  <c r="O1816" i="3"/>
  <c r="P1815" i="3"/>
  <c r="O1815" i="3"/>
  <c r="P1814" i="3"/>
  <c r="O1814" i="3"/>
  <c r="P1813" i="3"/>
  <c r="O1813" i="3"/>
  <c r="P1812" i="3"/>
  <c r="O1812" i="3"/>
  <c r="P1811" i="3"/>
  <c r="O1811" i="3"/>
  <c r="P1810" i="3"/>
  <c r="O1810" i="3"/>
  <c r="P1809" i="3"/>
  <c r="O1809" i="3"/>
  <c r="P1808" i="3"/>
  <c r="O1808" i="3"/>
  <c r="P1807" i="3"/>
  <c r="O1807" i="3"/>
  <c r="P1806" i="3"/>
  <c r="O1806" i="3"/>
  <c r="P1805" i="3"/>
  <c r="O1805" i="3"/>
  <c r="P1804" i="3"/>
  <c r="O1804" i="3"/>
  <c r="P1803" i="3"/>
  <c r="O1803" i="3"/>
  <c r="P1802" i="3"/>
  <c r="O1802" i="3"/>
  <c r="P1801" i="3"/>
  <c r="O1801" i="3"/>
  <c r="P1800" i="3"/>
  <c r="O1800" i="3"/>
  <c r="P1799" i="3"/>
  <c r="O1799" i="3"/>
  <c r="P1798" i="3"/>
  <c r="O1798" i="3"/>
  <c r="P1797" i="3"/>
  <c r="O1797" i="3"/>
  <c r="P1796" i="3"/>
  <c r="O1796" i="3"/>
  <c r="P1795" i="3"/>
  <c r="O1795" i="3"/>
  <c r="P1794" i="3"/>
  <c r="O1794" i="3"/>
  <c r="P1793" i="3"/>
  <c r="O1793" i="3"/>
  <c r="P1792" i="3"/>
  <c r="O1792" i="3"/>
  <c r="P1791" i="3"/>
  <c r="O1791" i="3"/>
  <c r="P1790" i="3"/>
  <c r="O1790" i="3"/>
  <c r="P1789" i="3"/>
  <c r="O1789" i="3"/>
  <c r="P1788" i="3"/>
  <c r="O1788" i="3"/>
  <c r="P1787" i="3"/>
  <c r="O1787" i="3"/>
  <c r="P1786" i="3"/>
  <c r="O1786" i="3"/>
  <c r="P1785" i="3"/>
  <c r="O1785" i="3"/>
  <c r="P1784" i="3"/>
  <c r="O1784" i="3"/>
  <c r="P1783" i="3"/>
  <c r="O1783" i="3"/>
  <c r="P1782" i="3"/>
  <c r="O1782" i="3"/>
  <c r="P1781" i="3"/>
  <c r="O1781" i="3"/>
  <c r="P1780" i="3"/>
  <c r="O1780" i="3"/>
  <c r="P1779" i="3"/>
  <c r="O1779" i="3"/>
  <c r="P1778" i="3"/>
  <c r="O1778" i="3"/>
  <c r="P1777" i="3"/>
  <c r="O1777" i="3"/>
  <c r="P1776" i="3"/>
  <c r="O1776" i="3"/>
  <c r="P1775" i="3"/>
  <c r="O1775" i="3"/>
  <c r="P1774" i="3"/>
  <c r="O1774" i="3"/>
  <c r="P1773" i="3"/>
  <c r="O1773" i="3"/>
  <c r="P1772" i="3"/>
  <c r="O1772" i="3"/>
  <c r="P1771" i="3"/>
  <c r="O1771" i="3"/>
  <c r="P1770" i="3"/>
  <c r="O1770" i="3"/>
  <c r="P1769" i="3"/>
  <c r="O1769" i="3"/>
  <c r="P1768" i="3"/>
  <c r="O1768" i="3"/>
  <c r="P1767" i="3"/>
  <c r="O1767" i="3"/>
  <c r="P1766" i="3"/>
  <c r="O1766" i="3"/>
  <c r="P1765" i="3"/>
  <c r="O1765" i="3"/>
  <c r="P1764" i="3"/>
  <c r="O1764" i="3"/>
  <c r="P1763" i="3"/>
  <c r="O1763" i="3"/>
  <c r="P1762" i="3"/>
  <c r="O1762" i="3"/>
  <c r="P1761" i="3"/>
  <c r="O1761" i="3"/>
  <c r="P1760" i="3"/>
  <c r="O1760" i="3"/>
  <c r="P1759" i="3"/>
  <c r="O1759" i="3"/>
  <c r="P1758" i="3"/>
  <c r="O1758" i="3"/>
  <c r="P1757" i="3"/>
  <c r="O1757" i="3"/>
  <c r="P1756" i="3"/>
  <c r="O1756" i="3"/>
  <c r="P1755" i="3"/>
  <c r="O1755" i="3"/>
  <c r="P1754" i="3"/>
  <c r="O1754" i="3"/>
  <c r="P1753" i="3"/>
  <c r="O1753" i="3"/>
  <c r="P1752" i="3"/>
  <c r="O1752" i="3"/>
  <c r="P1751" i="3"/>
  <c r="O1751" i="3"/>
  <c r="P1750" i="3"/>
  <c r="O1750" i="3"/>
  <c r="P1749" i="3"/>
  <c r="O1749" i="3"/>
  <c r="P1748" i="3"/>
  <c r="O1748" i="3"/>
  <c r="P1747" i="3"/>
  <c r="O1747" i="3"/>
  <c r="P1746" i="3"/>
  <c r="O1746" i="3"/>
  <c r="P1745" i="3"/>
  <c r="O1745" i="3"/>
  <c r="P1744" i="3"/>
  <c r="O1744" i="3"/>
  <c r="P1743" i="3"/>
  <c r="O1743" i="3"/>
  <c r="P1742" i="3"/>
  <c r="O1742" i="3"/>
  <c r="P1741" i="3"/>
  <c r="O1741" i="3"/>
  <c r="P1740" i="3"/>
  <c r="O1740" i="3"/>
  <c r="P1739" i="3"/>
  <c r="O1739" i="3"/>
  <c r="P1738" i="3"/>
  <c r="O1738" i="3"/>
  <c r="P1737" i="3"/>
  <c r="O1737" i="3"/>
  <c r="P1736" i="3"/>
  <c r="O1736" i="3"/>
  <c r="P1735" i="3"/>
  <c r="O1735" i="3"/>
  <c r="P1734" i="3"/>
  <c r="O1734" i="3"/>
  <c r="P1733" i="3"/>
  <c r="O1733" i="3"/>
  <c r="P1732" i="3"/>
  <c r="O1732" i="3"/>
  <c r="P1731" i="3"/>
  <c r="O1731" i="3"/>
  <c r="P1730" i="3"/>
  <c r="O1730" i="3"/>
  <c r="P1729" i="3"/>
  <c r="O1729" i="3"/>
  <c r="P1728" i="3"/>
  <c r="O1728" i="3"/>
  <c r="P1727" i="3"/>
  <c r="O1727" i="3"/>
  <c r="P1726" i="3"/>
  <c r="O1726" i="3"/>
  <c r="P1725" i="3"/>
  <c r="O1725" i="3"/>
  <c r="P1724" i="3"/>
  <c r="O1724" i="3"/>
  <c r="P1723" i="3"/>
  <c r="O1723" i="3"/>
  <c r="P1722" i="3"/>
  <c r="O1722" i="3"/>
  <c r="P1721" i="3"/>
  <c r="O1721" i="3"/>
  <c r="P1720" i="3"/>
  <c r="O1720" i="3"/>
  <c r="P1719" i="3"/>
  <c r="O1719" i="3"/>
  <c r="P1718" i="3"/>
  <c r="O1718" i="3"/>
  <c r="P1717" i="3"/>
  <c r="O1717" i="3"/>
  <c r="P1716" i="3"/>
  <c r="O1716" i="3"/>
  <c r="P1715" i="3"/>
  <c r="O1715" i="3"/>
  <c r="P1714" i="3"/>
  <c r="O1714" i="3"/>
  <c r="P1713" i="3"/>
  <c r="O1713" i="3"/>
  <c r="P1712" i="3"/>
  <c r="O1712" i="3"/>
  <c r="P1711" i="3"/>
  <c r="O1711" i="3"/>
  <c r="P1710" i="3"/>
  <c r="O1710" i="3"/>
  <c r="P1709" i="3"/>
  <c r="O1709" i="3"/>
  <c r="P1708" i="3"/>
  <c r="O1708" i="3"/>
  <c r="P1707" i="3"/>
  <c r="O1707" i="3"/>
  <c r="P1706" i="3"/>
  <c r="O1706" i="3"/>
  <c r="P1705" i="3"/>
  <c r="O1705" i="3"/>
  <c r="P1704" i="3"/>
  <c r="O1704" i="3"/>
  <c r="P1703" i="3"/>
  <c r="O1703" i="3"/>
  <c r="P1702" i="3"/>
  <c r="O1702" i="3"/>
  <c r="P1701" i="3"/>
  <c r="O1701" i="3"/>
  <c r="P1700" i="3"/>
  <c r="O1700" i="3"/>
  <c r="P1699" i="3"/>
  <c r="O1699" i="3"/>
  <c r="P1698" i="3"/>
  <c r="O1698" i="3"/>
  <c r="P1697" i="3"/>
  <c r="O1697" i="3"/>
  <c r="P1696" i="3"/>
  <c r="O1696" i="3"/>
  <c r="P1695" i="3"/>
  <c r="O1695" i="3"/>
  <c r="P1694" i="3"/>
  <c r="O1694" i="3"/>
  <c r="P1693" i="3"/>
  <c r="O1693" i="3"/>
  <c r="P1692" i="3"/>
  <c r="O1692" i="3"/>
  <c r="P1691" i="3"/>
  <c r="O1691" i="3"/>
  <c r="P1690" i="3"/>
  <c r="O1690" i="3"/>
  <c r="P1689" i="3"/>
  <c r="O1689" i="3"/>
  <c r="P1688" i="3"/>
  <c r="O1688" i="3"/>
  <c r="P1687" i="3"/>
  <c r="O1687" i="3"/>
  <c r="P1686" i="3"/>
  <c r="O1686" i="3"/>
  <c r="P1685" i="3"/>
  <c r="O1685" i="3"/>
  <c r="P1684" i="3"/>
  <c r="O1684" i="3"/>
  <c r="P1683" i="3"/>
  <c r="O1683" i="3"/>
  <c r="P1682" i="3"/>
  <c r="O1682" i="3"/>
  <c r="P1681" i="3"/>
  <c r="O1681" i="3"/>
  <c r="P1680" i="3"/>
  <c r="O1680" i="3"/>
  <c r="P1679" i="3"/>
  <c r="O1679" i="3"/>
  <c r="P1678" i="3"/>
  <c r="O1678" i="3"/>
  <c r="P1677" i="3"/>
  <c r="O1677" i="3"/>
  <c r="P1676" i="3"/>
  <c r="O1676" i="3"/>
  <c r="P1675" i="3"/>
  <c r="O1675" i="3"/>
  <c r="P1674" i="3"/>
  <c r="O1674" i="3"/>
  <c r="P1673" i="3"/>
  <c r="O1673" i="3"/>
  <c r="P1672" i="3"/>
  <c r="O1672" i="3"/>
  <c r="P1671" i="3"/>
  <c r="O1671" i="3"/>
  <c r="P1670" i="3"/>
  <c r="O1670" i="3"/>
  <c r="P1669" i="3"/>
  <c r="O1669" i="3"/>
  <c r="P1668" i="3"/>
  <c r="O1668" i="3"/>
  <c r="P1667" i="3"/>
  <c r="O1667" i="3"/>
  <c r="P1666" i="3"/>
  <c r="O1666" i="3"/>
  <c r="P1665" i="3"/>
  <c r="O1665" i="3"/>
  <c r="P1664" i="3"/>
  <c r="O1664" i="3"/>
  <c r="P1663" i="3"/>
  <c r="O1663" i="3"/>
  <c r="P1662" i="3"/>
  <c r="O1662" i="3"/>
  <c r="P1661" i="3"/>
  <c r="O1661" i="3"/>
  <c r="P1660" i="3"/>
  <c r="O1660" i="3"/>
  <c r="P1659" i="3"/>
  <c r="O1659" i="3"/>
  <c r="P1658" i="3"/>
  <c r="O1658" i="3"/>
  <c r="P1657" i="3"/>
  <c r="O1657" i="3"/>
  <c r="P1656" i="3"/>
  <c r="O1656" i="3"/>
  <c r="P1655" i="3"/>
  <c r="O1655" i="3"/>
  <c r="P1654" i="3"/>
  <c r="O1654" i="3"/>
  <c r="P1653" i="3"/>
  <c r="O1653" i="3"/>
  <c r="P1652" i="3"/>
  <c r="O1652" i="3"/>
  <c r="P1651" i="3"/>
  <c r="O1651" i="3"/>
  <c r="P1650" i="3"/>
  <c r="O1650" i="3"/>
  <c r="P1649" i="3"/>
  <c r="O1649" i="3"/>
  <c r="P1648" i="3"/>
  <c r="O1648" i="3"/>
  <c r="P1647" i="3"/>
  <c r="O1647" i="3"/>
  <c r="P1646" i="3"/>
  <c r="O1646" i="3"/>
  <c r="P1645" i="3"/>
  <c r="O1645" i="3"/>
  <c r="P1644" i="3"/>
  <c r="O1644" i="3"/>
  <c r="P1643" i="3"/>
  <c r="O1643" i="3"/>
  <c r="P1642" i="3"/>
  <c r="O1642" i="3"/>
  <c r="P1641" i="3"/>
  <c r="O1641" i="3"/>
  <c r="P1640" i="3"/>
  <c r="O1640" i="3"/>
  <c r="P1639" i="3"/>
  <c r="O1639" i="3"/>
  <c r="P1638" i="3"/>
  <c r="O1638" i="3"/>
  <c r="P1637" i="3"/>
  <c r="O1637" i="3"/>
  <c r="P1636" i="3"/>
  <c r="O1636" i="3"/>
  <c r="P1635" i="3"/>
  <c r="O1635" i="3"/>
  <c r="P1634" i="3"/>
  <c r="O1634" i="3"/>
  <c r="P1633" i="3"/>
  <c r="O1633" i="3"/>
  <c r="P1632" i="3"/>
  <c r="O1632" i="3"/>
  <c r="P1631" i="3"/>
  <c r="O1631" i="3"/>
  <c r="P1630" i="3"/>
  <c r="O1630" i="3"/>
  <c r="P1629" i="3"/>
  <c r="O1629" i="3"/>
  <c r="P1628" i="3"/>
  <c r="O1628" i="3"/>
  <c r="P1627" i="3"/>
  <c r="O1627" i="3"/>
  <c r="P1626" i="3"/>
  <c r="O1626" i="3"/>
  <c r="P1625" i="3"/>
  <c r="O1625" i="3"/>
  <c r="P1624" i="3"/>
  <c r="O1624" i="3"/>
  <c r="P1623" i="3"/>
  <c r="O1623" i="3"/>
  <c r="P1622" i="3"/>
  <c r="O1622" i="3"/>
  <c r="P1621" i="3"/>
  <c r="O1621" i="3"/>
  <c r="P1620" i="3"/>
  <c r="O1620" i="3"/>
  <c r="P1619" i="3"/>
  <c r="O1619" i="3"/>
  <c r="P1618" i="3"/>
  <c r="O1618" i="3"/>
  <c r="P1617" i="3"/>
  <c r="O1617" i="3"/>
  <c r="P1616" i="3"/>
  <c r="O1616" i="3"/>
  <c r="P1615" i="3"/>
  <c r="O1615" i="3"/>
  <c r="P1614" i="3"/>
  <c r="O1614" i="3"/>
  <c r="P1613" i="3"/>
  <c r="O1613" i="3"/>
  <c r="P1612" i="3"/>
  <c r="O1612" i="3"/>
  <c r="P1611" i="3"/>
  <c r="O1611" i="3"/>
  <c r="P1610" i="3"/>
  <c r="O1610" i="3"/>
  <c r="P1609" i="3"/>
  <c r="O1609" i="3"/>
  <c r="P1608" i="3"/>
  <c r="O1608" i="3"/>
  <c r="P1607" i="3"/>
  <c r="O1607" i="3"/>
  <c r="P1606" i="3"/>
  <c r="O1606" i="3"/>
  <c r="P1605" i="3"/>
  <c r="O1605" i="3"/>
  <c r="P1604" i="3"/>
  <c r="O1604" i="3"/>
  <c r="P1603" i="3"/>
  <c r="O1603" i="3"/>
  <c r="P1602" i="3"/>
  <c r="O1602" i="3"/>
  <c r="P1601" i="3"/>
  <c r="O1601" i="3"/>
  <c r="P1600" i="3"/>
  <c r="O1600" i="3"/>
  <c r="P1599" i="3"/>
  <c r="O1599" i="3"/>
  <c r="P1598" i="3"/>
  <c r="O1598" i="3"/>
  <c r="P1597" i="3"/>
  <c r="O1597" i="3"/>
  <c r="P1596" i="3"/>
  <c r="O1596" i="3"/>
  <c r="P1595" i="3"/>
  <c r="O1595" i="3"/>
  <c r="P1594" i="3"/>
  <c r="O1594" i="3"/>
  <c r="P1593" i="3"/>
  <c r="O1593" i="3"/>
  <c r="P1592" i="3"/>
  <c r="O1592" i="3"/>
  <c r="P1591" i="3"/>
  <c r="O1591" i="3"/>
  <c r="P1590" i="3"/>
  <c r="O1590" i="3"/>
  <c r="P1589" i="3"/>
  <c r="O1589" i="3"/>
  <c r="P1588" i="3"/>
  <c r="O1588" i="3"/>
  <c r="P1587" i="3"/>
  <c r="O1587" i="3"/>
  <c r="P1586" i="3"/>
  <c r="O1586" i="3"/>
  <c r="P1585" i="3"/>
  <c r="O1585" i="3"/>
  <c r="P1584" i="3"/>
  <c r="O1584" i="3"/>
  <c r="P1583" i="3"/>
  <c r="O1583" i="3"/>
  <c r="P1582" i="3"/>
  <c r="O1582" i="3"/>
  <c r="P1581" i="3"/>
  <c r="O1581" i="3"/>
  <c r="P1580" i="3"/>
  <c r="O1580" i="3"/>
  <c r="P1579" i="3"/>
  <c r="O1579" i="3"/>
  <c r="P1578" i="3"/>
  <c r="O1578" i="3"/>
  <c r="P1577" i="3"/>
  <c r="O1577" i="3"/>
  <c r="P1576" i="3"/>
  <c r="O1576" i="3"/>
  <c r="P1575" i="3"/>
  <c r="O1575" i="3"/>
  <c r="P1574" i="3"/>
  <c r="O1574" i="3"/>
  <c r="P1573" i="3"/>
  <c r="O1573" i="3"/>
  <c r="P1572" i="3"/>
  <c r="O1572" i="3"/>
  <c r="P1571" i="3"/>
  <c r="O1571" i="3"/>
  <c r="P1570" i="3"/>
  <c r="O1570" i="3"/>
  <c r="P1569" i="3"/>
  <c r="O1569" i="3"/>
  <c r="P1568" i="3"/>
  <c r="O1568" i="3"/>
  <c r="P1567" i="3"/>
  <c r="O1567" i="3"/>
  <c r="P1566" i="3"/>
  <c r="O1566" i="3"/>
  <c r="P1565" i="3"/>
  <c r="O1565" i="3"/>
  <c r="P1564" i="3"/>
  <c r="O1564" i="3"/>
  <c r="P1563" i="3"/>
  <c r="O1563" i="3"/>
  <c r="P1562" i="3"/>
  <c r="O1562" i="3"/>
  <c r="P1561" i="3"/>
  <c r="O1561" i="3"/>
  <c r="P1560" i="3"/>
  <c r="O1560" i="3"/>
  <c r="P1559" i="3"/>
  <c r="O1559" i="3"/>
  <c r="P1558" i="3"/>
  <c r="O1558" i="3"/>
  <c r="P1557" i="3"/>
  <c r="O1557" i="3"/>
  <c r="P1556" i="3"/>
  <c r="O1556" i="3"/>
  <c r="P1555" i="3"/>
  <c r="O1555" i="3"/>
  <c r="P1554" i="3"/>
  <c r="O1554" i="3"/>
  <c r="P1553" i="3"/>
  <c r="O1553" i="3"/>
  <c r="P1552" i="3"/>
  <c r="O1552" i="3"/>
  <c r="P1551" i="3"/>
  <c r="O1551" i="3"/>
  <c r="P1550" i="3"/>
  <c r="O1550" i="3"/>
  <c r="P1549" i="3"/>
  <c r="O1549" i="3"/>
  <c r="P1548" i="3"/>
  <c r="O1548" i="3"/>
  <c r="P1547" i="3"/>
  <c r="O1547" i="3"/>
  <c r="P1546" i="3"/>
  <c r="O1546" i="3"/>
  <c r="P1545" i="3"/>
  <c r="O1545" i="3"/>
  <c r="P1544" i="3"/>
  <c r="O1544" i="3"/>
  <c r="P1543" i="3"/>
  <c r="O1543" i="3"/>
  <c r="P1542" i="3"/>
  <c r="O1542" i="3"/>
  <c r="P1541" i="3"/>
  <c r="O1541" i="3"/>
  <c r="P1540" i="3"/>
  <c r="O1540" i="3"/>
  <c r="P1539" i="3"/>
  <c r="O1539" i="3"/>
  <c r="P1538" i="3"/>
  <c r="O1538" i="3"/>
  <c r="P1537" i="3"/>
  <c r="O1537" i="3"/>
  <c r="P1536" i="3"/>
  <c r="O1536" i="3"/>
  <c r="P1535" i="3"/>
  <c r="O1535" i="3"/>
  <c r="P1534" i="3"/>
  <c r="O1534" i="3"/>
  <c r="P1533" i="3"/>
  <c r="O1533" i="3"/>
  <c r="P1532" i="3"/>
  <c r="O1532" i="3"/>
  <c r="P1531" i="3"/>
  <c r="O1531" i="3"/>
  <c r="P1530" i="3"/>
  <c r="O1530" i="3"/>
  <c r="P1529" i="3"/>
  <c r="O1529" i="3"/>
  <c r="P1528" i="3"/>
  <c r="O1528" i="3"/>
  <c r="P1527" i="3"/>
  <c r="O1527" i="3"/>
  <c r="P1526" i="3"/>
  <c r="O1526" i="3"/>
  <c r="P1525" i="3"/>
  <c r="O1525" i="3"/>
  <c r="P1524" i="3"/>
  <c r="O1524" i="3"/>
  <c r="P1523" i="3"/>
  <c r="O1523" i="3"/>
  <c r="P1522" i="3"/>
  <c r="O1522" i="3"/>
  <c r="P1521" i="3"/>
  <c r="O1521" i="3"/>
  <c r="P1520" i="3"/>
  <c r="O1520" i="3"/>
  <c r="P1519" i="3"/>
  <c r="O1519" i="3"/>
  <c r="P1518" i="3"/>
  <c r="O1518" i="3"/>
  <c r="P1517" i="3"/>
  <c r="O1517" i="3"/>
  <c r="P1516" i="3"/>
  <c r="O1516" i="3"/>
  <c r="P1515" i="3"/>
  <c r="O1515" i="3"/>
  <c r="P1514" i="3"/>
  <c r="O1514" i="3"/>
  <c r="P1513" i="3"/>
  <c r="O1513" i="3"/>
  <c r="P1512" i="3"/>
  <c r="O1512" i="3"/>
  <c r="P1511" i="3"/>
  <c r="O1511" i="3"/>
  <c r="P1510" i="3"/>
  <c r="O1510" i="3"/>
  <c r="P1509" i="3"/>
  <c r="O1509" i="3"/>
  <c r="P1508" i="3"/>
  <c r="O1508" i="3"/>
  <c r="P1507" i="3"/>
  <c r="O1507" i="3"/>
  <c r="P1506" i="3"/>
  <c r="O1506" i="3"/>
  <c r="P1505" i="3"/>
  <c r="O1505" i="3"/>
  <c r="P1504" i="3"/>
  <c r="O1504" i="3"/>
  <c r="P1503" i="3"/>
  <c r="O1503" i="3"/>
  <c r="P1502" i="3"/>
  <c r="O1502" i="3"/>
  <c r="P1501" i="3"/>
  <c r="O1501" i="3"/>
  <c r="P1500" i="3"/>
  <c r="O1500" i="3"/>
  <c r="P1499" i="3"/>
  <c r="O1499" i="3"/>
  <c r="P1498" i="3"/>
  <c r="O1498" i="3"/>
  <c r="P1497" i="3"/>
  <c r="O1497" i="3"/>
  <c r="P1496" i="3"/>
  <c r="O1496" i="3"/>
  <c r="P1495" i="3"/>
  <c r="O1495" i="3"/>
  <c r="P1494" i="3"/>
  <c r="O1494" i="3"/>
  <c r="P1493" i="3"/>
  <c r="O1493" i="3"/>
  <c r="P1492" i="3"/>
  <c r="O1492" i="3"/>
  <c r="P1491" i="3"/>
  <c r="O1491" i="3"/>
  <c r="P1490" i="3"/>
  <c r="O1490" i="3"/>
  <c r="P1489" i="3"/>
  <c r="O1489" i="3"/>
  <c r="P1488" i="3"/>
  <c r="O1488" i="3"/>
  <c r="P1487" i="3"/>
  <c r="O1487" i="3"/>
  <c r="P1486" i="3"/>
  <c r="O1486" i="3"/>
  <c r="P1485" i="3"/>
  <c r="O1485" i="3"/>
  <c r="P1484" i="3"/>
  <c r="O1484" i="3"/>
  <c r="P1483" i="3"/>
  <c r="O1483" i="3"/>
  <c r="P1482" i="3"/>
  <c r="O1482" i="3"/>
  <c r="P1481" i="3"/>
  <c r="O1481" i="3"/>
  <c r="P1480" i="3"/>
  <c r="O1480" i="3"/>
  <c r="P1479" i="3"/>
  <c r="O1479" i="3"/>
  <c r="P1478" i="3"/>
  <c r="O1478" i="3"/>
  <c r="P1477" i="3"/>
  <c r="O1477" i="3"/>
  <c r="P1476" i="3"/>
  <c r="O1476" i="3"/>
  <c r="P1475" i="3"/>
  <c r="O1475" i="3"/>
  <c r="P1474" i="3"/>
  <c r="O1474" i="3"/>
  <c r="P1473" i="3"/>
  <c r="O1473" i="3"/>
  <c r="P1472" i="3"/>
  <c r="O1472" i="3"/>
  <c r="P1471" i="3"/>
  <c r="O1471" i="3"/>
  <c r="P1470" i="3"/>
  <c r="O1470" i="3"/>
  <c r="P1469" i="3"/>
  <c r="O1469" i="3"/>
  <c r="P1468" i="3"/>
  <c r="O1468" i="3"/>
  <c r="P1467" i="3"/>
  <c r="O1467" i="3"/>
  <c r="P1466" i="3"/>
  <c r="O1466" i="3"/>
  <c r="P1465" i="3"/>
  <c r="O1465" i="3"/>
  <c r="P1464" i="3"/>
  <c r="O1464" i="3"/>
  <c r="P1463" i="3"/>
  <c r="O1463" i="3"/>
  <c r="P1462" i="3"/>
  <c r="O1462" i="3"/>
  <c r="P1461" i="3"/>
  <c r="O1461" i="3"/>
  <c r="P1460" i="3"/>
  <c r="O1460" i="3"/>
  <c r="P1459" i="3"/>
  <c r="O1459" i="3"/>
  <c r="P1458" i="3"/>
  <c r="O1458" i="3"/>
  <c r="P1457" i="3"/>
  <c r="O1457" i="3"/>
  <c r="P1456" i="3"/>
  <c r="O1456" i="3"/>
  <c r="P1455" i="3"/>
  <c r="O1455" i="3"/>
  <c r="P1454" i="3"/>
  <c r="O1454" i="3"/>
  <c r="P1453" i="3"/>
  <c r="O1453" i="3"/>
  <c r="P1452" i="3"/>
  <c r="O1452" i="3"/>
  <c r="P1451" i="3"/>
  <c r="O1451" i="3"/>
  <c r="P1450" i="3"/>
  <c r="O1450" i="3"/>
  <c r="P1449" i="3"/>
  <c r="O1449" i="3"/>
  <c r="P1448" i="3"/>
  <c r="O1448" i="3"/>
  <c r="P1447" i="3"/>
  <c r="O1447" i="3"/>
  <c r="P1446" i="3"/>
  <c r="O1446" i="3"/>
  <c r="P1445" i="3"/>
  <c r="O1445" i="3"/>
  <c r="P1444" i="3"/>
  <c r="O1444" i="3"/>
  <c r="P1443" i="3"/>
  <c r="O1443" i="3"/>
  <c r="P1442" i="3"/>
  <c r="O1442" i="3"/>
  <c r="P1441" i="3"/>
  <c r="O1441" i="3"/>
  <c r="P1440" i="3"/>
  <c r="O1440" i="3"/>
  <c r="P1439" i="3"/>
  <c r="O1439" i="3"/>
  <c r="P1438" i="3"/>
  <c r="O1438" i="3"/>
  <c r="P1437" i="3"/>
  <c r="O1437" i="3"/>
  <c r="P1436" i="3"/>
  <c r="O1436" i="3"/>
  <c r="P1435" i="3"/>
  <c r="O1435" i="3"/>
  <c r="P1434" i="3"/>
  <c r="O1434" i="3"/>
  <c r="P1433" i="3"/>
  <c r="O1433" i="3"/>
  <c r="P1432" i="3"/>
  <c r="O1432" i="3"/>
  <c r="P1431" i="3"/>
  <c r="O1431" i="3"/>
  <c r="P1430" i="3"/>
  <c r="O1430" i="3"/>
  <c r="P1429" i="3"/>
  <c r="O1429" i="3"/>
  <c r="P1428" i="3"/>
  <c r="O1428" i="3"/>
  <c r="P1427" i="3"/>
  <c r="O1427" i="3"/>
  <c r="P1426" i="3"/>
  <c r="O1426" i="3"/>
  <c r="P1425" i="3"/>
  <c r="O1425" i="3"/>
  <c r="P1424" i="3"/>
  <c r="O1424" i="3"/>
  <c r="P1423" i="3"/>
  <c r="O1423" i="3"/>
  <c r="P1422" i="3"/>
  <c r="O1422" i="3"/>
  <c r="P1421" i="3"/>
  <c r="O1421" i="3"/>
  <c r="P1420" i="3"/>
  <c r="O1420" i="3"/>
  <c r="P1419" i="3"/>
  <c r="O1419" i="3"/>
  <c r="P1418" i="3"/>
  <c r="O1418" i="3"/>
  <c r="P1417" i="3"/>
  <c r="O1417" i="3"/>
  <c r="P1416" i="3"/>
  <c r="O1416" i="3"/>
  <c r="P1415" i="3"/>
  <c r="O1415" i="3"/>
  <c r="P1414" i="3"/>
  <c r="O1414" i="3"/>
  <c r="P1413" i="3"/>
  <c r="O1413" i="3"/>
  <c r="P1412" i="3"/>
  <c r="O1412" i="3"/>
  <c r="P1411" i="3"/>
  <c r="O1411" i="3"/>
  <c r="P1410" i="3"/>
  <c r="O1410" i="3"/>
  <c r="P1409" i="3"/>
  <c r="O1409" i="3"/>
  <c r="P1408" i="3"/>
  <c r="O1408" i="3"/>
  <c r="P1407" i="3"/>
  <c r="O1407" i="3"/>
  <c r="P1406" i="3"/>
  <c r="O1406" i="3"/>
  <c r="P1405" i="3"/>
  <c r="O1405" i="3"/>
  <c r="P1404" i="3"/>
  <c r="O1404" i="3"/>
  <c r="P1403" i="3"/>
  <c r="O1403" i="3"/>
  <c r="P1402" i="3"/>
  <c r="O1402" i="3"/>
  <c r="P1401" i="3"/>
  <c r="O1401" i="3"/>
  <c r="P1400" i="3"/>
  <c r="O1400" i="3"/>
  <c r="P1399" i="3"/>
  <c r="O1399" i="3"/>
  <c r="P1398" i="3"/>
  <c r="O1398" i="3"/>
  <c r="P1397" i="3"/>
  <c r="O1397" i="3"/>
  <c r="P1396" i="3"/>
  <c r="O1396" i="3"/>
  <c r="P1395" i="3"/>
  <c r="O1395" i="3"/>
  <c r="P1394" i="3"/>
  <c r="O1394" i="3"/>
  <c r="P1393" i="3"/>
  <c r="O1393" i="3"/>
  <c r="P1392" i="3"/>
  <c r="O1392" i="3"/>
  <c r="P1391" i="3"/>
  <c r="O1391" i="3"/>
  <c r="P1390" i="3"/>
  <c r="O1390" i="3"/>
  <c r="P1389" i="3"/>
  <c r="O1389" i="3"/>
  <c r="P1388" i="3"/>
  <c r="O1388" i="3"/>
  <c r="P1387" i="3"/>
  <c r="O1387" i="3"/>
  <c r="P1386" i="3"/>
  <c r="O1386" i="3"/>
  <c r="P1385" i="3"/>
  <c r="O1385" i="3"/>
  <c r="P1384" i="3"/>
  <c r="O1384" i="3"/>
  <c r="P1383" i="3"/>
  <c r="O1383" i="3"/>
  <c r="P1382" i="3"/>
  <c r="O1382" i="3"/>
  <c r="P1381" i="3"/>
  <c r="O1381" i="3"/>
  <c r="P1380" i="3"/>
  <c r="O1380" i="3"/>
  <c r="P1379" i="3"/>
  <c r="O1379" i="3"/>
  <c r="P1378" i="3"/>
  <c r="O1378" i="3"/>
  <c r="P1377" i="3"/>
  <c r="O1377" i="3"/>
  <c r="P1376" i="3"/>
  <c r="O1376" i="3"/>
  <c r="P1375" i="3"/>
  <c r="O1375" i="3"/>
  <c r="P1374" i="3"/>
  <c r="O1374" i="3"/>
  <c r="P1373" i="3"/>
  <c r="O1373" i="3"/>
  <c r="P1372" i="3"/>
  <c r="O1372" i="3"/>
  <c r="P1371" i="3"/>
  <c r="O1371" i="3"/>
  <c r="P1370" i="3"/>
  <c r="O1370" i="3"/>
  <c r="P1369" i="3"/>
  <c r="O1369" i="3"/>
  <c r="P1368" i="3"/>
  <c r="O1368" i="3"/>
  <c r="P1367" i="3"/>
  <c r="O1367" i="3"/>
  <c r="P1366" i="3"/>
  <c r="O1366" i="3"/>
  <c r="P1365" i="3"/>
  <c r="O1365" i="3"/>
  <c r="P1364" i="3"/>
  <c r="O1364" i="3"/>
  <c r="P1363" i="3"/>
  <c r="O1363" i="3"/>
  <c r="P1362" i="3"/>
  <c r="O1362" i="3"/>
  <c r="P1361" i="3"/>
  <c r="O1361" i="3"/>
  <c r="P1360" i="3"/>
  <c r="O1360" i="3"/>
  <c r="P1359" i="3"/>
  <c r="O1359" i="3"/>
  <c r="P1358" i="3"/>
  <c r="O1358" i="3"/>
  <c r="P1357" i="3"/>
  <c r="O1357" i="3"/>
  <c r="P1356" i="3"/>
  <c r="O1356" i="3"/>
  <c r="P1355" i="3"/>
  <c r="O1355" i="3"/>
  <c r="P1354" i="3"/>
  <c r="O1354" i="3"/>
  <c r="P1353" i="3"/>
  <c r="O1353" i="3"/>
  <c r="P1352" i="3"/>
  <c r="O1352" i="3"/>
  <c r="P1351" i="3"/>
  <c r="O1351" i="3"/>
  <c r="P1350" i="3"/>
  <c r="O1350" i="3"/>
  <c r="P1349" i="3"/>
  <c r="O1349" i="3"/>
  <c r="P1348" i="3"/>
  <c r="O1348" i="3"/>
  <c r="P1347" i="3"/>
  <c r="O1347" i="3"/>
  <c r="P1346" i="3"/>
  <c r="O1346" i="3"/>
  <c r="P1345" i="3"/>
  <c r="O1345" i="3"/>
  <c r="P1344" i="3"/>
  <c r="O1344" i="3"/>
  <c r="P1343" i="3"/>
  <c r="O1343" i="3"/>
  <c r="P1342" i="3"/>
  <c r="O1342" i="3"/>
  <c r="P1341" i="3"/>
  <c r="O1341" i="3"/>
  <c r="P1340" i="3"/>
  <c r="O1340" i="3"/>
  <c r="P1339" i="3"/>
  <c r="O1339" i="3"/>
  <c r="P1338" i="3"/>
  <c r="O1338" i="3"/>
  <c r="P1337" i="3"/>
  <c r="O1337" i="3"/>
  <c r="P1336" i="3"/>
  <c r="O1336" i="3"/>
  <c r="P1335" i="3"/>
  <c r="O1335" i="3"/>
  <c r="P1334" i="3"/>
  <c r="O1334" i="3"/>
  <c r="P1333" i="3"/>
  <c r="O1333" i="3"/>
  <c r="P1332" i="3"/>
  <c r="O1332" i="3"/>
  <c r="P1331" i="3"/>
  <c r="O1331" i="3"/>
  <c r="P1330" i="3"/>
  <c r="O1330" i="3"/>
  <c r="P1329" i="3"/>
  <c r="O1329" i="3"/>
  <c r="P1328" i="3"/>
  <c r="O1328" i="3"/>
  <c r="P1327" i="3"/>
  <c r="O1327" i="3"/>
  <c r="P1326" i="3"/>
  <c r="O1326" i="3"/>
  <c r="P1325" i="3"/>
  <c r="O1325" i="3"/>
  <c r="P1324" i="3"/>
  <c r="O1324" i="3"/>
  <c r="P1323" i="3"/>
  <c r="O1323" i="3"/>
  <c r="P1322" i="3"/>
  <c r="O1322" i="3"/>
  <c r="P1321" i="3"/>
  <c r="O1321" i="3"/>
  <c r="P1320" i="3"/>
  <c r="O1320" i="3"/>
  <c r="P1319" i="3"/>
  <c r="O1319" i="3"/>
  <c r="P1318" i="3"/>
  <c r="O1318" i="3"/>
  <c r="P1317" i="3"/>
  <c r="O1317" i="3"/>
  <c r="P1316" i="3"/>
  <c r="O1316" i="3"/>
  <c r="P1315" i="3"/>
  <c r="O1315" i="3"/>
  <c r="P1314" i="3"/>
  <c r="O1314" i="3"/>
  <c r="P1313" i="3"/>
  <c r="O1313" i="3"/>
  <c r="P1312" i="3"/>
  <c r="O1312" i="3"/>
  <c r="P1311" i="3"/>
  <c r="O1311" i="3"/>
  <c r="P1310" i="3"/>
  <c r="O1310" i="3"/>
  <c r="P1309" i="3"/>
  <c r="O1309" i="3"/>
  <c r="P1308" i="3"/>
  <c r="O1308" i="3"/>
  <c r="P1307" i="3"/>
  <c r="O1307" i="3"/>
  <c r="P1306" i="3"/>
  <c r="O1306" i="3"/>
  <c r="P1305" i="3"/>
  <c r="O1305" i="3"/>
  <c r="P1304" i="3"/>
  <c r="O1304" i="3"/>
  <c r="P1303" i="3"/>
  <c r="O1303" i="3"/>
  <c r="P1302" i="3"/>
  <c r="O1302" i="3"/>
  <c r="P1301" i="3"/>
  <c r="O1301" i="3"/>
  <c r="P1300" i="3"/>
  <c r="O1300" i="3"/>
  <c r="P1299" i="3"/>
  <c r="O1299" i="3"/>
  <c r="P1298" i="3"/>
  <c r="O1298" i="3"/>
  <c r="P1297" i="3"/>
  <c r="O1297" i="3"/>
  <c r="P1296" i="3"/>
  <c r="O1296" i="3"/>
  <c r="P1295" i="3"/>
  <c r="O1295" i="3"/>
  <c r="P1294" i="3"/>
  <c r="O1294" i="3"/>
  <c r="P1293" i="3"/>
  <c r="O1293" i="3"/>
  <c r="P1292" i="3"/>
  <c r="O1292" i="3"/>
  <c r="P1291" i="3"/>
  <c r="O1291" i="3"/>
  <c r="P1290" i="3"/>
  <c r="O1290" i="3"/>
  <c r="P1289" i="3"/>
  <c r="O1289" i="3"/>
  <c r="P1288" i="3"/>
  <c r="O1288" i="3"/>
  <c r="P1287" i="3"/>
  <c r="O1287" i="3"/>
  <c r="P1286" i="3"/>
  <c r="O1286" i="3"/>
  <c r="P1285" i="3"/>
  <c r="O1285" i="3"/>
  <c r="P1284" i="3"/>
  <c r="O1284" i="3"/>
  <c r="P1283" i="3"/>
  <c r="O1283" i="3"/>
  <c r="P1282" i="3"/>
  <c r="O1282" i="3"/>
  <c r="P1281" i="3"/>
  <c r="O1281" i="3"/>
  <c r="P1280" i="3"/>
  <c r="O1280" i="3"/>
  <c r="P1279" i="3"/>
  <c r="O1279" i="3"/>
  <c r="P1278" i="3"/>
  <c r="O1278" i="3"/>
  <c r="P1277" i="3"/>
  <c r="O1277" i="3"/>
  <c r="P1276" i="3"/>
  <c r="O1276" i="3"/>
  <c r="P1275" i="3"/>
  <c r="O1275" i="3"/>
  <c r="P1274" i="3"/>
  <c r="O1274" i="3"/>
  <c r="P1273" i="3"/>
  <c r="O1273" i="3"/>
  <c r="P1272" i="3"/>
  <c r="O1272" i="3"/>
  <c r="P1271" i="3"/>
  <c r="O1271" i="3"/>
  <c r="P1270" i="3"/>
  <c r="O1270" i="3"/>
  <c r="P1269" i="3"/>
  <c r="O1269" i="3"/>
  <c r="P1268" i="3"/>
  <c r="O1268" i="3"/>
  <c r="P1267" i="3"/>
  <c r="O1267" i="3"/>
  <c r="P1266" i="3"/>
  <c r="O1266" i="3"/>
  <c r="P1265" i="3"/>
  <c r="O1265" i="3"/>
  <c r="P1264" i="3"/>
  <c r="O1264" i="3"/>
  <c r="P1263" i="3"/>
  <c r="O1263" i="3"/>
  <c r="P1262" i="3"/>
  <c r="O1262" i="3"/>
  <c r="P1261" i="3"/>
  <c r="O1261" i="3"/>
  <c r="P1260" i="3"/>
  <c r="O1260" i="3"/>
  <c r="P1259" i="3"/>
  <c r="O1259" i="3"/>
  <c r="P1258" i="3"/>
  <c r="O1258" i="3"/>
  <c r="P1257" i="3"/>
  <c r="O1257" i="3"/>
  <c r="P1256" i="3"/>
  <c r="O1256" i="3"/>
  <c r="P1255" i="3"/>
  <c r="O1255" i="3"/>
  <c r="P1254" i="3"/>
  <c r="O1254" i="3"/>
  <c r="P1253" i="3"/>
  <c r="O1253" i="3"/>
  <c r="P1252" i="3"/>
  <c r="O1252" i="3"/>
  <c r="P1251" i="3"/>
  <c r="O1251" i="3"/>
  <c r="P1250" i="3"/>
  <c r="O1250" i="3"/>
  <c r="P1249" i="3"/>
  <c r="O1249" i="3"/>
  <c r="P1248" i="3"/>
  <c r="O1248" i="3"/>
  <c r="P1247" i="3"/>
  <c r="O1247" i="3"/>
  <c r="P1246" i="3"/>
  <c r="O1246" i="3"/>
  <c r="P1245" i="3"/>
  <c r="O1245" i="3"/>
  <c r="P1244" i="3"/>
  <c r="O1244" i="3"/>
  <c r="P1243" i="3"/>
  <c r="O1243" i="3"/>
  <c r="P1242" i="3"/>
  <c r="O1242" i="3"/>
  <c r="P1241" i="3"/>
  <c r="O1241" i="3"/>
  <c r="P1240" i="3"/>
  <c r="O1240" i="3"/>
  <c r="P1239" i="3"/>
  <c r="O1239" i="3"/>
  <c r="P1238" i="3"/>
  <c r="O1238" i="3"/>
  <c r="P1237" i="3"/>
  <c r="O1237" i="3"/>
  <c r="P1236" i="3"/>
  <c r="O1236" i="3"/>
  <c r="P1235" i="3"/>
  <c r="O1235" i="3"/>
  <c r="P1234" i="3"/>
  <c r="O1234" i="3"/>
  <c r="P1233" i="3"/>
  <c r="O1233" i="3"/>
  <c r="P1232" i="3"/>
  <c r="O1232" i="3"/>
  <c r="P1231" i="3"/>
  <c r="O1231" i="3"/>
  <c r="P1230" i="3"/>
  <c r="O1230" i="3"/>
  <c r="P1229" i="3"/>
  <c r="O1229" i="3"/>
  <c r="P1228" i="3"/>
  <c r="O1228" i="3"/>
  <c r="P1227" i="3"/>
  <c r="O1227" i="3"/>
  <c r="P1226" i="3"/>
  <c r="O1226" i="3"/>
  <c r="P1225" i="3"/>
  <c r="O1225" i="3"/>
  <c r="P1224" i="3"/>
  <c r="O1224" i="3"/>
  <c r="P1223" i="3"/>
  <c r="O1223" i="3"/>
  <c r="P1222" i="3"/>
  <c r="O1222" i="3"/>
  <c r="P1221" i="3"/>
  <c r="O1221" i="3"/>
  <c r="P1220" i="3"/>
  <c r="O1220" i="3"/>
  <c r="P1219" i="3"/>
  <c r="O1219" i="3"/>
  <c r="P1218" i="3"/>
  <c r="O1218" i="3"/>
  <c r="P1217" i="3"/>
  <c r="O1217" i="3"/>
  <c r="P1216" i="3"/>
  <c r="O1216" i="3"/>
  <c r="P1215" i="3"/>
  <c r="O1215" i="3"/>
  <c r="P1214" i="3"/>
  <c r="O1214" i="3"/>
  <c r="P1213" i="3"/>
  <c r="O1213" i="3"/>
  <c r="P1212" i="3"/>
  <c r="O1212" i="3"/>
  <c r="P1211" i="3"/>
  <c r="O1211" i="3"/>
  <c r="P1210" i="3"/>
  <c r="O1210" i="3"/>
  <c r="P1209" i="3"/>
  <c r="O1209" i="3"/>
  <c r="P1208" i="3"/>
  <c r="O1208" i="3"/>
  <c r="P1207" i="3"/>
  <c r="O1207" i="3"/>
  <c r="P1206" i="3"/>
  <c r="O1206" i="3"/>
  <c r="P1205" i="3"/>
  <c r="O1205" i="3"/>
  <c r="P1204" i="3"/>
  <c r="O1204" i="3"/>
  <c r="P1203" i="3"/>
  <c r="O1203" i="3"/>
  <c r="P1202" i="3"/>
  <c r="O1202" i="3"/>
  <c r="P1201" i="3"/>
  <c r="O1201" i="3"/>
  <c r="P1200" i="3"/>
  <c r="O1200" i="3"/>
  <c r="P1199" i="3"/>
  <c r="O1199" i="3"/>
  <c r="P1198" i="3"/>
  <c r="O1198" i="3"/>
  <c r="P1197" i="3"/>
  <c r="O1197" i="3"/>
  <c r="P1196" i="3"/>
  <c r="O1196" i="3"/>
  <c r="P1195" i="3"/>
  <c r="O1195" i="3"/>
  <c r="P1194" i="3"/>
  <c r="O1194" i="3"/>
  <c r="P1193" i="3"/>
  <c r="O1193" i="3"/>
  <c r="P1192" i="3"/>
  <c r="O1192" i="3"/>
  <c r="P1191" i="3"/>
  <c r="O1191" i="3"/>
  <c r="P1190" i="3"/>
  <c r="O1190" i="3"/>
  <c r="P1189" i="3"/>
  <c r="O1189" i="3"/>
  <c r="P1188" i="3"/>
  <c r="O1188" i="3"/>
  <c r="P1187" i="3"/>
  <c r="O1187" i="3"/>
  <c r="P1186" i="3"/>
  <c r="O1186" i="3"/>
  <c r="P1185" i="3"/>
  <c r="O1185" i="3"/>
  <c r="P1184" i="3"/>
  <c r="O1184" i="3"/>
  <c r="P1183" i="3"/>
  <c r="O1183" i="3"/>
  <c r="P1182" i="3"/>
  <c r="O1182" i="3"/>
  <c r="P1181" i="3"/>
  <c r="O1181" i="3"/>
  <c r="P1180" i="3"/>
  <c r="O1180" i="3"/>
  <c r="P1179" i="3"/>
  <c r="O1179" i="3"/>
  <c r="P1178" i="3"/>
  <c r="O1178" i="3"/>
  <c r="P1177" i="3"/>
  <c r="O1177" i="3"/>
  <c r="P1176" i="3"/>
  <c r="O1176" i="3"/>
  <c r="P1175" i="3"/>
  <c r="O1175" i="3"/>
  <c r="P1174" i="3"/>
  <c r="O1174" i="3"/>
  <c r="P1173" i="3"/>
  <c r="O1173" i="3"/>
  <c r="P1172" i="3"/>
  <c r="O1172" i="3"/>
  <c r="P1171" i="3"/>
  <c r="O1171" i="3"/>
  <c r="P1170" i="3"/>
  <c r="O1170" i="3"/>
  <c r="P1169" i="3"/>
  <c r="O1169" i="3"/>
  <c r="P1168" i="3"/>
  <c r="O1168" i="3"/>
  <c r="P1167" i="3"/>
  <c r="O1167" i="3"/>
  <c r="P1166" i="3"/>
  <c r="O1166" i="3"/>
  <c r="P1165" i="3"/>
  <c r="O1165" i="3"/>
  <c r="P1164" i="3"/>
  <c r="O1164" i="3"/>
  <c r="P1163" i="3"/>
  <c r="O1163" i="3"/>
  <c r="P1162" i="3"/>
  <c r="O1162" i="3"/>
  <c r="P1161" i="3"/>
  <c r="O1161" i="3"/>
  <c r="P1160" i="3"/>
  <c r="O1160" i="3"/>
  <c r="P1159" i="3"/>
  <c r="O1159" i="3"/>
  <c r="P1158" i="3"/>
  <c r="O1158" i="3"/>
  <c r="P1157" i="3"/>
  <c r="O1157" i="3"/>
  <c r="P1156" i="3"/>
  <c r="O1156" i="3"/>
  <c r="P1155" i="3"/>
  <c r="O1155" i="3"/>
  <c r="P1154" i="3"/>
  <c r="O1154" i="3"/>
  <c r="P1153" i="3"/>
  <c r="O1153" i="3"/>
  <c r="P1152" i="3"/>
  <c r="O1152" i="3"/>
  <c r="P1151" i="3"/>
  <c r="O1151" i="3"/>
  <c r="P1150" i="3"/>
  <c r="O1150" i="3"/>
  <c r="P1149" i="3"/>
  <c r="O1149" i="3"/>
  <c r="P1148" i="3"/>
  <c r="O1148" i="3"/>
  <c r="P1147" i="3"/>
  <c r="O1147" i="3"/>
  <c r="P1146" i="3"/>
  <c r="O1146" i="3"/>
  <c r="P1145" i="3"/>
  <c r="O1145" i="3"/>
  <c r="P1144" i="3"/>
  <c r="O1144" i="3"/>
  <c r="P1143" i="3"/>
  <c r="O1143" i="3"/>
  <c r="P1142" i="3"/>
  <c r="O1142" i="3"/>
  <c r="P1141" i="3"/>
  <c r="O1141" i="3"/>
  <c r="P1140" i="3"/>
  <c r="O1140" i="3"/>
  <c r="P1139" i="3"/>
  <c r="O1139" i="3"/>
  <c r="P1138" i="3"/>
  <c r="O1138" i="3"/>
  <c r="P1137" i="3"/>
  <c r="O1137" i="3"/>
  <c r="P1136" i="3"/>
  <c r="O1136" i="3"/>
  <c r="P1135" i="3"/>
  <c r="O1135" i="3"/>
  <c r="P1134" i="3"/>
  <c r="O1134" i="3"/>
  <c r="P1133" i="3"/>
  <c r="O1133" i="3"/>
  <c r="P1132" i="3"/>
  <c r="O1132" i="3"/>
  <c r="P1131" i="3"/>
  <c r="O1131" i="3"/>
  <c r="P1130" i="3"/>
  <c r="O1130" i="3"/>
  <c r="P1129" i="3"/>
  <c r="O1129" i="3"/>
  <c r="P1128" i="3"/>
  <c r="O1128" i="3"/>
  <c r="P1127" i="3"/>
  <c r="O1127" i="3"/>
  <c r="P1126" i="3"/>
  <c r="O1126" i="3"/>
  <c r="P1125" i="3"/>
  <c r="O1125" i="3"/>
  <c r="P1124" i="3"/>
  <c r="O1124" i="3"/>
  <c r="P1123" i="3"/>
  <c r="O1123" i="3"/>
  <c r="P1122" i="3"/>
  <c r="O1122" i="3"/>
  <c r="P1121" i="3"/>
  <c r="O1121" i="3"/>
  <c r="P1120" i="3"/>
  <c r="O1120" i="3"/>
  <c r="P1119" i="3"/>
  <c r="O1119" i="3"/>
  <c r="P1118" i="3"/>
  <c r="O1118" i="3"/>
  <c r="P1117" i="3"/>
  <c r="O1117" i="3"/>
  <c r="P1116" i="3"/>
  <c r="O1116" i="3"/>
  <c r="P1115" i="3"/>
  <c r="O1115" i="3"/>
  <c r="P1114" i="3"/>
  <c r="O1114" i="3"/>
  <c r="P1113" i="3"/>
  <c r="O1113" i="3"/>
  <c r="P1112" i="3"/>
  <c r="O1112" i="3"/>
  <c r="P1111" i="3"/>
  <c r="O1111" i="3"/>
  <c r="P1110" i="3"/>
  <c r="O1110" i="3"/>
  <c r="P1109" i="3"/>
  <c r="O1109" i="3"/>
  <c r="P1108" i="3"/>
  <c r="O1108" i="3"/>
  <c r="P1107" i="3"/>
  <c r="O1107" i="3"/>
  <c r="P1106" i="3"/>
  <c r="O1106" i="3"/>
  <c r="P1105" i="3"/>
  <c r="O1105" i="3"/>
  <c r="P1104" i="3"/>
  <c r="O1104" i="3"/>
  <c r="P1103" i="3"/>
  <c r="O1103" i="3"/>
  <c r="P1102" i="3"/>
  <c r="O1102" i="3"/>
  <c r="P1101" i="3"/>
  <c r="O1101" i="3"/>
  <c r="P1100" i="3"/>
  <c r="O1100" i="3"/>
  <c r="P1099" i="3"/>
  <c r="O1099" i="3"/>
  <c r="P1098" i="3"/>
  <c r="O1098" i="3"/>
  <c r="P1097" i="3"/>
  <c r="O1097" i="3"/>
  <c r="P1096" i="3"/>
  <c r="O1096" i="3"/>
  <c r="P1095" i="3"/>
  <c r="O1095" i="3"/>
  <c r="P1094" i="3"/>
  <c r="O1094" i="3"/>
  <c r="P1093" i="3"/>
  <c r="O1093" i="3"/>
  <c r="P1092" i="3"/>
  <c r="O1092" i="3"/>
  <c r="P1091" i="3"/>
  <c r="O1091" i="3"/>
  <c r="P1090" i="3"/>
  <c r="O1090" i="3"/>
  <c r="P1089" i="3"/>
  <c r="O1089" i="3"/>
  <c r="P1088" i="3"/>
  <c r="O1088" i="3"/>
  <c r="P1087" i="3"/>
  <c r="O1087" i="3"/>
  <c r="P1086" i="3"/>
  <c r="O1086" i="3"/>
  <c r="P1085" i="3"/>
  <c r="O1085" i="3"/>
  <c r="P1084" i="3"/>
  <c r="O1084" i="3"/>
  <c r="P1083" i="3"/>
  <c r="O1083" i="3"/>
  <c r="P1082" i="3"/>
  <c r="O1082" i="3"/>
  <c r="P1081" i="3"/>
  <c r="O1081" i="3"/>
  <c r="P1080" i="3"/>
  <c r="O1080" i="3"/>
  <c r="P1079" i="3"/>
  <c r="O1079" i="3"/>
  <c r="P1078" i="3"/>
  <c r="O1078" i="3"/>
  <c r="P1077" i="3"/>
  <c r="O1077" i="3"/>
  <c r="P1076" i="3"/>
  <c r="O1076" i="3"/>
  <c r="P1075" i="3"/>
  <c r="O1075" i="3"/>
  <c r="P1074" i="3"/>
  <c r="O1074" i="3"/>
  <c r="P1073" i="3"/>
  <c r="O1073" i="3"/>
  <c r="P1072" i="3"/>
  <c r="O1072" i="3"/>
  <c r="P1071" i="3"/>
  <c r="O1071" i="3"/>
  <c r="P1070" i="3"/>
  <c r="O1070" i="3"/>
  <c r="P1069" i="3"/>
  <c r="O1069" i="3"/>
  <c r="P1068" i="3"/>
  <c r="O1068" i="3"/>
  <c r="P1067" i="3"/>
  <c r="O1067" i="3"/>
  <c r="P1066" i="3"/>
  <c r="O1066" i="3"/>
  <c r="P1065" i="3"/>
  <c r="O1065" i="3"/>
  <c r="P1064" i="3"/>
  <c r="O1064" i="3"/>
  <c r="P1063" i="3"/>
  <c r="O1063" i="3"/>
  <c r="P1062" i="3"/>
  <c r="O1062" i="3"/>
  <c r="P1061" i="3"/>
  <c r="O1061" i="3"/>
  <c r="P1060" i="3"/>
  <c r="O1060" i="3"/>
  <c r="P1059" i="3"/>
  <c r="O1059" i="3"/>
  <c r="P1058" i="3"/>
  <c r="O1058" i="3"/>
  <c r="P1057" i="3"/>
  <c r="O1057" i="3"/>
  <c r="P1056" i="3"/>
  <c r="O1056" i="3"/>
  <c r="P1055" i="3"/>
  <c r="O1055" i="3"/>
  <c r="P1054" i="3"/>
  <c r="O1054" i="3"/>
  <c r="P1053" i="3"/>
  <c r="O1053" i="3"/>
  <c r="P1052" i="3"/>
  <c r="O1052" i="3"/>
  <c r="P1051" i="3"/>
  <c r="O1051" i="3"/>
  <c r="P1050" i="3"/>
  <c r="O1050" i="3"/>
  <c r="P1049" i="3"/>
  <c r="O1049" i="3"/>
  <c r="P1048" i="3"/>
  <c r="O1048" i="3"/>
  <c r="P1047" i="3"/>
  <c r="O1047" i="3"/>
  <c r="P1046" i="3"/>
  <c r="O1046" i="3"/>
  <c r="P1045" i="3"/>
  <c r="O1045" i="3"/>
  <c r="P1044" i="3"/>
  <c r="O1044" i="3"/>
  <c r="P1043" i="3"/>
  <c r="O1043" i="3"/>
  <c r="P1042" i="3"/>
  <c r="O1042" i="3"/>
  <c r="P1041" i="3"/>
  <c r="O1041" i="3"/>
  <c r="P1040" i="3"/>
  <c r="O1040" i="3"/>
  <c r="P1039" i="3"/>
  <c r="O1039" i="3"/>
  <c r="P1038" i="3"/>
  <c r="O1038" i="3"/>
  <c r="P1037" i="3"/>
  <c r="O1037" i="3"/>
  <c r="P1036" i="3"/>
  <c r="O1036" i="3"/>
  <c r="P1035" i="3"/>
  <c r="O1035" i="3"/>
  <c r="P1034" i="3"/>
  <c r="O1034" i="3"/>
  <c r="P1033" i="3"/>
  <c r="O1033" i="3"/>
  <c r="P1032" i="3"/>
  <c r="O1032" i="3"/>
  <c r="P1031" i="3"/>
  <c r="O1031" i="3"/>
  <c r="P1030" i="3"/>
  <c r="O1030" i="3"/>
  <c r="P1029" i="3"/>
  <c r="O1029" i="3"/>
  <c r="P1028" i="3"/>
  <c r="O1028" i="3"/>
  <c r="P1027" i="3"/>
  <c r="O1027" i="3"/>
  <c r="P1026" i="3"/>
  <c r="O1026" i="3"/>
  <c r="P1025" i="3"/>
  <c r="O1025" i="3"/>
  <c r="P1024" i="3"/>
  <c r="O1024" i="3"/>
  <c r="P1023" i="3"/>
  <c r="O1023" i="3"/>
  <c r="P1022" i="3"/>
  <c r="O1022" i="3"/>
  <c r="P1021" i="3"/>
  <c r="O1021" i="3"/>
  <c r="P1020" i="3"/>
  <c r="O1020" i="3"/>
  <c r="P1019" i="3"/>
  <c r="O1019" i="3"/>
  <c r="P1018" i="3"/>
  <c r="O1018" i="3"/>
  <c r="P1017" i="3"/>
  <c r="O1017" i="3"/>
  <c r="P1016" i="3"/>
  <c r="O1016" i="3"/>
  <c r="P1015" i="3"/>
  <c r="O1015" i="3"/>
  <c r="P1014" i="3"/>
  <c r="O1014" i="3"/>
  <c r="P1013" i="3"/>
  <c r="O1013" i="3"/>
  <c r="P1012" i="3"/>
  <c r="O1012" i="3"/>
  <c r="P1011" i="3"/>
  <c r="O1011" i="3"/>
  <c r="P1010" i="3"/>
  <c r="O1010" i="3"/>
  <c r="P1009" i="3"/>
  <c r="O1009" i="3"/>
  <c r="P1008" i="3"/>
  <c r="O1008" i="3"/>
  <c r="P1007" i="3"/>
  <c r="O1007" i="3"/>
  <c r="P1006" i="3"/>
  <c r="O1006" i="3"/>
  <c r="P1005" i="3"/>
  <c r="O1005" i="3"/>
  <c r="P1004" i="3"/>
  <c r="O1004" i="3"/>
  <c r="P1003" i="3"/>
  <c r="O1003" i="3"/>
  <c r="P1002" i="3"/>
  <c r="O1002" i="3"/>
  <c r="P1001" i="3"/>
  <c r="O1001" i="3"/>
  <c r="P1000" i="3"/>
  <c r="O1000" i="3"/>
  <c r="P999" i="3"/>
  <c r="O999" i="3"/>
  <c r="P998" i="3"/>
  <c r="O998" i="3"/>
  <c r="P997" i="3"/>
  <c r="O997" i="3"/>
  <c r="P996" i="3"/>
  <c r="O996" i="3"/>
  <c r="P995" i="3"/>
  <c r="O995" i="3"/>
  <c r="P994" i="3"/>
  <c r="O994" i="3"/>
  <c r="P993" i="3"/>
  <c r="O993" i="3"/>
  <c r="P992" i="3"/>
  <c r="O992" i="3"/>
  <c r="P991" i="3"/>
  <c r="O991" i="3"/>
  <c r="P990" i="3"/>
  <c r="O990" i="3"/>
  <c r="P989" i="3"/>
  <c r="O989" i="3"/>
  <c r="P988" i="3"/>
  <c r="O988" i="3"/>
  <c r="P987" i="3"/>
  <c r="O987" i="3"/>
  <c r="P986" i="3"/>
  <c r="O986" i="3"/>
  <c r="P985" i="3"/>
  <c r="O985" i="3"/>
  <c r="P984" i="3"/>
  <c r="O984" i="3"/>
  <c r="P983" i="3"/>
  <c r="O983" i="3"/>
  <c r="P982" i="3"/>
  <c r="O982" i="3"/>
  <c r="P981" i="3"/>
  <c r="O981" i="3"/>
  <c r="P980" i="3"/>
  <c r="O980" i="3"/>
  <c r="P979" i="3"/>
  <c r="O979" i="3"/>
  <c r="P978" i="3"/>
  <c r="O978" i="3"/>
  <c r="P977" i="3"/>
  <c r="O977" i="3"/>
  <c r="P976" i="3"/>
  <c r="O976" i="3"/>
  <c r="P975" i="3"/>
  <c r="O975" i="3"/>
  <c r="P974" i="3"/>
  <c r="O974" i="3"/>
  <c r="P973" i="3"/>
  <c r="O973" i="3"/>
  <c r="P972" i="3"/>
  <c r="O972" i="3"/>
  <c r="P971" i="3"/>
  <c r="O971" i="3"/>
  <c r="P970" i="3"/>
  <c r="O970" i="3"/>
  <c r="P969" i="3"/>
  <c r="O969" i="3"/>
  <c r="P968" i="3"/>
  <c r="O968" i="3"/>
  <c r="P967" i="3"/>
  <c r="O967" i="3"/>
  <c r="P966" i="3"/>
  <c r="O966" i="3"/>
  <c r="P965" i="3"/>
  <c r="O965" i="3"/>
  <c r="P964" i="3"/>
  <c r="O964" i="3"/>
  <c r="P963" i="3"/>
  <c r="O963" i="3"/>
  <c r="P962" i="3"/>
  <c r="O962" i="3"/>
  <c r="P961" i="3"/>
  <c r="O961" i="3"/>
  <c r="P960" i="3"/>
  <c r="O960" i="3"/>
  <c r="P959" i="3"/>
  <c r="O959" i="3"/>
  <c r="P958" i="3"/>
  <c r="O958" i="3"/>
  <c r="P957" i="3"/>
  <c r="O957" i="3"/>
  <c r="P956" i="3"/>
  <c r="O956" i="3"/>
  <c r="P955" i="3"/>
  <c r="O955" i="3"/>
  <c r="P954" i="3"/>
  <c r="O954" i="3"/>
  <c r="P953" i="3"/>
  <c r="O953" i="3"/>
  <c r="P952" i="3"/>
  <c r="O952" i="3"/>
  <c r="P951" i="3"/>
  <c r="O951" i="3"/>
  <c r="P950" i="3"/>
  <c r="O950" i="3"/>
  <c r="P949" i="3"/>
  <c r="O949" i="3"/>
  <c r="P948" i="3"/>
  <c r="O948" i="3"/>
  <c r="P947" i="3"/>
  <c r="O947" i="3"/>
  <c r="P946" i="3"/>
  <c r="O946" i="3"/>
  <c r="P945" i="3"/>
  <c r="O945" i="3"/>
  <c r="P944" i="3"/>
  <c r="O944" i="3"/>
  <c r="P943" i="3"/>
  <c r="O943" i="3"/>
  <c r="P942" i="3"/>
  <c r="O942" i="3"/>
  <c r="P941" i="3"/>
  <c r="O941" i="3"/>
  <c r="P940" i="3"/>
  <c r="O940" i="3"/>
  <c r="P939" i="3"/>
  <c r="O939" i="3"/>
  <c r="P938" i="3"/>
  <c r="O938" i="3"/>
  <c r="P937" i="3"/>
  <c r="O937" i="3"/>
  <c r="P936" i="3"/>
  <c r="O936" i="3"/>
  <c r="P935" i="3"/>
  <c r="O935" i="3"/>
  <c r="P934" i="3"/>
  <c r="O934" i="3"/>
  <c r="P933" i="3"/>
  <c r="O933" i="3"/>
  <c r="P932" i="3"/>
  <c r="O932" i="3"/>
  <c r="P931" i="3"/>
  <c r="O931" i="3"/>
  <c r="P930" i="3"/>
  <c r="O930" i="3"/>
  <c r="P929" i="3"/>
  <c r="O929" i="3"/>
  <c r="P928" i="3"/>
  <c r="O928" i="3"/>
  <c r="P927" i="3"/>
  <c r="O927" i="3"/>
  <c r="P926" i="3"/>
  <c r="O926" i="3"/>
  <c r="P925" i="3"/>
  <c r="O925" i="3"/>
  <c r="P924" i="3"/>
  <c r="O924" i="3"/>
  <c r="P923" i="3"/>
  <c r="O923" i="3"/>
  <c r="P922" i="3"/>
  <c r="O922" i="3"/>
  <c r="P921" i="3"/>
  <c r="O921" i="3"/>
  <c r="P920" i="3"/>
  <c r="O920" i="3"/>
  <c r="P919" i="3"/>
  <c r="O919" i="3"/>
  <c r="P918" i="3"/>
  <c r="O918" i="3"/>
  <c r="P917" i="3"/>
  <c r="O917" i="3"/>
  <c r="P916" i="3"/>
  <c r="O916" i="3"/>
  <c r="P915" i="3"/>
  <c r="O915" i="3"/>
  <c r="P914" i="3"/>
  <c r="O914" i="3"/>
  <c r="P913" i="3"/>
  <c r="O913" i="3"/>
  <c r="P912" i="3"/>
  <c r="O912" i="3"/>
  <c r="P911" i="3"/>
  <c r="O911" i="3"/>
  <c r="P910" i="3"/>
  <c r="O910" i="3"/>
  <c r="P909" i="3"/>
  <c r="O909" i="3"/>
  <c r="P908" i="3"/>
  <c r="O908" i="3"/>
  <c r="P907" i="3"/>
  <c r="O907" i="3"/>
  <c r="P906" i="3"/>
  <c r="O906" i="3"/>
  <c r="P905" i="3"/>
  <c r="O905" i="3"/>
  <c r="P904" i="3"/>
  <c r="O904" i="3"/>
  <c r="P903" i="3"/>
  <c r="O903" i="3"/>
  <c r="P902" i="3"/>
  <c r="O902" i="3"/>
  <c r="P901" i="3"/>
  <c r="O901" i="3"/>
  <c r="P900" i="3"/>
  <c r="O900" i="3"/>
  <c r="P899" i="3"/>
  <c r="O899" i="3"/>
  <c r="P898" i="3"/>
  <c r="O898" i="3"/>
  <c r="P897" i="3"/>
  <c r="O897" i="3"/>
  <c r="P896" i="3"/>
  <c r="O896" i="3"/>
  <c r="P895" i="3"/>
  <c r="O895" i="3"/>
  <c r="P894" i="3"/>
  <c r="O894" i="3"/>
  <c r="P893" i="3"/>
  <c r="O893" i="3"/>
  <c r="P892" i="3"/>
  <c r="O892" i="3"/>
  <c r="P891" i="3"/>
  <c r="O891" i="3"/>
  <c r="P890" i="3"/>
  <c r="O890" i="3"/>
  <c r="P889" i="3"/>
  <c r="O889" i="3"/>
  <c r="P888" i="3"/>
  <c r="O888" i="3"/>
  <c r="P887" i="3"/>
  <c r="O887" i="3"/>
  <c r="P886" i="3"/>
  <c r="O886" i="3"/>
  <c r="P885" i="3"/>
  <c r="O885" i="3"/>
  <c r="P884" i="3"/>
  <c r="O884" i="3"/>
  <c r="P883" i="3"/>
  <c r="O883" i="3"/>
  <c r="P882" i="3"/>
  <c r="O882" i="3"/>
  <c r="P881" i="3"/>
  <c r="O881" i="3"/>
  <c r="P880" i="3"/>
  <c r="O880" i="3"/>
  <c r="P879" i="3"/>
  <c r="O879" i="3"/>
  <c r="P878" i="3"/>
  <c r="O878" i="3"/>
  <c r="P877" i="3"/>
  <c r="O877" i="3"/>
  <c r="P876" i="3"/>
  <c r="O876" i="3"/>
  <c r="P875" i="3"/>
  <c r="O875" i="3"/>
  <c r="P874" i="3"/>
  <c r="O874" i="3"/>
  <c r="P873" i="3"/>
  <c r="O873" i="3"/>
  <c r="P872" i="3"/>
  <c r="O872" i="3"/>
  <c r="P871" i="3"/>
  <c r="O871" i="3"/>
  <c r="P870" i="3"/>
  <c r="O870" i="3"/>
  <c r="P869" i="3"/>
  <c r="O869" i="3"/>
  <c r="P868" i="3"/>
  <c r="O868" i="3"/>
  <c r="P867" i="3"/>
  <c r="O867" i="3"/>
  <c r="P866" i="3"/>
  <c r="O866" i="3"/>
  <c r="P865" i="3"/>
  <c r="O865" i="3"/>
  <c r="P864" i="3"/>
  <c r="O864" i="3"/>
  <c r="P863" i="3"/>
  <c r="O863" i="3"/>
  <c r="P862" i="3"/>
  <c r="O862" i="3"/>
  <c r="P861" i="3"/>
  <c r="O861" i="3"/>
  <c r="P860" i="3"/>
  <c r="O860" i="3"/>
  <c r="P859" i="3"/>
  <c r="O859" i="3"/>
  <c r="P858" i="3"/>
  <c r="O858" i="3"/>
  <c r="P857" i="3"/>
  <c r="O857" i="3"/>
  <c r="P856" i="3"/>
  <c r="O856" i="3"/>
  <c r="P855" i="3"/>
  <c r="O855" i="3"/>
  <c r="P854" i="3"/>
  <c r="O854" i="3"/>
  <c r="P853" i="3"/>
  <c r="O853" i="3"/>
  <c r="P852" i="3"/>
  <c r="O852" i="3"/>
  <c r="P851" i="3"/>
  <c r="O851" i="3"/>
  <c r="P850" i="3"/>
  <c r="O850" i="3"/>
  <c r="P849" i="3"/>
  <c r="O849" i="3"/>
  <c r="P848" i="3"/>
  <c r="O848" i="3"/>
  <c r="P847" i="3"/>
  <c r="O847" i="3"/>
  <c r="P846" i="3"/>
  <c r="O846" i="3"/>
  <c r="P845" i="3"/>
  <c r="O845" i="3"/>
  <c r="P844" i="3"/>
  <c r="O844" i="3"/>
  <c r="P843" i="3"/>
  <c r="O843" i="3"/>
  <c r="P842" i="3"/>
  <c r="O842" i="3"/>
  <c r="P841" i="3"/>
  <c r="O841" i="3"/>
  <c r="P840" i="3"/>
  <c r="O840" i="3"/>
  <c r="P839" i="3"/>
  <c r="O839" i="3"/>
  <c r="P838" i="3"/>
  <c r="O838" i="3"/>
  <c r="P837" i="3"/>
  <c r="O837" i="3"/>
  <c r="P836" i="3"/>
  <c r="O836" i="3"/>
  <c r="P835" i="3"/>
  <c r="O835" i="3"/>
  <c r="P834" i="3"/>
  <c r="O834" i="3"/>
  <c r="P833" i="3"/>
  <c r="O833" i="3"/>
  <c r="P832" i="3"/>
  <c r="O832" i="3"/>
  <c r="P831" i="3"/>
  <c r="O831" i="3"/>
  <c r="P830" i="3"/>
  <c r="O830" i="3"/>
  <c r="P829" i="3"/>
  <c r="O829" i="3"/>
  <c r="P828" i="3"/>
  <c r="O828" i="3"/>
  <c r="P827" i="3"/>
  <c r="O827" i="3"/>
  <c r="P826" i="3"/>
  <c r="O826" i="3"/>
  <c r="P825" i="3"/>
  <c r="O825" i="3"/>
  <c r="P824" i="3"/>
  <c r="O824" i="3"/>
  <c r="P823" i="3"/>
  <c r="O823" i="3"/>
  <c r="P822" i="3"/>
  <c r="O822" i="3"/>
  <c r="P821" i="3"/>
  <c r="O821" i="3"/>
  <c r="P820" i="3"/>
  <c r="O820" i="3"/>
  <c r="P819" i="3"/>
  <c r="O819" i="3"/>
  <c r="P818" i="3"/>
  <c r="O818" i="3"/>
  <c r="P817" i="3"/>
  <c r="O817" i="3"/>
  <c r="P816" i="3"/>
  <c r="O816" i="3"/>
  <c r="P815" i="3"/>
  <c r="O815" i="3"/>
  <c r="P814" i="3"/>
  <c r="O814" i="3"/>
  <c r="P813" i="3"/>
  <c r="O813" i="3"/>
  <c r="P812" i="3"/>
  <c r="O812" i="3"/>
  <c r="P811" i="3"/>
  <c r="O811" i="3"/>
  <c r="P810" i="3"/>
  <c r="O810" i="3"/>
  <c r="P809" i="3"/>
  <c r="O809" i="3"/>
  <c r="P808" i="3"/>
  <c r="O808" i="3"/>
  <c r="P807" i="3"/>
  <c r="O807" i="3"/>
  <c r="P806" i="3"/>
  <c r="O806" i="3"/>
  <c r="P805" i="3"/>
  <c r="O805" i="3"/>
  <c r="P804" i="3"/>
  <c r="O804" i="3"/>
  <c r="P803" i="3"/>
  <c r="O803" i="3"/>
  <c r="P802" i="3"/>
  <c r="O802" i="3"/>
  <c r="P801" i="3"/>
  <c r="O801" i="3"/>
  <c r="P800" i="3"/>
  <c r="O800" i="3"/>
  <c r="P799" i="3"/>
  <c r="O799" i="3"/>
  <c r="P798" i="3"/>
  <c r="O798" i="3"/>
  <c r="P797" i="3"/>
  <c r="O797" i="3"/>
  <c r="P796" i="3"/>
  <c r="O796" i="3"/>
  <c r="P795" i="3"/>
  <c r="O795" i="3"/>
  <c r="P794" i="3"/>
  <c r="O794" i="3"/>
  <c r="P793" i="3"/>
  <c r="O793" i="3"/>
  <c r="P792" i="3"/>
  <c r="O792" i="3"/>
  <c r="P791" i="3"/>
  <c r="O791" i="3"/>
  <c r="P790" i="3"/>
  <c r="O790" i="3"/>
  <c r="P789" i="3"/>
  <c r="O789" i="3"/>
  <c r="P788" i="3"/>
  <c r="O788" i="3"/>
  <c r="P787" i="3"/>
  <c r="O787" i="3"/>
  <c r="P786" i="3"/>
  <c r="O786" i="3"/>
  <c r="P785" i="3"/>
  <c r="O785" i="3"/>
  <c r="P784" i="3"/>
  <c r="O784" i="3"/>
  <c r="P783" i="3"/>
  <c r="O783" i="3"/>
  <c r="P782" i="3"/>
  <c r="O782" i="3"/>
  <c r="P781" i="3"/>
  <c r="O781" i="3"/>
  <c r="P780" i="3"/>
  <c r="O780" i="3"/>
  <c r="P779" i="3"/>
  <c r="O779" i="3"/>
  <c r="P778" i="3"/>
  <c r="O778" i="3"/>
  <c r="P777" i="3"/>
  <c r="O777" i="3"/>
  <c r="P776" i="3"/>
  <c r="O776" i="3"/>
  <c r="P775" i="3"/>
  <c r="O775" i="3"/>
  <c r="P774" i="3"/>
  <c r="O774" i="3"/>
  <c r="P773" i="3"/>
  <c r="O773" i="3"/>
  <c r="P772" i="3"/>
  <c r="O772" i="3"/>
  <c r="P771" i="3"/>
  <c r="O771" i="3"/>
  <c r="P770" i="3"/>
  <c r="O770" i="3"/>
  <c r="P769" i="3"/>
  <c r="O769" i="3"/>
  <c r="P768" i="3"/>
  <c r="O768" i="3"/>
  <c r="P767" i="3"/>
  <c r="O767" i="3"/>
  <c r="P766" i="3"/>
  <c r="O766" i="3"/>
  <c r="P765" i="3"/>
  <c r="O765" i="3"/>
  <c r="P764" i="3"/>
  <c r="O764" i="3"/>
  <c r="P763" i="3"/>
  <c r="O763" i="3"/>
  <c r="P762" i="3"/>
  <c r="O762" i="3"/>
  <c r="P761" i="3"/>
  <c r="O761" i="3"/>
  <c r="P760" i="3"/>
  <c r="O760" i="3"/>
  <c r="P759" i="3"/>
  <c r="O759" i="3"/>
  <c r="P758" i="3"/>
  <c r="O758" i="3"/>
  <c r="P757" i="3"/>
  <c r="O757" i="3"/>
  <c r="P756" i="3"/>
  <c r="O756" i="3"/>
  <c r="P755" i="3"/>
  <c r="O755" i="3"/>
  <c r="P754" i="3"/>
  <c r="O754" i="3"/>
  <c r="P753" i="3"/>
  <c r="O753" i="3"/>
  <c r="P752" i="3"/>
  <c r="O752" i="3"/>
  <c r="P751" i="3"/>
  <c r="O751" i="3"/>
  <c r="P750" i="3"/>
  <c r="O750" i="3"/>
  <c r="P749" i="3"/>
  <c r="O749" i="3"/>
  <c r="P748" i="3"/>
  <c r="O748" i="3"/>
  <c r="P747" i="3"/>
  <c r="O747" i="3"/>
  <c r="P746" i="3"/>
  <c r="O746" i="3"/>
  <c r="P745" i="3"/>
  <c r="O745" i="3"/>
  <c r="P744" i="3"/>
  <c r="O744" i="3"/>
  <c r="P743" i="3"/>
  <c r="O743" i="3"/>
  <c r="P742" i="3"/>
  <c r="O742" i="3"/>
  <c r="P741" i="3"/>
  <c r="O741" i="3"/>
  <c r="P740" i="3"/>
  <c r="O740" i="3"/>
  <c r="P739" i="3"/>
  <c r="O739" i="3"/>
  <c r="P738" i="3"/>
  <c r="O738" i="3"/>
  <c r="P737" i="3"/>
  <c r="O737" i="3"/>
  <c r="P736" i="3"/>
  <c r="O736" i="3"/>
  <c r="P735" i="3"/>
  <c r="O735" i="3"/>
  <c r="P734" i="3"/>
  <c r="O734" i="3"/>
  <c r="P733" i="3"/>
  <c r="O733" i="3"/>
  <c r="P732" i="3"/>
  <c r="O732" i="3"/>
  <c r="P731" i="3"/>
  <c r="O731" i="3"/>
  <c r="P730" i="3"/>
  <c r="O730" i="3"/>
  <c r="P729" i="3"/>
  <c r="O729" i="3"/>
  <c r="P728" i="3"/>
  <c r="O728" i="3"/>
  <c r="P727" i="3"/>
  <c r="O727" i="3"/>
  <c r="P726" i="3"/>
  <c r="O726" i="3"/>
  <c r="P725" i="3"/>
  <c r="O725" i="3"/>
  <c r="P724" i="3"/>
  <c r="O724" i="3"/>
  <c r="P723" i="3"/>
  <c r="O723" i="3"/>
  <c r="P722" i="3"/>
  <c r="O722" i="3"/>
  <c r="P721" i="3"/>
  <c r="O721" i="3"/>
  <c r="P720" i="3"/>
  <c r="O720" i="3"/>
  <c r="P719" i="3"/>
  <c r="O719" i="3"/>
  <c r="P718" i="3"/>
  <c r="O718" i="3"/>
  <c r="P717" i="3"/>
  <c r="O717" i="3"/>
  <c r="P716" i="3"/>
  <c r="O716" i="3"/>
  <c r="P715" i="3"/>
  <c r="O715" i="3"/>
  <c r="P714" i="3"/>
  <c r="O714" i="3"/>
  <c r="P713" i="3"/>
  <c r="O713" i="3"/>
  <c r="P712" i="3"/>
  <c r="O712" i="3"/>
  <c r="P711" i="3"/>
  <c r="O711" i="3"/>
  <c r="P710" i="3"/>
  <c r="O710" i="3"/>
  <c r="P709" i="3"/>
  <c r="O709" i="3"/>
  <c r="P708" i="3"/>
  <c r="O708" i="3"/>
  <c r="P707" i="3"/>
  <c r="O707" i="3"/>
  <c r="P706" i="3"/>
  <c r="O706" i="3"/>
  <c r="P705" i="3"/>
  <c r="O705" i="3"/>
  <c r="P704" i="3"/>
  <c r="O704" i="3"/>
  <c r="P703" i="3"/>
  <c r="O703" i="3"/>
  <c r="P702" i="3"/>
  <c r="O702" i="3"/>
  <c r="P701" i="3"/>
  <c r="O701" i="3"/>
  <c r="P700" i="3"/>
  <c r="O700" i="3"/>
  <c r="P699" i="3"/>
  <c r="O699" i="3"/>
  <c r="P698" i="3"/>
  <c r="O698" i="3"/>
  <c r="P697" i="3"/>
  <c r="O697" i="3"/>
  <c r="P696" i="3"/>
  <c r="O696" i="3"/>
  <c r="P695" i="3"/>
  <c r="O695" i="3"/>
  <c r="P694" i="3"/>
  <c r="O694" i="3"/>
  <c r="P693" i="3"/>
  <c r="O693" i="3"/>
  <c r="P692" i="3"/>
  <c r="O692" i="3"/>
  <c r="P691" i="3"/>
  <c r="O691" i="3"/>
  <c r="P690" i="3"/>
  <c r="O690" i="3"/>
  <c r="P689" i="3"/>
  <c r="O689" i="3"/>
  <c r="P688" i="3"/>
  <c r="O688" i="3"/>
  <c r="P687" i="3"/>
  <c r="O687" i="3"/>
  <c r="P686" i="3"/>
  <c r="O686" i="3"/>
  <c r="P685" i="3"/>
  <c r="O685" i="3"/>
  <c r="P684" i="3"/>
  <c r="O684" i="3"/>
  <c r="P683" i="3"/>
  <c r="O683" i="3"/>
  <c r="P682" i="3"/>
  <c r="O682" i="3"/>
  <c r="P681" i="3"/>
  <c r="O681" i="3"/>
  <c r="P680" i="3"/>
  <c r="O680" i="3"/>
  <c r="P679" i="3"/>
  <c r="O679" i="3"/>
  <c r="P678" i="3"/>
  <c r="O678" i="3"/>
  <c r="P677" i="3"/>
  <c r="O677" i="3"/>
  <c r="P676" i="3"/>
  <c r="O676" i="3"/>
  <c r="P675" i="3"/>
  <c r="O675" i="3"/>
  <c r="P674" i="3"/>
  <c r="O674" i="3"/>
  <c r="P673" i="3"/>
  <c r="O673" i="3"/>
  <c r="P672" i="3"/>
  <c r="O672" i="3"/>
  <c r="P671" i="3"/>
  <c r="O671" i="3"/>
  <c r="P670" i="3"/>
  <c r="O670" i="3"/>
  <c r="P669" i="3"/>
  <c r="O669" i="3"/>
  <c r="P668" i="3"/>
  <c r="O668" i="3"/>
  <c r="P667" i="3"/>
  <c r="O667" i="3"/>
  <c r="P666" i="3"/>
  <c r="O666" i="3"/>
  <c r="P665" i="3"/>
  <c r="O665" i="3"/>
  <c r="P664" i="3"/>
  <c r="O664" i="3"/>
  <c r="P663" i="3"/>
  <c r="O663" i="3"/>
  <c r="P662" i="3"/>
  <c r="O662" i="3"/>
  <c r="P661" i="3"/>
  <c r="O661" i="3"/>
  <c r="P660" i="3"/>
  <c r="O660" i="3"/>
  <c r="P659" i="3"/>
  <c r="O659" i="3"/>
  <c r="P658" i="3"/>
  <c r="O658" i="3"/>
  <c r="P657" i="3"/>
  <c r="O657" i="3"/>
  <c r="P656" i="3"/>
  <c r="O656" i="3"/>
  <c r="P655" i="3"/>
  <c r="O655" i="3"/>
  <c r="P654" i="3"/>
  <c r="O654" i="3"/>
  <c r="P653" i="3"/>
  <c r="O653" i="3"/>
  <c r="P652" i="3"/>
  <c r="O652" i="3"/>
  <c r="P651" i="3"/>
  <c r="O651" i="3"/>
  <c r="P650" i="3"/>
  <c r="O650" i="3"/>
  <c r="P649" i="3"/>
  <c r="O649" i="3"/>
  <c r="P648" i="3"/>
  <c r="O648" i="3"/>
  <c r="P647" i="3"/>
  <c r="O647" i="3"/>
  <c r="P646" i="3"/>
  <c r="O646" i="3"/>
  <c r="P645" i="3"/>
  <c r="O645" i="3"/>
  <c r="P644" i="3"/>
  <c r="O644" i="3"/>
  <c r="P643" i="3"/>
  <c r="O643" i="3"/>
  <c r="P642" i="3"/>
  <c r="O642" i="3"/>
  <c r="P641" i="3"/>
  <c r="O641" i="3"/>
  <c r="P640" i="3"/>
  <c r="O640" i="3"/>
  <c r="P639" i="3"/>
  <c r="O639" i="3"/>
  <c r="P638" i="3"/>
  <c r="O638" i="3"/>
  <c r="P637" i="3"/>
  <c r="O637" i="3"/>
  <c r="P636" i="3"/>
  <c r="O636" i="3"/>
  <c r="P635" i="3"/>
  <c r="O635" i="3"/>
  <c r="P634" i="3"/>
  <c r="O634" i="3"/>
  <c r="P633" i="3"/>
  <c r="O633" i="3"/>
  <c r="P632" i="3"/>
  <c r="O632" i="3"/>
  <c r="P631" i="3"/>
  <c r="O631" i="3"/>
  <c r="P630" i="3"/>
  <c r="O630" i="3"/>
  <c r="P629" i="3"/>
  <c r="O629" i="3"/>
  <c r="P628" i="3"/>
  <c r="O628" i="3"/>
  <c r="P627" i="3"/>
  <c r="O627" i="3"/>
  <c r="P626" i="3"/>
  <c r="O626" i="3"/>
  <c r="P625" i="3"/>
  <c r="O625" i="3"/>
  <c r="P624" i="3"/>
  <c r="O624" i="3"/>
  <c r="P623" i="3"/>
  <c r="O623" i="3"/>
  <c r="P622" i="3"/>
  <c r="O622" i="3"/>
  <c r="P621" i="3"/>
  <c r="O621" i="3"/>
  <c r="P620" i="3"/>
  <c r="O620" i="3"/>
  <c r="P619" i="3"/>
  <c r="O619" i="3"/>
  <c r="P618" i="3"/>
  <c r="O618" i="3"/>
  <c r="P617" i="3"/>
  <c r="O617" i="3"/>
  <c r="P616" i="3"/>
  <c r="O616" i="3"/>
  <c r="P615" i="3"/>
  <c r="O615" i="3"/>
  <c r="P614" i="3"/>
  <c r="O614" i="3"/>
  <c r="P613" i="3"/>
  <c r="O613" i="3"/>
  <c r="P612" i="3"/>
  <c r="O612" i="3"/>
  <c r="P611" i="3"/>
  <c r="O611" i="3"/>
  <c r="P610" i="3"/>
  <c r="O610" i="3"/>
  <c r="P609" i="3"/>
  <c r="O609" i="3"/>
  <c r="P608" i="3"/>
  <c r="O608" i="3"/>
  <c r="P607" i="3"/>
  <c r="O607" i="3"/>
  <c r="P606" i="3"/>
  <c r="O606" i="3"/>
  <c r="P605" i="3"/>
  <c r="O605" i="3"/>
  <c r="P604" i="3"/>
  <c r="O604" i="3"/>
  <c r="P603" i="3"/>
  <c r="O603" i="3"/>
  <c r="P602" i="3"/>
  <c r="O602" i="3"/>
  <c r="P601" i="3"/>
  <c r="O601" i="3"/>
  <c r="P600" i="3"/>
  <c r="O600" i="3"/>
  <c r="P599" i="3"/>
  <c r="O599" i="3"/>
  <c r="P598" i="3"/>
  <c r="O598" i="3"/>
  <c r="P597" i="3"/>
  <c r="O597" i="3"/>
  <c r="P596" i="3"/>
  <c r="O596" i="3"/>
  <c r="P595" i="3"/>
  <c r="O595" i="3"/>
  <c r="P594" i="3"/>
  <c r="O594" i="3"/>
  <c r="P593" i="3"/>
  <c r="O593" i="3"/>
  <c r="P592" i="3"/>
  <c r="O592" i="3"/>
  <c r="P591" i="3"/>
  <c r="O591" i="3"/>
  <c r="P590" i="3"/>
  <c r="O590" i="3"/>
  <c r="P589" i="3"/>
  <c r="O589" i="3"/>
  <c r="P588" i="3"/>
  <c r="O588" i="3"/>
  <c r="P587" i="3"/>
  <c r="O587" i="3"/>
  <c r="P586" i="3"/>
  <c r="O586" i="3"/>
  <c r="P585" i="3"/>
  <c r="O585" i="3"/>
  <c r="P584" i="3"/>
  <c r="O584" i="3"/>
  <c r="P583" i="3"/>
  <c r="O583" i="3"/>
  <c r="P582" i="3"/>
  <c r="O582" i="3"/>
  <c r="P581" i="3"/>
  <c r="O581" i="3"/>
  <c r="P580" i="3"/>
  <c r="O580" i="3"/>
  <c r="P579" i="3"/>
  <c r="O579" i="3"/>
  <c r="P578" i="3"/>
  <c r="O578" i="3"/>
  <c r="P577" i="3"/>
  <c r="O577" i="3"/>
  <c r="P576" i="3"/>
  <c r="O576" i="3"/>
  <c r="P575" i="3"/>
  <c r="O575" i="3"/>
  <c r="P574" i="3"/>
  <c r="O574" i="3"/>
  <c r="P573" i="3"/>
  <c r="O573" i="3"/>
  <c r="P572" i="3"/>
  <c r="O572" i="3"/>
  <c r="P571" i="3"/>
  <c r="O571" i="3"/>
  <c r="P570" i="3"/>
  <c r="O570" i="3"/>
  <c r="P569" i="3"/>
  <c r="O569" i="3"/>
  <c r="P568" i="3"/>
  <c r="O568" i="3"/>
  <c r="P567" i="3"/>
  <c r="O567" i="3"/>
  <c r="P566" i="3"/>
  <c r="O566" i="3"/>
  <c r="P565" i="3"/>
  <c r="O565" i="3"/>
  <c r="P564" i="3"/>
  <c r="O564" i="3"/>
  <c r="P563" i="3"/>
  <c r="O563" i="3"/>
  <c r="P562" i="3"/>
  <c r="O562" i="3"/>
  <c r="P561" i="3"/>
  <c r="O561" i="3"/>
  <c r="P560" i="3"/>
  <c r="O560" i="3"/>
  <c r="P559" i="3"/>
  <c r="O559" i="3"/>
  <c r="P558" i="3"/>
  <c r="O558" i="3"/>
  <c r="P557" i="3"/>
  <c r="O557" i="3"/>
  <c r="P556" i="3"/>
  <c r="O556" i="3"/>
  <c r="P555" i="3"/>
  <c r="O555" i="3"/>
  <c r="P554" i="3"/>
  <c r="O554" i="3"/>
  <c r="P553" i="3"/>
  <c r="O553" i="3"/>
  <c r="P552" i="3"/>
  <c r="O552" i="3"/>
  <c r="P551" i="3"/>
  <c r="O551" i="3"/>
  <c r="P550" i="3"/>
  <c r="O550" i="3"/>
  <c r="P549" i="3"/>
  <c r="O549" i="3"/>
  <c r="P548" i="3"/>
  <c r="O548" i="3"/>
  <c r="P547" i="3"/>
  <c r="O547" i="3"/>
  <c r="P546" i="3"/>
  <c r="O546" i="3"/>
  <c r="P545" i="3"/>
  <c r="O545" i="3"/>
  <c r="P544" i="3"/>
  <c r="O544" i="3"/>
  <c r="P543" i="3"/>
  <c r="O543" i="3"/>
  <c r="P542" i="3"/>
  <c r="O542" i="3"/>
  <c r="P541" i="3"/>
  <c r="O541" i="3"/>
  <c r="P540" i="3"/>
  <c r="O540" i="3"/>
  <c r="P539" i="3"/>
  <c r="O539" i="3"/>
  <c r="P538" i="3"/>
  <c r="O538" i="3"/>
  <c r="P537" i="3"/>
  <c r="O537" i="3"/>
  <c r="P536" i="3"/>
  <c r="O536" i="3"/>
  <c r="P535" i="3"/>
  <c r="O535" i="3"/>
  <c r="P534" i="3"/>
  <c r="O534" i="3"/>
  <c r="P533" i="3"/>
  <c r="O533" i="3"/>
  <c r="P532" i="3"/>
  <c r="O532" i="3"/>
  <c r="P531" i="3"/>
  <c r="O531" i="3"/>
  <c r="P530" i="3"/>
  <c r="O530" i="3"/>
  <c r="P529" i="3"/>
  <c r="O529" i="3"/>
  <c r="P528" i="3"/>
  <c r="O528" i="3"/>
  <c r="P527" i="3"/>
  <c r="O527" i="3"/>
  <c r="P526" i="3"/>
  <c r="O526" i="3"/>
  <c r="P525" i="3"/>
  <c r="O525" i="3"/>
  <c r="P524" i="3"/>
  <c r="O524" i="3"/>
  <c r="P523" i="3"/>
  <c r="O523" i="3"/>
  <c r="P522" i="3"/>
  <c r="O522" i="3"/>
  <c r="P521" i="3"/>
  <c r="O521" i="3"/>
  <c r="P520" i="3"/>
  <c r="O520" i="3"/>
  <c r="P519" i="3"/>
  <c r="O519" i="3"/>
  <c r="P518" i="3"/>
  <c r="O518" i="3"/>
  <c r="P517" i="3"/>
  <c r="O517" i="3"/>
  <c r="P516" i="3"/>
  <c r="O516" i="3"/>
  <c r="P515" i="3"/>
  <c r="O515" i="3"/>
  <c r="P514" i="3"/>
  <c r="O514" i="3"/>
  <c r="P513" i="3"/>
  <c r="O513" i="3"/>
  <c r="P512" i="3"/>
  <c r="O512" i="3"/>
  <c r="P511" i="3"/>
  <c r="O511" i="3"/>
  <c r="P510" i="3"/>
  <c r="O510" i="3"/>
  <c r="P509" i="3"/>
  <c r="O509" i="3"/>
  <c r="P508" i="3"/>
  <c r="O508" i="3"/>
  <c r="P507" i="3"/>
  <c r="O507" i="3"/>
  <c r="P506" i="3"/>
  <c r="O506" i="3"/>
  <c r="P505" i="3"/>
  <c r="O505" i="3"/>
  <c r="P504" i="3"/>
  <c r="O504" i="3"/>
  <c r="P503" i="3"/>
  <c r="O503" i="3"/>
  <c r="P502" i="3"/>
  <c r="O502" i="3"/>
  <c r="P501" i="3"/>
  <c r="O501" i="3"/>
  <c r="P500" i="3"/>
  <c r="O500" i="3"/>
  <c r="P499" i="3"/>
  <c r="O499" i="3"/>
  <c r="P498" i="3"/>
  <c r="O498" i="3"/>
  <c r="P497" i="3"/>
  <c r="O497" i="3"/>
  <c r="P496" i="3"/>
  <c r="O496" i="3"/>
  <c r="P495" i="3"/>
  <c r="O495" i="3"/>
  <c r="P494" i="3"/>
  <c r="O494" i="3"/>
  <c r="P493" i="3"/>
  <c r="O493" i="3"/>
  <c r="P492" i="3"/>
  <c r="O492" i="3"/>
  <c r="P491" i="3"/>
  <c r="O491" i="3"/>
  <c r="P490" i="3"/>
  <c r="O490" i="3"/>
  <c r="P489" i="3"/>
  <c r="O489" i="3"/>
  <c r="P488" i="3"/>
  <c r="O488" i="3"/>
  <c r="P487" i="3"/>
  <c r="O487" i="3"/>
  <c r="P486" i="3"/>
  <c r="O486" i="3"/>
  <c r="P485" i="3"/>
  <c r="O485" i="3"/>
  <c r="P484" i="3"/>
  <c r="O484" i="3"/>
  <c r="P483" i="3"/>
  <c r="O483" i="3"/>
  <c r="P482" i="3"/>
  <c r="O482" i="3"/>
  <c r="P481" i="3"/>
  <c r="O481" i="3"/>
  <c r="P480" i="3"/>
  <c r="O480" i="3"/>
  <c r="P479" i="3"/>
  <c r="O479" i="3"/>
  <c r="P478" i="3"/>
  <c r="O478" i="3"/>
  <c r="P477" i="3"/>
  <c r="O477" i="3"/>
  <c r="P476" i="3"/>
  <c r="O476" i="3"/>
  <c r="P475" i="3"/>
  <c r="O475" i="3"/>
  <c r="P474" i="3"/>
  <c r="O474" i="3"/>
  <c r="P473" i="3"/>
  <c r="O473" i="3"/>
  <c r="P472" i="3"/>
  <c r="O472" i="3"/>
  <c r="P471" i="3"/>
  <c r="O471" i="3"/>
  <c r="P470" i="3"/>
  <c r="O470" i="3"/>
  <c r="P469" i="3"/>
  <c r="O469" i="3"/>
  <c r="P468" i="3"/>
  <c r="O468" i="3"/>
  <c r="P467" i="3"/>
  <c r="O467" i="3"/>
  <c r="P466" i="3"/>
  <c r="O466" i="3"/>
  <c r="P465" i="3"/>
  <c r="O465" i="3"/>
  <c r="P464" i="3"/>
  <c r="O464" i="3"/>
  <c r="P463" i="3"/>
  <c r="O463" i="3"/>
  <c r="P462" i="3"/>
  <c r="O462" i="3"/>
  <c r="P461" i="3"/>
  <c r="O461" i="3"/>
  <c r="P460" i="3"/>
  <c r="O460" i="3"/>
  <c r="P459" i="3"/>
  <c r="O459" i="3"/>
  <c r="P458" i="3"/>
  <c r="O458" i="3"/>
  <c r="P457" i="3"/>
  <c r="O457" i="3"/>
  <c r="P456" i="3"/>
  <c r="O456" i="3"/>
  <c r="P455" i="3"/>
  <c r="O455" i="3"/>
  <c r="P454" i="3"/>
  <c r="O454" i="3"/>
  <c r="P453" i="3"/>
  <c r="O453" i="3"/>
  <c r="P452" i="3"/>
  <c r="O452" i="3"/>
  <c r="P451" i="3"/>
  <c r="O451" i="3"/>
  <c r="P450" i="3"/>
  <c r="O450" i="3"/>
  <c r="P449" i="3"/>
  <c r="O449" i="3"/>
  <c r="P448" i="3"/>
  <c r="O448" i="3"/>
  <c r="P447" i="3"/>
  <c r="O447" i="3"/>
  <c r="P446" i="3"/>
  <c r="O446" i="3"/>
  <c r="P445" i="3"/>
  <c r="O445" i="3"/>
  <c r="P444" i="3"/>
  <c r="O444" i="3"/>
  <c r="P443" i="3"/>
  <c r="O443" i="3"/>
  <c r="P442" i="3"/>
  <c r="O442" i="3"/>
  <c r="P441" i="3"/>
  <c r="O441" i="3"/>
  <c r="P440" i="3"/>
  <c r="O440" i="3"/>
  <c r="P439" i="3"/>
  <c r="O439" i="3"/>
  <c r="P438" i="3"/>
  <c r="O438" i="3"/>
  <c r="P437" i="3"/>
  <c r="O437" i="3"/>
  <c r="P436" i="3"/>
  <c r="O436" i="3"/>
  <c r="P435" i="3"/>
  <c r="O435" i="3"/>
  <c r="P434" i="3"/>
  <c r="O434" i="3"/>
  <c r="P433" i="3"/>
  <c r="O433" i="3"/>
  <c r="P432" i="3"/>
  <c r="O432" i="3"/>
  <c r="P431" i="3"/>
  <c r="O431" i="3"/>
  <c r="P430" i="3"/>
  <c r="O430" i="3"/>
  <c r="P429" i="3"/>
  <c r="O429" i="3"/>
  <c r="P428" i="3"/>
  <c r="O428" i="3"/>
  <c r="P427" i="3"/>
  <c r="O427" i="3"/>
  <c r="P426" i="3"/>
  <c r="O426" i="3"/>
  <c r="P425" i="3"/>
  <c r="O425" i="3"/>
  <c r="P424" i="3"/>
  <c r="O424" i="3"/>
  <c r="P423" i="3"/>
  <c r="O423" i="3"/>
  <c r="P422" i="3"/>
  <c r="O422" i="3"/>
  <c r="P421" i="3"/>
  <c r="O421" i="3"/>
  <c r="P420" i="3"/>
  <c r="O420" i="3"/>
  <c r="P419" i="3"/>
  <c r="O419" i="3"/>
  <c r="P418" i="3"/>
  <c r="O418" i="3"/>
  <c r="P417" i="3"/>
  <c r="O417" i="3"/>
  <c r="P416" i="3"/>
  <c r="O416" i="3"/>
  <c r="P415" i="3"/>
  <c r="O415" i="3"/>
  <c r="P414" i="3"/>
  <c r="O414" i="3"/>
  <c r="P413" i="3"/>
  <c r="O413" i="3"/>
  <c r="P412" i="3"/>
  <c r="O412" i="3"/>
  <c r="P411" i="3"/>
  <c r="O411" i="3"/>
  <c r="P410" i="3"/>
  <c r="O410" i="3"/>
  <c r="P409" i="3"/>
  <c r="O409" i="3"/>
  <c r="P408" i="3"/>
  <c r="O408" i="3"/>
  <c r="P407" i="3"/>
  <c r="O407" i="3"/>
  <c r="P406" i="3"/>
  <c r="O406" i="3"/>
  <c r="P405" i="3"/>
  <c r="O405" i="3"/>
  <c r="P404" i="3"/>
  <c r="O404" i="3"/>
  <c r="P403" i="3"/>
  <c r="O403" i="3"/>
  <c r="P402" i="3"/>
  <c r="O402" i="3"/>
  <c r="P401" i="3"/>
  <c r="O401" i="3"/>
  <c r="P400" i="3"/>
  <c r="O400" i="3"/>
  <c r="P399" i="3"/>
  <c r="O399" i="3"/>
  <c r="P398" i="3"/>
  <c r="O398" i="3"/>
  <c r="P397" i="3"/>
  <c r="O397" i="3"/>
  <c r="P396" i="3"/>
  <c r="O396" i="3"/>
  <c r="P395" i="3"/>
  <c r="O395" i="3"/>
  <c r="P394" i="3"/>
  <c r="O394" i="3"/>
  <c r="P393" i="3"/>
  <c r="O393" i="3"/>
  <c r="P392" i="3"/>
  <c r="O392" i="3"/>
  <c r="P391" i="3"/>
  <c r="O391" i="3"/>
  <c r="P390" i="3"/>
  <c r="O390" i="3"/>
  <c r="P389" i="3"/>
  <c r="O389" i="3"/>
  <c r="P388" i="3"/>
  <c r="O388" i="3"/>
  <c r="P387" i="3"/>
  <c r="O387" i="3"/>
  <c r="P386" i="3"/>
  <c r="O386" i="3"/>
  <c r="P385" i="3"/>
  <c r="O385" i="3"/>
  <c r="P384" i="3"/>
  <c r="O384" i="3"/>
  <c r="P383" i="3"/>
  <c r="O383" i="3"/>
  <c r="P382" i="3"/>
  <c r="O382" i="3"/>
  <c r="P381" i="3"/>
  <c r="O381" i="3"/>
  <c r="P380" i="3"/>
  <c r="O380" i="3"/>
  <c r="P379" i="3"/>
  <c r="O379" i="3"/>
  <c r="P378" i="3"/>
  <c r="O378" i="3"/>
  <c r="P377" i="3"/>
  <c r="O377" i="3"/>
  <c r="P376" i="3"/>
  <c r="O376" i="3"/>
  <c r="P375" i="3"/>
  <c r="O375" i="3"/>
  <c r="P374" i="3"/>
  <c r="O374" i="3"/>
  <c r="P373" i="3"/>
  <c r="O373" i="3"/>
  <c r="P372" i="3"/>
  <c r="O372" i="3"/>
  <c r="P371" i="3"/>
  <c r="O371" i="3"/>
  <c r="P370" i="3"/>
  <c r="O370" i="3"/>
  <c r="P369" i="3"/>
  <c r="O369" i="3"/>
  <c r="P368" i="3"/>
  <c r="O368" i="3"/>
  <c r="P367" i="3"/>
  <c r="O367" i="3"/>
  <c r="P366" i="3"/>
  <c r="O366" i="3"/>
  <c r="P365" i="3"/>
  <c r="O365" i="3"/>
  <c r="P364" i="3"/>
  <c r="O364" i="3"/>
  <c r="P363" i="3"/>
  <c r="O363" i="3"/>
  <c r="P362" i="3"/>
  <c r="O362" i="3"/>
  <c r="P361" i="3"/>
  <c r="O361" i="3"/>
  <c r="P360" i="3"/>
  <c r="O360" i="3"/>
  <c r="P359" i="3"/>
  <c r="O359" i="3"/>
  <c r="P358" i="3"/>
  <c r="O358" i="3"/>
  <c r="P357" i="3"/>
  <c r="O357" i="3"/>
  <c r="P356" i="3"/>
  <c r="O356" i="3"/>
  <c r="P355" i="3"/>
  <c r="O355" i="3"/>
  <c r="P354" i="3"/>
  <c r="O354" i="3"/>
  <c r="P353" i="3"/>
  <c r="O353" i="3"/>
  <c r="P352" i="3"/>
  <c r="O352" i="3"/>
  <c r="P351" i="3"/>
  <c r="O351" i="3"/>
  <c r="P350" i="3"/>
  <c r="O350" i="3"/>
  <c r="P349" i="3"/>
  <c r="O349" i="3"/>
  <c r="P348" i="3"/>
  <c r="O348" i="3"/>
  <c r="P347" i="3"/>
  <c r="O347" i="3"/>
  <c r="P346" i="3"/>
  <c r="O346" i="3"/>
  <c r="P345" i="3"/>
  <c r="O345" i="3"/>
  <c r="P344" i="3"/>
  <c r="O344" i="3"/>
  <c r="P343" i="3"/>
  <c r="O343" i="3"/>
  <c r="P342" i="3"/>
  <c r="O342" i="3"/>
  <c r="P341" i="3"/>
  <c r="O341" i="3"/>
  <c r="P340" i="3"/>
  <c r="O340" i="3"/>
  <c r="P339" i="3"/>
  <c r="O339" i="3"/>
  <c r="P338" i="3"/>
  <c r="O338" i="3"/>
  <c r="P337" i="3"/>
  <c r="O337" i="3"/>
  <c r="P336" i="3"/>
  <c r="O336" i="3"/>
  <c r="P335" i="3"/>
  <c r="O335" i="3"/>
  <c r="P334" i="3"/>
  <c r="O334" i="3"/>
  <c r="P333" i="3"/>
  <c r="O333" i="3"/>
  <c r="P332" i="3"/>
  <c r="O332" i="3"/>
  <c r="P331" i="3"/>
  <c r="O331" i="3"/>
  <c r="P330" i="3"/>
  <c r="O330" i="3"/>
  <c r="P329" i="3"/>
  <c r="O329" i="3"/>
  <c r="P328" i="3"/>
  <c r="O328" i="3"/>
  <c r="P327" i="3"/>
  <c r="O327" i="3"/>
  <c r="P326" i="3"/>
  <c r="O326" i="3"/>
  <c r="P325" i="3"/>
  <c r="O325" i="3"/>
  <c r="P324" i="3"/>
  <c r="O324" i="3"/>
  <c r="P323" i="3"/>
  <c r="O323" i="3"/>
  <c r="P322" i="3"/>
  <c r="O322" i="3"/>
  <c r="P321" i="3"/>
  <c r="O321" i="3"/>
  <c r="P320" i="3"/>
  <c r="O320" i="3"/>
  <c r="P319" i="3"/>
  <c r="O319" i="3"/>
  <c r="P318" i="3"/>
  <c r="O318" i="3"/>
  <c r="P317" i="3"/>
  <c r="O317" i="3"/>
  <c r="P316" i="3"/>
  <c r="O316" i="3"/>
  <c r="P315" i="3"/>
  <c r="O315" i="3"/>
  <c r="P314" i="3"/>
  <c r="O314" i="3"/>
  <c r="P313" i="3"/>
  <c r="O313" i="3"/>
  <c r="P312" i="3"/>
  <c r="O312" i="3"/>
  <c r="P311" i="3"/>
  <c r="O311" i="3"/>
  <c r="P310" i="3"/>
  <c r="O310" i="3"/>
  <c r="P309" i="3"/>
  <c r="O309" i="3"/>
  <c r="P308" i="3"/>
  <c r="O308" i="3"/>
  <c r="P307" i="3"/>
  <c r="O307" i="3"/>
  <c r="P306" i="3"/>
  <c r="O306" i="3"/>
  <c r="P305" i="3"/>
  <c r="O305" i="3"/>
  <c r="P304" i="3"/>
  <c r="O304" i="3"/>
  <c r="P303" i="3"/>
  <c r="O303" i="3"/>
  <c r="P302" i="3"/>
  <c r="O302" i="3"/>
  <c r="P301" i="3"/>
  <c r="O301" i="3"/>
  <c r="P300" i="3"/>
  <c r="O300" i="3"/>
  <c r="P299" i="3"/>
  <c r="O299" i="3"/>
  <c r="P298" i="3"/>
  <c r="O298" i="3"/>
  <c r="P297" i="3"/>
  <c r="O297" i="3"/>
  <c r="P296" i="3"/>
  <c r="O296" i="3"/>
  <c r="P295" i="3"/>
  <c r="O295" i="3"/>
  <c r="P294" i="3"/>
  <c r="O294" i="3"/>
  <c r="P293" i="3"/>
  <c r="O293" i="3"/>
  <c r="P292" i="3"/>
  <c r="O292" i="3"/>
  <c r="P291" i="3"/>
  <c r="O291" i="3"/>
  <c r="P290" i="3"/>
  <c r="O290" i="3"/>
  <c r="P289" i="3"/>
  <c r="O289" i="3"/>
  <c r="P288" i="3"/>
  <c r="O288" i="3"/>
  <c r="P287" i="3"/>
  <c r="O287" i="3"/>
  <c r="P286" i="3"/>
  <c r="O286" i="3"/>
  <c r="P285" i="3"/>
  <c r="O285" i="3"/>
  <c r="P284" i="3"/>
  <c r="O284" i="3"/>
  <c r="P283" i="3"/>
  <c r="O283" i="3"/>
  <c r="P282" i="3"/>
  <c r="O282" i="3"/>
  <c r="P281" i="3"/>
  <c r="O281" i="3"/>
  <c r="P280" i="3"/>
  <c r="O280" i="3"/>
  <c r="P279" i="3"/>
  <c r="O279" i="3"/>
  <c r="P278" i="3"/>
  <c r="O278" i="3"/>
  <c r="P277" i="3"/>
  <c r="O277" i="3"/>
  <c r="P276" i="3"/>
  <c r="O276" i="3"/>
  <c r="P275" i="3"/>
  <c r="O275" i="3"/>
  <c r="P274" i="3"/>
  <c r="O274" i="3"/>
  <c r="P273" i="3"/>
  <c r="O273" i="3"/>
  <c r="P272" i="3"/>
  <c r="O272" i="3"/>
  <c r="P271" i="3"/>
  <c r="O271" i="3"/>
  <c r="P270" i="3"/>
  <c r="O270" i="3"/>
  <c r="P269" i="3"/>
  <c r="O269" i="3"/>
  <c r="P268" i="3"/>
  <c r="O268" i="3"/>
  <c r="P267" i="3"/>
  <c r="O267" i="3"/>
  <c r="P266" i="3"/>
  <c r="O266" i="3"/>
  <c r="P265" i="3"/>
  <c r="O265" i="3"/>
  <c r="P264" i="3"/>
  <c r="O264" i="3"/>
  <c r="P263" i="3"/>
  <c r="O263" i="3"/>
  <c r="P262" i="3"/>
  <c r="O262" i="3"/>
  <c r="P261" i="3"/>
  <c r="O261" i="3"/>
  <c r="P260" i="3"/>
  <c r="O260" i="3"/>
  <c r="P259" i="3"/>
  <c r="O259" i="3"/>
  <c r="P258" i="3"/>
  <c r="O258" i="3"/>
  <c r="P257" i="3"/>
  <c r="O257" i="3"/>
  <c r="P256" i="3"/>
  <c r="O256" i="3"/>
  <c r="P255" i="3"/>
  <c r="O255" i="3"/>
  <c r="P254" i="3"/>
  <c r="O254" i="3"/>
  <c r="P253" i="3"/>
  <c r="O253" i="3"/>
  <c r="P252" i="3"/>
  <c r="O252" i="3"/>
  <c r="P251" i="3"/>
  <c r="O251" i="3"/>
  <c r="P250" i="3"/>
  <c r="O250" i="3"/>
  <c r="P249" i="3"/>
  <c r="O249" i="3"/>
  <c r="P248" i="3"/>
  <c r="O248" i="3"/>
  <c r="P247" i="3"/>
  <c r="O247" i="3"/>
  <c r="P246" i="3"/>
  <c r="O246" i="3"/>
  <c r="P245" i="3"/>
  <c r="O245" i="3"/>
  <c r="P244" i="3"/>
  <c r="O244" i="3"/>
  <c r="P243" i="3"/>
  <c r="O243" i="3"/>
  <c r="P242" i="3"/>
  <c r="O242" i="3"/>
  <c r="P241" i="3"/>
  <c r="O241" i="3"/>
  <c r="P240" i="3"/>
  <c r="O240" i="3"/>
  <c r="P239" i="3"/>
  <c r="O239" i="3"/>
  <c r="P238" i="3"/>
  <c r="O238" i="3"/>
  <c r="P237" i="3"/>
  <c r="O237" i="3"/>
  <c r="P236" i="3"/>
  <c r="O236" i="3"/>
  <c r="P235" i="3"/>
  <c r="O235" i="3"/>
  <c r="P234" i="3"/>
  <c r="O234" i="3"/>
  <c r="P233" i="3"/>
  <c r="O233" i="3"/>
  <c r="P232" i="3"/>
  <c r="O232" i="3"/>
  <c r="P231" i="3"/>
  <c r="O231" i="3"/>
  <c r="P230" i="3"/>
  <c r="O230" i="3"/>
  <c r="P229" i="3"/>
  <c r="O229" i="3"/>
  <c r="P228" i="3"/>
  <c r="O228" i="3"/>
  <c r="P227" i="3"/>
  <c r="O227" i="3"/>
  <c r="P226" i="3"/>
  <c r="O226" i="3"/>
  <c r="P225" i="3"/>
  <c r="O225" i="3"/>
  <c r="P224" i="3"/>
  <c r="O224" i="3"/>
  <c r="P223" i="3"/>
  <c r="O223" i="3"/>
  <c r="P222" i="3"/>
  <c r="O222" i="3"/>
  <c r="P221" i="3"/>
  <c r="O221" i="3"/>
  <c r="P220" i="3"/>
  <c r="O220" i="3"/>
  <c r="P219" i="3"/>
  <c r="O219" i="3"/>
  <c r="P218" i="3"/>
  <c r="O218" i="3"/>
  <c r="P217" i="3"/>
  <c r="O217" i="3"/>
  <c r="P216" i="3"/>
  <c r="O216" i="3"/>
  <c r="P215" i="3"/>
  <c r="O215" i="3"/>
  <c r="P214" i="3"/>
  <c r="O214" i="3"/>
  <c r="P213" i="3"/>
  <c r="O213" i="3"/>
  <c r="P212" i="3"/>
  <c r="O212" i="3"/>
  <c r="P211" i="3"/>
  <c r="O211" i="3"/>
  <c r="P210" i="3"/>
  <c r="O210" i="3"/>
  <c r="P209" i="3"/>
  <c r="O209" i="3"/>
  <c r="P208" i="3"/>
  <c r="O208" i="3"/>
  <c r="P207" i="3"/>
  <c r="O207" i="3"/>
  <c r="P206" i="3"/>
  <c r="O206" i="3"/>
  <c r="P205" i="3"/>
  <c r="O205" i="3"/>
  <c r="P204" i="3"/>
  <c r="O204" i="3"/>
  <c r="P203" i="3"/>
  <c r="O203" i="3"/>
  <c r="P202" i="3"/>
  <c r="O202" i="3"/>
  <c r="P201" i="3"/>
  <c r="O201" i="3"/>
  <c r="P200" i="3"/>
  <c r="O200" i="3"/>
  <c r="P199" i="3"/>
  <c r="O199" i="3"/>
  <c r="P198" i="3"/>
  <c r="O198" i="3"/>
  <c r="P197" i="3"/>
  <c r="O197" i="3"/>
  <c r="P196" i="3"/>
  <c r="O196" i="3"/>
  <c r="P195" i="3"/>
  <c r="O195" i="3"/>
  <c r="P194" i="3"/>
  <c r="O194" i="3"/>
  <c r="P193" i="3"/>
  <c r="O193" i="3"/>
  <c r="P192" i="3"/>
  <c r="O192" i="3"/>
  <c r="P191" i="3"/>
  <c r="O191" i="3"/>
  <c r="P190" i="3"/>
  <c r="O190" i="3"/>
  <c r="P189" i="3"/>
  <c r="O189" i="3"/>
  <c r="P188" i="3"/>
  <c r="O188" i="3"/>
  <c r="P187" i="3"/>
  <c r="O187" i="3"/>
  <c r="P186" i="3"/>
  <c r="O186" i="3"/>
  <c r="P185" i="3"/>
  <c r="O185" i="3"/>
  <c r="P184" i="3"/>
  <c r="O184" i="3"/>
  <c r="P183" i="3"/>
  <c r="O183" i="3"/>
  <c r="P182" i="3"/>
  <c r="O182" i="3"/>
  <c r="P181" i="3"/>
  <c r="O181" i="3"/>
  <c r="P180" i="3"/>
  <c r="O180" i="3"/>
  <c r="P179" i="3"/>
  <c r="O179" i="3"/>
  <c r="P178" i="3"/>
  <c r="O178" i="3"/>
  <c r="P177" i="3"/>
  <c r="O177" i="3"/>
  <c r="P176" i="3"/>
  <c r="O176" i="3"/>
  <c r="P175" i="3"/>
  <c r="O175" i="3"/>
  <c r="P174" i="3"/>
  <c r="O174" i="3"/>
  <c r="P173" i="3"/>
  <c r="O173" i="3"/>
  <c r="P172" i="3"/>
  <c r="O172" i="3"/>
  <c r="P171" i="3"/>
  <c r="O171" i="3"/>
  <c r="P170" i="3"/>
  <c r="O170" i="3"/>
  <c r="P169" i="3"/>
  <c r="O169" i="3"/>
  <c r="P168" i="3"/>
  <c r="O168" i="3"/>
  <c r="P167" i="3"/>
  <c r="O167" i="3"/>
  <c r="P166" i="3"/>
  <c r="O166" i="3"/>
  <c r="P165" i="3"/>
  <c r="O165" i="3"/>
  <c r="P164" i="3"/>
  <c r="O164" i="3"/>
  <c r="P163" i="3"/>
  <c r="O163" i="3"/>
  <c r="P162" i="3"/>
  <c r="O162" i="3"/>
  <c r="P161" i="3"/>
  <c r="O161" i="3"/>
  <c r="P160" i="3"/>
  <c r="O160" i="3"/>
  <c r="P159" i="3"/>
  <c r="O159" i="3"/>
  <c r="P158" i="3"/>
  <c r="O158" i="3"/>
  <c r="P157" i="3"/>
  <c r="O157" i="3"/>
  <c r="P156" i="3"/>
  <c r="O156" i="3"/>
  <c r="P155" i="3"/>
  <c r="O155" i="3"/>
  <c r="P154" i="3"/>
  <c r="O154" i="3"/>
  <c r="P153" i="3"/>
  <c r="O153" i="3"/>
  <c r="P152" i="3"/>
  <c r="O152" i="3"/>
  <c r="P151" i="3"/>
  <c r="O151" i="3"/>
  <c r="P150" i="3"/>
  <c r="O150" i="3"/>
  <c r="P149" i="3"/>
  <c r="O149" i="3"/>
  <c r="P148" i="3"/>
  <c r="O148" i="3"/>
  <c r="P147" i="3"/>
  <c r="O147" i="3"/>
  <c r="P146" i="3"/>
  <c r="O146" i="3"/>
  <c r="P145" i="3"/>
  <c r="O145" i="3"/>
  <c r="P144" i="3"/>
  <c r="O144" i="3"/>
  <c r="P143" i="3"/>
  <c r="O143" i="3"/>
  <c r="P142" i="3"/>
  <c r="O142" i="3"/>
  <c r="P141" i="3"/>
  <c r="O141" i="3"/>
  <c r="P140" i="3"/>
  <c r="O140" i="3"/>
  <c r="P139" i="3"/>
  <c r="O139" i="3"/>
  <c r="P138" i="3"/>
  <c r="O138" i="3"/>
  <c r="P137" i="3"/>
  <c r="O137" i="3"/>
  <c r="P136" i="3"/>
  <c r="O136" i="3"/>
  <c r="P135" i="3"/>
  <c r="O135" i="3"/>
  <c r="P134" i="3"/>
  <c r="O134" i="3"/>
  <c r="P133" i="3"/>
  <c r="O133" i="3"/>
  <c r="P132" i="3"/>
  <c r="O132" i="3"/>
  <c r="P131" i="3"/>
  <c r="O131" i="3"/>
  <c r="P130" i="3"/>
  <c r="O130" i="3"/>
  <c r="P129" i="3"/>
  <c r="O129" i="3"/>
  <c r="P128" i="3"/>
  <c r="O128" i="3"/>
  <c r="P127" i="3"/>
  <c r="O127" i="3"/>
  <c r="P126" i="3"/>
  <c r="O126" i="3"/>
  <c r="P125" i="3"/>
  <c r="O125" i="3"/>
  <c r="P124" i="3"/>
  <c r="O124" i="3"/>
  <c r="P123" i="3"/>
  <c r="O123" i="3"/>
  <c r="P122" i="3"/>
  <c r="O122" i="3"/>
  <c r="P121" i="3"/>
  <c r="O121" i="3"/>
  <c r="P120" i="3"/>
  <c r="O120" i="3"/>
  <c r="P119" i="3"/>
  <c r="O119" i="3"/>
  <c r="P118" i="3"/>
  <c r="O118" i="3"/>
  <c r="P117" i="3"/>
  <c r="O117" i="3"/>
  <c r="P116" i="3"/>
  <c r="O116" i="3"/>
  <c r="P115" i="3"/>
  <c r="O115" i="3"/>
  <c r="P114" i="3"/>
  <c r="O114" i="3"/>
  <c r="P113" i="3"/>
  <c r="O113" i="3"/>
  <c r="P112" i="3"/>
  <c r="O112" i="3"/>
  <c r="P111" i="3"/>
  <c r="O111" i="3"/>
  <c r="P110" i="3"/>
  <c r="O110" i="3"/>
  <c r="P109" i="3"/>
  <c r="O109" i="3"/>
  <c r="P108" i="3"/>
  <c r="O108" i="3"/>
  <c r="P107" i="3"/>
  <c r="O107" i="3"/>
  <c r="P106" i="3"/>
  <c r="O106" i="3"/>
  <c r="P105" i="3"/>
  <c r="O105" i="3"/>
  <c r="P104" i="3"/>
  <c r="O104" i="3"/>
  <c r="P103" i="3"/>
  <c r="O103" i="3"/>
  <c r="P102" i="3"/>
  <c r="O102" i="3"/>
  <c r="P101" i="3"/>
  <c r="O101" i="3"/>
  <c r="P100" i="3"/>
  <c r="O100" i="3"/>
  <c r="P99" i="3"/>
  <c r="O99" i="3"/>
  <c r="P98" i="3"/>
  <c r="O98" i="3"/>
  <c r="P97" i="3"/>
  <c r="O97" i="3"/>
  <c r="P96" i="3"/>
  <c r="O96" i="3"/>
  <c r="P95" i="3"/>
  <c r="O95" i="3"/>
  <c r="P94" i="3"/>
  <c r="O94" i="3"/>
  <c r="P93" i="3"/>
  <c r="O93" i="3"/>
  <c r="P92" i="3"/>
  <c r="O92" i="3"/>
  <c r="P91" i="3"/>
  <c r="O91" i="3"/>
  <c r="P90" i="3"/>
  <c r="O90" i="3"/>
  <c r="P89" i="3"/>
  <c r="O89" i="3"/>
  <c r="P88" i="3"/>
  <c r="O88" i="3"/>
  <c r="P87" i="3"/>
  <c r="O87" i="3"/>
  <c r="P86" i="3"/>
  <c r="O86" i="3"/>
  <c r="P85" i="3"/>
  <c r="O85" i="3"/>
  <c r="P84" i="3"/>
  <c r="O84" i="3"/>
  <c r="P83" i="3"/>
  <c r="O83" i="3"/>
  <c r="P82" i="3"/>
  <c r="O82" i="3"/>
  <c r="P81" i="3"/>
  <c r="O81" i="3"/>
  <c r="P80" i="3"/>
  <c r="O80" i="3"/>
  <c r="P79" i="3"/>
  <c r="O79" i="3"/>
  <c r="P78" i="3"/>
  <c r="O78" i="3"/>
  <c r="P77" i="3"/>
  <c r="O77" i="3"/>
  <c r="P76" i="3"/>
  <c r="O76" i="3"/>
  <c r="P75" i="3"/>
  <c r="O75" i="3"/>
  <c r="P74" i="3"/>
  <c r="O74" i="3"/>
  <c r="P73" i="3"/>
  <c r="O73" i="3"/>
  <c r="P72" i="3"/>
  <c r="O72" i="3"/>
  <c r="P71" i="3"/>
  <c r="O71" i="3"/>
  <c r="P70" i="3"/>
  <c r="O70" i="3"/>
  <c r="P69" i="3"/>
  <c r="O69" i="3"/>
  <c r="P68" i="3"/>
  <c r="O68" i="3"/>
  <c r="P67" i="3"/>
  <c r="O67" i="3"/>
  <c r="P66" i="3"/>
  <c r="O66" i="3"/>
  <c r="P65" i="3"/>
  <c r="O65" i="3"/>
  <c r="P64" i="3"/>
  <c r="O64" i="3"/>
  <c r="P63" i="3"/>
  <c r="O63" i="3"/>
  <c r="P62" i="3"/>
  <c r="O62" i="3"/>
  <c r="P61" i="3"/>
  <c r="O61" i="3"/>
  <c r="P60" i="3"/>
  <c r="O60" i="3"/>
  <c r="P59" i="3"/>
  <c r="O59" i="3"/>
  <c r="P58" i="3"/>
  <c r="O58" i="3"/>
  <c r="P57" i="3"/>
  <c r="O57" i="3"/>
  <c r="P56" i="3"/>
  <c r="O56" i="3"/>
  <c r="P55" i="3"/>
  <c r="O55" i="3"/>
  <c r="P54" i="3"/>
  <c r="O54" i="3"/>
  <c r="P53" i="3"/>
  <c r="O53" i="3"/>
  <c r="P52" i="3"/>
  <c r="O52" i="3"/>
  <c r="P51" i="3"/>
  <c r="O51" i="3"/>
  <c r="P50" i="3"/>
  <c r="O50" i="3"/>
  <c r="P49" i="3"/>
  <c r="O49" i="3"/>
  <c r="P48" i="3"/>
  <c r="O48" i="3"/>
  <c r="P47" i="3"/>
  <c r="O47" i="3"/>
  <c r="P46" i="3"/>
  <c r="O46" i="3"/>
  <c r="P45" i="3"/>
  <c r="O45" i="3"/>
  <c r="P44" i="3"/>
  <c r="O44" i="3"/>
  <c r="P43" i="3"/>
  <c r="O43" i="3"/>
  <c r="P42" i="3"/>
  <c r="O42" i="3"/>
  <c r="P41" i="3"/>
  <c r="O41" i="3"/>
  <c r="P40" i="3"/>
  <c r="O40" i="3"/>
  <c r="P39" i="3"/>
  <c r="O39" i="3"/>
  <c r="P38" i="3"/>
  <c r="O38" i="3"/>
  <c r="P37" i="3"/>
  <c r="O37" i="3"/>
  <c r="P36" i="3"/>
  <c r="O36" i="3"/>
  <c r="P35" i="3"/>
  <c r="O35" i="3"/>
  <c r="P34" i="3"/>
  <c r="O34" i="3"/>
  <c r="P33" i="3"/>
  <c r="O33" i="3"/>
  <c r="P32" i="3"/>
  <c r="O32" i="3"/>
  <c r="P31" i="3"/>
  <c r="O31" i="3"/>
  <c r="P30" i="3"/>
  <c r="O30" i="3"/>
  <c r="P29" i="3"/>
  <c r="O29" i="3"/>
  <c r="P28" i="3"/>
  <c r="O28" i="3"/>
  <c r="P27" i="3"/>
  <c r="O27" i="3"/>
  <c r="P26" i="3"/>
  <c r="O26" i="3"/>
  <c r="P25" i="3"/>
  <c r="O25" i="3"/>
  <c r="P24" i="3"/>
  <c r="O24" i="3"/>
  <c r="P23" i="3"/>
  <c r="O23" i="3"/>
  <c r="P22" i="3"/>
  <c r="O22" i="3"/>
  <c r="P21" i="3"/>
  <c r="O21" i="3"/>
  <c r="P20" i="3"/>
  <c r="O20" i="3"/>
  <c r="P19" i="3"/>
  <c r="O19" i="3"/>
  <c r="P18" i="3"/>
  <c r="O18" i="3"/>
  <c r="P17" i="3"/>
  <c r="O17" i="3"/>
  <c r="P16" i="3"/>
  <c r="O16" i="3"/>
  <c r="P15" i="3"/>
  <c r="O15" i="3"/>
  <c r="P14" i="3"/>
  <c r="O14" i="3"/>
  <c r="P13" i="3"/>
  <c r="O13" i="3"/>
  <c r="P12" i="3"/>
  <c r="O12" i="3"/>
  <c r="P11" i="3"/>
  <c r="O11" i="3"/>
  <c r="P10" i="3"/>
  <c r="O10" i="3"/>
  <c r="P9" i="3"/>
  <c r="O9" i="3"/>
  <c r="P8" i="3"/>
  <c r="O8" i="3"/>
  <c r="P7" i="3"/>
  <c r="O7" i="3"/>
  <c r="P6" i="3"/>
  <c r="O6" i="3"/>
  <c r="P5" i="3"/>
  <c r="O5" i="3"/>
  <c r="P4" i="3"/>
  <c r="O4" i="3"/>
  <c r="P3" i="3"/>
  <c r="O3" i="3"/>
  <c r="P2" i="3"/>
  <c r="O2" i="3"/>
  <c r="L4995" i="1"/>
  <c r="L4994" i="1"/>
  <c r="L4993" i="1"/>
  <c r="L4992" i="1"/>
  <c r="L4991" i="1"/>
  <c r="L4990" i="1"/>
  <c r="L4989" i="1"/>
  <c r="L4988" i="1"/>
  <c r="L4987" i="1"/>
  <c r="L4986" i="1"/>
  <c r="L4985" i="1"/>
  <c r="L4984" i="1"/>
  <c r="L4983" i="1"/>
  <c r="L4982" i="1"/>
  <c r="L4981" i="1"/>
  <c r="L4980" i="1"/>
  <c r="L4979" i="1"/>
  <c r="L4978" i="1"/>
  <c r="L4977" i="1"/>
  <c r="L4976" i="1"/>
  <c r="L4975" i="1"/>
  <c r="L4974" i="1"/>
  <c r="L4973" i="1"/>
  <c r="L4972" i="1"/>
  <c r="L4971" i="1"/>
  <c r="L4970" i="1"/>
  <c r="L4969" i="1"/>
  <c r="L4968" i="1"/>
  <c r="L4967" i="1"/>
  <c r="L4966" i="1"/>
  <c r="L4965" i="1"/>
  <c r="L4964" i="1"/>
  <c r="L4963" i="1"/>
  <c r="L4962" i="1"/>
  <c r="L4961" i="1"/>
  <c r="L4960" i="1"/>
  <c r="L4959" i="1"/>
  <c r="L4958" i="1"/>
  <c r="L4957" i="1"/>
  <c r="L4956" i="1"/>
  <c r="L4955" i="1"/>
  <c r="L4954" i="1"/>
  <c r="L4953" i="1"/>
  <c r="L4952" i="1"/>
  <c r="L4951" i="1"/>
  <c r="L4950" i="1"/>
  <c r="L4949" i="1"/>
  <c r="L4948" i="1"/>
  <c r="L4947" i="1"/>
  <c r="L4946" i="1"/>
  <c r="L4945" i="1"/>
  <c r="L4944" i="1"/>
  <c r="L4943" i="1"/>
  <c r="L4942" i="1"/>
  <c r="L4941" i="1"/>
  <c r="L4940" i="1"/>
  <c r="L4939" i="1"/>
  <c r="L4938" i="1"/>
  <c r="L4937" i="1"/>
  <c r="L4936" i="1"/>
  <c r="L4935" i="1"/>
  <c r="L4934" i="1"/>
  <c r="L4933" i="1"/>
  <c r="L4932" i="1"/>
  <c r="L4931" i="1"/>
  <c r="L4930" i="1"/>
  <c r="L4929" i="1"/>
  <c r="L4928" i="1"/>
  <c r="L4927" i="1"/>
  <c r="L4926" i="1"/>
  <c r="L4925" i="1"/>
  <c r="L4924" i="1"/>
  <c r="L4923" i="1"/>
  <c r="L4922" i="1"/>
  <c r="L4921" i="1"/>
  <c r="L4920" i="1"/>
  <c r="L4919" i="1"/>
  <c r="L4918" i="1"/>
  <c r="L4917" i="1"/>
  <c r="L4916" i="1"/>
  <c r="L4915" i="1"/>
  <c r="L4914" i="1"/>
  <c r="L4913" i="1"/>
  <c r="L4912" i="1"/>
  <c r="L4911" i="1"/>
  <c r="L4910" i="1"/>
  <c r="L4909" i="1"/>
  <c r="L4908" i="1"/>
  <c r="L4907" i="1"/>
  <c r="L4906" i="1"/>
  <c r="L4905" i="1"/>
  <c r="L4904" i="1"/>
  <c r="L4903" i="1"/>
  <c r="L4902" i="1"/>
  <c r="L4901" i="1"/>
  <c r="L4900" i="1"/>
  <c r="L4899" i="1"/>
  <c r="L4898" i="1"/>
  <c r="L4897" i="1"/>
  <c r="L4896" i="1"/>
  <c r="L4895" i="1"/>
  <c r="L4894" i="1"/>
  <c r="L4893" i="1"/>
  <c r="L4892" i="1"/>
  <c r="L4891" i="1"/>
  <c r="L4890" i="1"/>
  <c r="L4889" i="1"/>
  <c r="L4888" i="1"/>
  <c r="L4887" i="1"/>
  <c r="L4886" i="1"/>
  <c r="L4885" i="1"/>
  <c r="L4884" i="1"/>
  <c r="L4883" i="1"/>
  <c r="L4882" i="1"/>
  <c r="L4881" i="1"/>
  <c r="L4880" i="1"/>
  <c r="L4879" i="1"/>
  <c r="L4878" i="1"/>
  <c r="L4877" i="1"/>
  <c r="L4876" i="1"/>
  <c r="L4875" i="1"/>
  <c r="L4874" i="1"/>
  <c r="L4873" i="1"/>
  <c r="L4872" i="1"/>
  <c r="L4871" i="1"/>
  <c r="L4870" i="1"/>
  <c r="L4869" i="1"/>
  <c r="L4868" i="1"/>
  <c r="L4867" i="1"/>
  <c r="L4866" i="1"/>
  <c r="L4865" i="1"/>
  <c r="L4864" i="1"/>
  <c r="L4863" i="1"/>
  <c r="L4862" i="1"/>
  <c r="L4861" i="1"/>
  <c r="L4860" i="1"/>
  <c r="L4859" i="1"/>
  <c r="L4858" i="1"/>
  <c r="L4857" i="1"/>
  <c r="L4856" i="1"/>
  <c r="L4855" i="1"/>
  <c r="L4854" i="1"/>
  <c r="L4853" i="1"/>
  <c r="L4852" i="1"/>
  <c r="L4851" i="1"/>
  <c r="L4850" i="1"/>
  <c r="L4849" i="1"/>
  <c r="L4848" i="1"/>
  <c r="L4847" i="1"/>
  <c r="L4846" i="1"/>
  <c r="L4845" i="1"/>
  <c r="L4844" i="1"/>
  <c r="L4843" i="1"/>
  <c r="L4842" i="1"/>
  <c r="L4841" i="1"/>
  <c r="L4840" i="1"/>
  <c r="L4839" i="1"/>
  <c r="L4838" i="1"/>
  <c r="L4837" i="1"/>
  <c r="L4836" i="1"/>
  <c r="L4835" i="1"/>
  <c r="L4834" i="1"/>
  <c r="L4833" i="1"/>
  <c r="L4832" i="1"/>
  <c r="L4831" i="1"/>
  <c r="L4830" i="1"/>
  <c r="L4829" i="1"/>
  <c r="L4828" i="1"/>
  <c r="L4827" i="1"/>
  <c r="L4826" i="1"/>
  <c r="L4825" i="1"/>
  <c r="L4824" i="1"/>
  <c r="L4823" i="1"/>
  <c r="L4822" i="1"/>
  <c r="L4821" i="1"/>
  <c r="L4820" i="1"/>
  <c r="L4819" i="1"/>
  <c r="L4818" i="1"/>
  <c r="L4817" i="1"/>
  <c r="L4816" i="1"/>
  <c r="L4815" i="1"/>
  <c r="L4814" i="1"/>
  <c r="L4813" i="1"/>
  <c r="L4812" i="1"/>
  <c r="L4811" i="1"/>
  <c r="L4810" i="1"/>
  <c r="L4809" i="1"/>
  <c r="L4808" i="1"/>
  <c r="L4807" i="1"/>
  <c r="L4806" i="1"/>
  <c r="L4805" i="1"/>
  <c r="L4804" i="1"/>
  <c r="L4803" i="1"/>
  <c r="L4802" i="1"/>
  <c r="L4801" i="1"/>
  <c r="L4800" i="1"/>
  <c r="L4799" i="1"/>
  <c r="L4798" i="1"/>
  <c r="L4797" i="1"/>
  <c r="L4796" i="1"/>
  <c r="L4795" i="1"/>
  <c r="L4794" i="1"/>
  <c r="L4793" i="1"/>
  <c r="L4792" i="1"/>
  <c r="L4791" i="1"/>
  <c r="L4790" i="1"/>
  <c r="L4789" i="1"/>
  <c r="L4788" i="1"/>
  <c r="L4787" i="1"/>
  <c r="L4786" i="1"/>
  <c r="L4785" i="1"/>
  <c r="L4784" i="1"/>
  <c r="L4783" i="1"/>
  <c r="L4782" i="1"/>
  <c r="L4781" i="1"/>
  <c r="L4780" i="1"/>
  <c r="L4779" i="1"/>
  <c r="L4778" i="1"/>
  <c r="L4777" i="1"/>
  <c r="L4776" i="1"/>
  <c r="L4775" i="1"/>
  <c r="L4774" i="1"/>
  <c r="L4773" i="1"/>
  <c r="L4772" i="1"/>
  <c r="L4771" i="1"/>
  <c r="L4770" i="1"/>
  <c r="L4769" i="1"/>
  <c r="L4768" i="1"/>
  <c r="L4767" i="1"/>
  <c r="L4766" i="1"/>
  <c r="L4765" i="1"/>
  <c r="L4764" i="1"/>
  <c r="L4763" i="1"/>
  <c r="L4762" i="1"/>
  <c r="L4761" i="1"/>
  <c r="L4760" i="1"/>
  <c r="L4759" i="1"/>
  <c r="L4758" i="1"/>
  <c r="L4757" i="1"/>
  <c r="L4756" i="1"/>
  <c r="L4755" i="1"/>
  <c r="L4754" i="1"/>
  <c r="L4753" i="1"/>
  <c r="L4752" i="1"/>
  <c r="L4751" i="1"/>
  <c r="L4750" i="1"/>
  <c r="L4749" i="1"/>
  <c r="L4748" i="1"/>
  <c r="L4747" i="1"/>
  <c r="L4746" i="1"/>
  <c r="L4745" i="1"/>
  <c r="L4744" i="1"/>
  <c r="L4743" i="1"/>
  <c r="L4742" i="1"/>
  <c r="L4741" i="1"/>
  <c r="L4740" i="1"/>
  <c r="L4739" i="1"/>
  <c r="L4738" i="1"/>
  <c r="L4737" i="1"/>
  <c r="L4736" i="1"/>
  <c r="L4735" i="1"/>
  <c r="L4734" i="1"/>
  <c r="L4733" i="1"/>
  <c r="L4732" i="1"/>
  <c r="L4731" i="1"/>
  <c r="L4730" i="1"/>
  <c r="L4729" i="1"/>
  <c r="L4728" i="1"/>
  <c r="L4727" i="1"/>
  <c r="L4726" i="1"/>
  <c r="L4725" i="1"/>
  <c r="L4724" i="1"/>
  <c r="L4723" i="1"/>
  <c r="L4722" i="1"/>
  <c r="L4721" i="1"/>
  <c r="L4720" i="1"/>
  <c r="L4719" i="1"/>
  <c r="L4718" i="1"/>
  <c r="L4717" i="1"/>
  <c r="L4716" i="1"/>
  <c r="L4715" i="1"/>
  <c r="L4714" i="1"/>
  <c r="L4713" i="1"/>
  <c r="L4712" i="1"/>
  <c r="L4711" i="1"/>
  <c r="L4710" i="1"/>
  <c r="L4709" i="1"/>
  <c r="L4708" i="1"/>
  <c r="L4707" i="1"/>
  <c r="L4706" i="1"/>
  <c r="L4705" i="1"/>
  <c r="L4704" i="1"/>
  <c r="L4703" i="1"/>
  <c r="L4702" i="1"/>
  <c r="L4701" i="1"/>
  <c r="L4700" i="1"/>
  <c r="L4699" i="1"/>
  <c r="L4698" i="1"/>
  <c r="L4697" i="1"/>
  <c r="L4696" i="1"/>
  <c r="L4695" i="1"/>
  <c r="L4694" i="1"/>
  <c r="L4693" i="1"/>
  <c r="L4692" i="1"/>
  <c r="L4691" i="1"/>
  <c r="L4690" i="1"/>
  <c r="L4689" i="1"/>
  <c r="L4688" i="1"/>
  <c r="L4687" i="1"/>
  <c r="L4686" i="1"/>
  <c r="L4685" i="1"/>
  <c r="L4684" i="1"/>
  <c r="L4683" i="1"/>
  <c r="L4682" i="1"/>
  <c r="L4681" i="1"/>
  <c r="L4680" i="1"/>
  <c r="L4679" i="1"/>
  <c r="L4678" i="1"/>
  <c r="L4677" i="1"/>
  <c r="L4676" i="1"/>
  <c r="L4675" i="1"/>
  <c r="L4674" i="1"/>
  <c r="L4673" i="1"/>
  <c r="L4672" i="1"/>
  <c r="L4671" i="1"/>
  <c r="L4670" i="1"/>
  <c r="L4669" i="1"/>
  <c r="L4668" i="1"/>
  <c r="L4667" i="1"/>
  <c r="L4666" i="1"/>
  <c r="L4665" i="1"/>
  <c r="L4664" i="1"/>
  <c r="L4663" i="1"/>
  <c r="L4662" i="1"/>
  <c r="L4661" i="1"/>
  <c r="L4660" i="1"/>
  <c r="L4659" i="1"/>
  <c r="L4658" i="1"/>
  <c r="L4657" i="1"/>
  <c r="L4656" i="1"/>
  <c r="L4655" i="1"/>
  <c r="L4654" i="1"/>
  <c r="L4653" i="1"/>
  <c r="L4652" i="1"/>
  <c r="L4651" i="1"/>
  <c r="L4650" i="1"/>
  <c r="L4649" i="1"/>
  <c r="L4648" i="1"/>
  <c r="L4647" i="1"/>
  <c r="L4646" i="1"/>
  <c r="L4645" i="1"/>
  <c r="L4644" i="1"/>
  <c r="L4643" i="1"/>
  <c r="L4642" i="1"/>
  <c r="L4641" i="1"/>
  <c r="L4640" i="1"/>
  <c r="L4639" i="1"/>
  <c r="L4638" i="1"/>
  <c r="L4637" i="1"/>
  <c r="L4636" i="1"/>
  <c r="L4635" i="1"/>
  <c r="L4634" i="1"/>
  <c r="L4633" i="1"/>
  <c r="L4632" i="1"/>
  <c r="L4631" i="1"/>
  <c r="L4630" i="1"/>
  <c r="L4629" i="1"/>
  <c r="L4628" i="1"/>
  <c r="L4627" i="1"/>
  <c r="L4626" i="1"/>
  <c r="L4625" i="1"/>
  <c r="L4624" i="1"/>
  <c r="L4623" i="1"/>
  <c r="L4622" i="1"/>
  <c r="L4621" i="1"/>
  <c r="L4620" i="1"/>
  <c r="L4619" i="1"/>
  <c r="L4618" i="1"/>
  <c r="L4617" i="1"/>
  <c r="L4616" i="1"/>
  <c r="L4615" i="1"/>
  <c r="L4614" i="1"/>
  <c r="L4613" i="1"/>
  <c r="L4612" i="1"/>
  <c r="L4611" i="1"/>
  <c r="L4610" i="1"/>
  <c r="L4609" i="1"/>
  <c r="L4608" i="1"/>
  <c r="L4607" i="1"/>
  <c r="L4606" i="1"/>
  <c r="L4605" i="1"/>
  <c r="L4604" i="1"/>
  <c r="L4603" i="1"/>
  <c r="L4602" i="1"/>
  <c r="L4601" i="1"/>
  <c r="L4600" i="1"/>
  <c r="L4599" i="1"/>
  <c r="L4598" i="1"/>
  <c r="L4597" i="1"/>
  <c r="L4596" i="1"/>
  <c r="L4595" i="1"/>
  <c r="L4594" i="1"/>
  <c r="L4593" i="1"/>
  <c r="L4592" i="1"/>
  <c r="L4591" i="1"/>
  <c r="L4590" i="1"/>
  <c r="L4589" i="1"/>
  <c r="L4588" i="1"/>
  <c r="L4587" i="1"/>
  <c r="L4586" i="1"/>
  <c r="L4585" i="1"/>
  <c r="L4584" i="1"/>
  <c r="L4583" i="1"/>
  <c r="L4582" i="1"/>
  <c r="L4581" i="1"/>
  <c r="L4580" i="1"/>
  <c r="L4579" i="1"/>
  <c r="L4578" i="1"/>
  <c r="L4577" i="1"/>
  <c r="L4576" i="1"/>
  <c r="L4575" i="1"/>
  <c r="L4574" i="1"/>
  <c r="L4573" i="1"/>
  <c r="L4572" i="1"/>
  <c r="L4571" i="1"/>
  <c r="L4570" i="1"/>
  <c r="L4569" i="1"/>
  <c r="L4568" i="1"/>
  <c r="L4567" i="1"/>
  <c r="L4566" i="1"/>
  <c r="L4565" i="1"/>
  <c r="L4564" i="1"/>
  <c r="L4563" i="1"/>
  <c r="L4562" i="1"/>
  <c r="L4561" i="1"/>
  <c r="L4560" i="1"/>
  <c r="L4559" i="1"/>
  <c r="L4558" i="1"/>
  <c r="L4557" i="1"/>
  <c r="L4556" i="1"/>
  <c r="L4555" i="1"/>
  <c r="L4554" i="1"/>
  <c r="L4553" i="1"/>
  <c r="L4552" i="1"/>
  <c r="L4551" i="1"/>
  <c r="L4550" i="1"/>
  <c r="L4549" i="1"/>
  <c r="L4548" i="1"/>
  <c r="L4547" i="1"/>
  <c r="L4546" i="1"/>
  <c r="L4545" i="1"/>
  <c r="L4544" i="1"/>
  <c r="L4543" i="1"/>
  <c r="L4542" i="1"/>
  <c r="L4541" i="1"/>
  <c r="L4540" i="1"/>
  <c r="L4539" i="1"/>
  <c r="L4538" i="1"/>
  <c r="L4537" i="1"/>
  <c r="L4536" i="1"/>
  <c r="L4535" i="1"/>
  <c r="L4534" i="1"/>
  <c r="L4533" i="1"/>
  <c r="L4532" i="1"/>
  <c r="L4531" i="1"/>
  <c r="L4530" i="1"/>
  <c r="L4529" i="1"/>
  <c r="L4528" i="1"/>
  <c r="L4527" i="1"/>
  <c r="L4526" i="1"/>
  <c r="L4525" i="1"/>
  <c r="L4524" i="1"/>
  <c r="L4523" i="1"/>
  <c r="L4522" i="1"/>
  <c r="L4521" i="1"/>
  <c r="L4520" i="1"/>
  <c r="L4519" i="1"/>
  <c r="L4518" i="1"/>
  <c r="L4517" i="1"/>
  <c r="L4516" i="1"/>
  <c r="L4515" i="1"/>
  <c r="L4514" i="1"/>
  <c r="L4513" i="1"/>
  <c r="L4512" i="1"/>
  <c r="L4511" i="1"/>
  <c r="L4510" i="1"/>
  <c r="L4509" i="1"/>
  <c r="L4508" i="1"/>
  <c r="L4507" i="1"/>
  <c r="L4506" i="1"/>
  <c r="L4505" i="1"/>
  <c r="L4504" i="1"/>
  <c r="L4503" i="1"/>
  <c r="L4502" i="1"/>
  <c r="L4501" i="1"/>
  <c r="L4500" i="1"/>
  <c r="L4499" i="1"/>
  <c r="L4498" i="1"/>
  <c r="L4497" i="1"/>
  <c r="L4496" i="1"/>
  <c r="L4495" i="1"/>
  <c r="L4494" i="1"/>
  <c r="L4493" i="1"/>
  <c r="L4492" i="1"/>
  <c r="L4491" i="1"/>
  <c r="L4490" i="1"/>
  <c r="L4489" i="1"/>
  <c r="L4488" i="1"/>
  <c r="L4487" i="1"/>
  <c r="L4486" i="1"/>
  <c r="L4485" i="1"/>
  <c r="L4484" i="1"/>
  <c r="L4483" i="1"/>
  <c r="L4482" i="1"/>
  <c r="L4481" i="1"/>
  <c r="L4480" i="1"/>
  <c r="L4479" i="1"/>
  <c r="L4478" i="1"/>
  <c r="L4477" i="1"/>
  <c r="L4476" i="1"/>
  <c r="L4475" i="1"/>
  <c r="L4474" i="1"/>
  <c r="L4473" i="1"/>
  <c r="L4472" i="1"/>
  <c r="L4471" i="1"/>
  <c r="L4470" i="1"/>
  <c r="L4469" i="1"/>
  <c r="L4468" i="1"/>
  <c r="L4467" i="1"/>
  <c r="L4466" i="1"/>
  <c r="L4465" i="1"/>
  <c r="L4464" i="1"/>
  <c r="L4463" i="1"/>
  <c r="L4462" i="1"/>
  <c r="L4461" i="1"/>
  <c r="L4460" i="1"/>
  <c r="L4459" i="1"/>
  <c r="L4458" i="1"/>
  <c r="L4457" i="1"/>
  <c r="L4456" i="1"/>
  <c r="L4455" i="1"/>
  <c r="L4454" i="1"/>
  <c r="L4453" i="1"/>
  <c r="L4452" i="1"/>
  <c r="L4451" i="1"/>
  <c r="L4450" i="1"/>
  <c r="L4449" i="1"/>
  <c r="L4448" i="1"/>
  <c r="L4447" i="1"/>
  <c r="L4446" i="1"/>
  <c r="L4445" i="1"/>
  <c r="L4444" i="1"/>
  <c r="L4443" i="1"/>
  <c r="L4442" i="1"/>
  <c r="L4441" i="1"/>
  <c r="L4440" i="1"/>
  <c r="L4439" i="1"/>
  <c r="L4438" i="1"/>
  <c r="L4437" i="1"/>
  <c r="L4436" i="1"/>
  <c r="L4435" i="1"/>
  <c r="L4434" i="1"/>
  <c r="L4433" i="1"/>
  <c r="L4432" i="1"/>
  <c r="L4431" i="1"/>
  <c r="L4430" i="1"/>
  <c r="L4429" i="1"/>
  <c r="L4428" i="1"/>
  <c r="L4427" i="1"/>
  <c r="L4426" i="1"/>
  <c r="L4425" i="1"/>
  <c r="L4424" i="1"/>
  <c r="L4423" i="1"/>
  <c r="L4422" i="1"/>
  <c r="L4421" i="1"/>
  <c r="L4420" i="1"/>
  <c r="L4419" i="1"/>
  <c r="L4418" i="1"/>
  <c r="L4417" i="1"/>
  <c r="L4416" i="1"/>
  <c r="L4415" i="1"/>
  <c r="L4414" i="1"/>
  <c r="L4413" i="1"/>
  <c r="L4412" i="1"/>
  <c r="L4411" i="1"/>
  <c r="L4410" i="1"/>
  <c r="L4409" i="1"/>
  <c r="L4408" i="1"/>
  <c r="L4407" i="1"/>
  <c r="L4406" i="1"/>
  <c r="L4405" i="1"/>
  <c r="L4404" i="1"/>
  <c r="L4403" i="1"/>
  <c r="L4402" i="1"/>
  <c r="L4401" i="1"/>
  <c r="L4400" i="1"/>
  <c r="L4399" i="1"/>
  <c r="L4398" i="1"/>
  <c r="L4397" i="1"/>
  <c r="L4396" i="1"/>
  <c r="L4395" i="1"/>
  <c r="L4394" i="1"/>
  <c r="L4393" i="1"/>
  <c r="L4392" i="1"/>
  <c r="L4391" i="1"/>
  <c r="L4390" i="1"/>
  <c r="L4389" i="1"/>
  <c r="L4388" i="1"/>
  <c r="L4387" i="1"/>
  <c r="L4386" i="1"/>
  <c r="L4385" i="1"/>
  <c r="L4384" i="1"/>
  <c r="L4383" i="1"/>
  <c r="L4382" i="1"/>
  <c r="L4381" i="1"/>
  <c r="L4380" i="1"/>
  <c r="L4379" i="1"/>
  <c r="L4378" i="1"/>
  <c r="L4377" i="1"/>
  <c r="L4376" i="1"/>
  <c r="L4375" i="1"/>
  <c r="L4374" i="1"/>
  <c r="L4373" i="1"/>
  <c r="L4372" i="1"/>
  <c r="L4371" i="1"/>
  <c r="L4370" i="1"/>
  <c r="L4369" i="1"/>
  <c r="L4368" i="1"/>
  <c r="L4367" i="1"/>
  <c r="L4366" i="1"/>
  <c r="L4365" i="1"/>
  <c r="L4364" i="1"/>
  <c r="L4363" i="1"/>
  <c r="L4362" i="1"/>
  <c r="L4361" i="1"/>
  <c r="L4360" i="1"/>
  <c r="L4359" i="1"/>
  <c r="L4358" i="1"/>
  <c r="L4357" i="1"/>
  <c r="L4356" i="1"/>
  <c r="L4355" i="1"/>
  <c r="L4354" i="1"/>
  <c r="L4353" i="1"/>
  <c r="L4352" i="1"/>
  <c r="L4351" i="1"/>
  <c r="L4350" i="1"/>
  <c r="L4349" i="1"/>
  <c r="L4348" i="1"/>
  <c r="L4347" i="1"/>
  <c r="L4346" i="1"/>
  <c r="L4345" i="1"/>
  <c r="L4344" i="1"/>
  <c r="L4343" i="1"/>
  <c r="L4342" i="1"/>
  <c r="L4341" i="1"/>
  <c r="L4340" i="1"/>
  <c r="L4339" i="1"/>
  <c r="L4338" i="1"/>
  <c r="L4337" i="1"/>
  <c r="L4336" i="1"/>
  <c r="L4335" i="1"/>
  <c r="L4334" i="1"/>
  <c r="L4333" i="1"/>
  <c r="L4332" i="1"/>
  <c r="L4331" i="1"/>
  <c r="L4330" i="1"/>
  <c r="L4329" i="1"/>
  <c r="L4328" i="1"/>
  <c r="L4327" i="1"/>
  <c r="L4326" i="1"/>
  <c r="L4325" i="1"/>
  <c r="L4324" i="1"/>
  <c r="L4323" i="1"/>
  <c r="L4322" i="1"/>
  <c r="L4321" i="1"/>
  <c r="L4320" i="1"/>
  <c r="L4319" i="1"/>
  <c r="L4318" i="1"/>
  <c r="L4317" i="1"/>
  <c r="L4316" i="1"/>
  <c r="L4315" i="1"/>
  <c r="L4314" i="1"/>
  <c r="L4313" i="1"/>
  <c r="L4312" i="1"/>
  <c r="L4311" i="1"/>
  <c r="L4310" i="1"/>
  <c r="L4309" i="1"/>
  <c r="L4308" i="1"/>
  <c r="L4307" i="1"/>
  <c r="L4306" i="1"/>
  <c r="L4305" i="1"/>
  <c r="L4304" i="1"/>
  <c r="L4303" i="1"/>
  <c r="L4302" i="1"/>
  <c r="L4301" i="1"/>
  <c r="L4300" i="1"/>
  <c r="L4299" i="1"/>
  <c r="L4298" i="1"/>
  <c r="L4297" i="1"/>
  <c r="L4296" i="1"/>
  <c r="L4295" i="1"/>
  <c r="L4294" i="1"/>
  <c r="L4293" i="1"/>
  <c r="L4292" i="1"/>
  <c r="L4291" i="1"/>
  <c r="L4290" i="1"/>
  <c r="L4289" i="1"/>
  <c r="L4288" i="1"/>
  <c r="L4287" i="1"/>
  <c r="L4286" i="1"/>
  <c r="L4285" i="1"/>
  <c r="L4284" i="1"/>
  <c r="L4283" i="1"/>
  <c r="L4282" i="1"/>
  <c r="L4281" i="1"/>
  <c r="L4280" i="1"/>
  <c r="L4279" i="1"/>
  <c r="L4278" i="1"/>
  <c r="L4277" i="1"/>
  <c r="L4276" i="1"/>
  <c r="L4275" i="1"/>
  <c r="L4274" i="1"/>
  <c r="L4273" i="1"/>
  <c r="L4272" i="1"/>
  <c r="L4271" i="1"/>
  <c r="L4270" i="1"/>
  <c r="L4269" i="1"/>
  <c r="L4268" i="1"/>
  <c r="L4267" i="1"/>
  <c r="L4266" i="1"/>
  <c r="L4265" i="1"/>
  <c r="L4264" i="1"/>
  <c r="L4263" i="1"/>
  <c r="L4262" i="1"/>
  <c r="L4261" i="1"/>
  <c r="L4260" i="1"/>
  <c r="L4259" i="1"/>
  <c r="L4258" i="1"/>
  <c r="L4257" i="1"/>
  <c r="L4256" i="1"/>
  <c r="L4255" i="1"/>
  <c r="L4254" i="1"/>
  <c r="L4253" i="1"/>
  <c r="L4252" i="1"/>
  <c r="L4251" i="1"/>
  <c r="L4250" i="1"/>
  <c r="L4249" i="1"/>
  <c r="L4248" i="1"/>
  <c r="L4247" i="1"/>
  <c r="L4246" i="1"/>
  <c r="L4245" i="1"/>
  <c r="L4244" i="1"/>
  <c r="L4243" i="1"/>
  <c r="L4242" i="1"/>
  <c r="L4241" i="1"/>
  <c r="L4240" i="1"/>
  <c r="L4239" i="1"/>
  <c r="L4238" i="1"/>
  <c r="L4237" i="1"/>
  <c r="L4236" i="1"/>
  <c r="L4235" i="1"/>
  <c r="L4234" i="1"/>
  <c r="L4233" i="1"/>
  <c r="L4232" i="1"/>
  <c r="L4231" i="1"/>
  <c r="L4230" i="1"/>
  <c r="L4229" i="1"/>
  <c r="L4228" i="1"/>
  <c r="L4227" i="1"/>
  <c r="L4226" i="1"/>
  <c r="L4225" i="1"/>
  <c r="L4224" i="1"/>
  <c r="L4223" i="1"/>
  <c r="L4222" i="1"/>
  <c r="L4221" i="1"/>
  <c r="L4220" i="1"/>
  <c r="L4219" i="1"/>
  <c r="L4218" i="1"/>
  <c r="L4217" i="1"/>
  <c r="L4216" i="1"/>
  <c r="L4215" i="1"/>
  <c r="L4214" i="1"/>
  <c r="L4213" i="1"/>
  <c r="L4212" i="1"/>
  <c r="L4211" i="1"/>
  <c r="L4210" i="1"/>
  <c r="L4209" i="1"/>
  <c r="L4208" i="1"/>
  <c r="L4207" i="1"/>
  <c r="L4206" i="1"/>
  <c r="L4205" i="1"/>
  <c r="L4204" i="1"/>
  <c r="L4203" i="1"/>
  <c r="L4202" i="1"/>
  <c r="L4201" i="1"/>
  <c r="L4200" i="1"/>
  <c r="L4199" i="1"/>
  <c r="L4198" i="1"/>
  <c r="L4197" i="1"/>
  <c r="L4196" i="1"/>
  <c r="L4195" i="1"/>
  <c r="L4194" i="1"/>
  <c r="L4193" i="1"/>
  <c r="L4192" i="1"/>
  <c r="L4191" i="1"/>
  <c r="L4190" i="1"/>
  <c r="L4189" i="1"/>
  <c r="L4188" i="1"/>
  <c r="L4187" i="1"/>
  <c r="L4186" i="1"/>
  <c r="L4185" i="1"/>
  <c r="L4184" i="1"/>
  <c r="L4183" i="1"/>
  <c r="L4182" i="1"/>
  <c r="L4181" i="1"/>
  <c r="L4180" i="1"/>
  <c r="L4179" i="1"/>
  <c r="L4178" i="1"/>
  <c r="L4177" i="1"/>
  <c r="L4176" i="1"/>
  <c r="L4175" i="1"/>
  <c r="L4174" i="1"/>
  <c r="L4173" i="1"/>
  <c r="L4172" i="1"/>
  <c r="L4171" i="1"/>
  <c r="L4170" i="1"/>
  <c r="L4169" i="1"/>
  <c r="L4168" i="1"/>
  <c r="L4167" i="1"/>
  <c r="L4166" i="1"/>
  <c r="L4165" i="1"/>
  <c r="L4164" i="1"/>
  <c r="L4163" i="1"/>
  <c r="L4162" i="1"/>
  <c r="L4161" i="1"/>
  <c r="L4160" i="1"/>
  <c r="L4159" i="1"/>
  <c r="L4158" i="1"/>
  <c r="L4157" i="1"/>
  <c r="L4156" i="1"/>
  <c r="L4155" i="1"/>
  <c r="L4154" i="1"/>
  <c r="L4153" i="1"/>
  <c r="L4152" i="1"/>
  <c r="L4151" i="1"/>
  <c r="L4150" i="1"/>
  <c r="L4149" i="1"/>
  <c r="L4148" i="1"/>
  <c r="L4147" i="1"/>
  <c r="L4146" i="1"/>
  <c r="L4145" i="1"/>
  <c r="L4144" i="1"/>
  <c r="L4143" i="1"/>
  <c r="L4142" i="1"/>
  <c r="L4141" i="1"/>
  <c r="L4140" i="1"/>
  <c r="L4139" i="1"/>
  <c r="L4138" i="1"/>
  <c r="L4137" i="1"/>
  <c r="L4136" i="1"/>
  <c r="L4135" i="1"/>
  <c r="L4134" i="1"/>
  <c r="L4133" i="1"/>
  <c r="L4132" i="1"/>
  <c r="L4131" i="1"/>
  <c r="L4130" i="1"/>
  <c r="L4129" i="1"/>
  <c r="L4128" i="1"/>
  <c r="L4127" i="1"/>
  <c r="L4126" i="1"/>
  <c r="L4125" i="1"/>
  <c r="L4124" i="1"/>
  <c r="L4123" i="1"/>
  <c r="L4122" i="1"/>
  <c r="L4121" i="1"/>
  <c r="L4120" i="1"/>
  <c r="L4119" i="1"/>
  <c r="L4118" i="1"/>
  <c r="L4117" i="1"/>
  <c r="L4116" i="1"/>
  <c r="L4115" i="1"/>
  <c r="L4114" i="1"/>
  <c r="L4113" i="1"/>
  <c r="L4112" i="1"/>
  <c r="L4111" i="1"/>
  <c r="L4110" i="1"/>
  <c r="L4109" i="1"/>
  <c r="L4108" i="1"/>
  <c r="L4107" i="1"/>
  <c r="L4106" i="1"/>
  <c r="L4105" i="1"/>
  <c r="L4104" i="1"/>
  <c r="L4103" i="1"/>
  <c r="L4102" i="1"/>
  <c r="L4101" i="1"/>
  <c r="L4100" i="1"/>
  <c r="L4099" i="1"/>
  <c r="L4098" i="1"/>
  <c r="L4097" i="1"/>
  <c r="L4096" i="1"/>
  <c r="L4095" i="1"/>
  <c r="L4094" i="1"/>
  <c r="L4093" i="1"/>
  <c r="L4092" i="1"/>
  <c r="L4091" i="1"/>
  <c r="L4090" i="1"/>
  <c r="L4089" i="1"/>
  <c r="L4088" i="1"/>
  <c r="L4087" i="1"/>
  <c r="L4086" i="1"/>
  <c r="L4085" i="1"/>
  <c r="L4084" i="1"/>
  <c r="L4083" i="1"/>
  <c r="L4082" i="1"/>
  <c r="L4081" i="1"/>
  <c r="L4080" i="1"/>
  <c r="L4079" i="1"/>
  <c r="L4078" i="1"/>
  <c r="L4077" i="1"/>
  <c r="L4076" i="1"/>
  <c r="L4075" i="1"/>
  <c r="L4074" i="1"/>
  <c r="L4073" i="1"/>
  <c r="L4072" i="1"/>
  <c r="L4071" i="1"/>
  <c r="L4070" i="1"/>
  <c r="L4069" i="1"/>
  <c r="L4068" i="1"/>
  <c r="L4067" i="1"/>
  <c r="L4066" i="1"/>
  <c r="L4065" i="1"/>
  <c r="L4064" i="1"/>
  <c r="L4063" i="1"/>
  <c r="L4062" i="1"/>
  <c r="L4061" i="1"/>
  <c r="L4060" i="1"/>
  <c r="L4059" i="1"/>
  <c r="L4058" i="1"/>
  <c r="L4057" i="1"/>
  <c r="L4056" i="1"/>
  <c r="L4055" i="1"/>
  <c r="L4054" i="1"/>
  <c r="L4053" i="1"/>
  <c r="L4052" i="1"/>
  <c r="L4051" i="1"/>
  <c r="L4050" i="1"/>
  <c r="L4049" i="1"/>
  <c r="L4048" i="1"/>
  <c r="L4047" i="1"/>
  <c r="L4046" i="1"/>
  <c r="L4045" i="1"/>
  <c r="L4044" i="1"/>
  <c r="L4043" i="1"/>
  <c r="L4042" i="1"/>
  <c r="L4041" i="1"/>
  <c r="L4040" i="1"/>
  <c r="L4039" i="1"/>
  <c r="L4038" i="1"/>
  <c r="L4037" i="1"/>
  <c r="L4036" i="1"/>
  <c r="L4035" i="1"/>
  <c r="L4034" i="1"/>
  <c r="L4033" i="1"/>
  <c r="L4032" i="1"/>
  <c r="L4031" i="1"/>
  <c r="L4030" i="1"/>
  <c r="L4029" i="1"/>
  <c r="L4028" i="1"/>
  <c r="L4027" i="1"/>
  <c r="L4026" i="1"/>
  <c r="L4025" i="1"/>
  <c r="L4024" i="1"/>
  <c r="L4023" i="1"/>
  <c r="L4022" i="1"/>
  <c r="L4021" i="1"/>
  <c r="L4020" i="1"/>
  <c r="L4019" i="1"/>
  <c r="L4018" i="1"/>
  <c r="L4017" i="1"/>
  <c r="L4016" i="1"/>
  <c r="L4015" i="1"/>
  <c r="L4014" i="1"/>
  <c r="L4013" i="1"/>
  <c r="L4012" i="1"/>
  <c r="L4011" i="1"/>
  <c r="L4010" i="1"/>
  <c r="L4009" i="1"/>
  <c r="L4008" i="1"/>
  <c r="L4007" i="1"/>
  <c r="L4006" i="1"/>
  <c r="L4005" i="1"/>
  <c r="L4004" i="1"/>
  <c r="L4003" i="1"/>
  <c r="L4002" i="1"/>
  <c r="L4001" i="1"/>
  <c r="L4000" i="1"/>
  <c r="L3999" i="1"/>
  <c r="L3998" i="1"/>
  <c r="L3997" i="1"/>
  <c r="L3996" i="1"/>
  <c r="L3995" i="1"/>
  <c r="L3994" i="1"/>
  <c r="L3993" i="1"/>
  <c r="L3992" i="1"/>
  <c r="L3991" i="1"/>
  <c r="L3990" i="1"/>
  <c r="L3989" i="1"/>
  <c r="L3988" i="1"/>
  <c r="L3987" i="1"/>
  <c r="L3986" i="1"/>
  <c r="L3985" i="1"/>
  <c r="L3984" i="1"/>
  <c r="L3983" i="1"/>
  <c r="L3982" i="1"/>
  <c r="L3981" i="1"/>
  <c r="L3980" i="1"/>
  <c r="L3979" i="1"/>
  <c r="L3978" i="1"/>
  <c r="L3977" i="1"/>
  <c r="L3976" i="1"/>
  <c r="L3975" i="1"/>
  <c r="L3974" i="1"/>
  <c r="L3973" i="1"/>
  <c r="L3972" i="1"/>
  <c r="L3971" i="1"/>
  <c r="L3970" i="1"/>
  <c r="L3969" i="1"/>
  <c r="L3968" i="1"/>
  <c r="L3967" i="1"/>
  <c r="L3966" i="1"/>
  <c r="L3965" i="1"/>
  <c r="L3964" i="1"/>
  <c r="L3963" i="1"/>
  <c r="L3962" i="1"/>
  <c r="L3961" i="1"/>
  <c r="L3960" i="1"/>
  <c r="L3959" i="1"/>
  <c r="L3958" i="1"/>
  <c r="L3957" i="1"/>
  <c r="L3956" i="1"/>
  <c r="L3955" i="1"/>
  <c r="L3954" i="1"/>
  <c r="L3953" i="1"/>
  <c r="L3952" i="1"/>
  <c r="L3951" i="1"/>
  <c r="L3950" i="1"/>
  <c r="L3949" i="1"/>
  <c r="L3948" i="1"/>
  <c r="L3947" i="1"/>
  <c r="L3946" i="1"/>
  <c r="L3945" i="1"/>
  <c r="L3944" i="1"/>
  <c r="L3943" i="1"/>
  <c r="L3942" i="1"/>
  <c r="L3941" i="1"/>
  <c r="L3940" i="1"/>
  <c r="L3939" i="1"/>
  <c r="L3938" i="1"/>
  <c r="L3937" i="1"/>
  <c r="L3936" i="1"/>
  <c r="L3935" i="1"/>
  <c r="L3934" i="1"/>
  <c r="L3933" i="1"/>
  <c r="L3932" i="1"/>
  <c r="L3931" i="1"/>
  <c r="L3930" i="1"/>
  <c r="L3929" i="1"/>
  <c r="L3928" i="1"/>
  <c r="L3927" i="1"/>
  <c r="L3926" i="1"/>
  <c r="L3925" i="1"/>
  <c r="L3924" i="1"/>
  <c r="L3923" i="1"/>
  <c r="L3922" i="1"/>
  <c r="L3921" i="1"/>
  <c r="L3920" i="1"/>
  <c r="L3919" i="1"/>
  <c r="L3918" i="1"/>
  <c r="L3917" i="1"/>
  <c r="L3916" i="1"/>
  <c r="L3915" i="1"/>
  <c r="L3914" i="1"/>
  <c r="L3913" i="1"/>
  <c r="L3912" i="1"/>
  <c r="L3911" i="1"/>
  <c r="L3910" i="1"/>
  <c r="L3909" i="1"/>
  <c r="L3908" i="1"/>
  <c r="L3907" i="1"/>
  <c r="L3906" i="1"/>
  <c r="L3905" i="1"/>
  <c r="L3904" i="1"/>
  <c r="L3903" i="1"/>
  <c r="L3902" i="1"/>
  <c r="L3901" i="1"/>
  <c r="L3900" i="1"/>
  <c r="L3899" i="1"/>
  <c r="L3898" i="1"/>
  <c r="L3897" i="1"/>
  <c r="L3896" i="1"/>
  <c r="L3895" i="1"/>
  <c r="L3894" i="1"/>
  <c r="L3893" i="1"/>
  <c r="L3892" i="1"/>
  <c r="L3891" i="1"/>
  <c r="L3890" i="1"/>
  <c r="L3889" i="1"/>
  <c r="L3888" i="1"/>
  <c r="L3887" i="1"/>
  <c r="L3886" i="1"/>
  <c r="L3885" i="1"/>
  <c r="L3884" i="1"/>
  <c r="L3883" i="1"/>
  <c r="L3882" i="1"/>
  <c r="L3881" i="1"/>
  <c r="L3880" i="1"/>
  <c r="L3879" i="1"/>
  <c r="L3878" i="1"/>
  <c r="L3877" i="1"/>
  <c r="L3876" i="1"/>
  <c r="L3875" i="1"/>
  <c r="L3874" i="1"/>
  <c r="L3873" i="1"/>
  <c r="L3872" i="1"/>
  <c r="L3871" i="1"/>
  <c r="L3870" i="1"/>
  <c r="L3869" i="1"/>
  <c r="L3868" i="1"/>
  <c r="L3867" i="1"/>
  <c r="L3866" i="1"/>
  <c r="L3865" i="1"/>
  <c r="L3864" i="1"/>
  <c r="L3863" i="1"/>
  <c r="L3862" i="1"/>
  <c r="L3861" i="1"/>
  <c r="L3860" i="1"/>
  <c r="L3859" i="1"/>
  <c r="L3858" i="1"/>
  <c r="L3857" i="1"/>
  <c r="L3856" i="1"/>
  <c r="L3855" i="1"/>
  <c r="L3854" i="1"/>
  <c r="L3853" i="1"/>
  <c r="L3852" i="1"/>
  <c r="L3851" i="1"/>
  <c r="L3850" i="1"/>
  <c r="L3849" i="1"/>
  <c r="L3848" i="1"/>
  <c r="L3847" i="1"/>
  <c r="L3846" i="1"/>
  <c r="L3845" i="1"/>
  <c r="L3844" i="1"/>
  <c r="L3843" i="1"/>
  <c r="L3842" i="1"/>
  <c r="L3841" i="1"/>
  <c r="L3840" i="1"/>
  <c r="L3839" i="1"/>
  <c r="L3838" i="1"/>
  <c r="L3837" i="1"/>
  <c r="L3836" i="1"/>
  <c r="L3835" i="1"/>
  <c r="L3834" i="1"/>
  <c r="L3833" i="1"/>
  <c r="L3832" i="1"/>
  <c r="L3831" i="1"/>
  <c r="L3830" i="1"/>
  <c r="L3829" i="1"/>
  <c r="L3828" i="1"/>
  <c r="L3827" i="1"/>
  <c r="L3826" i="1"/>
  <c r="L3825" i="1"/>
  <c r="L3824" i="1"/>
  <c r="L3823" i="1"/>
  <c r="L3822" i="1"/>
  <c r="L3821" i="1"/>
  <c r="L3820" i="1"/>
  <c r="L3819" i="1"/>
  <c r="L3818" i="1"/>
  <c r="L3817" i="1"/>
  <c r="L3816" i="1"/>
  <c r="L3815" i="1"/>
  <c r="L3814" i="1"/>
  <c r="L3813" i="1"/>
  <c r="L3812" i="1"/>
  <c r="L3811" i="1"/>
  <c r="L3810" i="1"/>
  <c r="L3809" i="1"/>
  <c r="L3808" i="1"/>
  <c r="L3807" i="1"/>
  <c r="L3806" i="1"/>
  <c r="L3805" i="1"/>
  <c r="L3804" i="1"/>
  <c r="L3803" i="1"/>
  <c r="L3802" i="1"/>
  <c r="L3801" i="1"/>
  <c r="L3800" i="1"/>
  <c r="L3799" i="1"/>
  <c r="L3798" i="1"/>
  <c r="L3797" i="1"/>
  <c r="L3796" i="1"/>
  <c r="L3795" i="1"/>
  <c r="L3794" i="1"/>
  <c r="L3793" i="1"/>
  <c r="L3792" i="1"/>
  <c r="L3791" i="1"/>
  <c r="L3790" i="1"/>
  <c r="L3789" i="1"/>
  <c r="L3788" i="1"/>
  <c r="L3787" i="1"/>
  <c r="L3786" i="1"/>
  <c r="L3785" i="1"/>
  <c r="L3784" i="1"/>
  <c r="L3783" i="1"/>
  <c r="L3782" i="1"/>
  <c r="L3781" i="1"/>
  <c r="L3780" i="1"/>
  <c r="L3779" i="1"/>
  <c r="L3778" i="1"/>
  <c r="L3777" i="1"/>
  <c r="L3776" i="1"/>
  <c r="L3775" i="1"/>
  <c r="L3774" i="1"/>
  <c r="L3773" i="1"/>
  <c r="L3772" i="1"/>
  <c r="L3771" i="1"/>
  <c r="L3770" i="1"/>
  <c r="L3769" i="1"/>
  <c r="L3768" i="1"/>
  <c r="L3767" i="1"/>
  <c r="L3766" i="1"/>
  <c r="L3765" i="1"/>
  <c r="L3764" i="1"/>
  <c r="L3763" i="1"/>
  <c r="L3762" i="1"/>
  <c r="L3761" i="1"/>
  <c r="L3760" i="1"/>
  <c r="L3759" i="1"/>
  <c r="L3758" i="1"/>
  <c r="L3757" i="1"/>
  <c r="L3756" i="1"/>
  <c r="L3755" i="1"/>
  <c r="L3754" i="1"/>
  <c r="L3753" i="1"/>
  <c r="L3752" i="1"/>
  <c r="L3751" i="1"/>
  <c r="L3750" i="1"/>
  <c r="L3749" i="1"/>
  <c r="L3748" i="1"/>
  <c r="L3747" i="1"/>
  <c r="L3746" i="1"/>
  <c r="L3745" i="1"/>
  <c r="L3744" i="1"/>
  <c r="L3743" i="1"/>
  <c r="L3742" i="1"/>
  <c r="L3741" i="1"/>
  <c r="L3740" i="1"/>
  <c r="L3739" i="1"/>
  <c r="L3738" i="1"/>
  <c r="L3737" i="1"/>
  <c r="L3736" i="1"/>
  <c r="L3735" i="1"/>
  <c r="L3734" i="1"/>
  <c r="L3733" i="1"/>
  <c r="L3732" i="1"/>
  <c r="L3731" i="1"/>
  <c r="L3730" i="1"/>
  <c r="L3729" i="1"/>
  <c r="L3728" i="1"/>
  <c r="L3727" i="1"/>
  <c r="L3726" i="1"/>
  <c r="L3725" i="1"/>
  <c r="L3724" i="1"/>
  <c r="L3723" i="1"/>
  <c r="L3722" i="1"/>
  <c r="L3721" i="1"/>
  <c r="L3720" i="1"/>
  <c r="L3719" i="1"/>
  <c r="L3718" i="1"/>
  <c r="L3717" i="1"/>
  <c r="L3716" i="1"/>
  <c r="L3715" i="1"/>
  <c r="L3714" i="1"/>
  <c r="L3713" i="1"/>
  <c r="L3712" i="1"/>
  <c r="L3711" i="1"/>
  <c r="L3710" i="1"/>
  <c r="L3709" i="1"/>
  <c r="L3708" i="1"/>
  <c r="L3707" i="1"/>
  <c r="L3706" i="1"/>
  <c r="L3705" i="1"/>
  <c r="L3704" i="1"/>
  <c r="L3703" i="1"/>
  <c r="L3702" i="1"/>
  <c r="L3701" i="1"/>
  <c r="L3700" i="1"/>
  <c r="L3699" i="1"/>
  <c r="L3698" i="1"/>
  <c r="L3697" i="1"/>
  <c r="L3696" i="1"/>
  <c r="L3695" i="1"/>
  <c r="L3694" i="1"/>
  <c r="L3693" i="1"/>
  <c r="L3692" i="1"/>
  <c r="L3691" i="1"/>
  <c r="L3690" i="1"/>
  <c r="L3689" i="1"/>
  <c r="L3688" i="1"/>
  <c r="L3687" i="1"/>
  <c r="L3686" i="1"/>
  <c r="L3685" i="1"/>
  <c r="L3684" i="1"/>
  <c r="L3683" i="1"/>
  <c r="L3682" i="1"/>
  <c r="L3681" i="1"/>
  <c r="L3680" i="1"/>
  <c r="L3679" i="1"/>
  <c r="L3678" i="1"/>
  <c r="L3677" i="1"/>
  <c r="L3676" i="1"/>
  <c r="L3675" i="1"/>
  <c r="L3674" i="1"/>
  <c r="L3673" i="1"/>
  <c r="L3672" i="1"/>
  <c r="L3671" i="1"/>
  <c r="L3670" i="1"/>
  <c r="L3669" i="1"/>
  <c r="L3668" i="1"/>
  <c r="L3667" i="1"/>
  <c r="L3666" i="1"/>
  <c r="L3665" i="1"/>
  <c r="L3664" i="1"/>
  <c r="L3663" i="1"/>
  <c r="L3662" i="1"/>
  <c r="L3661" i="1"/>
  <c r="L3660" i="1"/>
  <c r="L3659" i="1"/>
  <c r="L3658" i="1"/>
  <c r="L3657" i="1"/>
  <c r="L3656" i="1"/>
  <c r="L3655" i="1"/>
  <c r="L3654" i="1"/>
  <c r="L3653" i="1"/>
  <c r="L3652" i="1"/>
  <c r="L3651" i="1"/>
  <c r="L3650" i="1"/>
  <c r="L3649" i="1"/>
  <c r="L3648" i="1"/>
  <c r="L3647" i="1"/>
  <c r="L3646" i="1"/>
  <c r="L3645" i="1"/>
  <c r="L3644" i="1"/>
  <c r="L3643" i="1"/>
  <c r="L3642" i="1"/>
  <c r="L3641" i="1"/>
  <c r="L3640" i="1"/>
  <c r="L3639" i="1"/>
  <c r="L3638" i="1"/>
  <c r="L3637" i="1"/>
  <c r="L3636" i="1"/>
  <c r="L3635" i="1"/>
  <c r="L3634" i="1"/>
  <c r="L3633" i="1"/>
  <c r="L3632" i="1"/>
  <c r="L3631" i="1"/>
  <c r="L3630" i="1"/>
  <c r="L3629" i="1"/>
  <c r="L3628" i="1"/>
  <c r="L3627" i="1"/>
  <c r="L3626" i="1"/>
  <c r="L3625" i="1"/>
  <c r="L3624" i="1"/>
  <c r="L3623" i="1"/>
  <c r="L3622" i="1"/>
  <c r="L3621" i="1"/>
  <c r="L3620" i="1"/>
  <c r="L3619" i="1"/>
  <c r="L3618" i="1"/>
  <c r="L3617" i="1"/>
  <c r="L3616" i="1"/>
  <c r="L3615" i="1"/>
  <c r="L3614" i="1"/>
  <c r="L3613" i="1"/>
  <c r="L3612" i="1"/>
  <c r="L3611" i="1"/>
  <c r="L3610" i="1"/>
  <c r="L3609" i="1"/>
  <c r="L3608" i="1"/>
  <c r="L3607" i="1"/>
  <c r="L3606" i="1"/>
  <c r="L3605" i="1"/>
  <c r="L3604" i="1"/>
  <c r="L3603" i="1"/>
  <c r="L3602" i="1"/>
  <c r="L3601" i="1"/>
  <c r="L3600" i="1"/>
  <c r="L3599" i="1"/>
  <c r="L3598" i="1"/>
  <c r="L3597" i="1"/>
  <c r="L3596" i="1"/>
  <c r="L3595" i="1"/>
  <c r="L3594" i="1"/>
  <c r="L3593" i="1"/>
  <c r="L3592" i="1"/>
  <c r="L3591" i="1"/>
  <c r="L3590" i="1"/>
  <c r="L3589" i="1"/>
  <c r="L3588" i="1"/>
  <c r="L3587" i="1"/>
  <c r="L3586" i="1"/>
  <c r="L3585" i="1"/>
  <c r="L3584" i="1"/>
  <c r="L3583" i="1"/>
  <c r="L3582" i="1"/>
  <c r="L3581" i="1"/>
  <c r="L3580" i="1"/>
  <c r="L3579" i="1"/>
  <c r="L3578" i="1"/>
  <c r="L3577" i="1"/>
  <c r="L3576" i="1"/>
  <c r="L3575" i="1"/>
  <c r="L3574" i="1"/>
  <c r="L3573" i="1"/>
  <c r="L3572" i="1"/>
  <c r="L3571" i="1"/>
  <c r="L3570" i="1"/>
  <c r="L3569" i="1"/>
  <c r="L3568" i="1"/>
  <c r="L3567" i="1"/>
  <c r="L3566" i="1"/>
  <c r="L3565" i="1"/>
  <c r="L3564" i="1"/>
  <c r="L3563" i="1"/>
  <c r="L3562" i="1"/>
  <c r="L3561" i="1"/>
  <c r="L3560" i="1"/>
  <c r="L3559" i="1"/>
  <c r="L3558" i="1"/>
  <c r="L3557" i="1"/>
  <c r="L3556" i="1"/>
  <c r="L3555" i="1"/>
  <c r="L3554" i="1"/>
  <c r="L3553" i="1"/>
  <c r="L3552" i="1"/>
  <c r="L3551" i="1"/>
  <c r="L3550" i="1"/>
  <c r="L3549" i="1"/>
  <c r="L3548" i="1"/>
  <c r="L3547" i="1"/>
  <c r="L3546" i="1"/>
  <c r="L3545" i="1"/>
  <c r="L3544" i="1"/>
  <c r="L3543" i="1"/>
  <c r="L3542" i="1"/>
  <c r="L3541" i="1"/>
  <c r="L3540" i="1"/>
  <c r="L3539" i="1"/>
  <c r="L3538" i="1"/>
  <c r="L3537" i="1"/>
  <c r="L3536" i="1"/>
  <c r="L3535" i="1"/>
  <c r="L3534" i="1"/>
  <c r="L3533" i="1"/>
  <c r="L3532" i="1"/>
  <c r="L3531" i="1"/>
  <c r="L3530" i="1"/>
  <c r="L3529" i="1"/>
  <c r="L3528" i="1"/>
  <c r="L3527" i="1"/>
  <c r="L3526" i="1"/>
  <c r="L3525" i="1"/>
  <c r="L3524" i="1"/>
  <c r="L3523" i="1"/>
  <c r="L3522" i="1"/>
  <c r="L3521" i="1"/>
  <c r="L3520" i="1"/>
  <c r="L3519" i="1"/>
  <c r="L3518" i="1"/>
  <c r="L3517" i="1"/>
  <c r="L3516" i="1"/>
  <c r="L3515" i="1"/>
  <c r="L3514" i="1"/>
  <c r="L3513" i="1"/>
  <c r="L3512" i="1"/>
  <c r="L3511" i="1"/>
  <c r="L3510" i="1"/>
  <c r="L3509" i="1"/>
  <c r="L3508" i="1"/>
  <c r="L3507" i="1"/>
  <c r="L3506" i="1"/>
  <c r="L3505" i="1"/>
  <c r="L3504" i="1"/>
  <c r="L3503" i="1"/>
  <c r="L3502" i="1"/>
  <c r="L3501" i="1"/>
  <c r="L3500" i="1"/>
  <c r="L3499" i="1"/>
  <c r="L3498" i="1"/>
  <c r="L3497" i="1"/>
  <c r="L3496" i="1"/>
  <c r="L3495" i="1"/>
  <c r="L3494" i="1"/>
  <c r="L3493" i="1"/>
  <c r="L3492" i="1"/>
  <c r="L3491" i="1"/>
  <c r="L3490" i="1"/>
  <c r="L3489" i="1"/>
  <c r="L3488" i="1"/>
  <c r="L3487" i="1"/>
  <c r="L3486" i="1"/>
  <c r="L3485" i="1"/>
  <c r="L3484" i="1"/>
  <c r="L3483" i="1"/>
  <c r="L3482" i="1"/>
  <c r="L3481" i="1"/>
  <c r="L3480" i="1"/>
  <c r="L3479" i="1"/>
  <c r="L3478" i="1"/>
  <c r="L3477" i="1"/>
  <c r="L3476" i="1"/>
  <c r="L3475" i="1"/>
  <c r="L3474" i="1"/>
  <c r="L3473" i="1"/>
  <c r="L3472" i="1"/>
  <c r="L3471" i="1"/>
  <c r="L3470" i="1"/>
  <c r="L3469" i="1"/>
  <c r="L3468" i="1"/>
  <c r="L3467" i="1"/>
  <c r="L3466" i="1"/>
  <c r="L3465" i="1"/>
  <c r="L3464" i="1"/>
  <c r="L3463" i="1"/>
  <c r="L3462" i="1"/>
  <c r="L3461" i="1"/>
  <c r="L3460" i="1"/>
  <c r="L3459" i="1"/>
  <c r="L3458" i="1"/>
  <c r="L3457" i="1"/>
  <c r="L3456" i="1"/>
  <c r="L3455" i="1"/>
  <c r="L3454" i="1"/>
  <c r="L3453" i="1"/>
  <c r="L3452" i="1"/>
  <c r="L3451" i="1"/>
  <c r="L3450" i="1"/>
  <c r="L3449" i="1"/>
  <c r="L3448" i="1"/>
  <c r="L3447" i="1"/>
  <c r="L3446" i="1"/>
  <c r="L3445" i="1"/>
  <c r="L3444" i="1"/>
  <c r="L3443" i="1"/>
  <c r="L3442" i="1"/>
  <c r="L3441" i="1"/>
  <c r="L3440" i="1"/>
  <c r="L3439" i="1"/>
  <c r="L3438" i="1"/>
  <c r="L3437" i="1"/>
  <c r="L3436" i="1"/>
  <c r="L3435" i="1"/>
  <c r="L3434" i="1"/>
  <c r="L3433" i="1"/>
  <c r="L3432" i="1"/>
  <c r="L3431" i="1"/>
  <c r="L3430" i="1"/>
  <c r="L3429" i="1"/>
  <c r="L3428" i="1"/>
  <c r="L3427" i="1"/>
  <c r="L3426" i="1"/>
  <c r="L3425" i="1"/>
  <c r="L3424" i="1"/>
  <c r="L3423" i="1"/>
  <c r="L3422" i="1"/>
  <c r="L3421" i="1"/>
  <c r="L3420" i="1"/>
  <c r="L3419" i="1"/>
  <c r="L3418" i="1"/>
  <c r="L3417" i="1"/>
  <c r="L3416" i="1"/>
  <c r="L3415" i="1"/>
  <c r="L3414" i="1"/>
  <c r="L3413" i="1"/>
  <c r="L3412" i="1"/>
  <c r="L3411" i="1"/>
  <c r="L3410" i="1"/>
  <c r="L3409" i="1"/>
  <c r="L3408" i="1"/>
  <c r="L3407" i="1"/>
  <c r="L3406" i="1"/>
  <c r="L3405" i="1"/>
  <c r="L3404" i="1"/>
  <c r="L3403" i="1"/>
  <c r="L3402" i="1"/>
  <c r="L3401" i="1"/>
  <c r="L3400" i="1"/>
  <c r="L3399" i="1"/>
  <c r="L3398" i="1"/>
  <c r="L3397" i="1"/>
  <c r="L3396" i="1"/>
  <c r="L3395" i="1"/>
  <c r="L3394" i="1"/>
  <c r="L3393" i="1"/>
  <c r="L3392" i="1"/>
  <c r="L3391" i="1"/>
  <c r="L3390" i="1"/>
  <c r="L3389" i="1"/>
  <c r="L3388" i="1"/>
  <c r="L3387" i="1"/>
  <c r="L3386" i="1"/>
  <c r="L3385" i="1"/>
  <c r="L3384" i="1"/>
  <c r="L3383" i="1"/>
  <c r="L3382" i="1"/>
  <c r="L3381" i="1"/>
  <c r="L3380" i="1"/>
  <c r="L3379" i="1"/>
  <c r="L3378" i="1"/>
  <c r="L3377" i="1"/>
  <c r="L3376" i="1"/>
  <c r="L3375" i="1"/>
  <c r="L3374" i="1"/>
  <c r="L3373" i="1"/>
  <c r="L3372" i="1"/>
  <c r="L3371" i="1"/>
  <c r="L3370" i="1"/>
  <c r="L3369" i="1"/>
  <c r="L3368" i="1"/>
  <c r="L3367" i="1"/>
  <c r="L3366" i="1"/>
  <c r="L3365" i="1"/>
  <c r="L3364" i="1"/>
  <c r="L3363" i="1"/>
  <c r="L3362" i="1"/>
  <c r="L3361" i="1"/>
  <c r="L3360" i="1"/>
  <c r="L3359" i="1"/>
  <c r="L3358" i="1"/>
  <c r="L3357" i="1"/>
  <c r="L3356" i="1"/>
  <c r="L3355" i="1"/>
  <c r="L3354" i="1"/>
  <c r="L3353" i="1"/>
  <c r="L3352" i="1"/>
  <c r="L3351" i="1"/>
  <c r="L3350" i="1"/>
  <c r="L3349" i="1"/>
  <c r="L3348" i="1"/>
  <c r="L3347" i="1"/>
  <c r="L3346" i="1"/>
  <c r="L3345" i="1"/>
  <c r="L3344" i="1"/>
  <c r="L3343" i="1"/>
  <c r="L3342" i="1"/>
  <c r="L3341" i="1"/>
  <c r="L3340" i="1"/>
  <c r="L3339" i="1"/>
  <c r="L3338" i="1"/>
  <c r="L3337" i="1"/>
  <c r="L3336" i="1"/>
  <c r="L3335" i="1"/>
  <c r="L3334" i="1"/>
  <c r="L3333" i="1"/>
  <c r="L3332" i="1"/>
  <c r="L3331" i="1"/>
  <c r="L3330" i="1"/>
  <c r="L3329" i="1"/>
  <c r="L3328" i="1"/>
  <c r="L3327" i="1"/>
  <c r="L3326" i="1"/>
  <c r="L3325" i="1"/>
  <c r="L3324" i="1"/>
  <c r="L3323" i="1"/>
  <c r="L3322" i="1"/>
  <c r="L3321" i="1"/>
  <c r="L3320" i="1"/>
  <c r="L3319" i="1"/>
  <c r="L3318" i="1"/>
  <c r="L3317" i="1"/>
  <c r="L3316" i="1"/>
  <c r="L3315" i="1"/>
  <c r="L3314" i="1"/>
  <c r="L3313" i="1"/>
  <c r="L3312" i="1"/>
  <c r="L3311" i="1"/>
  <c r="L3310" i="1"/>
  <c r="L3309" i="1"/>
  <c r="L3308" i="1"/>
  <c r="L3307" i="1"/>
  <c r="L3306" i="1"/>
  <c r="L3305" i="1"/>
  <c r="L3304" i="1"/>
  <c r="L3303" i="1"/>
  <c r="L3302" i="1"/>
  <c r="L3301" i="1"/>
  <c r="L3300" i="1"/>
  <c r="L3299" i="1"/>
  <c r="L3298" i="1"/>
  <c r="L3297" i="1"/>
  <c r="L3296" i="1"/>
  <c r="L3295" i="1"/>
  <c r="L3294" i="1"/>
  <c r="L3293" i="1"/>
  <c r="L3292" i="1"/>
  <c r="L3291" i="1"/>
  <c r="L3290" i="1"/>
  <c r="L3289" i="1"/>
  <c r="L3288" i="1"/>
  <c r="L3287" i="1"/>
  <c r="L3286" i="1"/>
  <c r="L3285" i="1"/>
  <c r="L3284" i="1"/>
  <c r="L3283" i="1"/>
  <c r="L3282" i="1"/>
  <c r="L3281" i="1"/>
  <c r="L3280" i="1"/>
  <c r="L3279" i="1"/>
  <c r="L3278" i="1"/>
  <c r="L3277" i="1"/>
  <c r="L3276" i="1"/>
  <c r="L3275" i="1"/>
  <c r="L3274" i="1"/>
  <c r="L3273" i="1"/>
  <c r="L3272" i="1"/>
  <c r="L3271" i="1"/>
  <c r="L3270" i="1"/>
  <c r="L3269" i="1"/>
  <c r="L3268" i="1"/>
  <c r="L3267" i="1"/>
  <c r="L3266" i="1"/>
  <c r="L3265" i="1"/>
  <c r="L3264" i="1"/>
  <c r="L3263" i="1"/>
  <c r="L3262" i="1"/>
  <c r="L3261" i="1"/>
  <c r="L3260" i="1"/>
  <c r="L3259" i="1"/>
  <c r="L3258" i="1"/>
  <c r="L3257" i="1"/>
  <c r="L3256" i="1"/>
  <c r="L3255" i="1"/>
  <c r="L3254" i="1"/>
  <c r="L3253" i="1"/>
  <c r="L3252" i="1"/>
  <c r="L3251" i="1"/>
  <c r="L3250" i="1"/>
  <c r="L3249" i="1"/>
  <c r="L3248" i="1"/>
  <c r="L3247" i="1"/>
  <c r="L3246" i="1"/>
  <c r="L3245" i="1"/>
  <c r="L3244" i="1"/>
  <c r="L3243" i="1"/>
  <c r="L3242" i="1"/>
  <c r="L3241" i="1"/>
  <c r="L3240" i="1"/>
  <c r="L3239" i="1"/>
  <c r="L3238" i="1"/>
  <c r="L3237" i="1"/>
  <c r="L3236" i="1"/>
  <c r="L3235" i="1"/>
  <c r="L3234" i="1"/>
  <c r="L3233" i="1"/>
  <c r="L3232" i="1"/>
  <c r="L3231" i="1"/>
  <c r="L3230" i="1"/>
  <c r="L3229" i="1"/>
  <c r="L3228" i="1"/>
  <c r="L3227" i="1"/>
  <c r="L3226" i="1"/>
  <c r="L3225" i="1"/>
  <c r="L3224" i="1"/>
  <c r="L3223" i="1"/>
  <c r="L3222" i="1"/>
  <c r="L3221" i="1"/>
  <c r="L3220" i="1"/>
  <c r="L3219" i="1"/>
  <c r="L3218" i="1"/>
  <c r="L3217" i="1"/>
  <c r="L3216" i="1"/>
  <c r="L3215" i="1"/>
  <c r="L3214" i="1"/>
  <c r="L3213" i="1"/>
  <c r="L3212" i="1"/>
  <c r="L3211" i="1"/>
  <c r="L3210" i="1"/>
  <c r="L3209" i="1"/>
  <c r="L3208" i="1"/>
  <c r="L3207" i="1"/>
  <c r="L3206" i="1"/>
  <c r="L3205" i="1"/>
  <c r="L3204" i="1"/>
  <c r="L3203" i="1"/>
  <c r="L3202" i="1"/>
  <c r="L3201" i="1"/>
  <c r="L3200" i="1"/>
  <c r="L3199" i="1"/>
  <c r="L3198" i="1"/>
  <c r="L3197" i="1"/>
  <c r="L3196" i="1"/>
  <c r="L3195" i="1"/>
  <c r="L3194" i="1"/>
  <c r="L3193" i="1"/>
  <c r="L3192" i="1"/>
  <c r="L3191" i="1"/>
  <c r="L3190" i="1"/>
  <c r="L3189" i="1"/>
  <c r="L3188" i="1"/>
  <c r="L3187" i="1"/>
  <c r="L3186" i="1"/>
  <c r="L3185" i="1"/>
  <c r="L3184" i="1"/>
  <c r="L3183" i="1"/>
  <c r="L3182" i="1"/>
  <c r="L3181" i="1"/>
  <c r="L3180" i="1"/>
  <c r="L3179" i="1"/>
  <c r="L3178" i="1"/>
  <c r="L3177" i="1"/>
  <c r="L3176" i="1"/>
  <c r="L3175" i="1"/>
  <c r="L3174" i="1"/>
  <c r="L3173" i="1"/>
  <c r="L3172" i="1"/>
  <c r="L3171" i="1"/>
  <c r="L3170" i="1"/>
  <c r="L3169" i="1"/>
  <c r="L3168" i="1"/>
  <c r="L3167" i="1"/>
  <c r="L3166" i="1"/>
  <c r="L3165" i="1"/>
  <c r="L3164" i="1"/>
  <c r="L3163" i="1"/>
  <c r="L3162" i="1"/>
  <c r="L3161" i="1"/>
  <c r="L3160" i="1"/>
  <c r="L3159" i="1"/>
  <c r="L3158" i="1"/>
  <c r="L3157" i="1"/>
  <c r="L3156" i="1"/>
  <c r="L3155" i="1"/>
  <c r="L3154" i="1"/>
  <c r="L3153" i="1"/>
  <c r="L3152" i="1"/>
  <c r="L3151" i="1"/>
  <c r="L3150" i="1"/>
  <c r="L3149" i="1"/>
  <c r="L3148" i="1"/>
  <c r="L3147" i="1"/>
  <c r="L3146" i="1"/>
  <c r="L3145" i="1"/>
  <c r="L3144" i="1"/>
  <c r="L3143" i="1"/>
  <c r="L3142" i="1"/>
  <c r="L3141" i="1"/>
  <c r="L3140" i="1"/>
  <c r="L3139" i="1"/>
  <c r="L3138" i="1"/>
  <c r="L3137" i="1"/>
  <c r="L3136" i="1"/>
  <c r="L3135" i="1"/>
  <c r="L3134" i="1"/>
  <c r="L3133" i="1"/>
  <c r="L3132" i="1"/>
  <c r="L3131" i="1"/>
  <c r="L3130" i="1"/>
  <c r="L3129" i="1"/>
  <c r="L3128" i="1"/>
  <c r="L3127" i="1"/>
  <c r="L3126" i="1"/>
  <c r="L3125" i="1"/>
  <c r="L3124" i="1"/>
  <c r="L3123" i="1"/>
  <c r="L3122" i="1"/>
  <c r="L3121" i="1"/>
  <c r="L3120" i="1"/>
  <c r="L3119" i="1"/>
  <c r="L3118" i="1"/>
  <c r="L3117" i="1"/>
  <c r="L3116" i="1"/>
  <c r="L3115" i="1"/>
  <c r="L3114" i="1"/>
  <c r="L3113" i="1"/>
  <c r="L3112" i="1"/>
  <c r="L3111" i="1"/>
  <c r="L3110" i="1"/>
  <c r="L3109" i="1"/>
  <c r="L3108" i="1"/>
  <c r="L3107" i="1"/>
  <c r="L3106" i="1"/>
  <c r="L3105" i="1"/>
  <c r="L3104" i="1"/>
  <c r="L3103" i="1"/>
  <c r="L3102" i="1"/>
  <c r="L3101" i="1"/>
  <c r="L3100" i="1"/>
  <c r="L3099" i="1"/>
  <c r="L3098" i="1"/>
  <c r="L3097" i="1"/>
  <c r="L3096" i="1"/>
  <c r="L3095" i="1"/>
  <c r="L3094" i="1"/>
  <c r="L3093" i="1"/>
  <c r="L3092" i="1"/>
  <c r="L3091" i="1"/>
  <c r="L3090" i="1"/>
  <c r="L3089" i="1"/>
  <c r="L3088" i="1"/>
  <c r="L3087" i="1"/>
  <c r="L3086" i="1"/>
  <c r="L3085" i="1"/>
  <c r="L3084" i="1"/>
  <c r="L3083" i="1"/>
  <c r="L3082" i="1"/>
  <c r="L3081" i="1"/>
  <c r="L3080" i="1"/>
  <c r="L3079" i="1"/>
  <c r="L3078" i="1"/>
  <c r="L3077" i="1"/>
  <c r="L3076" i="1"/>
  <c r="L3075" i="1"/>
  <c r="L3074" i="1"/>
  <c r="L3073" i="1"/>
  <c r="L3072" i="1"/>
  <c r="L3071" i="1"/>
  <c r="L3070" i="1"/>
  <c r="L3069" i="1"/>
  <c r="L3068" i="1"/>
  <c r="L3067" i="1"/>
  <c r="L3066" i="1"/>
  <c r="L3065" i="1"/>
  <c r="L3064" i="1"/>
  <c r="L3063" i="1"/>
  <c r="L3062" i="1"/>
  <c r="L3061" i="1"/>
  <c r="L3060" i="1"/>
  <c r="L3059" i="1"/>
  <c r="L3058" i="1"/>
  <c r="L3057" i="1"/>
  <c r="L3056" i="1"/>
  <c r="L3055" i="1"/>
  <c r="L3054" i="1"/>
  <c r="L3053" i="1"/>
  <c r="L3052" i="1"/>
  <c r="L3051" i="1"/>
  <c r="L3050" i="1"/>
  <c r="L3049" i="1"/>
  <c r="L3048" i="1"/>
  <c r="L3047" i="1"/>
  <c r="L3046" i="1"/>
  <c r="L3045" i="1"/>
  <c r="L3044" i="1"/>
  <c r="L3043" i="1"/>
  <c r="L3042" i="1"/>
  <c r="L3041" i="1"/>
  <c r="L3040" i="1"/>
  <c r="L3039" i="1"/>
  <c r="L3038" i="1"/>
  <c r="L3037" i="1"/>
  <c r="L3036" i="1"/>
  <c r="L3035" i="1"/>
  <c r="L3034" i="1"/>
  <c r="L3033" i="1"/>
  <c r="L3032" i="1"/>
  <c r="L3031" i="1"/>
  <c r="L3030" i="1"/>
  <c r="L3029" i="1"/>
  <c r="L3028" i="1"/>
  <c r="L3027" i="1"/>
  <c r="L3026" i="1"/>
  <c r="L3025" i="1"/>
  <c r="L3024" i="1"/>
  <c r="L3023" i="1"/>
  <c r="L3022" i="1"/>
  <c r="L3021" i="1"/>
  <c r="L3020" i="1"/>
  <c r="L3019" i="1"/>
  <c r="L3018" i="1"/>
  <c r="L3017" i="1"/>
  <c r="L3016" i="1"/>
  <c r="L3015" i="1"/>
  <c r="L3014" i="1"/>
  <c r="L3013" i="1"/>
  <c r="L3012" i="1"/>
  <c r="L3011" i="1"/>
  <c r="L3010" i="1"/>
  <c r="L3009" i="1"/>
  <c r="L3008" i="1"/>
  <c r="L3007" i="1"/>
  <c r="L3006" i="1"/>
  <c r="L3005" i="1"/>
  <c r="L3004" i="1"/>
  <c r="L3003" i="1"/>
  <c r="L3002" i="1"/>
  <c r="L3001" i="1"/>
  <c r="L3000" i="1"/>
  <c r="L2999" i="1"/>
  <c r="L2998" i="1"/>
  <c r="L2997" i="1"/>
  <c r="L2996" i="1"/>
  <c r="L2995" i="1"/>
  <c r="L2994" i="1"/>
  <c r="L2993" i="1"/>
  <c r="L2992" i="1"/>
  <c r="L2991" i="1"/>
  <c r="L2990" i="1"/>
  <c r="L2989" i="1"/>
  <c r="L2988" i="1"/>
  <c r="L2987" i="1"/>
  <c r="L2986" i="1"/>
  <c r="L2985" i="1"/>
  <c r="L2984" i="1"/>
  <c r="L2983" i="1"/>
  <c r="L2982" i="1"/>
  <c r="L2981" i="1"/>
  <c r="L2980" i="1"/>
  <c r="L2979" i="1"/>
  <c r="L2978" i="1"/>
  <c r="L2977" i="1"/>
  <c r="L2976" i="1"/>
  <c r="L2975" i="1"/>
  <c r="L2974" i="1"/>
  <c r="L2973" i="1"/>
  <c r="L2972" i="1"/>
  <c r="L2971" i="1"/>
  <c r="L2970" i="1"/>
  <c r="L2969" i="1"/>
  <c r="L2968" i="1"/>
  <c r="L2967" i="1"/>
  <c r="L2966" i="1"/>
  <c r="L2965" i="1"/>
  <c r="L2964" i="1"/>
  <c r="L2963" i="1"/>
  <c r="L2962" i="1"/>
  <c r="L2961" i="1"/>
  <c r="L2960" i="1"/>
  <c r="L2959" i="1"/>
  <c r="L2958" i="1"/>
  <c r="L2957" i="1"/>
  <c r="L2956" i="1"/>
  <c r="L2955" i="1"/>
  <c r="L2954" i="1"/>
  <c r="L2953" i="1"/>
  <c r="L2952" i="1"/>
  <c r="L2951" i="1"/>
  <c r="L2950" i="1"/>
  <c r="L2949" i="1"/>
  <c r="L2948" i="1"/>
  <c r="L2947" i="1"/>
  <c r="L2946" i="1"/>
  <c r="L2945" i="1"/>
  <c r="L2944" i="1"/>
  <c r="L2943" i="1"/>
  <c r="L2942" i="1"/>
  <c r="L2941" i="1"/>
  <c r="L2940" i="1"/>
  <c r="L2939" i="1"/>
  <c r="L2938" i="1"/>
  <c r="L2937" i="1"/>
  <c r="L2936" i="1"/>
  <c r="L2935" i="1"/>
  <c r="L2934" i="1"/>
  <c r="L2933" i="1"/>
  <c r="L2932" i="1"/>
  <c r="L2931" i="1"/>
  <c r="L2930" i="1"/>
  <c r="L2929" i="1"/>
  <c r="L2928" i="1"/>
  <c r="L2927" i="1"/>
  <c r="L2926" i="1"/>
  <c r="L2925" i="1"/>
  <c r="L2924" i="1"/>
  <c r="L2923" i="1"/>
  <c r="L2922" i="1"/>
  <c r="L2921" i="1"/>
  <c r="L2920" i="1"/>
  <c r="L2919" i="1"/>
  <c r="L2918" i="1"/>
  <c r="L2917" i="1"/>
  <c r="L2916" i="1"/>
  <c r="L2915" i="1"/>
  <c r="L2914" i="1"/>
  <c r="L2913" i="1"/>
  <c r="L2912" i="1"/>
  <c r="L2911" i="1"/>
  <c r="L2910" i="1"/>
  <c r="L2909" i="1"/>
  <c r="L2908" i="1"/>
  <c r="L2907" i="1"/>
  <c r="L2906" i="1"/>
  <c r="L2905" i="1"/>
  <c r="L2904" i="1"/>
  <c r="L2903" i="1"/>
  <c r="L2902" i="1"/>
  <c r="L2901" i="1"/>
  <c r="L2900" i="1"/>
  <c r="L2899" i="1"/>
  <c r="L2898" i="1"/>
  <c r="L2897" i="1"/>
  <c r="L2896" i="1"/>
  <c r="L2895" i="1"/>
  <c r="L2894" i="1"/>
  <c r="L2893" i="1"/>
  <c r="L2892" i="1"/>
  <c r="L2891" i="1"/>
  <c r="L2890" i="1"/>
  <c r="L2889" i="1"/>
  <c r="L2888" i="1"/>
  <c r="L2887" i="1"/>
  <c r="L2886" i="1"/>
  <c r="L2885" i="1"/>
  <c r="L2884" i="1"/>
  <c r="L2883" i="1"/>
  <c r="L2882" i="1"/>
  <c r="L2881" i="1"/>
  <c r="L2880" i="1"/>
  <c r="L2879" i="1"/>
  <c r="L2878" i="1"/>
  <c r="L2877" i="1"/>
  <c r="L2876" i="1"/>
  <c r="L2875" i="1"/>
  <c r="L2874" i="1"/>
  <c r="L2873" i="1"/>
  <c r="L2872" i="1"/>
  <c r="L2871" i="1"/>
  <c r="L2870" i="1"/>
  <c r="L2869" i="1"/>
  <c r="L2868" i="1"/>
  <c r="L2867" i="1"/>
  <c r="L2866" i="1"/>
  <c r="L2865" i="1"/>
  <c r="L2864" i="1"/>
  <c r="L2863" i="1"/>
  <c r="L2862" i="1"/>
  <c r="L2861" i="1"/>
  <c r="L2860" i="1"/>
  <c r="L2859" i="1"/>
  <c r="L2858" i="1"/>
  <c r="L2857" i="1"/>
  <c r="L2856" i="1"/>
  <c r="L2855" i="1"/>
  <c r="L2854" i="1"/>
  <c r="L2853" i="1"/>
  <c r="L2852" i="1"/>
  <c r="L2851" i="1"/>
  <c r="L2850" i="1"/>
  <c r="L2849" i="1"/>
  <c r="L2848" i="1"/>
  <c r="L2847" i="1"/>
  <c r="L2846" i="1"/>
  <c r="L2845" i="1"/>
  <c r="L2844" i="1"/>
  <c r="L2843" i="1"/>
  <c r="L2842" i="1"/>
  <c r="L2841" i="1"/>
  <c r="L2840" i="1"/>
  <c r="L2839" i="1"/>
  <c r="L2838" i="1"/>
  <c r="L2837" i="1"/>
  <c r="L2836" i="1"/>
  <c r="L2835" i="1"/>
  <c r="L2834" i="1"/>
  <c r="L2833" i="1"/>
  <c r="L2832" i="1"/>
  <c r="L2831" i="1"/>
  <c r="L2830" i="1"/>
  <c r="L2829" i="1"/>
  <c r="L2828" i="1"/>
  <c r="L2827" i="1"/>
  <c r="L2826" i="1"/>
  <c r="L2825" i="1"/>
  <c r="L2824" i="1"/>
  <c r="L2823" i="1"/>
  <c r="L2822" i="1"/>
  <c r="L2821" i="1"/>
  <c r="L2820" i="1"/>
  <c r="L2819" i="1"/>
  <c r="L2818" i="1"/>
  <c r="L2817" i="1"/>
  <c r="L2816" i="1"/>
  <c r="L2815" i="1"/>
  <c r="L2814" i="1"/>
  <c r="L2813" i="1"/>
  <c r="L2812" i="1"/>
  <c r="L2811" i="1"/>
  <c r="L2810" i="1"/>
  <c r="L2809" i="1"/>
  <c r="L2808" i="1"/>
  <c r="L2807" i="1"/>
  <c r="L2806" i="1"/>
  <c r="L2805" i="1"/>
  <c r="L2804" i="1"/>
  <c r="L2803" i="1"/>
  <c r="L2802" i="1"/>
  <c r="L2801" i="1"/>
  <c r="L2800" i="1"/>
  <c r="L2799" i="1"/>
  <c r="L2798" i="1"/>
  <c r="L2797" i="1"/>
  <c r="L2796" i="1"/>
  <c r="L2795" i="1"/>
  <c r="L2794" i="1"/>
  <c r="L2793" i="1"/>
  <c r="L2792" i="1"/>
  <c r="L2791" i="1"/>
  <c r="L2790" i="1"/>
  <c r="L2789" i="1"/>
  <c r="L2788" i="1"/>
  <c r="L2787" i="1"/>
  <c r="L2786" i="1"/>
  <c r="L2785" i="1"/>
  <c r="L2784" i="1"/>
  <c r="L2783" i="1"/>
  <c r="L2782" i="1"/>
  <c r="L2781" i="1"/>
  <c r="L2780" i="1"/>
  <c r="L2779" i="1"/>
  <c r="L2778" i="1"/>
  <c r="L2777" i="1"/>
  <c r="L2776" i="1"/>
  <c r="L2775" i="1"/>
  <c r="L2774" i="1"/>
  <c r="L2773" i="1"/>
  <c r="L2772" i="1"/>
  <c r="L2771" i="1"/>
  <c r="L2770" i="1"/>
  <c r="L2769" i="1"/>
  <c r="L2768" i="1"/>
  <c r="L2767" i="1"/>
  <c r="L2766" i="1"/>
  <c r="L2765" i="1"/>
  <c r="L2764" i="1"/>
  <c r="L2763" i="1"/>
  <c r="L2762" i="1"/>
  <c r="L2761" i="1"/>
  <c r="L2760" i="1"/>
  <c r="L2759" i="1"/>
  <c r="L2758" i="1"/>
  <c r="L2757" i="1"/>
  <c r="L2756" i="1"/>
  <c r="L2755" i="1"/>
  <c r="L2754" i="1"/>
  <c r="L2753" i="1"/>
  <c r="L2752" i="1"/>
  <c r="L2751" i="1"/>
  <c r="L2750" i="1"/>
  <c r="L2749" i="1"/>
  <c r="L2748" i="1"/>
  <c r="L2747" i="1"/>
  <c r="L2746" i="1"/>
  <c r="L2745" i="1"/>
  <c r="L2744" i="1"/>
  <c r="L2743" i="1"/>
  <c r="L2742" i="1"/>
  <c r="L2741" i="1"/>
  <c r="L2740" i="1"/>
  <c r="L2739" i="1"/>
  <c r="L2738" i="1"/>
  <c r="L2737" i="1"/>
  <c r="L2736" i="1"/>
  <c r="L2735" i="1"/>
  <c r="L2734" i="1"/>
  <c r="L2733" i="1"/>
  <c r="L2732" i="1"/>
  <c r="L2731" i="1"/>
  <c r="L2730" i="1"/>
  <c r="L2729" i="1"/>
  <c r="L2728" i="1"/>
  <c r="L2727" i="1"/>
  <c r="L2726" i="1"/>
  <c r="L2725" i="1"/>
  <c r="L2724" i="1"/>
  <c r="L2723" i="1"/>
  <c r="L2722" i="1"/>
  <c r="L2721" i="1"/>
  <c r="L2720" i="1"/>
  <c r="L2719" i="1"/>
  <c r="L2718" i="1"/>
  <c r="L2717" i="1"/>
  <c r="L2716" i="1"/>
  <c r="L2715" i="1"/>
  <c r="L2714" i="1"/>
  <c r="L2713" i="1"/>
  <c r="L2712" i="1"/>
  <c r="L2711" i="1"/>
  <c r="L2710" i="1"/>
  <c r="L2709" i="1"/>
  <c r="L2708" i="1"/>
  <c r="L2707" i="1"/>
  <c r="L2706" i="1"/>
  <c r="L2705" i="1"/>
  <c r="L2704" i="1"/>
  <c r="L2703" i="1"/>
  <c r="L2702" i="1"/>
  <c r="L2701" i="1"/>
  <c r="L2700" i="1"/>
  <c r="L2699" i="1"/>
  <c r="L2698" i="1"/>
  <c r="L2697" i="1"/>
  <c r="L2696" i="1"/>
  <c r="L2695" i="1"/>
  <c r="L2694" i="1"/>
  <c r="L2693" i="1"/>
  <c r="L2692" i="1"/>
  <c r="L2691" i="1"/>
  <c r="L2690" i="1"/>
  <c r="L2689" i="1"/>
  <c r="L2688" i="1"/>
  <c r="L2687" i="1"/>
  <c r="L2686" i="1"/>
  <c r="L2685" i="1"/>
  <c r="L2684" i="1"/>
  <c r="L2683" i="1"/>
  <c r="L2682" i="1"/>
  <c r="L2681" i="1"/>
  <c r="L2680" i="1"/>
  <c r="L2679" i="1"/>
  <c r="L2678" i="1"/>
  <c r="L2677" i="1"/>
  <c r="L2676" i="1"/>
  <c r="L2675" i="1"/>
  <c r="L2674" i="1"/>
  <c r="L2673" i="1"/>
  <c r="L2672" i="1"/>
  <c r="L2671" i="1"/>
  <c r="L2670" i="1"/>
  <c r="L2669" i="1"/>
  <c r="L2668" i="1"/>
  <c r="L2667" i="1"/>
  <c r="L2666" i="1"/>
  <c r="L2665" i="1"/>
  <c r="L2664" i="1"/>
  <c r="L2663" i="1"/>
  <c r="L2662" i="1"/>
  <c r="L2661" i="1"/>
  <c r="L2660" i="1"/>
  <c r="L2659" i="1"/>
  <c r="L2658" i="1"/>
  <c r="L2657" i="1"/>
  <c r="L2656" i="1"/>
  <c r="L2655" i="1"/>
  <c r="L2654" i="1"/>
  <c r="L2653" i="1"/>
  <c r="L2652" i="1"/>
  <c r="L2651" i="1"/>
  <c r="L2650" i="1"/>
  <c r="L2649" i="1"/>
  <c r="L2648" i="1"/>
  <c r="L2647" i="1"/>
  <c r="L2646" i="1"/>
  <c r="L2645" i="1"/>
  <c r="L2644" i="1"/>
  <c r="L2643" i="1"/>
  <c r="L2642" i="1"/>
  <c r="L2641" i="1"/>
  <c r="L2640" i="1"/>
  <c r="L2639" i="1"/>
  <c r="L2638" i="1"/>
  <c r="L2637" i="1"/>
  <c r="L2636" i="1"/>
  <c r="L2635" i="1"/>
  <c r="L2634" i="1"/>
  <c r="L2633" i="1"/>
  <c r="L2632" i="1"/>
  <c r="L2631" i="1"/>
  <c r="L2630" i="1"/>
  <c r="L2629" i="1"/>
  <c r="L2628" i="1"/>
  <c r="L2627" i="1"/>
  <c r="L2626" i="1"/>
  <c r="L2625" i="1"/>
  <c r="L2624" i="1"/>
  <c r="L2623" i="1"/>
  <c r="L2622" i="1"/>
  <c r="L2621" i="1"/>
  <c r="L2620" i="1"/>
  <c r="L2619" i="1"/>
  <c r="L2618" i="1"/>
  <c r="L2617" i="1"/>
  <c r="L2616" i="1"/>
  <c r="L2615" i="1"/>
  <c r="L2614" i="1"/>
  <c r="L2613" i="1"/>
  <c r="L2612" i="1"/>
  <c r="L2611" i="1"/>
  <c r="L2610" i="1"/>
  <c r="L2609" i="1"/>
  <c r="L2608" i="1"/>
  <c r="L2607" i="1"/>
  <c r="L2606" i="1"/>
  <c r="L2605" i="1"/>
  <c r="L2604" i="1"/>
  <c r="L2603" i="1"/>
  <c r="L2602" i="1"/>
  <c r="L2601" i="1"/>
  <c r="L2600" i="1"/>
  <c r="L2599" i="1"/>
  <c r="L2598" i="1"/>
  <c r="L2597" i="1"/>
  <c r="L2596" i="1"/>
  <c r="L2595" i="1"/>
  <c r="L2594" i="1"/>
  <c r="L2593" i="1"/>
  <c r="L2592" i="1"/>
  <c r="L2591" i="1"/>
  <c r="L2590" i="1"/>
  <c r="L2589" i="1"/>
  <c r="L2588" i="1"/>
  <c r="L2587" i="1"/>
  <c r="L2586" i="1"/>
  <c r="L2585" i="1"/>
  <c r="L2584" i="1"/>
  <c r="L2583" i="1"/>
  <c r="L2582" i="1"/>
  <c r="L2581" i="1"/>
  <c r="L2580" i="1"/>
  <c r="L2579" i="1"/>
  <c r="L2578" i="1"/>
  <c r="L2577" i="1"/>
  <c r="L2576" i="1"/>
  <c r="L2575" i="1"/>
  <c r="L2574" i="1"/>
  <c r="L2573" i="1"/>
  <c r="L2572" i="1"/>
  <c r="L2571" i="1"/>
  <c r="L2570" i="1"/>
  <c r="L2569" i="1"/>
  <c r="L2568" i="1"/>
  <c r="L2567" i="1"/>
  <c r="L2566" i="1"/>
  <c r="L2565" i="1"/>
  <c r="L2564" i="1"/>
  <c r="L2563" i="1"/>
  <c r="L2562" i="1"/>
  <c r="L2561" i="1"/>
  <c r="L2560" i="1"/>
  <c r="L2559" i="1"/>
  <c r="L2558" i="1"/>
  <c r="L2557" i="1"/>
  <c r="L2556" i="1"/>
  <c r="L2555" i="1"/>
  <c r="L2554" i="1"/>
  <c r="L2553" i="1"/>
  <c r="L2552" i="1"/>
  <c r="L2551" i="1"/>
  <c r="L2550" i="1"/>
  <c r="L2549" i="1"/>
  <c r="L2548" i="1"/>
  <c r="L2547" i="1"/>
  <c r="L2546" i="1"/>
  <c r="L2545" i="1"/>
  <c r="L2544" i="1"/>
  <c r="L2543" i="1"/>
  <c r="L2542" i="1"/>
  <c r="L2541" i="1"/>
  <c r="L2540" i="1"/>
  <c r="L2539" i="1"/>
  <c r="L2538" i="1"/>
  <c r="L2537" i="1"/>
  <c r="L2536" i="1"/>
  <c r="L2535" i="1"/>
  <c r="L2534" i="1"/>
  <c r="L2533" i="1"/>
  <c r="L2532" i="1"/>
  <c r="L2531" i="1"/>
  <c r="L2530" i="1"/>
  <c r="L2529" i="1"/>
  <c r="L2528" i="1"/>
  <c r="L2527" i="1"/>
  <c r="L2526" i="1"/>
  <c r="L2525" i="1"/>
  <c r="L2524" i="1"/>
  <c r="L2523" i="1"/>
  <c r="L2522" i="1"/>
  <c r="L2521" i="1"/>
  <c r="L2520" i="1"/>
  <c r="L2519" i="1"/>
  <c r="L2518" i="1"/>
  <c r="L2517" i="1"/>
  <c r="L2516" i="1"/>
  <c r="L2515" i="1"/>
  <c r="L2514" i="1"/>
  <c r="L2513" i="1"/>
  <c r="L2512" i="1"/>
  <c r="L2511" i="1"/>
  <c r="L2510" i="1"/>
  <c r="L2509" i="1"/>
  <c r="L2508" i="1"/>
  <c r="L2507" i="1"/>
  <c r="L2506" i="1"/>
  <c r="L2505" i="1"/>
  <c r="L2504" i="1"/>
  <c r="L2503" i="1"/>
  <c r="L2502" i="1"/>
  <c r="L2501" i="1"/>
  <c r="L2500" i="1"/>
  <c r="L2499" i="1"/>
  <c r="L2498" i="1"/>
  <c r="L2497" i="1"/>
  <c r="L2496" i="1"/>
  <c r="L2495" i="1"/>
  <c r="L2494" i="1"/>
  <c r="L2493" i="1"/>
  <c r="L2492" i="1"/>
  <c r="L2491" i="1"/>
  <c r="L2490" i="1"/>
  <c r="L2489" i="1"/>
  <c r="L2488" i="1"/>
  <c r="L2487" i="1"/>
  <c r="L2486" i="1"/>
  <c r="L2485" i="1"/>
  <c r="L2484" i="1"/>
  <c r="L2483" i="1"/>
  <c r="L2482" i="1"/>
  <c r="L2481" i="1"/>
  <c r="L2480" i="1"/>
  <c r="L2479" i="1"/>
  <c r="L2478" i="1"/>
  <c r="L2477" i="1"/>
  <c r="L2476" i="1"/>
  <c r="L2475" i="1"/>
  <c r="L2474" i="1"/>
  <c r="L2473" i="1"/>
  <c r="L2472" i="1"/>
  <c r="L2471" i="1"/>
  <c r="L2470" i="1"/>
  <c r="L2469" i="1"/>
  <c r="L2468" i="1"/>
  <c r="L2467" i="1"/>
  <c r="L2466" i="1"/>
  <c r="L2465" i="1"/>
  <c r="L2464" i="1"/>
  <c r="L2463" i="1"/>
  <c r="L2462" i="1"/>
  <c r="L2461" i="1"/>
  <c r="L2460" i="1"/>
  <c r="L2459" i="1"/>
  <c r="L2458" i="1"/>
  <c r="L2457" i="1"/>
  <c r="L2456" i="1"/>
  <c r="L2455" i="1"/>
  <c r="L2454" i="1"/>
  <c r="L2453" i="1"/>
  <c r="L2452" i="1"/>
  <c r="L2451" i="1"/>
  <c r="L2450" i="1"/>
  <c r="L2449" i="1"/>
  <c r="L2448" i="1"/>
  <c r="L2447" i="1"/>
  <c r="L2446" i="1"/>
  <c r="L2445" i="1"/>
  <c r="L2444" i="1"/>
  <c r="L2443" i="1"/>
  <c r="L2442" i="1"/>
  <c r="L2441" i="1"/>
  <c r="L2440" i="1"/>
  <c r="L2439" i="1"/>
  <c r="L2438" i="1"/>
  <c r="L2437" i="1"/>
  <c r="L2436" i="1"/>
  <c r="L2435" i="1"/>
  <c r="L2434" i="1"/>
  <c r="L2433" i="1"/>
  <c r="L2432" i="1"/>
  <c r="L2431" i="1"/>
  <c r="L2430" i="1"/>
  <c r="L2429" i="1"/>
  <c r="L2428" i="1"/>
  <c r="L2427" i="1"/>
  <c r="L2426" i="1"/>
  <c r="L2425" i="1"/>
  <c r="L2424" i="1"/>
  <c r="L2423" i="1"/>
  <c r="L2422" i="1"/>
  <c r="L2421" i="1"/>
  <c r="L2420" i="1"/>
  <c r="L2419" i="1"/>
  <c r="L2418" i="1"/>
  <c r="L2417" i="1"/>
  <c r="L2416" i="1"/>
  <c r="L2415" i="1"/>
  <c r="L2414" i="1"/>
  <c r="L2413" i="1"/>
  <c r="L2412" i="1"/>
  <c r="L2411" i="1"/>
  <c r="L2410" i="1"/>
  <c r="L2409" i="1"/>
  <c r="L2408" i="1"/>
  <c r="L2407" i="1"/>
  <c r="L2406" i="1"/>
  <c r="L2405" i="1"/>
  <c r="L2404" i="1"/>
  <c r="L2403" i="1"/>
  <c r="L2402" i="1"/>
  <c r="L2401" i="1"/>
  <c r="L2400" i="1"/>
  <c r="L2399" i="1"/>
  <c r="L2398" i="1"/>
  <c r="L2397" i="1"/>
  <c r="L2396" i="1"/>
  <c r="L2395" i="1"/>
  <c r="L2394" i="1"/>
  <c r="L2393" i="1"/>
  <c r="L2392" i="1"/>
  <c r="L2391" i="1"/>
  <c r="L2390" i="1"/>
  <c r="L2389" i="1"/>
  <c r="L2388" i="1"/>
  <c r="L2387" i="1"/>
  <c r="L2386" i="1"/>
  <c r="L2385" i="1"/>
  <c r="L2384" i="1"/>
  <c r="L2383" i="1"/>
  <c r="L2382" i="1"/>
  <c r="L2381" i="1"/>
  <c r="L2380" i="1"/>
  <c r="L2379" i="1"/>
  <c r="L2378" i="1"/>
  <c r="L2377" i="1"/>
  <c r="L2376" i="1"/>
  <c r="L2375" i="1"/>
  <c r="L2374" i="1"/>
  <c r="L2373" i="1"/>
  <c r="L2372" i="1"/>
  <c r="L2371" i="1"/>
  <c r="L2370" i="1"/>
  <c r="L2369" i="1"/>
  <c r="L2368" i="1"/>
  <c r="L2367" i="1"/>
  <c r="L2366" i="1"/>
  <c r="L2365" i="1"/>
  <c r="L2364" i="1"/>
  <c r="L2363" i="1"/>
  <c r="L2362" i="1"/>
  <c r="L2361" i="1"/>
  <c r="L2360" i="1"/>
  <c r="L2359" i="1"/>
  <c r="L2358" i="1"/>
  <c r="L2357" i="1"/>
  <c r="L2356" i="1"/>
  <c r="L2355" i="1"/>
  <c r="L2354" i="1"/>
  <c r="L2353" i="1"/>
  <c r="L2352" i="1"/>
  <c r="L2351" i="1"/>
  <c r="L2350" i="1"/>
  <c r="L2349" i="1"/>
  <c r="L2348" i="1"/>
  <c r="L2347" i="1"/>
  <c r="L2346" i="1"/>
  <c r="L2345" i="1"/>
  <c r="L2344" i="1"/>
  <c r="L2343" i="1"/>
  <c r="L2342" i="1"/>
  <c r="L2341" i="1"/>
  <c r="L2340" i="1"/>
  <c r="L2339" i="1"/>
  <c r="L2338" i="1"/>
  <c r="L2337" i="1"/>
  <c r="L2336" i="1"/>
  <c r="L2335" i="1"/>
  <c r="L2334" i="1"/>
  <c r="L2333" i="1"/>
  <c r="L2332" i="1"/>
  <c r="L2331" i="1"/>
  <c r="L2330" i="1"/>
  <c r="L2329" i="1"/>
  <c r="L2328" i="1"/>
  <c r="L2327" i="1"/>
  <c r="L2326" i="1"/>
  <c r="L2325" i="1"/>
  <c r="L2324" i="1"/>
  <c r="L2323" i="1"/>
  <c r="L2322" i="1"/>
  <c r="L2321" i="1"/>
  <c r="L2320" i="1"/>
  <c r="L2319" i="1"/>
  <c r="L2318" i="1"/>
  <c r="L2317" i="1"/>
  <c r="L2316" i="1"/>
  <c r="L2315" i="1"/>
  <c r="L2314" i="1"/>
  <c r="L2313" i="1"/>
  <c r="L2312" i="1"/>
  <c r="L2311" i="1"/>
  <c r="L2310" i="1"/>
  <c r="L2309" i="1"/>
  <c r="L2308" i="1"/>
  <c r="L2307" i="1"/>
  <c r="L2306" i="1"/>
  <c r="L2305" i="1"/>
  <c r="L2304" i="1"/>
  <c r="L2303" i="1"/>
  <c r="L2302" i="1"/>
  <c r="L2301" i="1"/>
  <c r="L2300" i="1"/>
  <c r="L2299" i="1"/>
  <c r="L2298" i="1"/>
  <c r="L2297" i="1"/>
  <c r="L2296" i="1"/>
  <c r="L2295" i="1"/>
  <c r="L2294" i="1"/>
  <c r="L2293" i="1"/>
  <c r="L2292" i="1"/>
  <c r="L2291" i="1"/>
  <c r="L2290" i="1"/>
  <c r="L2289" i="1"/>
  <c r="L2288" i="1"/>
  <c r="L2287" i="1"/>
  <c r="L2286" i="1"/>
  <c r="L2285" i="1"/>
  <c r="L2284" i="1"/>
  <c r="L2283" i="1"/>
  <c r="L2282" i="1"/>
  <c r="L2281" i="1"/>
  <c r="L2280" i="1"/>
  <c r="L2279" i="1"/>
  <c r="L2278" i="1"/>
  <c r="L2277" i="1"/>
  <c r="L2276" i="1"/>
  <c r="L2275" i="1"/>
  <c r="L2274" i="1"/>
  <c r="L2273" i="1"/>
  <c r="L2272" i="1"/>
  <c r="L2271" i="1"/>
  <c r="L2270" i="1"/>
  <c r="L2269" i="1"/>
  <c r="L2268" i="1"/>
  <c r="L2267" i="1"/>
  <c r="L2266" i="1"/>
  <c r="L2265" i="1"/>
  <c r="L2264" i="1"/>
  <c r="L2263" i="1"/>
  <c r="L2262" i="1"/>
  <c r="L2261" i="1"/>
  <c r="L2260" i="1"/>
  <c r="L2259" i="1"/>
  <c r="L2258" i="1"/>
  <c r="L2257" i="1"/>
  <c r="L2256" i="1"/>
  <c r="L2255" i="1"/>
  <c r="L2254" i="1"/>
  <c r="L2253" i="1"/>
  <c r="L2252" i="1"/>
  <c r="L2251" i="1"/>
  <c r="L2250" i="1"/>
  <c r="L2249" i="1"/>
  <c r="L2248" i="1"/>
  <c r="L2247" i="1"/>
  <c r="L2246" i="1"/>
  <c r="L2245" i="1"/>
  <c r="L2244" i="1"/>
  <c r="L2243" i="1"/>
  <c r="L2242" i="1"/>
  <c r="L2241" i="1"/>
  <c r="L2240" i="1"/>
  <c r="L2239" i="1"/>
  <c r="L2238" i="1"/>
  <c r="L2237" i="1"/>
  <c r="L2236" i="1"/>
  <c r="L2235" i="1"/>
  <c r="L2234" i="1"/>
  <c r="L2233" i="1"/>
  <c r="L2232" i="1"/>
  <c r="L2231" i="1"/>
  <c r="L2230" i="1"/>
  <c r="L2229" i="1"/>
  <c r="L2228" i="1"/>
  <c r="L2227" i="1"/>
  <c r="L2226" i="1"/>
  <c r="L2225" i="1"/>
  <c r="L2224" i="1"/>
  <c r="L2223" i="1"/>
  <c r="L2222" i="1"/>
  <c r="L2221" i="1"/>
  <c r="L2220" i="1"/>
  <c r="L2219" i="1"/>
  <c r="L2218" i="1"/>
  <c r="L2217" i="1"/>
  <c r="L2216" i="1"/>
  <c r="L2215" i="1"/>
  <c r="L2214" i="1"/>
  <c r="L2213" i="1"/>
  <c r="L2212" i="1"/>
  <c r="L2211" i="1"/>
  <c r="L2210" i="1"/>
  <c r="L2209" i="1"/>
  <c r="L2208" i="1"/>
  <c r="L2207" i="1"/>
  <c r="L2206" i="1"/>
  <c r="L2205" i="1"/>
  <c r="L2204" i="1"/>
  <c r="L2203" i="1"/>
  <c r="L2202" i="1"/>
  <c r="L2201" i="1"/>
  <c r="L2200" i="1"/>
  <c r="L2199" i="1"/>
  <c r="L2198" i="1"/>
  <c r="L2197" i="1"/>
  <c r="L2196" i="1"/>
  <c r="L2195" i="1"/>
  <c r="L2194" i="1"/>
  <c r="L2193" i="1"/>
  <c r="L2192" i="1"/>
  <c r="L2191" i="1"/>
  <c r="L2190" i="1"/>
  <c r="L2189" i="1"/>
  <c r="L2188" i="1"/>
  <c r="L2187" i="1"/>
  <c r="L2186" i="1"/>
  <c r="L2185" i="1"/>
  <c r="L2184" i="1"/>
  <c r="L2183" i="1"/>
  <c r="L2182" i="1"/>
  <c r="L2181" i="1"/>
  <c r="L2180" i="1"/>
  <c r="L2179" i="1"/>
  <c r="L2178" i="1"/>
  <c r="L2177" i="1"/>
  <c r="L2176" i="1"/>
  <c r="L2175" i="1"/>
  <c r="L2174" i="1"/>
  <c r="L2173" i="1"/>
  <c r="L2172" i="1"/>
  <c r="L2171" i="1"/>
  <c r="L2170" i="1"/>
  <c r="L2169" i="1"/>
  <c r="L2168" i="1"/>
  <c r="L2167" i="1"/>
  <c r="L2166" i="1"/>
  <c r="L2165" i="1"/>
  <c r="L2164" i="1"/>
  <c r="L2163" i="1"/>
  <c r="L2162" i="1"/>
  <c r="L2161" i="1"/>
  <c r="L2160" i="1"/>
  <c r="L2159" i="1"/>
  <c r="L2158" i="1"/>
  <c r="L2157" i="1"/>
  <c r="L2156" i="1"/>
  <c r="L2155" i="1"/>
  <c r="L2154" i="1"/>
  <c r="L2153" i="1"/>
  <c r="L2152" i="1"/>
  <c r="L2151" i="1"/>
  <c r="L2150" i="1"/>
  <c r="L2149" i="1"/>
  <c r="L2148" i="1"/>
  <c r="L2147" i="1"/>
  <c r="L2146" i="1"/>
  <c r="L2145" i="1"/>
  <c r="L2144" i="1"/>
  <c r="L2143" i="1"/>
  <c r="L2142" i="1"/>
  <c r="L2141" i="1"/>
  <c r="L2140" i="1"/>
  <c r="L2139" i="1"/>
  <c r="L2138" i="1"/>
  <c r="L2137" i="1"/>
  <c r="L2136" i="1"/>
  <c r="L2135" i="1"/>
  <c r="L2134" i="1"/>
  <c r="L2133" i="1"/>
  <c r="L2132" i="1"/>
  <c r="L2131" i="1"/>
  <c r="L2130" i="1"/>
  <c r="L2129" i="1"/>
  <c r="L2128" i="1"/>
  <c r="L2127" i="1"/>
  <c r="L2126" i="1"/>
  <c r="L2125" i="1"/>
  <c r="L2124" i="1"/>
  <c r="L2123" i="1"/>
  <c r="L2122" i="1"/>
  <c r="L2121" i="1"/>
  <c r="L2120" i="1"/>
  <c r="L2119" i="1"/>
  <c r="L2118" i="1"/>
  <c r="L2117" i="1"/>
  <c r="L2116" i="1"/>
  <c r="L2115" i="1"/>
  <c r="L2114" i="1"/>
  <c r="L2113" i="1"/>
  <c r="L2112" i="1"/>
  <c r="L2111" i="1"/>
  <c r="L2110" i="1"/>
  <c r="L2109" i="1"/>
  <c r="L2108" i="1"/>
  <c r="L2107" i="1"/>
  <c r="L2106" i="1"/>
  <c r="L2105" i="1"/>
  <c r="L2104" i="1"/>
  <c r="L2103" i="1"/>
  <c r="L2102" i="1"/>
  <c r="L2101" i="1"/>
  <c r="L2100" i="1"/>
  <c r="L2099" i="1"/>
  <c r="L2098" i="1"/>
  <c r="L2097" i="1"/>
  <c r="L2096" i="1"/>
  <c r="L2095" i="1"/>
  <c r="L2094" i="1"/>
  <c r="L2093" i="1"/>
  <c r="L2092" i="1"/>
  <c r="L2091" i="1"/>
  <c r="L2090" i="1"/>
  <c r="L2089" i="1"/>
  <c r="L2088" i="1"/>
  <c r="L2087" i="1"/>
  <c r="L2086" i="1"/>
  <c r="L2085" i="1"/>
  <c r="L2084" i="1"/>
  <c r="L2083" i="1"/>
  <c r="L2082" i="1"/>
  <c r="L2081" i="1"/>
  <c r="L2080" i="1"/>
  <c r="L2079" i="1"/>
  <c r="L2078" i="1"/>
  <c r="L2077" i="1"/>
  <c r="L2076" i="1"/>
  <c r="L2075" i="1"/>
  <c r="L2074" i="1"/>
  <c r="L2073" i="1"/>
  <c r="L2072" i="1"/>
  <c r="L2071" i="1"/>
  <c r="L2070" i="1"/>
  <c r="L2069" i="1"/>
  <c r="L2068" i="1"/>
  <c r="L2067" i="1"/>
  <c r="L2066" i="1"/>
  <c r="L2065" i="1"/>
  <c r="L2064" i="1"/>
  <c r="L2063" i="1"/>
  <c r="L2062" i="1"/>
  <c r="L2061" i="1"/>
  <c r="L2060" i="1"/>
  <c r="L2059" i="1"/>
  <c r="L2058" i="1"/>
  <c r="L2057" i="1"/>
  <c r="L2056" i="1"/>
  <c r="L2055" i="1"/>
  <c r="L2054" i="1"/>
  <c r="L2053" i="1"/>
  <c r="L2052" i="1"/>
  <c r="L2051" i="1"/>
  <c r="L2050" i="1"/>
  <c r="L2049" i="1"/>
  <c r="L2048" i="1"/>
  <c r="L2047" i="1"/>
  <c r="L2046" i="1"/>
  <c r="L2045" i="1"/>
  <c r="L2044" i="1"/>
  <c r="L2043" i="1"/>
  <c r="L2042" i="1"/>
  <c r="L2041" i="1"/>
  <c r="L2040" i="1"/>
  <c r="L2039" i="1"/>
  <c r="L2038" i="1"/>
  <c r="L2037" i="1"/>
  <c r="L2036" i="1"/>
  <c r="L2035" i="1"/>
  <c r="L2034" i="1"/>
  <c r="L2033" i="1"/>
  <c r="L2032" i="1"/>
  <c r="L2031" i="1"/>
  <c r="L2030" i="1"/>
  <c r="L2029" i="1"/>
  <c r="L2028" i="1"/>
  <c r="L2027" i="1"/>
  <c r="L2026" i="1"/>
  <c r="L2025" i="1"/>
  <c r="L2024" i="1"/>
  <c r="L2023" i="1"/>
  <c r="L2022" i="1"/>
  <c r="L2021" i="1"/>
  <c r="L2020" i="1"/>
  <c r="L2019" i="1"/>
  <c r="L2018" i="1"/>
  <c r="L2017" i="1"/>
  <c r="L2016" i="1"/>
  <c r="L2015" i="1"/>
  <c r="L2014" i="1"/>
  <c r="L2013" i="1"/>
  <c r="L2012" i="1"/>
  <c r="L2011" i="1"/>
  <c r="L2010" i="1"/>
  <c r="L2009" i="1"/>
  <c r="L2008" i="1"/>
  <c r="L2007" i="1"/>
  <c r="L2006" i="1"/>
  <c r="L2005" i="1"/>
  <c r="L2004" i="1"/>
  <c r="L2003" i="1"/>
  <c r="L2002" i="1"/>
  <c r="L2001" i="1"/>
  <c r="L2000" i="1"/>
  <c r="L1999" i="1"/>
  <c r="L1998" i="1"/>
  <c r="L1997" i="1"/>
  <c r="L1996" i="1"/>
  <c r="L1995" i="1"/>
  <c r="L1994" i="1"/>
  <c r="L1993" i="1"/>
  <c r="L1992" i="1"/>
  <c r="L1991" i="1"/>
  <c r="L1990" i="1"/>
  <c r="L1989" i="1"/>
  <c r="L1988" i="1"/>
  <c r="L1987" i="1"/>
  <c r="L1986" i="1"/>
  <c r="L1985" i="1"/>
  <c r="L1984" i="1"/>
  <c r="L1983" i="1"/>
  <c r="L1982" i="1"/>
  <c r="L1981" i="1"/>
  <c r="L1980" i="1"/>
  <c r="L1979" i="1"/>
  <c r="L1978" i="1"/>
  <c r="L1977" i="1"/>
  <c r="L1976" i="1"/>
  <c r="L1975" i="1"/>
  <c r="L1974" i="1"/>
  <c r="L1973" i="1"/>
  <c r="L1972" i="1"/>
  <c r="L1971" i="1"/>
  <c r="L1970" i="1"/>
  <c r="L1969" i="1"/>
  <c r="L1968" i="1"/>
  <c r="L1967" i="1"/>
  <c r="L1966" i="1"/>
  <c r="L1965" i="1"/>
  <c r="L1964" i="1"/>
  <c r="L1963" i="1"/>
  <c r="L1962" i="1"/>
  <c r="L1961" i="1"/>
  <c r="L1960" i="1"/>
  <c r="L1959" i="1"/>
  <c r="L1958" i="1"/>
  <c r="L1957" i="1"/>
  <c r="L1956" i="1"/>
  <c r="L1955" i="1"/>
  <c r="L1954" i="1"/>
  <c r="L1953" i="1"/>
  <c r="L1952" i="1"/>
  <c r="L1951" i="1"/>
  <c r="L1950" i="1"/>
  <c r="L1949" i="1"/>
  <c r="L1948" i="1"/>
  <c r="L1947" i="1"/>
  <c r="L1946" i="1"/>
  <c r="L1945" i="1"/>
  <c r="L1944" i="1"/>
  <c r="L1943" i="1"/>
  <c r="L1942" i="1"/>
  <c r="L1941" i="1"/>
  <c r="L1940" i="1"/>
  <c r="L1939" i="1"/>
  <c r="L1938" i="1"/>
  <c r="L1937" i="1"/>
  <c r="L1936" i="1"/>
  <c r="L1935" i="1"/>
  <c r="L1934" i="1"/>
  <c r="L1933" i="1"/>
  <c r="L1932" i="1"/>
  <c r="L1931" i="1"/>
  <c r="L1930" i="1"/>
  <c r="L1929" i="1"/>
  <c r="L1928" i="1"/>
  <c r="L1927" i="1"/>
  <c r="L1926" i="1"/>
  <c r="L1925" i="1"/>
  <c r="L1924" i="1"/>
  <c r="L1923" i="1"/>
  <c r="L1922" i="1"/>
  <c r="L1921" i="1"/>
  <c r="L1920" i="1"/>
  <c r="L1919" i="1"/>
  <c r="L1918" i="1"/>
  <c r="L1917" i="1"/>
  <c r="L1916" i="1"/>
  <c r="L1915" i="1"/>
  <c r="L1914" i="1"/>
  <c r="L1913" i="1"/>
  <c r="L1912" i="1"/>
  <c r="L1911" i="1"/>
  <c r="L1910" i="1"/>
  <c r="L1909" i="1"/>
  <c r="L1908" i="1"/>
  <c r="L1907" i="1"/>
  <c r="L1906" i="1"/>
  <c r="L1905" i="1"/>
  <c r="L1904" i="1"/>
  <c r="L1903" i="1"/>
  <c r="L1902" i="1"/>
  <c r="L1901" i="1"/>
  <c r="L1900" i="1"/>
  <c r="L1899" i="1"/>
  <c r="L1898" i="1"/>
  <c r="L1897" i="1"/>
  <c r="L1896" i="1"/>
  <c r="L1895" i="1"/>
  <c r="L1894" i="1"/>
  <c r="L1893" i="1"/>
  <c r="L1892" i="1"/>
  <c r="L1891" i="1"/>
  <c r="L1890" i="1"/>
  <c r="L1889" i="1"/>
  <c r="L1888" i="1"/>
  <c r="L1887" i="1"/>
  <c r="L1886" i="1"/>
  <c r="L1885" i="1"/>
  <c r="L1884" i="1"/>
  <c r="L1883" i="1"/>
  <c r="L1882" i="1"/>
  <c r="L1881" i="1"/>
  <c r="L1880" i="1"/>
  <c r="L1879" i="1"/>
  <c r="L1878" i="1"/>
  <c r="L1877" i="1"/>
  <c r="L1876" i="1"/>
  <c r="L1875" i="1"/>
  <c r="L1874" i="1"/>
  <c r="L1873" i="1"/>
  <c r="L1872" i="1"/>
  <c r="L1871" i="1"/>
  <c r="L1870" i="1"/>
  <c r="L1869" i="1"/>
  <c r="L1868" i="1"/>
  <c r="L1867" i="1"/>
  <c r="L1866" i="1"/>
  <c r="L1865" i="1"/>
  <c r="L1864" i="1"/>
  <c r="L1863" i="1"/>
  <c r="L1862" i="1"/>
  <c r="L1861" i="1"/>
  <c r="L1860" i="1"/>
  <c r="L1859" i="1"/>
  <c r="L1858" i="1"/>
  <c r="L1857" i="1"/>
  <c r="L1856" i="1"/>
  <c r="L1855" i="1"/>
  <c r="L1854" i="1"/>
  <c r="L1853" i="1"/>
  <c r="L1852" i="1"/>
  <c r="L1851" i="1"/>
  <c r="L1850" i="1"/>
  <c r="L1849" i="1"/>
  <c r="L1848" i="1"/>
  <c r="L1847" i="1"/>
  <c r="L1846" i="1"/>
  <c r="L1845" i="1"/>
  <c r="L1844" i="1"/>
  <c r="L1843" i="1"/>
  <c r="L1842" i="1"/>
  <c r="L1841" i="1"/>
  <c r="L1840" i="1"/>
  <c r="L1839" i="1"/>
  <c r="L1838" i="1"/>
  <c r="L1837" i="1"/>
  <c r="L1836" i="1"/>
  <c r="L1835" i="1"/>
  <c r="L1834" i="1"/>
  <c r="L1833" i="1"/>
  <c r="L1832" i="1"/>
  <c r="L1831" i="1"/>
  <c r="L1830" i="1"/>
  <c r="L1829" i="1"/>
  <c r="L1828" i="1"/>
  <c r="L1827" i="1"/>
  <c r="L1826" i="1"/>
  <c r="L1825" i="1"/>
  <c r="L1824" i="1"/>
  <c r="L1823" i="1"/>
  <c r="L1822" i="1"/>
  <c r="L1821" i="1"/>
  <c r="L1820" i="1"/>
  <c r="L1819" i="1"/>
  <c r="L1818" i="1"/>
  <c r="L1817" i="1"/>
  <c r="L1816" i="1"/>
  <c r="L1815" i="1"/>
  <c r="L1814" i="1"/>
  <c r="L1813" i="1"/>
  <c r="L1812" i="1"/>
  <c r="L1811" i="1"/>
  <c r="L1810" i="1"/>
  <c r="L1809" i="1"/>
  <c r="L1808" i="1"/>
  <c r="L1807" i="1"/>
  <c r="L1806" i="1"/>
  <c r="L1805" i="1"/>
  <c r="L1804" i="1"/>
  <c r="L1803" i="1"/>
  <c r="L1802" i="1"/>
  <c r="L1801" i="1"/>
  <c r="L1800" i="1"/>
  <c r="L1799" i="1"/>
  <c r="L1798" i="1"/>
  <c r="L1797" i="1"/>
  <c r="L1796" i="1"/>
  <c r="L1795" i="1"/>
  <c r="L1794" i="1"/>
  <c r="L1793" i="1"/>
  <c r="L1792" i="1"/>
  <c r="L1791" i="1"/>
  <c r="L1790" i="1"/>
  <c r="L1789" i="1"/>
  <c r="L1788" i="1"/>
  <c r="L1787" i="1"/>
  <c r="L1786" i="1"/>
  <c r="L1785" i="1"/>
  <c r="L1784" i="1"/>
  <c r="L1783" i="1"/>
  <c r="L1782" i="1"/>
  <c r="L1781" i="1"/>
  <c r="L1780" i="1"/>
  <c r="L1779" i="1"/>
  <c r="L1778" i="1"/>
  <c r="L1777" i="1"/>
  <c r="L1776" i="1"/>
  <c r="L1775" i="1"/>
  <c r="L1774" i="1"/>
  <c r="L1773" i="1"/>
  <c r="L1772" i="1"/>
  <c r="L1771" i="1"/>
  <c r="L1770" i="1"/>
  <c r="L1769" i="1"/>
  <c r="L1768" i="1"/>
  <c r="L1767" i="1"/>
  <c r="L1766" i="1"/>
  <c r="L1765" i="1"/>
  <c r="L1764" i="1"/>
  <c r="L1763" i="1"/>
  <c r="L1762" i="1"/>
  <c r="L1761" i="1"/>
  <c r="L1760" i="1"/>
  <c r="L1759" i="1"/>
  <c r="L1758" i="1"/>
  <c r="L1757" i="1"/>
  <c r="L1756" i="1"/>
  <c r="L1755" i="1"/>
  <c r="L1754" i="1"/>
  <c r="L1753" i="1"/>
  <c r="L1752" i="1"/>
  <c r="L1751" i="1"/>
  <c r="L1750" i="1"/>
  <c r="L1749" i="1"/>
  <c r="L1748" i="1"/>
  <c r="L1747" i="1"/>
  <c r="L1746" i="1"/>
  <c r="L1745" i="1"/>
  <c r="L1744" i="1"/>
  <c r="L1743" i="1"/>
  <c r="L1742" i="1"/>
  <c r="L1741" i="1"/>
  <c r="L1740" i="1"/>
  <c r="L1739" i="1"/>
  <c r="L1738" i="1"/>
  <c r="L1737" i="1"/>
  <c r="L1736" i="1"/>
  <c r="L1735" i="1"/>
  <c r="L1734" i="1"/>
  <c r="L1733" i="1"/>
  <c r="L1732" i="1"/>
  <c r="L1731" i="1"/>
  <c r="L1730" i="1"/>
  <c r="L1729" i="1"/>
  <c r="L1728" i="1"/>
  <c r="L1727" i="1"/>
  <c r="L1726" i="1"/>
  <c r="L1725" i="1"/>
  <c r="L1724" i="1"/>
  <c r="L1723" i="1"/>
  <c r="L1722" i="1"/>
  <c r="L1721" i="1"/>
  <c r="L1720" i="1"/>
  <c r="L1719" i="1"/>
  <c r="L1718" i="1"/>
  <c r="L1717" i="1"/>
  <c r="L1716" i="1"/>
  <c r="L1715" i="1"/>
  <c r="L1714" i="1"/>
  <c r="L1713" i="1"/>
  <c r="L1712" i="1"/>
  <c r="L1711" i="1"/>
  <c r="L1710" i="1"/>
  <c r="L1709" i="1"/>
  <c r="L1708" i="1"/>
  <c r="L1707" i="1"/>
  <c r="L1706" i="1"/>
  <c r="L1705" i="1"/>
  <c r="L1704" i="1"/>
  <c r="L1703" i="1"/>
  <c r="L1702" i="1"/>
  <c r="L1701" i="1"/>
  <c r="L1700" i="1"/>
  <c r="L1699" i="1"/>
  <c r="L1698" i="1"/>
  <c r="L1697" i="1"/>
  <c r="L1696" i="1"/>
  <c r="L1695" i="1"/>
  <c r="L1694" i="1"/>
  <c r="L1693" i="1"/>
  <c r="L1692" i="1"/>
  <c r="L1691" i="1"/>
  <c r="L1690" i="1"/>
  <c r="L1689" i="1"/>
  <c r="L1688" i="1"/>
  <c r="L1687" i="1"/>
  <c r="L1686" i="1"/>
  <c r="L1685" i="1"/>
  <c r="L1684" i="1"/>
  <c r="L1683" i="1"/>
  <c r="L1682" i="1"/>
  <c r="L1681" i="1"/>
  <c r="L1680" i="1"/>
  <c r="L1679" i="1"/>
  <c r="L1678" i="1"/>
  <c r="L1677" i="1"/>
  <c r="L1676" i="1"/>
  <c r="L1675" i="1"/>
  <c r="L1674" i="1"/>
  <c r="L1673" i="1"/>
  <c r="L1672" i="1"/>
  <c r="L1671" i="1"/>
  <c r="L1670" i="1"/>
  <c r="L1669" i="1"/>
  <c r="L1668" i="1"/>
  <c r="L1667" i="1"/>
  <c r="L1666" i="1"/>
  <c r="L1665" i="1"/>
  <c r="L1664" i="1"/>
  <c r="L1663" i="1"/>
  <c r="L1662" i="1"/>
  <c r="L1661" i="1"/>
  <c r="L1660" i="1"/>
  <c r="L1659" i="1"/>
  <c r="L1658" i="1"/>
  <c r="L1657" i="1"/>
  <c r="L1656" i="1"/>
  <c r="L1655" i="1"/>
  <c r="L1654" i="1"/>
  <c r="L1653" i="1"/>
  <c r="L1652" i="1"/>
  <c r="L1651" i="1"/>
  <c r="L1650" i="1"/>
  <c r="L1649" i="1"/>
  <c r="L1648" i="1"/>
  <c r="L1647" i="1"/>
  <c r="L1646" i="1"/>
  <c r="L1645" i="1"/>
  <c r="L1644" i="1"/>
  <c r="L1643" i="1"/>
  <c r="L1642" i="1"/>
  <c r="L1641" i="1"/>
  <c r="L1640" i="1"/>
  <c r="L1639" i="1"/>
  <c r="L1638" i="1"/>
  <c r="L1637" i="1"/>
  <c r="L1636" i="1"/>
  <c r="L1635" i="1"/>
  <c r="L1634" i="1"/>
  <c r="L1633" i="1"/>
  <c r="L1632" i="1"/>
  <c r="L1631" i="1"/>
  <c r="L1630" i="1"/>
  <c r="L1629" i="1"/>
  <c r="L1628" i="1"/>
  <c r="L1627" i="1"/>
  <c r="L1626" i="1"/>
  <c r="L1625" i="1"/>
  <c r="L1624" i="1"/>
  <c r="L1623" i="1"/>
  <c r="L1622" i="1"/>
  <c r="L1621" i="1"/>
  <c r="L1620" i="1"/>
  <c r="L1619" i="1"/>
  <c r="L1618" i="1"/>
  <c r="L1617" i="1"/>
  <c r="L1616" i="1"/>
  <c r="L1615" i="1"/>
  <c r="L1614" i="1"/>
  <c r="L1613" i="1"/>
  <c r="L1612" i="1"/>
  <c r="L1611" i="1"/>
  <c r="L1610" i="1"/>
  <c r="L1609" i="1"/>
  <c r="L1608" i="1"/>
  <c r="L1607" i="1"/>
  <c r="L1606" i="1"/>
  <c r="L1605" i="1"/>
  <c r="L1604" i="1"/>
  <c r="L1603" i="1"/>
  <c r="L1602" i="1"/>
  <c r="L1601" i="1"/>
  <c r="L1600" i="1"/>
  <c r="L1599" i="1"/>
  <c r="L1598" i="1"/>
  <c r="L1597" i="1"/>
  <c r="L1596" i="1"/>
  <c r="L1595" i="1"/>
  <c r="L1594" i="1"/>
  <c r="L1593" i="1"/>
  <c r="L1592" i="1"/>
  <c r="L1591" i="1"/>
  <c r="L1590" i="1"/>
  <c r="L1589" i="1"/>
  <c r="L1588" i="1"/>
  <c r="L1587" i="1"/>
  <c r="L1586" i="1"/>
  <c r="L1585" i="1"/>
  <c r="L1584" i="1"/>
  <c r="L1583" i="1"/>
  <c r="L1582" i="1"/>
  <c r="L1581" i="1"/>
  <c r="L1580" i="1"/>
  <c r="L1579" i="1"/>
  <c r="L1578" i="1"/>
  <c r="L1577" i="1"/>
  <c r="L1576" i="1"/>
  <c r="L1575" i="1"/>
  <c r="L1574" i="1"/>
  <c r="L1573" i="1"/>
  <c r="L1572" i="1"/>
  <c r="L1571" i="1"/>
  <c r="L1570" i="1"/>
  <c r="L1569" i="1"/>
  <c r="L1568" i="1"/>
  <c r="L1567" i="1"/>
  <c r="L1566" i="1"/>
  <c r="L1565" i="1"/>
  <c r="L1564" i="1"/>
  <c r="L1563" i="1"/>
  <c r="L1562" i="1"/>
  <c r="L1561" i="1"/>
  <c r="L1560" i="1"/>
  <c r="L1559" i="1"/>
  <c r="L1558" i="1"/>
  <c r="L1557" i="1"/>
  <c r="L1556" i="1"/>
  <c r="L1555" i="1"/>
  <c r="L1554" i="1"/>
  <c r="L1553" i="1"/>
  <c r="L1552" i="1"/>
  <c r="L1551" i="1"/>
  <c r="L1550" i="1"/>
  <c r="L1549" i="1"/>
  <c r="L1548" i="1"/>
  <c r="L1547" i="1"/>
  <c r="L1546" i="1"/>
  <c r="L1545" i="1"/>
  <c r="L1544" i="1"/>
  <c r="L1543" i="1"/>
  <c r="L1542" i="1"/>
  <c r="L1541" i="1"/>
  <c r="L1540" i="1"/>
  <c r="L1539" i="1"/>
  <c r="L1538" i="1"/>
  <c r="L1537" i="1"/>
  <c r="L1536" i="1"/>
  <c r="L1535" i="1"/>
  <c r="L1534" i="1"/>
  <c r="L1533" i="1"/>
  <c r="L1532" i="1"/>
  <c r="L1531" i="1"/>
  <c r="L1530" i="1"/>
  <c r="L1529" i="1"/>
  <c r="L1528" i="1"/>
  <c r="L1527" i="1"/>
  <c r="L1526" i="1"/>
  <c r="L1525" i="1"/>
  <c r="L1524" i="1"/>
  <c r="L1523" i="1"/>
  <c r="L1522" i="1"/>
  <c r="L1521" i="1"/>
  <c r="L1520" i="1"/>
  <c r="L1519" i="1"/>
  <c r="L1518" i="1"/>
  <c r="L1517" i="1"/>
  <c r="L1516" i="1"/>
  <c r="L1515" i="1"/>
  <c r="L1514" i="1"/>
  <c r="L1513" i="1"/>
  <c r="L1512" i="1"/>
  <c r="L1511" i="1"/>
  <c r="L1510" i="1"/>
  <c r="L1509" i="1"/>
  <c r="L1508" i="1"/>
  <c r="L1507" i="1"/>
  <c r="L1506" i="1"/>
  <c r="L1505" i="1"/>
  <c r="L1504" i="1"/>
  <c r="L1503" i="1"/>
  <c r="L1502" i="1"/>
  <c r="L1501" i="1"/>
  <c r="L1500" i="1"/>
  <c r="L1499" i="1"/>
  <c r="L1498" i="1"/>
  <c r="L1497" i="1"/>
  <c r="L1496" i="1"/>
  <c r="L1495" i="1"/>
  <c r="L1494" i="1"/>
  <c r="L1493" i="1"/>
  <c r="L1492" i="1"/>
  <c r="L1491" i="1"/>
  <c r="L1490" i="1"/>
  <c r="L1489" i="1"/>
  <c r="L1488" i="1"/>
  <c r="L1487" i="1"/>
  <c r="L1486" i="1"/>
  <c r="L1485" i="1"/>
  <c r="L1484" i="1"/>
  <c r="L1483" i="1"/>
  <c r="L1482" i="1"/>
  <c r="L1481" i="1"/>
  <c r="L1480" i="1"/>
  <c r="L1479" i="1"/>
  <c r="L1478" i="1"/>
  <c r="L1477" i="1"/>
  <c r="L1476" i="1"/>
  <c r="L1475" i="1"/>
  <c r="L1474" i="1"/>
  <c r="L1473" i="1"/>
  <c r="L1472" i="1"/>
  <c r="L1471" i="1"/>
  <c r="L1470" i="1"/>
  <c r="L1469" i="1"/>
  <c r="L1468" i="1"/>
  <c r="L1467" i="1"/>
  <c r="L1466" i="1"/>
  <c r="L1465" i="1"/>
  <c r="L1464" i="1"/>
  <c r="L1463" i="1"/>
  <c r="L1462" i="1"/>
  <c r="L1461" i="1"/>
  <c r="L1460" i="1"/>
  <c r="L1459" i="1"/>
  <c r="L1458" i="1"/>
  <c r="L1457" i="1"/>
  <c r="L1456" i="1"/>
  <c r="L1455" i="1"/>
  <c r="L1454" i="1"/>
  <c r="L1453" i="1"/>
  <c r="L1452" i="1"/>
  <c r="L1451" i="1"/>
  <c r="L1450" i="1"/>
  <c r="L1449" i="1"/>
  <c r="L1448" i="1"/>
  <c r="L1447" i="1"/>
  <c r="L1446" i="1"/>
  <c r="L1445" i="1"/>
  <c r="L1444" i="1"/>
  <c r="L1443" i="1"/>
  <c r="L1442" i="1"/>
  <c r="L1441" i="1"/>
  <c r="L1440" i="1"/>
  <c r="L1439" i="1"/>
  <c r="L1438" i="1"/>
  <c r="L1437" i="1"/>
  <c r="L1436" i="1"/>
  <c r="L1435" i="1"/>
  <c r="L1434" i="1"/>
  <c r="L1433" i="1"/>
  <c r="L1432" i="1"/>
  <c r="L1431" i="1"/>
  <c r="L1430" i="1"/>
  <c r="L1429" i="1"/>
  <c r="L1428" i="1"/>
  <c r="L1427" i="1"/>
  <c r="L1426" i="1"/>
  <c r="L1425" i="1"/>
  <c r="L1424" i="1"/>
  <c r="L1423" i="1"/>
  <c r="L1422" i="1"/>
  <c r="L1421" i="1"/>
  <c r="L1420" i="1"/>
  <c r="L1419" i="1"/>
  <c r="L1418" i="1"/>
  <c r="L1417" i="1"/>
  <c r="L1416" i="1"/>
  <c r="L1415" i="1"/>
  <c r="L1414" i="1"/>
  <c r="L1413" i="1"/>
  <c r="L1412" i="1"/>
  <c r="L1411" i="1"/>
  <c r="L1410" i="1"/>
  <c r="L1409" i="1"/>
  <c r="L1408" i="1"/>
  <c r="L1407" i="1"/>
  <c r="L1406" i="1"/>
  <c r="L1405" i="1"/>
  <c r="L1404" i="1"/>
  <c r="L1403" i="1"/>
  <c r="L1402" i="1"/>
  <c r="L1401" i="1"/>
  <c r="L1400" i="1"/>
  <c r="L1399" i="1"/>
  <c r="L1398" i="1"/>
  <c r="L1397" i="1"/>
  <c r="L1396" i="1"/>
  <c r="L1395" i="1"/>
  <c r="L1394" i="1"/>
  <c r="L1393" i="1"/>
  <c r="L1392" i="1"/>
  <c r="L1391" i="1"/>
  <c r="L1390" i="1"/>
  <c r="L1389" i="1"/>
  <c r="L1388" i="1"/>
  <c r="L1387" i="1"/>
  <c r="L1386" i="1"/>
  <c r="L1385" i="1"/>
  <c r="L1384" i="1"/>
  <c r="L1383" i="1"/>
  <c r="L1382" i="1"/>
  <c r="L1381" i="1"/>
  <c r="L1380" i="1"/>
  <c r="L1379" i="1"/>
  <c r="L1378" i="1"/>
  <c r="L1377" i="1"/>
  <c r="L1376" i="1"/>
  <c r="L1375" i="1"/>
  <c r="L1374" i="1"/>
  <c r="L1373" i="1"/>
  <c r="L1372" i="1"/>
  <c r="L1371" i="1"/>
  <c r="L1370" i="1"/>
  <c r="L1369" i="1"/>
  <c r="L1368" i="1"/>
  <c r="L1367" i="1"/>
  <c r="L1366" i="1"/>
  <c r="L1365" i="1"/>
  <c r="L1364" i="1"/>
  <c r="L1363" i="1"/>
  <c r="L1362" i="1"/>
  <c r="L1361" i="1"/>
  <c r="L1360" i="1"/>
  <c r="L1359" i="1"/>
  <c r="L1358" i="1"/>
  <c r="L1357" i="1"/>
  <c r="L1356" i="1"/>
  <c r="L1355" i="1"/>
  <c r="L1354" i="1"/>
  <c r="L1353" i="1"/>
  <c r="L1352" i="1"/>
  <c r="L1351" i="1"/>
  <c r="L1350" i="1"/>
  <c r="L1349" i="1"/>
  <c r="L1348" i="1"/>
  <c r="L1347" i="1"/>
  <c r="L1346" i="1"/>
  <c r="L1345" i="1"/>
  <c r="L1344" i="1"/>
  <c r="L1343" i="1"/>
  <c r="L1342" i="1"/>
  <c r="L1341" i="1"/>
  <c r="L1340" i="1"/>
  <c r="L1339" i="1"/>
  <c r="L1338" i="1"/>
  <c r="L1337" i="1"/>
  <c r="L1336" i="1"/>
  <c r="L1335" i="1"/>
  <c r="L1334" i="1"/>
  <c r="L1333" i="1"/>
  <c r="L1332" i="1"/>
  <c r="L1331" i="1"/>
  <c r="L1330" i="1"/>
  <c r="L1329" i="1"/>
  <c r="L1328" i="1"/>
  <c r="L1327" i="1"/>
  <c r="L1326" i="1"/>
  <c r="L1325" i="1"/>
  <c r="L1324" i="1"/>
  <c r="L1323" i="1"/>
  <c r="L1322" i="1"/>
  <c r="L1321" i="1"/>
  <c r="L1320" i="1"/>
  <c r="L1319" i="1"/>
  <c r="L1318" i="1"/>
  <c r="L1317" i="1"/>
  <c r="L1316" i="1"/>
  <c r="L1315" i="1"/>
  <c r="L1314" i="1"/>
  <c r="L1313" i="1"/>
  <c r="L1312" i="1"/>
  <c r="L1311" i="1"/>
  <c r="L1310" i="1"/>
  <c r="L1309" i="1"/>
  <c r="L1308" i="1"/>
  <c r="L1307" i="1"/>
  <c r="L1306" i="1"/>
  <c r="L1305" i="1"/>
  <c r="L1304" i="1"/>
  <c r="L1303" i="1"/>
  <c r="L1302" i="1"/>
  <c r="L1301" i="1"/>
  <c r="L1300" i="1"/>
  <c r="L1299" i="1"/>
  <c r="L1298" i="1"/>
  <c r="L1297" i="1"/>
  <c r="L1296" i="1"/>
  <c r="L1295" i="1"/>
  <c r="L1294" i="1"/>
  <c r="L1293" i="1"/>
  <c r="L1292" i="1"/>
  <c r="L1291" i="1"/>
  <c r="L1290" i="1"/>
  <c r="L1289" i="1"/>
  <c r="L1288" i="1"/>
  <c r="L1287" i="1"/>
  <c r="L1286" i="1"/>
  <c r="L1285" i="1"/>
  <c r="L1284" i="1"/>
  <c r="L1283" i="1"/>
  <c r="L1282" i="1"/>
  <c r="L1281" i="1"/>
  <c r="L1280" i="1"/>
  <c r="L1279" i="1"/>
  <c r="L1278" i="1"/>
  <c r="L1277" i="1"/>
  <c r="L1276" i="1"/>
  <c r="L1275" i="1"/>
  <c r="L1274" i="1"/>
  <c r="L1273" i="1"/>
  <c r="L1272" i="1"/>
  <c r="L1271" i="1"/>
  <c r="L1270" i="1"/>
  <c r="L1269" i="1"/>
  <c r="L1268" i="1"/>
  <c r="L1267" i="1"/>
  <c r="L1266" i="1"/>
  <c r="L1265" i="1"/>
  <c r="L1264" i="1"/>
  <c r="L1263" i="1"/>
  <c r="L1262" i="1"/>
  <c r="L1261" i="1"/>
  <c r="L1260" i="1"/>
  <c r="L1259" i="1"/>
  <c r="L1258" i="1"/>
  <c r="L1257" i="1"/>
  <c r="L1256" i="1"/>
  <c r="L1255" i="1"/>
  <c r="L1254" i="1"/>
  <c r="L1253" i="1"/>
  <c r="L1252" i="1"/>
  <c r="L1251" i="1"/>
  <c r="L1250" i="1"/>
  <c r="L1249" i="1"/>
  <c r="L1248" i="1"/>
  <c r="L1247" i="1"/>
  <c r="L1246" i="1"/>
  <c r="L1245" i="1"/>
  <c r="L1244" i="1"/>
  <c r="L1243" i="1"/>
  <c r="L1242" i="1"/>
  <c r="L1241" i="1"/>
  <c r="L1240" i="1"/>
  <c r="L1239" i="1"/>
  <c r="L1238" i="1"/>
  <c r="L1237" i="1"/>
  <c r="L1236" i="1"/>
  <c r="L1235" i="1"/>
  <c r="L1234" i="1"/>
  <c r="L1233" i="1"/>
  <c r="L1232" i="1"/>
  <c r="L1231" i="1"/>
  <c r="L1230" i="1"/>
  <c r="L1229" i="1"/>
  <c r="L1228" i="1"/>
  <c r="L1227" i="1"/>
  <c r="L1226" i="1"/>
  <c r="L1225" i="1"/>
  <c r="L1224" i="1"/>
  <c r="L1223" i="1"/>
  <c r="L1222" i="1"/>
  <c r="L1221" i="1"/>
  <c r="L1220" i="1"/>
  <c r="L1219" i="1"/>
  <c r="L1218" i="1"/>
  <c r="L1217" i="1"/>
  <c r="L1216" i="1"/>
  <c r="L1215" i="1"/>
  <c r="L1214" i="1"/>
  <c r="L1213" i="1"/>
  <c r="L1212" i="1"/>
  <c r="L1211" i="1"/>
  <c r="L1210" i="1"/>
  <c r="L1209" i="1"/>
  <c r="L1208" i="1"/>
  <c r="L1207" i="1"/>
  <c r="L1206" i="1"/>
  <c r="L1205" i="1"/>
  <c r="L1204" i="1"/>
  <c r="L1203" i="1"/>
  <c r="L1202" i="1"/>
  <c r="L1201" i="1"/>
  <c r="L1200" i="1"/>
  <c r="L1199" i="1"/>
  <c r="L1198" i="1"/>
  <c r="L1197" i="1"/>
  <c r="L1196" i="1"/>
  <c r="L1195" i="1"/>
  <c r="L1194" i="1"/>
  <c r="L1193" i="1"/>
  <c r="L1192" i="1"/>
  <c r="L1191" i="1"/>
  <c r="L1190" i="1"/>
  <c r="L1189" i="1"/>
  <c r="L1188" i="1"/>
  <c r="L1187" i="1"/>
  <c r="L1186" i="1"/>
  <c r="L1185" i="1"/>
  <c r="L1184" i="1"/>
  <c r="L1183" i="1"/>
  <c r="L1182" i="1"/>
  <c r="L1181" i="1"/>
  <c r="L1180" i="1"/>
  <c r="L1179" i="1"/>
  <c r="L1178" i="1"/>
  <c r="L1177" i="1"/>
  <c r="L1176" i="1"/>
  <c r="L1175" i="1"/>
  <c r="L1174" i="1"/>
  <c r="L1173" i="1"/>
  <c r="L1172" i="1"/>
  <c r="L1171" i="1"/>
  <c r="L1170" i="1"/>
  <c r="L1169" i="1"/>
  <c r="L1168" i="1"/>
  <c r="L1167" i="1"/>
  <c r="L1166" i="1"/>
  <c r="L1165" i="1"/>
  <c r="L1164" i="1"/>
  <c r="L1163" i="1"/>
  <c r="L1162" i="1"/>
  <c r="L1161" i="1"/>
  <c r="L1160" i="1"/>
  <c r="L1159" i="1"/>
  <c r="L1158" i="1"/>
  <c r="L1157" i="1"/>
  <c r="L1156" i="1"/>
  <c r="L1155" i="1"/>
  <c r="L1154" i="1"/>
  <c r="L1153" i="1"/>
  <c r="L1152" i="1"/>
  <c r="L1151" i="1"/>
  <c r="L1150" i="1"/>
  <c r="L1149" i="1"/>
  <c r="L1148" i="1"/>
  <c r="L1147" i="1"/>
  <c r="L1146" i="1"/>
  <c r="L1145" i="1"/>
  <c r="L1144" i="1"/>
  <c r="L1143" i="1"/>
  <c r="L1142" i="1"/>
  <c r="L1141" i="1"/>
  <c r="L1140" i="1"/>
  <c r="L1139" i="1"/>
  <c r="L1138" i="1"/>
  <c r="L1137" i="1"/>
  <c r="L1136" i="1"/>
  <c r="L1135" i="1"/>
  <c r="L1134" i="1"/>
  <c r="L1133" i="1"/>
  <c r="L1132" i="1"/>
  <c r="L1131" i="1"/>
  <c r="L1130" i="1"/>
  <c r="L1129" i="1"/>
  <c r="L1128" i="1"/>
  <c r="L1127" i="1"/>
  <c r="L1126" i="1"/>
  <c r="L1125" i="1"/>
  <c r="L1124" i="1"/>
  <c r="L1123" i="1"/>
  <c r="L1122" i="1"/>
  <c r="L1121" i="1"/>
  <c r="L1120" i="1"/>
  <c r="L1119" i="1"/>
  <c r="L1118" i="1"/>
  <c r="L1117" i="1"/>
  <c r="L1116" i="1"/>
  <c r="L1115" i="1"/>
  <c r="L1114" i="1"/>
  <c r="L1113" i="1"/>
  <c r="L1112" i="1"/>
  <c r="L1111" i="1"/>
  <c r="L1110" i="1"/>
  <c r="L1109" i="1"/>
  <c r="L1108" i="1"/>
  <c r="L1107" i="1"/>
  <c r="L1106" i="1"/>
  <c r="L1105" i="1"/>
  <c r="L1104" i="1"/>
  <c r="L1103" i="1"/>
  <c r="L1102" i="1"/>
  <c r="L1101" i="1"/>
  <c r="L1100" i="1"/>
  <c r="L1099" i="1"/>
  <c r="L1098" i="1"/>
  <c r="L1097" i="1"/>
  <c r="L1096" i="1"/>
  <c r="L1095" i="1"/>
  <c r="L1094" i="1"/>
  <c r="L1093" i="1"/>
  <c r="L1092" i="1"/>
  <c r="L1091" i="1"/>
  <c r="L1090" i="1"/>
  <c r="L1089" i="1"/>
  <c r="L1088" i="1"/>
  <c r="L1087" i="1"/>
  <c r="L1086" i="1"/>
  <c r="L1085" i="1"/>
  <c r="L1084" i="1"/>
  <c r="L1083" i="1"/>
  <c r="L1082" i="1"/>
  <c r="L1081" i="1"/>
  <c r="L1080" i="1"/>
  <c r="L1079" i="1"/>
  <c r="L1078" i="1"/>
  <c r="L1077" i="1"/>
  <c r="L1076" i="1"/>
  <c r="L1075" i="1"/>
  <c r="L1074" i="1"/>
  <c r="L1073" i="1"/>
  <c r="L1072" i="1"/>
  <c r="L1071" i="1"/>
  <c r="L1070" i="1"/>
  <c r="L1069" i="1"/>
  <c r="L1068" i="1"/>
  <c r="L1067" i="1"/>
  <c r="L1066" i="1"/>
  <c r="L1065" i="1"/>
  <c r="L1064" i="1"/>
  <c r="L1063" i="1"/>
  <c r="L1062" i="1"/>
  <c r="L1061" i="1"/>
  <c r="L1060" i="1"/>
  <c r="L1059" i="1"/>
  <c r="L1058" i="1"/>
  <c r="L1057" i="1"/>
  <c r="L1056" i="1"/>
  <c r="L1055" i="1"/>
  <c r="L1054" i="1"/>
  <c r="L1053" i="1"/>
  <c r="L1052" i="1"/>
  <c r="L1051" i="1"/>
  <c r="L1050" i="1"/>
  <c r="L1049" i="1"/>
  <c r="L1048" i="1"/>
  <c r="L1047" i="1"/>
  <c r="L1046" i="1"/>
  <c r="L1045" i="1"/>
  <c r="L1044" i="1"/>
  <c r="L1043" i="1"/>
  <c r="L1042" i="1"/>
  <c r="L1041" i="1"/>
  <c r="L1040" i="1"/>
  <c r="L1039" i="1"/>
  <c r="L1038" i="1"/>
  <c r="L1037" i="1"/>
  <c r="L1036" i="1"/>
  <c r="L1035" i="1"/>
  <c r="L1034" i="1"/>
  <c r="L1033" i="1"/>
  <c r="L1032" i="1"/>
  <c r="L1031" i="1"/>
  <c r="L1030" i="1"/>
  <c r="L1029" i="1"/>
  <c r="L1028" i="1"/>
  <c r="L1027" i="1"/>
  <c r="L1026" i="1"/>
  <c r="L1025" i="1"/>
  <c r="L1024" i="1"/>
  <c r="L1023" i="1"/>
  <c r="L1022" i="1"/>
  <c r="L1021" i="1"/>
  <c r="L1020" i="1"/>
  <c r="L1019" i="1"/>
  <c r="L1018" i="1"/>
  <c r="L1017" i="1"/>
  <c r="L1016" i="1"/>
  <c r="L1015" i="1"/>
  <c r="L1014" i="1"/>
  <c r="L1013" i="1"/>
  <c r="L1012" i="1"/>
  <c r="L1011" i="1"/>
  <c r="L1010" i="1"/>
  <c r="L1009" i="1"/>
  <c r="L1008" i="1"/>
  <c r="L1007" i="1"/>
  <c r="L1006" i="1"/>
  <c r="L1005" i="1"/>
  <c r="L1004" i="1"/>
  <c r="L1003" i="1"/>
  <c r="L1002" i="1"/>
  <c r="L1001" i="1"/>
  <c r="L1000" i="1"/>
  <c r="L999" i="1"/>
  <c r="L998" i="1"/>
  <c r="L997" i="1"/>
  <c r="L996" i="1"/>
  <c r="L995" i="1"/>
  <c r="L994" i="1"/>
  <c r="L993" i="1"/>
  <c r="L992" i="1"/>
  <c r="L991" i="1"/>
  <c r="L990" i="1"/>
  <c r="L989" i="1"/>
  <c r="L988" i="1"/>
  <c r="L987" i="1"/>
  <c r="L986" i="1"/>
  <c r="L985" i="1"/>
  <c r="L984" i="1"/>
  <c r="L983" i="1"/>
  <c r="L982" i="1"/>
  <c r="L981" i="1"/>
  <c r="L980" i="1"/>
  <c r="L979" i="1"/>
  <c r="L978" i="1"/>
  <c r="L977" i="1"/>
  <c r="L976" i="1"/>
  <c r="L975" i="1"/>
  <c r="L974" i="1"/>
  <c r="L973" i="1"/>
  <c r="L972" i="1"/>
  <c r="L971" i="1"/>
  <c r="L970" i="1"/>
  <c r="L969" i="1"/>
  <c r="L968" i="1"/>
  <c r="L967" i="1"/>
  <c r="L966" i="1"/>
  <c r="L965" i="1"/>
  <c r="L964" i="1"/>
  <c r="L963" i="1"/>
  <c r="L962" i="1"/>
  <c r="L961" i="1"/>
  <c r="L960" i="1"/>
  <c r="L959" i="1"/>
  <c r="L958" i="1"/>
  <c r="L957" i="1"/>
  <c r="L956" i="1"/>
  <c r="L955" i="1"/>
  <c r="L954" i="1"/>
  <c r="L953" i="1"/>
  <c r="L952" i="1"/>
  <c r="L951" i="1"/>
  <c r="L950" i="1"/>
  <c r="L949" i="1"/>
  <c r="L948" i="1"/>
  <c r="L947" i="1"/>
  <c r="L946" i="1"/>
  <c r="L945" i="1"/>
  <c r="L944" i="1"/>
  <c r="L943" i="1"/>
  <c r="L942" i="1"/>
  <c r="L941" i="1"/>
  <c r="L940" i="1"/>
  <c r="L939" i="1"/>
  <c r="L938" i="1"/>
  <c r="L937" i="1"/>
  <c r="L936" i="1"/>
  <c r="L935" i="1"/>
  <c r="L934" i="1"/>
  <c r="L933" i="1"/>
  <c r="L932" i="1"/>
  <c r="L931" i="1"/>
  <c r="L930" i="1"/>
  <c r="L929" i="1"/>
  <c r="L928" i="1"/>
  <c r="L927" i="1"/>
  <c r="L926" i="1"/>
  <c r="L925" i="1"/>
  <c r="L924" i="1"/>
  <c r="L923" i="1"/>
  <c r="L922" i="1"/>
  <c r="L921" i="1"/>
  <c r="L920" i="1"/>
  <c r="L919" i="1"/>
  <c r="L918" i="1"/>
  <c r="L917" i="1"/>
  <c r="L916" i="1"/>
  <c r="L915" i="1"/>
  <c r="L914" i="1"/>
  <c r="L913" i="1"/>
  <c r="L912" i="1"/>
  <c r="L911" i="1"/>
  <c r="L910" i="1"/>
  <c r="L909" i="1"/>
  <c r="L908" i="1"/>
  <c r="L907" i="1"/>
  <c r="L906" i="1"/>
  <c r="L905" i="1"/>
  <c r="L904" i="1"/>
  <c r="L903" i="1"/>
  <c r="L902" i="1"/>
  <c r="L901" i="1"/>
  <c r="L900" i="1"/>
  <c r="L899" i="1"/>
  <c r="L898" i="1"/>
  <c r="L897" i="1"/>
  <c r="L896" i="1"/>
  <c r="L895" i="1"/>
  <c r="L894" i="1"/>
  <c r="L893" i="1"/>
  <c r="L892" i="1"/>
  <c r="L891" i="1"/>
  <c r="L890" i="1"/>
  <c r="L889" i="1"/>
  <c r="L888" i="1"/>
  <c r="L887" i="1"/>
  <c r="L886" i="1"/>
  <c r="L885" i="1"/>
  <c r="L884" i="1"/>
  <c r="L883" i="1"/>
  <c r="L882" i="1"/>
  <c r="L881" i="1"/>
  <c r="L880" i="1"/>
  <c r="L879" i="1"/>
  <c r="L878" i="1"/>
  <c r="L877" i="1"/>
  <c r="L876" i="1"/>
  <c r="L875" i="1"/>
  <c r="L874" i="1"/>
  <c r="L873" i="1"/>
  <c r="L872" i="1"/>
  <c r="L871" i="1"/>
  <c r="L870" i="1"/>
  <c r="L869" i="1"/>
  <c r="L868" i="1"/>
  <c r="L867" i="1"/>
  <c r="L866" i="1"/>
  <c r="L865" i="1"/>
  <c r="L864" i="1"/>
  <c r="L863" i="1"/>
  <c r="L862" i="1"/>
  <c r="L861" i="1"/>
  <c r="L860" i="1"/>
  <c r="L859" i="1"/>
  <c r="L858" i="1"/>
  <c r="L857" i="1"/>
  <c r="L856" i="1"/>
  <c r="L855" i="1"/>
  <c r="L854" i="1"/>
  <c r="L853" i="1"/>
  <c r="L852" i="1"/>
  <c r="L851" i="1"/>
  <c r="L850" i="1"/>
  <c r="L849" i="1"/>
  <c r="L848" i="1"/>
  <c r="L847" i="1"/>
  <c r="L846" i="1"/>
  <c r="L845" i="1"/>
  <c r="L844" i="1"/>
  <c r="L843" i="1"/>
  <c r="L842" i="1"/>
  <c r="L841" i="1"/>
  <c r="L840" i="1"/>
  <c r="L839" i="1"/>
  <c r="L838" i="1"/>
  <c r="L837" i="1"/>
  <c r="L836" i="1"/>
  <c r="L835" i="1"/>
  <c r="L834" i="1"/>
  <c r="L833" i="1"/>
  <c r="L832" i="1"/>
  <c r="L831" i="1"/>
  <c r="L830" i="1"/>
  <c r="L829" i="1"/>
  <c r="L828" i="1"/>
  <c r="L827" i="1"/>
  <c r="L826" i="1"/>
  <c r="L825" i="1"/>
  <c r="L824" i="1"/>
  <c r="L823" i="1"/>
  <c r="L822" i="1"/>
  <c r="L821" i="1"/>
  <c r="L820" i="1"/>
  <c r="L819" i="1"/>
  <c r="L818" i="1"/>
  <c r="L817" i="1"/>
  <c r="L816" i="1"/>
  <c r="L815" i="1"/>
  <c r="L814" i="1"/>
  <c r="L813" i="1"/>
  <c r="L812" i="1"/>
  <c r="L811" i="1"/>
  <c r="L810" i="1"/>
  <c r="L809" i="1"/>
  <c r="L808" i="1"/>
  <c r="L807" i="1"/>
  <c r="L806" i="1"/>
  <c r="L805" i="1"/>
  <c r="L804" i="1"/>
  <c r="L803" i="1"/>
  <c r="L802" i="1"/>
  <c r="L801" i="1"/>
  <c r="L800" i="1"/>
  <c r="L799" i="1"/>
  <c r="L798" i="1"/>
  <c r="L797" i="1"/>
  <c r="L796" i="1"/>
  <c r="L795" i="1"/>
  <c r="L794" i="1"/>
  <c r="L793" i="1"/>
  <c r="L792" i="1"/>
  <c r="L791" i="1"/>
  <c r="L790" i="1"/>
  <c r="L789" i="1"/>
  <c r="L788" i="1"/>
  <c r="L787" i="1"/>
  <c r="L786" i="1"/>
  <c r="L785" i="1"/>
  <c r="L784" i="1"/>
  <c r="L783" i="1"/>
  <c r="L782" i="1"/>
  <c r="L781" i="1"/>
  <c r="L780" i="1"/>
  <c r="L779" i="1"/>
  <c r="L778" i="1"/>
  <c r="L777" i="1"/>
  <c r="L776" i="1"/>
  <c r="L775" i="1"/>
  <c r="L774" i="1"/>
  <c r="L773" i="1"/>
  <c r="L772" i="1"/>
  <c r="L771" i="1"/>
  <c r="L770" i="1"/>
  <c r="L769" i="1"/>
  <c r="L768" i="1"/>
  <c r="L767" i="1"/>
  <c r="L766" i="1"/>
  <c r="L765" i="1"/>
  <c r="L764" i="1"/>
  <c r="L763" i="1"/>
  <c r="L762" i="1"/>
  <c r="L761" i="1"/>
  <c r="L760" i="1"/>
  <c r="L759" i="1"/>
  <c r="L758" i="1"/>
  <c r="L757" i="1"/>
  <c r="L756" i="1"/>
  <c r="L755" i="1"/>
  <c r="L754" i="1"/>
  <c r="L753" i="1"/>
  <c r="L752" i="1"/>
  <c r="L751" i="1"/>
  <c r="L750" i="1"/>
  <c r="L749" i="1"/>
  <c r="L748" i="1"/>
  <c r="L747" i="1"/>
  <c r="L746" i="1"/>
  <c r="L745" i="1"/>
  <c r="L744" i="1"/>
  <c r="L743" i="1"/>
  <c r="L742" i="1"/>
  <c r="L741" i="1"/>
  <c r="L740" i="1"/>
  <c r="L739" i="1"/>
  <c r="L738" i="1"/>
  <c r="L737" i="1"/>
  <c r="L736" i="1"/>
  <c r="L735" i="1"/>
  <c r="L734" i="1"/>
  <c r="L733" i="1"/>
  <c r="L732" i="1"/>
  <c r="L731" i="1"/>
  <c r="L730" i="1"/>
  <c r="L729" i="1"/>
  <c r="L728" i="1"/>
  <c r="L727" i="1"/>
  <c r="L726" i="1"/>
  <c r="L725" i="1"/>
  <c r="L724" i="1"/>
  <c r="L723" i="1"/>
  <c r="L722" i="1"/>
  <c r="L721" i="1"/>
  <c r="L720" i="1"/>
  <c r="L719" i="1"/>
  <c r="L718" i="1"/>
  <c r="L717" i="1"/>
  <c r="L716" i="1"/>
  <c r="L715" i="1"/>
  <c r="L714" i="1"/>
  <c r="L713" i="1"/>
  <c r="L712" i="1"/>
  <c r="L711" i="1"/>
  <c r="L710" i="1"/>
  <c r="L709" i="1"/>
  <c r="L708" i="1"/>
  <c r="L707" i="1"/>
  <c r="L706" i="1"/>
  <c r="L705" i="1"/>
  <c r="L704" i="1"/>
  <c r="L703" i="1"/>
  <c r="L702" i="1"/>
  <c r="L701" i="1"/>
  <c r="L700" i="1"/>
  <c r="L699" i="1"/>
  <c r="L698" i="1"/>
  <c r="L697" i="1"/>
  <c r="L696" i="1"/>
  <c r="L695" i="1"/>
  <c r="L694" i="1"/>
  <c r="L693" i="1"/>
  <c r="L692" i="1"/>
  <c r="L691" i="1"/>
  <c r="L690" i="1"/>
  <c r="L689" i="1"/>
  <c r="L688" i="1"/>
  <c r="L687" i="1"/>
  <c r="L686" i="1"/>
  <c r="L685" i="1"/>
  <c r="L684" i="1"/>
  <c r="L683" i="1"/>
  <c r="L682" i="1"/>
  <c r="L681" i="1"/>
  <c r="L680" i="1"/>
  <c r="L679" i="1"/>
  <c r="L678" i="1"/>
  <c r="L677" i="1"/>
  <c r="L676" i="1"/>
  <c r="L675" i="1"/>
  <c r="L674" i="1"/>
  <c r="L673" i="1"/>
  <c r="L672" i="1"/>
  <c r="L671" i="1"/>
  <c r="L670" i="1"/>
  <c r="L669" i="1"/>
  <c r="L668" i="1"/>
  <c r="L667" i="1"/>
  <c r="L666" i="1"/>
  <c r="L665" i="1"/>
  <c r="L664" i="1"/>
  <c r="L663" i="1"/>
  <c r="L662" i="1"/>
  <c r="L661" i="1"/>
  <c r="L660" i="1"/>
  <c r="L659" i="1"/>
  <c r="L658" i="1"/>
  <c r="L657" i="1"/>
  <c r="L656" i="1"/>
  <c r="L655" i="1"/>
  <c r="L654" i="1"/>
  <c r="L653" i="1"/>
  <c r="L652" i="1"/>
  <c r="L651" i="1"/>
  <c r="L650" i="1"/>
  <c r="L649" i="1"/>
  <c r="L648" i="1"/>
  <c r="L647" i="1"/>
  <c r="L646" i="1"/>
  <c r="L645" i="1"/>
  <c r="L644" i="1"/>
  <c r="L643" i="1"/>
  <c r="L642" i="1"/>
  <c r="L641" i="1"/>
  <c r="L640" i="1"/>
  <c r="L639" i="1"/>
  <c r="L638" i="1"/>
  <c r="L637" i="1"/>
  <c r="L636" i="1"/>
  <c r="L635" i="1"/>
  <c r="L634" i="1"/>
  <c r="L633" i="1"/>
  <c r="L632" i="1"/>
  <c r="L631" i="1"/>
  <c r="L630" i="1"/>
  <c r="L629" i="1"/>
  <c r="L628" i="1"/>
  <c r="L627" i="1"/>
  <c r="L626" i="1"/>
  <c r="L625" i="1"/>
  <c r="L624" i="1"/>
  <c r="L623" i="1"/>
  <c r="L622" i="1"/>
  <c r="L621" i="1"/>
  <c r="L620" i="1"/>
  <c r="L619" i="1"/>
  <c r="L618" i="1"/>
  <c r="L617" i="1"/>
  <c r="L616" i="1"/>
  <c r="L615" i="1"/>
  <c r="L614" i="1"/>
  <c r="L613" i="1"/>
  <c r="L612" i="1"/>
  <c r="L611" i="1"/>
  <c r="L610" i="1"/>
  <c r="L609" i="1"/>
  <c r="L608" i="1"/>
  <c r="L607" i="1"/>
  <c r="L606" i="1"/>
  <c r="L605" i="1"/>
  <c r="L604" i="1"/>
  <c r="L603" i="1"/>
  <c r="L602" i="1"/>
  <c r="L601" i="1"/>
  <c r="L600" i="1"/>
  <c r="L599" i="1"/>
  <c r="L598" i="1"/>
  <c r="L597" i="1"/>
  <c r="L596" i="1"/>
  <c r="L595" i="1"/>
  <c r="L594" i="1"/>
  <c r="L593" i="1"/>
  <c r="L592" i="1"/>
  <c r="L591" i="1"/>
  <c r="L590" i="1"/>
  <c r="L589" i="1"/>
  <c r="L588" i="1"/>
  <c r="L587" i="1"/>
  <c r="L586" i="1"/>
  <c r="L585" i="1"/>
  <c r="L584" i="1"/>
  <c r="L583" i="1"/>
  <c r="L582" i="1"/>
  <c r="L581" i="1"/>
  <c r="L580" i="1"/>
  <c r="L579" i="1"/>
  <c r="L578" i="1"/>
  <c r="L577" i="1"/>
  <c r="L576" i="1"/>
  <c r="L575" i="1"/>
  <c r="L574" i="1"/>
  <c r="L573" i="1"/>
  <c r="L572" i="1"/>
  <c r="L571" i="1"/>
  <c r="L570" i="1"/>
  <c r="L569" i="1"/>
  <c r="L568" i="1"/>
  <c r="L567" i="1"/>
  <c r="L566" i="1"/>
  <c r="L565" i="1"/>
  <c r="L564" i="1"/>
  <c r="L563" i="1"/>
  <c r="L562" i="1"/>
  <c r="L561" i="1"/>
  <c r="L560" i="1"/>
  <c r="L559" i="1"/>
  <c r="L558" i="1"/>
  <c r="L557" i="1"/>
  <c r="L556" i="1"/>
  <c r="L555" i="1"/>
  <c r="L554" i="1"/>
  <c r="L553" i="1"/>
  <c r="L552" i="1"/>
  <c r="L551" i="1"/>
  <c r="L550" i="1"/>
  <c r="L549" i="1"/>
  <c r="L548" i="1"/>
  <c r="L547" i="1"/>
  <c r="L546" i="1"/>
  <c r="L545" i="1"/>
  <c r="L544" i="1"/>
  <c r="L543" i="1"/>
  <c r="L542" i="1"/>
  <c r="L541" i="1"/>
  <c r="L540" i="1"/>
  <c r="L539" i="1"/>
  <c r="L538" i="1"/>
  <c r="L537" i="1"/>
  <c r="L536" i="1"/>
  <c r="L535" i="1"/>
  <c r="L534" i="1"/>
  <c r="L533" i="1"/>
  <c r="L532" i="1"/>
  <c r="L531" i="1"/>
  <c r="L530" i="1"/>
  <c r="L529" i="1"/>
  <c r="L528" i="1"/>
  <c r="L527" i="1"/>
  <c r="L526" i="1"/>
  <c r="L525" i="1"/>
  <c r="L524" i="1"/>
  <c r="L523" i="1"/>
  <c r="L522" i="1"/>
  <c r="L521" i="1"/>
  <c r="L520" i="1"/>
  <c r="L519" i="1"/>
  <c r="L518" i="1"/>
  <c r="L517" i="1"/>
  <c r="L516" i="1"/>
  <c r="L515" i="1"/>
  <c r="L514" i="1"/>
  <c r="L513" i="1"/>
  <c r="L512" i="1"/>
  <c r="L511" i="1"/>
  <c r="L510" i="1"/>
  <c r="L509" i="1"/>
  <c r="L508" i="1"/>
  <c r="L507" i="1"/>
  <c r="L506" i="1"/>
  <c r="L505" i="1"/>
  <c r="L504" i="1"/>
  <c r="L503" i="1"/>
  <c r="L502" i="1"/>
  <c r="L501" i="1"/>
  <c r="L500" i="1"/>
  <c r="L499" i="1"/>
  <c r="L498" i="1"/>
  <c r="L497" i="1"/>
  <c r="L496" i="1"/>
  <c r="L495" i="1"/>
  <c r="L494" i="1"/>
  <c r="L493" i="1"/>
  <c r="L492" i="1"/>
  <c r="L491" i="1"/>
  <c r="L490" i="1"/>
  <c r="L489" i="1"/>
  <c r="L488" i="1"/>
  <c r="L487" i="1"/>
  <c r="L486" i="1"/>
  <c r="L485" i="1"/>
  <c r="L484" i="1"/>
  <c r="L483" i="1"/>
  <c r="L482" i="1"/>
  <c r="L481" i="1"/>
  <c r="L480" i="1"/>
  <c r="L479" i="1"/>
  <c r="L478" i="1"/>
  <c r="L477" i="1"/>
  <c r="L476" i="1"/>
  <c r="L475" i="1"/>
  <c r="L474" i="1"/>
  <c r="L473" i="1"/>
  <c r="L472" i="1"/>
  <c r="L471" i="1"/>
  <c r="L470" i="1"/>
  <c r="L469" i="1"/>
  <c r="L468" i="1"/>
  <c r="L467" i="1"/>
  <c r="L466" i="1"/>
  <c r="L465" i="1"/>
  <c r="L464" i="1"/>
  <c r="L463" i="1"/>
  <c r="L462" i="1"/>
  <c r="L461" i="1"/>
  <c r="L460" i="1"/>
  <c r="L459" i="1"/>
  <c r="L458" i="1"/>
  <c r="L457" i="1"/>
  <c r="L456" i="1"/>
  <c r="L455" i="1"/>
  <c r="L454" i="1"/>
  <c r="L453" i="1"/>
  <c r="L452" i="1"/>
  <c r="L451" i="1"/>
  <c r="L450" i="1"/>
  <c r="L449" i="1"/>
  <c r="L448" i="1"/>
  <c r="L447" i="1"/>
  <c r="L446" i="1"/>
  <c r="L445" i="1"/>
  <c r="L444" i="1"/>
  <c r="L443" i="1"/>
  <c r="L442" i="1"/>
  <c r="L441" i="1"/>
  <c r="L440" i="1"/>
  <c r="L439" i="1"/>
  <c r="L438" i="1"/>
  <c r="L437" i="1"/>
  <c r="L436" i="1"/>
  <c r="L435" i="1"/>
  <c r="L434" i="1"/>
  <c r="L433" i="1"/>
  <c r="L432" i="1"/>
  <c r="L431" i="1"/>
  <c r="L430" i="1"/>
  <c r="L429" i="1"/>
  <c r="L428" i="1"/>
  <c r="L427" i="1"/>
  <c r="L426" i="1"/>
  <c r="L425" i="1"/>
  <c r="L424" i="1"/>
  <c r="L423" i="1"/>
  <c r="L422" i="1"/>
  <c r="L421" i="1"/>
  <c r="L420" i="1"/>
  <c r="L419" i="1"/>
  <c r="L418" i="1"/>
  <c r="L417" i="1"/>
  <c r="L416" i="1"/>
  <c r="L415" i="1"/>
  <c r="L414" i="1"/>
  <c r="L413" i="1"/>
  <c r="L412" i="1"/>
  <c r="L411" i="1"/>
  <c r="L410" i="1"/>
  <c r="L409" i="1"/>
  <c r="L408" i="1"/>
  <c r="L407" i="1"/>
  <c r="L406" i="1"/>
  <c r="L405" i="1"/>
  <c r="L404" i="1"/>
  <c r="L403" i="1"/>
  <c r="L402" i="1"/>
  <c r="L401" i="1"/>
  <c r="L400" i="1"/>
  <c r="L399" i="1"/>
  <c r="L398" i="1"/>
  <c r="L397" i="1"/>
  <c r="L396" i="1"/>
  <c r="L395" i="1"/>
  <c r="L394" i="1"/>
  <c r="L393" i="1"/>
  <c r="L392" i="1"/>
  <c r="L391" i="1"/>
  <c r="L390" i="1"/>
  <c r="L389" i="1"/>
  <c r="L388" i="1"/>
  <c r="L387" i="1"/>
  <c r="L386" i="1"/>
  <c r="L385" i="1"/>
  <c r="L384" i="1"/>
  <c r="L383" i="1"/>
  <c r="L382" i="1"/>
  <c r="L381" i="1"/>
  <c r="L380" i="1"/>
  <c r="L379" i="1"/>
  <c r="L378" i="1"/>
  <c r="L377" i="1"/>
  <c r="L376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L363" i="1"/>
  <c r="L362" i="1"/>
  <c r="L361" i="1"/>
  <c r="L360" i="1"/>
  <c r="L359" i="1"/>
  <c r="L358" i="1"/>
  <c r="L357" i="1"/>
  <c r="L356" i="1"/>
  <c r="L355" i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  <c r="L4989" i="2"/>
  <c r="L4988" i="2"/>
  <c r="L4987" i="2"/>
  <c r="L4986" i="2"/>
  <c r="L4985" i="2"/>
  <c r="L4984" i="2"/>
  <c r="L4983" i="2"/>
  <c r="L4982" i="2"/>
  <c r="L4981" i="2"/>
  <c r="L4980" i="2"/>
  <c r="L4979" i="2"/>
  <c r="L4978" i="2"/>
  <c r="L4977" i="2"/>
  <c r="L4976" i="2"/>
  <c r="L4975" i="2"/>
  <c r="L4974" i="2"/>
  <c r="L4973" i="2"/>
  <c r="L4972" i="2"/>
  <c r="L4971" i="2"/>
  <c r="L4970" i="2"/>
  <c r="L4969" i="2"/>
  <c r="L4968" i="2"/>
  <c r="L4967" i="2"/>
  <c r="L4966" i="2"/>
  <c r="L4965" i="2"/>
  <c r="L4964" i="2"/>
  <c r="L4963" i="2"/>
  <c r="L4962" i="2"/>
  <c r="L4961" i="2"/>
  <c r="L4960" i="2"/>
  <c r="L4959" i="2"/>
  <c r="L4958" i="2"/>
  <c r="L4957" i="2"/>
  <c r="L4956" i="2"/>
  <c r="L4955" i="2"/>
  <c r="L4954" i="2"/>
  <c r="L4953" i="2"/>
  <c r="L4952" i="2"/>
  <c r="L4951" i="2"/>
  <c r="L4950" i="2"/>
  <c r="L4949" i="2"/>
  <c r="L4948" i="2"/>
  <c r="L4947" i="2"/>
  <c r="L4946" i="2"/>
  <c r="L4945" i="2"/>
  <c r="L4944" i="2"/>
  <c r="L4943" i="2"/>
  <c r="L4942" i="2"/>
  <c r="L4941" i="2"/>
  <c r="L4940" i="2"/>
  <c r="L4939" i="2"/>
  <c r="L4938" i="2"/>
  <c r="L4937" i="2"/>
  <c r="L4936" i="2"/>
  <c r="L4935" i="2"/>
  <c r="L4934" i="2"/>
  <c r="L4933" i="2"/>
  <c r="L4932" i="2"/>
  <c r="L4931" i="2"/>
  <c r="L4930" i="2"/>
  <c r="L4929" i="2"/>
  <c r="L4928" i="2"/>
  <c r="L4927" i="2"/>
  <c r="L4926" i="2"/>
  <c r="L4925" i="2"/>
  <c r="L4924" i="2"/>
  <c r="L4923" i="2"/>
  <c r="L4922" i="2"/>
  <c r="L4921" i="2"/>
  <c r="L4920" i="2"/>
  <c r="L4919" i="2"/>
  <c r="L4918" i="2"/>
  <c r="L4917" i="2"/>
  <c r="L4916" i="2"/>
  <c r="L4915" i="2"/>
  <c r="L4914" i="2"/>
  <c r="L4913" i="2"/>
  <c r="L4912" i="2"/>
  <c r="L4911" i="2"/>
  <c r="L4910" i="2"/>
  <c r="L4909" i="2"/>
  <c r="L4908" i="2"/>
  <c r="L4907" i="2"/>
  <c r="L4906" i="2"/>
  <c r="L4905" i="2"/>
  <c r="L4904" i="2"/>
  <c r="L4903" i="2"/>
  <c r="L4902" i="2"/>
  <c r="L4901" i="2"/>
  <c r="L4900" i="2"/>
  <c r="L4899" i="2"/>
  <c r="L4898" i="2"/>
  <c r="L4897" i="2"/>
  <c r="L4896" i="2"/>
  <c r="L4895" i="2"/>
  <c r="L4894" i="2"/>
  <c r="L4893" i="2"/>
  <c r="L4892" i="2"/>
  <c r="L4891" i="2"/>
  <c r="L4890" i="2"/>
  <c r="L4889" i="2"/>
  <c r="L4888" i="2"/>
  <c r="L4887" i="2"/>
  <c r="L4886" i="2"/>
  <c r="L4885" i="2"/>
  <c r="L4884" i="2"/>
  <c r="L4883" i="2"/>
  <c r="L4882" i="2"/>
  <c r="L4881" i="2"/>
  <c r="L4880" i="2"/>
  <c r="L4879" i="2"/>
  <c r="L4878" i="2"/>
  <c r="L4877" i="2"/>
  <c r="L4876" i="2"/>
  <c r="L4875" i="2"/>
  <c r="L4874" i="2"/>
  <c r="L4873" i="2"/>
  <c r="L4872" i="2"/>
  <c r="L4871" i="2"/>
  <c r="L4870" i="2"/>
  <c r="L4869" i="2"/>
  <c r="L4868" i="2"/>
  <c r="L4867" i="2"/>
  <c r="L4866" i="2"/>
  <c r="L4865" i="2"/>
  <c r="L4864" i="2"/>
  <c r="L4863" i="2"/>
  <c r="L4862" i="2"/>
  <c r="L4861" i="2"/>
  <c r="L4860" i="2"/>
  <c r="L4859" i="2"/>
  <c r="L4858" i="2"/>
  <c r="L4857" i="2"/>
  <c r="L4856" i="2"/>
  <c r="L4855" i="2"/>
  <c r="L4854" i="2"/>
  <c r="L4853" i="2"/>
  <c r="L4852" i="2"/>
  <c r="L4851" i="2"/>
  <c r="L4850" i="2"/>
  <c r="L4849" i="2"/>
  <c r="L4848" i="2"/>
  <c r="L4847" i="2"/>
  <c r="L4846" i="2"/>
  <c r="L4845" i="2"/>
  <c r="L4844" i="2"/>
  <c r="L4843" i="2"/>
  <c r="L4842" i="2"/>
  <c r="L4841" i="2"/>
  <c r="L4840" i="2"/>
  <c r="L4839" i="2"/>
  <c r="L4838" i="2"/>
  <c r="L4837" i="2"/>
  <c r="L4836" i="2"/>
  <c r="L4835" i="2"/>
  <c r="L4834" i="2"/>
  <c r="L4833" i="2"/>
  <c r="L4832" i="2"/>
  <c r="L4831" i="2"/>
  <c r="L4830" i="2"/>
  <c r="L4829" i="2"/>
  <c r="L4828" i="2"/>
  <c r="L4827" i="2"/>
  <c r="L4826" i="2"/>
  <c r="L4825" i="2"/>
  <c r="L4824" i="2"/>
  <c r="L4823" i="2"/>
  <c r="L4822" i="2"/>
  <c r="L4821" i="2"/>
  <c r="L4820" i="2"/>
  <c r="L4819" i="2"/>
  <c r="L4818" i="2"/>
  <c r="L4817" i="2"/>
  <c r="L4816" i="2"/>
  <c r="L4815" i="2"/>
  <c r="L4814" i="2"/>
  <c r="L4813" i="2"/>
  <c r="L4812" i="2"/>
  <c r="L4811" i="2"/>
  <c r="L4810" i="2"/>
  <c r="L4809" i="2"/>
  <c r="L4808" i="2"/>
  <c r="L4807" i="2"/>
  <c r="L4806" i="2"/>
  <c r="L4805" i="2"/>
  <c r="L4804" i="2"/>
  <c r="L4803" i="2"/>
  <c r="L4802" i="2"/>
  <c r="L4801" i="2"/>
  <c r="L4800" i="2"/>
  <c r="L4799" i="2"/>
  <c r="L4798" i="2"/>
  <c r="L4797" i="2"/>
  <c r="L4796" i="2"/>
  <c r="L4795" i="2"/>
  <c r="L4794" i="2"/>
  <c r="L4793" i="2"/>
  <c r="L4792" i="2"/>
  <c r="L4791" i="2"/>
  <c r="L4790" i="2"/>
  <c r="L4789" i="2"/>
  <c r="L4788" i="2"/>
  <c r="L4787" i="2"/>
  <c r="L4786" i="2"/>
  <c r="L4785" i="2"/>
  <c r="L4784" i="2"/>
  <c r="L4783" i="2"/>
  <c r="L4782" i="2"/>
  <c r="L4781" i="2"/>
  <c r="L4780" i="2"/>
  <c r="L4779" i="2"/>
  <c r="L4778" i="2"/>
  <c r="L4777" i="2"/>
  <c r="L4776" i="2"/>
  <c r="L4775" i="2"/>
  <c r="L4774" i="2"/>
  <c r="L4773" i="2"/>
  <c r="L4772" i="2"/>
  <c r="L4771" i="2"/>
  <c r="L4770" i="2"/>
  <c r="L4769" i="2"/>
  <c r="L4768" i="2"/>
  <c r="L4767" i="2"/>
  <c r="L4766" i="2"/>
  <c r="L4765" i="2"/>
  <c r="L4764" i="2"/>
  <c r="L4763" i="2"/>
  <c r="L4762" i="2"/>
  <c r="L4761" i="2"/>
  <c r="L4760" i="2"/>
  <c r="L4759" i="2"/>
  <c r="L4758" i="2"/>
  <c r="L4757" i="2"/>
  <c r="L4756" i="2"/>
  <c r="L4755" i="2"/>
  <c r="L4754" i="2"/>
  <c r="L4753" i="2"/>
  <c r="L4752" i="2"/>
  <c r="L4751" i="2"/>
  <c r="L4750" i="2"/>
  <c r="L4749" i="2"/>
  <c r="L4748" i="2"/>
  <c r="L4747" i="2"/>
  <c r="L4746" i="2"/>
  <c r="L4745" i="2"/>
  <c r="L4744" i="2"/>
  <c r="L4743" i="2"/>
  <c r="L4742" i="2"/>
  <c r="L4741" i="2"/>
  <c r="L4740" i="2"/>
  <c r="L4739" i="2"/>
  <c r="L4738" i="2"/>
  <c r="L4737" i="2"/>
  <c r="L4736" i="2"/>
  <c r="L4735" i="2"/>
  <c r="L4734" i="2"/>
  <c r="L4733" i="2"/>
  <c r="L4732" i="2"/>
  <c r="L4731" i="2"/>
  <c r="L4730" i="2"/>
  <c r="L4729" i="2"/>
  <c r="L4728" i="2"/>
  <c r="L4727" i="2"/>
  <c r="L4726" i="2"/>
  <c r="L4725" i="2"/>
  <c r="L4724" i="2"/>
  <c r="L4723" i="2"/>
  <c r="L4722" i="2"/>
  <c r="L4721" i="2"/>
  <c r="L4720" i="2"/>
  <c r="L4719" i="2"/>
  <c r="L4718" i="2"/>
  <c r="L4717" i="2"/>
  <c r="L4716" i="2"/>
  <c r="L4715" i="2"/>
  <c r="L4714" i="2"/>
  <c r="L4713" i="2"/>
  <c r="L4712" i="2"/>
  <c r="L4711" i="2"/>
  <c r="L4710" i="2"/>
  <c r="L4709" i="2"/>
  <c r="L4708" i="2"/>
  <c r="L4707" i="2"/>
  <c r="L4706" i="2"/>
  <c r="L4705" i="2"/>
  <c r="L4704" i="2"/>
  <c r="L4703" i="2"/>
  <c r="L4702" i="2"/>
  <c r="L4701" i="2"/>
  <c r="L4700" i="2"/>
  <c r="L4699" i="2"/>
  <c r="L4698" i="2"/>
  <c r="L4697" i="2"/>
  <c r="L4696" i="2"/>
  <c r="L4695" i="2"/>
  <c r="L4694" i="2"/>
  <c r="L4693" i="2"/>
  <c r="L4692" i="2"/>
  <c r="L4691" i="2"/>
  <c r="L4690" i="2"/>
  <c r="L4689" i="2"/>
  <c r="L4688" i="2"/>
  <c r="L4687" i="2"/>
  <c r="L4686" i="2"/>
  <c r="L4685" i="2"/>
  <c r="L4684" i="2"/>
  <c r="L4683" i="2"/>
  <c r="L4682" i="2"/>
  <c r="L4681" i="2"/>
  <c r="L4680" i="2"/>
  <c r="L4679" i="2"/>
  <c r="L4678" i="2"/>
  <c r="L4677" i="2"/>
  <c r="L4676" i="2"/>
  <c r="L4675" i="2"/>
  <c r="L4674" i="2"/>
  <c r="L4673" i="2"/>
  <c r="L4672" i="2"/>
  <c r="L4671" i="2"/>
  <c r="L4670" i="2"/>
  <c r="L4669" i="2"/>
  <c r="L4668" i="2"/>
  <c r="L4667" i="2"/>
  <c r="L4666" i="2"/>
  <c r="L4665" i="2"/>
  <c r="L4664" i="2"/>
  <c r="L4663" i="2"/>
  <c r="L4662" i="2"/>
  <c r="L4661" i="2"/>
  <c r="L4660" i="2"/>
  <c r="L4659" i="2"/>
  <c r="L4658" i="2"/>
  <c r="L4657" i="2"/>
  <c r="L4656" i="2"/>
  <c r="L4655" i="2"/>
  <c r="L4654" i="2"/>
  <c r="L4653" i="2"/>
  <c r="L4652" i="2"/>
  <c r="L4651" i="2"/>
  <c r="L4650" i="2"/>
  <c r="L4649" i="2"/>
  <c r="L4648" i="2"/>
  <c r="L4647" i="2"/>
  <c r="L4646" i="2"/>
  <c r="L4645" i="2"/>
  <c r="L4644" i="2"/>
  <c r="L4643" i="2"/>
  <c r="L4642" i="2"/>
  <c r="L4641" i="2"/>
  <c r="L4640" i="2"/>
  <c r="L4639" i="2"/>
  <c r="L4638" i="2"/>
  <c r="L4637" i="2"/>
  <c r="L4636" i="2"/>
  <c r="L4635" i="2"/>
  <c r="L4634" i="2"/>
  <c r="L4633" i="2"/>
  <c r="L4632" i="2"/>
  <c r="L4631" i="2"/>
  <c r="L4630" i="2"/>
  <c r="L4629" i="2"/>
  <c r="L4628" i="2"/>
  <c r="L4627" i="2"/>
  <c r="L4626" i="2"/>
  <c r="L4625" i="2"/>
  <c r="L4624" i="2"/>
  <c r="L4623" i="2"/>
  <c r="L4622" i="2"/>
  <c r="L4621" i="2"/>
  <c r="L4620" i="2"/>
  <c r="L4619" i="2"/>
  <c r="L4618" i="2"/>
  <c r="L4617" i="2"/>
  <c r="L4616" i="2"/>
  <c r="L4615" i="2"/>
  <c r="L4614" i="2"/>
  <c r="L4613" i="2"/>
  <c r="L4612" i="2"/>
  <c r="L4611" i="2"/>
  <c r="L4610" i="2"/>
  <c r="L4609" i="2"/>
  <c r="L4608" i="2"/>
  <c r="L4607" i="2"/>
  <c r="L4606" i="2"/>
  <c r="L4605" i="2"/>
  <c r="L4604" i="2"/>
  <c r="L4603" i="2"/>
  <c r="L4602" i="2"/>
  <c r="L4601" i="2"/>
  <c r="L4600" i="2"/>
  <c r="L4599" i="2"/>
  <c r="L4598" i="2"/>
  <c r="L4597" i="2"/>
  <c r="L4596" i="2"/>
  <c r="L4595" i="2"/>
  <c r="L4594" i="2"/>
  <c r="L4593" i="2"/>
  <c r="L4592" i="2"/>
  <c r="L4591" i="2"/>
  <c r="L4590" i="2"/>
  <c r="L4589" i="2"/>
  <c r="L4588" i="2"/>
  <c r="L4587" i="2"/>
  <c r="L4586" i="2"/>
  <c r="L4585" i="2"/>
  <c r="L4584" i="2"/>
  <c r="L4583" i="2"/>
  <c r="L4582" i="2"/>
  <c r="L4581" i="2"/>
  <c r="L4580" i="2"/>
  <c r="L4579" i="2"/>
  <c r="L4578" i="2"/>
  <c r="L4577" i="2"/>
  <c r="L4576" i="2"/>
  <c r="L4575" i="2"/>
  <c r="L4574" i="2"/>
  <c r="L4573" i="2"/>
  <c r="L4572" i="2"/>
  <c r="L4571" i="2"/>
  <c r="L4570" i="2"/>
  <c r="L4569" i="2"/>
  <c r="L4568" i="2"/>
  <c r="L4567" i="2"/>
  <c r="L4566" i="2"/>
  <c r="L4565" i="2"/>
  <c r="L4564" i="2"/>
  <c r="L4563" i="2"/>
  <c r="L4562" i="2"/>
  <c r="L4561" i="2"/>
  <c r="L4560" i="2"/>
  <c r="L4559" i="2"/>
  <c r="L4558" i="2"/>
  <c r="L4557" i="2"/>
  <c r="L4556" i="2"/>
  <c r="L4555" i="2"/>
  <c r="L4554" i="2"/>
  <c r="L4553" i="2"/>
  <c r="L4552" i="2"/>
  <c r="L4551" i="2"/>
  <c r="L4550" i="2"/>
  <c r="L4549" i="2"/>
  <c r="L4548" i="2"/>
  <c r="L4547" i="2"/>
  <c r="L4546" i="2"/>
  <c r="L4545" i="2"/>
  <c r="L4544" i="2"/>
  <c r="L4543" i="2"/>
  <c r="L4542" i="2"/>
  <c r="L4541" i="2"/>
  <c r="L4540" i="2"/>
  <c r="L4539" i="2"/>
  <c r="L4538" i="2"/>
  <c r="L4537" i="2"/>
  <c r="L4536" i="2"/>
  <c r="L4535" i="2"/>
  <c r="L4534" i="2"/>
  <c r="L4533" i="2"/>
  <c r="L4532" i="2"/>
  <c r="L4531" i="2"/>
  <c r="L4530" i="2"/>
  <c r="L4529" i="2"/>
  <c r="L4528" i="2"/>
  <c r="L4527" i="2"/>
  <c r="L4526" i="2"/>
  <c r="L4525" i="2"/>
  <c r="L4524" i="2"/>
  <c r="L4523" i="2"/>
  <c r="L4522" i="2"/>
  <c r="L4521" i="2"/>
  <c r="L4520" i="2"/>
  <c r="L4519" i="2"/>
  <c r="L4518" i="2"/>
  <c r="L4517" i="2"/>
  <c r="L4516" i="2"/>
  <c r="L4515" i="2"/>
  <c r="L4514" i="2"/>
  <c r="L4513" i="2"/>
  <c r="L4512" i="2"/>
  <c r="L4511" i="2"/>
  <c r="L4510" i="2"/>
  <c r="L4509" i="2"/>
  <c r="L4508" i="2"/>
  <c r="L4507" i="2"/>
  <c r="L4506" i="2"/>
  <c r="L4505" i="2"/>
  <c r="L4504" i="2"/>
  <c r="L4503" i="2"/>
  <c r="L4502" i="2"/>
  <c r="L4501" i="2"/>
  <c r="L4500" i="2"/>
  <c r="L4499" i="2"/>
  <c r="L4498" i="2"/>
  <c r="L4497" i="2"/>
  <c r="L4496" i="2"/>
  <c r="L4495" i="2"/>
  <c r="L4494" i="2"/>
  <c r="L4493" i="2"/>
  <c r="L4492" i="2"/>
  <c r="L4491" i="2"/>
  <c r="L4490" i="2"/>
  <c r="L4489" i="2"/>
  <c r="L4488" i="2"/>
  <c r="L4487" i="2"/>
  <c r="L4486" i="2"/>
  <c r="L4485" i="2"/>
  <c r="L4484" i="2"/>
  <c r="L4483" i="2"/>
  <c r="L4482" i="2"/>
  <c r="L4481" i="2"/>
  <c r="L4480" i="2"/>
  <c r="L4479" i="2"/>
  <c r="L4478" i="2"/>
  <c r="L4477" i="2"/>
  <c r="L4476" i="2"/>
  <c r="L4475" i="2"/>
  <c r="L4474" i="2"/>
  <c r="L4473" i="2"/>
  <c r="L4472" i="2"/>
  <c r="L4471" i="2"/>
  <c r="L4470" i="2"/>
  <c r="L4469" i="2"/>
  <c r="L4468" i="2"/>
  <c r="L4467" i="2"/>
  <c r="L4466" i="2"/>
  <c r="L4465" i="2"/>
  <c r="L4464" i="2"/>
  <c r="L4463" i="2"/>
  <c r="L4462" i="2"/>
  <c r="L4461" i="2"/>
  <c r="L4460" i="2"/>
  <c r="L4459" i="2"/>
  <c r="L4458" i="2"/>
  <c r="L4457" i="2"/>
  <c r="L4456" i="2"/>
  <c r="L4455" i="2"/>
  <c r="L4454" i="2"/>
  <c r="L4453" i="2"/>
  <c r="L4452" i="2"/>
  <c r="L4451" i="2"/>
  <c r="L4450" i="2"/>
  <c r="L4449" i="2"/>
  <c r="L4448" i="2"/>
  <c r="L4447" i="2"/>
  <c r="L4446" i="2"/>
  <c r="L4445" i="2"/>
  <c r="L4444" i="2"/>
  <c r="L4443" i="2"/>
  <c r="L4442" i="2"/>
  <c r="L4441" i="2"/>
  <c r="L4440" i="2"/>
  <c r="L4439" i="2"/>
  <c r="L4438" i="2"/>
  <c r="L4437" i="2"/>
  <c r="L4436" i="2"/>
  <c r="L4435" i="2"/>
  <c r="L4434" i="2"/>
  <c r="L4433" i="2"/>
  <c r="L4432" i="2"/>
  <c r="L4431" i="2"/>
  <c r="L4430" i="2"/>
  <c r="L4429" i="2"/>
  <c r="L4428" i="2"/>
  <c r="L4427" i="2"/>
  <c r="L4426" i="2"/>
  <c r="L4425" i="2"/>
  <c r="L4424" i="2"/>
  <c r="L4423" i="2"/>
  <c r="L4422" i="2"/>
  <c r="L4421" i="2"/>
  <c r="L4420" i="2"/>
  <c r="L4419" i="2"/>
  <c r="L4418" i="2"/>
  <c r="L4417" i="2"/>
  <c r="L4416" i="2"/>
  <c r="L4415" i="2"/>
  <c r="L4414" i="2"/>
  <c r="L4413" i="2"/>
  <c r="L4412" i="2"/>
  <c r="L4411" i="2"/>
  <c r="L4410" i="2"/>
  <c r="L4409" i="2"/>
  <c r="L4408" i="2"/>
  <c r="L4407" i="2"/>
  <c r="L4406" i="2"/>
  <c r="L4405" i="2"/>
  <c r="L4404" i="2"/>
  <c r="L4403" i="2"/>
  <c r="L4402" i="2"/>
  <c r="L4401" i="2"/>
  <c r="L4400" i="2"/>
  <c r="L4399" i="2"/>
  <c r="L4398" i="2"/>
  <c r="L4397" i="2"/>
  <c r="L4396" i="2"/>
  <c r="L4395" i="2"/>
  <c r="L4394" i="2"/>
  <c r="L4393" i="2"/>
  <c r="L4392" i="2"/>
  <c r="L4391" i="2"/>
  <c r="L4390" i="2"/>
  <c r="L4389" i="2"/>
  <c r="L4388" i="2"/>
  <c r="L4387" i="2"/>
  <c r="L4386" i="2"/>
  <c r="L4385" i="2"/>
  <c r="L4384" i="2"/>
  <c r="L4383" i="2"/>
  <c r="L4382" i="2"/>
  <c r="L4381" i="2"/>
  <c r="L4380" i="2"/>
  <c r="L4379" i="2"/>
  <c r="L4378" i="2"/>
  <c r="L4377" i="2"/>
  <c r="L4376" i="2"/>
  <c r="L4375" i="2"/>
  <c r="L4374" i="2"/>
  <c r="L4373" i="2"/>
  <c r="L4372" i="2"/>
  <c r="L4371" i="2"/>
  <c r="L4370" i="2"/>
  <c r="L4369" i="2"/>
  <c r="L4368" i="2"/>
  <c r="L4367" i="2"/>
  <c r="L4366" i="2"/>
  <c r="L4365" i="2"/>
  <c r="L4364" i="2"/>
  <c r="L4363" i="2"/>
  <c r="L4362" i="2"/>
  <c r="L4361" i="2"/>
  <c r="L4360" i="2"/>
  <c r="L4359" i="2"/>
  <c r="L4358" i="2"/>
  <c r="L4357" i="2"/>
  <c r="L4356" i="2"/>
  <c r="L4355" i="2"/>
  <c r="L4354" i="2"/>
  <c r="L4353" i="2"/>
  <c r="L4352" i="2"/>
  <c r="L4351" i="2"/>
  <c r="L4350" i="2"/>
  <c r="L4349" i="2"/>
  <c r="L4348" i="2"/>
  <c r="L4347" i="2"/>
  <c r="L4346" i="2"/>
  <c r="L4345" i="2"/>
  <c r="L4344" i="2"/>
  <c r="L4343" i="2"/>
  <c r="L4342" i="2"/>
  <c r="L4341" i="2"/>
  <c r="L4340" i="2"/>
  <c r="L4339" i="2"/>
  <c r="L4338" i="2"/>
  <c r="L4337" i="2"/>
  <c r="L4336" i="2"/>
  <c r="L4335" i="2"/>
  <c r="L4334" i="2"/>
  <c r="L4333" i="2"/>
  <c r="L4332" i="2"/>
  <c r="L4331" i="2"/>
  <c r="L4330" i="2"/>
  <c r="L4329" i="2"/>
  <c r="L4328" i="2"/>
  <c r="L4327" i="2"/>
  <c r="L4326" i="2"/>
  <c r="L4325" i="2"/>
  <c r="L4324" i="2"/>
  <c r="L4323" i="2"/>
  <c r="L4322" i="2"/>
  <c r="L4321" i="2"/>
  <c r="L4320" i="2"/>
  <c r="L4319" i="2"/>
  <c r="L4318" i="2"/>
  <c r="L4317" i="2"/>
  <c r="L4316" i="2"/>
  <c r="L4315" i="2"/>
  <c r="L4314" i="2"/>
  <c r="L4313" i="2"/>
  <c r="L4312" i="2"/>
  <c r="L4311" i="2"/>
  <c r="L4310" i="2"/>
  <c r="L4309" i="2"/>
  <c r="L4308" i="2"/>
  <c r="L4307" i="2"/>
  <c r="L4306" i="2"/>
  <c r="L4305" i="2"/>
  <c r="L4304" i="2"/>
  <c r="L4303" i="2"/>
  <c r="L4302" i="2"/>
  <c r="L4301" i="2"/>
  <c r="L4300" i="2"/>
  <c r="L4299" i="2"/>
  <c r="L4298" i="2"/>
  <c r="L4297" i="2"/>
  <c r="L4296" i="2"/>
  <c r="L4295" i="2"/>
  <c r="L4294" i="2"/>
  <c r="L4293" i="2"/>
  <c r="L4292" i="2"/>
  <c r="L4291" i="2"/>
  <c r="L4290" i="2"/>
  <c r="L4289" i="2"/>
  <c r="L4288" i="2"/>
  <c r="L4287" i="2"/>
  <c r="L4286" i="2"/>
  <c r="L4285" i="2"/>
  <c r="L4284" i="2"/>
  <c r="L4283" i="2"/>
  <c r="L4282" i="2"/>
  <c r="L4281" i="2"/>
  <c r="L4280" i="2"/>
  <c r="L4279" i="2"/>
  <c r="L4278" i="2"/>
  <c r="L4277" i="2"/>
  <c r="L4276" i="2"/>
  <c r="L4275" i="2"/>
  <c r="L4274" i="2"/>
  <c r="L4273" i="2"/>
  <c r="L4272" i="2"/>
  <c r="L4271" i="2"/>
  <c r="L4270" i="2"/>
  <c r="L4269" i="2"/>
  <c r="L4268" i="2"/>
  <c r="L4267" i="2"/>
  <c r="L4266" i="2"/>
  <c r="L4265" i="2"/>
  <c r="L4264" i="2"/>
  <c r="L4263" i="2"/>
  <c r="L4262" i="2"/>
  <c r="L4261" i="2"/>
  <c r="L4260" i="2"/>
  <c r="L4259" i="2"/>
  <c r="L4258" i="2"/>
  <c r="L4257" i="2"/>
  <c r="L4256" i="2"/>
  <c r="L4255" i="2"/>
  <c r="L4254" i="2"/>
  <c r="L4253" i="2"/>
  <c r="L4252" i="2"/>
  <c r="L4251" i="2"/>
  <c r="L4250" i="2"/>
  <c r="L4249" i="2"/>
  <c r="L4248" i="2"/>
  <c r="L4247" i="2"/>
  <c r="L4246" i="2"/>
  <c r="L4245" i="2"/>
  <c r="L4244" i="2"/>
  <c r="L4243" i="2"/>
  <c r="L4242" i="2"/>
  <c r="L4241" i="2"/>
  <c r="L4240" i="2"/>
  <c r="L4239" i="2"/>
  <c r="L4238" i="2"/>
  <c r="L4237" i="2"/>
  <c r="L4236" i="2"/>
  <c r="L4235" i="2"/>
  <c r="L4234" i="2"/>
  <c r="L4233" i="2"/>
  <c r="L4232" i="2"/>
  <c r="L4231" i="2"/>
  <c r="L4230" i="2"/>
  <c r="L4229" i="2"/>
  <c r="L4228" i="2"/>
  <c r="L4227" i="2"/>
  <c r="L4226" i="2"/>
  <c r="L4225" i="2"/>
  <c r="L4224" i="2"/>
  <c r="L4223" i="2"/>
  <c r="L4222" i="2"/>
  <c r="L4221" i="2"/>
  <c r="L4220" i="2"/>
  <c r="L4219" i="2"/>
  <c r="L4218" i="2"/>
  <c r="L4217" i="2"/>
  <c r="L4216" i="2"/>
  <c r="L4215" i="2"/>
  <c r="L4214" i="2"/>
  <c r="L4213" i="2"/>
  <c r="L4212" i="2"/>
  <c r="L4211" i="2"/>
  <c r="L4210" i="2"/>
  <c r="L4209" i="2"/>
  <c r="L4208" i="2"/>
  <c r="L4207" i="2"/>
  <c r="L4206" i="2"/>
  <c r="L4205" i="2"/>
  <c r="L4204" i="2"/>
  <c r="L4203" i="2"/>
  <c r="L4202" i="2"/>
  <c r="L4201" i="2"/>
  <c r="L4200" i="2"/>
  <c r="L4199" i="2"/>
  <c r="L4198" i="2"/>
  <c r="L4197" i="2"/>
  <c r="L4196" i="2"/>
  <c r="L4195" i="2"/>
  <c r="L4194" i="2"/>
  <c r="L4193" i="2"/>
  <c r="L4192" i="2"/>
  <c r="L4191" i="2"/>
  <c r="L4190" i="2"/>
  <c r="L4189" i="2"/>
  <c r="L4188" i="2"/>
  <c r="L4187" i="2"/>
  <c r="L4186" i="2"/>
  <c r="L4185" i="2"/>
  <c r="L4184" i="2"/>
  <c r="L4183" i="2"/>
  <c r="L4182" i="2"/>
  <c r="L4181" i="2"/>
  <c r="L4180" i="2"/>
  <c r="L4179" i="2"/>
  <c r="L4178" i="2"/>
  <c r="L4177" i="2"/>
  <c r="L4176" i="2"/>
  <c r="L4175" i="2"/>
  <c r="L4174" i="2"/>
  <c r="L4173" i="2"/>
  <c r="L4172" i="2"/>
  <c r="L4171" i="2"/>
  <c r="L4170" i="2"/>
  <c r="L4169" i="2"/>
  <c r="L4168" i="2"/>
  <c r="L4167" i="2"/>
  <c r="L4166" i="2"/>
  <c r="L4165" i="2"/>
  <c r="L4164" i="2"/>
  <c r="L4163" i="2"/>
  <c r="L4162" i="2"/>
  <c r="L4161" i="2"/>
  <c r="L4160" i="2"/>
  <c r="L4159" i="2"/>
  <c r="L4158" i="2"/>
  <c r="L4157" i="2"/>
  <c r="L4156" i="2"/>
  <c r="L4155" i="2"/>
  <c r="L4154" i="2"/>
  <c r="L4153" i="2"/>
  <c r="L4152" i="2"/>
  <c r="L4151" i="2"/>
  <c r="L4150" i="2"/>
  <c r="L4149" i="2"/>
  <c r="L4148" i="2"/>
  <c r="L4147" i="2"/>
  <c r="L4146" i="2"/>
  <c r="L4145" i="2"/>
  <c r="L4144" i="2"/>
  <c r="L4143" i="2"/>
  <c r="L4142" i="2"/>
  <c r="L4141" i="2"/>
  <c r="L4140" i="2"/>
  <c r="L4139" i="2"/>
  <c r="L4138" i="2"/>
  <c r="L4137" i="2"/>
  <c r="L4136" i="2"/>
  <c r="L4135" i="2"/>
  <c r="L4134" i="2"/>
  <c r="L4133" i="2"/>
  <c r="L4132" i="2"/>
  <c r="L4131" i="2"/>
  <c r="L4130" i="2"/>
  <c r="L4129" i="2"/>
  <c r="L4128" i="2"/>
  <c r="L4127" i="2"/>
  <c r="L4126" i="2"/>
  <c r="L4125" i="2"/>
  <c r="L4124" i="2"/>
  <c r="L4123" i="2"/>
  <c r="L4122" i="2"/>
  <c r="L4121" i="2"/>
  <c r="L4120" i="2"/>
  <c r="L4119" i="2"/>
  <c r="L4118" i="2"/>
  <c r="L4117" i="2"/>
  <c r="L4116" i="2"/>
  <c r="L4115" i="2"/>
  <c r="L4114" i="2"/>
  <c r="L4113" i="2"/>
  <c r="L4112" i="2"/>
  <c r="L4111" i="2"/>
  <c r="L4110" i="2"/>
  <c r="L4109" i="2"/>
  <c r="L4108" i="2"/>
  <c r="L4107" i="2"/>
  <c r="L4106" i="2"/>
  <c r="L4105" i="2"/>
  <c r="L4104" i="2"/>
  <c r="L4103" i="2"/>
  <c r="L4102" i="2"/>
  <c r="L4101" i="2"/>
  <c r="L4100" i="2"/>
  <c r="L4099" i="2"/>
  <c r="L4098" i="2"/>
  <c r="L4097" i="2"/>
  <c r="L4096" i="2"/>
  <c r="L4095" i="2"/>
  <c r="L4094" i="2"/>
  <c r="L4093" i="2"/>
  <c r="L4092" i="2"/>
  <c r="L4091" i="2"/>
  <c r="L4090" i="2"/>
  <c r="L4089" i="2"/>
  <c r="L4088" i="2"/>
  <c r="L4087" i="2"/>
  <c r="L4086" i="2"/>
  <c r="L4085" i="2"/>
  <c r="L4084" i="2"/>
  <c r="L4083" i="2"/>
  <c r="L4082" i="2"/>
  <c r="L4081" i="2"/>
  <c r="L4080" i="2"/>
  <c r="L4079" i="2"/>
  <c r="L4078" i="2"/>
  <c r="L4077" i="2"/>
  <c r="L4076" i="2"/>
  <c r="L4075" i="2"/>
  <c r="L4074" i="2"/>
  <c r="L4073" i="2"/>
  <c r="L4072" i="2"/>
  <c r="L4071" i="2"/>
  <c r="L4070" i="2"/>
  <c r="L4069" i="2"/>
  <c r="L4068" i="2"/>
  <c r="L4067" i="2"/>
  <c r="L4066" i="2"/>
  <c r="L4065" i="2"/>
  <c r="L4064" i="2"/>
  <c r="L4063" i="2"/>
  <c r="L4062" i="2"/>
  <c r="L4061" i="2"/>
  <c r="L4060" i="2"/>
  <c r="L4059" i="2"/>
  <c r="L4058" i="2"/>
  <c r="L4057" i="2"/>
  <c r="L4056" i="2"/>
  <c r="L4055" i="2"/>
  <c r="L4054" i="2"/>
  <c r="L4053" i="2"/>
  <c r="L4052" i="2"/>
  <c r="L4051" i="2"/>
  <c r="L4050" i="2"/>
  <c r="L4049" i="2"/>
  <c r="L4048" i="2"/>
  <c r="L4047" i="2"/>
  <c r="L4046" i="2"/>
  <c r="L4045" i="2"/>
  <c r="L4044" i="2"/>
  <c r="L4043" i="2"/>
  <c r="L4042" i="2"/>
  <c r="L4041" i="2"/>
  <c r="L4040" i="2"/>
  <c r="L4039" i="2"/>
  <c r="L4038" i="2"/>
  <c r="L4037" i="2"/>
  <c r="L4036" i="2"/>
  <c r="L4035" i="2"/>
  <c r="L4034" i="2"/>
  <c r="L4033" i="2"/>
  <c r="L4032" i="2"/>
  <c r="L4031" i="2"/>
  <c r="L4030" i="2"/>
  <c r="L4029" i="2"/>
  <c r="L4028" i="2"/>
  <c r="L4027" i="2"/>
  <c r="L4026" i="2"/>
  <c r="L4025" i="2"/>
  <c r="L4024" i="2"/>
  <c r="L4023" i="2"/>
  <c r="L4022" i="2"/>
  <c r="L4021" i="2"/>
  <c r="L4020" i="2"/>
  <c r="L4019" i="2"/>
  <c r="L4018" i="2"/>
  <c r="L4017" i="2"/>
  <c r="L4016" i="2"/>
  <c r="L4015" i="2"/>
  <c r="L4014" i="2"/>
  <c r="L4013" i="2"/>
  <c r="L4012" i="2"/>
  <c r="L4011" i="2"/>
  <c r="L4010" i="2"/>
  <c r="L4009" i="2"/>
  <c r="L4008" i="2"/>
  <c r="L4007" i="2"/>
  <c r="L4006" i="2"/>
  <c r="L4005" i="2"/>
  <c r="L4004" i="2"/>
  <c r="L4003" i="2"/>
  <c r="L4002" i="2"/>
  <c r="L4001" i="2"/>
  <c r="L4000" i="2"/>
  <c r="L3999" i="2"/>
  <c r="L3998" i="2"/>
  <c r="L3997" i="2"/>
  <c r="L3996" i="2"/>
  <c r="L3995" i="2"/>
  <c r="L3994" i="2"/>
  <c r="L3993" i="2"/>
  <c r="L3992" i="2"/>
  <c r="L3991" i="2"/>
  <c r="L3990" i="2"/>
  <c r="L3989" i="2"/>
  <c r="L3988" i="2"/>
  <c r="L3987" i="2"/>
  <c r="L3986" i="2"/>
  <c r="L3985" i="2"/>
  <c r="L3984" i="2"/>
  <c r="L3983" i="2"/>
  <c r="L3982" i="2"/>
  <c r="L3981" i="2"/>
  <c r="L3980" i="2"/>
  <c r="L3979" i="2"/>
  <c r="L3978" i="2"/>
  <c r="L3977" i="2"/>
  <c r="L3976" i="2"/>
  <c r="L3975" i="2"/>
  <c r="L3974" i="2"/>
  <c r="L3973" i="2"/>
  <c r="L3972" i="2"/>
  <c r="L3971" i="2"/>
  <c r="L3970" i="2"/>
  <c r="L3969" i="2"/>
  <c r="L3968" i="2"/>
  <c r="L3967" i="2"/>
  <c r="L3966" i="2"/>
  <c r="L3965" i="2"/>
  <c r="L3964" i="2"/>
  <c r="L3963" i="2"/>
  <c r="L3962" i="2"/>
  <c r="L3961" i="2"/>
  <c r="L3960" i="2"/>
  <c r="L3959" i="2"/>
  <c r="L3958" i="2"/>
  <c r="L3957" i="2"/>
  <c r="L3956" i="2"/>
  <c r="L3955" i="2"/>
  <c r="L3954" i="2"/>
  <c r="L3953" i="2"/>
  <c r="L3952" i="2"/>
  <c r="L3951" i="2"/>
  <c r="L3950" i="2"/>
  <c r="L3949" i="2"/>
  <c r="L3948" i="2"/>
  <c r="L3947" i="2"/>
  <c r="L3946" i="2"/>
  <c r="L3945" i="2"/>
  <c r="L3944" i="2"/>
  <c r="L3943" i="2"/>
  <c r="L3942" i="2"/>
  <c r="L3941" i="2"/>
  <c r="L3940" i="2"/>
  <c r="L3939" i="2"/>
  <c r="L3938" i="2"/>
  <c r="L3937" i="2"/>
  <c r="L3936" i="2"/>
  <c r="L3935" i="2"/>
  <c r="L3934" i="2"/>
  <c r="L3933" i="2"/>
  <c r="L3932" i="2"/>
  <c r="L3931" i="2"/>
  <c r="L3930" i="2"/>
  <c r="L3929" i="2"/>
  <c r="L3928" i="2"/>
  <c r="L3927" i="2"/>
  <c r="L3926" i="2"/>
  <c r="L3925" i="2"/>
  <c r="L3924" i="2"/>
  <c r="L3923" i="2"/>
  <c r="L3922" i="2"/>
  <c r="L3921" i="2"/>
  <c r="L3920" i="2"/>
  <c r="L3919" i="2"/>
  <c r="L3918" i="2"/>
  <c r="L3917" i="2"/>
  <c r="L3916" i="2"/>
  <c r="L3915" i="2"/>
  <c r="L3914" i="2"/>
  <c r="L3913" i="2"/>
  <c r="L3912" i="2"/>
  <c r="L3911" i="2"/>
  <c r="L3910" i="2"/>
  <c r="L3909" i="2"/>
  <c r="L3908" i="2"/>
  <c r="L3907" i="2"/>
  <c r="L3906" i="2"/>
  <c r="L3905" i="2"/>
  <c r="L3904" i="2"/>
  <c r="L3903" i="2"/>
  <c r="L3902" i="2"/>
  <c r="L3901" i="2"/>
  <c r="L3900" i="2"/>
  <c r="L3899" i="2"/>
  <c r="L3898" i="2"/>
  <c r="L3897" i="2"/>
  <c r="L3896" i="2"/>
  <c r="L3895" i="2"/>
  <c r="L3894" i="2"/>
  <c r="L3893" i="2"/>
  <c r="L3892" i="2"/>
  <c r="L3891" i="2"/>
  <c r="L3890" i="2"/>
  <c r="L3889" i="2"/>
  <c r="L3888" i="2"/>
  <c r="L3887" i="2"/>
  <c r="L3886" i="2"/>
  <c r="L3885" i="2"/>
  <c r="L3884" i="2"/>
  <c r="L3883" i="2"/>
  <c r="L3882" i="2"/>
  <c r="L3881" i="2"/>
  <c r="L3880" i="2"/>
  <c r="L3879" i="2"/>
  <c r="L3878" i="2"/>
  <c r="L3877" i="2"/>
  <c r="L3876" i="2"/>
  <c r="L3875" i="2"/>
  <c r="L3874" i="2"/>
  <c r="L3873" i="2"/>
  <c r="L3872" i="2"/>
  <c r="L3871" i="2"/>
  <c r="L3870" i="2"/>
  <c r="L3869" i="2"/>
  <c r="L3868" i="2"/>
  <c r="L3867" i="2"/>
  <c r="L3866" i="2"/>
  <c r="L3865" i="2"/>
  <c r="L3864" i="2"/>
  <c r="L3863" i="2"/>
  <c r="L3862" i="2"/>
  <c r="L3861" i="2"/>
  <c r="L3860" i="2"/>
  <c r="L3859" i="2"/>
  <c r="L3858" i="2"/>
  <c r="L3857" i="2"/>
  <c r="L3856" i="2"/>
  <c r="L3855" i="2"/>
  <c r="L3854" i="2"/>
  <c r="L3853" i="2"/>
  <c r="L3852" i="2"/>
  <c r="L3851" i="2"/>
  <c r="L3850" i="2"/>
  <c r="L3849" i="2"/>
  <c r="L3848" i="2"/>
  <c r="L3847" i="2"/>
  <c r="L3846" i="2"/>
  <c r="L3845" i="2"/>
  <c r="L3844" i="2"/>
  <c r="L3843" i="2"/>
  <c r="L3842" i="2"/>
  <c r="L3841" i="2"/>
  <c r="L3840" i="2"/>
  <c r="L3839" i="2"/>
  <c r="L3838" i="2"/>
  <c r="L3837" i="2"/>
  <c r="L3836" i="2"/>
  <c r="L3835" i="2"/>
  <c r="L3834" i="2"/>
  <c r="L3833" i="2"/>
  <c r="L3832" i="2"/>
  <c r="L3831" i="2"/>
  <c r="L3830" i="2"/>
  <c r="L3829" i="2"/>
  <c r="L3828" i="2"/>
  <c r="L3827" i="2"/>
  <c r="L3826" i="2"/>
  <c r="L3825" i="2"/>
  <c r="L3824" i="2"/>
  <c r="L3823" i="2"/>
  <c r="L3822" i="2"/>
  <c r="L3821" i="2"/>
  <c r="L3820" i="2"/>
  <c r="L3819" i="2"/>
  <c r="L3818" i="2"/>
  <c r="L3817" i="2"/>
  <c r="L3816" i="2"/>
  <c r="L3815" i="2"/>
  <c r="L3814" i="2"/>
  <c r="L3813" i="2"/>
  <c r="L3812" i="2"/>
  <c r="L3811" i="2"/>
  <c r="L3810" i="2"/>
  <c r="L3809" i="2"/>
  <c r="L3808" i="2"/>
  <c r="L3807" i="2"/>
  <c r="L3806" i="2"/>
  <c r="L3805" i="2"/>
  <c r="L3804" i="2"/>
  <c r="L3803" i="2"/>
  <c r="L3802" i="2"/>
  <c r="L3801" i="2"/>
  <c r="L3800" i="2"/>
  <c r="L3799" i="2"/>
  <c r="L3798" i="2"/>
  <c r="L3797" i="2"/>
  <c r="L3796" i="2"/>
  <c r="L3795" i="2"/>
  <c r="L3794" i="2"/>
  <c r="L3793" i="2"/>
  <c r="L3792" i="2"/>
  <c r="L3791" i="2"/>
  <c r="L3790" i="2"/>
  <c r="L3789" i="2"/>
  <c r="L3788" i="2"/>
  <c r="L3787" i="2"/>
  <c r="L3786" i="2"/>
  <c r="L3785" i="2"/>
  <c r="L3784" i="2"/>
  <c r="L3783" i="2"/>
  <c r="L3782" i="2"/>
  <c r="L3781" i="2"/>
  <c r="L3780" i="2"/>
  <c r="L3779" i="2"/>
  <c r="L3778" i="2"/>
  <c r="L3777" i="2"/>
  <c r="L3776" i="2"/>
  <c r="L3775" i="2"/>
  <c r="L3774" i="2"/>
  <c r="L3773" i="2"/>
  <c r="L3772" i="2"/>
  <c r="L3771" i="2"/>
  <c r="L3770" i="2"/>
  <c r="L3769" i="2"/>
  <c r="L3768" i="2"/>
  <c r="L3767" i="2"/>
  <c r="L3766" i="2"/>
  <c r="L3765" i="2"/>
  <c r="L3764" i="2"/>
  <c r="L3763" i="2"/>
  <c r="L3762" i="2"/>
  <c r="L3761" i="2"/>
  <c r="L3760" i="2"/>
  <c r="L3759" i="2"/>
  <c r="L3758" i="2"/>
  <c r="L3757" i="2"/>
  <c r="L3756" i="2"/>
  <c r="L3755" i="2"/>
  <c r="L3754" i="2"/>
  <c r="L3753" i="2"/>
  <c r="L3752" i="2"/>
  <c r="L3751" i="2"/>
  <c r="L3750" i="2"/>
  <c r="L3749" i="2"/>
  <c r="L3748" i="2"/>
  <c r="L3747" i="2"/>
  <c r="L3746" i="2"/>
  <c r="L3745" i="2"/>
  <c r="L3744" i="2"/>
  <c r="L3743" i="2"/>
  <c r="L3742" i="2"/>
  <c r="L3741" i="2"/>
  <c r="L3740" i="2"/>
  <c r="L3739" i="2"/>
  <c r="L3738" i="2"/>
  <c r="L3737" i="2"/>
  <c r="L3736" i="2"/>
  <c r="L3735" i="2"/>
  <c r="L3734" i="2"/>
  <c r="L3733" i="2"/>
  <c r="L3732" i="2"/>
  <c r="L3731" i="2"/>
  <c r="L3730" i="2"/>
  <c r="L3729" i="2"/>
  <c r="L3728" i="2"/>
  <c r="L3727" i="2"/>
  <c r="L3726" i="2"/>
  <c r="L3725" i="2"/>
  <c r="L3724" i="2"/>
  <c r="L3723" i="2"/>
  <c r="L3722" i="2"/>
  <c r="L3721" i="2"/>
  <c r="L3720" i="2"/>
  <c r="L3719" i="2"/>
  <c r="L3718" i="2"/>
  <c r="L3717" i="2"/>
  <c r="L3716" i="2"/>
  <c r="L3715" i="2"/>
  <c r="L3714" i="2"/>
  <c r="L3713" i="2"/>
  <c r="L3712" i="2"/>
  <c r="L3711" i="2"/>
  <c r="L3710" i="2"/>
  <c r="L3709" i="2"/>
  <c r="L3708" i="2"/>
  <c r="L3707" i="2"/>
  <c r="L3706" i="2"/>
  <c r="L3705" i="2"/>
  <c r="L3704" i="2"/>
  <c r="L3703" i="2"/>
  <c r="L3702" i="2"/>
  <c r="L3701" i="2"/>
  <c r="L3700" i="2"/>
  <c r="L3699" i="2"/>
  <c r="L3698" i="2"/>
  <c r="L3697" i="2"/>
  <c r="L3696" i="2"/>
  <c r="L3695" i="2"/>
  <c r="L3694" i="2"/>
  <c r="L3693" i="2"/>
  <c r="L3692" i="2"/>
  <c r="L3691" i="2"/>
  <c r="L3690" i="2"/>
  <c r="L3689" i="2"/>
  <c r="L3688" i="2"/>
  <c r="L3687" i="2"/>
  <c r="L3686" i="2"/>
  <c r="L3685" i="2"/>
  <c r="L3684" i="2"/>
  <c r="L3683" i="2"/>
  <c r="L3682" i="2"/>
  <c r="L3681" i="2"/>
  <c r="L3680" i="2"/>
  <c r="L3679" i="2"/>
  <c r="L3678" i="2"/>
  <c r="L3677" i="2"/>
  <c r="L3676" i="2"/>
  <c r="L3675" i="2"/>
  <c r="L3674" i="2"/>
  <c r="L3673" i="2"/>
  <c r="L3672" i="2"/>
  <c r="L3671" i="2"/>
  <c r="L3670" i="2"/>
  <c r="L3669" i="2"/>
  <c r="L3668" i="2"/>
  <c r="L3667" i="2"/>
  <c r="L3666" i="2"/>
  <c r="L3665" i="2"/>
  <c r="L3664" i="2"/>
  <c r="L3663" i="2"/>
  <c r="L3662" i="2"/>
  <c r="L3661" i="2"/>
  <c r="L3660" i="2"/>
  <c r="L3659" i="2"/>
  <c r="L3658" i="2"/>
  <c r="L3657" i="2"/>
  <c r="L3656" i="2"/>
  <c r="L3655" i="2"/>
  <c r="L3654" i="2"/>
  <c r="L3653" i="2"/>
  <c r="L3652" i="2"/>
  <c r="L3651" i="2"/>
  <c r="L3650" i="2"/>
  <c r="L3649" i="2"/>
  <c r="L3648" i="2"/>
  <c r="L3647" i="2"/>
  <c r="L3646" i="2"/>
  <c r="L3645" i="2"/>
  <c r="L3644" i="2"/>
  <c r="L3643" i="2"/>
  <c r="L3642" i="2"/>
  <c r="L3641" i="2"/>
  <c r="L3640" i="2"/>
  <c r="L3639" i="2"/>
  <c r="L3638" i="2"/>
  <c r="L3637" i="2"/>
  <c r="L3636" i="2"/>
  <c r="L3635" i="2"/>
  <c r="L3634" i="2"/>
  <c r="L3633" i="2"/>
  <c r="L3632" i="2"/>
  <c r="L3631" i="2"/>
  <c r="L3630" i="2"/>
  <c r="L3629" i="2"/>
  <c r="L3628" i="2"/>
  <c r="L3627" i="2"/>
  <c r="L3626" i="2"/>
  <c r="L3625" i="2"/>
  <c r="L3624" i="2"/>
  <c r="L3623" i="2"/>
  <c r="L3622" i="2"/>
  <c r="L3621" i="2"/>
  <c r="L3620" i="2"/>
  <c r="L3619" i="2"/>
  <c r="L3618" i="2"/>
  <c r="L3617" i="2"/>
  <c r="L3616" i="2"/>
  <c r="L3615" i="2"/>
  <c r="L3614" i="2"/>
  <c r="L3613" i="2"/>
  <c r="L3612" i="2"/>
  <c r="L3611" i="2"/>
  <c r="L3610" i="2"/>
  <c r="L3609" i="2"/>
  <c r="L3608" i="2"/>
  <c r="L3607" i="2"/>
  <c r="L3606" i="2"/>
  <c r="L3605" i="2"/>
  <c r="L3604" i="2"/>
  <c r="L3603" i="2"/>
  <c r="L3602" i="2"/>
  <c r="L3601" i="2"/>
  <c r="L3600" i="2"/>
  <c r="L3599" i="2"/>
  <c r="L3598" i="2"/>
  <c r="L3597" i="2"/>
  <c r="L3596" i="2"/>
  <c r="L3595" i="2"/>
  <c r="L3594" i="2"/>
  <c r="L3593" i="2"/>
  <c r="L3592" i="2"/>
  <c r="L3591" i="2"/>
  <c r="L3590" i="2"/>
  <c r="L3589" i="2"/>
  <c r="L3588" i="2"/>
  <c r="L3587" i="2"/>
  <c r="L3586" i="2"/>
  <c r="L3585" i="2"/>
  <c r="L3584" i="2"/>
  <c r="L3583" i="2"/>
  <c r="L3582" i="2"/>
  <c r="L3581" i="2"/>
  <c r="L3580" i="2"/>
  <c r="L3579" i="2"/>
  <c r="L3578" i="2"/>
  <c r="L3577" i="2"/>
  <c r="L3576" i="2"/>
  <c r="L3575" i="2"/>
  <c r="L3574" i="2"/>
  <c r="L3573" i="2"/>
  <c r="L3572" i="2"/>
  <c r="L3571" i="2"/>
  <c r="L3570" i="2"/>
  <c r="L3569" i="2"/>
  <c r="L3568" i="2"/>
  <c r="L3567" i="2"/>
  <c r="L3566" i="2"/>
  <c r="L3565" i="2"/>
  <c r="L3564" i="2"/>
  <c r="L3563" i="2"/>
  <c r="L3562" i="2"/>
  <c r="L3561" i="2"/>
  <c r="L3560" i="2"/>
  <c r="L3559" i="2"/>
  <c r="L3558" i="2"/>
  <c r="L3557" i="2"/>
  <c r="L3556" i="2"/>
  <c r="L3555" i="2"/>
  <c r="L3554" i="2"/>
  <c r="L3553" i="2"/>
  <c r="L3552" i="2"/>
  <c r="L3551" i="2"/>
  <c r="L3550" i="2"/>
  <c r="L3549" i="2"/>
  <c r="L3548" i="2"/>
  <c r="L3547" i="2"/>
  <c r="L3546" i="2"/>
  <c r="L3545" i="2"/>
  <c r="L3544" i="2"/>
  <c r="L3543" i="2"/>
  <c r="L3542" i="2"/>
  <c r="L3541" i="2"/>
  <c r="L3540" i="2"/>
  <c r="L3539" i="2"/>
  <c r="L3538" i="2"/>
  <c r="L3537" i="2"/>
  <c r="L3536" i="2"/>
  <c r="L3535" i="2"/>
  <c r="L3534" i="2"/>
  <c r="L3533" i="2"/>
  <c r="L3532" i="2"/>
  <c r="L3531" i="2"/>
  <c r="L3530" i="2"/>
  <c r="L3529" i="2"/>
  <c r="L3528" i="2"/>
  <c r="L3527" i="2"/>
  <c r="L3526" i="2"/>
  <c r="L3525" i="2"/>
  <c r="L3524" i="2"/>
  <c r="L3523" i="2"/>
  <c r="L3522" i="2"/>
  <c r="L3521" i="2"/>
  <c r="L3520" i="2"/>
  <c r="L3519" i="2"/>
  <c r="L3518" i="2"/>
  <c r="L3517" i="2"/>
  <c r="L3516" i="2"/>
  <c r="L3515" i="2"/>
  <c r="L3514" i="2"/>
  <c r="L3513" i="2"/>
  <c r="L3512" i="2"/>
  <c r="L3511" i="2"/>
  <c r="L3510" i="2"/>
  <c r="L3509" i="2"/>
  <c r="L3508" i="2"/>
  <c r="L3507" i="2"/>
  <c r="L3506" i="2"/>
  <c r="L3505" i="2"/>
  <c r="L3504" i="2"/>
  <c r="L3503" i="2"/>
  <c r="L3502" i="2"/>
  <c r="L3501" i="2"/>
  <c r="L3500" i="2"/>
  <c r="L3499" i="2"/>
  <c r="L3498" i="2"/>
  <c r="L3497" i="2"/>
  <c r="L3496" i="2"/>
  <c r="L3495" i="2"/>
  <c r="L3494" i="2"/>
  <c r="L3493" i="2"/>
  <c r="L3492" i="2"/>
  <c r="L3491" i="2"/>
  <c r="L3490" i="2"/>
  <c r="L3489" i="2"/>
  <c r="L3488" i="2"/>
  <c r="L3487" i="2"/>
  <c r="L3486" i="2"/>
  <c r="L3485" i="2"/>
  <c r="L3484" i="2"/>
  <c r="L3483" i="2"/>
  <c r="L3482" i="2"/>
  <c r="L3481" i="2"/>
  <c r="L3480" i="2"/>
  <c r="L3479" i="2"/>
  <c r="L3478" i="2"/>
  <c r="L3477" i="2"/>
  <c r="L3476" i="2"/>
  <c r="L3475" i="2"/>
  <c r="L3474" i="2"/>
  <c r="L3473" i="2"/>
  <c r="L3472" i="2"/>
  <c r="L3471" i="2"/>
  <c r="L3470" i="2"/>
  <c r="L3469" i="2"/>
  <c r="L3468" i="2"/>
  <c r="L3467" i="2"/>
  <c r="L3466" i="2"/>
  <c r="L3465" i="2"/>
  <c r="L3464" i="2"/>
  <c r="L3463" i="2"/>
  <c r="L3462" i="2"/>
  <c r="L3461" i="2"/>
  <c r="L3460" i="2"/>
  <c r="L3459" i="2"/>
  <c r="L3458" i="2"/>
  <c r="L3457" i="2"/>
  <c r="L3456" i="2"/>
  <c r="L3455" i="2"/>
  <c r="L3454" i="2"/>
  <c r="L3453" i="2"/>
  <c r="L3452" i="2"/>
  <c r="L3451" i="2"/>
  <c r="L3450" i="2"/>
  <c r="L3449" i="2"/>
  <c r="L3448" i="2"/>
  <c r="L3447" i="2"/>
  <c r="L3446" i="2"/>
  <c r="L3445" i="2"/>
  <c r="L3444" i="2"/>
  <c r="L3443" i="2"/>
  <c r="L3442" i="2"/>
  <c r="L3441" i="2"/>
  <c r="L3440" i="2"/>
  <c r="L3439" i="2"/>
  <c r="L3438" i="2"/>
  <c r="L3437" i="2"/>
  <c r="L3436" i="2"/>
  <c r="L3435" i="2"/>
  <c r="L3434" i="2"/>
  <c r="L3433" i="2"/>
  <c r="L3432" i="2"/>
  <c r="L3431" i="2"/>
  <c r="L3430" i="2"/>
  <c r="L3429" i="2"/>
  <c r="L3428" i="2"/>
  <c r="L3427" i="2"/>
  <c r="L3426" i="2"/>
  <c r="L3425" i="2"/>
  <c r="L3424" i="2"/>
  <c r="L3423" i="2"/>
  <c r="L3422" i="2"/>
  <c r="L3421" i="2"/>
  <c r="L3420" i="2"/>
  <c r="L3419" i="2"/>
  <c r="L3418" i="2"/>
  <c r="L3417" i="2"/>
  <c r="L3416" i="2"/>
  <c r="L3415" i="2"/>
  <c r="L3414" i="2"/>
  <c r="L3413" i="2"/>
  <c r="L3412" i="2"/>
  <c r="L3411" i="2"/>
  <c r="L3410" i="2"/>
  <c r="L3409" i="2"/>
  <c r="L3408" i="2"/>
  <c r="L3407" i="2"/>
  <c r="L3406" i="2"/>
  <c r="L3405" i="2"/>
  <c r="L3404" i="2"/>
  <c r="L3403" i="2"/>
  <c r="L3402" i="2"/>
  <c r="L3401" i="2"/>
  <c r="L3400" i="2"/>
  <c r="L3399" i="2"/>
  <c r="L3398" i="2"/>
  <c r="L3397" i="2"/>
  <c r="L3396" i="2"/>
  <c r="L3395" i="2"/>
  <c r="L3394" i="2"/>
  <c r="L3393" i="2"/>
  <c r="L3392" i="2"/>
  <c r="L3391" i="2"/>
  <c r="L3390" i="2"/>
  <c r="L3389" i="2"/>
  <c r="L3388" i="2"/>
  <c r="L3387" i="2"/>
  <c r="L3386" i="2"/>
  <c r="L3385" i="2"/>
  <c r="L3384" i="2"/>
  <c r="L3383" i="2"/>
  <c r="L3382" i="2"/>
  <c r="L3381" i="2"/>
  <c r="L3380" i="2"/>
  <c r="L3379" i="2"/>
  <c r="L3378" i="2"/>
  <c r="L3377" i="2"/>
  <c r="L3376" i="2"/>
  <c r="L3375" i="2"/>
  <c r="L3374" i="2"/>
  <c r="L3373" i="2"/>
  <c r="L3372" i="2"/>
  <c r="L3371" i="2"/>
  <c r="L3370" i="2"/>
  <c r="L3369" i="2"/>
  <c r="L3368" i="2"/>
  <c r="L3367" i="2"/>
  <c r="L3366" i="2"/>
  <c r="L3365" i="2"/>
  <c r="L3364" i="2"/>
  <c r="L3363" i="2"/>
  <c r="L3362" i="2"/>
  <c r="L3361" i="2"/>
  <c r="L3360" i="2"/>
  <c r="L3359" i="2"/>
  <c r="L3358" i="2"/>
  <c r="L3357" i="2"/>
  <c r="L3356" i="2"/>
  <c r="L3355" i="2"/>
  <c r="L3354" i="2"/>
  <c r="L3353" i="2"/>
  <c r="L3352" i="2"/>
  <c r="L3351" i="2"/>
  <c r="L3350" i="2"/>
  <c r="L3349" i="2"/>
  <c r="L3348" i="2"/>
  <c r="L3347" i="2"/>
  <c r="L3346" i="2"/>
  <c r="L3345" i="2"/>
  <c r="L3344" i="2"/>
  <c r="L3343" i="2"/>
  <c r="L3342" i="2"/>
  <c r="L3341" i="2"/>
  <c r="L3340" i="2"/>
  <c r="L3339" i="2"/>
  <c r="L3338" i="2"/>
  <c r="L3337" i="2"/>
  <c r="L3336" i="2"/>
  <c r="L3335" i="2"/>
  <c r="L3334" i="2"/>
  <c r="L3333" i="2"/>
  <c r="L3332" i="2"/>
  <c r="L3331" i="2"/>
  <c r="L3330" i="2"/>
  <c r="L3329" i="2"/>
  <c r="L3328" i="2"/>
  <c r="L3327" i="2"/>
  <c r="L3326" i="2"/>
  <c r="L3325" i="2"/>
  <c r="L3324" i="2"/>
  <c r="L3323" i="2"/>
  <c r="L3322" i="2"/>
  <c r="L3321" i="2"/>
  <c r="L3320" i="2"/>
  <c r="L3319" i="2"/>
  <c r="L3318" i="2"/>
  <c r="L3317" i="2"/>
  <c r="L3316" i="2"/>
  <c r="L3315" i="2"/>
  <c r="L3314" i="2"/>
  <c r="L3313" i="2"/>
  <c r="L3312" i="2"/>
  <c r="L3311" i="2"/>
  <c r="L3310" i="2"/>
  <c r="L3309" i="2"/>
  <c r="L3308" i="2"/>
  <c r="L3307" i="2"/>
  <c r="L3306" i="2"/>
  <c r="L3305" i="2"/>
  <c r="L3304" i="2"/>
  <c r="L3303" i="2"/>
  <c r="L3302" i="2"/>
  <c r="L3301" i="2"/>
  <c r="L3300" i="2"/>
  <c r="L3299" i="2"/>
  <c r="L3298" i="2"/>
  <c r="L3297" i="2"/>
  <c r="L3296" i="2"/>
  <c r="L3295" i="2"/>
  <c r="L3294" i="2"/>
  <c r="L3293" i="2"/>
  <c r="L3292" i="2"/>
  <c r="L3291" i="2"/>
  <c r="L3290" i="2"/>
  <c r="L3289" i="2"/>
  <c r="L3288" i="2"/>
  <c r="L3287" i="2"/>
  <c r="L3286" i="2"/>
  <c r="L3285" i="2"/>
  <c r="L3284" i="2"/>
  <c r="L3283" i="2"/>
  <c r="L3282" i="2"/>
  <c r="L3281" i="2"/>
  <c r="L3280" i="2"/>
  <c r="L3279" i="2"/>
  <c r="L3278" i="2"/>
  <c r="L3277" i="2"/>
  <c r="L3276" i="2"/>
  <c r="L3275" i="2"/>
  <c r="L3274" i="2"/>
  <c r="L3273" i="2"/>
  <c r="L3272" i="2"/>
  <c r="L3271" i="2"/>
  <c r="L3270" i="2"/>
  <c r="L3269" i="2"/>
  <c r="L3268" i="2"/>
  <c r="L3267" i="2"/>
  <c r="L3266" i="2"/>
  <c r="L3265" i="2"/>
  <c r="L3264" i="2"/>
  <c r="L3263" i="2"/>
  <c r="L3262" i="2"/>
  <c r="L3261" i="2"/>
  <c r="L3260" i="2"/>
  <c r="L3259" i="2"/>
  <c r="L3258" i="2"/>
  <c r="L3257" i="2"/>
  <c r="L3256" i="2"/>
  <c r="L3255" i="2"/>
  <c r="L3254" i="2"/>
  <c r="L3253" i="2"/>
  <c r="L3252" i="2"/>
  <c r="L3251" i="2"/>
  <c r="L3250" i="2"/>
  <c r="L3249" i="2"/>
  <c r="L3248" i="2"/>
  <c r="L3247" i="2"/>
  <c r="L3246" i="2"/>
  <c r="L3245" i="2"/>
  <c r="L3244" i="2"/>
  <c r="L3243" i="2"/>
  <c r="L3242" i="2"/>
  <c r="L3241" i="2"/>
  <c r="L3240" i="2"/>
  <c r="L3239" i="2"/>
  <c r="L3238" i="2"/>
  <c r="L3237" i="2"/>
  <c r="L3236" i="2"/>
  <c r="L3235" i="2"/>
  <c r="L3234" i="2"/>
  <c r="L3233" i="2"/>
  <c r="L3232" i="2"/>
  <c r="L3231" i="2"/>
  <c r="L3230" i="2"/>
  <c r="L3229" i="2"/>
  <c r="L3228" i="2"/>
  <c r="L3227" i="2"/>
  <c r="L3226" i="2"/>
  <c r="L3225" i="2"/>
  <c r="L3224" i="2"/>
  <c r="L3223" i="2"/>
  <c r="L3222" i="2"/>
  <c r="L3221" i="2"/>
  <c r="L3220" i="2"/>
  <c r="L3219" i="2"/>
  <c r="L3218" i="2"/>
  <c r="L3217" i="2"/>
  <c r="L3216" i="2"/>
  <c r="L3215" i="2"/>
  <c r="L3214" i="2"/>
  <c r="L3213" i="2"/>
  <c r="L3212" i="2"/>
  <c r="L3211" i="2"/>
  <c r="L3210" i="2"/>
  <c r="L3209" i="2"/>
  <c r="L3208" i="2"/>
  <c r="L3207" i="2"/>
  <c r="L3206" i="2"/>
  <c r="L3205" i="2"/>
  <c r="L3204" i="2"/>
  <c r="L3203" i="2"/>
  <c r="L3202" i="2"/>
  <c r="L3201" i="2"/>
  <c r="L3200" i="2"/>
  <c r="L3199" i="2"/>
  <c r="L3198" i="2"/>
  <c r="L3197" i="2"/>
  <c r="L3196" i="2"/>
  <c r="L3195" i="2"/>
  <c r="L3194" i="2"/>
  <c r="L3193" i="2"/>
  <c r="L3192" i="2"/>
  <c r="L3191" i="2"/>
  <c r="L3190" i="2"/>
  <c r="L3189" i="2"/>
  <c r="L3188" i="2"/>
  <c r="L3187" i="2"/>
  <c r="L3186" i="2"/>
  <c r="L3185" i="2"/>
  <c r="L3184" i="2"/>
  <c r="L3183" i="2"/>
  <c r="L3182" i="2"/>
  <c r="L3181" i="2"/>
  <c r="L3180" i="2"/>
  <c r="L3179" i="2"/>
  <c r="L3178" i="2"/>
  <c r="L3177" i="2"/>
  <c r="L3176" i="2"/>
  <c r="L3175" i="2"/>
  <c r="L3174" i="2"/>
  <c r="L3173" i="2"/>
  <c r="L3172" i="2"/>
  <c r="L3171" i="2"/>
  <c r="L3170" i="2"/>
  <c r="L3169" i="2"/>
  <c r="L3168" i="2"/>
  <c r="L3167" i="2"/>
  <c r="L3166" i="2"/>
  <c r="L3165" i="2"/>
  <c r="L3164" i="2"/>
  <c r="L3163" i="2"/>
  <c r="L3162" i="2"/>
  <c r="L3161" i="2"/>
  <c r="L3160" i="2"/>
  <c r="L3159" i="2"/>
  <c r="L3158" i="2"/>
  <c r="L3157" i="2"/>
  <c r="L3156" i="2"/>
  <c r="L3155" i="2"/>
  <c r="L3154" i="2"/>
  <c r="L3153" i="2"/>
  <c r="L3152" i="2"/>
  <c r="L3151" i="2"/>
  <c r="L3150" i="2"/>
  <c r="L3149" i="2"/>
  <c r="L3148" i="2"/>
  <c r="L3147" i="2"/>
  <c r="L3146" i="2"/>
  <c r="L3145" i="2"/>
  <c r="L3144" i="2"/>
  <c r="L3143" i="2"/>
  <c r="L3142" i="2"/>
  <c r="L3141" i="2"/>
  <c r="L3140" i="2"/>
  <c r="L3139" i="2"/>
  <c r="L3138" i="2"/>
  <c r="L3137" i="2"/>
  <c r="L3136" i="2"/>
  <c r="L3135" i="2"/>
  <c r="L3134" i="2"/>
  <c r="L3133" i="2"/>
  <c r="L3132" i="2"/>
  <c r="L3131" i="2"/>
  <c r="L3130" i="2"/>
  <c r="L3129" i="2"/>
  <c r="L3128" i="2"/>
  <c r="L3127" i="2"/>
  <c r="L3126" i="2"/>
  <c r="L3125" i="2"/>
  <c r="L3124" i="2"/>
  <c r="L3123" i="2"/>
  <c r="L3122" i="2"/>
  <c r="L3121" i="2"/>
  <c r="L3120" i="2"/>
  <c r="L3119" i="2"/>
  <c r="L3118" i="2"/>
  <c r="L3117" i="2"/>
  <c r="L3116" i="2"/>
  <c r="L3115" i="2"/>
  <c r="L3114" i="2"/>
  <c r="L3113" i="2"/>
  <c r="L3112" i="2"/>
  <c r="L3111" i="2"/>
  <c r="L3110" i="2"/>
  <c r="L3109" i="2"/>
  <c r="L3108" i="2"/>
  <c r="L3107" i="2"/>
  <c r="L3106" i="2"/>
  <c r="L3105" i="2"/>
  <c r="L3104" i="2"/>
  <c r="L3103" i="2"/>
  <c r="L3102" i="2"/>
  <c r="L3101" i="2"/>
  <c r="L3100" i="2"/>
  <c r="L3099" i="2"/>
  <c r="L3098" i="2"/>
  <c r="L3097" i="2"/>
  <c r="L3096" i="2"/>
  <c r="L3095" i="2"/>
  <c r="L3094" i="2"/>
  <c r="L3093" i="2"/>
  <c r="L3092" i="2"/>
  <c r="L3091" i="2"/>
  <c r="L3090" i="2"/>
  <c r="L3089" i="2"/>
  <c r="L3088" i="2"/>
  <c r="L3087" i="2"/>
  <c r="L3086" i="2"/>
  <c r="L3085" i="2"/>
  <c r="L3084" i="2"/>
  <c r="L3083" i="2"/>
  <c r="L3082" i="2"/>
  <c r="L3081" i="2"/>
  <c r="L3080" i="2"/>
  <c r="L3079" i="2"/>
  <c r="L3078" i="2"/>
  <c r="L3077" i="2"/>
  <c r="L3076" i="2"/>
  <c r="L3075" i="2"/>
  <c r="L3074" i="2"/>
  <c r="L3073" i="2"/>
  <c r="L3072" i="2"/>
  <c r="L3071" i="2"/>
  <c r="L3070" i="2"/>
  <c r="L3069" i="2"/>
  <c r="L3068" i="2"/>
  <c r="L3067" i="2"/>
  <c r="L3066" i="2"/>
  <c r="L3065" i="2"/>
  <c r="L3064" i="2"/>
  <c r="L3063" i="2"/>
  <c r="L3062" i="2"/>
  <c r="L3061" i="2"/>
  <c r="L3060" i="2"/>
  <c r="L3059" i="2"/>
  <c r="L3058" i="2"/>
  <c r="L3057" i="2"/>
  <c r="L3056" i="2"/>
  <c r="L3055" i="2"/>
  <c r="L3054" i="2"/>
  <c r="L3053" i="2"/>
  <c r="L3052" i="2"/>
  <c r="L3051" i="2"/>
  <c r="L3050" i="2"/>
  <c r="L3049" i="2"/>
  <c r="L3048" i="2"/>
  <c r="L3047" i="2"/>
  <c r="L3046" i="2"/>
  <c r="L3045" i="2"/>
  <c r="L3044" i="2"/>
  <c r="L3043" i="2"/>
  <c r="L3042" i="2"/>
  <c r="L3041" i="2"/>
  <c r="L3040" i="2"/>
  <c r="L3039" i="2"/>
  <c r="L3038" i="2"/>
  <c r="L3037" i="2"/>
  <c r="L3036" i="2"/>
  <c r="L3035" i="2"/>
  <c r="L3034" i="2"/>
  <c r="L3033" i="2"/>
  <c r="L3032" i="2"/>
  <c r="L3031" i="2"/>
  <c r="L3030" i="2"/>
  <c r="L3029" i="2"/>
  <c r="L3028" i="2"/>
  <c r="L3027" i="2"/>
  <c r="L3026" i="2"/>
  <c r="L3025" i="2"/>
  <c r="L3024" i="2"/>
  <c r="L3023" i="2"/>
  <c r="L3022" i="2"/>
  <c r="L3021" i="2"/>
  <c r="L3020" i="2"/>
  <c r="L3019" i="2"/>
  <c r="L3018" i="2"/>
  <c r="L3017" i="2"/>
  <c r="L3016" i="2"/>
  <c r="L3015" i="2"/>
  <c r="L3014" i="2"/>
  <c r="L3013" i="2"/>
  <c r="L3012" i="2"/>
  <c r="L3011" i="2"/>
  <c r="L3010" i="2"/>
  <c r="L3009" i="2"/>
  <c r="L3008" i="2"/>
  <c r="L3007" i="2"/>
  <c r="L3006" i="2"/>
  <c r="L3005" i="2"/>
  <c r="L3004" i="2"/>
  <c r="L3003" i="2"/>
  <c r="L3002" i="2"/>
  <c r="L3001" i="2"/>
  <c r="L3000" i="2"/>
  <c r="L2999" i="2"/>
  <c r="L2998" i="2"/>
  <c r="L2997" i="2"/>
  <c r="L2996" i="2"/>
  <c r="L2995" i="2"/>
  <c r="L2994" i="2"/>
  <c r="L2993" i="2"/>
  <c r="L2992" i="2"/>
  <c r="L2991" i="2"/>
  <c r="L2990" i="2"/>
  <c r="L2989" i="2"/>
  <c r="L2988" i="2"/>
  <c r="L2987" i="2"/>
  <c r="L2986" i="2"/>
  <c r="L2985" i="2"/>
  <c r="L2984" i="2"/>
  <c r="L2983" i="2"/>
  <c r="L2982" i="2"/>
  <c r="L2981" i="2"/>
  <c r="L2980" i="2"/>
  <c r="L2979" i="2"/>
  <c r="L2978" i="2"/>
  <c r="L2977" i="2"/>
  <c r="L2976" i="2"/>
  <c r="L2975" i="2"/>
  <c r="L2974" i="2"/>
  <c r="L2973" i="2"/>
  <c r="L2972" i="2"/>
  <c r="L2971" i="2"/>
  <c r="L2970" i="2"/>
  <c r="L2969" i="2"/>
  <c r="L2968" i="2"/>
  <c r="L2967" i="2"/>
  <c r="L2966" i="2"/>
  <c r="L2965" i="2"/>
  <c r="L2964" i="2"/>
  <c r="L2963" i="2"/>
  <c r="L2962" i="2"/>
  <c r="L2961" i="2"/>
  <c r="L2960" i="2"/>
  <c r="L2959" i="2"/>
  <c r="L2958" i="2"/>
  <c r="L2957" i="2"/>
  <c r="L2956" i="2"/>
  <c r="L2955" i="2"/>
  <c r="L2954" i="2"/>
  <c r="L2953" i="2"/>
  <c r="L2952" i="2"/>
  <c r="L2951" i="2"/>
  <c r="L2950" i="2"/>
  <c r="L2949" i="2"/>
  <c r="L2948" i="2"/>
  <c r="L2947" i="2"/>
  <c r="L2946" i="2"/>
  <c r="L2945" i="2"/>
  <c r="L2944" i="2"/>
  <c r="L2943" i="2"/>
  <c r="L2942" i="2"/>
  <c r="L2941" i="2"/>
  <c r="L2940" i="2"/>
  <c r="L2939" i="2"/>
  <c r="L2938" i="2"/>
  <c r="L2937" i="2"/>
  <c r="L2936" i="2"/>
  <c r="L2935" i="2"/>
  <c r="L2934" i="2"/>
  <c r="L2933" i="2"/>
  <c r="L2932" i="2"/>
  <c r="L2931" i="2"/>
  <c r="L2930" i="2"/>
  <c r="L2929" i="2"/>
  <c r="L2928" i="2"/>
  <c r="L2927" i="2"/>
  <c r="L2926" i="2"/>
  <c r="L2925" i="2"/>
  <c r="L2924" i="2"/>
  <c r="L2923" i="2"/>
  <c r="L2922" i="2"/>
  <c r="L2921" i="2"/>
  <c r="L2920" i="2"/>
  <c r="L2919" i="2"/>
  <c r="L2918" i="2"/>
  <c r="L2917" i="2"/>
  <c r="L2916" i="2"/>
  <c r="L2915" i="2"/>
  <c r="L2914" i="2"/>
  <c r="L2913" i="2"/>
  <c r="L2912" i="2"/>
  <c r="L2911" i="2"/>
  <c r="L2910" i="2"/>
  <c r="L2909" i="2"/>
  <c r="L2908" i="2"/>
  <c r="L2907" i="2"/>
  <c r="L2906" i="2"/>
  <c r="L2905" i="2"/>
  <c r="L2904" i="2"/>
  <c r="L2903" i="2"/>
  <c r="L2902" i="2"/>
  <c r="L2901" i="2"/>
  <c r="L2900" i="2"/>
  <c r="L2899" i="2"/>
  <c r="L2898" i="2"/>
  <c r="L2897" i="2"/>
  <c r="L2896" i="2"/>
  <c r="L2895" i="2"/>
  <c r="L2894" i="2"/>
  <c r="L2893" i="2"/>
  <c r="L2892" i="2"/>
  <c r="L2891" i="2"/>
  <c r="L2890" i="2"/>
  <c r="L2889" i="2"/>
  <c r="L2888" i="2"/>
  <c r="L2887" i="2"/>
  <c r="L2886" i="2"/>
  <c r="L2885" i="2"/>
  <c r="L2884" i="2"/>
  <c r="L2883" i="2"/>
  <c r="L2882" i="2"/>
  <c r="L2881" i="2"/>
  <c r="L2880" i="2"/>
  <c r="L2879" i="2"/>
  <c r="L2878" i="2"/>
  <c r="L2877" i="2"/>
  <c r="L2876" i="2"/>
  <c r="L2875" i="2"/>
  <c r="L2874" i="2"/>
  <c r="L2873" i="2"/>
  <c r="L2872" i="2"/>
  <c r="L2871" i="2"/>
  <c r="L2870" i="2"/>
  <c r="L2869" i="2"/>
  <c r="L2868" i="2"/>
  <c r="L2867" i="2"/>
  <c r="L2866" i="2"/>
  <c r="L2865" i="2"/>
  <c r="L2864" i="2"/>
  <c r="L2863" i="2"/>
  <c r="L2862" i="2"/>
  <c r="L2861" i="2"/>
  <c r="L2860" i="2"/>
  <c r="L2859" i="2"/>
  <c r="L2858" i="2"/>
  <c r="L2857" i="2"/>
  <c r="L2856" i="2"/>
  <c r="L2855" i="2"/>
  <c r="L2854" i="2"/>
  <c r="L2853" i="2"/>
  <c r="L2852" i="2"/>
  <c r="L2851" i="2"/>
  <c r="L2850" i="2"/>
  <c r="L2849" i="2"/>
  <c r="L2848" i="2"/>
  <c r="L2847" i="2"/>
  <c r="L2846" i="2"/>
  <c r="L2845" i="2"/>
  <c r="L2844" i="2"/>
  <c r="L2843" i="2"/>
  <c r="L2842" i="2"/>
  <c r="L2841" i="2"/>
  <c r="L2840" i="2"/>
  <c r="L2839" i="2"/>
  <c r="L2838" i="2"/>
  <c r="L2837" i="2"/>
  <c r="L2836" i="2"/>
  <c r="L2835" i="2"/>
  <c r="L2834" i="2"/>
  <c r="L2833" i="2"/>
  <c r="L2832" i="2"/>
  <c r="L2831" i="2"/>
  <c r="L2830" i="2"/>
  <c r="L2829" i="2"/>
  <c r="L2828" i="2"/>
  <c r="L2827" i="2"/>
  <c r="L2826" i="2"/>
  <c r="L2825" i="2"/>
  <c r="L2824" i="2"/>
  <c r="L2823" i="2"/>
  <c r="L2822" i="2"/>
  <c r="L2821" i="2"/>
  <c r="L2820" i="2"/>
  <c r="L2819" i="2"/>
  <c r="L2818" i="2"/>
  <c r="L2817" i="2"/>
  <c r="L2816" i="2"/>
  <c r="L2815" i="2"/>
  <c r="L2814" i="2"/>
  <c r="L2813" i="2"/>
  <c r="L2812" i="2"/>
  <c r="L2811" i="2"/>
  <c r="L2810" i="2"/>
  <c r="L2809" i="2"/>
  <c r="L2808" i="2"/>
  <c r="L2807" i="2"/>
  <c r="L2806" i="2"/>
  <c r="L2805" i="2"/>
  <c r="L2804" i="2"/>
  <c r="L2803" i="2"/>
  <c r="L2802" i="2"/>
  <c r="L2801" i="2"/>
  <c r="L2800" i="2"/>
  <c r="L2799" i="2"/>
  <c r="L2798" i="2"/>
  <c r="L2797" i="2"/>
  <c r="L2796" i="2"/>
  <c r="L2795" i="2"/>
  <c r="L2794" i="2"/>
  <c r="L2793" i="2"/>
  <c r="L2792" i="2"/>
  <c r="L2791" i="2"/>
  <c r="L2790" i="2"/>
  <c r="L2789" i="2"/>
  <c r="L2788" i="2"/>
  <c r="L2787" i="2"/>
  <c r="L2786" i="2"/>
  <c r="L2785" i="2"/>
  <c r="L2784" i="2"/>
  <c r="L2783" i="2"/>
  <c r="L2782" i="2"/>
  <c r="L2781" i="2"/>
  <c r="L2780" i="2"/>
  <c r="L2779" i="2"/>
  <c r="L2778" i="2"/>
  <c r="L2777" i="2"/>
  <c r="L2776" i="2"/>
  <c r="L2775" i="2"/>
  <c r="L2774" i="2"/>
  <c r="L2773" i="2"/>
  <c r="L2772" i="2"/>
  <c r="L2771" i="2"/>
  <c r="L2770" i="2"/>
  <c r="L2769" i="2"/>
  <c r="L2768" i="2"/>
  <c r="L2767" i="2"/>
  <c r="L2766" i="2"/>
  <c r="L2765" i="2"/>
  <c r="L2764" i="2"/>
  <c r="L2763" i="2"/>
  <c r="L2762" i="2"/>
  <c r="L2761" i="2"/>
  <c r="L2760" i="2"/>
  <c r="L2759" i="2"/>
  <c r="L2758" i="2"/>
  <c r="L2757" i="2"/>
  <c r="L2756" i="2"/>
  <c r="L2755" i="2"/>
  <c r="L2754" i="2"/>
  <c r="L2753" i="2"/>
  <c r="L2752" i="2"/>
  <c r="L2751" i="2"/>
  <c r="L2750" i="2"/>
  <c r="L2749" i="2"/>
  <c r="L2748" i="2"/>
  <c r="L2747" i="2"/>
  <c r="L2746" i="2"/>
  <c r="L2745" i="2"/>
  <c r="L2744" i="2"/>
  <c r="L2743" i="2"/>
  <c r="L2742" i="2"/>
  <c r="L2741" i="2"/>
  <c r="L2740" i="2"/>
  <c r="L2739" i="2"/>
  <c r="L2738" i="2"/>
  <c r="L2737" i="2"/>
  <c r="L2736" i="2"/>
  <c r="L2735" i="2"/>
  <c r="L2734" i="2"/>
  <c r="L2733" i="2"/>
  <c r="L2732" i="2"/>
  <c r="L2731" i="2"/>
  <c r="L2730" i="2"/>
  <c r="L2729" i="2"/>
  <c r="L2728" i="2"/>
  <c r="L2727" i="2"/>
  <c r="L2726" i="2"/>
  <c r="L2725" i="2"/>
  <c r="L2724" i="2"/>
  <c r="L2723" i="2"/>
  <c r="L2722" i="2"/>
  <c r="L2721" i="2"/>
  <c r="L2720" i="2"/>
  <c r="L2719" i="2"/>
  <c r="L2718" i="2"/>
  <c r="L2717" i="2"/>
  <c r="L2716" i="2"/>
  <c r="L2715" i="2"/>
  <c r="L2714" i="2"/>
  <c r="L2713" i="2"/>
  <c r="L2712" i="2"/>
  <c r="L2711" i="2"/>
  <c r="L2710" i="2"/>
  <c r="L2709" i="2"/>
  <c r="L2708" i="2"/>
  <c r="L2707" i="2"/>
  <c r="L2706" i="2"/>
  <c r="L2705" i="2"/>
  <c r="L2704" i="2"/>
  <c r="L2703" i="2"/>
  <c r="L2702" i="2"/>
  <c r="L2701" i="2"/>
  <c r="L2700" i="2"/>
  <c r="L2699" i="2"/>
  <c r="L2698" i="2"/>
  <c r="L2697" i="2"/>
  <c r="L2696" i="2"/>
  <c r="L2695" i="2"/>
  <c r="L2694" i="2"/>
  <c r="L2693" i="2"/>
  <c r="L2692" i="2"/>
  <c r="L2691" i="2"/>
  <c r="L2690" i="2"/>
  <c r="L2689" i="2"/>
  <c r="L2688" i="2"/>
  <c r="L2687" i="2"/>
  <c r="L2686" i="2"/>
  <c r="L2685" i="2"/>
  <c r="L2684" i="2"/>
  <c r="L2683" i="2"/>
  <c r="L2682" i="2"/>
  <c r="L2681" i="2"/>
  <c r="L2680" i="2"/>
  <c r="L2679" i="2"/>
  <c r="L2678" i="2"/>
  <c r="L2677" i="2"/>
  <c r="L2676" i="2"/>
  <c r="L2675" i="2"/>
  <c r="L2674" i="2"/>
  <c r="L2673" i="2"/>
  <c r="L2672" i="2"/>
  <c r="L2671" i="2"/>
  <c r="L2670" i="2"/>
  <c r="L2669" i="2"/>
  <c r="L2668" i="2"/>
  <c r="L2667" i="2"/>
  <c r="L2666" i="2"/>
  <c r="L2665" i="2"/>
  <c r="L2664" i="2"/>
  <c r="L2663" i="2"/>
  <c r="L2662" i="2"/>
  <c r="L2661" i="2"/>
  <c r="L2660" i="2"/>
  <c r="L2659" i="2"/>
  <c r="L2658" i="2"/>
  <c r="L2657" i="2"/>
  <c r="L2656" i="2"/>
  <c r="L2655" i="2"/>
  <c r="L2654" i="2"/>
  <c r="L2653" i="2"/>
  <c r="L2652" i="2"/>
  <c r="L2651" i="2"/>
  <c r="L2650" i="2"/>
  <c r="L2649" i="2"/>
  <c r="L2648" i="2"/>
  <c r="L2647" i="2"/>
  <c r="L2646" i="2"/>
  <c r="L2645" i="2"/>
  <c r="L2644" i="2"/>
  <c r="L2643" i="2"/>
  <c r="L2642" i="2"/>
  <c r="L2641" i="2"/>
  <c r="L2640" i="2"/>
  <c r="L2639" i="2"/>
  <c r="L2638" i="2"/>
  <c r="L2637" i="2"/>
  <c r="L2636" i="2"/>
  <c r="L2635" i="2"/>
  <c r="L2634" i="2"/>
  <c r="L2633" i="2"/>
  <c r="L2632" i="2"/>
  <c r="L2631" i="2"/>
  <c r="L2630" i="2"/>
  <c r="L2629" i="2"/>
  <c r="L2628" i="2"/>
  <c r="L2627" i="2"/>
  <c r="L2626" i="2"/>
  <c r="L2625" i="2"/>
  <c r="L2624" i="2"/>
  <c r="L2623" i="2"/>
  <c r="L2622" i="2"/>
  <c r="L2621" i="2"/>
  <c r="L2620" i="2"/>
  <c r="L2619" i="2"/>
  <c r="L2618" i="2"/>
  <c r="L2617" i="2"/>
  <c r="L2616" i="2"/>
  <c r="L2615" i="2"/>
  <c r="L2614" i="2"/>
  <c r="L2613" i="2"/>
  <c r="L2612" i="2"/>
  <c r="L2611" i="2"/>
  <c r="L2610" i="2"/>
  <c r="L2609" i="2"/>
  <c r="L2608" i="2"/>
  <c r="L2607" i="2"/>
  <c r="L2606" i="2"/>
  <c r="L2605" i="2"/>
  <c r="L2604" i="2"/>
  <c r="L2603" i="2"/>
  <c r="L2602" i="2"/>
  <c r="L2601" i="2"/>
  <c r="L2600" i="2"/>
  <c r="L2599" i="2"/>
  <c r="L2598" i="2"/>
  <c r="L2597" i="2"/>
  <c r="L2596" i="2"/>
  <c r="L2595" i="2"/>
  <c r="L2594" i="2"/>
  <c r="L2593" i="2"/>
  <c r="L2592" i="2"/>
  <c r="L2591" i="2"/>
  <c r="L2590" i="2"/>
  <c r="L2589" i="2"/>
  <c r="L2588" i="2"/>
  <c r="L2587" i="2"/>
  <c r="L2586" i="2"/>
  <c r="L2585" i="2"/>
  <c r="L2584" i="2"/>
  <c r="L2583" i="2"/>
  <c r="L2582" i="2"/>
  <c r="L2581" i="2"/>
  <c r="L2580" i="2"/>
  <c r="L2579" i="2"/>
  <c r="L2578" i="2"/>
  <c r="L2577" i="2"/>
  <c r="L2576" i="2"/>
  <c r="L2575" i="2"/>
  <c r="L2574" i="2"/>
  <c r="L2573" i="2"/>
  <c r="L2572" i="2"/>
  <c r="L2571" i="2"/>
  <c r="L2570" i="2"/>
  <c r="L2569" i="2"/>
  <c r="L2568" i="2"/>
  <c r="L2567" i="2"/>
  <c r="L2566" i="2"/>
  <c r="L2565" i="2"/>
  <c r="L2564" i="2"/>
  <c r="L2563" i="2"/>
  <c r="L2562" i="2"/>
  <c r="L2561" i="2"/>
  <c r="L2560" i="2"/>
  <c r="L2559" i="2"/>
  <c r="L2558" i="2"/>
  <c r="L2557" i="2"/>
  <c r="L2556" i="2"/>
  <c r="L2555" i="2"/>
  <c r="L2554" i="2"/>
  <c r="L2553" i="2"/>
  <c r="L2552" i="2"/>
  <c r="L2551" i="2"/>
  <c r="L2550" i="2"/>
  <c r="L2549" i="2"/>
  <c r="L2548" i="2"/>
  <c r="L2547" i="2"/>
  <c r="L2546" i="2"/>
  <c r="L2545" i="2"/>
  <c r="L2544" i="2"/>
  <c r="L2543" i="2"/>
  <c r="L2542" i="2"/>
  <c r="L2541" i="2"/>
  <c r="L2540" i="2"/>
  <c r="L2539" i="2"/>
  <c r="L2538" i="2"/>
  <c r="L2537" i="2"/>
  <c r="L2536" i="2"/>
  <c r="L2535" i="2"/>
  <c r="L2534" i="2"/>
  <c r="L2533" i="2"/>
  <c r="L2532" i="2"/>
  <c r="L2531" i="2"/>
  <c r="L2530" i="2"/>
  <c r="L2529" i="2"/>
  <c r="L2528" i="2"/>
  <c r="L2527" i="2"/>
  <c r="L2526" i="2"/>
  <c r="L2525" i="2"/>
  <c r="L2524" i="2"/>
  <c r="L2523" i="2"/>
  <c r="L2522" i="2"/>
  <c r="L2521" i="2"/>
  <c r="L2520" i="2"/>
  <c r="L2519" i="2"/>
  <c r="L2518" i="2"/>
  <c r="L2517" i="2"/>
  <c r="L2516" i="2"/>
  <c r="L2515" i="2"/>
  <c r="L2514" i="2"/>
  <c r="L2513" i="2"/>
  <c r="L2512" i="2"/>
  <c r="L2511" i="2"/>
  <c r="L2510" i="2"/>
  <c r="L2509" i="2"/>
  <c r="L2508" i="2"/>
  <c r="L2507" i="2"/>
  <c r="L2506" i="2"/>
  <c r="L2505" i="2"/>
  <c r="L2504" i="2"/>
  <c r="L2503" i="2"/>
  <c r="L2502" i="2"/>
  <c r="L2501" i="2"/>
  <c r="L2500" i="2"/>
  <c r="L2499" i="2"/>
  <c r="L2498" i="2"/>
  <c r="L2497" i="2"/>
  <c r="L2496" i="2"/>
  <c r="L2495" i="2"/>
  <c r="L2494" i="2"/>
  <c r="L2493" i="2"/>
  <c r="L2492" i="2"/>
  <c r="L2491" i="2"/>
  <c r="L2490" i="2"/>
  <c r="L2489" i="2"/>
  <c r="L2488" i="2"/>
  <c r="L2487" i="2"/>
  <c r="L2486" i="2"/>
  <c r="L2485" i="2"/>
  <c r="L2484" i="2"/>
  <c r="L2483" i="2"/>
  <c r="L2482" i="2"/>
  <c r="L2481" i="2"/>
  <c r="L2480" i="2"/>
  <c r="L2479" i="2"/>
  <c r="L2478" i="2"/>
  <c r="L2477" i="2"/>
  <c r="L2476" i="2"/>
  <c r="L2475" i="2"/>
  <c r="L2474" i="2"/>
  <c r="L2473" i="2"/>
  <c r="L2472" i="2"/>
  <c r="L2471" i="2"/>
  <c r="L2470" i="2"/>
  <c r="L2469" i="2"/>
  <c r="L2468" i="2"/>
  <c r="L2467" i="2"/>
  <c r="L2466" i="2"/>
  <c r="L2465" i="2"/>
  <c r="L2464" i="2"/>
  <c r="L2463" i="2"/>
  <c r="L2462" i="2"/>
  <c r="L2461" i="2"/>
  <c r="L2460" i="2"/>
  <c r="L2459" i="2"/>
  <c r="L2458" i="2"/>
  <c r="L2457" i="2"/>
  <c r="L2456" i="2"/>
  <c r="L2455" i="2"/>
  <c r="L2454" i="2"/>
  <c r="L2453" i="2"/>
  <c r="L2452" i="2"/>
  <c r="L2451" i="2"/>
  <c r="L2450" i="2"/>
  <c r="L2449" i="2"/>
  <c r="L2448" i="2"/>
  <c r="L2447" i="2"/>
  <c r="L2446" i="2"/>
  <c r="L2445" i="2"/>
  <c r="L2444" i="2"/>
  <c r="L2443" i="2"/>
  <c r="L2442" i="2"/>
  <c r="L2441" i="2"/>
  <c r="L2440" i="2"/>
  <c r="L2439" i="2"/>
  <c r="L2438" i="2"/>
  <c r="L2437" i="2"/>
  <c r="L2436" i="2"/>
  <c r="L2435" i="2"/>
  <c r="L2434" i="2"/>
  <c r="L2433" i="2"/>
  <c r="L2432" i="2"/>
  <c r="L2431" i="2"/>
  <c r="L2430" i="2"/>
  <c r="L2429" i="2"/>
  <c r="L2428" i="2"/>
  <c r="L2427" i="2"/>
  <c r="L2426" i="2"/>
  <c r="L2425" i="2"/>
  <c r="L2424" i="2"/>
  <c r="L2423" i="2"/>
  <c r="L2422" i="2"/>
  <c r="L2421" i="2"/>
  <c r="L2420" i="2"/>
  <c r="L2419" i="2"/>
  <c r="L2418" i="2"/>
  <c r="L2417" i="2"/>
  <c r="L2416" i="2"/>
  <c r="L2415" i="2"/>
  <c r="L2414" i="2"/>
  <c r="L2413" i="2"/>
  <c r="L2412" i="2"/>
  <c r="L2411" i="2"/>
  <c r="L2410" i="2"/>
  <c r="L2409" i="2"/>
  <c r="L2408" i="2"/>
  <c r="L2407" i="2"/>
  <c r="L2406" i="2"/>
  <c r="L2405" i="2"/>
  <c r="L2404" i="2"/>
  <c r="L2403" i="2"/>
  <c r="L2402" i="2"/>
  <c r="L2401" i="2"/>
  <c r="L2400" i="2"/>
  <c r="L2399" i="2"/>
  <c r="L2398" i="2"/>
  <c r="L2397" i="2"/>
  <c r="L2396" i="2"/>
  <c r="L2395" i="2"/>
  <c r="L2394" i="2"/>
  <c r="L2393" i="2"/>
  <c r="L2392" i="2"/>
  <c r="L2391" i="2"/>
  <c r="L2390" i="2"/>
  <c r="L2389" i="2"/>
  <c r="L2388" i="2"/>
  <c r="L2387" i="2"/>
  <c r="L2386" i="2"/>
  <c r="L2385" i="2"/>
  <c r="L2384" i="2"/>
  <c r="L2383" i="2"/>
  <c r="L2382" i="2"/>
  <c r="L2381" i="2"/>
  <c r="L2380" i="2"/>
  <c r="L2379" i="2"/>
  <c r="L2378" i="2"/>
  <c r="L2377" i="2"/>
  <c r="L2376" i="2"/>
  <c r="L2375" i="2"/>
  <c r="L2374" i="2"/>
  <c r="L2373" i="2"/>
  <c r="L2372" i="2"/>
  <c r="L2371" i="2"/>
  <c r="L2370" i="2"/>
  <c r="L2369" i="2"/>
  <c r="L2368" i="2"/>
  <c r="L2367" i="2"/>
  <c r="L2366" i="2"/>
  <c r="L2365" i="2"/>
  <c r="L2364" i="2"/>
  <c r="L2363" i="2"/>
  <c r="L2362" i="2"/>
  <c r="L2361" i="2"/>
  <c r="L2360" i="2"/>
  <c r="L2359" i="2"/>
  <c r="L2358" i="2"/>
  <c r="L2357" i="2"/>
  <c r="L2356" i="2"/>
  <c r="L2355" i="2"/>
  <c r="L2354" i="2"/>
  <c r="L2353" i="2"/>
  <c r="L2352" i="2"/>
  <c r="L2351" i="2"/>
  <c r="L2350" i="2"/>
  <c r="L2349" i="2"/>
  <c r="L2348" i="2"/>
  <c r="L2347" i="2"/>
  <c r="L2346" i="2"/>
  <c r="L2345" i="2"/>
  <c r="L2344" i="2"/>
  <c r="L2343" i="2"/>
  <c r="L2342" i="2"/>
  <c r="L2341" i="2"/>
  <c r="L2340" i="2"/>
  <c r="L2339" i="2"/>
  <c r="L2338" i="2"/>
  <c r="L2337" i="2"/>
  <c r="L2336" i="2"/>
  <c r="L2335" i="2"/>
  <c r="L2334" i="2"/>
  <c r="L2333" i="2"/>
  <c r="L2332" i="2"/>
  <c r="L2331" i="2"/>
  <c r="L2330" i="2"/>
  <c r="L2329" i="2"/>
  <c r="L2328" i="2"/>
  <c r="L2327" i="2"/>
  <c r="L2326" i="2"/>
  <c r="L2325" i="2"/>
  <c r="L2324" i="2"/>
  <c r="L2323" i="2"/>
  <c r="L2322" i="2"/>
  <c r="L2321" i="2"/>
  <c r="L2320" i="2"/>
  <c r="L2319" i="2"/>
  <c r="L2318" i="2"/>
  <c r="L2317" i="2"/>
  <c r="L2316" i="2"/>
  <c r="L2315" i="2"/>
  <c r="L2314" i="2"/>
  <c r="L2313" i="2"/>
  <c r="L2312" i="2"/>
  <c r="L2311" i="2"/>
  <c r="L2310" i="2"/>
  <c r="L2309" i="2"/>
  <c r="L2308" i="2"/>
  <c r="L2307" i="2"/>
  <c r="L2306" i="2"/>
  <c r="L2305" i="2"/>
  <c r="L2304" i="2"/>
  <c r="L2303" i="2"/>
  <c r="L2302" i="2"/>
  <c r="L2301" i="2"/>
  <c r="L2300" i="2"/>
  <c r="L2299" i="2"/>
  <c r="L2298" i="2"/>
  <c r="L2297" i="2"/>
  <c r="L2296" i="2"/>
  <c r="L2295" i="2"/>
  <c r="L2294" i="2"/>
  <c r="L2293" i="2"/>
  <c r="L2292" i="2"/>
  <c r="L2291" i="2"/>
  <c r="L2290" i="2"/>
  <c r="L2289" i="2"/>
  <c r="L2288" i="2"/>
  <c r="L2287" i="2"/>
  <c r="L2286" i="2"/>
  <c r="L2285" i="2"/>
  <c r="L2284" i="2"/>
  <c r="L2283" i="2"/>
  <c r="L2282" i="2"/>
  <c r="L2281" i="2"/>
  <c r="L2280" i="2"/>
  <c r="L2279" i="2"/>
  <c r="L2278" i="2"/>
  <c r="L2277" i="2"/>
  <c r="L2276" i="2"/>
  <c r="L2275" i="2"/>
  <c r="L2274" i="2"/>
  <c r="L2273" i="2"/>
  <c r="L2272" i="2"/>
  <c r="L2271" i="2"/>
  <c r="L2270" i="2"/>
  <c r="L2269" i="2"/>
  <c r="L2268" i="2"/>
  <c r="L2267" i="2"/>
  <c r="L2266" i="2"/>
  <c r="L2265" i="2"/>
  <c r="L2264" i="2"/>
  <c r="L2263" i="2"/>
  <c r="L2262" i="2"/>
  <c r="L2261" i="2"/>
  <c r="L2260" i="2"/>
  <c r="L2259" i="2"/>
  <c r="L2258" i="2"/>
  <c r="L2257" i="2"/>
  <c r="L2256" i="2"/>
  <c r="L2255" i="2"/>
  <c r="L2254" i="2"/>
  <c r="L2253" i="2"/>
  <c r="L2252" i="2"/>
  <c r="L2251" i="2"/>
  <c r="L2250" i="2"/>
  <c r="L2249" i="2"/>
  <c r="L2248" i="2"/>
  <c r="L2247" i="2"/>
  <c r="L2246" i="2"/>
  <c r="L2245" i="2"/>
  <c r="L2244" i="2"/>
  <c r="L2243" i="2"/>
  <c r="L2242" i="2"/>
  <c r="L2241" i="2"/>
  <c r="L2240" i="2"/>
  <c r="L2239" i="2"/>
  <c r="L2238" i="2"/>
  <c r="L2237" i="2"/>
  <c r="L2236" i="2"/>
  <c r="L2235" i="2"/>
  <c r="L2234" i="2"/>
  <c r="L2233" i="2"/>
  <c r="L2232" i="2"/>
  <c r="L2231" i="2"/>
  <c r="L2230" i="2"/>
  <c r="L2229" i="2"/>
  <c r="L2228" i="2"/>
  <c r="L2227" i="2"/>
  <c r="L2226" i="2"/>
  <c r="L2225" i="2"/>
  <c r="L2224" i="2"/>
  <c r="L2223" i="2"/>
  <c r="L2222" i="2"/>
  <c r="L2221" i="2"/>
  <c r="L2220" i="2"/>
  <c r="L2219" i="2"/>
  <c r="L2218" i="2"/>
  <c r="L2217" i="2"/>
  <c r="L2216" i="2"/>
  <c r="L2215" i="2"/>
  <c r="L2214" i="2"/>
  <c r="L2213" i="2"/>
  <c r="L2212" i="2"/>
  <c r="L2211" i="2"/>
  <c r="L2210" i="2"/>
  <c r="L2209" i="2"/>
  <c r="L2208" i="2"/>
  <c r="L2207" i="2"/>
  <c r="L2206" i="2"/>
  <c r="L2205" i="2"/>
  <c r="L2204" i="2"/>
  <c r="L2203" i="2"/>
  <c r="L2202" i="2"/>
  <c r="L2201" i="2"/>
  <c r="L2200" i="2"/>
  <c r="L2199" i="2"/>
  <c r="L2198" i="2"/>
  <c r="L2197" i="2"/>
  <c r="L2196" i="2"/>
  <c r="L2195" i="2"/>
  <c r="L2194" i="2"/>
  <c r="L2193" i="2"/>
  <c r="L2192" i="2"/>
  <c r="L2191" i="2"/>
  <c r="L2190" i="2"/>
  <c r="L2189" i="2"/>
  <c r="L2188" i="2"/>
  <c r="L2187" i="2"/>
  <c r="L2186" i="2"/>
  <c r="L2185" i="2"/>
  <c r="L2184" i="2"/>
  <c r="L2183" i="2"/>
  <c r="L2182" i="2"/>
  <c r="L2181" i="2"/>
  <c r="L2180" i="2"/>
  <c r="L2179" i="2"/>
  <c r="L2178" i="2"/>
  <c r="L2177" i="2"/>
  <c r="L2176" i="2"/>
  <c r="L2175" i="2"/>
  <c r="L2174" i="2"/>
  <c r="L2173" i="2"/>
  <c r="L2172" i="2"/>
  <c r="L2171" i="2"/>
  <c r="L2170" i="2"/>
  <c r="L2169" i="2"/>
  <c r="L2168" i="2"/>
  <c r="L2167" i="2"/>
  <c r="L2166" i="2"/>
  <c r="L2165" i="2"/>
  <c r="L2164" i="2"/>
  <c r="L2163" i="2"/>
  <c r="L2162" i="2"/>
  <c r="L2161" i="2"/>
  <c r="L2160" i="2"/>
  <c r="L2159" i="2"/>
  <c r="L2158" i="2"/>
  <c r="L2157" i="2"/>
  <c r="L2156" i="2"/>
  <c r="L2155" i="2"/>
  <c r="L2154" i="2"/>
  <c r="L2153" i="2"/>
  <c r="L2152" i="2"/>
  <c r="L2151" i="2"/>
  <c r="L2150" i="2"/>
  <c r="L2149" i="2"/>
  <c r="L2148" i="2"/>
  <c r="L2147" i="2"/>
  <c r="L2146" i="2"/>
  <c r="L2145" i="2"/>
  <c r="L2144" i="2"/>
  <c r="L2143" i="2"/>
  <c r="L2142" i="2"/>
  <c r="L2141" i="2"/>
  <c r="L2140" i="2"/>
  <c r="L2139" i="2"/>
  <c r="L2138" i="2"/>
  <c r="L2137" i="2"/>
  <c r="L2136" i="2"/>
  <c r="L2135" i="2"/>
  <c r="L2134" i="2"/>
  <c r="L2133" i="2"/>
  <c r="L2132" i="2"/>
  <c r="L2131" i="2"/>
  <c r="L2130" i="2"/>
  <c r="L2129" i="2"/>
  <c r="L2128" i="2"/>
  <c r="L2127" i="2"/>
  <c r="L2126" i="2"/>
  <c r="L2125" i="2"/>
  <c r="L2124" i="2"/>
  <c r="L2123" i="2"/>
  <c r="L2122" i="2"/>
  <c r="L2121" i="2"/>
  <c r="L2120" i="2"/>
  <c r="L2119" i="2"/>
  <c r="L2118" i="2"/>
  <c r="L2117" i="2"/>
  <c r="L2116" i="2"/>
  <c r="L2115" i="2"/>
  <c r="L2114" i="2"/>
  <c r="L2113" i="2"/>
  <c r="L2112" i="2"/>
  <c r="L2111" i="2"/>
  <c r="L2110" i="2"/>
  <c r="L2109" i="2"/>
  <c r="L2108" i="2"/>
  <c r="L2107" i="2"/>
  <c r="L2106" i="2"/>
  <c r="L2105" i="2"/>
  <c r="L2104" i="2"/>
  <c r="L2103" i="2"/>
  <c r="L2102" i="2"/>
  <c r="L2101" i="2"/>
  <c r="L2100" i="2"/>
  <c r="L2099" i="2"/>
  <c r="L2098" i="2"/>
  <c r="L2097" i="2"/>
  <c r="L2096" i="2"/>
  <c r="L2095" i="2"/>
  <c r="L2094" i="2"/>
  <c r="L2093" i="2"/>
  <c r="L2092" i="2"/>
  <c r="L2091" i="2"/>
  <c r="L2090" i="2"/>
  <c r="L2089" i="2"/>
  <c r="L2088" i="2"/>
  <c r="L2087" i="2"/>
  <c r="L2086" i="2"/>
  <c r="L2085" i="2"/>
  <c r="L2084" i="2"/>
  <c r="L2083" i="2"/>
  <c r="L2082" i="2"/>
  <c r="L2081" i="2"/>
  <c r="L2080" i="2"/>
  <c r="L2079" i="2"/>
  <c r="L2078" i="2"/>
  <c r="L2077" i="2"/>
  <c r="L2076" i="2"/>
  <c r="L2075" i="2"/>
  <c r="L2074" i="2"/>
  <c r="L2073" i="2"/>
  <c r="L2072" i="2"/>
  <c r="L2071" i="2"/>
  <c r="L2070" i="2"/>
  <c r="L2069" i="2"/>
  <c r="L2068" i="2"/>
  <c r="L2067" i="2"/>
  <c r="L2066" i="2"/>
  <c r="L2065" i="2"/>
  <c r="L2064" i="2"/>
  <c r="L2063" i="2"/>
  <c r="L2062" i="2"/>
  <c r="L2061" i="2"/>
  <c r="L2060" i="2"/>
  <c r="L2059" i="2"/>
  <c r="L2058" i="2"/>
  <c r="L2057" i="2"/>
  <c r="L2056" i="2"/>
  <c r="L2055" i="2"/>
  <c r="L2054" i="2"/>
  <c r="L2053" i="2"/>
  <c r="L2052" i="2"/>
  <c r="L2051" i="2"/>
  <c r="L2050" i="2"/>
  <c r="L2049" i="2"/>
  <c r="L2048" i="2"/>
  <c r="L2047" i="2"/>
  <c r="L2046" i="2"/>
  <c r="L2045" i="2"/>
  <c r="L2044" i="2"/>
  <c r="L2043" i="2"/>
  <c r="L2042" i="2"/>
  <c r="L2041" i="2"/>
  <c r="L2040" i="2"/>
  <c r="L2039" i="2"/>
  <c r="L2038" i="2"/>
  <c r="L2037" i="2"/>
  <c r="L2036" i="2"/>
  <c r="L2035" i="2"/>
  <c r="L2034" i="2"/>
  <c r="L2033" i="2"/>
  <c r="L2032" i="2"/>
  <c r="L2031" i="2"/>
  <c r="L2030" i="2"/>
  <c r="L2029" i="2"/>
  <c r="L2028" i="2"/>
  <c r="L2027" i="2"/>
  <c r="L2026" i="2"/>
  <c r="L2025" i="2"/>
  <c r="L2024" i="2"/>
  <c r="L2023" i="2"/>
  <c r="L2022" i="2"/>
  <c r="L2021" i="2"/>
  <c r="L2020" i="2"/>
  <c r="L2019" i="2"/>
  <c r="L2018" i="2"/>
  <c r="L2017" i="2"/>
  <c r="L2016" i="2"/>
  <c r="L2015" i="2"/>
  <c r="L2014" i="2"/>
  <c r="L2013" i="2"/>
  <c r="L2012" i="2"/>
  <c r="L2011" i="2"/>
  <c r="L2010" i="2"/>
  <c r="L2009" i="2"/>
  <c r="L2008" i="2"/>
  <c r="L2007" i="2"/>
  <c r="L2006" i="2"/>
  <c r="L2005" i="2"/>
  <c r="L2004" i="2"/>
  <c r="L2003" i="2"/>
  <c r="L2002" i="2"/>
  <c r="L2001" i="2"/>
  <c r="L2000" i="2"/>
  <c r="L1999" i="2"/>
  <c r="L1998" i="2"/>
  <c r="L1997" i="2"/>
  <c r="L1996" i="2"/>
  <c r="L1995" i="2"/>
  <c r="L1994" i="2"/>
  <c r="L1993" i="2"/>
  <c r="L1992" i="2"/>
  <c r="L1991" i="2"/>
  <c r="L1990" i="2"/>
  <c r="L1989" i="2"/>
  <c r="L1988" i="2"/>
  <c r="L1987" i="2"/>
  <c r="L1986" i="2"/>
  <c r="L1985" i="2"/>
  <c r="L1984" i="2"/>
  <c r="L1983" i="2"/>
  <c r="L1982" i="2"/>
  <c r="L1981" i="2"/>
  <c r="L1980" i="2"/>
  <c r="L1979" i="2"/>
  <c r="L1978" i="2"/>
  <c r="L1977" i="2"/>
  <c r="L1976" i="2"/>
  <c r="L1975" i="2"/>
  <c r="L1974" i="2"/>
  <c r="L1973" i="2"/>
  <c r="L1972" i="2"/>
  <c r="L1971" i="2"/>
  <c r="L1970" i="2"/>
  <c r="L1969" i="2"/>
  <c r="L1968" i="2"/>
  <c r="L1967" i="2"/>
  <c r="L1966" i="2"/>
  <c r="L1965" i="2"/>
  <c r="L1964" i="2"/>
  <c r="L1963" i="2"/>
  <c r="L1962" i="2"/>
  <c r="L1961" i="2"/>
  <c r="L1960" i="2"/>
  <c r="L1959" i="2"/>
  <c r="L1958" i="2"/>
  <c r="L1957" i="2"/>
  <c r="L1956" i="2"/>
  <c r="L1955" i="2"/>
  <c r="L1954" i="2"/>
  <c r="L1953" i="2"/>
  <c r="L1952" i="2"/>
  <c r="L1951" i="2"/>
  <c r="L1950" i="2"/>
  <c r="L1949" i="2"/>
  <c r="L1948" i="2"/>
  <c r="L1947" i="2"/>
  <c r="L1946" i="2"/>
  <c r="L1945" i="2"/>
  <c r="L1944" i="2"/>
  <c r="L1943" i="2"/>
  <c r="L1942" i="2"/>
  <c r="L1941" i="2"/>
  <c r="L1940" i="2"/>
  <c r="L1939" i="2"/>
  <c r="L1938" i="2"/>
  <c r="L1937" i="2"/>
  <c r="L1936" i="2"/>
  <c r="L1935" i="2"/>
  <c r="L1934" i="2"/>
  <c r="L1933" i="2"/>
  <c r="L1932" i="2"/>
  <c r="L1931" i="2"/>
  <c r="L1930" i="2"/>
  <c r="L1929" i="2"/>
  <c r="L1928" i="2"/>
  <c r="L1927" i="2"/>
  <c r="L1926" i="2"/>
  <c r="L1925" i="2"/>
  <c r="L1924" i="2"/>
  <c r="L1923" i="2"/>
  <c r="L1922" i="2"/>
  <c r="L1921" i="2"/>
  <c r="L1920" i="2"/>
  <c r="L1919" i="2"/>
  <c r="L1918" i="2"/>
  <c r="L1917" i="2"/>
  <c r="L1916" i="2"/>
  <c r="L1915" i="2"/>
  <c r="L1914" i="2"/>
  <c r="L1913" i="2"/>
  <c r="L1912" i="2"/>
  <c r="L1911" i="2"/>
  <c r="L1910" i="2"/>
  <c r="L1909" i="2"/>
  <c r="L1908" i="2"/>
  <c r="L1907" i="2"/>
  <c r="L1906" i="2"/>
  <c r="L1905" i="2"/>
  <c r="L1904" i="2"/>
  <c r="L1903" i="2"/>
  <c r="L1902" i="2"/>
  <c r="L1901" i="2"/>
  <c r="L1900" i="2"/>
  <c r="L1899" i="2"/>
  <c r="L1898" i="2"/>
  <c r="L1897" i="2"/>
  <c r="L1896" i="2"/>
  <c r="L1895" i="2"/>
  <c r="L1894" i="2"/>
  <c r="L1893" i="2"/>
  <c r="L1892" i="2"/>
  <c r="L1891" i="2"/>
  <c r="L1890" i="2"/>
  <c r="L1889" i="2"/>
  <c r="L1888" i="2"/>
  <c r="L1887" i="2"/>
  <c r="L1886" i="2"/>
  <c r="L1885" i="2"/>
  <c r="L1884" i="2"/>
  <c r="L1883" i="2"/>
  <c r="L1882" i="2"/>
  <c r="L1881" i="2"/>
  <c r="L1880" i="2"/>
  <c r="L1879" i="2"/>
  <c r="L1878" i="2"/>
  <c r="L1877" i="2"/>
  <c r="L1876" i="2"/>
  <c r="L1875" i="2"/>
  <c r="L1874" i="2"/>
  <c r="L1873" i="2"/>
  <c r="L1872" i="2"/>
  <c r="L1871" i="2"/>
  <c r="L1870" i="2"/>
  <c r="L1869" i="2"/>
  <c r="L1868" i="2"/>
  <c r="L1867" i="2"/>
  <c r="L1866" i="2"/>
  <c r="L1865" i="2"/>
  <c r="L1864" i="2"/>
  <c r="L1863" i="2"/>
  <c r="L1862" i="2"/>
  <c r="L1861" i="2"/>
  <c r="L1860" i="2"/>
  <c r="L1859" i="2"/>
  <c r="L1858" i="2"/>
  <c r="L1857" i="2"/>
  <c r="L1856" i="2"/>
  <c r="L1855" i="2"/>
  <c r="L1854" i="2"/>
  <c r="L1853" i="2"/>
  <c r="L1852" i="2"/>
  <c r="L1851" i="2"/>
  <c r="L1850" i="2"/>
  <c r="L1849" i="2"/>
  <c r="L1848" i="2"/>
  <c r="L1847" i="2"/>
  <c r="L1846" i="2"/>
  <c r="L1845" i="2"/>
  <c r="L1844" i="2"/>
  <c r="L1843" i="2"/>
  <c r="L1842" i="2"/>
  <c r="L1841" i="2"/>
  <c r="L1840" i="2"/>
  <c r="L1839" i="2"/>
  <c r="L1838" i="2"/>
  <c r="L1837" i="2"/>
  <c r="L1836" i="2"/>
  <c r="L1835" i="2"/>
  <c r="L1834" i="2"/>
  <c r="L1833" i="2"/>
  <c r="L1832" i="2"/>
  <c r="L1831" i="2"/>
  <c r="L1830" i="2"/>
  <c r="L1829" i="2"/>
  <c r="L1828" i="2"/>
  <c r="L1827" i="2"/>
  <c r="L1826" i="2"/>
  <c r="L1825" i="2"/>
  <c r="L1824" i="2"/>
  <c r="L1823" i="2"/>
  <c r="L1822" i="2"/>
  <c r="L1821" i="2"/>
  <c r="L1820" i="2"/>
  <c r="L1819" i="2"/>
  <c r="L1818" i="2"/>
  <c r="L1817" i="2"/>
  <c r="L1816" i="2"/>
  <c r="L1815" i="2"/>
  <c r="L1814" i="2"/>
  <c r="L1813" i="2"/>
  <c r="L1812" i="2"/>
  <c r="L1811" i="2"/>
  <c r="L1810" i="2"/>
  <c r="L1809" i="2"/>
  <c r="L1808" i="2"/>
  <c r="L1807" i="2"/>
  <c r="L1806" i="2"/>
  <c r="L1805" i="2"/>
  <c r="L1804" i="2"/>
  <c r="L1803" i="2"/>
  <c r="L1802" i="2"/>
  <c r="L1801" i="2"/>
  <c r="L1800" i="2"/>
  <c r="L1799" i="2"/>
  <c r="L1798" i="2"/>
  <c r="L1797" i="2"/>
  <c r="L1796" i="2"/>
  <c r="L1795" i="2"/>
  <c r="L1794" i="2"/>
  <c r="L1793" i="2"/>
  <c r="L1792" i="2"/>
  <c r="L1791" i="2"/>
  <c r="L1790" i="2"/>
  <c r="L1789" i="2"/>
  <c r="L1788" i="2"/>
  <c r="L1787" i="2"/>
  <c r="L1786" i="2"/>
  <c r="L1785" i="2"/>
  <c r="L1784" i="2"/>
  <c r="L1783" i="2"/>
  <c r="L1782" i="2"/>
  <c r="L1781" i="2"/>
  <c r="L1780" i="2"/>
  <c r="L1779" i="2"/>
  <c r="L1778" i="2"/>
  <c r="L1777" i="2"/>
  <c r="L1776" i="2"/>
  <c r="L1775" i="2"/>
  <c r="L1774" i="2"/>
  <c r="L1773" i="2"/>
  <c r="L1772" i="2"/>
  <c r="L1771" i="2"/>
  <c r="L1770" i="2"/>
  <c r="L1769" i="2"/>
  <c r="L1768" i="2"/>
  <c r="L1767" i="2"/>
  <c r="L1766" i="2"/>
  <c r="L1765" i="2"/>
  <c r="L1764" i="2"/>
  <c r="L1763" i="2"/>
  <c r="L1762" i="2"/>
  <c r="L1761" i="2"/>
  <c r="L1760" i="2"/>
  <c r="L1759" i="2"/>
  <c r="L1758" i="2"/>
  <c r="L1757" i="2"/>
  <c r="L1756" i="2"/>
  <c r="L1755" i="2"/>
  <c r="L1754" i="2"/>
  <c r="L1753" i="2"/>
  <c r="L1752" i="2"/>
  <c r="L1751" i="2"/>
  <c r="L1750" i="2"/>
  <c r="L1749" i="2"/>
  <c r="L1748" i="2"/>
  <c r="L1747" i="2"/>
  <c r="L1746" i="2"/>
  <c r="L1745" i="2"/>
  <c r="L1744" i="2"/>
  <c r="L1743" i="2"/>
  <c r="L1742" i="2"/>
  <c r="L1741" i="2"/>
  <c r="L1740" i="2"/>
  <c r="L1739" i="2"/>
  <c r="L1738" i="2"/>
  <c r="L1737" i="2"/>
  <c r="L1736" i="2"/>
  <c r="L1735" i="2"/>
  <c r="L1734" i="2"/>
  <c r="L1733" i="2"/>
  <c r="L1732" i="2"/>
  <c r="L1731" i="2"/>
  <c r="L1730" i="2"/>
  <c r="L1729" i="2"/>
  <c r="L1728" i="2"/>
  <c r="L1727" i="2"/>
  <c r="L1726" i="2"/>
  <c r="L1725" i="2"/>
  <c r="L1724" i="2"/>
  <c r="L1723" i="2"/>
  <c r="L1722" i="2"/>
  <c r="L1721" i="2"/>
  <c r="L1720" i="2"/>
  <c r="L1719" i="2"/>
  <c r="L1718" i="2"/>
  <c r="L1717" i="2"/>
  <c r="L1716" i="2"/>
  <c r="L1715" i="2"/>
  <c r="L1714" i="2"/>
  <c r="L1713" i="2"/>
  <c r="L1712" i="2"/>
  <c r="L1711" i="2"/>
  <c r="L1710" i="2"/>
  <c r="L1709" i="2"/>
  <c r="L1708" i="2"/>
  <c r="L1707" i="2"/>
  <c r="L1706" i="2"/>
  <c r="L1705" i="2"/>
  <c r="L1704" i="2"/>
  <c r="L1703" i="2"/>
  <c r="L1702" i="2"/>
  <c r="L1701" i="2"/>
  <c r="L1700" i="2"/>
  <c r="L1699" i="2"/>
  <c r="L1698" i="2"/>
  <c r="L1697" i="2"/>
  <c r="L1696" i="2"/>
  <c r="L1695" i="2"/>
  <c r="L1694" i="2"/>
  <c r="L1693" i="2"/>
  <c r="L1692" i="2"/>
  <c r="L1691" i="2"/>
  <c r="L1690" i="2"/>
  <c r="L1689" i="2"/>
  <c r="L1688" i="2"/>
  <c r="L1687" i="2"/>
  <c r="L1686" i="2"/>
  <c r="L1685" i="2"/>
  <c r="L1684" i="2"/>
  <c r="L1683" i="2"/>
  <c r="L1682" i="2"/>
  <c r="L1681" i="2"/>
  <c r="L1680" i="2"/>
  <c r="L1679" i="2"/>
  <c r="L1678" i="2"/>
  <c r="L1677" i="2"/>
  <c r="L1676" i="2"/>
  <c r="L1675" i="2"/>
  <c r="L1674" i="2"/>
  <c r="L1673" i="2"/>
  <c r="L1672" i="2"/>
  <c r="L1671" i="2"/>
  <c r="L1670" i="2"/>
  <c r="L1669" i="2"/>
  <c r="L1668" i="2"/>
  <c r="L1667" i="2"/>
  <c r="L1666" i="2"/>
  <c r="L1665" i="2"/>
  <c r="L1664" i="2"/>
  <c r="L1663" i="2"/>
  <c r="L1662" i="2"/>
  <c r="L1661" i="2"/>
  <c r="L1660" i="2"/>
  <c r="L1659" i="2"/>
  <c r="L1658" i="2"/>
  <c r="L1657" i="2"/>
  <c r="L1656" i="2"/>
  <c r="L1655" i="2"/>
  <c r="L1654" i="2"/>
  <c r="L1653" i="2"/>
  <c r="L1652" i="2"/>
  <c r="L1651" i="2"/>
  <c r="L1650" i="2"/>
  <c r="L1649" i="2"/>
  <c r="L1648" i="2"/>
  <c r="L1647" i="2"/>
  <c r="L1646" i="2"/>
  <c r="L1645" i="2"/>
  <c r="L1644" i="2"/>
  <c r="L1643" i="2"/>
  <c r="L1642" i="2"/>
  <c r="L1641" i="2"/>
  <c r="L1640" i="2"/>
  <c r="L1639" i="2"/>
  <c r="L1638" i="2"/>
  <c r="L1637" i="2"/>
  <c r="L1636" i="2"/>
  <c r="L1635" i="2"/>
  <c r="L1634" i="2"/>
  <c r="L1633" i="2"/>
  <c r="L1632" i="2"/>
  <c r="L1631" i="2"/>
  <c r="L1630" i="2"/>
  <c r="L1629" i="2"/>
  <c r="L1628" i="2"/>
  <c r="L1627" i="2"/>
  <c r="L1626" i="2"/>
  <c r="L1625" i="2"/>
  <c r="L1624" i="2"/>
  <c r="L1623" i="2"/>
  <c r="L1622" i="2"/>
  <c r="L1621" i="2"/>
  <c r="L1620" i="2"/>
  <c r="L1619" i="2"/>
  <c r="L1618" i="2"/>
  <c r="L1617" i="2"/>
  <c r="L1616" i="2"/>
  <c r="L1615" i="2"/>
  <c r="L1614" i="2"/>
  <c r="L1613" i="2"/>
  <c r="L1612" i="2"/>
  <c r="L1611" i="2"/>
  <c r="L1610" i="2"/>
  <c r="L1609" i="2"/>
  <c r="L1608" i="2"/>
  <c r="L1607" i="2"/>
  <c r="L1606" i="2"/>
  <c r="L1605" i="2"/>
  <c r="L1604" i="2"/>
  <c r="L1603" i="2"/>
  <c r="L1602" i="2"/>
  <c r="L1601" i="2"/>
  <c r="L1600" i="2"/>
  <c r="L1599" i="2"/>
  <c r="L1598" i="2"/>
  <c r="L1597" i="2"/>
  <c r="L1596" i="2"/>
  <c r="L1595" i="2"/>
  <c r="L1594" i="2"/>
  <c r="L1593" i="2"/>
  <c r="L1592" i="2"/>
  <c r="L1591" i="2"/>
  <c r="L1590" i="2"/>
  <c r="L1589" i="2"/>
  <c r="L1588" i="2"/>
  <c r="L1587" i="2"/>
  <c r="L1586" i="2"/>
  <c r="L1585" i="2"/>
  <c r="L1584" i="2"/>
  <c r="L1583" i="2"/>
  <c r="L1582" i="2"/>
  <c r="L1581" i="2"/>
  <c r="L1580" i="2"/>
  <c r="L1579" i="2"/>
  <c r="L1578" i="2"/>
  <c r="L1577" i="2"/>
  <c r="L1576" i="2"/>
  <c r="L1575" i="2"/>
  <c r="L1574" i="2"/>
  <c r="L1573" i="2"/>
  <c r="L1572" i="2"/>
  <c r="L1571" i="2"/>
  <c r="L1570" i="2"/>
  <c r="L1569" i="2"/>
  <c r="L1568" i="2"/>
  <c r="L1567" i="2"/>
  <c r="L1566" i="2"/>
  <c r="L1565" i="2"/>
  <c r="L1564" i="2"/>
  <c r="L1563" i="2"/>
  <c r="L1562" i="2"/>
  <c r="L1561" i="2"/>
  <c r="L1560" i="2"/>
  <c r="L1559" i="2"/>
  <c r="L1558" i="2"/>
  <c r="L1557" i="2"/>
  <c r="L1556" i="2"/>
  <c r="L1555" i="2"/>
  <c r="L1554" i="2"/>
  <c r="L1553" i="2"/>
  <c r="L1552" i="2"/>
  <c r="L1551" i="2"/>
  <c r="L1550" i="2"/>
  <c r="L1549" i="2"/>
  <c r="L1548" i="2"/>
  <c r="L1547" i="2"/>
  <c r="L1546" i="2"/>
  <c r="L1545" i="2"/>
  <c r="L1544" i="2"/>
  <c r="L1543" i="2"/>
  <c r="L1542" i="2"/>
  <c r="L1541" i="2"/>
  <c r="L1540" i="2"/>
  <c r="L1539" i="2"/>
  <c r="L1538" i="2"/>
  <c r="L1537" i="2"/>
  <c r="L1536" i="2"/>
  <c r="L1535" i="2"/>
  <c r="L1534" i="2"/>
  <c r="L1533" i="2"/>
  <c r="L1532" i="2"/>
  <c r="L1531" i="2"/>
  <c r="L1530" i="2"/>
  <c r="L1529" i="2"/>
  <c r="L1528" i="2"/>
  <c r="L1527" i="2"/>
  <c r="L1526" i="2"/>
  <c r="L1525" i="2"/>
  <c r="L1524" i="2"/>
  <c r="L1523" i="2"/>
  <c r="L1522" i="2"/>
  <c r="L1521" i="2"/>
  <c r="L1520" i="2"/>
  <c r="L1519" i="2"/>
  <c r="L1518" i="2"/>
  <c r="L1517" i="2"/>
  <c r="L1516" i="2"/>
  <c r="L1515" i="2"/>
  <c r="L1514" i="2"/>
  <c r="L1513" i="2"/>
  <c r="L1512" i="2"/>
  <c r="L1511" i="2"/>
  <c r="L1510" i="2"/>
  <c r="L1509" i="2"/>
  <c r="L1508" i="2"/>
  <c r="L1507" i="2"/>
  <c r="L1506" i="2"/>
  <c r="L1505" i="2"/>
  <c r="L1504" i="2"/>
  <c r="L1503" i="2"/>
  <c r="L1502" i="2"/>
  <c r="L1501" i="2"/>
  <c r="L1500" i="2"/>
  <c r="L1499" i="2"/>
  <c r="L1498" i="2"/>
  <c r="L1497" i="2"/>
  <c r="L1496" i="2"/>
  <c r="L1495" i="2"/>
  <c r="L1494" i="2"/>
  <c r="L1493" i="2"/>
  <c r="L1492" i="2"/>
  <c r="L1491" i="2"/>
  <c r="L1490" i="2"/>
  <c r="L1489" i="2"/>
  <c r="L1488" i="2"/>
  <c r="L1487" i="2"/>
  <c r="L1486" i="2"/>
  <c r="L1485" i="2"/>
  <c r="L1484" i="2"/>
  <c r="L1483" i="2"/>
  <c r="L1482" i="2"/>
  <c r="L1481" i="2"/>
  <c r="L1480" i="2"/>
  <c r="L1479" i="2"/>
  <c r="L1478" i="2"/>
  <c r="L1477" i="2"/>
  <c r="L1476" i="2"/>
  <c r="L1475" i="2"/>
  <c r="L1474" i="2"/>
  <c r="L1473" i="2"/>
  <c r="L1472" i="2"/>
  <c r="L1471" i="2"/>
  <c r="L1470" i="2"/>
  <c r="L1469" i="2"/>
  <c r="L1468" i="2"/>
  <c r="L1467" i="2"/>
  <c r="L1466" i="2"/>
  <c r="L1465" i="2"/>
  <c r="L1464" i="2"/>
  <c r="L1463" i="2"/>
  <c r="L1462" i="2"/>
  <c r="L1461" i="2"/>
  <c r="L1460" i="2"/>
  <c r="L1459" i="2"/>
  <c r="L1458" i="2"/>
  <c r="L1457" i="2"/>
  <c r="L1456" i="2"/>
  <c r="L1455" i="2"/>
  <c r="L1454" i="2"/>
  <c r="L1453" i="2"/>
  <c r="L1452" i="2"/>
  <c r="L1451" i="2"/>
  <c r="L1450" i="2"/>
  <c r="L1449" i="2"/>
  <c r="L1448" i="2"/>
  <c r="L1447" i="2"/>
  <c r="L1446" i="2"/>
  <c r="L1445" i="2"/>
  <c r="L1444" i="2"/>
  <c r="L1443" i="2"/>
  <c r="L1442" i="2"/>
  <c r="L1441" i="2"/>
  <c r="L1440" i="2"/>
  <c r="L1439" i="2"/>
  <c r="L1438" i="2"/>
  <c r="L1437" i="2"/>
  <c r="L1436" i="2"/>
  <c r="L1435" i="2"/>
  <c r="L1434" i="2"/>
  <c r="L1433" i="2"/>
  <c r="L1432" i="2"/>
  <c r="L1431" i="2"/>
  <c r="L1430" i="2"/>
  <c r="L1429" i="2"/>
  <c r="L1428" i="2"/>
  <c r="L1427" i="2"/>
  <c r="L1426" i="2"/>
  <c r="L1425" i="2"/>
  <c r="L1424" i="2"/>
  <c r="L1423" i="2"/>
  <c r="L1422" i="2"/>
  <c r="L1421" i="2"/>
  <c r="L1420" i="2"/>
  <c r="L1419" i="2"/>
  <c r="L1418" i="2"/>
  <c r="L1417" i="2"/>
  <c r="L1416" i="2"/>
  <c r="L1415" i="2"/>
  <c r="L1414" i="2"/>
  <c r="L1413" i="2"/>
  <c r="L1412" i="2"/>
  <c r="L1411" i="2"/>
  <c r="L1410" i="2"/>
  <c r="L1409" i="2"/>
  <c r="L1408" i="2"/>
  <c r="L1407" i="2"/>
  <c r="L1406" i="2"/>
  <c r="L1405" i="2"/>
  <c r="L1404" i="2"/>
  <c r="L1403" i="2"/>
  <c r="L1402" i="2"/>
  <c r="L1401" i="2"/>
  <c r="L1400" i="2"/>
  <c r="L1399" i="2"/>
  <c r="L1398" i="2"/>
  <c r="L1397" i="2"/>
  <c r="L1396" i="2"/>
  <c r="L1395" i="2"/>
  <c r="L1394" i="2"/>
  <c r="L1393" i="2"/>
  <c r="L1392" i="2"/>
  <c r="L1391" i="2"/>
  <c r="L1390" i="2"/>
  <c r="L1389" i="2"/>
  <c r="L1388" i="2"/>
  <c r="L1387" i="2"/>
  <c r="L1386" i="2"/>
  <c r="L1385" i="2"/>
  <c r="L1384" i="2"/>
  <c r="L1383" i="2"/>
  <c r="L1382" i="2"/>
  <c r="L1381" i="2"/>
  <c r="L1380" i="2"/>
  <c r="L1379" i="2"/>
  <c r="L1378" i="2"/>
  <c r="L1377" i="2"/>
  <c r="L1376" i="2"/>
  <c r="L1375" i="2"/>
  <c r="L1374" i="2"/>
  <c r="L1373" i="2"/>
  <c r="L1372" i="2"/>
  <c r="L1371" i="2"/>
  <c r="L1370" i="2"/>
  <c r="L1369" i="2"/>
  <c r="L1368" i="2"/>
  <c r="L1367" i="2"/>
  <c r="L1366" i="2"/>
  <c r="L1365" i="2"/>
  <c r="L1364" i="2"/>
  <c r="L1363" i="2"/>
  <c r="L1362" i="2"/>
  <c r="L1361" i="2"/>
  <c r="L1360" i="2"/>
  <c r="L1359" i="2"/>
  <c r="L1358" i="2"/>
  <c r="L1357" i="2"/>
  <c r="L1356" i="2"/>
  <c r="L1355" i="2"/>
  <c r="L1354" i="2"/>
  <c r="L1353" i="2"/>
  <c r="L1352" i="2"/>
  <c r="L1351" i="2"/>
  <c r="L1350" i="2"/>
  <c r="L1349" i="2"/>
  <c r="L1348" i="2"/>
  <c r="L1347" i="2"/>
  <c r="L1346" i="2"/>
  <c r="L1345" i="2"/>
  <c r="L1344" i="2"/>
  <c r="L1343" i="2"/>
  <c r="L1342" i="2"/>
  <c r="L1341" i="2"/>
  <c r="L1340" i="2"/>
  <c r="L1339" i="2"/>
  <c r="L1338" i="2"/>
  <c r="L1337" i="2"/>
  <c r="L1336" i="2"/>
  <c r="L1335" i="2"/>
  <c r="L1334" i="2"/>
  <c r="L1333" i="2"/>
  <c r="L1332" i="2"/>
  <c r="L1331" i="2"/>
  <c r="L1330" i="2"/>
  <c r="L1329" i="2"/>
  <c r="L1328" i="2"/>
  <c r="L1327" i="2"/>
  <c r="L1326" i="2"/>
  <c r="L1325" i="2"/>
  <c r="L1324" i="2"/>
  <c r="L1323" i="2"/>
  <c r="L1322" i="2"/>
  <c r="L1321" i="2"/>
  <c r="L1320" i="2"/>
  <c r="L1319" i="2"/>
  <c r="L1318" i="2"/>
  <c r="L1317" i="2"/>
  <c r="L1316" i="2"/>
  <c r="L1315" i="2"/>
  <c r="L1314" i="2"/>
  <c r="L1313" i="2"/>
  <c r="L1312" i="2"/>
  <c r="L1311" i="2"/>
  <c r="L1310" i="2"/>
  <c r="L1309" i="2"/>
  <c r="L1308" i="2"/>
  <c r="L1307" i="2"/>
  <c r="L1306" i="2"/>
  <c r="L1305" i="2"/>
  <c r="L1304" i="2"/>
  <c r="L1303" i="2"/>
  <c r="L1302" i="2"/>
  <c r="L1301" i="2"/>
  <c r="L1300" i="2"/>
  <c r="L1299" i="2"/>
  <c r="L1298" i="2"/>
  <c r="L1297" i="2"/>
  <c r="L1296" i="2"/>
  <c r="L1295" i="2"/>
  <c r="L1294" i="2"/>
  <c r="L1293" i="2"/>
  <c r="L1292" i="2"/>
  <c r="L1291" i="2"/>
  <c r="L1290" i="2"/>
  <c r="L1289" i="2"/>
  <c r="L1288" i="2"/>
  <c r="L1287" i="2"/>
  <c r="L1286" i="2"/>
  <c r="L1285" i="2"/>
  <c r="L1284" i="2"/>
  <c r="L1283" i="2"/>
  <c r="L1282" i="2"/>
  <c r="L1281" i="2"/>
  <c r="L1280" i="2"/>
  <c r="L1279" i="2"/>
  <c r="L1278" i="2"/>
  <c r="L1277" i="2"/>
  <c r="L1276" i="2"/>
  <c r="L1275" i="2"/>
  <c r="L1274" i="2"/>
  <c r="L1273" i="2"/>
  <c r="L1272" i="2"/>
  <c r="L1271" i="2"/>
  <c r="L1270" i="2"/>
  <c r="L1269" i="2"/>
  <c r="L1268" i="2"/>
  <c r="L1267" i="2"/>
  <c r="L1266" i="2"/>
  <c r="L1265" i="2"/>
  <c r="L1264" i="2"/>
  <c r="L1263" i="2"/>
  <c r="L1262" i="2"/>
  <c r="L1261" i="2"/>
  <c r="L1260" i="2"/>
  <c r="L1259" i="2"/>
  <c r="L1258" i="2"/>
  <c r="L1257" i="2"/>
  <c r="L1256" i="2"/>
  <c r="L1255" i="2"/>
  <c r="L1254" i="2"/>
  <c r="L1253" i="2"/>
  <c r="L1252" i="2"/>
  <c r="L1251" i="2"/>
  <c r="L1250" i="2"/>
  <c r="L1249" i="2"/>
  <c r="L1248" i="2"/>
  <c r="L1247" i="2"/>
  <c r="L1246" i="2"/>
  <c r="L1245" i="2"/>
  <c r="L1244" i="2"/>
  <c r="L1243" i="2"/>
  <c r="L1242" i="2"/>
  <c r="L1241" i="2"/>
  <c r="L1240" i="2"/>
  <c r="L1239" i="2"/>
  <c r="L1238" i="2"/>
  <c r="L1237" i="2"/>
  <c r="L1236" i="2"/>
  <c r="L1235" i="2"/>
  <c r="L1234" i="2"/>
  <c r="L1233" i="2"/>
  <c r="L1232" i="2"/>
  <c r="L1231" i="2"/>
  <c r="L1230" i="2"/>
  <c r="L1229" i="2"/>
  <c r="L1228" i="2"/>
  <c r="L1227" i="2"/>
  <c r="L1226" i="2"/>
  <c r="L1225" i="2"/>
  <c r="L1224" i="2"/>
  <c r="L1223" i="2"/>
  <c r="L1222" i="2"/>
  <c r="L1221" i="2"/>
  <c r="L1220" i="2"/>
  <c r="L1219" i="2"/>
  <c r="L1218" i="2"/>
  <c r="L1217" i="2"/>
  <c r="L1216" i="2"/>
  <c r="L1215" i="2"/>
  <c r="L1214" i="2"/>
  <c r="L1213" i="2"/>
  <c r="L1212" i="2"/>
  <c r="L1211" i="2"/>
  <c r="L1210" i="2"/>
  <c r="L1209" i="2"/>
  <c r="L1208" i="2"/>
  <c r="L1207" i="2"/>
  <c r="L1206" i="2"/>
  <c r="L1205" i="2"/>
  <c r="L1204" i="2"/>
  <c r="L1203" i="2"/>
  <c r="L1202" i="2"/>
  <c r="L1201" i="2"/>
  <c r="L1200" i="2"/>
  <c r="L1199" i="2"/>
  <c r="L1198" i="2"/>
  <c r="L1197" i="2"/>
  <c r="L1196" i="2"/>
  <c r="L1195" i="2"/>
  <c r="L1194" i="2"/>
  <c r="L1193" i="2"/>
  <c r="L1192" i="2"/>
  <c r="L1191" i="2"/>
  <c r="L1190" i="2"/>
  <c r="L1189" i="2"/>
  <c r="L1188" i="2"/>
  <c r="L1187" i="2"/>
  <c r="L1186" i="2"/>
  <c r="L1185" i="2"/>
  <c r="L1184" i="2"/>
  <c r="L1183" i="2"/>
  <c r="L1182" i="2"/>
  <c r="L1181" i="2"/>
  <c r="L1180" i="2"/>
  <c r="L1179" i="2"/>
  <c r="L1178" i="2"/>
  <c r="L1177" i="2"/>
  <c r="L1176" i="2"/>
  <c r="L1175" i="2"/>
  <c r="L1174" i="2"/>
  <c r="L1173" i="2"/>
  <c r="L1172" i="2"/>
  <c r="L1171" i="2"/>
  <c r="L1170" i="2"/>
  <c r="L1169" i="2"/>
  <c r="L1168" i="2"/>
  <c r="L1167" i="2"/>
  <c r="L1166" i="2"/>
  <c r="L1165" i="2"/>
  <c r="L1164" i="2"/>
  <c r="L1163" i="2"/>
  <c r="L1162" i="2"/>
  <c r="L1161" i="2"/>
  <c r="L1160" i="2"/>
  <c r="L1159" i="2"/>
  <c r="L1158" i="2"/>
  <c r="L1157" i="2"/>
  <c r="L1156" i="2"/>
  <c r="L1155" i="2"/>
  <c r="L1154" i="2"/>
  <c r="L1153" i="2"/>
  <c r="L1152" i="2"/>
  <c r="L1151" i="2"/>
  <c r="L1150" i="2"/>
  <c r="L1149" i="2"/>
  <c r="L1148" i="2"/>
  <c r="L1147" i="2"/>
  <c r="L1146" i="2"/>
  <c r="L1145" i="2"/>
  <c r="L1144" i="2"/>
  <c r="L1143" i="2"/>
  <c r="L1142" i="2"/>
  <c r="L1141" i="2"/>
  <c r="L1140" i="2"/>
  <c r="L1139" i="2"/>
  <c r="L1138" i="2"/>
  <c r="L1137" i="2"/>
  <c r="L1136" i="2"/>
  <c r="L1135" i="2"/>
  <c r="L1134" i="2"/>
  <c r="L1133" i="2"/>
  <c r="L1132" i="2"/>
  <c r="L1131" i="2"/>
  <c r="L1130" i="2"/>
  <c r="L1129" i="2"/>
  <c r="L1128" i="2"/>
  <c r="L1127" i="2"/>
  <c r="L1126" i="2"/>
  <c r="L1125" i="2"/>
  <c r="L1124" i="2"/>
  <c r="L1123" i="2"/>
  <c r="L1122" i="2"/>
  <c r="L1121" i="2"/>
  <c r="L1120" i="2"/>
  <c r="L1119" i="2"/>
  <c r="L1118" i="2"/>
  <c r="L1117" i="2"/>
  <c r="L1116" i="2"/>
  <c r="L1115" i="2"/>
  <c r="L1114" i="2"/>
  <c r="L1113" i="2"/>
  <c r="L1112" i="2"/>
  <c r="L1111" i="2"/>
  <c r="L1110" i="2"/>
  <c r="L1109" i="2"/>
  <c r="L1108" i="2"/>
  <c r="L1107" i="2"/>
  <c r="L1106" i="2"/>
  <c r="L1105" i="2"/>
  <c r="L1104" i="2"/>
  <c r="L1103" i="2"/>
  <c r="L1102" i="2"/>
  <c r="L1101" i="2"/>
  <c r="L1100" i="2"/>
  <c r="L1099" i="2"/>
  <c r="L1098" i="2"/>
  <c r="L1097" i="2"/>
  <c r="L1096" i="2"/>
  <c r="L1095" i="2"/>
  <c r="L1094" i="2"/>
  <c r="L1093" i="2"/>
  <c r="L1092" i="2"/>
  <c r="L1091" i="2"/>
  <c r="L1090" i="2"/>
  <c r="L1089" i="2"/>
  <c r="L1088" i="2"/>
  <c r="L1087" i="2"/>
  <c r="L1086" i="2"/>
  <c r="L1085" i="2"/>
  <c r="L1084" i="2"/>
  <c r="L1083" i="2"/>
  <c r="L1082" i="2"/>
  <c r="L1081" i="2"/>
  <c r="L1080" i="2"/>
  <c r="L1079" i="2"/>
  <c r="L1078" i="2"/>
  <c r="L1077" i="2"/>
  <c r="L1076" i="2"/>
  <c r="L1075" i="2"/>
  <c r="L1074" i="2"/>
  <c r="L1073" i="2"/>
  <c r="L1072" i="2"/>
  <c r="L1071" i="2"/>
  <c r="L1070" i="2"/>
  <c r="L1069" i="2"/>
  <c r="L1068" i="2"/>
  <c r="L1067" i="2"/>
  <c r="L1066" i="2"/>
  <c r="L1065" i="2"/>
  <c r="L1064" i="2"/>
  <c r="L1063" i="2"/>
  <c r="L1062" i="2"/>
  <c r="L1061" i="2"/>
  <c r="L1060" i="2"/>
  <c r="L1059" i="2"/>
  <c r="L1058" i="2"/>
  <c r="L1057" i="2"/>
  <c r="L1056" i="2"/>
  <c r="L1055" i="2"/>
  <c r="L1054" i="2"/>
  <c r="L1053" i="2"/>
  <c r="L1052" i="2"/>
  <c r="L1051" i="2"/>
  <c r="L1050" i="2"/>
  <c r="L1049" i="2"/>
  <c r="L1048" i="2"/>
  <c r="L1047" i="2"/>
  <c r="L1046" i="2"/>
  <c r="L1045" i="2"/>
  <c r="L1044" i="2"/>
  <c r="L1043" i="2"/>
  <c r="L1042" i="2"/>
  <c r="L1041" i="2"/>
  <c r="L1040" i="2"/>
  <c r="L1039" i="2"/>
  <c r="L1038" i="2"/>
  <c r="L1037" i="2"/>
  <c r="L1036" i="2"/>
  <c r="L1035" i="2"/>
  <c r="L1034" i="2"/>
  <c r="L1033" i="2"/>
  <c r="L1032" i="2"/>
  <c r="L1031" i="2"/>
  <c r="L1030" i="2"/>
  <c r="L1029" i="2"/>
  <c r="L1028" i="2"/>
  <c r="L1027" i="2"/>
  <c r="L1026" i="2"/>
  <c r="L1025" i="2"/>
  <c r="L1024" i="2"/>
  <c r="L1023" i="2"/>
  <c r="L1022" i="2"/>
  <c r="L1021" i="2"/>
  <c r="L1020" i="2"/>
  <c r="L1019" i="2"/>
  <c r="L1018" i="2"/>
  <c r="L1017" i="2"/>
  <c r="L1016" i="2"/>
  <c r="L1015" i="2"/>
  <c r="L1014" i="2"/>
  <c r="L1013" i="2"/>
  <c r="L1012" i="2"/>
  <c r="L1011" i="2"/>
  <c r="L1010" i="2"/>
  <c r="L1009" i="2"/>
  <c r="L1008" i="2"/>
  <c r="L1007" i="2"/>
  <c r="L1006" i="2"/>
  <c r="L1005" i="2"/>
  <c r="L1004" i="2"/>
  <c r="L1003" i="2"/>
  <c r="L1002" i="2"/>
  <c r="L1001" i="2"/>
  <c r="L1000" i="2"/>
  <c r="L999" i="2"/>
  <c r="L998" i="2"/>
  <c r="L997" i="2"/>
  <c r="L996" i="2"/>
  <c r="L995" i="2"/>
  <c r="L994" i="2"/>
  <c r="L993" i="2"/>
  <c r="L992" i="2"/>
  <c r="L991" i="2"/>
  <c r="L990" i="2"/>
  <c r="L989" i="2"/>
  <c r="L988" i="2"/>
  <c r="L987" i="2"/>
  <c r="L986" i="2"/>
  <c r="L985" i="2"/>
  <c r="L984" i="2"/>
  <c r="L983" i="2"/>
  <c r="L982" i="2"/>
  <c r="L981" i="2"/>
  <c r="L980" i="2"/>
  <c r="L979" i="2"/>
  <c r="L978" i="2"/>
  <c r="L977" i="2"/>
  <c r="L976" i="2"/>
  <c r="L975" i="2"/>
  <c r="L974" i="2"/>
  <c r="L973" i="2"/>
  <c r="L972" i="2"/>
  <c r="L971" i="2"/>
  <c r="L970" i="2"/>
  <c r="L969" i="2"/>
  <c r="L968" i="2"/>
  <c r="L967" i="2"/>
  <c r="L966" i="2"/>
  <c r="L965" i="2"/>
  <c r="L964" i="2"/>
  <c r="L963" i="2"/>
  <c r="L962" i="2"/>
  <c r="L961" i="2"/>
  <c r="L960" i="2"/>
  <c r="L959" i="2"/>
  <c r="L958" i="2"/>
  <c r="L957" i="2"/>
  <c r="L956" i="2"/>
  <c r="L955" i="2"/>
  <c r="L954" i="2"/>
  <c r="L953" i="2"/>
  <c r="L952" i="2"/>
  <c r="L951" i="2"/>
  <c r="L950" i="2"/>
  <c r="L949" i="2"/>
  <c r="L948" i="2"/>
  <c r="L947" i="2"/>
  <c r="L946" i="2"/>
  <c r="L945" i="2"/>
  <c r="L944" i="2"/>
  <c r="L943" i="2"/>
  <c r="L942" i="2"/>
  <c r="L941" i="2"/>
  <c r="L940" i="2"/>
  <c r="L939" i="2"/>
  <c r="L938" i="2"/>
  <c r="L937" i="2"/>
  <c r="L936" i="2"/>
  <c r="L935" i="2"/>
  <c r="L934" i="2"/>
  <c r="L933" i="2"/>
  <c r="L932" i="2"/>
  <c r="L931" i="2"/>
  <c r="L930" i="2"/>
  <c r="L929" i="2"/>
  <c r="L928" i="2"/>
  <c r="L927" i="2"/>
  <c r="L926" i="2"/>
  <c r="L925" i="2"/>
  <c r="L924" i="2"/>
  <c r="L923" i="2"/>
  <c r="L922" i="2"/>
  <c r="L921" i="2"/>
  <c r="L920" i="2"/>
  <c r="L919" i="2"/>
  <c r="L918" i="2"/>
  <c r="L917" i="2"/>
  <c r="L916" i="2"/>
  <c r="L915" i="2"/>
  <c r="L914" i="2"/>
  <c r="L913" i="2"/>
  <c r="L912" i="2"/>
  <c r="L911" i="2"/>
  <c r="L910" i="2"/>
  <c r="L909" i="2"/>
  <c r="L908" i="2"/>
  <c r="L907" i="2"/>
  <c r="L906" i="2"/>
  <c r="L905" i="2"/>
  <c r="L904" i="2"/>
  <c r="L903" i="2"/>
  <c r="L902" i="2"/>
  <c r="L901" i="2"/>
  <c r="L900" i="2"/>
  <c r="L899" i="2"/>
  <c r="L898" i="2"/>
  <c r="L897" i="2"/>
  <c r="L896" i="2"/>
  <c r="L895" i="2"/>
  <c r="L894" i="2"/>
  <c r="L893" i="2"/>
  <c r="L892" i="2"/>
  <c r="L891" i="2"/>
  <c r="L890" i="2"/>
  <c r="L889" i="2"/>
  <c r="L888" i="2"/>
  <c r="L887" i="2"/>
  <c r="L886" i="2"/>
  <c r="L885" i="2"/>
  <c r="L884" i="2"/>
  <c r="L883" i="2"/>
  <c r="L882" i="2"/>
  <c r="L881" i="2"/>
  <c r="L880" i="2"/>
  <c r="L879" i="2"/>
  <c r="L878" i="2"/>
  <c r="L877" i="2"/>
  <c r="L876" i="2"/>
  <c r="L875" i="2"/>
  <c r="L874" i="2"/>
  <c r="L873" i="2"/>
  <c r="L872" i="2"/>
  <c r="L871" i="2"/>
  <c r="L870" i="2"/>
  <c r="L869" i="2"/>
  <c r="L868" i="2"/>
  <c r="L867" i="2"/>
  <c r="L866" i="2"/>
  <c r="L865" i="2"/>
  <c r="L864" i="2"/>
  <c r="L863" i="2"/>
  <c r="L862" i="2"/>
  <c r="L861" i="2"/>
  <c r="L860" i="2"/>
  <c r="L859" i="2"/>
  <c r="L858" i="2"/>
  <c r="L857" i="2"/>
  <c r="L856" i="2"/>
  <c r="L855" i="2"/>
  <c r="L854" i="2"/>
  <c r="L853" i="2"/>
  <c r="L852" i="2"/>
  <c r="L851" i="2"/>
  <c r="L850" i="2"/>
  <c r="L849" i="2"/>
  <c r="L848" i="2"/>
  <c r="L847" i="2"/>
  <c r="L846" i="2"/>
  <c r="L845" i="2"/>
  <c r="L844" i="2"/>
  <c r="L843" i="2"/>
  <c r="L842" i="2"/>
  <c r="L841" i="2"/>
  <c r="L840" i="2"/>
  <c r="L839" i="2"/>
  <c r="L838" i="2"/>
  <c r="L837" i="2"/>
  <c r="L836" i="2"/>
  <c r="L835" i="2"/>
  <c r="L834" i="2"/>
  <c r="L833" i="2"/>
  <c r="L832" i="2"/>
  <c r="L831" i="2"/>
  <c r="L830" i="2"/>
  <c r="L829" i="2"/>
  <c r="L828" i="2"/>
  <c r="L827" i="2"/>
  <c r="L826" i="2"/>
  <c r="L825" i="2"/>
  <c r="L824" i="2"/>
  <c r="L823" i="2"/>
  <c r="L822" i="2"/>
  <c r="L821" i="2"/>
  <c r="L820" i="2"/>
  <c r="L819" i="2"/>
  <c r="L818" i="2"/>
  <c r="L817" i="2"/>
  <c r="L816" i="2"/>
  <c r="L815" i="2"/>
  <c r="L814" i="2"/>
  <c r="L813" i="2"/>
  <c r="L812" i="2"/>
  <c r="L811" i="2"/>
  <c r="L810" i="2"/>
  <c r="L809" i="2"/>
  <c r="L808" i="2"/>
  <c r="L807" i="2"/>
  <c r="L806" i="2"/>
  <c r="L805" i="2"/>
  <c r="L804" i="2"/>
  <c r="L803" i="2"/>
  <c r="L802" i="2"/>
  <c r="L801" i="2"/>
  <c r="L800" i="2"/>
  <c r="L799" i="2"/>
  <c r="L798" i="2"/>
  <c r="L797" i="2"/>
  <c r="L796" i="2"/>
  <c r="L795" i="2"/>
  <c r="L794" i="2"/>
  <c r="L793" i="2"/>
  <c r="L792" i="2"/>
  <c r="L791" i="2"/>
  <c r="L790" i="2"/>
  <c r="L789" i="2"/>
  <c r="L788" i="2"/>
  <c r="L787" i="2"/>
  <c r="L786" i="2"/>
  <c r="L785" i="2"/>
  <c r="L784" i="2"/>
  <c r="L783" i="2"/>
  <c r="L782" i="2"/>
  <c r="L781" i="2"/>
  <c r="L780" i="2"/>
  <c r="L779" i="2"/>
  <c r="L778" i="2"/>
  <c r="L777" i="2"/>
  <c r="L776" i="2"/>
  <c r="L775" i="2"/>
  <c r="L774" i="2"/>
  <c r="L773" i="2"/>
  <c r="L772" i="2"/>
  <c r="L771" i="2"/>
  <c r="L770" i="2"/>
  <c r="L769" i="2"/>
  <c r="L768" i="2"/>
  <c r="L767" i="2"/>
  <c r="L766" i="2"/>
  <c r="L765" i="2"/>
  <c r="L764" i="2"/>
  <c r="L763" i="2"/>
  <c r="L762" i="2"/>
  <c r="L761" i="2"/>
  <c r="L760" i="2"/>
  <c r="L759" i="2"/>
  <c r="L758" i="2"/>
  <c r="L757" i="2"/>
  <c r="L756" i="2"/>
  <c r="L755" i="2"/>
  <c r="L754" i="2"/>
  <c r="L753" i="2"/>
  <c r="L752" i="2"/>
  <c r="L751" i="2"/>
  <c r="L750" i="2"/>
  <c r="L749" i="2"/>
  <c r="L748" i="2"/>
  <c r="L747" i="2"/>
  <c r="L746" i="2"/>
  <c r="L745" i="2"/>
  <c r="L744" i="2"/>
  <c r="L743" i="2"/>
  <c r="L742" i="2"/>
  <c r="L741" i="2"/>
  <c r="L740" i="2"/>
  <c r="L739" i="2"/>
  <c r="L738" i="2"/>
  <c r="L737" i="2"/>
  <c r="L736" i="2"/>
  <c r="L735" i="2"/>
  <c r="L734" i="2"/>
  <c r="L733" i="2"/>
  <c r="L732" i="2"/>
  <c r="L731" i="2"/>
  <c r="L730" i="2"/>
  <c r="L729" i="2"/>
  <c r="L728" i="2"/>
  <c r="L727" i="2"/>
  <c r="L726" i="2"/>
  <c r="L725" i="2"/>
  <c r="L724" i="2"/>
  <c r="L723" i="2"/>
  <c r="L722" i="2"/>
  <c r="L721" i="2"/>
  <c r="L720" i="2"/>
  <c r="L719" i="2"/>
  <c r="L718" i="2"/>
  <c r="L717" i="2"/>
  <c r="L716" i="2"/>
  <c r="L715" i="2"/>
  <c r="L714" i="2"/>
  <c r="L713" i="2"/>
  <c r="L712" i="2"/>
  <c r="L711" i="2"/>
  <c r="L710" i="2"/>
  <c r="L709" i="2"/>
  <c r="L708" i="2"/>
  <c r="L707" i="2"/>
  <c r="L706" i="2"/>
  <c r="L705" i="2"/>
  <c r="L704" i="2"/>
  <c r="L703" i="2"/>
  <c r="L702" i="2"/>
  <c r="L701" i="2"/>
  <c r="L700" i="2"/>
  <c r="L699" i="2"/>
  <c r="L698" i="2"/>
  <c r="L697" i="2"/>
  <c r="L696" i="2"/>
  <c r="L695" i="2"/>
  <c r="L694" i="2"/>
  <c r="L693" i="2"/>
  <c r="L692" i="2"/>
  <c r="L691" i="2"/>
  <c r="L690" i="2"/>
  <c r="L689" i="2"/>
  <c r="L688" i="2"/>
  <c r="L687" i="2"/>
  <c r="L686" i="2"/>
  <c r="L685" i="2"/>
  <c r="L684" i="2"/>
  <c r="L683" i="2"/>
  <c r="L682" i="2"/>
  <c r="L681" i="2"/>
  <c r="L680" i="2"/>
  <c r="L679" i="2"/>
  <c r="L678" i="2"/>
  <c r="L677" i="2"/>
  <c r="L676" i="2"/>
  <c r="L675" i="2"/>
  <c r="L674" i="2"/>
  <c r="L673" i="2"/>
  <c r="L672" i="2"/>
  <c r="L671" i="2"/>
  <c r="L670" i="2"/>
  <c r="L669" i="2"/>
  <c r="L668" i="2"/>
  <c r="L667" i="2"/>
  <c r="L666" i="2"/>
  <c r="L665" i="2"/>
  <c r="L664" i="2"/>
  <c r="L663" i="2"/>
  <c r="L662" i="2"/>
  <c r="L661" i="2"/>
  <c r="L660" i="2"/>
  <c r="L659" i="2"/>
  <c r="L658" i="2"/>
  <c r="L657" i="2"/>
  <c r="L656" i="2"/>
  <c r="L655" i="2"/>
  <c r="L654" i="2"/>
  <c r="L653" i="2"/>
  <c r="L652" i="2"/>
  <c r="L651" i="2"/>
  <c r="L650" i="2"/>
  <c r="L649" i="2"/>
  <c r="L648" i="2"/>
  <c r="L647" i="2"/>
  <c r="L646" i="2"/>
  <c r="L645" i="2"/>
  <c r="L644" i="2"/>
  <c r="L643" i="2"/>
  <c r="L642" i="2"/>
  <c r="L641" i="2"/>
  <c r="L640" i="2"/>
  <c r="L639" i="2"/>
  <c r="L638" i="2"/>
  <c r="L637" i="2"/>
  <c r="L636" i="2"/>
  <c r="L635" i="2"/>
  <c r="L634" i="2"/>
  <c r="L633" i="2"/>
  <c r="L632" i="2"/>
  <c r="L631" i="2"/>
  <c r="L630" i="2"/>
  <c r="L629" i="2"/>
  <c r="L628" i="2"/>
  <c r="L627" i="2"/>
  <c r="L626" i="2"/>
  <c r="L625" i="2"/>
  <c r="L624" i="2"/>
  <c r="L623" i="2"/>
  <c r="L622" i="2"/>
  <c r="L621" i="2"/>
  <c r="L620" i="2"/>
  <c r="L619" i="2"/>
  <c r="L618" i="2"/>
  <c r="L617" i="2"/>
  <c r="L616" i="2"/>
  <c r="L615" i="2"/>
  <c r="L614" i="2"/>
  <c r="L613" i="2"/>
  <c r="L612" i="2"/>
  <c r="L611" i="2"/>
  <c r="L610" i="2"/>
  <c r="L609" i="2"/>
  <c r="L608" i="2"/>
  <c r="L607" i="2"/>
  <c r="L606" i="2"/>
  <c r="L605" i="2"/>
  <c r="L604" i="2"/>
  <c r="L603" i="2"/>
  <c r="L602" i="2"/>
  <c r="L601" i="2"/>
  <c r="L600" i="2"/>
  <c r="L599" i="2"/>
  <c r="L598" i="2"/>
  <c r="L597" i="2"/>
  <c r="L596" i="2"/>
  <c r="L595" i="2"/>
  <c r="L594" i="2"/>
  <c r="L593" i="2"/>
  <c r="L592" i="2"/>
  <c r="L591" i="2"/>
  <c r="L590" i="2"/>
  <c r="L589" i="2"/>
  <c r="L588" i="2"/>
  <c r="L587" i="2"/>
  <c r="L586" i="2"/>
  <c r="L585" i="2"/>
  <c r="L584" i="2"/>
  <c r="L583" i="2"/>
  <c r="L582" i="2"/>
  <c r="L581" i="2"/>
  <c r="L580" i="2"/>
  <c r="L579" i="2"/>
  <c r="L578" i="2"/>
  <c r="L577" i="2"/>
  <c r="L576" i="2"/>
  <c r="L575" i="2"/>
  <c r="L574" i="2"/>
  <c r="L573" i="2"/>
  <c r="L572" i="2"/>
  <c r="L571" i="2"/>
  <c r="L570" i="2"/>
  <c r="L569" i="2"/>
  <c r="L568" i="2"/>
  <c r="L567" i="2"/>
  <c r="L566" i="2"/>
  <c r="L565" i="2"/>
  <c r="L564" i="2"/>
  <c r="L563" i="2"/>
  <c r="L562" i="2"/>
  <c r="L561" i="2"/>
  <c r="L560" i="2"/>
  <c r="L559" i="2"/>
  <c r="L558" i="2"/>
  <c r="L557" i="2"/>
  <c r="L556" i="2"/>
  <c r="L555" i="2"/>
  <c r="L554" i="2"/>
  <c r="L553" i="2"/>
  <c r="L552" i="2"/>
  <c r="L551" i="2"/>
  <c r="L550" i="2"/>
  <c r="L549" i="2"/>
  <c r="L548" i="2"/>
  <c r="L547" i="2"/>
  <c r="L546" i="2"/>
  <c r="L545" i="2"/>
  <c r="L544" i="2"/>
  <c r="L543" i="2"/>
  <c r="L542" i="2"/>
  <c r="L541" i="2"/>
  <c r="L540" i="2"/>
  <c r="L539" i="2"/>
  <c r="L538" i="2"/>
  <c r="L537" i="2"/>
  <c r="L536" i="2"/>
  <c r="L535" i="2"/>
  <c r="L534" i="2"/>
  <c r="L533" i="2"/>
  <c r="L532" i="2"/>
  <c r="L531" i="2"/>
  <c r="L530" i="2"/>
  <c r="L529" i="2"/>
  <c r="L528" i="2"/>
  <c r="L527" i="2"/>
  <c r="L526" i="2"/>
  <c r="L525" i="2"/>
  <c r="L524" i="2"/>
  <c r="L523" i="2"/>
  <c r="L522" i="2"/>
  <c r="L521" i="2"/>
  <c r="L520" i="2"/>
  <c r="L519" i="2"/>
  <c r="L518" i="2"/>
  <c r="L517" i="2"/>
  <c r="L516" i="2"/>
  <c r="L515" i="2"/>
  <c r="L514" i="2"/>
  <c r="L513" i="2"/>
  <c r="L512" i="2"/>
  <c r="L511" i="2"/>
  <c r="L510" i="2"/>
  <c r="L509" i="2"/>
  <c r="L508" i="2"/>
  <c r="L507" i="2"/>
  <c r="L506" i="2"/>
  <c r="L505" i="2"/>
  <c r="L504" i="2"/>
  <c r="L503" i="2"/>
  <c r="L502" i="2"/>
  <c r="L501" i="2"/>
  <c r="L500" i="2"/>
  <c r="L499" i="2"/>
  <c r="L498" i="2"/>
  <c r="L497" i="2"/>
  <c r="L496" i="2"/>
  <c r="L495" i="2"/>
  <c r="L494" i="2"/>
  <c r="L493" i="2"/>
  <c r="L492" i="2"/>
  <c r="L491" i="2"/>
  <c r="L490" i="2"/>
  <c r="L489" i="2"/>
  <c r="L488" i="2"/>
  <c r="L487" i="2"/>
  <c r="L486" i="2"/>
  <c r="L485" i="2"/>
  <c r="L484" i="2"/>
  <c r="L483" i="2"/>
  <c r="L482" i="2"/>
  <c r="L481" i="2"/>
  <c r="L480" i="2"/>
  <c r="L479" i="2"/>
  <c r="L478" i="2"/>
  <c r="L477" i="2"/>
  <c r="L476" i="2"/>
  <c r="L475" i="2"/>
  <c r="L474" i="2"/>
  <c r="L473" i="2"/>
  <c r="L472" i="2"/>
  <c r="L471" i="2"/>
  <c r="L470" i="2"/>
  <c r="L469" i="2"/>
  <c r="L468" i="2"/>
  <c r="L467" i="2"/>
  <c r="L466" i="2"/>
  <c r="L465" i="2"/>
  <c r="L464" i="2"/>
  <c r="L463" i="2"/>
  <c r="L462" i="2"/>
  <c r="L461" i="2"/>
  <c r="L460" i="2"/>
  <c r="L459" i="2"/>
  <c r="L458" i="2"/>
  <c r="L457" i="2"/>
  <c r="L456" i="2"/>
  <c r="L455" i="2"/>
  <c r="L454" i="2"/>
  <c r="L453" i="2"/>
  <c r="L452" i="2"/>
  <c r="L451" i="2"/>
  <c r="L450" i="2"/>
  <c r="L449" i="2"/>
  <c r="L448" i="2"/>
  <c r="L447" i="2"/>
  <c r="L446" i="2"/>
  <c r="L445" i="2"/>
  <c r="L444" i="2"/>
  <c r="L443" i="2"/>
  <c r="L442" i="2"/>
  <c r="L441" i="2"/>
  <c r="L440" i="2"/>
  <c r="L439" i="2"/>
  <c r="L438" i="2"/>
  <c r="L437" i="2"/>
  <c r="L436" i="2"/>
  <c r="L435" i="2"/>
  <c r="L434" i="2"/>
  <c r="L433" i="2"/>
  <c r="L432" i="2"/>
  <c r="L431" i="2"/>
  <c r="L430" i="2"/>
  <c r="L429" i="2"/>
  <c r="L428" i="2"/>
  <c r="L427" i="2"/>
  <c r="L426" i="2"/>
  <c r="L425" i="2"/>
  <c r="L424" i="2"/>
  <c r="L423" i="2"/>
  <c r="L422" i="2"/>
  <c r="L421" i="2"/>
  <c r="L420" i="2"/>
  <c r="L419" i="2"/>
  <c r="L418" i="2"/>
  <c r="L417" i="2"/>
  <c r="L416" i="2"/>
  <c r="L415" i="2"/>
  <c r="L414" i="2"/>
  <c r="L413" i="2"/>
  <c r="L412" i="2"/>
  <c r="L411" i="2"/>
  <c r="L410" i="2"/>
  <c r="L409" i="2"/>
  <c r="L408" i="2"/>
  <c r="L407" i="2"/>
  <c r="L406" i="2"/>
  <c r="L405" i="2"/>
  <c r="L404" i="2"/>
  <c r="L403" i="2"/>
  <c r="L402" i="2"/>
  <c r="L401" i="2"/>
  <c r="L400" i="2"/>
  <c r="L399" i="2"/>
  <c r="L398" i="2"/>
  <c r="L397" i="2"/>
  <c r="L396" i="2"/>
  <c r="L395" i="2"/>
  <c r="L394" i="2"/>
  <c r="L393" i="2"/>
  <c r="L392" i="2"/>
  <c r="L391" i="2"/>
  <c r="L390" i="2"/>
  <c r="L389" i="2"/>
  <c r="L388" i="2"/>
  <c r="L387" i="2"/>
  <c r="L386" i="2"/>
  <c r="L385" i="2"/>
  <c r="L384" i="2"/>
  <c r="L383" i="2"/>
  <c r="L382" i="2"/>
  <c r="L381" i="2"/>
  <c r="L380" i="2"/>
  <c r="L379" i="2"/>
  <c r="L378" i="2"/>
  <c r="L377" i="2"/>
  <c r="L376" i="2"/>
  <c r="L375" i="2"/>
  <c r="L374" i="2"/>
  <c r="L373" i="2"/>
  <c r="L372" i="2"/>
  <c r="L371" i="2"/>
  <c r="L370" i="2"/>
  <c r="L369" i="2"/>
  <c r="L368" i="2"/>
  <c r="L367" i="2"/>
  <c r="L366" i="2"/>
  <c r="L365" i="2"/>
  <c r="L364" i="2"/>
  <c r="L363" i="2"/>
  <c r="L362" i="2"/>
  <c r="L361" i="2"/>
  <c r="L360" i="2"/>
  <c r="L359" i="2"/>
  <c r="L358" i="2"/>
  <c r="L357" i="2"/>
  <c r="L356" i="2"/>
  <c r="L355" i="2"/>
  <c r="L354" i="2"/>
  <c r="L353" i="2"/>
  <c r="L352" i="2"/>
  <c r="L351" i="2"/>
  <c r="L350" i="2"/>
  <c r="L349" i="2"/>
  <c r="L348" i="2"/>
  <c r="L347" i="2"/>
  <c r="L346" i="2"/>
  <c r="L345" i="2"/>
  <c r="L344" i="2"/>
  <c r="L343" i="2"/>
  <c r="L342" i="2"/>
  <c r="L341" i="2"/>
  <c r="L340" i="2"/>
  <c r="L339" i="2"/>
  <c r="L338" i="2"/>
  <c r="L337" i="2"/>
  <c r="L336" i="2"/>
  <c r="L335" i="2"/>
  <c r="L334" i="2"/>
  <c r="L333" i="2"/>
  <c r="L332" i="2"/>
  <c r="L331" i="2"/>
  <c r="L330" i="2"/>
  <c r="L329" i="2"/>
  <c r="L328" i="2"/>
  <c r="L327" i="2"/>
  <c r="L326" i="2"/>
  <c r="L325" i="2"/>
  <c r="L324" i="2"/>
  <c r="L323" i="2"/>
  <c r="L322" i="2"/>
  <c r="L321" i="2"/>
  <c r="L320" i="2"/>
  <c r="L319" i="2"/>
  <c r="L318" i="2"/>
  <c r="L317" i="2"/>
  <c r="L316" i="2"/>
  <c r="L315" i="2"/>
  <c r="L314" i="2"/>
  <c r="L313" i="2"/>
  <c r="L312" i="2"/>
  <c r="L311" i="2"/>
  <c r="L310" i="2"/>
  <c r="L309" i="2"/>
  <c r="L308" i="2"/>
  <c r="L307" i="2"/>
  <c r="L306" i="2"/>
  <c r="L305" i="2"/>
  <c r="L304" i="2"/>
  <c r="L303" i="2"/>
  <c r="L302" i="2"/>
  <c r="L301" i="2"/>
  <c r="L300" i="2"/>
  <c r="L299" i="2"/>
  <c r="L298" i="2"/>
  <c r="L297" i="2"/>
  <c r="L296" i="2"/>
  <c r="L295" i="2"/>
  <c r="L294" i="2"/>
  <c r="L293" i="2"/>
  <c r="L292" i="2"/>
  <c r="L291" i="2"/>
  <c r="L290" i="2"/>
  <c r="L289" i="2"/>
  <c r="L288" i="2"/>
  <c r="L287" i="2"/>
  <c r="L286" i="2"/>
  <c r="L285" i="2"/>
  <c r="L284" i="2"/>
  <c r="L283" i="2"/>
  <c r="L282" i="2"/>
  <c r="L281" i="2"/>
  <c r="L280" i="2"/>
  <c r="L279" i="2"/>
  <c r="L278" i="2"/>
  <c r="L277" i="2"/>
  <c r="L276" i="2"/>
  <c r="L275" i="2"/>
  <c r="L274" i="2"/>
  <c r="L273" i="2"/>
  <c r="L272" i="2"/>
  <c r="L271" i="2"/>
  <c r="L270" i="2"/>
  <c r="L269" i="2"/>
  <c r="L268" i="2"/>
  <c r="L267" i="2"/>
  <c r="L266" i="2"/>
  <c r="L265" i="2"/>
  <c r="L264" i="2"/>
  <c r="L263" i="2"/>
  <c r="L262" i="2"/>
  <c r="L261" i="2"/>
  <c r="L260" i="2"/>
  <c r="L259" i="2"/>
  <c r="L258" i="2"/>
  <c r="L257" i="2"/>
  <c r="L256" i="2"/>
  <c r="L255" i="2"/>
  <c r="L254" i="2"/>
  <c r="L253" i="2"/>
  <c r="L252" i="2"/>
  <c r="L251" i="2"/>
  <c r="L250" i="2"/>
  <c r="L249" i="2"/>
  <c r="L248" i="2"/>
  <c r="L247" i="2"/>
  <c r="L246" i="2"/>
  <c r="L245" i="2"/>
  <c r="L244" i="2"/>
  <c r="L243" i="2"/>
  <c r="L242" i="2"/>
  <c r="L241" i="2"/>
  <c r="L240" i="2"/>
  <c r="L239" i="2"/>
  <c r="L238" i="2"/>
  <c r="L237" i="2"/>
  <c r="L236" i="2"/>
  <c r="L235" i="2"/>
  <c r="L234" i="2"/>
  <c r="L233" i="2"/>
  <c r="L232" i="2"/>
  <c r="L231" i="2"/>
  <c r="L230" i="2"/>
  <c r="L229" i="2"/>
  <c r="L228" i="2"/>
  <c r="L227" i="2"/>
  <c r="L226" i="2"/>
  <c r="L225" i="2"/>
  <c r="L224" i="2"/>
  <c r="L223" i="2"/>
  <c r="L222" i="2"/>
  <c r="L221" i="2"/>
  <c r="L220" i="2"/>
  <c r="L219" i="2"/>
  <c r="L218" i="2"/>
  <c r="L217" i="2"/>
  <c r="L216" i="2"/>
  <c r="L215" i="2"/>
  <c r="L214" i="2"/>
  <c r="L213" i="2"/>
  <c r="L212" i="2"/>
  <c r="L211" i="2"/>
  <c r="L210" i="2"/>
  <c r="L209" i="2"/>
  <c r="L208" i="2"/>
  <c r="L207" i="2"/>
  <c r="L206" i="2"/>
  <c r="L205" i="2"/>
  <c r="L204" i="2"/>
  <c r="L203" i="2"/>
  <c r="L202" i="2"/>
  <c r="L201" i="2"/>
  <c r="L200" i="2"/>
  <c r="L199" i="2"/>
  <c r="L198" i="2"/>
  <c r="L197" i="2"/>
  <c r="L196" i="2"/>
  <c r="L195" i="2"/>
  <c r="L194" i="2"/>
  <c r="L193" i="2"/>
  <c r="L192" i="2"/>
  <c r="L191" i="2"/>
  <c r="L190" i="2"/>
  <c r="L189" i="2"/>
  <c r="L188" i="2"/>
  <c r="L187" i="2"/>
  <c r="L186" i="2"/>
  <c r="L185" i="2"/>
  <c r="L184" i="2"/>
  <c r="L183" i="2"/>
  <c r="L182" i="2"/>
  <c r="L181" i="2"/>
  <c r="L180" i="2"/>
  <c r="L179" i="2"/>
  <c r="L178" i="2"/>
  <c r="L177" i="2"/>
  <c r="L176" i="2"/>
  <c r="L175" i="2"/>
  <c r="L174" i="2"/>
  <c r="L173" i="2"/>
  <c r="L172" i="2"/>
  <c r="L171" i="2"/>
  <c r="L170" i="2"/>
  <c r="L169" i="2"/>
  <c r="L168" i="2"/>
  <c r="L167" i="2"/>
  <c r="L166" i="2"/>
  <c r="L165" i="2"/>
  <c r="L164" i="2"/>
  <c r="L163" i="2"/>
  <c r="L162" i="2"/>
  <c r="L161" i="2"/>
  <c r="L160" i="2"/>
  <c r="L159" i="2"/>
  <c r="L158" i="2"/>
  <c r="L157" i="2"/>
  <c r="L156" i="2"/>
  <c r="L155" i="2"/>
  <c r="L154" i="2"/>
  <c r="L153" i="2"/>
  <c r="L152" i="2"/>
  <c r="L151" i="2"/>
  <c r="L150" i="2"/>
  <c r="L149" i="2"/>
  <c r="L148" i="2"/>
  <c r="L147" i="2"/>
  <c r="L146" i="2"/>
  <c r="L145" i="2"/>
  <c r="L144" i="2"/>
  <c r="L143" i="2"/>
  <c r="L142" i="2"/>
  <c r="L141" i="2"/>
  <c r="L140" i="2"/>
  <c r="L139" i="2"/>
  <c r="L138" i="2"/>
  <c r="L137" i="2"/>
  <c r="L136" i="2"/>
  <c r="L135" i="2"/>
  <c r="L134" i="2"/>
  <c r="L133" i="2"/>
  <c r="L132" i="2"/>
  <c r="L131" i="2"/>
  <c r="L130" i="2"/>
  <c r="L129" i="2"/>
  <c r="L128" i="2"/>
  <c r="L127" i="2"/>
  <c r="L126" i="2"/>
  <c r="L125" i="2"/>
  <c r="L124" i="2"/>
  <c r="L123" i="2"/>
  <c r="L122" i="2"/>
  <c r="L121" i="2"/>
  <c r="L120" i="2"/>
  <c r="L119" i="2"/>
  <c r="L118" i="2"/>
  <c r="L117" i="2"/>
  <c r="L116" i="2"/>
  <c r="L115" i="2"/>
  <c r="L114" i="2"/>
  <c r="L113" i="2"/>
  <c r="L112" i="2"/>
  <c r="L111" i="2"/>
  <c r="L110" i="2"/>
  <c r="L109" i="2"/>
  <c r="L108" i="2"/>
  <c r="L107" i="2"/>
  <c r="L106" i="2"/>
  <c r="L105" i="2"/>
  <c r="L104" i="2"/>
  <c r="L103" i="2"/>
  <c r="L102" i="2"/>
  <c r="L101" i="2"/>
  <c r="L100" i="2"/>
  <c r="L99" i="2"/>
  <c r="L98" i="2"/>
  <c r="L97" i="2"/>
  <c r="L96" i="2"/>
  <c r="L95" i="2"/>
  <c r="L94" i="2"/>
  <c r="L93" i="2"/>
  <c r="L92" i="2"/>
  <c r="L91" i="2"/>
  <c r="L90" i="2"/>
  <c r="L89" i="2"/>
  <c r="L88" i="2"/>
  <c r="L87" i="2"/>
  <c r="L86" i="2"/>
  <c r="L85" i="2"/>
  <c r="L84" i="2"/>
  <c r="L83" i="2"/>
  <c r="L82" i="2"/>
  <c r="L81" i="2"/>
  <c r="L80" i="2"/>
  <c r="L79" i="2"/>
  <c r="L78" i="2"/>
  <c r="L77" i="2"/>
  <c r="L76" i="2"/>
  <c r="L75" i="2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</calcChain>
</file>

<file path=xl/sharedStrings.xml><?xml version="1.0" encoding="utf-8"?>
<sst xmlns="http://schemas.openxmlformats.org/spreadsheetml/2006/main" count="46018" uniqueCount="10020">
  <si>
    <t>Orden</t>
  </si>
  <si>
    <t>Identifier</t>
  </si>
  <si>
    <t>LAT</t>
  </si>
  <si>
    <t>LON</t>
  </si>
  <si>
    <t>S1</t>
  </si>
  <si>
    <t>S2</t>
  </si>
  <si>
    <t>S3</t>
  </si>
  <si>
    <t>S4</t>
  </si>
  <si>
    <t>S5</t>
  </si>
  <si>
    <t>Etiqueta</t>
  </si>
  <si>
    <t>Img</t>
  </si>
  <si>
    <t>Link_img</t>
  </si>
  <si>
    <t>Estrategia</t>
  </si>
  <si>
    <t>A-490__564</t>
  </si>
  <si>
    <t>marker_306_819233.png</t>
  </si>
  <si>
    <t>Moda</t>
  </si>
  <si>
    <t>A-490__569</t>
  </si>
  <si>
    <t>marker_718_819307.png</t>
  </si>
  <si>
    <t>A-490__572</t>
  </si>
  <si>
    <t>marker_478_819358.png</t>
  </si>
  <si>
    <t>A-490__577</t>
  </si>
  <si>
    <t>marker_851_819431.png</t>
  </si>
  <si>
    <t>A-490__580</t>
  </si>
  <si>
    <t>marker_387_819473.png</t>
  </si>
  <si>
    <t>A-490__582</t>
  </si>
  <si>
    <t>marker_683_819501.png</t>
  </si>
  <si>
    <t>A-490__617</t>
  </si>
  <si>
    <t>marker_303_820275.png</t>
  </si>
  <si>
    <t>A-495R__116</t>
  </si>
  <si>
    <t>marker_263_895446.png</t>
  </si>
  <si>
    <t>A-495R__114</t>
  </si>
  <si>
    <t>marker_846_895649.png</t>
  </si>
  <si>
    <t>A-495R__113</t>
  </si>
  <si>
    <t>marker_460_895660.png</t>
  </si>
  <si>
    <t>A-495R__112</t>
  </si>
  <si>
    <t>marker_946_895675.png</t>
  </si>
  <si>
    <t>A-495R__111</t>
  </si>
  <si>
    <t>marker_201_895686.png</t>
  </si>
  <si>
    <t>A-495R__110</t>
  </si>
  <si>
    <t>marker_787_895727.png</t>
  </si>
  <si>
    <t>A-495R__109</t>
  </si>
  <si>
    <t>marker_979_895762.png</t>
  </si>
  <si>
    <t>A-5052__255</t>
  </si>
  <si>
    <t>marker_728_960145.png</t>
  </si>
  <si>
    <t>A-5052__261</t>
  </si>
  <si>
    <t>marker_817_960212.png</t>
  </si>
  <si>
    <t>A-5052__421</t>
  </si>
  <si>
    <t>marker_870_962882.png</t>
  </si>
  <si>
    <t>A-5052__422</t>
  </si>
  <si>
    <t>marker_828_962895.png</t>
  </si>
  <si>
    <t>A-5052__424</t>
  </si>
  <si>
    <t>marker_322_962914.png</t>
  </si>
  <si>
    <t>A-5052__425</t>
  </si>
  <si>
    <t>marker_362_962923.png</t>
  </si>
  <si>
    <t>A-5052__426</t>
  </si>
  <si>
    <t>marker_493_962931.png</t>
  </si>
  <si>
    <t>A-5052__427</t>
  </si>
  <si>
    <t>marker_636_962939.png</t>
  </si>
  <si>
    <t>A-5052__428</t>
  </si>
  <si>
    <t>marker_988_962947.png</t>
  </si>
  <si>
    <t>A-5052__431</t>
  </si>
  <si>
    <t>marker_898_962974.png</t>
  </si>
  <si>
    <t>A-5052__432</t>
  </si>
  <si>
    <t>marker_839_962996.png</t>
  </si>
  <si>
    <t>A-5052__433</t>
  </si>
  <si>
    <t>marker_439_963006.png</t>
  </si>
  <si>
    <t>A-5052__436</t>
  </si>
  <si>
    <t>marker_455_963038.png</t>
  </si>
  <si>
    <t>A-5052__452</t>
  </si>
  <si>
    <t>marker_490_963199.png</t>
  </si>
  <si>
    <t>A-5052__453</t>
  </si>
  <si>
    <t>marker_439_963207.png</t>
  </si>
  <si>
    <t>A-5052__458</t>
  </si>
  <si>
    <t>marker_545_963261.png</t>
  </si>
  <si>
    <t>A-5052__463</t>
  </si>
  <si>
    <t>marker_563_963306.png</t>
  </si>
  <si>
    <t>A-5052__464</t>
  </si>
  <si>
    <t>marker_843_963316.png</t>
  </si>
  <si>
    <t>A-5052__465</t>
  </si>
  <si>
    <t>marker_224_963344.png</t>
  </si>
  <si>
    <t>A-5052__485</t>
  </si>
  <si>
    <t>marker_345_963541.png</t>
  </si>
  <si>
    <t>A-5052__486</t>
  </si>
  <si>
    <t>marker_546_963550.png</t>
  </si>
  <si>
    <t>A-5052__488</t>
  </si>
  <si>
    <t>marker_401_963569.png</t>
  </si>
  <si>
    <t>A-5052__494</t>
  </si>
  <si>
    <t>marker_626_963624.png</t>
  </si>
  <si>
    <t>A-495_1__88</t>
  </si>
  <si>
    <t>marker_291_385165.png</t>
  </si>
  <si>
    <t>A-495_1__51</t>
  </si>
  <si>
    <t>marker_539_385553.png</t>
  </si>
  <si>
    <t>A-495_1__29</t>
  </si>
  <si>
    <t>marker_667_385889.png</t>
  </si>
  <si>
    <t>A-497_2C__173</t>
  </si>
  <si>
    <t>marker_618_656226.png</t>
  </si>
  <si>
    <t>A-497_2C__174</t>
  </si>
  <si>
    <t>marker_487_656235.png</t>
  </si>
  <si>
    <t>A-497_2C__175</t>
  </si>
  <si>
    <t>marker_686_656246.png</t>
  </si>
  <si>
    <t>A-497_2C__507</t>
  </si>
  <si>
    <t>marker_495_364130.png</t>
  </si>
  <si>
    <t>A-497__412</t>
  </si>
  <si>
    <t>marker_583_377084.png</t>
  </si>
  <si>
    <t>A-497__411</t>
  </si>
  <si>
    <t>marker_448_377091.png</t>
  </si>
  <si>
    <t>A-497__410</t>
  </si>
  <si>
    <t>marker_622_377099.png</t>
  </si>
  <si>
    <t>A-497__409</t>
  </si>
  <si>
    <t>marker_820_377108.png</t>
  </si>
  <si>
    <t>A-490__265</t>
  </si>
  <si>
    <t>marker_134_749807.png</t>
  </si>
  <si>
    <t>A-490__266</t>
  </si>
  <si>
    <t>marker_933_749826.png</t>
  </si>
  <si>
    <t>A-490__267</t>
  </si>
  <si>
    <t>marker_333_749843.png</t>
  </si>
  <si>
    <t>A-490__268</t>
  </si>
  <si>
    <t>marker_690_749857.png</t>
  </si>
  <si>
    <t>A-490__544</t>
  </si>
  <si>
    <t>marker_218_818404.png</t>
  </si>
  <si>
    <t>A-490__583</t>
  </si>
  <si>
    <t>marker_219_819513.png</t>
  </si>
  <si>
    <t>A-490__584</t>
  </si>
  <si>
    <t>marker_703_819536.png</t>
  </si>
  <si>
    <t>A-490__347</t>
  </si>
  <si>
    <t>marker_213_751630.png</t>
  </si>
  <si>
    <t>A-490__370</t>
  </si>
  <si>
    <t>marker_809_752101.png</t>
  </si>
  <si>
    <t>A-490__406</t>
  </si>
  <si>
    <t>marker_900_753151.png</t>
  </si>
  <si>
    <t>A-490__433</t>
  </si>
  <si>
    <t>marker_423_754540.png</t>
  </si>
  <si>
    <t>A-490__434</t>
  </si>
  <si>
    <t>marker_752_754560.png</t>
  </si>
  <si>
    <t>A-490__480</t>
  </si>
  <si>
    <t>marker_905_755589.png</t>
  </si>
  <si>
    <t>A-490__481</t>
  </si>
  <si>
    <t>marker_230_755606.png</t>
  </si>
  <si>
    <t>A-490__528</t>
  </si>
  <si>
    <t>marker_897_818180.png</t>
  </si>
  <si>
    <t>A-490__529</t>
  </si>
  <si>
    <t>marker_511_818192.png</t>
  </si>
  <si>
    <t>A-490__530</t>
  </si>
  <si>
    <t>marker_309_818205.png</t>
  </si>
  <si>
    <t>A-490__531</t>
  </si>
  <si>
    <t>marker_723_818219.png</t>
  </si>
  <si>
    <t>A-490__555</t>
  </si>
  <si>
    <t>marker_529_818698.png</t>
  </si>
  <si>
    <t>A-490__557</t>
  </si>
  <si>
    <t>marker_749_819120.png</t>
  </si>
  <si>
    <t>A-490__558</t>
  </si>
  <si>
    <t>marker_919_819141.png</t>
  </si>
  <si>
    <t>A-490__559</t>
  </si>
  <si>
    <t>marker_863_819158.png</t>
  </si>
  <si>
    <t>A-490__563</t>
  </si>
  <si>
    <t>marker_146_819219.png</t>
  </si>
  <si>
    <t>A-490__565</t>
  </si>
  <si>
    <t>marker_423_819248.png</t>
  </si>
  <si>
    <t>A-490__566</t>
  </si>
  <si>
    <t>marker_845_819262.png</t>
  </si>
  <si>
    <t>A-490__567</t>
  </si>
  <si>
    <t>marker_896_819277.png</t>
  </si>
  <si>
    <t>A-490__570</t>
  </si>
  <si>
    <t>marker_480_819328.png</t>
  </si>
  <si>
    <t>A-490__574</t>
  </si>
  <si>
    <t>marker_114_819394.png</t>
  </si>
  <si>
    <t>A-490__575</t>
  </si>
  <si>
    <t>marker_297_819408.png</t>
  </si>
  <si>
    <t>A-490__576</t>
  </si>
  <si>
    <t>marker_376_819420.png</t>
  </si>
  <si>
    <t>A-490__578</t>
  </si>
  <si>
    <t>marker_464_819445.png</t>
  </si>
  <si>
    <t>A-490__579</t>
  </si>
  <si>
    <t>marker_145_819457.png</t>
  </si>
  <si>
    <t>A-490__581</t>
  </si>
  <si>
    <t>marker_443_819486.png</t>
  </si>
  <si>
    <t>A-490__609</t>
  </si>
  <si>
    <t>marker_729_820194.png</t>
  </si>
  <si>
    <t>A-495R__115</t>
  </si>
  <si>
    <t>marker_472_895631.png</t>
  </si>
  <si>
    <t>A-495R__108</t>
  </si>
  <si>
    <t>marker_608_895773.png</t>
  </si>
  <si>
    <t>A-495R__107</t>
  </si>
  <si>
    <t>marker_305_895782.png</t>
  </si>
  <si>
    <t>A-495R__101</t>
  </si>
  <si>
    <t>marker_866_896585.png</t>
  </si>
  <si>
    <t>A-495R__100</t>
  </si>
  <si>
    <t>marker_420_896595.png</t>
  </si>
  <si>
    <t>A-495R__99</t>
  </si>
  <si>
    <t>marker_390_896605.png</t>
  </si>
  <si>
    <t>A-495R__97</t>
  </si>
  <si>
    <t>marker_279_906537.png</t>
  </si>
  <si>
    <t>A-495R__95</t>
  </si>
  <si>
    <t>marker_485_906559.png</t>
  </si>
  <si>
    <t>A-495R__94</t>
  </si>
  <si>
    <t>marker_195_906570.png</t>
  </si>
  <si>
    <t>A-495R__93</t>
  </si>
  <si>
    <t>marker_845_906580.png</t>
  </si>
  <si>
    <t>A-495R__92</t>
  </si>
  <si>
    <t>marker_229_906591.png</t>
  </si>
  <si>
    <t>A-495R__91</t>
  </si>
  <si>
    <t>marker_181_906607.png</t>
  </si>
  <si>
    <t>A-495R__90</t>
  </si>
  <si>
    <t>marker_565_906617.png</t>
  </si>
  <si>
    <t>A-495R__88</t>
  </si>
  <si>
    <t>marker_907_906638.png</t>
  </si>
  <si>
    <t>A-495R__87</t>
  </si>
  <si>
    <t>marker_942_906648.png</t>
  </si>
  <si>
    <t>A-495R__80</t>
  </si>
  <si>
    <t>marker_550_906714.png</t>
  </si>
  <si>
    <t>A-5052__38</t>
  </si>
  <si>
    <t>marker_346_956781.png</t>
  </si>
  <si>
    <t>A-5052__39</t>
  </si>
  <si>
    <t>marker_237_956791.png</t>
  </si>
  <si>
    <t>A-5052__40</t>
  </si>
  <si>
    <t>marker_121_956809.png</t>
  </si>
  <si>
    <t>A-5052__41</t>
  </si>
  <si>
    <t>marker_644_956821.png</t>
  </si>
  <si>
    <t>A-5052__45</t>
  </si>
  <si>
    <t>marker_734_956868.png</t>
  </si>
  <si>
    <t>A-5052__62</t>
  </si>
  <si>
    <t>marker_421_957088.png</t>
  </si>
  <si>
    <t>A-5052__63</t>
  </si>
  <si>
    <t>marker_195_957100.png</t>
  </si>
  <si>
    <t>A-5052__72</t>
  </si>
  <si>
    <t>marker_832_957198.png</t>
  </si>
  <si>
    <t>A-5052__77</t>
  </si>
  <si>
    <t>marker_475_957254.png</t>
  </si>
  <si>
    <t>A-5052__79</t>
  </si>
  <si>
    <t>marker_987_957274.png</t>
  </si>
  <si>
    <t>A-5052__80</t>
  </si>
  <si>
    <t>marker_570_957286.png</t>
  </si>
  <si>
    <t>A-5052__89</t>
  </si>
  <si>
    <t>marker_134_957487.png</t>
  </si>
  <si>
    <t>A-5052__90</t>
  </si>
  <si>
    <t>marker_642_957497.png</t>
  </si>
  <si>
    <t>A-5052__91</t>
  </si>
  <si>
    <t>marker_932_957508.png</t>
  </si>
  <si>
    <t>A-5052__96</t>
  </si>
  <si>
    <t>marker_323_957613.png</t>
  </si>
  <si>
    <t>A-5052__99</t>
  </si>
  <si>
    <t>marker_104_957649.png</t>
  </si>
  <si>
    <t>A-5052__121</t>
  </si>
  <si>
    <t>marker_532_957950.png</t>
  </si>
  <si>
    <t>A-5052__153</t>
  </si>
  <si>
    <t>marker_590_958567.png</t>
  </si>
  <si>
    <t>A-5052__166</t>
  </si>
  <si>
    <t>marker_710_958849.png</t>
  </si>
  <si>
    <t>A-5052__176</t>
  </si>
  <si>
    <t>marker_220_959029.png</t>
  </si>
  <si>
    <t>A-5052__182</t>
  </si>
  <si>
    <t>marker_889_959189.png</t>
  </si>
  <si>
    <t>A-5052__194</t>
  </si>
  <si>
    <t>marker_834_959393.png</t>
  </si>
  <si>
    <t>A-5052__195</t>
  </si>
  <si>
    <t>marker_226_959402.png</t>
  </si>
  <si>
    <t>A-5052__197</t>
  </si>
  <si>
    <t>marker_567_959419.png</t>
  </si>
  <si>
    <t>A-5052__198</t>
  </si>
  <si>
    <t>marker_155_959442.png</t>
  </si>
  <si>
    <t>A-5052__199</t>
  </si>
  <si>
    <t>marker_691_959454.png</t>
  </si>
  <si>
    <t>A-5052__200</t>
  </si>
  <si>
    <t>marker_382_959472.png</t>
  </si>
  <si>
    <t>A-5052__201</t>
  </si>
  <si>
    <t>marker_906_959482.png</t>
  </si>
  <si>
    <t>A-5052__202</t>
  </si>
  <si>
    <t>marker_899_959490.png</t>
  </si>
  <si>
    <t>A-5052__203</t>
  </si>
  <si>
    <t>marker_695_959499.png</t>
  </si>
  <si>
    <t>A-5052__207</t>
  </si>
  <si>
    <t>marker_473_959556.png</t>
  </si>
  <si>
    <t>A-5052__220</t>
  </si>
  <si>
    <t>marker_920_959721.png</t>
  </si>
  <si>
    <t>A-5052__222</t>
  </si>
  <si>
    <t>marker_984_959739.png</t>
  </si>
  <si>
    <t>A-5052__223</t>
  </si>
  <si>
    <t>marker_270_959748.png</t>
  </si>
  <si>
    <t>A-5052__224</t>
  </si>
  <si>
    <t>marker_434_959757.png</t>
  </si>
  <si>
    <t>A-5052__225</t>
  </si>
  <si>
    <t>marker_186_959770.png</t>
  </si>
  <si>
    <t>A-5052__226</t>
  </si>
  <si>
    <t>marker_698_959779.png</t>
  </si>
  <si>
    <t>A-5052__228</t>
  </si>
  <si>
    <t>marker_428_959800.png</t>
  </si>
  <si>
    <t>A-5052__231</t>
  </si>
  <si>
    <t>marker_915_959839.png</t>
  </si>
  <si>
    <t>A-5052__233</t>
  </si>
  <si>
    <t>marker_293_959863.png</t>
  </si>
  <si>
    <t>A-5052__238</t>
  </si>
  <si>
    <t>marker_915_959925.png</t>
  </si>
  <si>
    <t>A-5052__243</t>
  </si>
  <si>
    <t>marker_608_959988.png</t>
  </si>
  <si>
    <t>A-5052__270</t>
  </si>
  <si>
    <t>marker_174_960318.png</t>
  </si>
  <si>
    <t>A-5052__341</t>
  </si>
  <si>
    <t>marker_639_961636.png</t>
  </si>
  <si>
    <t>A-5052__411</t>
  </si>
  <si>
    <t>marker_850_962784.png</t>
  </si>
  <si>
    <t>A-5052__412</t>
  </si>
  <si>
    <t>marker_781_962793.png</t>
  </si>
  <si>
    <t>A-5052__418</t>
  </si>
  <si>
    <t>marker_262_962857.png</t>
  </si>
  <si>
    <t>A-5052__423</t>
  </si>
  <si>
    <t>marker_832_962905.png</t>
  </si>
  <si>
    <t>A-5052__429</t>
  </si>
  <si>
    <t>marker_645_962956.png</t>
  </si>
  <si>
    <t>A-5052__430</t>
  </si>
  <si>
    <t>marker_683_962965.png</t>
  </si>
  <si>
    <t>A-5052__435</t>
  </si>
  <si>
    <t>marker_313_963026.png</t>
  </si>
  <si>
    <t>A-5052__450</t>
  </si>
  <si>
    <t>marker_226_963179.png</t>
  </si>
  <si>
    <t>A-5052__454</t>
  </si>
  <si>
    <t>marker_347_963225.png</t>
  </si>
  <si>
    <t>A-5052__459</t>
  </si>
  <si>
    <t>marker_803_963271.png</t>
  </si>
  <si>
    <t>A-5052__460</t>
  </si>
  <si>
    <t>marker_507_963280.png</t>
  </si>
  <si>
    <t>A-5052__461</t>
  </si>
  <si>
    <t>marker_832_963288.png</t>
  </si>
  <si>
    <t>A-5052__462</t>
  </si>
  <si>
    <t>marker_921_963297.png</t>
  </si>
  <si>
    <t>A-5052__489</t>
  </si>
  <si>
    <t>marker_879_963579.png</t>
  </si>
  <si>
    <t>A-5052__495</t>
  </si>
  <si>
    <t>marker_100_963633.png</t>
  </si>
  <si>
    <t>A-5053__368</t>
  </si>
  <si>
    <t>marker_847_963978.png</t>
  </si>
  <si>
    <t>A-5053__345</t>
  </si>
  <si>
    <t>marker_854_964226.png</t>
  </si>
  <si>
    <t>A-5053__113</t>
  </si>
  <si>
    <t>marker_648_019675.png</t>
  </si>
  <si>
    <t>A-5053__15</t>
  </si>
  <si>
    <t>marker_544_025051.png</t>
  </si>
  <si>
    <t>A-495__103</t>
  </si>
  <si>
    <t>marker_159_382185.png</t>
  </si>
  <si>
    <t>A-495__105</t>
  </si>
  <si>
    <t>marker_995_382211.png</t>
  </si>
  <si>
    <t>A-495_1__92</t>
  </si>
  <si>
    <t>marker_861_385118.png</t>
  </si>
  <si>
    <t>A-495_1__91</t>
  </si>
  <si>
    <t>marker_293_385127.png</t>
  </si>
  <si>
    <t>A-495_1__89</t>
  </si>
  <si>
    <t>marker_711_385153.png</t>
  </si>
  <si>
    <t>A-495_1__79</t>
  </si>
  <si>
    <t>marker_127_385242.png</t>
  </si>
  <si>
    <t>A-495_1__77</t>
  </si>
  <si>
    <t>marker_316_385260.png</t>
  </si>
  <si>
    <t>A-495_1__76</t>
  </si>
  <si>
    <t>marker_616_385270.png</t>
  </si>
  <si>
    <t>A-495_1__59</t>
  </si>
  <si>
    <t>marker_996_385479.png</t>
  </si>
  <si>
    <t>A-495_1__55</t>
  </si>
  <si>
    <t>marker_683_385518.png</t>
  </si>
  <si>
    <t>A-495_1__53</t>
  </si>
  <si>
    <t>marker_591_385536.png</t>
  </si>
  <si>
    <t>A-495_1__52</t>
  </si>
  <si>
    <t>marker_881_385544.png</t>
  </si>
  <si>
    <t>A-495_1__43</t>
  </si>
  <si>
    <t>marker_776_385627.png</t>
  </si>
  <si>
    <t>A-495_1__37</t>
  </si>
  <si>
    <t>marker_890_385681.png</t>
  </si>
  <si>
    <t>A-495_1__35</t>
  </si>
  <si>
    <t>marker_845_385732.png</t>
  </si>
  <si>
    <t>A-495_1__33</t>
  </si>
  <si>
    <t>marker_372_385845.png</t>
  </si>
  <si>
    <t>A-495_1__32</t>
  </si>
  <si>
    <t>marker_356_385854.png</t>
  </si>
  <si>
    <t>A-495_1__26</t>
  </si>
  <si>
    <t>marker_788_385916.png</t>
  </si>
  <si>
    <t>A-495_1__25</t>
  </si>
  <si>
    <t>marker_427_385924.png</t>
  </si>
  <si>
    <t>A-495_1__22</t>
  </si>
  <si>
    <t>marker_452_385952.png</t>
  </si>
  <si>
    <t>A-495_1__21</t>
  </si>
  <si>
    <t>marker_893_385971.png</t>
  </si>
  <si>
    <t>A-495_1__17</t>
  </si>
  <si>
    <t>marker_955_386161.png</t>
  </si>
  <si>
    <t>A-499__35</t>
  </si>
  <si>
    <t>marker_249_529975.png</t>
  </si>
  <si>
    <t>A-499__36</t>
  </si>
  <si>
    <t>marker_385_529986.png</t>
  </si>
  <si>
    <t>A-499__107</t>
  </si>
  <si>
    <t>marker_598_793336.png</t>
  </si>
  <si>
    <t>A-499__206</t>
  </si>
  <si>
    <t>marker_164_796224.png</t>
  </si>
  <si>
    <t>A-499__209</t>
  </si>
  <si>
    <t>marker_331_796299.png</t>
  </si>
  <si>
    <t>A-497_2C__130</t>
  </si>
  <si>
    <t>marker_697_655773.png</t>
  </si>
  <si>
    <t>A-497_2C__133</t>
  </si>
  <si>
    <t>marker_646_655800.png</t>
  </si>
  <si>
    <t>A-497_2C__134</t>
  </si>
  <si>
    <t>marker_638_655808.png</t>
  </si>
  <si>
    <t>A-497_2C__171</t>
  </si>
  <si>
    <t>marker_491_656209.png</t>
  </si>
  <si>
    <t>A-497_2C__172</t>
  </si>
  <si>
    <t>marker_532_656217.png</t>
  </si>
  <si>
    <t>A-497__488</t>
  </si>
  <si>
    <t>marker_654_376217.png</t>
  </si>
  <si>
    <t>A-497__486</t>
  </si>
  <si>
    <t>marker_664_376239.png</t>
  </si>
  <si>
    <t>A-497__485</t>
  </si>
  <si>
    <t>marker_443_376249.png</t>
  </si>
  <si>
    <t>A-497__484</t>
  </si>
  <si>
    <t>marker_874_376259.png</t>
  </si>
  <si>
    <t>A-497_2C__425</t>
  </si>
  <si>
    <t>marker_526_363160.png</t>
  </si>
  <si>
    <t>A-497_2C__426</t>
  </si>
  <si>
    <t>marker_205_363169.png</t>
  </si>
  <si>
    <t>A-497_2C__431</t>
  </si>
  <si>
    <t>marker_230_363215.png</t>
  </si>
  <si>
    <t>A-497_2C__432</t>
  </si>
  <si>
    <t>marker_822_363224.png</t>
  </si>
  <si>
    <t>A-497_2C__504</t>
  </si>
  <si>
    <t>marker_809_364100.png</t>
  </si>
  <si>
    <t>A-497_2C__505</t>
  </si>
  <si>
    <t>marker_679_364110.png</t>
  </si>
  <si>
    <t>A-497_2C__506</t>
  </si>
  <si>
    <t>marker_569_364120.png</t>
  </si>
  <si>
    <t>A-497_2C__531</t>
  </si>
  <si>
    <t>marker_430_364444.png</t>
  </si>
  <si>
    <t>A-497_2C__534</t>
  </si>
  <si>
    <t>marker_457_364474.png</t>
  </si>
  <si>
    <t>A-497_2C__536</t>
  </si>
  <si>
    <t>marker_551_364492.png</t>
  </si>
  <si>
    <t>A-497_2C__537</t>
  </si>
  <si>
    <t>marker_734_364511.png</t>
  </si>
  <si>
    <t>A-497__448</t>
  </si>
  <si>
    <t>marker_907_376709.png</t>
  </si>
  <si>
    <t>A-497__443</t>
  </si>
  <si>
    <t>marker_704_376774.png</t>
  </si>
  <si>
    <t>A-497__419</t>
  </si>
  <si>
    <t>marker_990_377021.png</t>
  </si>
  <si>
    <t>A-497__417</t>
  </si>
  <si>
    <t>marker_986_377040.png</t>
  </si>
  <si>
    <t>A-497__413</t>
  </si>
  <si>
    <t>marker_689_377075.png</t>
  </si>
  <si>
    <t>A-497__408</t>
  </si>
  <si>
    <t>marker_961_377117.png</t>
  </si>
  <si>
    <t>A-497__188</t>
  </si>
  <si>
    <t>marker_566_379542.png</t>
  </si>
  <si>
    <t>A-497__185</t>
  </si>
  <si>
    <t>marker_506_379584.png</t>
  </si>
  <si>
    <t>A-497__179</t>
  </si>
  <si>
    <t>marker_940_379652.png</t>
  </si>
  <si>
    <t>A-497__174</t>
  </si>
  <si>
    <t>marker_434_379714.png</t>
  </si>
  <si>
    <t>A-490__515</t>
  </si>
  <si>
    <t>marker_269_817901.png</t>
  </si>
  <si>
    <t>A-490__443</t>
  </si>
  <si>
    <t>marker_155_754718.png</t>
  </si>
  <si>
    <t>A-490__444</t>
  </si>
  <si>
    <t>marker_742_754738.png</t>
  </si>
  <si>
    <t>A-490__450</t>
  </si>
  <si>
    <t>marker_301_755035.png</t>
  </si>
  <si>
    <t>A-490__451</t>
  </si>
  <si>
    <t>marker_943_755051.png</t>
  </si>
  <si>
    <t>A-490__453</t>
  </si>
  <si>
    <t>marker_156_755097.png</t>
  </si>
  <si>
    <t>A-490__463</t>
  </si>
  <si>
    <t>marker_465_755271.png</t>
  </si>
  <si>
    <t>A-490__468</t>
  </si>
  <si>
    <t>marker_273_755360.png</t>
  </si>
  <si>
    <t>A-490__469</t>
  </si>
  <si>
    <t>marker_521_755378.png</t>
  </si>
  <si>
    <t>A-490__473</t>
  </si>
  <si>
    <t>marker_562_755450.png</t>
  </si>
  <si>
    <t>A-490__492</t>
  </si>
  <si>
    <t>marker_481_755796.png</t>
  </si>
  <si>
    <t>A-490__539</t>
  </si>
  <si>
    <t>marker_175_818333.png</t>
  </si>
  <si>
    <t>A-490__547</t>
  </si>
  <si>
    <t>marker_636_818479.png</t>
  </si>
  <si>
    <t>A-490__591</t>
  </si>
  <si>
    <t>marker_483_819640.png</t>
  </si>
  <si>
    <t>A-490__610</t>
  </si>
  <si>
    <t>marker_572_820205.png</t>
  </si>
  <si>
    <t>A-492__203</t>
  </si>
  <si>
    <t>marker_331_831958.png</t>
  </si>
  <si>
    <t>A-492__238</t>
  </si>
  <si>
    <t>marker_993_835921.png</t>
  </si>
  <si>
    <t>A-492__245</t>
  </si>
  <si>
    <t>marker_605_836032.png</t>
  </si>
  <si>
    <t>A-492__247</t>
  </si>
  <si>
    <t>marker_275_836056.png</t>
  </si>
  <si>
    <t>A-492__248</t>
  </si>
  <si>
    <t>marker_940_836074.png</t>
  </si>
  <si>
    <t>A-492__261</t>
  </si>
  <si>
    <t>marker_761_836595.png</t>
  </si>
  <si>
    <t>A-492__262</t>
  </si>
  <si>
    <t>marker_410_836609.png</t>
  </si>
  <si>
    <t>A-492__283</t>
  </si>
  <si>
    <t>marker_341_837338.png</t>
  </si>
  <si>
    <t>A-492__315</t>
  </si>
  <si>
    <t>marker_795_837727.png</t>
  </si>
  <si>
    <t>A-492__370</t>
  </si>
  <si>
    <t>marker_651_838758.png</t>
  </si>
  <si>
    <t>A-492__373</t>
  </si>
  <si>
    <t>marker_861_838793.png</t>
  </si>
  <si>
    <t>A-492__380</t>
  </si>
  <si>
    <t>marker_348_838891.png</t>
  </si>
  <si>
    <t>A-492__381</t>
  </si>
  <si>
    <t>marker_579_838903.png</t>
  </si>
  <si>
    <t>A-492__407</t>
  </si>
  <si>
    <t>marker_455_839258.png</t>
  </si>
  <si>
    <t>A-492__435</t>
  </si>
  <si>
    <t>marker_596_839586.png</t>
  </si>
  <si>
    <t>A-492__437</t>
  </si>
  <si>
    <t>marker_994_839617.png</t>
  </si>
  <si>
    <t>A-492__439</t>
  </si>
  <si>
    <t>marker_471_839642.png</t>
  </si>
  <si>
    <t>A-492__446</t>
  </si>
  <si>
    <t>marker_877_839774.png</t>
  </si>
  <si>
    <t>A-492__447</t>
  </si>
  <si>
    <t>marker_508_839784.png</t>
  </si>
  <si>
    <t>A-492__448</t>
  </si>
  <si>
    <t>marker_542_839794.png</t>
  </si>
  <si>
    <t>A-492__449</t>
  </si>
  <si>
    <t>marker_594_839804.png</t>
  </si>
  <si>
    <t>A-492__450</t>
  </si>
  <si>
    <t>marker_243_839814.png</t>
  </si>
  <si>
    <t>A-495R__79</t>
  </si>
  <si>
    <t>marker_298_935106.png</t>
  </si>
  <si>
    <t>A-495R__77</t>
  </si>
  <si>
    <t>marker_756_935135.png</t>
  </si>
  <si>
    <t>A-495R__76</t>
  </si>
  <si>
    <t>marker_690_935145.png</t>
  </si>
  <si>
    <t>A-495R__75</t>
  </si>
  <si>
    <t>marker_376_935159.png</t>
  </si>
  <si>
    <t>A-5052__116</t>
  </si>
  <si>
    <t>marker_459_957895.png</t>
  </si>
  <si>
    <t>A-5052__241</t>
  </si>
  <si>
    <t>marker_347_959965.png</t>
  </si>
  <si>
    <t>A-5052__324</t>
  </si>
  <si>
    <t>marker_294_961314.png</t>
  </si>
  <si>
    <t>A-495_1__133</t>
  </si>
  <si>
    <t>marker_791_384440.png</t>
  </si>
  <si>
    <t>A-490__68</t>
  </si>
  <si>
    <t>marker_512_738103.png</t>
  </si>
  <si>
    <t>A-490__269</t>
  </si>
  <si>
    <t>marker_724_749880.png</t>
  </si>
  <si>
    <t>A-490__363</t>
  </si>
  <si>
    <t>marker_518_751962.png</t>
  </si>
  <si>
    <t>A-490__418</t>
  </si>
  <si>
    <t>marker_329_754266.png</t>
  </si>
  <si>
    <t>A-490__439</t>
  </si>
  <si>
    <t>marker_633_754637.png</t>
  </si>
  <si>
    <t>A-490__446</t>
  </si>
  <si>
    <t>marker_242_754904.png</t>
  </si>
  <si>
    <t>A-490__448</t>
  </si>
  <si>
    <t>marker_282_754987.png</t>
  </si>
  <si>
    <t>A-490__449</t>
  </si>
  <si>
    <t>marker_386_755003.png</t>
  </si>
  <si>
    <t>A-490__457</t>
  </si>
  <si>
    <t>marker_349_755165.png</t>
  </si>
  <si>
    <t>A-490__459</t>
  </si>
  <si>
    <t>marker_154_755199.png</t>
  </si>
  <si>
    <t>A-490__461</t>
  </si>
  <si>
    <t>marker_680_755233.png</t>
  </si>
  <si>
    <t>A-490__471</t>
  </si>
  <si>
    <t>marker_143_755416.png</t>
  </si>
  <si>
    <t>A-490__482</t>
  </si>
  <si>
    <t>marker_228_755620.png</t>
  </si>
  <si>
    <t>A-490__483</t>
  </si>
  <si>
    <t>marker_472_755634.png</t>
  </si>
  <si>
    <t>A-490__485</t>
  </si>
  <si>
    <t>marker_553_755672.png</t>
  </si>
  <si>
    <t>A-490__486</t>
  </si>
  <si>
    <t>marker_161_755689.png</t>
  </si>
  <si>
    <t>A-490__499</t>
  </si>
  <si>
    <t>marker_154_817552.png</t>
  </si>
  <si>
    <t>A-490__510</t>
  </si>
  <si>
    <t>marker_168_817773.png</t>
  </si>
  <si>
    <t>A-490__513</t>
  </si>
  <si>
    <t>marker_509_817870.png</t>
  </si>
  <si>
    <t>A-490__522</t>
  </si>
  <si>
    <t>marker_864_818086.png</t>
  </si>
  <si>
    <t>A-490__541</t>
  </si>
  <si>
    <t>marker_448_818359.png</t>
  </si>
  <si>
    <t>A-490__593</t>
  </si>
  <si>
    <t>marker_790_819665.png</t>
  </si>
  <si>
    <t>A-492__48</t>
  </si>
  <si>
    <t>marker_456_822972.png</t>
  </si>
  <si>
    <t>A-492__49</t>
  </si>
  <si>
    <t>marker_570_822991.png</t>
  </si>
  <si>
    <t>A-492__81</t>
  </si>
  <si>
    <t>marker_282_823501.png</t>
  </si>
  <si>
    <t>A-492__144</t>
  </si>
  <si>
    <t>marker_917_824724.png</t>
  </si>
  <si>
    <t>A-492__204</t>
  </si>
  <si>
    <t>marker_137_831968.png</t>
  </si>
  <si>
    <t>A-492__207</t>
  </si>
  <si>
    <t>marker_132_832006.png</t>
  </si>
  <si>
    <t>A-492__208</t>
  </si>
  <si>
    <t>marker_822_832017.png</t>
  </si>
  <si>
    <t>A-492__226</t>
  </si>
  <si>
    <t>marker_268_835726.png</t>
  </si>
  <si>
    <t>A-492__256</t>
  </si>
  <si>
    <t>marker_746_836185.png</t>
  </si>
  <si>
    <t>A-492__257</t>
  </si>
  <si>
    <t>marker_536_836229.png</t>
  </si>
  <si>
    <t>A-492__309</t>
  </si>
  <si>
    <t>marker_486_837660.png</t>
  </si>
  <si>
    <t>A-492__313</t>
  </si>
  <si>
    <t>marker_575_837705.png</t>
  </si>
  <si>
    <t>A-492__314</t>
  </si>
  <si>
    <t>marker_375_837717.png</t>
  </si>
  <si>
    <t>A-492__327</t>
  </si>
  <si>
    <t>marker_432_838045.png</t>
  </si>
  <si>
    <t>A-492__331</t>
  </si>
  <si>
    <t>marker_894_838096.png</t>
  </si>
  <si>
    <t>A-492__332</t>
  </si>
  <si>
    <t>marker_356_838109.png</t>
  </si>
  <si>
    <t>A-492__345</t>
  </si>
  <si>
    <t>marker_320_838297.png</t>
  </si>
  <si>
    <t>A-492__348</t>
  </si>
  <si>
    <t>marker_104_838337.png</t>
  </si>
  <si>
    <t>A-492__350</t>
  </si>
  <si>
    <t>marker_321_838366.png</t>
  </si>
  <si>
    <t>A-492__352</t>
  </si>
  <si>
    <t>marker_891_838385.png</t>
  </si>
  <si>
    <t>A-492__355</t>
  </si>
  <si>
    <t>marker_521_838576.png</t>
  </si>
  <si>
    <t>A-492__405</t>
  </si>
  <si>
    <t>marker_334_839237.png</t>
  </si>
  <si>
    <t>A-492__418</t>
  </si>
  <si>
    <t>marker_782_839377.png</t>
  </si>
  <si>
    <t>A-492__434</t>
  </si>
  <si>
    <t>marker_563_839575.png</t>
  </si>
  <si>
    <t>A-492__438</t>
  </si>
  <si>
    <t>marker_653_839629.png</t>
  </si>
  <si>
    <t>A-492__451</t>
  </si>
  <si>
    <t>marker_380_839829.png</t>
  </si>
  <si>
    <t>A-492__455</t>
  </si>
  <si>
    <t>marker_425_839868.png</t>
  </si>
  <si>
    <t>A-492__476</t>
  </si>
  <si>
    <t>marker_147_840112.png</t>
  </si>
  <si>
    <t>A-497__23</t>
  </si>
  <si>
    <t>marker_931_943740.png</t>
  </si>
  <si>
    <t>A-497__20</t>
  </si>
  <si>
    <t>marker_529_943777.png</t>
  </si>
  <si>
    <t>A-497__18</t>
  </si>
  <si>
    <t>marker_198_943797.png</t>
  </si>
  <si>
    <t>A-5050__147</t>
  </si>
  <si>
    <t>marker_369_945433.png</t>
  </si>
  <si>
    <t>A-5050__145</t>
  </si>
  <si>
    <t>marker_340_945513.png</t>
  </si>
  <si>
    <t>A-5050__140</t>
  </si>
  <si>
    <t>marker_381_945839.png</t>
  </si>
  <si>
    <t>A-5050__139</t>
  </si>
  <si>
    <t>marker_602_945848.png</t>
  </si>
  <si>
    <t>A-5050__137</t>
  </si>
  <si>
    <t>marker_437_945873.png</t>
  </si>
  <si>
    <t>A-5050__136</t>
  </si>
  <si>
    <t>marker_136_945885.png</t>
  </si>
  <si>
    <t>A-5050__134</t>
  </si>
  <si>
    <t>marker_493_945905.png</t>
  </si>
  <si>
    <t>A-5050__129</t>
  </si>
  <si>
    <t>marker_522_945957.png</t>
  </si>
  <si>
    <t>A-5050__125</t>
  </si>
  <si>
    <t>marker_976_946364.png</t>
  </si>
  <si>
    <t>A-5050__65</t>
  </si>
  <si>
    <t>marker_656_948975.png</t>
  </si>
  <si>
    <t>A-5050__48</t>
  </si>
  <si>
    <t>marker_528_949172.png</t>
  </si>
  <si>
    <t>A-5050__19</t>
  </si>
  <si>
    <t>marker_778_949468.png</t>
  </si>
  <si>
    <t>A-5050__18</t>
  </si>
  <si>
    <t>marker_397_949514.png</t>
  </si>
  <si>
    <t>A-5052__15</t>
  </si>
  <si>
    <t>marker_917_950157.png</t>
  </si>
  <si>
    <t>A-5052__17</t>
  </si>
  <si>
    <t>marker_259_950185.png</t>
  </si>
  <si>
    <t>A-5052__28</t>
  </si>
  <si>
    <t>marker_576_951575.png</t>
  </si>
  <si>
    <t>A-5052__48</t>
  </si>
  <si>
    <t>marker_602_956903.png</t>
  </si>
  <si>
    <t>A-5052__49</t>
  </si>
  <si>
    <t>marker_253_956913.png</t>
  </si>
  <si>
    <t>A-5052__50</t>
  </si>
  <si>
    <t>marker_412_956923.png</t>
  </si>
  <si>
    <t>A-5052__51</t>
  </si>
  <si>
    <t>marker_196_956934.png</t>
  </si>
  <si>
    <t>A-5052__52</t>
  </si>
  <si>
    <t>marker_137_956945.png</t>
  </si>
  <si>
    <t>A-5052__54</t>
  </si>
  <si>
    <t>marker_266_956969.png</t>
  </si>
  <si>
    <t>A-5052__58</t>
  </si>
  <si>
    <t>marker_368_957017.png</t>
  </si>
  <si>
    <t>A-5052__69</t>
  </si>
  <si>
    <t>marker_938_957166.png</t>
  </si>
  <si>
    <t>A-5052__76</t>
  </si>
  <si>
    <t>marker_243_957244.png</t>
  </si>
  <si>
    <t>A-5052__82</t>
  </si>
  <si>
    <t>marker_917_957310.png</t>
  </si>
  <si>
    <t>A-5052__83</t>
  </si>
  <si>
    <t>marker_329_957322.png</t>
  </si>
  <si>
    <t>A-5052__98</t>
  </si>
  <si>
    <t>marker_492_957635.png</t>
  </si>
  <si>
    <t>A-5052__102</t>
  </si>
  <si>
    <t>marker_801_957690.png</t>
  </si>
  <si>
    <t>A-5052__105</t>
  </si>
  <si>
    <t>marker_277_957733.png</t>
  </si>
  <si>
    <t>A-5052__112</t>
  </si>
  <si>
    <t>marker_251_957819.png</t>
  </si>
  <si>
    <t>A-5052__119</t>
  </si>
  <si>
    <t>marker_903_957924.png</t>
  </si>
  <si>
    <t>A-5052__127</t>
  </si>
  <si>
    <t>marker_841_958048.png</t>
  </si>
  <si>
    <t>A-5052__129</t>
  </si>
  <si>
    <t>marker_961_958083.png</t>
  </si>
  <si>
    <t>A-5052__132</t>
  </si>
  <si>
    <t>marker_568_958132.png</t>
  </si>
  <si>
    <t>A-5052__156</t>
  </si>
  <si>
    <t>marker_184_958619.png</t>
  </si>
  <si>
    <t>A-5052__157</t>
  </si>
  <si>
    <t>marker_348_958629.png</t>
  </si>
  <si>
    <t>A-5052__159</t>
  </si>
  <si>
    <t>marker_444_958672.png</t>
  </si>
  <si>
    <t>A-5052__163</t>
  </si>
  <si>
    <t>marker_788_958713.png</t>
  </si>
  <si>
    <t>A-5052__177</t>
  </si>
  <si>
    <t>marker_202_959044.png</t>
  </si>
  <si>
    <t>A-5052__178</t>
  </si>
  <si>
    <t>marker_984_959053.png</t>
  </si>
  <si>
    <t>A-5052__183</t>
  </si>
  <si>
    <t>marker_941_959200.png</t>
  </si>
  <si>
    <t>A-5052__184</t>
  </si>
  <si>
    <t>marker_445_959209.png</t>
  </si>
  <si>
    <t>A-5052__185</t>
  </si>
  <si>
    <t>marker_952_959226.png</t>
  </si>
  <si>
    <t>A-5052__186</t>
  </si>
  <si>
    <t>marker_637_959268.png</t>
  </si>
  <si>
    <t>A-5052__235</t>
  </si>
  <si>
    <t>marker_408_959884.png</t>
  </si>
  <si>
    <t>A-5052__237</t>
  </si>
  <si>
    <t>marker_182_959915.png</t>
  </si>
  <si>
    <t>A-5052__254</t>
  </si>
  <si>
    <t>marker_703_960135.png</t>
  </si>
  <si>
    <t>A-5052__259</t>
  </si>
  <si>
    <t>marker_501_960188.png</t>
  </si>
  <si>
    <t>A-5052__262</t>
  </si>
  <si>
    <t>marker_721_960224.png</t>
  </si>
  <si>
    <t>A-5052__265</t>
  </si>
  <si>
    <t>marker_468_960259.png</t>
  </si>
  <si>
    <t>A-5052__268</t>
  </si>
  <si>
    <t>marker_328_960294.png</t>
  </si>
  <si>
    <t>A-5052__281</t>
  </si>
  <si>
    <t>marker_967_960526.png</t>
  </si>
  <si>
    <t>A-5052__283</t>
  </si>
  <si>
    <t>marker_116_960561.png</t>
  </si>
  <si>
    <t>A-5052__290</t>
  </si>
  <si>
    <t>marker_871_960653.png</t>
  </si>
  <si>
    <t>A-5052__302</t>
  </si>
  <si>
    <t>marker_302_960944.png</t>
  </si>
  <si>
    <t>A-5052__303</t>
  </si>
  <si>
    <t>marker_293_960957.png</t>
  </si>
  <si>
    <t>A-5052__308</t>
  </si>
  <si>
    <t>marker_146_961067.png</t>
  </si>
  <si>
    <t>A-5052__309</t>
  </si>
  <si>
    <t>marker_718_961087.png</t>
  </si>
  <si>
    <t>A-5052__310</t>
  </si>
  <si>
    <t>marker_689_961109.png</t>
  </si>
  <si>
    <t>A-5052__318</t>
  </si>
  <si>
    <t>marker_411_961230.png</t>
  </si>
  <si>
    <t>A-5052__321</t>
  </si>
  <si>
    <t>marker_815_961281.png</t>
  </si>
  <si>
    <t>A-5052__332</t>
  </si>
  <si>
    <t>marker_397_961521.png</t>
  </si>
  <si>
    <t>A-5052__339</t>
  </si>
  <si>
    <t>marker_932_961609.png</t>
  </si>
  <si>
    <t>A-5052__343</t>
  </si>
  <si>
    <t>marker_219_961656.png</t>
  </si>
  <si>
    <t>A-5052__345</t>
  </si>
  <si>
    <t>marker_861_961676.png</t>
  </si>
  <si>
    <t>A-5052__347</t>
  </si>
  <si>
    <t>marker_985_961714.png</t>
  </si>
  <si>
    <t>A-5052__420</t>
  </si>
  <si>
    <t>marker_837_962875.png</t>
  </si>
  <si>
    <t>A-5052__457</t>
  </si>
  <si>
    <t>marker_730_963252.png</t>
  </si>
  <si>
    <t>A-5052__469</t>
  </si>
  <si>
    <t>marker_977_963382.png</t>
  </si>
  <si>
    <t>A-5052__470</t>
  </si>
  <si>
    <t>marker_795_963390.png</t>
  </si>
  <si>
    <t>A-5052__472</t>
  </si>
  <si>
    <t>marker_355_963408.png</t>
  </si>
  <si>
    <t>A-5052__473</t>
  </si>
  <si>
    <t>marker_652_963422.png</t>
  </si>
  <si>
    <t>A-5052__477</t>
  </si>
  <si>
    <t>marker_761_963459.png</t>
  </si>
  <si>
    <t>A-5052__482</t>
  </si>
  <si>
    <t>marker_343_963512.png</t>
  </si>
  <si>
    <t>A-5052__484</t>
  </si>
  <si>
    <t>marker_952_963532.png</t>
  </si>
  <si>
    <t>A-5052__490</t>
  </si>
  <si>
    <t>marker_170_963589.png</t>
  </si>
  <si>
    <t>A-5052__491</t>
  </si>
  <si>
    <t>marker_236_963597.png</t>
  </si>
  <si>
    <t>A-5052__492</t>
  </si>
  <si>
    <t>marker_754_963606.png</t>
  </si>
  <si>
    <t>A-5052__496</t>
  </si>
  <si>
    <t>marker_118_963642.png</t>
  </si>
  <si>
    <t>A-5053__375</t>
  </si>
  <si>
    <t>marker_113_963908.png</t>
  </si>
  <si>
    <t>A-5053__374</t>
  </si>
  <si>
    <t>marker_702_963918.png</t>
  </si>
  <si>
    <t>A-5053__372</t>
  </si>
  <si>
    <t>marker_552_963936.png</t>
  </si>
  <si>
    <t>A-5053__370</t>
  </si>
  <si>
    <t>marker_546_963958.png</t>
  </si>
  <si>
    <t>A-5053__357</t>
  </si>
  <si>
    <t>marker_154_964103.png</t>
  </si>
  <si>
    <t>A-5053__356</t>
  </si>
  <si>
    <t>marker_611_964112.png</t>
  </si>
  <si>
    <t>A-5053__355</t>
  </si>
  <si>
    <t>marker_816_964123.png</t>
  </si>
  <si>
    <t>A-5053__353</t>
  </si>
  <si>
    <t>marker_672_964145.png</t>
  </si>
  <si>
    <t>A-5053__352</t>
  </si>
  <si>
    <t>marker_189_964154.png</t>
  </si>
  <si>
    <t>A-5053__350</t>
  </si>
  <si>
    <t>marker_878_964174.png</t>
  </si>
  <si>
    <t>A-5053__349</t>
  </si>
  <si>
    <t>marker_643_964184.png</t>
  </si>
  <si>
    <t>A-5053__347</t>
  </si>
  <si>
    <t>marker_916_964203.png</t>
  </si>
  <si>
    <t>A-5053__346</t>
  </si>
  <si>
    <t>marker_484_964213.png</t>
  </si>
  <si>
    <t>A-5053__343</t>
  </si>
  <si>
    <t>marker_392_964243.png</t>
  </si>
  <si>
    <t>A-5053__342</t>
  </si>
  <si>
    <t>marker_868_964252.png</t>
  </si>
  <si>
    <t>A-5053__340</t>
  </si>
  <si>
    <t>marker_912_964273.png</t>
  </si>
  <si>
    <t>A-5053__334</t>
  </si>
  <si>
    <t>marker_825_964411.png</t>
  </si>
  <si>
    <t>A-5053__317</t>
  </si>
  <si>
    <t>marker_954_964606.png</t>
  </si>
  <si>
    <t>A-5053__312</t>
  </si>
  <si>
    <t>marker_221_964653.png</t>
  </si>
  <si>
    <t>A-5053__311</t>
  </si>
  <si>
    <t>marker_814_964662.png</t>
  </si>
  <si>
    <t>A-5053__310</t>
  </si>
  <si>
    <t>marker_131_964670.png</t>
  </si>
  <si>
    <t>A-5053__309</t>
  </si>
  <si>
    <t>marker_686_964680.png</t>
  </si>
  <si>
    <t>A-5053__308</t>
  </si>
  <si>
    <t>marker_472_964689.png</t>
  </si>
  <si>
    <t>A-5053__307</t>
  </si>
  <si>
    <t>marker_723_964698.png</t>
  </si>
  <si>
    <t>A-5053__304</t>
  </si>
  <si>
    <t>marker_348_964731.png</t>
  </si>
  <si>
    <t>A-5053__289</t>
  </si>
  <si>
    <t>marker_705_964967.png</t>
  </si>
  <si>
    <t>A-5053__241</t>
  </si>
  <si>
    <t>marker_493_965490.png</t>
  </si>
  <si>
    <t>A-5053__238</t>
  </si>
  <si>
    <t>marker_656_965518.png</t>
  </si>
  <si>
    <t>A-5053__232</t>
  </si>
  <si>
    <t>marker_735_965576.png</t>
  </si>
  <si>
    <t>A-5053__228</t>
  </si>
  <si>
    <t>marker_479_965611.png</t>
  </si>
  <si>
    <t>A-5053__226</t>
  </si>
  <si>
    <t>marker_513_965637.png</t>
  </si>
  <si>
    <t>A-5053__225</t>
  </si>
  <si>
    <t>marker_600_965646.png</t>
  </si>
  <si>
    <t>A-5053__202</t>
  </si>
  <si>
    <t>marker_869_965868.png</t>
  </si>
  <si>
    <t>A-5053__200</t>
  </si>
  <si>
    <t>marker_507_965884.png</t>
  </si>
  <si>
    <t>A-5053__198</t>
  </si>
  <si>
    <t>marker_290_965902.png</t>
  </si>
  <si>
    <t>A-5053__196</t>
  </si>
  <si>
    <t>marker_165_965931.png</t>
  </si>
  <si>
    <t>A-5053__195</t>
  </si>
  <si>
    <t>marker_260_965941.png</t>
  </si>
  <si>
    <t>A-5053__194</t>
  </si>
  <si>
    <t>marker_500_965949.png</t>
  </si>
  <si>
    <t>A-5053__193</t>
  </si>
  <si>
    <t>marker_720_965957.png</t>
  </si>
  <si>
    <t>A-5053__192</t>
  </si>
  <si>
    <t>marker_332_965967.png</t>
  </si>
  <si>
    <t>A-5053__191</t>
  </si>
  <si>
    <t>marker_305_965975.png</t>
  </si>
  <si>
    <t>A-5053__190</t>
  </si>
  <si>
    <t>marker_403_965986.png</t>
  </si>
  <si>
    <t>A-5053__189</t>
  </si>
  <si>
    <t>marker_352_965996.png</t>
  </si>
  <si>
    <t>A-5053__188</t>
  </si>
  <si>
    <t>marker_528_966005.png</t>
  </si>
  <si>
    <t>A-5053__187</t>
  </si>
  <si>
    <t>marker_352_966017.png</t>
  </si>
  <si>
    <t>A-5053__186</t>
  </si>
  <si>
    <t>marker_788_966031.png</t>
  </si>
  <si>
    <t>A-5053__185</t>
  </si>
  <si>
    <t>marker_343_966040.png</t>
  </si>
  <si>
    <t>A-5053__184</t>
  </si>
  <si>
    <t>marker_718_966050.png</t>
  </si>
  <si>
    <t>A-5053__183</t>
  </si>
  <si>
    <t>marker_248_966061.png</t>
  </si>
  <si>
    <t>A-5053__182</t>
  </si>
  <si>
    <t>marker_478_966070.png</t>
  </si>
  <si>
    <t>A-5053__181</t>
  </si>
  <si>
    <t>marker_555_966079.png</t>
  </si>
  <si>
    <t>A-5053__180</t>
  </si>
  <si>
    <t>marker_523_966089.png</t>
  </si>
  <si>
    <t>A-5053__179</t>
  </si>
  <si>
    <t>marker_268_966099.png</t>
  </si>
  <si>
    <t>A-5053__177</t>
  </si>
  <si>
    <t>marker_321_966119.png</t>
  </si>
  <si>
    <t>A-5053__176</t>
  </si>
  <si>
    <t>marker_298_966128.png</t>
  </si>
  <si>
    <t>A-5053__175</t>
  </si>
  <si>
    <t>marker_339_966143.png</t>
  </si>
  <si>
    <t>A-5053__173</t>
  </si>
  <si>
    <t>marker_929_966160.png</t>
  </si>
  <si>
    <t>A-5053__172</t>
  </si>
  <si>
    <t>marker_209_966169.png</t>
  </si>
  <si>
    <t>A-5053__171</t>
  </si>
  <si>
    <t>marker_622_966178.png</t>
  </si>
  <si>
    <t>A-5053__170</t>
  </si>
  <si>
    <t>marker_576_966187.png</t>
  </si>
  <si>
    <t>A-5053__169</t>
  </si>
  <si>
    <t>marker_288_966197.png</t>
  </si>
  <si>
    <t>A-5053__168</t>
  </si>
  <si>
    <t>marker_714_966206.png</t>
  </si>
  <si>
    <t>A-5053__167</t>
  </si>
  <si>
    <t>marker_781_966221.png</t>
  </si>
  <si>
    <t>A-5053__166</t>
  </si>
  <si>
    <t>marker_463_966231.png</t>
  </si>
  <si>
    <t>A-5053__164</t>
  </si>
  <si>
    <t>marker_910_966248.png</t>
  </si>
  <si>
    <t>A-5053__163</t>
  </si>
  <si>
    <t>marker_112_966257.png</t>
  </si>
  <si>
    <t>A-5053__162</t>
  </si>
  <si>
    <t>marker_400_966267.png</t>
  </si>
  <si>
    <t>A-5053__161</t>
  </si>
  <si>
    <t>marker_254_966278.png</t>
  </si>
  <si>
    <t>A-5053__160</t>
  </si>
  <si>
    <t>marker_767_966286.png</t>
  </si>
  <si>
    <t>A-5053__158</t>
  </si>
  <si>
    <t>marker_616_966304.png</t>
  </si>
  <si>
    <t>A-5053__155</t>
  </si>
  <si>
    <t>marker_438_966332.png</t>
  </si>
  <si>
    <t>A-5053__151</t>
  </si>
  <si>
    <t>marker_518_966380.png</t>
  </si>
  <si>
    <t>A-5053__150</t>
  </si>
  <si>
    <t>marker_747_966387.png</t>
  </si>
  <si>
    <t>A-5053__137</t>
  </si>
  <si>
    <t>marker_320_966513.png</t>
  </si>
  <si>
    <t>A-5053__136</t>
  </si>
  <si>
    <t>marker_267_966521.png</t>
  </si>
  <si>
    <t>A-5053__135</t>
  </si>
  <si>
    <t>marker_976_966528.png</t>
  </si>
  <si>
    <t>A-5053__133</t>
  </si>
  <si>
    <t>marker_504_966547.png</t>
  </si>
  <si>
    <t>A-5053__132</t>
  </si>
  <si>
    <t>marker_666_966555.png</t>
  </si>
  <si>
    <t>A-5053__131</t>
  </si>
  <si>
    <t>marker_533_966563.png</t>
  </si>
  <si>
    <t>A-5053__127</t>
  </si>
  <si>
    <t>marker_377_019497.png</t>
  </si>
  <si>
    <t>A-5053__126</t>
  </si>
  <si>
    <t>marker_674_019532.png</t>
  </si>
  <si>
    <t>A-5053__125</t>
  </si>
  <si>
    <t>marker_304_019541.png</t>
  </si>
  <si>
    <t>A-5053__119</t>
  </si>
  <si>
    <t>marker_523_019612.png</t>
  </si>
  <si>
    <t>A-5053__116</t>
  </si>
  <si>
    <t>marker_984_019641.png</t>
  </si>
  <si>
    <t>A-5053__115</t>
  </si>
  <si>
    <t>marker_889_019653.png</t>
  </si>
  <si>
    <t>A-5053__114</t>
  </si>
  <si>
    <t>marker_513_019665.png</t>
  </si>
  <si>
    <t>A-5053__107</t>
  </si>
  <si>
    <t>marker_349_019734.png</t>
  </si>
  <si>
    <t>A-5053__106</t>
  </si>
  <si>
    <t>marker_389_019758.png</t>
  </si>
  <si>
    <t>A-5053__104</t>
  </si>
  <si>
    <t>marker_790_019777.png</t>
  </si>
  <si>
    <t>A-5053__103</t>
  </si>
  <si>
    <t>marker_841_019786.png</t>
  </si>
  <si>
    <t>A-5053__102</t>
  </si>
  <si>
    <t>marker_740_019794.png</t>
  </si>
  <si>
    <t>A-5053__101</t>
  </si>
  <si>
    <t>marker_311_019803.png</t>
  </si>
  <si>
    <t>A-5053__92</t>
  </si>
  <si>
    <t>marker_712_019888.png</t>
  </si>
  <si>
    <t>A-5053__91</t>
  </si>
  <si>
    <t>marker_419_019902.png</t>
  </si>
  <si>
    <t>A-5053__87</t>
  </si>
  <si>
    <t>marker_153_019943.png</t>
  </si>
  <si>
    <t>A-5053__86</t>
  </si>
  <si>
    <t>marker_117_019954.png</t>
  </si>
  <si>
    <t>A-5053__85</t>
  </si>
  <si>
    <t>marker_665_019965.png</t>
  </si>
  <si>
    <t>A-5053__83</t>
  </si>
  <si>
    <t>marker_122_019983.png</t>
  </si>
  <si>
    <t>A-5053__82</t>
  </si>
  <si>
    <t>marker_123_019992.png</t>
  </si>
  <si>
    <t>A-5053__79</t>
  </si>
  <si>
    <t>marker_969_020020.png</t>
  </si>
  <si>
    <t>A-5053__78</t>
  </si>
  <si>
    <t>marker_922_020029.png</t>
  </si>
  <si>
    <t>A-5053__77</t>
  </si>
  <si>
    <t>marker_329_020040.png</t>
  </si>
  <si>
    <t>A-5053__76</t>
  </si>
  <si>
    <t>marker_419_020246.png</t>
  </si>
  <si>
    <t>A-5053__75</t>
  </si>
  <si>
    <t>marker_273_020256.png</t>
  </si>
  <si>
    <t>A-5053__74</t>
  </si>
  <si>
    <t>marker_470_020265.png</t>
  </si>
  <si>
    <t>A-5053__73</t>
  </si>
  <si>
    <t>marker_881_020275.png</t>
  </si>
  <si>
    <t>A-5053__72</t>
  </si>
  <si>
    <t>marker_733_020283.png</t>
  </si>
  <si>
    <t>A-5053__70</t>
  </si>
  <si>
    <t>marker_480_020304.png</t>
  </si>
  <si>
    <t>A-5053__69</t>
  </si>
  <si>
    <t>marker_288_020717.png</t>
  </si>
  <si>
    <t>A-5053__68</t>
  </si>
  <si>
    <t>marker_929_020726.png</t>
  </si>
  <si>
    <t>A-5053__67</t>
  </si>
  <si>
    <t>marker_350_020735.png</t>
  </si>
  <si>
    <t>A-5053__66</t>
  </si>
  <si>
    <t>marker_443_020745.png</t>
  </si>
  <si>
    <t>A-5053__58</t>
  </si>
  <si>
    <t>marker_267_020903.png</t>
  </si>
  <si>
    <t>A-5053__57</t>
  </si>
  <si>
    <t>marker_120_020913.png</t>
  </si>
  <si>
    <t>A-5053__21</t>
  </si>
  <si>
    <t>marker_337_022893.png</t>
  </si>
  <si>
    <t>A-5053__18</t>
  </si>
  <si>
    <t>marker_162_025019.png</t>
  </si>
  <si>
    <t>A-5053__17</t>
  </si>
  <si>
    <t>marker_178_025031.png</t>
  </si>
  <si>
    <t>A-495__15</t>
  </si>
  <si>
    <t>marker_284_381213.png</t>
  </si>
  <si>
    <t>A-495__23</t>
  </si>
  <si>
    <t>marker_526_381326.png</t>
  </si>
  <si>
    <t>A-495__30</t>
  </si>
  <si>
    <t>marker_370_381396.png</t>
  </si>
  <si>
    <t>A-495__33</t>
  </si>
  <si>
    <t>marker_540_381436.png</t>
  </si>
  <si>
    <t>A-495__97</t>
  </si>
  <si>
    <t>marker_163_382127.png</t>
  </si>
  <si>
    <t>A-495__99</t>
  </si>
  <si>
    <t>marker_155_382145.png</t>
  </si>
  <si>
    <t>A-495__100</t>
  </si>
  <si>
    <t>marker_307_382154.png</t>
  </si>
  <si>
    <t>A-5059__77</t>
  </si>
  <si>
    <t>marker_915_378778.png</t>
  </si>
  <si>
    <t>A-5059__75</t>
  </si>
  <si>
    <t>marker_898_378801.png</t>
  </si>
  <si>
    <t>A-5059__69</t>
  </si>
  <si>
    <t>marker_933_378856.png</t>
  </si>
  <si>
    <t>A-5059__66</t>
  </si>
  <si>
    <t>marker_883_378884.png</t>
  </si>
  <si>
    <t>A-5059__59</t>
  </si>
  <si>
    <t>marker_750_378956.png</t>
  </si>
  <si>
    <t>A-5059__58</t>
  </si>
  <si>
    <t>marker_713_378964.png</t>
  </si>
  <si>
    <t>A-5059__54</t>
  </si>
  <si>
    <t>marker_709_379054.png</t>
  </si>
  <si>
    <t>A-5059__53</t>
  </si>
  <si>
    <t>marker_775_379066.png</t>
  </si>
  <si>
    <t>A-5059__52</t>
  </si>
  <si>
    <t>marker_860_379075.png</t>
  </si>
  <si>
    <t>A-5059__51</t>
  </si>
  <si>
    <t>marker_812_379084.png</t>
  </si>
  <si>
    <t>A-5059__48</t>
  </si>
  <si>
    <t>marker_687_379114.png</t>
  </si>
  <si>
    <t>A-5059__47</t>
  </si>
  <si>
    <t>marker_867_379123.png</t>
  </si>
  <si>
    <t>A-495__139</t>
  </si>
  <si>
    <t>marker_983_382569.png</t>
  </si>
  <si>
    <t>A-5059__37</t>
  </si>
  <si>
    <t>marker_685_379340.png</t>
  </si>
  <si>
    <t>A-5059__36</t>
  </si>
  <si>
    <t>marker_438_379348.png</t>
  </si>
  <si>
    <t>A-5059__32</t>
  </si>
  <si>
    <t>marker_652_379387.png</t>
  </si>
  <si>
    <t>A-5059__31</t>
  </si>
  <si>
    <t>marker_417_379395.png</t>
  </si>
  <si>
    <t>A-495__146</t>
  </si>
  <si>
    <t>marker_547_382633.png</t>
  </si>
  <si>
    <t>A-495__155</t>
  </si>
  <si>
    <t>marker_619_382732.png</t>
  </si>
  <si>
    <t>A-5058__2</t>
  </si>
  <si>
    <t>marker_149_379799.png</t>
  </si>
  <si>
    <t>A-5058__5</t>
  </si>
  <si>
    <t>marker_145_379851.png</t>
  </si>
  <si>
    <t>A-5058__6</t>
  </si>
  <si>
    <t>marker_924_379860.png</t>
  </si>
  <si>
    <t>A-5058__26</t>
  </si>
  <si>
    <t>marker_497_380147.png</t>
  </si>
  <si>
    <t>A-495__163</t>
  </si>
  <si>
    <t>marker_795_382840.png</t>
  </si>
  <si>
    <t>A-5058__29</t>
  </si>
  <si>
    <t>marker_398_380181.png</t>
  </si>
  <si>
    <t>A-5058__38</t>
  </si>
  <si>
    <t>marker_619_380274.png</t>
  </si>
  <si>
    <t>A-5058__39</t>
  </si>
  <si>
    <t>marker_610_380286.png</t>
  </si>
  <si>
    <t>A-5058__40</t>
  </si>
  <si>
    <t>marker_154_380296.png</t>
  </si>
  <si>
    <t>A-495__170</t>
  </si>
  <si>
    <t>marker_887_382911.png</t>
  </si>
  <si>
    <t>A-5058__45</t>
  </si>
  <si>
    <t>marker_610_380473.png</t>
  </si>
  <si>
    <t>A-5058__46</t>
  </si>
  <si>
    <t>marker_536_380488.png</t>
  </si>
  <si>
    <t>A-5058__51</t>
  </si>
  <si>
    <t>marker_178_380543.png</t>
  </si>
  <si>
    <t>A-5058__53</t>
  </si>
  <si>
    <t>marker_280_380560.png</t>
  </si>
  <si>
    <t>A-5058__54</t>
  </si>
  <si>
    <t>marker_354_380579.png</t>
  </si>
  <si>
    <t>A-5058__55</t>
  </si>
  <si>
    <t>marker_748_380589.png</t>
  </si>
  <si>
    <t>A-5058__155</t>
  </si>
  <si>
    <t>marker_312_381759.png</t>
  </si>
  <si>
    <t>A-5058__187</t>
  </si>
  <si>
    <t>marker_212_382749.png</t>
  </si>
  <si>
    <t>A-5058__355</t>
  </si>
  <si>
    <t>marker_606_384916.png</t>
  </si>
  <si>
    <t>A-495_1__189</t>
  </si>
  <si>
    <t>marker_832_383736.png</t>
  </si>
  <si>
    <t>A-495_1__184</t>
  </si>
  <si>
    <t>marker_827_383784.png</t>
  </si>
  <si>
    <t>A-495_1__180</t>
  </si>
  <si>
    <t>marker_594_383820.png</t>
  </si>
  <si>
    <t>A-495_1__175</t>
  </si>
  <si>
    <t>marker_213_383943.png</t>
  </si>
  <si>
    <t>A-495_1__173</t>
  </si>
  <si>
    <t>marker_641_383960.png</t>
  </si>
  <si>
    <t>A-495_1__85</t>
  </si>
  <si>
    <t>marker_568_385192.png</t>
  </si>
  <si>
    <t>A-495_1__72</t>
  </si>
  <si>
    <t>marker_737_385309.png</t>
  </si>
  <si>
    <t>A-495_1__65</t>
  </si>
  <si>
    <t>marker_342_385373.png</t>
  </si>
  <si>
    <t>A-495_1__64</t>
  </si>
  <si>
    <t>marker_842_385382.png</t>
  </si>
  <si>
    <t>A-495_1__63</t>
  </si>
  <si>
    <t>marker_973_385391.png</t>
  </si>
  <si>
    <t>A-495_1__57</t>
  </si>
  <si>
    <t>marker_833_385499.png</t>
  </si>
  <si>
    <t>A-495_1__56</t>
  </si>
  <si>
    <t>marker_203_385509.png</t>
  </si>
  <si>
    <t>A-495_1__54</t>
  </si>
  <si>
    <t>marker_987_385527.png</t>
  </si>
  <si>
    <t>A-495_1__50</t>
  </si>
  <si>
    <t>marker_518_385561.png</t>
  </si>
  <si>
    <t>A-495_1__48</t>
  </si>
  <si>
    <t>marker_921_385579.png</t>
  </si>
  <si>
    <t>A-495_1__47</t>
  </si>
  <si>
    <t>marker_136_385588.png</t>
  </si>
  <si>
    <t>A-495_1__39</t>
  </si>
  <si>
    <t>marker_319_385664.png</t>
  </si>
  <si>
    <t>A-495_1__36</t>
  </si>
  <si>
    <t>marker_165_385692.png</t>
  </si>
  <si>
    <t>A-495_1__31</t>
  </si>
  <si>
    <t>marker_366_385862.png</t>
  </si>
  <si>
    <t>A-495_1__27</t>
  </si>
  <si>
    <t>marker_975_385908.png</t>
  </si>
  <si>
    <t>A-495_1__19</t>
  </si>
  <si>
    <t>marker_410_386134.png</t>
  </si>
  <si>
    <t>A-495_1__18</t>
  </si>
  <si>
    <t>marker_277_386142.png</t>
  </si>
  <si>
    <t>A-499__1</t>
  </si>
  <si>
    <t>marker_119_529185.png</t>
  </si>
  <si>
    <t>A-499__2</t>
  </si>
  <si>
    <t>marker_388_529195.png</t>
  </si>
  <si>
    <t>A-499__5</t>
  </si>
  <si>
    <t>marker_421_529223.png</t>
  </si>
  <si>
    <t>A-499__6</t>
  </si>
  <si>
    <t>marker_504_529237.png</t>
  </si>
  <si>
    <t>A-499__8</t>
  </si>
  <si>
    <t>marker_595_529282.png</t>
  </si>
  <si>
    <t>A-499__9</t>
  </si>
  <si>
    <t>marker_333_529294.png</t>
  </si>
  <si>
    <t>A-499__13</t>
  </si>
  <si>
    <t>marker_432_529330.png</t>
  </si>
  <si>
    <t>A-499__14</t>
  </si>
  <si>
    <t>marker_978_529343.png</t>
  </si>
  <si>
    <t>A-499__15</t>
  </si>
  <si>
    <t>marker_854_529357.png</t>
  </si>
  <si>
    <t>A-499__16</t>
  </si>
  <si>
    <t>marker_181_529395.png</t>
  </si>
  <si>
    <t>A-499__17</t>
  </si>
  <si>
    <t>marker_433_529405.png</t>
  </si>
  <si>
    <t>A-499__18</t>
  </si>
  <si>
    <t>marker_192_529413.png</t>
  </si>
  <si>
    <t>A-499__19</t>
  </si>
  <si>
    <t>marker_181_529422.png</t>
  </si>
  <si>
    <t>A-499__20</t>
  </si>
  <si>
    <t>marker_290_529430.png</t>
  </si>
  <si>
    <t>A-499__21</t>
  </si>
  <si>
    <t>marker_136_529439.png</t>
  </si>
  <si>
    <t>A-499__22</t>
  </si>
  <si>
    <t>marker_596_529446.png</t>
  </si>
  <si>
    <t>A-499__23</t>
  </si>
  <si>
    <t>marker_137_529454.png</t>
  </si>
  <si>
    <t>A-499__24</t>
  </si>
  <si>
    <t>marker_192_529464.png</t>
  </si>
  <si>
    <t>A-499__26</t>
  </si>
  <si>
    <t>marker_568_529503.png</t>
  </si>
  <si>
    <t>A-499__27</t>
  </si>
  <si>
    <t>marker_893_529510.png</t>
  </si>
  <si>
    <t>A-499__29</t>
  </si>
  <si>
    <t>marker_117_529535.png</t>
  </si>
  <si>
    <t>A-499__30</t>
  </si>
  <si>
    <t>marker_786_529544.png</t>
  </si>
  <si>
    <t>A-499__34</t>
  </si>
  <si>
    <t>marker_262_529963.png</t>
  </si>
  <si>
    <t>A-499__38</t>
  </si>
  <si>
    <t>marker_930_530004.png</t>
  </si>
  <si>
    <t>A-499__39</t>
  </si>
  <si>
    <t>marker_172_530011.png</t>
  </si>
  <si>
    <t>A-499__41</t>
  </si>
  <si>
    <t>marker_680_530033.png</t>
  </si>
  <si>
    <t>A-499__48</t>
  </si>
  <si>
    <t>marker_461_534843.png</t>
  </si>
  <si>
    <t>A-499__55</t>
  </si>
  <si>
    <t>marker_868_534945.png</t>
  </si>
  <si>
    <t>A-499__62</t>
  </si>
  <si>
    <t>marker_142_535089.png</t>
  </si>
  <si>
    <t>A-499__63</t>
  </si>
  <si>
    <t>marker_510_535099.png</t>
  </si>
  <si>
    <t>A-499__64</t>
  </si>
  <si>
    <t>marker_271_535115.png</t>
  </si>
  <si>
    <t>A-499__97</t>
  </si>
  <si>
    <t>marker_612_793164.png</t>
  </si>
  <si>
    <t>A-499__98</t>
  </si>
  <si>
    <t>marker_606_793179.png</t>
  </si>
  <si>
    <t>A-499__102</t>
  </si>
  <si>
    <t>marker_605_793257.png</t>
  </si>
  <si>
    <t>A-499__103</t>
  </si>
  <si>
    <t>marker_539_793279.png</t>
  </si>
  <si>
    <t>A-499__105</t>
  </si>
  <si>
    <t>marker_929_793306.png</t>
  </si>
  <si>
    <t>A-499__106</t>
  </si>
  <si>
    <t>marker_497_793317.png</t>
  </si>
  <si>
    <t>A-497__844</t>
  </si>
  <si>
    <t>marker_304_367502.png</t>
  </si>
  <si>
    <t>A-497__843</t>
  </si>
  <si>
    <t>marker_165_367511.png</t>
  </si>
  <si>
    <t>A-497__842</t>
  </si>
  <si>
    <t>marker_862_367521.png</t>
  </si>
  <si>
    <t>A-497__837</t>
  </si>
  <si>
    <t>marker_192_367577.png</t>
  </si>
  <si>
    <t>A-497__773</t>
  </si>
  <si>
    <t>marker_401_368260.png</t>
  </si>
  <si>
    <t>A-497__772</t>
  </si>
  <si>
    <t>marker_144_368277.png</t>
  </si>
  <si>
    <t>A-499__108</t>
  </si>
  <si>
    <t>marker_612_793346.png</t>
  </si>
  <si>
    <t>A-499__109</t>
  </si>
  <si>
    <t>marker_215_793387.png</t>
  </si>
  <si>
    <t>A-499__110</t>
  </si>
  <si>
    <t>marker_255_793402.png</t>
  </si>
  <si>
    <t>A-497_2C__10</t>
  </si>
  <si>
    <t>marker_361_653985.png</t>
  </si>
  <si>
    <t>A-499__124</t>
  </si>
  <si>
    <t>marker_717_793677.png</t>
  </si>
  <si>
    <t>A-499__125</t>
  </si>
  <si>
    <t>marker_401_793696.png</t>
  </si>
  <si>
    <t>A-499__126</t>
  </si>
  <si>
    <t>marker_175_793710.png</t>
  </si>
  <si>
    <t>A-499__127</t>
  </si>
  <si>
    <t>marker_550_793724.png</t>
  </si>
  <si>
    <t>A-499__133</t>
  </si>
  <si>
    <t>marker_930_793847.png</t>
  </si>
  <si>
    <t>A-499__134</t>
  </si>
  <si>
    <t>marker_182_793866.png</t>
  </si>
  <si>
    <t>A-499__135</t>
  </si>
  <si>
    <t>marker_174_793910.png</t>
  </si>
  <si>
    <t>A-499__136</t>
  </si>
  <si>
    <t>marker_749_793924.png</t>
  </si>
  <si>
    <t>A-499__138</t>
  </si>
  <si>
    <t>marker_341_794038.png</t>
  </si>
  <si>
    <t>A-499__141</t>
  </si>
  <si>
    <t>marker_974_794098.png</t>
  </si>
  <si>
    <t>A-499__143</t>
  </si>
  <si>
    <t>marker_629_794126.png</t>
  </si>
  <si>
    <t>A-499__150</t>
  </si>
  <si>
    <t>marker_852_794308.png</t>
  </si>
  <si>
    <t>A-499__151</t>
  </si>
  <si>
    <t>marker_297_794321.png</t>
  </si>
  <si>
    <t>A-499__152</t>
  </si>
  <si>
    <t>marker_713_794336.png</t>
  </si>
  <si>
    <t>A-499__157</t>
  </si>
  <si>
    <t>marker_278_794538.png</t>
  </si>
  <si>
    <t>A-499__167</t>
  </si>
  <si>
    <t>marker_315_794715.png</t>
  </si>
  <si>
    <t>A-499__169</t>
  </si>
  <si>
    <t>marker_790_794785.png</t>
  </si>
  <si>
    <t>A-499__170</t>
  </si>
  <si>
    <t>marker_577_795495.png</t>
  </si>
  <si>
    <t>A-499__171</t>
  </si>
  <si>
    <t>marker_356_795509.png</t>
  </si>
  <si>
    <t>A-499__172</t>
  </si>
  <si>
    <t>marker_466_795519.png</t>
  </si>
  <si>
    <t>A-499__173</t>
  </si>
  <si>
    <t>marker_784_795532.png</t>
  </si>
  <si>
    <t>A-499__181</t>
  </si>
  <si>
    <t>marker_531_795637.png</t>
  </si>
  <si>
    <t>A-499__182</t>
  </si>
  <si>
    <t>marker_995_795652.png</t>
  </si>
  <si>
    <t>A-499__184</t>
  </si>
  <si>
    <t>marker_771_795684.png</t>
  </si>
  <si>
    <t>A-499__185</t>
  </si>
  <si>
    <t>marker_708_795699.png</t>
  </si>
  <si>
    <t>A-499__189</t>
  </si>
  <si>
    <t>marker_382_795795.png</t>
  </si>
  <si>
    <t>A-499__194</t>
  </si>
  <si>
    <t>marker_543_795869.png</t>
  </si>
  <si>
    <t>A-499__195</t>
  </si>
  <si>
    <t>marker_983_795888.png</t>
  </si>
  <si>
    <t>A-499__199</t>
  </si>
  <si>
    <t>marker_893_796072.png</t>
  </si>
  <si>
    <t>A-499__200</t>
  </si>
  <si>
    <t>marker_152_796087.png</t>
  </si>
  <si>
    <t>A-499__207</t>
  </si>
  <si>
    <t>marker_394_796274.png</t>
  </si>
  <si>
    <t>A-499__208</t>
  </si>
  <si>
    <t>marker_160_796286.png</t>
  </si>
  <si>
    <t>A-499__210</t>
  </si>
  <si>
    <t>marker_514_796310.png</t>
  </si>
  <si>
    <t>A-499__211</t>
  </si>
  <si>
    <t>marker_642_796322.png</t>
  </si>
  <si>
    <t>A-499__212</t>
  </si>
  <si>
    <t>marker_617_796336.png</t>
  </si>
  <si>
    <t>A-499__215</t>
  </si>
  <si>
    <t>marker_986_796410.png</t>
  </si>
  <si>
    <t>A-499__217</t>
  </si>
  <si>
    <t>marker_140_796435.png</t>
  </si>
  <si>
    <t>A-499__219</t>
  </si>
  <si>
    <t>marker_375_796457.png</t>
  </si>
  <si>
    <t>A-499__221</t>
  </si>
  <si>
    <t>marker_124_796482.png</t>
  </si>
  <si>
    <t>A-499__222</t>
  </si>
  <si>
    <t>marker_708_796501.png</t>
  </si>
  <si>
    <t>A-499__223</t>
  </si>
  <si>
    <t>marker_300_796514.png</t>
  </si>
  <si>
    <t>A-499__227</t>
  </si>
  <si>
    <t>marker_133_796573.png</t>
  </si>
  <si>
    <t>A-499__229</t>
  </si>
  <si>
    <t>marker_859_796604.png</t>
  </si>
  <si>
    <t>A-499__234</t>
  </si>
  <si>
    <t>marker_167_796690.png</t>
  </si>
  <si>
    <t>A-499__239</t>
  </si>
  <si>
    <t>marker_432_796789.png</t>
  </si>
  <si>
    <t>A-499__244</t>
  </si>
  <si>
    <t>marker_167_796915.png</t>
  </si>
  <si>
    <t>A-497_2C__50</t>
  </si>
  <si>
    <t>marker_630_654754.png</t>
  </si>
  <si>
    <t>A-497_2C__53</t>
  </si>
  <si>
    <t>marker_752_654783.png</t>
  </si>
  <si>
    <t>A-499__248</t>
  </si>
  <si>
    <t>marker_495_796973.png</t>
  </si>
  <si>
    <t>A-499__249</t>
  </si>
  <si>
    <t>marker_441_796984.png</t>
  </si>
  <si>
    <t>A-499__250</t>
  </si>
  <si>
    <t>marker_813_796999.png</t>
  </si>
  <si>
    <t>A-499__251</t>
  </si>
  <si>
    <t>marker_257_797020.png</t>
  </si>
  <si>
    <t>A-499__253</t>
  </si>
  <si>
    <t>marker_408_797040.png</t>
  </si>
  <si>
    <t>A-499__254</t>
  </si>
  <si>
    <t>marker_463_797051.png</t>
  </si>
  <si>
    <t>A-499__255</t>
  </si>
  <si>
    <t>marker_435_797074.png</t>
  </si>
  <si>
    <t>A-499__257</t>
  </si>
  <si>
    <t>marker_379_797222.png</t>
  </si>
  <si>
    <t>A-499__258</t>
  </si>
  <si>
    <t>marker_861_797235.png</t>
  </si>
  <si>
    <t>A-499__260</t>
  </si>
  <si>
    <t>marker_537_797261.png</t>
  </si>
  <si>
    <t>A-499__262</t>
  </si>
  <si>
    <t>marker_519_797282.png</t>
  </si>
  <si>
    <t>A-499__263</t>
  </si>
  <si>
    <t>marker_359_797294.png</t>
  </si>
  <si>
    <t>A-499__264</t>
  </si>
  <si>
    <t>marker_748_797305.png</t>
  </si>
  <si>
    <t>A-499__265</t>
  </si>
  <si>
    <t>marker_896_797326.png</t>
  </si>
  <si>
    <t>A-499__267</t>
  </si>
  <si>
    <t>marker_741_797353.png</t>
  </si>
  <si>
    <t>A-499__268</t>
  </si>
  <si>
    <t>marker_824_797369.png</t>
  </si>
  <si>
    <t>A-497_2C__117</t>
  </si>
  <si>
    <t>marker_826_655655.png</t>
  </si>
  <si>
    <t>A-497_2C__119</t>
  </si>
  <si>
    <t>marker_900_655673.png</t>
  </si>
  <si>
    <t>A-497_2C__123</t>
  </si>
  <si>
    <t>marker_208_655707.png</t>
  </si>
  <si>
    <t>A-497_2C__124</t>
  </si>
  <si>
    <t>marker_161_655715.png</t>
  </si>
  <si>
    <t>A-497_2C__128</t>
  </si>
  <si>
    <t>marker_287_655750.png</t>
  </si>
  <si>
    <t>A-497_2C__129</t>
  </si>
  <si>
    <t>marker_226_655758.png</t>
  </si>
  <si>
    <t>A-497_2C__131</t>
  </si>
  <si>
    <t>marker_672_655782.png</t>
  </si>
  <si>
    <t>A-497_2C__132</t>
  </si>
  <si>
    <t>marker_594_655792.png</t>
  </si>
  <si>
    <t>A-497_2C__145</t>
  </si>
  <si>
    <t>marker_584_655913.png</t>
  </si>
  <si>
    <t>A-497__744</t>
  </si>
  <si>
    <t>marker_150_368793.png</t>
  </si>
  <si>
    <t>A-497__743</t>
  </si>
  <si>
    <t>marker_729_368807.png</t>
  </si>
  <si>
    <t>A-497_2C__160</t>
  </si>
  <si>
    <t>marker_683_656102.png</t>
  </si>
  <si>
    <t>A-497__728</t>
  </si>
  <si>
    <t>marker_306_368983.png</t>
  </si>
  <si>
    <t>A-497_2C__194</t>
  </si>
  <si>
    <t>marker_437_656463.png</t>
  </si>
  <si>
    <t>A-497_2C__196</t>
  </si>
  <si>
    <t>marker_826_656480.png</t>
  </si>
  <si>
    <t>A-497__690</t>
  </si>
  <si>
    <t>marker_726_370474.png</t>
  </si>
  <si>
    <t>A-497__682</t>
  </si>
  <si>
    <t>marker_275_370556.png</t>
  </si>
  <si>
    <t>A-497__672</t>
  </si>
  <si>
    <t>marker_721_371008.png</t>
  </si>
  <si>
    <t>A-497__671</t>
  </si>
  <si>
    <t>marker_522_371017.png</t>
  </si>
  <si>
    <t>A-497_2C__234</t>
  </si>
  <si>
    <t>marker_718_656918.png</t>
  </si>
  <si>
    <t>A-497_2C__237</t>
  </si>
  <si>
    <t>marker_213_656942.png</t>
  </si>
  <si>
    <t>A-497_2C__244</t>
  </si>
  <si>
    <t>marker_867_657059.png</t>
  </si>
  <si>
    <t>A-497_2C__245</t>
  </si>
  <si>
    <t>marker_234_657067.png</t>
  </si>
  <si>
    <t>A-497_2C__246</t>
  </si>
  <si>
    <t>marker_444_657077.png</t>
  </si>
  <si>
    <t>A-497_2C__247</t>
  </si>
  <si>
    <t>marker_441_657086.png</t>
  </si>
  <si>
    <t>A-497_2C__248</t>
  </si>
  <si>
    <t>marker_232_657095.png</t>
  </si>
  <si>
    <t>A-497__632</t>
  </si>
  <si>
    <t>marker_677_371415.png</t>
  </si>
  <si>
    <t>A-497__564</t>
  </si>
  <si>
    <t>marker_504_372107.png</t>
  </si>
  <si>
    <t>A-497_2C__299</t>
  </si>
  <si>
    <t>marker_370_320162.png</t>
  </si>
  <si>
    <t>A-497_2C__300</t>
  </si>
  <si>
    <t>marker_751_320173.png</t>
  </si>
  <si>
    <t>A-497_2C__301</t>
  </si>
  <si>
    <t>marker_893_320183.png</t>
  </si>
  <si>
    <t>A-497_2C__302</t>
  </si>
  <si>
    <t>marker_292_320191.png</t>
  </si>
  <si>
    <t>A-497__556</t>
  </si>
  <si>
    <t>marker_908_372198.png</t>
  </si>
  <si>
    <t>A-497__548</t>
  </si>
  <si>
    <t>marker_525_372296.png</t>
  </si>
  <si>
    <t>A-497_2C__410</t>
  </si>
  <si>
    <t>marker_773_363008.png</t>
  </si>
  <si>
    <t>A-497_2C__412</t>
  </si>
  <si>
    <t>marker_867_363034.png</t>
  </si>
  <si>
    <t>A-497_2C__414</t>
  </si>
  <si>
    <t>marker_803_363054.png</t>
  </si>
  <si>
    <t>A-497_2C__415</t>
  </si>
  <si>
    <t>marker_103_363063.png</t>
  </si>
  <si>
    <t>A-497_2C__417</t>
  </si>
  <si>
    <t>marker_186_363085.png</t>
  </si>
  <si>
    <t>A-497_2C__420</t>
  </si>
  <si>
    <t>marker_760_363114.png</t>
  </si>
  <si>
    <t>A-497__482</t>
  </si>
  <si>
    <t>marker_275_376286.png</t>
  </si>
  <si>
    <t>A-497_2C__424</t>
  </si>
  <si>
    <t>marker_455_363152.png</t>
  </si>
  <si>
    <t>A-497__477</t>
  </si>
  <si>
    <t>marker_294_376349.png</t>
  </si>
  <si>
    <t>A-497_2C__433</t>
  </si>
  <si>
    <t>marker_816_363232.png</t>
  </si>
  <si>
    <t>A-497_2C__434</t>
  </si>
  <si>
    <t>marker_501_363243.png</t>
  </si>
  <si>
    <t>A-497__464</t>
  </si>
  <si>
    <t>marker_516_376531.png</t>
  </si>
  <si>
    <t>A-497__463</t>
  </si>
  <si>
    <t>marker_465_376540.png</t>
  </si>
  <si>
    <t>A-497__462</t>
  </si>
  <si>
    <t>marker_656_376549.png</t>
  </si>
  <si>
    <t>A-497__460</t>
  </si>
  <si>
    <t>marker_806_376567.png</t>
  </si>
  <si>
    <t>A-497__459</t>
  </si>
  <si>
    <t>marker_577_376578.png</t>
  </si>
  <si>
    <t>A-497_2C__500</t>
  </si>
  <si>
    <t>marker_702_364063.png</t>
  </si>
  <si>
    <t>A-497__453</t>
  </si>
  <si>
    <t>marker_506_376657.png</t>
  </si>
  <si>
    <t>A-497_2C__508</t>
  </si>
  <si>
    <t>marker_493_364138.png</t>
  </si>
  <si>
    <t>A-497_2C__521</t>
  </si>
  <si>
    <t>marker_238_364285.png</t>
  </si>
  <si>
    <t>A-497_2C__525</t>
  </si>
  <si>
    <t>marker_315_364390.png</t>
  </si>
  <si>
    <t>A-497_2C__526</t>
  </si>
  <si>
    <t>marker_691_364398.png</t>
  </si>
  <si>
    <t>A-497_2C__528</t>
  </si>
  <si>
    <t>marker_311_364417.png</t>
  </si>
  <si>
    <t>A-497_2C__529</t>
  </si>
  <si>
    <t>marker_753_364425.png</t>
  </si>
  <si>
    <t>A-497_2C__532</t>
  </si>
  <si>
    <t>marker_523_364452.png</t>
  </si>
  <si>
    <t>A-497_2C__533</t>
  </si>
  <si>
    <t>marker_576_364464.png</t>
  </si>
  <si>
    <t>A-497_2C__626</t>
  </si>
  <si>
    <t>marker_276_367043.png</t>
  </si>
  <si>
    <t>A-497_2C__627</t>
  </si>
  <si>
    <t>marker_745_367052.png</t>
  </si>
  <si>
    <t>A-497_2C__628</t>
  </si>
  <si>
    <t>marker_521_367063.png</t>
  </si>
  <si>
    <t>A-497_2C__629</t>
  </si>
  <si>
    <t>marker_843_367073.png</t>
  </si>
  <si>
    <t>A-497_2C__630</t>
  </si>
  <si>
    <t>marker_894_367082.png</t>
  </si>
  <si>
    <t>A-497_2C__631</t>
  </si>
  <si>
    <t>marker_472_367093.png</t>
  </si>
  <si>
    <t>A-497_2C__632</t>
  </si>
  <si>
    <t>marker_659_367102.png</t>
  </si>
  <si>
    <t>A-497_2C__633</t>
  </si>
  <si>
    <t>marker_237_367111.png</t>
  </si>
  <si>
    <t>A-497_2C__634</t>
  </si>
  <si>
    <t>marker_226_367120.png</t>
  </si>
  <si>
    <t>A-497_2C__638</t>
  </si>
  <si>
    <t>marker_262_367160.png</t>
  </si>
  <si>
    <t>A-497_2C__640</t>
  </si>
  <si>
    <t>marker_877_367177.png</t>
  </si>
  <si>
    <t>A-497_2C__641</t>
  </si>
  <si>
    <t>marker_818_367186.png</t>
  </si>
  <si>
    <t>A-497_2C__642</t>
  </si>
  <si>
    <t>marker_167_367195.png</t>
  </si>
  <si>
    <t>A-497_2C__643</t>
  </si>
  <si>
    <t>marker_329_367209.png</t>
  </si>
  <si>
    <t>A-497_2C__644</t>
  </si>
  <si>
    <t>marker_922_367219.png</t>
  </si>
  <si>
    <t>A-497_2C__646</t>
  </si>
  <si>
    <t>marker_693_367239.png</t>
  </si>
  <si>
    <t>A-497_2C__650</t>
  </si>
  <si>
    <t>marker_143_367278.png</t>
  </si>
  <si>
    <t>A-497_2C__652</t>
  </si>
  <si>
    <t>marker_549_367297.png</t>
  </si>
  <si>
    <t>A-497_2C__653</t>
  </si>
  <si>
    <t>marker_686_367307.png</t>
  </si>
  <si>
    <t>A-497_2C__654</t>
  </si>
  <si>
    <t>marker_519_367318.png</t>
  </si>
  <si>
    <t>A-497_2C__655</t>
  </si>
  <si>
    <t>marker_110_367334.png</t>
  </si>
  <si>
    <t>A-497_2C__656</t>
  </si>
  <si>
    <t>marker_978_367344.png</t>
  </si>
  <si>
    <t>A-497_2C__660</t>
  </si>
  <si>
    <t>marker_114_367388.png</t>
  </si>
  <si>
    <t>A-497__447</t>
  </si>
  <si>
    <t>marker_850_376725.png</t>
  </si>
  <si>
    <t>A-497__446</t>
  </si>
  <si>
    <t>marker_380_376735.png</t>
  </si>
  <si>
    <t>A-497__445</t>
  </si>
  <si>
    <t>marker_915_376745.png</t>
  </si>
  <si>
    <t>A-497__444</t>
  </si>
  <si>
    <t>marker_297_376760.png</t>
  </si>
  <si>
    <t>A-497__442</t>
  </si>
  <si>
    <t>marker_317_376785.png</t>
  </si>
  <si>
    <t>A-497__440</t>
  </si>
  <si>
    <t>marker_928_376807.png</t>
  </si>
  <si>
    <t>A-497__439</t>
  </si>
  <si>
    <t>marker_514_376816.png</t>
  </si>
  <si>
    <t>A-497__438</t>
  </si>
  <si>
    <t>marker_892_376825.png</t>
  </si>
  <si>
    <t>A-497__436</t>
  </si>
  <si>
    <t>marker_891_376842.png</t>
  </si>
  <si>
    <t>A-497__435</t>
  </si>
  <si>
    <t>marker_688_376852.png</t>
  </si>
  <si>
    <t>A-497__432</t>
  </si>
  <si>
    <t>marker_834_376879.png</t>
  </si>
  <si>
    <t>A-497__431</t>
  </si>
  <si>
    <t>marker_441_376898.png</t>
  </si>
  <si>
    <t>A-497__430</t>
  </si>
  <si>
    <t>marker_618_376909.png</t>
  </si>
  <si>
    <t>A-497__428</t>
  </si>
  <si>
    <t>marker_444_376936.png</t>
  </si>
  <si>
    <t>A-497__426</t>
  </si>
  <si>
    <t>marker_592_376953.png</t>
  </si>
  <si>
    <t>A-497__425</t>
  </si>
  <si>
    <t>marker_711_376962.png</t>
  </si>
  <si>
    <t>A-497__423</t>
  </si>
  <si>
    <t>marker_436_376986.png</t>
  </si>
  <si>
    <t>A-497__422</t>
  </si>
  <si>
    <t>marker_687_376994.png</t>
  </si>
  <si>
    <t>A-497__421</t>
  </si>
  <si>
    <t>marker_745_377003.png</t>
  </si>
  <si>
    <t>A-497__418</t>
  </si>
  <si>
    <t>marker_600_377030.png</t>
  </si>
  <si>
    <t>A-497__385</t>
  </si>
  <si>
    <t>marker_354_377326.png</t>
  </si>
  <si>
    <t>A-497__384</t>
  </si>
  <si>
    <t>marker_895_377335.png</t>
  </si>
  <si>
    <t>A-497__383</t>
  </si>
  <si>
    <t>marker_663_377344.png</t>
  </si>
  <si>
    <t>A-497__382</t>
  </si>
  <si>
    <t>marker_146_377353.png</t>
  </si>
  <si>
    <t>A-497__379</t>
  </si>
  <si>
    <t>marker_359_377378.png</t>
  </si>
  <si>
    <t>A-497__378</t>
  </si>
  <si>
    <t>marker_440_377387.png</t>
  </si>
  <si>
    <t>A-497__377</t>
  </si>
  <si>
    <t>marker_143_377396.png</t>
  </si>
  <si>
    <t>A-497__375</t>
  </si>
  <si>
    <t>marker_494_377413.png</t>
  </si>
  <si>
    <t>A-497__372</t>
  </si>
  <si>
    <t>marker_460_377436.png</t>
  </si>
  <si>
    <t>A-497__371</t>
  </si>
  <si>
    <t>marker_787_377445.png</t>
  </si>
  <si>
    <t>A-497__366</t>
  </si>
  <si>
    <t>marker_381_377495.png</t>
  </si>
  <si>
    <t>A-497__365</t>
  </si>
  <si>
    <t>marker_966_377504.png</t>
  </si>
  <si>
    <t>A-497__361</t>
  </si>
  <si>
    <t>marker_866_377540.png</t>
  </si>
  <si>
    <t>A-497__360</t>
  </si>
  <si>
    <t>marker_560_377550.png</t>
  </si>
  <si>
    <t>A-497__359</t>
  </si>
  <si>
    <t>marker_552_377566.png</t>
  </si>
  <si>
    <t>A-497__358</t>
  </si>
  <si>
    <t>marker_615_377577.png</t>
  </si>
  <si>
    <t>A-497__357</t>
  </si>
  <si>
    <t>marker_468_377586.png</t>
  </si>
  <si>
    <t>A-497__356</t>
  </si>
  <si>
    <t>marker_216_377594.png</t>
  </si>
  <si>
    <t>A-497__355</t>
  </si>
  <si>
    <t>marker_470_377603.png</t>
  </si>
  <si>
    <t>A-497__354</t>
  </si>
  <si>
    <t>marker_246_377624.png</t>
  </si>
  <si>
    <t>A-497__353</t>
  </si>
  <si>
    <t>marker_286_377633.png</t>
  </si>
  <si>
    <t>A-497__352</t>
  </si>
  <si>
    <t>marker_282_377641.png</t>
  </si>
  <si>
    <t>A-497__351</t>
  </si>
  <si>
    <t>marker_143_377653.png</t>
  </si>
  <si>
    <t>A-497__350</t>
  </si>
  <si>
    <t>marker_480_377663.png</t>
  </si>
  <si>
    <t>A-497__349</t>
  </si>
  <si>
    <t>marker_314_377671.png</t>
  </si>
  <si>
    <t>A-497__317</t>
  </si>
  <si>
    <t>marker_732_377998.png</t>
  </si>
  <si>
    <t>A-497__314</t>
  </si>
  <si>
    <t>marker_738_378029.png</t>
  </si>
  <si>
    <t>A-497__311</t>
  </si>
  <si>
    <t>marker_359_378059.png</t>
  </si>
  <si>
    <t>A-497__306</t>
  </si>
  <si>
    <t>marker_889_378139.png</t>
  </si>
  <si>
    <t>A-497__301</t>
  </si>
  <si>
    <t>marker_815_378206.png</t>
  </si>
  <si>
    <t>A-497__299</t>
  </si>
  <si>
    <t>marker_234_378229.png</t>
  </si>
  <si>
    <t>A-497__298</t>
  </si>
  <si>
    <t>marker_185_378239.png</t>
  </si>
  <si>
    <t>A-497__297</t>
  </si>
  <si>
    <t>marker_596_378254.png</t>
  </si>
  <si>
    <t>A-497__296</t>
  </si>
  <si>
    <t>marker_676_378273.png</t>
  </si>
  <si>
    <t>A-497__295</t>
  </si>
  <si>
    <t>marker_316_378293.png</t>
  </si>
  <si>
    <t>A-497__288</t>
  </si>
  <si>
    <t>marker_453_378375.png</t>
  </si>
  <si>
    <t>A-497__283</t>
  </si>
  <si>
    <t>marker_525_378437.png</t>
  </si>
  <si>
    <t>A-497__276</t>
  </si>
  <si>
    <t>marker_911_378515.png</t>
  </si>
  <si>
    <t>A-497__255</t>
  </si>
  <si>
    <t>marker_245_378732.png</t>
  </si>
  <si>
    <t>A-492__42</t>
  </si>
  <si>
    <t>marker_797_822890.png</t>
  </si>
  <si>
    <t>A-492__43</t>
  </si>
  <si>
    <t>marker_135_822905.png</t>
  </si>
  <si>
    <t>A-492__44</t>
  </si>
  <si>
    <t>marker_240_822924.png</t>
  </si>
  <si>
    <t>A-492__53</t>
  </si>
  <si>
    <t>marker_635_823043.png</t>
  </si>
  <si>
    <t>A-492__58</t>
  </si>
  <si>
    <t>marker_808_823121.png</t>
  </si>
  <si>
    <t>A-492__59</t>
  </si>
  <si>
    <t>marker_375_823132.png</t>
  </si>
  <si>
    <t>A-492__305</t>
  </si>
  <si>
    <t>marker_486_837611.png</t>
  </si>
  <si>
    <t>A-495R__104</t>
  </si>
  <si>
    <t>marker_318_895824.png</t>
  </si>
  <si>
    <t>A-495R__102</t>
  </si>
  <si>
    <t>marker_940_896575.png</t>
  </si>
  <si>
    <t>A-495R__98</t>
  </si>
  <si>
    <t>marker_898_906510.png</t>
  </si>
  <si>
    <t>A-495R__96</t>
  </si>
  <si>
    <t>marker_387_906548.png</t>
  </si>
  <si>
    <t>A-495R__89</t>
  </si>
  <si>
    <t>marker_164_906629.png</t>
  </si>
  <si>
    <t>A-495R__86</t>
  </si>
  <si>
    <t>marker_569_906659.png</t>
  </si>
  <si>
    <t>A-495R__85</t>
  </si>
  <si>
    <t>marker_185_906667.png</t>
  </si>
  <si>
    <t>A-495R__84</t>
  </si>
  <si>
    <t>marker_105_906676.png</t>
  </si>
  <si>
    <t>A-495R__83</t>
  </si>
  <si>
    <t>marker_932_906687.png</t>
  </si>
  <si>
    <t>A-495R__82</t>
  </si>
  <si>
    <t>marker_114_906697.png</t>
  </si>
  <si>
    <t>A-495R__81</t>
  </si>
  <si>
    <t>marker_900_906705.png</t>
  </si>
  <si>
    <t>A-495R__78</t>
  </si>
  <si>
    <t>marker_212_906744.png</t>
  </si>
  <si>
    <t>A-495R__74</t>
  </si>
  <si>
    <t>marker_911_935170.png</t>
  </si>
  <si>
    <t>A-495R__73</t>
  </si>
  <si>
    <t>marker_373_935182.png</t>
  </si>
  <si>
    <t>A-5050__152</t>
  </si>
  <si>
    <t>marker_745_945351.png</t>
  </si>
  <si>
    <t>A-5050__132</t>
  </si>
  <si>
    <t>marker_804_945925.png</t>
  </si>
  <si>
    <t>A-5052__4</t>
  </si>
  <si>
    <t>marker_893_949904.png</t>
  </si>
  <si>
    <t>A-5052__5</t>
  </si>
  <si>
    <t>marker_380_949914.png</t>
  </si>
  <si>
    <t>A-5052__7</t>
  </si>
  <si>
    <t>marker_294_949945.png</t>
  </si>
  <si>
    <t>A-5052__13</t>
  </si>
  <si>
    <t>marker_807_950135.png</t>
  </si>
  <si>
    <t>A-5052__22</t>
  </si>
  <si>
    <t>marker_715_951496.png</t>
  </si>
  <si>
    <t>A-5052__27</t>
  </si>
  <si>
    <t>marker_142_951564.png</t>
  </si>
  <si>
    <t>A-5052__34</t>
  </si>
  <si>
    <t>marker_510_951749.png</t>
  </si>
  <si>
    <t>A-5052__43</t>
  </si>
  <si>
    <t>marker_785_956844.png</t>
  </si>
  <si>
    <t>A-5052__44</t>
  </si>
  <si>
    <t>marker_631_956855.png</t>
  </si>
  <si>
    <t>A-5052__46</t>
  </si>
  <si>
    <t>marker_193_956878.png</t>
  </si>
  <si>
    <t>A-5052__47</t>
  </si>
  <si>
    <t>marker_244_956892.png</t>
  </si>
  <si>
    <t>A-5052__56</t>
  </si>
  <si>
    <t>marker_751_956992.png</t>
  </si>
  <si>
    <t>A-5052__61</t>
  </si>
  <si>
    <t>marker_959_957077.png</t>
  </si>
  <si>
    <t>A-5052__64</t>
  </si>
  <si>
    <t>marker_302_957111.png</t>
  </si>
  <si>
    <t>A-5052__65</t>
  </si>
  <si>
    <t>marker_498_957120.png</t>
  </si>
  <si>
    <t>A-5052__68</t>
  </si>
  <si>
    <t>marker_871_957151.png</t>
  </si>
  <si>
    <t>A-5052__70</t>
  </si>
  <si>
    <t>marker_574_957177.png</t>
  </si>
  <si>
    <t>A-5052__73</t>
  </si>
  <si>
    <t>marker_818_957207.png</t>
  </si>
  <si>
    <t>A-5052__74</t>
  </si>
  <si>
    <t>marker_867_957217.png</t>
  </si>
  <si>
    <t>A-5052__75</t>
  </si>
  <si>
    <t>marker_220_957229.png</t>
  </si>
  <si>
    <t>A-5052__86</t>
  </si>
  <si>
    <t>marker_801_957444.png</t>
  </si>
  <si>
    <t>A-5052__87</t>
  </si>
  <si>
    <t>marker_919_957466.png</t>
  </si>
  <si>
    <t>A-5052__88</t>
  </si>
  <si>
    <t>marker_681_957477.png</t>
  </si>
  <si>
    <t>A-5052__93</t>
  </si>
  <si>
    <t>marker_949_957537.png</t>
  </si>
  <si>
    <t>A-5052__95</t>
  </si>
  <si>
    <t>marker_671_957602.png</t>
  </si>
  <si>
    <t>A-5052__97</t>
  </si>
  <si>
    <t>marker_425_957623.png</t>
  </si>
  <si>
    <t>A-5052__100</t>
  </si>
  <si>
    <t>marker_779_957670.png</t>
  </si>
  <si>
    <t>A-5052__107</t>
  </si>
  <si>
    <t>marker_231_957755.png</t>
  </si>
  <si>
    <t>A-5052__109</t>
  </si>
  <si>
    <t>marker_370_957777.png</t>
  </si>
  <si>
    <t>A-5052__110</t>
  </si>
  <si>
    <t>marker_509_957800.png</t>
  </si>
  <si>
    <t>A-5052__111</t>
  </si>
  <si>
    <t>marker_515_957809.png</t>
  </si>
  <si>
    <t>A-5052__113</t>
  </si>
  <si>
    <t>marker_938_957829.png</t>
  </si>
  <si>
    <t>A-5052__114</t>
  </si>
  <si>
    <t>marker_668_957871.png</t>
  </si>
  <si>
    <t>A-5052__118</t>
  </si>
  <si>
    <t>marker_410_957914.png</t>
  </si>
  <si>
    <t>A-5052__124</t>
  </si>
  <si>
    <t>marker_449_957993.png</t>
  </si>
  <si>
    <t>A-5052__125</t>
  </si>
  <si>
    <t>marker_354_958026.png</t>
  </si>
  <si>
    <t>A-5052__141</t>
  </si>
  <si>
    <t>marker_317_958375.png</t>
  </si>
  <si>
    <t>A-5052__142</t>
  </si>
  <si>
    <t>marker_323_958387.png</t>
  </si>
  <si>
    <t>A-5052__146</t>
  </si>
  <si>
    <t>marker_233_958430.png</t>
  </si>
  <si>
    <t>A-5052__147</t>
  </si>
  <si>
    <t>marker_943_958446.png</t>
  </si>
  <si>
    <t>A-5052__149</t>
  </si>
  <si>
    <t>marker_281_958519.png</t>
  </si>
  <si>
    <t>A-5052__150</t>
  </si>
  <si>
    <t>marker_578_958534.png</t>
  </si>
  <si>
    <t>A-5052__151</t>
  </si>
  <si>
    <t>marker_534_958545.png</t>
  </si>
  <si>
    <t>A-5052__152</t>
  </si>
  <si>
    <t>marker_311_958556.png</t>
  </si>
  <si>
    <t>A-5052__154</t>
  </si>
  <si>
    <t>marker_934_958577.png</t>
  </si>
  <si>
    <t>A-5052__160</t>
  </si>
  <si>
    <t>marker_619_958682.png</t>
  </si>
  <si>
    <t>A-5052__161</t>
  </si>
  <si>
    <t>marker_627_958690.png</t>
  </si>
  <si>
    <t>A-5052__164</t>
  </si>
  <si>
    <t>marker_139_958738.png</t>
  </si>
  <si>
    <t>A-5052__165</t>
  </si>
  <si>
    <t>marker_404_958748.png</t>
  </si>
  <si>
    <t>A-5052__175</t>
  </si>
  <si>
    <t>marker_697_959014.png</t>
  </si>
  <si>
    <t>A-5052__189</t>
  </si>
  <si>
    <t>marker_583_959298.png</t>
  </si>
  <si>
    <t>A-5052__190</t>
  </si>
  <si>
    <t>marker_164_959308.png</t>
  </si>
  <si>
    <t>A-5052__192</t>
  </si>
  <si>
    <t>marker_140_959347.png</t>
  </si>
  <si>
    <t>A-5052__205</t>
  </si>
  <si>
    <t>marker_753_959520.png</t>
  </si>
  <si>
    <t>A-5052__206</t>
  </si>
  <si>
    <t>marker_600_959530.png</t>
  </si>
  <si>
    <t>A-5052__209</t>
  </si>
  <si>
    <t>marker_655_959580.png</t>
  </si>
  <si>
    <t>A-5052__210</t>
  </si>
  <si>
    <t>marker_689_959594.png</t>
  </si>
  <si>
    <t>A-5052__211</t>
  </si>
  <si>
    <t>marker_654_959603.png</t>
  </si>
  <si>
    <t>A-5052__219</t>
  </si>
  <si>
    <t>marker_827_959711.png</t>
  </si>
  <si>
    <t>A-5052__221</t>
  </si>
  <si>
    <t>marker_701_959730.png</t>
  </si>
  <si>
    <t>A-5052__227</t>
  </si>
  <si>
    <t>marker_294_959789.png</t>
  </si>
  <si>
    <t>A-5052__229</t>
  </si>
  <si>
    <t>marker_486_959809.png</t>
  </si>
  <si>
    <t>A-5052__230</t>
  </si>
  <si>
    <t>marker_810_959819.png</t>
  </si>
  <si>
    <t>A-5052__232</t>
  </si>
  <si>
    <t>marker_470_959855.png</t>
  </si>
  <si>
    <t>A-5052__234</t>
  </si>
  <si>
    <t>marker_146_959872.png</t>
  </si>
  <si>
    <t>A-5052__242</t>
  </si>
  <si>
    <t>marker_914_959975.png</t>
  </si>
  <si>
    <t>A-5052__269</t>
  </si>
  <si>
    <t>marker_307_960304.png</t>
  </si>
  <si>
    <t>A-5052__342</t>
  </si>
  <si>
    <t>marker_712_961647.png</t>
  </si>
  <si>
    <t>A-5052__346</t>
  </si>
  <si>
    <t>marker_466_961693.png</t>
  </si>
  <si>
    <t>A-5052__413</t>
  </si>
  <si>
    <t>marker_117_962802.png</t>
  </si>
  <si>
    <t>A-5052__414</t>
  </si>
  <si>
    <t>marker_353_962812.png</t>
  </si>
  <si>
    <t>A-5052__415</t>
  </si>
  <si>
    <t>marker_638_962822.png</t>
  </si>
  <si>
    <t>A-5052__417</t>
  </si>
  <si>
    <t>marker_124_962849.png</t>
  </si>
  <si>
    <t>A-5052__419</t>
  </si>
  <si>
    <t>marker_938_962866.png</t>
  </si>
  <si>
    <t>A-5052__434</t>
  </si>
  <si>
    <t>marker_440_963017.png</t>
  </si>
  <si>
    <t>A-5052__437</t>
  </si>
  <si>
    <t>marker_395_963048.png</t>
  </si>
  <si>
    <t>A-5052__439</t>
  </si>
  <si>
    <t>marker_337_963066.png</t>
  </si>
  <si>
    <t>A-5052__441</t>
  </si>
  <si>
    <t>marker_432_963084.png</t>
  </si>
  <si>
    <t>A-5052__442</t>
  </si>
  <si>
    <t>marker_534_963102.png</t>
  </si>
  <si>
    <t>A-5052__443</t>
  </si>
  <si>
    <t>marker_633_963111.png</t>
  </si>
  <si>
    <t>A-5052__449</t>
  </si>
  <si>
    <t>marker_560_963167.png</t>
  </si>
  <si>
    <t>A-5052__456</t>
  </si>
  <si>
    <t>marker_658_963244.png</t>
  </si>
  <si>
    <t>A-5053__369</t>
  </si>
  <si>
    <t>marker_272_963968.png</t>
  </si>
  <si>
    <t>A-5053__367</t>
  </si>
  <si>
    <t>marker_267_963989.png</t>
  </si>
  <si>
    <t>A-5053__366</t>
  </si>
  <si>
    <t>marker_608_963998.png</t>
  </si>
  <si>
    <t>A-5053__365</t>
  </si>
  <si>
    <t>marker_938_964008.png</t>
  </si>
  <si>
    <t>A-5053__358</t>
  </si>
  <si>
    <t>marker_704_964093.png</t>
  </si>
  <si>
    <t>A-5053__354</t>
  </si>
  <si>
    <t>marker_585_964134.png</t>
  </si>
  <si>
    <t>A-5053__351</t>
  </si>
  <si>
    <t>marker_132_964165.png</t>
  </si>
  <si>
    <t>A-5053__348</t>
  </si>
  <si>
    <t>marker_161_964194.png</t>
  </si>
  <si>
    <t>A-5053__344</t>
  </si>
  <si>
    <t>marker_607_964234.png</t>
  </si>
  <si>
    <t>A-5053__341</t>
  </si>
  <si>
    <t>marker_491_964261.png</t>
  </si>
  <si>
    <t>A-5053__313</t>
  </si>
  <si>
    <t>marker_623_964644.png</t>
  </si>
  <si>
    <t>A-5053__157</t>
  </si>
  <si>
    <t>marker_568_966314.png</t>
  </si>
  <si>
    <t>A-5053__156</t>
  </si>
  <si>
    <t>marker_391_966323.png</t>
  </si>
  <si>
    <t>A-5053__129</t>
  </si>
  <si>
    <t>marker_449_019474.png</t>
  </si>
  <si>
    <t>A-5053__120</t>
  </si>
  <si>
    <t>marker_850_019601.png</t>
  </si>
  <si>
    <t>A-5053__118</t>
  </si>
  <si>
    <t>marker_514_019621.png</t>
  </si>
  <si>
    <t>A-5053__117</t>
  </si>
  <si>
    <t>marker_128_019629.png</t>
  </si>
  <si>
    <t>A-5053__62</t>
  </si>
  <si>
    <t>marker_700_020781.png</t>
  </si>
  <si>
    <t>A-495__13</t>
  </si>
  <si>
    <t>marker_318_381188.png</t>
  </si>
  <si>
    <t>A-495__98</t>
  </si>
  <si>
    <t>marker_695_382135.png</t>
  </si>
  <si>
    <t>A-495__104</t>
  </si>
  <si>
    <t>marker_397_382197.png</t>
  </si>
  <si>
    <t>A-495__109</t>
  </si>
  <si>
    <t>marker_952_382264.png</t>
  </si>
  <si>
    <t>A-495__133</t>
  </si>
  <si>
    <t>marker_217_382507.png</t>
  </si>
  <si>
    <t>A-495__152</t>
  </si>
  <si>
    <t>marker_842_382706.png</t>
  </si>
  <si>
    <t>A-495__169</t>
  </si>
  <si>
    <t>marker_314_382901.png</t>
  </si>
  <si>
    <t>A-495_1__119</t>
  </si>
  <si>
    <t>marker_601_384579.png</t>
  </si>
  <si>
    <t>A-495_1__95</t>
  </si>
  <si>
    <t>marker_145_385087.png</t>
  </si>
  <si>
    <t>A-495_1__94</t>
  </si>
  <si>
    <t>marker_848_385097.png</t>
  </si>
  <si>
    <t>A-495_1__93</t>
  </si>
  <si>
    <t>marker_668_385107.png</t>
  </si>
  <si>
    <t>A-495_1__87</t>
  </si>
  <si>
    <t>marker_287_385173.png</t>
  </si>
  <si>
    <t>A-495_1__86</t>
  </si>
  <si>
    <t>marker_966_385183.png</t>
  </si>
  <si>
    <t>A-495_1__83</t>
  </si>
  <si>
    <t>marker_324_385208.png</t>
  </si>
  <si>
    <t>A-495_1__81</t>
  </si>
  <si>
    <t>marker_558_385225.png</t>
  </si>
  <si>
    <t>A-495_1__80</t>
  </si>
  <si>
    <t>marker_183_385234.png</t>
  </si>
  <si>
    <t>A-495_1__78</t>
  </si>
  <si>
    <t>marker_477_385251.png</t>
  </si>
  <si>
    <t>A-495_1__70</t>
  </si>
  <si>
    <t>marker_485_385327.png</t>
  </si>
  <si>
    <t>A-495_1__69</t>
  </si>
  <si>
    <t>marker_545_385337.png</t>
  </si>
  <si>
    <t>A-495_1__68</t>
  </si>
  <si>
    <t>marker_384_385346.png</t>
  </si>
  <si>
    <t>A-495_1__67</t>
  </si>
  <si>
    <t>marker_691_385354.png</t>
  </si>
  <si>
    <t>A-495_1__66</t>
  </si>
  <si>
    <t>marker_298_385364.png</t>
  </si>
  <si>
    <t>A-495_1__62</t>
  </si>
  <si>
    <t>marker_497_385401.png</t>
  </si>
  <si>
    <t>A-495_1__60</t>
  </si>
  <si>
    <t>marker_751_385469.png</t>
  </si>
  <si>
    <t>A-495_1__34</t>
  </si>
  <si>
    <t>marker_818_385836.png</t>
  </si>
  <si>
    <t>A-495_1__30</t>
  </si>
  <si>
    <t>marker_516_385871.png</t>
  </si>
  <si>
    <t>A-495_1__23</t>
  </si>
  <si>
    <t>marker_554_385943.png</t>
  </si>
  <si>
    <t>A-497__852</t>
  </si>
  <si>
    <t>marker_995_367414.png</t>
  </si>
  <si>
    <t>A-497__851</t>
  </si>
  <si>
    <t>marker_464_367427.png</t>
  </si>
  <si>
    <t>A-497__850</t>
  </si>
  <si>
    <t>marker_500_367437.png</t>
  </si>
  <si>
    <t>A-497__849</t>
  </si>
  <si>
    <t>marker_760_367446.png</t>
  </si>
  <si>
    <t>A-497__848</t>
  </si>
  <si>
    <t>marker_441_367463.png</t>
  </si>
  <si>
    <t>A-497__847</t>
  </si>
  <si>
    <t>marker_517_367473.png</t>
  </si>
  <si>
    <t>A-497__846</t>
  </si>
  <si>
    <t>marker_236_367481.png</t>
  </si>
  <si>
    <t>A-497__841</t>
  </si>
  <si>
    <t>marker_532_367534.png</t>
  </si>
  <si>
    <t>A-497__840</t>
  </si>
  <si>
    <t>marker_325_367543.png</t>
  </si>
  <si>
    <t>A-497__839</t>
  </si>
  <si>
    <t>marker_420_367556.png</t>
  </si>
  <si>
    <t>A-497__838</t>
  </si>
  <si>
    <t>marker_288_367567.png</t>
  </si>
  <si>
    <t>A-497_2C__8</t>
  </si>
  <si>
    <t>marker_943_653798.png</t>
  </si>
  <si>
    <t>A-497_2C__9</t>
  </si>
  <si>
    <t>marker_268_653808.png</t>
  </si>
  <si>
    <t>A-497_2C__12</t>
  </si>
  <si>
    <t>marker_434_654003.png</t>
  </si>
  <si>
    <t>A-497_2C__13</t>
  </si>
  <si>
    <t>marker_186_654013.png</t>
  </si>
  <si>
    <t>A-497_2C__14</t>
  </si>
  <si>
    <t>marker_532_654021.png</t>
  </si>
  <si>
    <t>A-497_2C__15</t>
  </si>
  <si>
    <t>marker_554_654031.png</t>
  </si>
  <si>
    <t>A-497_2C__16</t>
  </si>
  <si>
    <t>marker_352_654339.png</t>
  </si>
  <si>
    <t>A-497_2C__17</t>
  </si>
  <si>
    <t>marker_601_654348.png</t>
  </si>
  <si>
    <t>A-497_2C__18</t>
  </si>
  <si>
    <t>marker_133_654357.png</t>
  </si>
  <si>
    <t>A-497__742</t>
  </si>
  <si>
    <t>marker_695_368818.png</t>
  </si>
  <si>
    <t>A-497__741</t>
  </si>
  <si>
    <t>marker_236_368829.png</t>
  </si>
  <si>
    <t>A-497__740</t>
  </si>
  <si>
    <t>marker_961_368840.png</t>
  </si>
  <si>
    <t>A-497__739</t>
  </si>
  <si>
    <t>marker_192_368851.png</t>
  </si>
  <si>
    <t>A-497__738</t>
  </si>
  <si>
    <t>marker_695_368860.png</t>
  </si>
  <si>
    <t>A-497__737</t>
  </si>
  <si>
    <t>marker_429_368869.png</t>
  </si>
  <si>
    <t>A-497__736</t>
  </si>
  <si>
    <t>marker_610_368886.png</t>
  </si>
  <si>
    <t>A-497__735</t>
  </si>
  <si>
    <t>marker_776_368895.png</t>
  </si>
  <si>
    <t>A-497_2C__170</t>
  </si>
  <si>
    <t>marker_366_656199.png</t>
  </si>
  <si>
    <t>A-497__555</t>
  </si>
  <si>
    <t>marker_444_372210.png</t>
  </si>
  <si>
    <t>A-497__554</t>
  </si>
  <si>
    <t>marker_914_372218.png</t>
  </si>
  <si>
    <t>A-497__553</t>
  </si>
  <si>
    <t>marker_274_372227.png</t>
  </si>
  <si>
    <t>A-497__551</t>
  </si>
  <si>
    <t>marker_626_372252.png</t>
  </si>
  <si>
    <t>A-497__549</t>
  </si>
  <si>
    <t>marker_166_372274.png</t>
  </si>
  <si>
    <t>A-497__546</t>
  </si>
  <si>
    <t>marker_673_372318.png</t>
  </si>
  <si>
    <t>A-497__545</t>
  </si>
  <si>
    <t>marker_637_372329.png</t>
  </si>
  <si>
    <t>A-497__544</t>
  </si>
  <si>
    <t>marker_708_372340.png</t>
  </si>
  <si>
    <t>A-497__495</t>
  </si>
  <si>
    <t>marker_703_376151.png</t>
  </si>
  <si>
    <t>A-497__494</t>
  </si>
  <si>
    <t>marker_124_376161.png</t>
  </si>
  <si>
    <t>A-497__493</t>
  </si>
  <si>
    <t>marker_941_376169.png</t>
  </si>
  <si>
    <t>A-497__492</t>
  </si>
  <si>
    <t>marker_157_376180.png</t>
  </si>
  <si>
    <t>A-497__491</t>
  </si>
  <si>
    <t>marker_250_376189.png</t>
  </si>
  <si>
    <t>A-497__490</t>
  </si>
  <si>
    <t>marker_715_376199.png</t>
  </si>
  <si>
    <t>A-497__489</t>
  </si>
  <si>
    <t>marker_213_376208.png</t>
  </si>
  <si>
    <t>A-497__487</t>
  </si>
  <si>
    <t>marker_722_376228.png</t>
  </si>
  <si>
    <t>A-497_2C__423</t>
  </si>
  <si>
    <t>marker_628_363142.png</t>
  </si>
  <si>
    <t>A-497_2C__427</t>
  </si>
  <si>
    <t>marker_109_363178.png</t>
  </si>
  <si>
    <t>A-497_2C__429</t>
  </si>
  <si>
    <t>marker_987_363198.png</t>
  </si>
  <si>
    <t>A-497_2C__430</t>
  </si>
  <si>
    <t>marker_122_363207.png</t>
  </si>
  <si>
    <t>A-497_2C__437</t>
  </si>
  <si>
    <t>marker_904_363281.png</t>
  </si>
  <si>
    <t>A-497_2C__440</t>
  </si>
  <si>
    <t>marker_525_363307.png</t>
  </si>
  <si>
    <t>A-497_2C__441</t>
  </si>
  <si>
    <t>marker_120_363319.png</t>
  </si>
  <si>
    <t>A-497__457</t>
  </si>
  <si>
    <t>marker_942_376603.png</t>
  </si>
  <si>
    <t>A-497__455</t>
  </si>
  <si>
    <t>marker_879_376635.png</t>
  </si>
  <si>
    <t>A-497__454</t>
  </si>
  <si>
    <t>marker_159_376646.png</t>
  </si>
  <si>
    <t>A-497__449</t>
  </si>
  <si>
    <t>marker_107_376698.png</t>
  </si>
  <si>
    <t>A-497_2C__535</t>
  </si>
  <si>
    <t>marker_251_364483.png</t>
  </si>
  <si>
    <t>A-497_2C__636</t>
  </si>
  <si>
    <t>marker_125_367140.png</t>
  </si>
  <si>
    <t>A-497__416</t>
  </si>
  <si>
    <t>marker_304_377049.png</t>
  </si>
  <si>
    <t>A-497__182</t>
  </si>
  <si>
    <t>marker_717_379620.png</t>
  </si>
  <si>
    <t>A-497__181</t>
  </si>
  <si>
    <t>marker_529_379629.png</t>
  </si>
  <si>
    <t>A-497__178</t>
  </si>
  <si>
    <t>marker_465_379664.png</t>
  </si>
  <si>
    <t>A-497__165</t>
  </si>
  <si>
    <t>marker_532_380200.png</t>
  </si>
  <si>
    <t>A-497__164</t>
  </si>
  <si>
    <t>marker_129_380213.png</t>
  </si>
  <si>
    <t>A-497__163</t>
  </si>
  <si>
    <t>marker_690_380222.png</t>
  </si>
  <si>
    <t>A-497__152</t>
  </si>
  <si>
    <t>marker_846_380325.png</t>
  </si>
  <si>
    <t>A-490__37</t>
  </si>
  <si>
    <t>marker_763_731097.png</t>
  </si>
  <si>
    <t>A-490__39</t>
  </si>
  <si>
    <t>marker_261_731147.png</t>
  </si>
  <si>
    <t>A-490__67</t>
  </si>
  <si>
    <t>marker_393_738075.png</t>
  </si>
  <si>
    <t>A-490__133</t>
  </si>
  <si>
    <t>marker_125_740302.png</t>
  </si>
  <si>
    <t>A-490__136</t>
  </si>
  <si>
    <t>marker_520_740429.png</t>
  </si>
  <si>
    <t>A-490__140</t>
  </si>
  <si>
    <t>marker_176_740514.png</t>
  </si>
  <si>
    <t>A-490__141</t>
  </si>
  <si>
    <t>marker_824_740530.png</t>
  </si>
  <si>
    <t>A-490__151</t>
  </si>
  <si>
    <t>marker_246_740774.png</t>
  </si>
  <si>
    <t>A-490__160</t>
  </si>
  <si>
    <t>marker_841_741225.png</t>
  </si>
  <si>
    <t>A-490__161</t>
  </si>
  <si>
    <t>marker_115_741250.png</t>
  </si>
  <si>
    <t>A-490__170</t>
  </si>
  <si>
    <t>marker_337_741485.png</t>
  </si>
  <si>
    <t>A-490__181</t>
  </si>
  <si>
    <t>marker_667_741823.png</t>
  </si>
  <si>
    <t>A-490__213</t>
  </si>
  <si>
    <t>marker_981_742847.png</t>
  </si>
  <si>
    <t>A-490__220</t>
  </si>
  <si>
    <t>marker_757_743361.png</t>
  </si>
  <si>
    <t>A-490__230</t>
  </si>
  <si>
    <t>marker_571_743836.png</t>
  </si>
  <si>
    <t>A-490__57</t>
  </si>
  <si>
    <t>marker_119_737820.png</t>
  </si>
  <si>
    <t>A-490__368</t>
  </si>
  <si>
    <t>marker_833_752056.png</t>
  </si>
  <si>
    <t>A-490__417</t>
  </si>
  <si>
    <t>marker_458_754248.png</t>
  </si>
  <si>
    <t>A-490__425</t>
  </si>
  <si>
    <t>marker_867_754377.png</t>
  </si>
  <si>
    <t>A-490__428</t>
  </si>
  <si>
    <t>marker_442_754446.png</t>
  </si>
  <si>
    <t>A-490__429</t>
  </si>
  <si>
    <t>marker_148_754462.png</t>
  </si>
  <si>
    <t>A-490__431</t>
  </si>
  <si>
    <t>marker_331_754499.png</t>
  </si>
  <si>
    <t>A-490__432</t>
  </si>
  <si>
    <t>marker_411_754517.png</t>
  </si>
  <si>
    <t>A-490__447</t>
  </si>
  <si>
    <t>marker_218_754973.png</t>
  </si>
  <si>
    <t>A-490__455</t>
  </si>
  <si>
    <t>marker_230_755130.png</t>
  </si>
  <si>
    <t>A-490__462</t>
  </si>
  <si>
    <t>marker_668_755252.png</t>
  </si>
  <si>
    <t>A-490__464</t>
  </si>
  <si>
    <t>marker_588_755286.png</t>
  </si>
  <si>
    <t>A-490__470</t>
  </si>
  <si>
    <t>marker_814_755399.png</t>
  </si>
  <si>
    <t>A-490__474</t>
  </si>
  <si>
    <t>marker_678_755469.png</t>
  </si>
  <si>
    <t>A-490__497</t>
  </si>
  <si>
    <t>marker_490_817505.png</t>
  </si>
  <si>
    <t>A-490__501</t>
  </si>
  <si>
    <t>marker_497_817604.png</t>
  </si>
  <si>
    <t>A-490__502</t>
  </si>
  <si>
    <t>marker_782_817623.png</t>
  </si>
  <si>
    <t>A-490__503</t>
  </si>
  <si>
    <t>marker_821_817638.png</t>
  </si>
  <si>
    <t>A-490__506</t>
  </si>
  <si>
    <t>marker_638_817685.png</t>
  </si>
  <si>
    <t>A-490__507</t>
  </si>
  <si>
    <t>marker_615_817712.png</t>
  </si>
  <si>
    <t>A-490__512</t>
  </si>
  <si>
    <t>marker_952_817847.png</t>
  </si>
  <si>
    <t>A-490__519</t>
  </si>
  <si>
    <t>marker_267_818045.png</t>
  </si>
  <si>
    <t>A-490__534</t>
  </si>
  <si>
    <t>marker_458_818259.png</t>
  </si>
  <si>
    <t>A-490__535</t>
  </si>
  <si>
    <t>marker_228_818277.png</t>
  </si>
  <si>
    <t>A-490__594</t>
  </si>
  <si>
    <t>marker_923_819681.png</t>
  </si>
  <si>
    <t>A-490__608</t>
  </si>
  <si>
    <t>marker_183_820184.png</t>
  </si>
  <si>
    <t>A-492__39</t>
  </si>
  <si>
    <t>marker_713_822851.png</t>
  </si>
  <si>
    <t>A-492__40</t>
  </si>
  <si>
    <t>marker_390_822861.png</t>
  </si>
  <si>
    <t>A-492__41</t>
  </si>
  <si>
    <t>marker_671_822874.png</t>
  </si>
  <si>
    <t>A-492__80</t>
  </si>
  <si>
    <t>marker_215_823490.png</t>
  </si>
  <si>
    <t>A-492__83</t>
  </si>
  <si>
    <t>marker_804_823524.png</t>
  </si>
  <si>
    <t>A-492__105</t>
  </si>
  <si>
    <t>marker_192_824213.png</t>
  </si>
  <si>
    <t>A-492__107</t>
  </si>
  <si>
    <t>marker_755_824256.png</t>
  </si>
  <si>
    <t>A-492__110</t>
  </si>
  <si>
    <t>marker_537_824290.png</t>
  </si>
  <si>
    <t>A-492__120</t>
  </si>
  <si>
    <t>marker_283_824423.png</t>
  </si>
  <si>
    <t>A-492__145</t>
  </si>
  <si>
    <t>marker_145_824736.png</t>
  </si>
  <si>
    <t>A-492__148</t>
  </si>
  <si>
    <t>marker_534_824772.png</t>
  </si>
  <si>
    <t>A-492__149</t>
  </si>
  <si>
    <t>marker_541_824791.png</t>
  </si>
  <si>
    <t>A-492__151</t>
  </si>
  <si>
    <t>marker_326_824813.png</t>
  </si>
  <si>
    <t>A-492__160</t>
  </si>
  <si>
    <t>marker_486_824957.png</t>
  </si>
  <si>
    <t>A-492__161</t>
  </si>
  <si>
    <t>marker_375_831330.png</t>
  </si>
  <si>
    <t>A-492__176</t>
  </si>
  <si>
    <t>marker_664_831548.png</t>
  </si>
  <si>
    <t>A-492__177</t>
  </si>
  <si>
    <t>marker_689_831563.png</t>
  </si>
  <si>
    <t>A-492__178</t>
  </si>
  <si>
    <t>marker_901_831582.png</t>
  </si>
  <si>
    <t>A-492__179</t>
  </si>
  <si>
    <t>marker_613_831594.png</t>
  </si>
  <si>
    <t>A-492__183</t>
  </si>
  <si>
    <t>marker_644_831673.png</t>
  </si>
  <si>
    <t>A-492__184</t>
  </si>
  <si>
    <t>marker_293_831692.png</t>
  </si>
  <si>
    <t>A-492__185</t>
  </si>
  <si>
    <t>marker_676_831702.png</t>
  </si>
  <si>
    <t>A-492__186</t>
  </si>
  <si>
    <t>marker_913_831744.png</t>
  </si>
  <si>
    <t>A-492__190</t>
  </si>
  <si>
    <t>marker_793_831803.png</t>
  </si>
  <si>
    <t>A-492__193</t>
  </si>
  <si>
    <t>marker_894_831838.png</t>
  </si>
  <si>
    <t>A-492__194</t>
  </si>
  <si>
    <t>marker_722_831853.png</t>
  </si>
  <si>
    <t>A-492__195</t>
  </si>
  <si>
    <t>marker_346_831863.png</t>
  </si>
  <si>
    <t>A-492__196</t>
  </si>
  <si>
    <t>marker_663_831875.png</t>
  </si>
  <si>
    <t>A-492__197</t>
  </si>
  <si>
    <t>marker_167_831886.png</t>
  </si>
  <si>
    <t>A-492__198</t>
  </si>
  <si>
    <t>marker_481_831896.png</t>
  </si>
  <si>
    <t>A-492__202</t>
  </si>
  <si>
    <t>marker_730_831946.png</t>
  </si>
  <si>
    <t>A-492__206</t>
  </si>
  <si>
    <t>marker_879_831990.png</t>
  </si>
  <si>
    <t>A-492__209</t>
  </si>
  <si>
    <t>marker_574_832029.png</t>
  </si>
  <si>
    <t>A-492__211</t>
  </si>
  <si>
    <t>marker_468_832634.png</t>
  </si>
  <si>
    <t>A-492__212</t>
  </si>
  <si>
    <t>marker_706_832653.png</t>
  </si>
  <si>
    <t>A-492__213</t>
  </si>
  <si>
    <t>marker_618_832663.png</t>
  </si>
  <si>
    <t>A-492__214</t>
  </si>
  <si>
    <t>marker_535_832673.png</t>
  </si>
  <si>
    <t>A-492__217</t>
  </si>
  <si>
    <t>marker_959_832769.png</t>
  </si>
  <si>
    <t>A-492__221</t>
  </si>
  <si>
    <t>marker_576_835672.png</t>
  </si>
  <si>
    <t>A-492__222</t>
  </si>
  <si>
    <t>marker_928_835682.png</t>
  </si>
  <si>
    <t>A-492__224</t>
  </si>
  <si>
    <t>marker_227_835703.png</t>
  </si>
  <si>
    <t>A-492__225</t>
  </si>
  <si>
    <t>marker_581_835713.png</t>
  </si>
  <si>
    <t>A-492__227</t>
  </si>
  <si>
    <t>marker_955_835735.png</t>
  </si>
  <si>
    <t>A-492__228</t>
  </si>
  <si>
    <t>marker_309_835749.png</t>
  </si>
  <si>
    <t>A-492__229</t>
  </si>
  <si>
    <t>marker_439_835759.png</t>
  </si>
  <si>
    <t>A-492__232</t>
  </si>
  <si>
    <t>marker_728_835838.png</t>
  </si>
  <si>
    <t>A-492__233</t>
  </si>
  <si>
    <t>marker_684_835850.png</t>
  </si>
  <si>
    <t>A-492__241</t>
  </si>
  <si>
    <t>marker_480_835956.png</t>
  </si>
  <si>
    <t>A-492__242</t>
  </si>
  <si>
    <t>marker_848_835975.png</t>
  </si>
  <si>
    <t>A-492__246</t>
  </si>
  <si>
    <t>marker_956_836042.png</t>
  </si>
  <si>
    <t>A-492__250</t>
  </si>
  <si>
    <t>marker_685_836097.png</t>
  </si>
  <si>
    <t>A-492__258</t>
  </si>
  <si>
    <t>marker_711_836248.png</t>
  </si>
  <si>
    <t>A-492__260</t>
  </si>
  <si>
    <t>marker_599_836584.png</t>
  </si>
  <si>
    <t>A-492__264</t>
  </si>
  <si>
    <t>marker_188_836679.png</t>
  </si>
  <si>
    <t>A-492__277</t>
  </si>
  <si>
    <t>marker_471_836878.png</t>
  </si>
  <si>
    <t>A-492__278</t>
  </si>
  <si>
    <t>marker_953_836891.png</t>
  </si>
  <si>
    <t>A-492__281</t>
  </si>
  <si>
    <t>marker_136_837317.png</t>
  </si>
  <si>
    <t>A-492__304</t>
  </si>
  <si>
    <t>marker_781_837601.png</t>
  </si>
  <si>
    <t>A-492__316</t>
  </si>
  <si>
    <t>marker_135_837738.png</t>
  </si>
  <si>
    <t>A-492__317</t>
  </si>
  <si>
    <t>marker_174_837918.png</t>
  </si>
  <si>
    <t>A-492__324</t>
  </si>
  <si>
    <t>marker_709_838008.png</t>
  </si>
  <si>
    <t>A-492__325</t>
  </si>
  <si>
    <t>marker_850_838017.png</t>
  </si>
  <si>
    <t>A-492__330</t>
  </si>
  <si>
    <t>marker_549_838083.png</t>
  </si>
  <si>
    <t>A-492__333</t>
  </si>
  <si>
    <t>marker_520_838123.png</t>
  </si>
  <si>
    <t>A-492__336</t>
  </si>
  <si>
    <t>marker_455_838160.png</t>
  </si>
  <si>
    <t>A-492__340</t>
  </si>
  <si>
    <t>marker_785_838199.png</t>
  </si>
  <si>
    <t>A-492__341</t>
  </si>
  <si>
    <t>marker_196_838210.png</t>
  </si>
  <si>
    <t>A-492__342</t>
  </si>
  <si>
    <t>marker_287_838246.png</t>
  </si>
  <si>
    <t>A-492__347</t>
  </si>
  <si>
    <t>marker_196_838324.png</t>
  </si>
  <si>
    <t>A-492__353</t>
  </si>
  <si>
    <t>marker_444_838550.png</t>
  </si>
  <si>
    <t>A-492__354</t>
  </si>
  <si>
    <t>marker_233_838565.png</t>
  </si>
  <si>
    <t>A-492__356</t>
  </si>
  <si>
    <t>marker_754_838585.png</t>
  </si>
  <si>
    <t>A-492__363</t>
  </si>
  <si>
    <t>marker_374_838667.png</t>
  </si>
  <si>
    <t>A-492__364</t>
  </si>
  <si>
    <t>marker_936_838687.png</t>
  </si>
  <si>
    <t>A-492__365</t>
  </si>
  <si>
    <t>marker_487_838704.png</t>
  </si>
  <si>
    <t>A-492__367</t>
  </si>
  <si>
    <t>marker_642_838727.png</t>
  </si>
  <si>
    <t>A-492__368</t>
  </si>
  <si>
    <t>marker_116_838736.png</t>
  </si>
  <si>
    <t>A-492__371</t>
  </si>
  <si>
    <t>marker_630_838767.png</t>
  </si>
  <si>
    <t>A-492__372</t>
  </si>
  <si>
    <t>marker_351_838777.png</t>
  </si>
  <si>
    <t>A-492__374</t>
  </si>
  <si>
    <t>marker_126_838802.png</t>
  </si>
  <si>
    <t>A-492__375</t>
  </si>
  <si>
    <t>marker_117_838813.png</t>
  </si>
  <si>
    <t>A-492__376</t>
  </si>
  <si>
    <t>marker_571_838827.png</t>
  </si>
  <si>
    <t>A-492__377</t>
  </si>
  <si>
    <t>marker_104_838842.png</t>
  </si>
  <si>
    <t>A-492__378</t>
  </si>
  <si>
    <t>marker_411_838852.png</t>
  </si>
  <si>
    <t>A-492__379</t>
  </si>
  <si>
    <t>marker_933_838867.png</t>
  </si>
  <si>
    <t>A-492__382</t>
  </si>
  <si>
    <t>marker_786_838913.png</t>
  </si>
  <si>
    <t>A-492__399</t>
  </si>
  <si>
    <t>marker_440_839145.png</t>
  </si>
  <si>
    <t>A-492__402</t>
  </si>
  <si>
    <t>marker_700_839183.png</t>
  </si>
  <si>
    <t>A-492__403</t>
  </si>
  <si>
    <t>marker_386_839195.png</t>
  </si>
  <si>
    <t>A-492__404</t>
  </si>
  <si>
    <t>marker_481_839206.png</t>
  </si>
  <si>
    <t>A-492__408</t>
  </si>
  <si>
    <t>marker_169_839268.png</t>
  </si>
  <si>
    <t>A-492__410</t>
  </si>
  <si>
    <t>marker_251_839290.png</t>
  </si>
  <si>
    <t>A-492__411</t>
  </si>
  <si>
    <t>marker_961_839300.png</t>
  </si>
  <si>
    <t>A-492__417</t>
  </si>
  <si>
    <t>marker_905_839364.png</t>
  </si>
  <si>
    <t>A-492__419</t>
  </si>
  <si>
    <t>marker_390_839388.png</t>
  </si>
  <si>
    <t>A-492__420</t>
  </si>
  <si>
    <t>marker_961_839398.png</t>
  </si>
  <si>
    <t>A-492__424</t>
  </si>
  <si>
    <t>marker_592_839464.png</t>
  </si>
  <si>
    <t>A-492__425</t>
  </si>
  <si>
    <t>marker_109_839476.png</t>
  </si>
  <si>
    <t>A-492__427</t>
  </si>
  <si>
    <t>marker_210_839495.png</t>
  </si>
  <si>
    <t>A-492__428</t>
  </si>
  <si>
    <t>marker_874_839504.png</t>
  </si>
  <si>
    <t>A-492__429</t>
  </si>
  <si>
    <t>marker_327_839513.png</t>
  </si>
  <si>
    <t>A-492__430</t>
  </si>
  <si>
    <t>marker_887_839523.png</t>
  </si>
  <si>
    <t>A-492__436</t>
  </si>
  <si>
    <t>marker_704_839603.png</t>
  </si>
  <si>
    <t>A-492__440</t>
  </si>
  <si>
    <t>marker_789_839701.png</t>
  </si>
  <si>
    <t>A-492__442</t>
  </si>
  <si>
    <t>marker_237_839722.png</t>
  </si>
  <si>
    <t>A-492__443</t>
  </si>
  <si>
    <t>marker_382_839732.png</t>
  </si>
  <si>
    <t>A-492__445</t>
  </si>
  <si>
    <t>marker_815_839759.png</t>
  </si>
  <si>
    <t>A-492__471</t>
  </si>
  <si>
    <t>marker_289_840054.png</t>
  </si>
  <si>
    <t>A-492__472</t>
  </si>
  <si>
    <t>marker_748_840068.png</t>
  </si>
  <si>
    <t>A-495R__105</t>
  </si>
  <si>
    <t>marker_858_895807.png</t>
  </si>
  <si>
    <t>A-495R__18</t>
  </si>
  <si>
    <t>marker_392_936751.png</t>
  </si>
  <si>
    <t>A-497__71</t>
  </si>
  <si>
    <t>marker_661_938033.png</t>
  </si>
  <si>
    <t>A-497__22</t>
  </si>
  <si>
    <t>marker_611_943752.png</t>
  </si>
  <si>
    <t>A-497__15</t>
  </si>
  <si>
    <t>marker_990_943834.png</t>
  </si>
  <si>
    <t>A-497__14</t>
  </si>
  <si>
    <t>marker_111_943903.png</t>
  </si>
  <si>
    <t>A-497__13</t>
  </si>
  <si>
    <t>marker_480_943913.png</t>
  </si>
  <si>
    <t>A-497__12</t>
  </si>
  <si>
    <t>marker_743_943953.png</t>
  </si>
  <si>
    <t>A-5050__180</t>
  </si>
  <si>
    <t>marker_801_944173.png</t>
  </si>
  <si>
    <t>A-5050__174</t>
  </si>
  <si>
    <t>marker_676_944243.png</t>
  </si>
  <si>
    <t>A-5050__144</t>
  </si>
  <si>
    <t>marker_994_945800.png</t>
  </si>
  <si>
    <t>A-5050__133</t>
  </si>
  <si>
    <t>marker_412_945916.png</t>
  </si>
  <si>
    <t>A-5050__131</t>
  </si>
  <si>
    <t>marker_646_945935.png</t>
  </si>
  <si>
    <t>A-5050__120</t>
  </si>
  <si>
    <t>marker_259_946508.png</t>
  </si>
  <si>
    <t>A-5050__62</t>
  </si>
  <si>
    <t>marker_786_949006.png</t>
  </si>
  <si>
    <t>A-5050__56</t>
  </si>
  <si>
    <t>marker_686_949100.png</t>
  </si>
  <si>
    <t>A-5050__49</t>
  </si>
  <si>
    <t>marker_883_949163.png</t>
  </si>
  <si>
    <t>A-5050__47</t>
  </si>
  <si>
    <t>marker_126_949180.png</t>
  </si>
  <si>
    <t>A-5050__45</t>
  </si>
  <si>
    <t>marker_232_949202.png</t>
  </si>
  <si>
    <t>A-5050__31</t>
  </si>
  <si>
    <t>marker_980_949350.png</t>
  </si>
  <si>
    <t>A-5050__29</t>
  </si>
  <si>
    <t>marker_997_949369.png</t>
  </si>
  <si>
    <t>A-5050__21</t>
  </si>
  <si>
    <t>marker_413_949448.png</t>
  </si>
  <si>
    <t>A-5050__20</t>
  </si>
  <si>
    <t>marker_340_949456.png</t>
  </si>
  <si>
    <t>A-5050__7</t>
  </si>
  <si>
    <t>marker_693_949638.png</t>
  </si>
  <si>
    <t>A-5050__6</t>
  </si>
  <si>
    <t>marker_838_949647.png</t>
  </si>
  <si>
    <t>A-5050__5</t>
  </si>
  <si>
    <t>marker_488_949659.png</t>
  </si>
  <si>
    <t>A-5052__8</t>
  </si>
  <si>
    <t>marker_110_949959.png</t>
  </si>
  <si>
    <t>A-5052__31</t>
  </si>
  <si>
    <t>marker_139_951639.png</t>
  </si>
  <si>
    <t>A-5052__32</t>
  </si>
  <si>
    <t>marker_401_951649.png</t>
  </si>
  <si>
    <t>A-5052__33</t>
  </si>
  <si>
    <t>marker_625_951662.png</t>
  </si>
  <si>
    <t>A-5052__35</t>
  </si>
  <si>
    <t>marker_268_951819.png</t>
  </si>
  <si>
    <t>A-5052__59</t>
  </si>
  <si>
    <t>marker_960_957030.png</t>
  </si>
  <si>
    <t>A-5052__60</t>
  </si>
  <si>
    <t>marker_419_957051.png</t>
  </si>
  <si>
    <t>A-5052__81</t>
  </si>
  <si>
    <t>marker_792_957298.png</t>
  </si>
  <si>
    <t>A-5052__84</t>
  </si>
  <si>
    <t>marker_137_957419.png</t>
  </si>
  <si>
    <t>A-5052__85</t>
  </si>
  <si>
    <t>marker_913_957433.png</t>
  </si>
  <si>
    <t>A-5052__92</t>
  </si>
  <si>
    <t>marker_504_957522.png</t>
  </si>
  <si>
    <t>A-5052__94</t>
  </si>
  <si>
    <t>marker_491_957555.png</t>
  </si>
  <si>
    <t>A-5052__101</t>
  </si>
  <si>
    <t>marker_127_957680.png</t>
  </si>
  <si>
    <t>A-5052__115</t>
  </si>
  <si>
    <t>marker_565_957882.png</t>
  </si>
  <si>
    <t>A-5052__117</t>
  </si>
  <si>
    <t>marker_839_957904.png</t>
  </si>
  <si>
    <t>A-5052__120</t>
  </si>
  <si>
    <t>marker_558_957936.png</t>
  </si>
  <si>
    <t>A-5052__123</t>
  </si>
  <si>
    <t>marker_781_957979.png</t>
  </si>
  <si>
    <t>A-5052__126</t>
  </si>
  <si>
    <t>marker_194_958037.png</t>
  </si>
  <si>
    <t>A-5052__133</t>
  </si>
  <si>
    <t>marker_112_958141.png</t>
  </si>
  <si>
    <t>A-5052__134</t>
  </si>
  <si>
    <t>marker_281_958153.png</t>
  </si>
  <si>
    <t>A-5052__135</t>
  </si>
  <si>
    <t>marker_269_958163.png</t>
  </si>
  <si>
    <t>A-5052__140</t>
  </si>
  <si>
    <t>marker_623_958364.png</t>
  </si>
  <si>
    <t>A-5052__143</t>
  </si>
  <si>
    <t>marker_884_958396.png</t>
  </si>
  <si>
    <t>A-5052__144</t>
  </si>
  <si>
    <t>marker_445_958407.png</t>
  </si>
  <si>
    <t>A-5052__155</t>
  </si>
  <si>
    <t>marker_149_958606.png</t>
  </si>
  <si>
    <t>A-5052__162</t>
  </si>
  <si>
    <t>marker_916_958701.png</t>
  </si>
  <si>
    <t>A-5052__187</t>
  </si>
  <si>
    <t>marker_469_959280.png</t>
  </si>
  <si>
    <t>A-5052__188</t>
  </si>
  <si>
    <t>marker_512_959288.png</t>
  </si>
  <si>
    <t>A-5052__191</t>
  </si>
  <si>
    <t>marker_180_959317.png</t>
  </si>
  <si>
    <t>A-5052__193</t>
  </si>
  <si>
    <t>marker_919_959360.png</t>
  </si>
  <si>
    <t>A-5052__208</t>
  </si>
  <si>
    <t>marker_495_959567.png</t>
  </si>
  <si>
    <t>A-5052__215</t>
  </si>
  <si>
    <t>marker_940_959642.png</t>
  </si>
  <si>
    <t>A-5052__216</t>
  </si>
  <si>
    <t>marker_837_959677.png</t>
  </si>
  <si>
    <t>A-5052__218</t>
  </si>
  <si>
    <t>marker_283_959699.png</t>
  </si>
  <si>
    <t>A-5052__236</t>
  </si>
  <si>
    <t>marker_363_959905.png</t>
  </si>
  <si>
    <t>A-5052__239</t>
  </si>
  <si>
    <t>marker_707_959935.png</t>
  </si>
  <si>
    <t>A-5052__253</t>
  </si>
  <si>
    <t>marker_724_960124.png</t>
  </si>
  <si>
    <t>A-5052__258</t>
  </si>
  <si>
    <t>marker_404_960177.png</t>
  </si>
  <si>
    <t>A-5052__260</t>
  </si>
  <si>
    <t>marker_920_960202.png</t>
  </si>
  <si>
    <t>A-5052__264</t>
  </si>
  <si>
    <t>marker_817_960247.png</t>
  </si>
  <si>
    <t>A-5052__267</t>
  </si>
  <si>
    <t>marker_112_960284.png</t>
  </si>
  <si>
    <t>A-5052__280</t>
  </si>
  <si>
    <t>marker_455_960516.png</t>
  </si>
  <si>
    <t>A-5052__287</t>
  </si>
  <si>
    <t>marker_947_960606.png</t>
  </si>
  <si>
    <t>A-5052__289</t>
  </si>
  <si>
    <t>marker_887_960634.png</t>
  </si>
  <si>
    <t>A-5052__291</t>
  </si>
  <si>
    <t>marker_559_960665.png</t>
  </si>
  <si>
    <t>A-5052__301</t>
  </si>
  <si>
    <t>marker_881_960932.png</t>
  </si>
  <si>
    <t>A-5052__312</t>
  </si>
  <si>
    <t>marker_568_961143.png</t>
  </si>
  <si>
    <t>A-5052__319</t>
  </si>
  <si>
    <t>marker_146_961242.png</t>
  </si>
  <si>
    <t>A-5052__323</t>
  </si>
  <si>
    <t>marker_196_961300.png</t>
  </si>
  <si>
    <t>A-5052__333</t>
  </si>
  <si>
    <t>marker_489_961531.png</t>
  </si>
  <si>
    <t>A-5052__340</t>
  </si>
  <si>
    <t>marker_326_961623.png</t>
  </si>
  <si>
    <t>A-5052__344</t>
  </si>
  <si>
    <t>marker_330_961665.png</t>
  </si>
  <si>
    <t>A-5052__355</t>
  </si>
  <si>
    <t>marker_742_961808.png</t>
  </si>
  <si>
    <t>A-5052__363</t>
  </si>
  <si>
    <t>marker_548_961890.png</t>
  </si>
  <si>
    <t>A-5052__364</t>
  </si>
  <si>
    <t>marker_717_961898.png</t>
  </si>
  <si>
    <t>A-5052__366</t>
  </si>
  <si>
    <t>marker_475_962242.png</t>
  </si>
  <si>
    <t>A-5052__367</t>
  </si>
  <si>
    <t>marker_281_962259.png</t>
  </si>
  <si>
    <t>A-5052__369</t>
  </si>
  <si>
    <t>marker_602_962284.png</t>
  </si>
  <si>
    <t>A-5052__373</t>
  </si>
  <si>
    <t>marker_625_962338.png</t>
  </si>
  <si>
    <t>A-5052__374</t>
  </si>
  <si>
    <t>marker_927_962411.png</t>
  </si>
  <si>
    <t>A-5052__375</t>
  </si>
  <si>
    <t>marker_371_962425.png</t>
  </si>
  <si>
    <t>A-5052__376</t>
  </si>
  <si>
    <t>marker_861_962438.png</t>
  </si>
  <si>
    <t>A-5052__379</t>
  </si>
  <si>
    <t>marker_112_962464.png</t>
  </si>
  <si>
    <t>A-5052__383</t>
  </si>
  <si>
    <t>marker_281_962510.png</t>
  </si>
  <si>
    <t>A-5052__390</t>
  </si>
  <si>
    <t>marker_951_962578.png</t>
  </si>
  <si>
    <t>A-5052__392</t>
  </si>
  <si>
    <t>marker_734_962595.png</t>
  </si>
  <si>
    <t>A-5052__410</t>
  </si>
  <si>
    <t>marker_305_962776.png</t>
  </si>
  <si>
    <t>A-5052__416</t>
  </si>
  <si>
    <t>marker_525_962832.png</t>
  </si>
  <si>
    <t>A-5052__440</t>
  </si>
  <si>
    <t>marker_342_963076.png</t>
  </si>
  <si>
    <t>A-5052__444</t>
  </si>
  <si>
    <t>marker_150_963120.png</t>
  </si>
  <si>
    <t>A-5052__466</t>
  </si>
  <si>
    <t>marker_220_963354.png</t>
  </si>
  <si>
    <t>A-5052__467</t>
  </si>
  <si>
    <t>marker_102_963362.png</t>
  </si>
  <si>
    <t>A-5052__475</t>
  </si>
  <si>
    <t>marker_555_963442.png</t>
  </si>
  <si>
    <t>A-5052__476</t>
  </si>
  <si>
    <t>marker_775_963450.png</t>
  </si>
  <si>
    <t>A-5052__481</t>
  </si>
  <si>
    <t>marker_680_963501.png</t>
  </si>
  <si>
    <t>A-5052__487</t>
  </si>
  <si>
    <t>marker_810_963559.png</t>
  </si>
  <si>
    <t>A-5052__493</t>
  </si>
  <si>
    <t>marker_320_963615.png</t>
  </si>
  <si>
    <t>A-5052__497</t>
  </si>
  <si>
    <t>marker_297_963651.png</t>
  </si>
  <si>
    <t>A-5052__499</t>
  </si>
  <si>
    <t>marker_613_963668.png</t>
  </si>
  <si>
    <t>A-5052__501</t>
  </si>
  <si>
    <t>marker_770_963689.png</t>
  </si>
  <si>
    <t>A-5053__377</t>
  </si>
  <si>
    <t>marker_387_963888.png</t>
  </si>
  <si>
    <t>A-5053__306</t>
  </si>
  <si>
    <t>marker_609_964713.png</t>
  </si>
  <si>
    <t>A-5053__305</t>
  </si>
  <si>
    <t>marker_837_964722.png</t>
  </si>
  <si>
    <t>A-5053__303</t>
  </si>
  <si>
    <t>marker_762_964741.png</t>
  </si>
  <si>
    <t>A-5053__287</t>
  </si>
  <si>
    <t>marker_601_964991.png</t>
  </si>
  <si>
    <t>A-5053__286</t>
  </si>
  <si>
    <t>marker_473_965000.png</t>
  </si>
  <si>
    <t>A-5053__285</t>
  </si>
  <si>
    <t>marker_566_965010.png</t>
  </si>
  <si>
    <t>A-5053__284</t>
  </si>
  <si>
    <t>marker_415_965019.png</t>
  </si>
  <si>
    <t>A-5053__243</t>
  </si>
  <si>
    <t>marker_892_965471.png</t>
  </si>
  <si>
    <t>A-5053__239</t>
  </si>
  <si>
    <t>marker_167_965509.png</t>
  </si>
  <si>
    <t>A-5053__207</t>
  </si>
  <si>
    <t>marker_152_965824.png</t>
  </si>
  <si>
    <t>A-5053__204</t>
  </si>
  <si>
    <t>marker_475_965852.png</t>
  </si>
  <si>
    <t>A-5053__201</t>
  </si>
  <si>
    <t>marker_100_965876.png</t>
  </si>
  <si>
    <t>A-5053__197</t>
  </si>
  <si>
    <t>marker_234_965914.png</t>
  </si>
  <si>
    <t>A-5053__178</t>
  </si>
  <si>
    <t>marker_981_966110.png</t>
  </si>
  <si>
    <t>A-5053__159</t>
  </si>
  <si>
    <t>marker_698_966294.png</t>
  </si>
  <si>
    <t>A-5053__149</t>
  </si>
  <si>
    <t>marker_539_966397.png</t>
  </si>
  <si>
    <t>A-5053__140</t>
  </si>
  <si>
    <t>marker_591_966484.png</t>
  </si>
  <si>
    <t>A-5053__139</t>
  </si>
  <si>
    <t>marker_362_966493.png</t>
  </si>
  <si>
    <t>A-5053__138</t>
  </si>
  <si>
    <t>marker_573_966504.png</t>
  </si>
  <si>
    <t>A-5053__134</t>
  </si>
  <si>
    <t>marker_905_966537.png</t>
  </si>
  <si>
    <t>A-5053__123</t>
  </si>
  <si>
    <t>marker_488_019560.png</t>
  </si>
  <si>
    <t>A-5053__110</t>
  </si>
  <si>
    <t>marker_238_019703.png</t>
  </si>
  <si>
    <t>A-5053__109</t>
  </si>
  <si>
    <t>marker_698_019713.png</t>
  </si>
  <si>
    <t>A-5053__108</t>
  </si>
  <si>
    <t>marker_670_019724.png</t>
  </si>
  <si>
    <t>A-5053__98</t>
  </si>
  <si>
    <t>marker_160_019833.png</t>
  </si>
  <si>
    <t>A-5053__90</t>
  </si>
  <si>
    <t>marker_248_019912.png</t>
  </si>
  <si>
    <t>A-5053__89</t>
  </si>
  <si>
    <t>marker_861_019921.png</t>
  </si>
  <si>
    <t>A-5053__88</t>
  </si>
  <si>
    <t>marker_451_019933.png</t>
  </si>
  <si>
    <t>A-5053__80</t>
  </si>
  <si>
    <t>marker_156_020011.png</t>
  </si>
  <si>
    <t>A-5053__71</t>
  </si>
  <si>
    <t>marker_240_020296.png</t>
  </si>
  <si>
    <t>A-5053__54</t>
  </si>
  <si>
    <t>marker_567_020940.png</t>
  </si>
  <si>
    <t>A-5053__37</t>
  </si>
  <si>
    <t>marker_138_021743.png</t>
  </si>
  <si>
    <t>A-5053__29</t>
  </si>
  <si>
    <t>marker_784_021819.png</t>
  </si>
  <si>
    <t>A-5053__19</t>
  </si>
  <si>
    <t>marker_951_022913.png</t>
  </si>
  <si>
    <t>A-5053__7</t>
  </si>
  <si>
    <t>marker_456_025142.png</t>
  </si>
  <si>
    <t>A-5053__6</t>
  </si>
  <si>
    <t>marker_711_025154.png</t>
  </si>
  <si>
    <t>A-5053__5</t>
  </si>
  <si>
    <t>marker_269_025164.png</t>
  </si>
  <si>
    <t>A-5053__4</t>
  </si>
  <si>
    <t>marker_427_025175.png</t>
  </si>
  <si>
    <t>A-5053__3</t>
  </si>
  <si>
    <t>marker_936_025187.png</t>
  </si>
  <si>
    <t>A-495__24</t>
  </si>
  <si>
    <t>marker_534_381335.png</t>
  </si>
  <si>
    <t>A-495__25</t>
  </si>
  <si>
    <t>marker_584_381345.png</t>
  </si>
  <si>
    <t>A-495__27</t>
  </si>
  <si>
    <t>marker_859_381370.png</t>
  </si>
  <si>
    <t>A-495__34</t>
  </si>
  <si>
    <t>marker_381_381445.png</t>
  </si>
  <si>
    <t>A-495__108</t>
  </si>
  <si>
    <t>marker_373_382254.png</t>
  </si>
  <si>
    <t>A-5059__78</t>
  </si>
  <si>
    <t>marker_347_378765.png</t>
  </si>
  <si>
    <t>A-5059__76</t>
  </si>
  <si>
    <t>marker_886_378788.png</t>
  </si>
  <si>
    <t>A-5059__74</t>
  </si>
  <si>
    <t>marker_162_378810.png</t>
  </si>
  <si>
    <t>A-5059__67</t>
  </si>
  <si>
    <t>marker_512_378875.png</t>
  </si>
  <si>
    <t>A-5059__65</t>
  </si>
  <si>
    <t>marker_472_378894.png</t>
  </si>
  <si>
    <t>A-5059__62</t>
  </si>
  <si>
    <t>marker_370_378926.png</t>
  </si>
  <si>
    <t>A-5059__61</t>
  </si>
  <si>
    <t>marker_455_378936.png</t>
  </si>
  <si>
    <t>A-5059__60</t>
  </si>
  <si>
    <t>marker_270_378945.png</t>
  </si>
  <si>
    <t>A-5059__55</t>
  </si>
  <si>
    <t>marker_404_379033.png</t>
  </si>
  <si>
    <t>A-5059__50</t>
  </si>
  <si>
    <t>marker_387_379093.png</t>
  </si>
  <si>
    <t>A-5059__49</t>
  </si>
  <si>
    <t>marker_700_379104.png</t>
  </si>
  <si>
    <t>A-5059__46</t>
  </si>
  <si>
    <t>marker_825_379133.png</t>
  </si>
  <si>
    <t>A-495__132</t>
  </si>
  <si>
    <t>marker_764_382496.png</t>
  </si>
  <si>
    <t>A-5059__45</t>
  </si>
  <si>
    <t>marker_437_379142.png</t>
  </si>
  <si>
    <t>A-495__135</t>
  </si>
  <si>
    <t>marker_230_382530.png</t>
  </si>
  <si>
    <t>A-5059__42</t>
  </si>
  <si>
    <t>marker_134_379276.png</t>
  </si>
  <si>
    <t>A-495__137</t>
  </si>
  <si>
    <t>marker_812_382552.png</t>
  </si>
  <si>
    <t>A-495__138</t>
  </si>
  <si>
    <t>marker_270_382561.png</t>
  </si>
  <si>
    <t>A-5059__35</t>
  </si>
  <si>
    <t>marker_533_379357.png</t>
  </si>
  <si>
    <t>A-5059__34</t>
  </si>
  <si>
    <t>marker_834_379368.png</t>
  </si>
  <si>
    <t>A-5059__33</t>
  </si>
  <si>
    <t>marker_403_379377.png</t>
  </si>
  <si>
    <t>A-5059__20</t>
  </si>
  <si>
    <t>marker_594_379491.png</t>
  </si>
  <si>
    <t>A-5059__17</t>
  </si>
  <si>
    <t>marker_536_379517.png</t>
  </si>
  <si>
    <t>A-5059__9</t>
  </si>
  <si>
    <t>marker_189_379590.png</t>
  </si>
  <si>
    <t>A-5059__8</t>
  </si>
  <si>
    <t>marker_381_379599.png</t>
  </si>
  <si>
    <t>A-5059__2</t>
  </si>
  <si>
    <t>marker_568_379656.png</t>
  </si>
  <si>
    <t>A-5058__3</t>
  </si>
  <si>
    <t>marker_766_379809.png</t>
  </si>
  <si>
    <t>A-5058__4</t>
  </si>
  <si>
    <t>marker_226_379839.png</t>
  </si>
  <si>
    <t>A-495__161</t>
  </si>
  <si>
    <t>marker_547_382811.png</t>
  </si>
  <si>
    <t>A-5058__8</t>
  </si>
  <si>
    <t>marker_138_379891.png</t>
  </si>
  <si>
    <t>A-5058__13</t>
  </si>
  <si>
    <t>marker_159_379935.png</t>
  </si>
  <si>
    <t>A-495__162</t>
  </si>
  <si>
    <t>marker_890_382819.png</t>
  </si>
  <si>
    <t>A-5058__14</t>
  </si>
  <si>
    <t>marker_761_379945.png</t>
  </si>
  <si>
    <t>A-5058__22</t>
  </si>
  <si>
    <t>marker_810_380096.png</t>
  </si>
  <si>
    <t>A-495__164</t>
  </si>
  <si>
    <t>marker_165_382854.png</t>
  </si>
  <si>
    <t>A-495__166</t>
  </si>
  <si>
    <t>marker_554_382873.png</t>
  </si>
  <si>
    <t>A-495__168</t>
  </si>
  <si>
    <t>marker_726_382893.png</t>
  </si>
  <si>
    <t>A-5058__44</t>
  </si>
  <si>
    <t>marker_303_380461.png</t>
  </si>
  <si>
    <t>A-5058__49</t>
  </si>
  <si>
    <t>marker_747_380526.png</t>
  </si>
  <si>
    <t>A-5058__50</t>
  </si>
  <si>
    <t>marker_404_380535.png</t>
  </si>
  <si>
    <t>A-5058__68</t>
  </si>
  <si>
    <t>marker_240_380735.png</t>
  </si>
  <si>
    <t>A-5058__71</t>
  </si>
  <si>
    <t>marker_115_380765.png</t>
  </si>
  <si>
    <t>A-5058__72</t>
  </si>
  <si>
    <t>marker_456_380775.png</t>
  </si>
  <si>
    <t>A-5058__93</t>
  </si>
  <si>
    <t>marker_236_381041.png</t>
  </si>
  <si>
    <t>A-5058__97</t>
  </si>
  <si>
    <t>marker_623_381081.png</t>
  </si>
  <si>
    <t>A-5058__101</t>
  </si>
  <si>
    <t>marker_725_381129.png</t>
  </si>
  <si>
    <t>A-5058__189</t>
  </si>
  <si>
    <t>marker_840_382770.png</t>
  </si>
  <si>
    <t>A-495_1__194</t>
  </si>
  <si>
    <t>marker_508_383691.png</t>
  </si>
  <si>
    <t>A-495_1__187</t>
  </si>
  <si>
    <t>marker_821_383757.png</t>
  </si>
  <si>
    <t>A-495_1__186</t>
  </si>
  <si>
    <t>marker_321_383767.png</t>
  </si>
  <si>
    <t>A-495_1__120</t>
  </si>
  <si>
    <t>marker_901_384570.png</t>
  </si>
  <si>
    <t>A-495_1__115</t>
  </si>
  <si>
    <t>marker_320_384668.png</t>
  </si>
  <si>
    <t>A-495_1__113</t>
  </si>
  <si>
    <t>marker_560_384692.png</t>
  </si>
  <si>
    <t>A-495_1__97</t>
  </si>
  <si>
    <t>marker_835_385070.png</t>
  </si>
  <si>
    <t>A-495_1__96</t>
  </si>
  <si>
    <t>marker_840_385079.png</t>
  </si>
  <si>
    <t>A-495_1__90</t>
  </si>
  <si>
    <t>marker_408_385145.png</t>
  </si>
  <si>
    <t>A-495_1__84</t>
  </si>
  <si>
    <t>marker_332_385200.png</t>
  </si>
  <si>
    <t>A-495_1__75</t>
  </si>
  <si>
    <t>marker_868_385281.png</t>
  </si>
  <si>
    <t>A-495_1__74</t>
  </si>
  <si>
    <t>marker_119_385290.png</t>
  </si>
  <si>
    <t>A-495_1__71</t>
  </si>
  <si>
    <t>marker_809_385318.png</t>
  </si>
  <si>
    <t>A-495_1__58</t>
  </si>
  <si>
    <t>marker_341_385487.png</t>
  </si>
  <si>
    <t>A-495_1__49</t>
  </si>
  <si>
    <t>marker_926_385570.png</t>
  </si>
  <si>
    <t>A-495_1__46</t>
  </si>
  <si>
    <t>marker_259_385597.png</t>
  </si>
  <si>
    <t>A-495_1__44</t>
  </si>
  <si>
    <t>marker_467_385618.png</t>
  </si>
  <si>
    <t>A-495_1__42</t>
  </si>
  <si>
    <t>marker_928_385635.png</t>
  </si>
  <si>
    <t>A-495_1__40</t>
  </si>
  <si>
    <t>marker_454_385655.png</t>
  </si>
  <si>
    <t>A-495_1__28</t>
  </si>
  <si>
    <t>marker_204_385899.png</t>
  </si>
  <si>
    <t>A-495_1__24</t>
  </si>
  <si>
    <t>marker_798_385933.png</t>
  </si>
  <si>
    <t>A-499__3</t>
  </si>
  <si>
    <t>marker_839_529205.png</t>
  </si>
  <si>
    <t>A-499__4</t>
  </si>
  <si>
    <t>marker_873_529214.png</t>
  </si>
  <si>
    <t>A-499__7</t>
  </si>
  <si>
    <t>marker_807_529247.png</t>
  </si>
  <si>
    <t>A-499__10</t>
  </si>
  <si>
    <t>marker_563_529302.png</t>
  </si>
  <si>
    <t>A-499__11</t>
  </si>
  <si>
    <t>marker_994_529312.png</t>
  </si>
  <si>
    <t>A-499__12</t>
  </si>
  <si>
    <t>marker_620_529321.png</t>
  </si>
  <si>
    <t>A-499__25</t>
  </si>
  <si>
    <t>marker_954_529493.png</t>
  </si>
  <si>
    <t>A-499__28</t>
  </si>
  <si>
    <t>marker_857_529519.png</t>
  </si>
  <si>
    <t>A-499__33</t>
  </si>
  <si>
    <t>marker_846_529955.png</t>
  </si>
  <si>
    <t>A-499__37</t>
  </si>
  <si>
    <t>marker_197_529995.png</t>
  </si>
  <si>
    <t>A-499__40</t>
  </si>
  <si>
    <t>marker_452_530022.png</t>
  </si>
  <si>
    <t>A-499__42</t>
  </si>
  <si>
    <t>marker_548_530042.png</t>
  </si>
  <si>
    <t>A-499__49</t>
  </si>
  <si>
    <t>marker_514_534884.png</t>
  </si>
  <si>
    <t>A-499__50</t>
  </si>
  <si>
    <t>marker_709_534893.png</t>
  </si>
  <si>
    <t>A-499__51</t>
  </si>
  <si>
    <t>marker_372_534902.png</t>
  </si>
  <si>
    <t>A-499__60</t>
  </si>
  <si>
    <t>marker_219_535072.png</t>
  </si>
  <si>
    <t>A-499__61</t>
  </si>
  <si>
    <t>marker_798_535081.png</t>
  </si>
  <si>
    <t>A-499__87</t>
  </si>
  <si>
    <t>marker_640_789892.png</t>
  </si>
  <si>
    <t>A-499__88</t>
  </si>
  <si>
    <t>marker_221_789911.png</t>
  </si>
  <si>
    <t>A-499__89</t>
  </si>
  <si>
    <t>marker_271_789925.png</t>
  </si>
  <si>
    <t>A-499__99</t>
  </si>
  <si>
    <t>marker_816_793218.png</t>
  </si>
  <si>
    <t>A-499__101</t>
  </si>
  <si>
    <t>marker_941_793245.png</t>
  </si>
  <si>
    <t>A-499__104</t>
  </si>
  <si>
    <t>marker_249_793291.png</t>
  </si>
  <si>
    <t>A-497__845</t>
  </si>
  <si>
    <t>marker_543_367493.png</t>
  </si>
  <si>
    <t>A-497__794</t>
  </si>
  <si>
    <t>marker_604_368016.png</t>
  </si>
  <si>
    <t>A-497__774</t>
  </si>
  <si>
    <t>marker_123_368248.png</t>
  </si>
  <si>
    <t>A-499__116</t>
  </si>
  <si>
    <t>marker_537_793524.png</t>
  </si>
  <si>
    <t>A-499__118</t>
  </si>
  <si>
    <t>marker_219_793560.png</t>
  </si>
  <si>
    <t>A-499__120</t>
  </si>
  <si>
    <t>marker_512_793603.png</t>
  </si>
  <si>
    <t>A-499__122</t>
  </si>
  <si>
    <t>marker_884_793644.png</t>
  </si>
  <si>
    <t>A-497_2C__7</t>
  </si>
  <si>
    <t>marker_929_653789.png</t>
  </si>
  <si>
    <t>A-497_2C__11</t>
  </si>
  <si>
    <t>marker_973_653994.png</t>
  </si>
  <si>
    <t>A-499__123</t>
  </si>
  <si>
    <t>marker_471_793659.png</t>
  </si>
  <si>
    <t>A-499__128</t>
  </si>
  <si>
    <t>marker_633_793739.png</t>
  </si>
  <si>
    <t>A-499__130</t>
  </si>
  <si>
    <t>marker_282_793798.png</t>
  </si>
  <si>
    <t>A-499__131</t>
  </si>
  <si>
    <t>marker_504_793812.png</t>
  </si>
  <si>
    <t>A-499__137</t>
  </si>
  <si>
    <t>marker_666_793945.png</t>
  </si>
  <si>
    <t>A-499__144</t>
  </si>
  <si>
    <t>marker_324_794144.png</t>
  </si>
  <si>
    <t>A-499__145</t>
  </si>
  <si>
    <t>marker_885_794167.png</t>
  </si>
  <si>
    <t>A-499__146</t>
  </si>
  <si>
    <t>marker_877_794202.png</t>
  </si>
  <si>
    <t>A-499__147</t>
  </si>
  <si>
    <t>marker_347_794238.png</t>
  </si>
  <si>
    <t>A-499__153</t>
  </si>
  <si>
    <t>marker_696_794410.png</t>
  </si>
  <si>
    <t>A-499__154</t>
  </si>
  <si>
    <t>marker_832_794422.png</t>
  </si>
  <si>
    <t>A-499__155</t>
  </si>
  <si>
    <t>marker_451_794457.png</t>
  </si>
  <si>
    <t>A-499__156</t>
  </si>
  <si>
    <t>marker_309_794520.png</t>
  </si>
  <si>
    <t>A-499__158</t>
  </si>
  <si>
    <t>marker_313_794554.png</t>
  </si>
  <si>
    <t>A-499__160</t>
  </si>
  <si>
    <t>marker_660_794576.png</t>
  </si>
  <si>
    <t>A-499__161</t>
  </si>
  <si>
    <t>marker_465_794596.png</t>
  </si>
  <si>
    <t>A-499__162</t>
  </si>
  <si>
    <t>marker_157_794615.png</t>
  </si>
  <si>
    <t>A-499__163</t>
  </si>
  <si>
    <t>marker_202_794646.png</t>
  </si>
  <si>
    <t>A-499__164</t>
  </si>
  <si>
    <t>marker_994_794674.png</t>
  </si>
  <si>
    <t>A-499__168</t>
  </si>
  <si>
    <t>marker_732_794768.png</t>
  </si>
  <si>
    <t>A-499__174</t>
  </si>
  <si>
    <t>marker_626_795544.png</t>
  </si>
  <si>
    <t>A-499__175</t>
  </si>
  <si>
    <t>marker_968_795561.png</t>
  </si>
  <si>
    <t>A-499__176</t>
  </si>
  <si>
    <t>marker_575_795575.png</t>
  </si>
  <si>
    <t>A-499__178</t>
  </si>
  <si>
    <t>marker_605_795598.png</t>
  </si>
  <si>
    <t>A-499__179</t>
  </si>
  <si>
    <t>marker_142_795608.png</t>
  </si>
  <si>
    <t>A-499__180</t>
  </si>
  <si>
    <t>marker_127_795622.png</t>
  </si>
  <si>
    <t>A-499__183</t>
  </si>
  <si>
    <t>marker_281_795664.png</t>
  </si>
  <si>
    <t>A-499__187</t>
  </si>
  <si>
    <t>marker_102_795763.png</t>
  </si>
  <si>
    <t>A-499__190</t>
  </si>
  <si>
    <t>marker_588_795808.png</t>
  </si>
  <si>
    <t>A-499__191</t>
  </si>
  <si>
    <t>marker_645_795824.png</t>
  </si>
  <si>
    <t>A-499__192</t>
  </si>
  <si>
    <t>marker_763_795845.png</t>
  </si>
  <si>
    <t>A-499__193</t>
  </si>
  <si>
    <t>marker_144_795857.png</t>
  </si>
  <si>
    <t>A-499__201</t>
  </si>
  <si>
    <t>marker_465_796099.png</t>
  </si>
  <si>
    <t>A-499__202</t>
  </si>
  <si>
    <t>marker_944_796111.png</t>
  </si>
  <si>
    <t>A-499__203</t>
  </si>
  <si>
    <t>marker_591_796130.png</t>
  </si>
  <si>
    <t>A-499__204</t>
  </si>
  <si>
    <t>marker_917_796196.png</t>
  </si>
  <si>
    <t>A-499__205</t>
  </si>
  <si>
    <t>marker_186_796212.png</t>
  </si>
  <si>
    <t>A-499__213</t>
  </si>
  <si>
    <t>marker_690_796349.png</t>
  </si>
  <si>
    <t>A-499__214</t>
  </si>
  <si>
    <t>marker_971_796399.png</t>
  </si>
  <si>
    <t>A-499__216</t>
  </si>
  <si>
    <t>marker_367_796423.png</t>
  </si>
  <si>
    <t>A-499__218</t>
  </si>
  <si>
    <t>marker_996_796446.png</t>
  </si>
  <si>
    <t>A-499__220</t>
  </si>
  <si>
    <t>marker_526_796470.png</t>
  </si>
  <si>
    <t>A-499__224</t>
  </si>
  <si>
    <t>marker_770_796530.png</t>
  </si>
  <si>
    <t>A-499__226</t>
  </si>
  <si>
    <t>marker_957_796562.png</t>
  </si>
  <si>
    <t>A-499__228</t>
  </si>
  <si>
    <t>marker_423_796593.png</t>
  </si>
  <si>
    <t>A-497_2C__32</t>
  </si>
  <si>
    <t>marker_670_654508.png</t>
  </si>
  <si>
    <t>A-499__230</t>
  </si>
  <si>
    <t>marker_697_796624.png</t>
  </si>
  <si>
    <t>A-499__231</t>
  </si>
  <si>
    <t>marker_815_796659.png</t>
  </si>
  <si>
    <t>A-499__233</t>
  </si>
  <si>
    <t>marker_763_796680.png</t>
  </si>
  <si>
    <t>A-499__237</t>
  </si>
  <si>
    <t>marker_690_796740.png</t>
  </si>
  <si>
    <t>A-499__238</t>
  </si>
  <si>
    <t>marker_916_796779.png</t>
  </si>
  <si>
    <t>A-499__242</t>
  </si>
  <si>
    <t>marker_100_796895.png</t>
  </si>
  <si>
    <t>A-497_2C__51</t>
  </si>
  <si>
    <t>marker_878_654763.png</t>
  </si>
  <si>
    <t>A-499__245</t>
  </si>
  <si>
    <t>marker_615_796930.png</t>
  </si>
  <si>
    <t>A-499__246</t>
  </si>
  <si>
    <t>marker_654_796951.png</t>
  </si>
  <si>
    <t>A-499__247</t>
  </si>
  <si>
    <t>marker_825_796961.png</t>
  </si>
  <si>
    <t>A-499__252</t>
  </si>
  <si>
    <t>marker_101_797030.png</t>
  </si>
  <si>
    <t>A-499__259</t>
  </si>
  <si>
    <t>marker_623_797247.png</t>
  </si>
  <si>
    <t>A-499__261</t>
  </si>
  <si>
    <t>marker_578_797272.png</t>
  </si>
  <si>
    <t>A-497_2C__95</t>
  </si>
  <si>
    <t>marker_859_655358.png</t>
  </si>
  <si>
    <t>A-497_2C__98</t>
  </si>
  <si>
    <t>marker_963_655388.png</t>
  </si>
  <si>
    <t>A-497_2C__125</t>
  </si>
  <si>
    <t>marker_308_655723.png</t>
  </si>
  <si>
    <t>A-497_2C__126</t>
  </si>
  <si>
    <t>marker_118_655733.png</t>
  </si>
  <si>
    <t>A-497_2C__146</t>
  </si>
  <si>
    <t>marker_577_655930.png</t>
  </si>
  <si>
    <t>A-497_2C__150</t>
  </si>
  <si>
    <t>marker_850_656002.png</t>
  </si>
  <si>
    <t>A-497_2C__157</t>
  </si>
  <si>
    <t>marker_135_656076.png</t>
  </si>
  <si>
    <t>A-497__734</t>
  </si>
  <si>
    <t>marker_864_368904.png</t>
  </si>
  <si>
    <t>A-497__731</t>
  </si>
  <si>
    <t>marker_988_368936.png</t>
  </si>
  <si>
    <t>A-497__730</t>
  </si>
  <si>
    <t>marker_927_368946.png</t>
  </si>
  <si>
    <t>A-497_2C__169</t>
  </si>
  <si>
    <t>marker_320_656190.png</t>
  </si>
  <si>
    <t>A-497__698</t>
  </si>
  <si>
    <t>marker_606_370397.png</t>
  </si>
  <si>
    <t>A-497__680</t>
  </si>
  <si>
    <t>marker_910_370574.png</t>
  </si>
  <si>
    <t>A-497__673</t>
  </si>
  <si>
    <t>marker_916_370997.png</t>
  </si>
  <si>
    <t>A-497_2C__235</t>
  </si>
  <si>
    <t>marker_549_656925.png</t>
  </si>
  <si>
    <t>A-497_2C__238</t>
  </si>
  <si>
    <t>marker_106_656972.png</t>
  </si>
  <si>
    <t>A-497_2C__240</t>
  </si>
  <si>
    <t>marker_938_657027.png</t>
  </si>
  <si>
    <t>A-497__664</t>
  </si>
  <si>
    <t>marker_552_371116.png</t>
  </si>
  <si>
    <t>A-497_2C__249</t>
  </si>
  <si>
    <t>marker_825_319392.png</t>
  </si>
  <si>
    <t>A-497_2C__265</t>
  </si>
  <si>
    <t>marker_555_319678.png</t>
  </si>
  <si>
    <t>A-497__561</t>
  </si>
  <si>
    <t>marker_576_372136.png</t>
  </si>
  <si>
    <t>A-497_2C__303</t>
  </si>
  <si>
    <t>marker_653_320200.png</t>
  </si>
  <si>
    <t>A-497_2C__317</t>
  </si>
  <si>
    <t>marker_356_361898.png</t>
  </si>
  <si>
    <t>A-497_2C__411</t>
  </si>
  <si>
    <t>marker_525_363018.png</t>
  </si>
  <si>
    <t>A-497_2C__421</t>
  </si>
  <si>
    <t>marker_871_363122.png</t>
  </si>
  <si>
    <t>A-497_2C__422</t>
  </si>
  <si>
    <t>marker_579_363132.png</t>
  </si>
  <si>
    <t>A-497__483</t>
  </si>
  <si>
    <t>marker_842_376270.png</t>
  </si>
  <si>
    <t>A-497__481</t>
  </si>
  <si>
    <t>marker_601_376296.png</t>
  </si>
  <si>
    <t>A-497_2C__428</t>
  </si>
  <si>
    <t>marker_351_363189.png</t>
  </si>
  <si>
    <t>A-497_2C__436</t>
  </si>
  <si>
    <t>marker_200_363268.png</t>
  </si>
  <si>
    <t>A-497__465</t>
  </si>
  <si>
    <t>marker_848_376522.png</t>
  </si>
  <si>
    <t>A-497__461</t>
  </si>
  <si>
    <t>marker_416_376557.png</t>
  </si>
  <si>
    <t>A-497__458</t>
  </si>
  <si>
    <t>marker_106_376594.png</t>
  </si>
  <si>
    <t>A-497_2C__501</t>
  </si>
  <si>
    <t>marker_822_364073.png</t>
  </si>
  <si>
    <t>A-497_2C__509</t>
  </si>
  <si>
    <t>marker_682_364150.png</t>
  </si>
  <si>
    <t>A-497_2C__511</t>
  </si>
  <si>
    <t>marker_490_364170.png</t>
  </si>
  <si>
    <t>A-497_2C__522</t>
  </si>
  <si>
    <t>marker_836_364295.png</t>
  </si>
  <si>
    <t>A-497_2C__527</t>
  </si>
  <si>
    <t>marker_611_364408.png</t>
  </si>
  <si>
    <t>A-497_2C__573</t>
  </si>
  <si>
    <t>marker_666_366511.png</t>
  </si>
  <si>
    <t>A-497_2C__625</t>
  </si>
  <si>
    <t>marker_933_367034.png</t>
  </si>
  <si>
    <t>A-497_2C__635</t>
  </si>
  <si>
    <t>marker_136_367130.png</t>
  </si>
  <si>
    <t>A-497_2C__637</t>
  </si>
  <si>
    <t>marker_482_367149.png</t>
  </si>
  <si>
    <t>A-497_2C__639</t>
  </si>
  <si>
    <t>marker_331_367168.png</t>
  </si>
  <si>
    <t>A-497_2C__645</t>
  </si>
  <si>
    <t>marker_574_367229.png</t>
  </si>
  <si>
    <t>A-497_2C__647</t>
  </si>
  <si>
    <t>marker_898_367247.png</t>
  </si>
  <si>
    <t>A-497_2C__648</t>
  </si>
  <si>
    <t>marker_946_367258.png</t>
  </si>
  <si>
    <t>A-497_2C__651</t>
  </si>
  <si>
    <t>marker_879_367286.png</t>
  </si>
  <si>
    <t>A-497_2C__657</t>
  </si>
  <si>
    <t>marker_555_367360.png</t>
  </si>
  <si>
    <t>A-497_2C__658</t>
  </si>
  <si>
    <t>marker_477_367369.png</t>
  </si>
  <si>
    <t>A-497_2C__659</t>
  </si>
  <si>
    <t>marker_124_367377.png</t>
  </si>
  <si>
    <t>A-497__441</t>
  </si>
  <si>
    <t>marker_204_376793.png</t>
  </si>
  <si>
    <t>A-497__437</t>
  </si>
  <si>
    <t>marker_249_376833.png</t>
  </si>
  <si>
    <t>A-497__434</t>
  </si>
  <si>
    <t>marker_585_376861.png</t>
  </si>
  <si>
    <t>A-497__429</t>
  </si>
  <si>
    <t>marker_614_376921.png</t>
  </si>
  <si>
    <t>A-497__427</t>
  </si>
  <si>
    <t>marker_964_376945.png</t>
  </si>
  <si>
    <t>A-497__424</t>
  </si>
  <si>
    <t>marker_601_376975.png</t>
  </si>
  <si>
    <t>A-497__420</t>
  </si>
  <si>
    <t>marker_305_377012.png</t>
  </si>
  <si>
    <t>A-497__381</t>
  </si>
  <si>
    <t>marker_902_377361.png</t>
  </si>
  <si>
    <t>A-497__373</t>
  </si>
  <si>
    <t>marker_123_377428.png</t>
  </si>
  <si>
    <t>A-497__370</t>
  </si>
  <si>
    <t>marker_902_377456.png</t>
  </si>
  <si>
    <t>A-497__367</t>
  </si>
  <si>
    <t>marker_678_377484.png</t>
  </si>
  <si>
    <t>A-497__364</t>
  </si>
  <si>
    <t>marker_181_377513.png</t>
  </si>
  <si>
    <t>A-497__362</t>
  </si>
  <si>
    <t>marker_701_377531.png</t>
  </si>
  <si>
    <t>A-497__313</t>
  </si>
  <si>
    <t>marker_767_378041.png</t>
  </si>
  <si>
    <t>A-497__300</t>
  </si>
  <si>
    <t>marker_326_378215.png</t>
  </si>
  <si>
    <t>A-497__287</t>
  </si>
  <si>
    <t>marker_217_378386.png</t>
  </si>
  <si>
    <t>A-497__284</t>
  </si>
  <si>
    <t>marker_845_378427.png</t>
  </si>
  <si>
    <t>A-497__282</t>
  </si>
  <si>
    <t>marker_501_378448.png</t>
  </si>
  <si>
    <t>A-497__274</t>
  </si>
  <si>
    <t>marker_987_378540.png</t>
  </si>
  <si>
    <t>A-497__186</t>
  </si>
  <si>
    <t>marker_991_379565.png</t>
  </si>
  <si>
    <t>A-497__180</t>
  </si>
  <si>
    <t>marker_783_379642.png</t>
  </si>
  <si>
    <t>A-497__176</t>
  </si>
  <si>
    <t>marker_732_379688.png</t>
  </si>
  <si>
    <t>A-497__168</t>
  </si>
  <si>
    <t>marker_976_380172.png</t>
  </si>
  <si>
    <t>A-490__207</t>
  </si>
  <si>
    <t>marker_156_742526.png</t>
  </si>
  <si>
    <t>A-490__223</t>
  </si>
  <si>
    <t>marker_509_743630.png</t>
  </si>
  <si>
    <t>A-490__226</t>
  </si>
  <si>
    <t>marker_751_743733.png</t>
  </si>
  <si>
    <t>A-490__354</t>
  </si>
  <si>
    <t>marker_111_751747.png</t>
  </si>
  <si>
    <t>A-490__384</t>
  </si>
  <si>
    <t>marker_473_752425.png</t>
  </si>
  <si>
    <t>A-490__532</t>
  </si>
  <si>
    <t>marker_100_818231.png</t>
  </si>
  <si>
    <t>A-490__540</t>
  </si>
  <si>
    <t>marker_197_818346.png</t>
  </si>
  <si>
    <t>A-492__104</t>
  </si>
  <si>
    <t>marker_460_823807.png</t>
  </si>
  <si>
    <t>A-492__141</t>
  </si>
  <si>
    <t>marker_468_824687.png</t>
  </si>
  <si>
    <t>A-492__142</t>
  </si>
  <si>
    <t>marker_538_824698.png</t>
  </si>
  <si>
    <t>A-492__143</t>
  </si>
  <si>
    <t>marker_422_824709.png</t>
  </si>
  <si>
    <t>A-492__170</t>
  </si>
  <si>
    <t>marker_305_831458.png</t>
  </si>
  <si>
    <t>A-492__274</t>
  </si>
  <si>
    <t>marker_542_836839.png</t>
  </si>
  <si>
    <t>A-492__311</t>
  </si>
  <si>
    <t>marker_810_837684.png</t>
  </si>
  <si>
    <t>A-492__312</t>
  </si>
  <si>
    <t>marker_610_837695.png</t>
  </si>
  <si>
    <t>A-492__326</t>
  </si>
  <si>
    <t>marker_115_838025.png</t>
  </si>
  <si>
    <t>A-497__3</t>
  </si>
  <si>
    <t>marker_661_944050.png</t>
  </si>
  <si>
    <t>A-5050__173</t>
  </si>
  <si>
    <t>marker_440_944253.png</t>
  </si>
  <si>
    <t>A-5050__151</t>
  </si>
  <si>
    <t>marker_639_945377.png</t>
  </si>
  <si>
    <t>A-5050__111</t>
  </si>
  <si>
    <t>marker_359_946650.png</t>
  </si>
  <si>
    <t>A-5050__106</t>
  </si>
  <si>
    <t>marker_217_946709.png</t>
  </si>
  <si>
    <t>A-5050__95</t>
  </si>
  <si>
    <t>marker_780_946922.png</t>
  </si>
  <si>
    <t>A-5052__122</t>
  </si>
  <si>
    <t>marker_568_957968.png</t>
  </si>
  <si>
    <t>A-499__90</t>
  </si>
  <si>
    <t>marker_186_789989.png</t>
  </si>
  <si>
    <t>A-499__96</t>
  </si>
  <si>
    <t>marker_150_793150.png</t>
  </si>
  <si>
    <t>A-490__60</t>
  </si>
  <si>
    <t>marker_309_648402.png</t>
  </si>
  <si>
    <t>Modificado</t>
  </si>
  <si>
    <t>A-490__373</t>
  </si>
  <si>
    <t>marker_205_752162.png</t>
  </si>
  <si>
    <t>A-490__419</t>
  </si>
  <si>
    <t>marker_743_754280.png</t>
  </si>
  <si>
    <t>A-490__420</t>
  </si>
  <si>
    <t>marker_803_754293.png</t>
  </si>
  <si>
    <t>A-490__465</t>
  </si>
  <si>
    <t>marker_202_755299.png</t>
  </si>
  <si>
    <t>A-490__475</t>
  </si>
  <si>
    <t>marker_994_755497.png</t>
  </si>
  <si>
    <t>A-490__476</t>
  </si>
  <si>
    <t>marker_959_755512.png</t>
  </si>
  <si>
    <t>A-490__477</t>
  </si>
  <si>
    <t>marker_272_755527.png</t>
  </si>
  <si>
    <t>A-490__478</t>
  </si>
  <si>
    <t>marker_197_755544.png</t>
  </si>
  <si>
    <t>A-490__488</t>
  </si>
  <si>
    <t>marker_804_755735.png</t>
  </si>
  <si>
    <t>A-490__491</t>
  </si>
  <si>
    <t>marker_330_755778.png</t>
  </si>
  <si>
    <t>A-490__493</t>
  </si>
  <si>
    <t>marker_197_755811.png</t>
  </si>
  <si>
    <t>A-490__496</t>
  </si>
  <si>
    <t>marker_371_755902.png</t>
  </si>
  <si>
    <t>A-490__562</t>
  </si>
  <si>
    <t>marker_914_819203.png</t>
  </si>
  <si>
    <t>A-490__571</t>
  </si>
  <si>
    <t>marker_305_819342.png</t>
  </si>
  <si>
    <t>A-490__621</t>
  </si>
  <si>
    <t>marker_297_820322.png</t>
  </si>
  <si>
    <t>A-492__52</t>
  </si>
  <si>
    <t>marker_429_823028.png</t>
  </si>
  <si>
    <t>A-492__55</t>
  </si>
  <si>
    <t>marker_319_823076.png</t>
  </si>
  <si>
    <t>A-492__56</t>
  </si>
  <si>
    <t>marker_956_823086.png</t>
  </si>
  <si>
    <t>A-492__147</t>
  </si>
  <si>
    <t>marker_219_824758.png</t>
  </si>
  <si>
    <t>A-492__263</t>
  </si>
  <si>
    <t>marker_341_836626.png</t>
  </si>
  <si>
    <t>A-492__268</t>
  </si>
  <si>
    <t>marker_546_836725.png</t>
  </si>
  <si>
    <t>A-492__270</t>
  </si>
  <si>
    <t>marker_730_836750.png</t>
  </si>
  <si>
    <t>A-492__322</t>
  </si>
  <si>
    <t>marker_293_837984.png</t>
  </si>
  <si>
    <t>A-492__339</t>
  </si>
  <si>
    <t>marker_599_838190.png</t>
  </si>
  <si>
    <t>A-492__423</t>
  </si>
  <si>
    <t>marker_617_839448.png</t>
  </si>
  <si>
    <t>A-492__444</t>
  </si>
  <si>
    <t>marker_441_839744.png</t>
  </si>
  <si>
    <t>A-492__475</t>
  </si>
  <si>
    <t>marker_677_840102.png</t>
  </si>
  <si>
    <t>A-492__477</t>
  </si>
  <si>
    <t>marker_336_840122.png</t>
  </si>
  <si>
    <t>A-5050__166</t>
  </si>
  <si>
    <t>marker_374_944331.png</t>
  </si>
  <si>
    <t>A-5050__162</t>
  </si>
  <si>
    <t>marker_251_944669.png</t>
  </si>
  <si>
    <t>A-5052__20</t>
  </si>
  <si>
    <t>marker_201_951472.png</t>
  </si>
  <si>
    <t>A-5052__21</t>
  </si>
  <si>
    <t>marker_225_951484.png</t>
  </si>
  <si>
    <t>A-5052__26</t>
  </si>
  <si>
    <t>marker_171_951547.png</t>
  </si>
  <si>
    <t>A-5052__106</t>
  </si>
  <si>
    <t>marker_581_957744.png</t>
  </si>
  <si>
    <t>A-5052__131</t>
  </si>
  <si>
    <t>marker_221_958121.png</t>
  </si>
  <si>
    <t>A-5052__148</t>
  </si>
  <si>
    <t>marker_224_958456.png</t>
  </si>
  <si>
    <t>A-5052__168</t>
  </si>
  <si>
    <t>marker_766_958935.png</t>
  </si>
  <si>
    <t>A-5052__169</t>
  </si>
  <si>
    <t>marker_403_958944.png</t>
  </si>
  <si>
    <t>A-5052__170</t>
  </si>
  <si>
    <t>marker_689_958953.png</t>
  </si>
  <si>
    <t>A-5052__171</t>
  </si>
  <si>
    <t>marker_922_958965.png</t>
  </si>
  <si>
    <t>A-5052__212</t>
  </si>
  <si>
    <t>marker_358_959614.png</t>
  </si>
  <si>
    <t>A-5052__240</t>
  </si>
  <si>
    <t>marker_859_959946.png</t>
  </si>
  <si>
    <t>A-5052__468</t>
  </si>
  <si>
    <t>marker_977_963373.png</t>
  </si>
  <si>
    <t>A-5052__483</t>
  </si>
  <si>
    <t>marker_824_963522.png</t>
  </si>
  <si>
    <t>A-5053__382</t>
  </si>
  <si>
    <t>marker_316_963825.png</t>
  </si>
  <si>
    <t>A-5053__288</t>
  </si>
  <si>
    <t>marker_275_964976.png</t>
  </si>
  <si>
    <t>A-5053__223</t>
  </si>
  <si>
    <t>marker_857_965662.png</t>
  </si>
  <si>
    <t>A-5053__165</t>
  </si>
  <si>
    <t>marker_281_966239.png</t>
  </si>
  <si>
    <t>A-5053__121</t>
  </si>
  <si>
    <t>marker_342_019592.png</t>
  </si>
  <si>
    <t>A-5053__94</t>
  </si>
  <si>
    <t>marker_891_019870.png</t>
  </si>
  <si>
    <t>A-5053__93</t>
  </si>
  <si>
    <t>marker_445_019879.png</t>
  </si>
  <si>
    <t>A-5053__84</t>
  </si>
  <si>
    <t>marker_433_019974.png</t>
  </si>
  <si>
    <t>A-5053__81</t>
  </si>
  <si>
    <t>marker_132_020001.png</t>
  </si>
  <si>
    <t>A-5053__64</t>
  </si>
  <si>
    <t>marker_679_020764.png</t>
  </si>
  <si>
    <t>A-5053__56</t>
  </si>
  <si>
    <t>marker_862_020923.png</t>
  </si>
  <si>
    <t>A-5053__55</t>
  </si>
  <si>
    <t>marker_994_020932.png</t>
  </si>
  <si>
    <t>A-5053__22</t>
  </si>
  <si>
    <t>marker_389_022884.png</t>
  </si>
  <si>
    <t>A-5053__20</t>
  </si>
  <si>
    <t>marker_677_022902.png</t>
  </si>
  <si>
    <t>A-495__12</t>
  </si>
  <si>
    <t>marker_944_381180.png</t>
  </si>
  <si>
    <t>A-495__16</t>
  </si>
  <si>
    <t>marker_484_381223.png</t>
  </si>
  <si>
    <t>A-495__17</t>
  </si>
  <si>
    <t>marker_153_381234.png</t>
  </si>
  <si>
    <t>A-495__21</t>
  </si>
  <si>
    <t>marker_469_381302.png</t>
  </si>
  <si>
    <t>A-5059__71</t>
  </si>
  <si>
    <t>marker_752_378838.png</t>
  </si>
  <si>
    <t>A-5059__70</t>
  </si>
  <si>
    <t>marker_293_378846.png</t>
  </si>
  <si>
    <t>A-5058__52</t>
  </si>
  <si>
    <t>marker_828_380551.png</t>
  </si>
  <si>
    <t>A-5058__57</t>
  </si>
  <si>
    <t>marker_734_380608.png</t>
  </si>
  <si>
    <t>A-5058__61</t>
  </si>
  <si>
    <t>marker_519_380655.png</t>
  </si>
  <si>
    <t>A-5058__65</t>
  </si>
  <si>
    <t>marker_733_380701.png</t>
  </si>
  <si>
    <t>A-5058__66</t>
  </si>
  <si>
    <t>marker_526_380711.png</t>
  </si>
  <si>
    <t>A-5058__67</t>
  </si>
  <si>
    <t>marker_766_380726.png</t>
  </si>
  <si>
    <t>A-5058__69</t>
  </si>
  <si>
    <t>marker_351_380746.png</t>
  </si>
  <si>
    <t>A-5058__70</t>
  </si>
  <si>
    <t>marker_670_380755.png</t>
  </si>
  <si>
    <t>A-5058__74</t>
  </si>
  <si>
    <t>marker_246_380794.png</t>
  </si>
  <si>
    <t>A-5058__76</t>
  </si>
  <si>
    <t>marker_321_380819.png</t>
  </si>
  <si>
    <t>A-5058__77</t>
  </si>
  <si>
    <t>marker_934_380828.png</t>
  </si>
  <si>
    <t>A-5058__78</t>
  </si>
  <si>
    <t>marker_692_380839.png</t>
  </si>
  <si>
    <t>A-5058__82</t>
  </si>
  <si>
    <t>marker_690_380886.png</t>
  </si>
  <si>
    <t>A-5058__83</t>
  </si>
  <si>
    <t>marker_462_380905.png</t>
  </si>
  <si>
    <t>A-5058__84</t>
  </si>
  <si>
    <t>marker_143_380919.png</t>
  </si>
  <si>
    <t>A-5058__85</t>
  </si>
  <si>
    <t>marker_219_380934.png</t>
  </si>
  <si>
    <t>A-5058__88</t>
  </si>
  <si>
    <t>marker_557_380964.png</t>
  </si>
  <si>
    <t>A-5058__89</t>
  </si>
  <si>
    <t>marker_375_380973.png</t>
  </si>
  <si>
    <t>A-5058__90</t>
  </si>
  <si>
    <t>marker_555_380986.png</t>
  </si>
  <si>
    <t>A-5058__91</t>
  </si>
  <si>
    <t>marker_367_381014.png</t>
  </si>
  <si>
    <t>A-5058__92</t>
  </si>
  <si>
    <t>marker_491_381024.png</t>
  </si>
  <si>
    <t>A-5058__94</t>
  </si>
  <si>
    <t>marker_277_381051.png</t>
  </si>
  <si>
    <t>A-5058__95</t>
  </si>
  <si>
    <t>marker_898_381061.png</t>
  </si>
  <si>
    <t>A-5058__98</t>
  </si>
  <si>
    <t>marker_771_381090.png</t>
  </si>
  <si>
    <t>A-5058__105</t>
  </si>
  <si>
    <t>marker_968_381185.png</t>
  </si>
  <si>
    <t>A-5058__108</t>
  </si>
  <si>
    <t>marker_869_381219.png</t>
  </si>
  <si>
    <t>A-5058__114</t>
  </si>
  <si>
    <t>marker_427_381283.png</t>
  </si>
  <si>
    <t>A-5058__117</t>
  </si>
  <si>
    <t>marker_955_381315.png</t>
  </si>
  <si>
    <t>A-5058__119</t>
  </si>
  <si>
    <t>marker_789_381334.png</t>
  </si>
  <si>
    <t>A-5058__120</t>
  </si>
  <si>
    <t>marker_215_381342.png</t>
  </si>
  <si>
    <t>A-5058__121</t>
  </si>
  <si>
    <t>marker_716_381351.png</t>
  </si>
  <si>
    <t>A-5058__122</t>
  </si>
  <si>
    <t>marker_899_381360.png</t>
  </si>
  <si>
    <t>A-5058__123</t>
  </si>
  <si>
    <t>marker_771_381369.png</t>
  </si>
  <si>
    <t>A-5058__125</t>
  </si>
  <si>
    <t>marker_775_381389.png</t>
  </si>
  <si>
    <t>A-5058__126</t>
  </si>
  <si>
    <t>marker_465_381398.png</t>
  </si>
  <si>
    <t>A-5058__127</t>
  </si>
  <si>
    <t>marker_542_381422.png</t>
  </si>
  <si>
    <t>A-5058__129</t>
  </si>
  <si>
    <t>marker_400_381446.png</t>
  </si>
  <si>
    <t>A-5058__131</t>
  </si>
  <si>
    <t>marker_728_381466.png</t>
  </si>
  <si>
    <t>A-5058__132</t>
  </si>
  <si>
    <t>marker_946_381484.png</t>
  </si>
  <si>
    <t>A-5058__133</t>
  </si>
  <si>
    <t>marker_641_381497.png</t>
  </si>
  <si>
    <t>A-5058__134</t>
  </si>
  <si>
    <t>marker_819_381508.png</t>
  </si>
  <si>
    <t>A-5058__160</t>
  </si>
  <si>
    <t>marker_501_381826.png</t>
  </si>
  <si>
    <t>A-5058__236</t>
  </si>
  <si>
    <t>marker_579_383323.png</t>
  </si>
  <si>
    <t>A-5058__343</t>
  </si>
  <si>
    <t>marker_446_384795.png</t>
  </si>
  <si>
    <t>A-5058__348</t>
  </si>
  <si>
    <t>marker_488_384845.png</t>
  </si>
  <si>
    <t>A-5058__359</t>
  </si>
  <si>
    <t>marker_321_384963.png</t>
  </si>
  <si>
    <t>A-5058__368</t>
  </si>
  <si>
    <t>marker_243_385055.png</t>
  </si>
  <si>
    <t>A-5058__369</t>
  </si>
  <si>
    <t>marker_685_385063.png</t>
  </si>
  <si>
    <t>A-495__5</t>
  </si>
  <si>
    <t>marker_705_381029.png</t>
  </si>
  <si>
    <t>A-495_1__179</t>
  </si>
  <si>
    <t>marker_622_383830.png</t>
  </si>
  <si>
    <t>A-495_1__177</t>
  </si>
  <si>
    <t>marker_322_383925.png</t>
  </si>
  <si>
    <t>A-495_1__176</t>
  </si>
  <si>
    <t>marker_153_383935.png</t>
  </si>
  <si>
    <t>A-495_1__116</t>
  </si>
  <si>
    <t>marker_526_384614.png</t>
  </si>
  <si>
    <t>A-495_1__15</t>
  </si>
  <si>
    <t>marker_269_386179.png</t>
  </si>
  <si>
    <t>A-499__31</t>
  </si>
  <si>
    <t>marker_338_529936.png</t>
  </si>
  <si>
    <t>A-499__32</t>
  </si>
  <si>
    <t>marker_520_529946.png</t>
  </si>
  <si>
    <t>A-499__44</t>
  </si>
  <si>
    <t>marker_753_534801.png</t>
  </si>
  <si>
    <t>A-499__47</t>
  </si>
  <si>
    <t>marker_463_534834.png</t>
  </si>
  <si>
    <t>A-499__53</t>
  </si>
  <si>
    <t>marker_560_534925.png</t>
  </si>
  <si>
    <t>A-499__117</t>
  </si>
  <si>
    <t>marker_393_793542.png</t>
  </si>
  <si>
    <t>A-497_2C__127</t>
  </si>
  <si>
    <t>marker_715_655741.png</t>
  </si>
  <si>
    <t>A-497_2C__144</t>
  </si>
  <si>
    <t>marker_236_655906.png</t>
  </si>
  <si>
    <t>A-497_2C__218</t>
  </si>
  <si>
    <t>marker_626_656735.png</t>
  </si>
  <si>
    <t>A-497__652</t>
  </si>
  <si>
    <t>marker_810_371218.png</t>
  </si>
  <si>
    <t>A-497_2C__298</t>
  </si>
  <si>
    <t>marker_298_320151.png</t>
  </si>
  <si>
    <t>A-497__543</t>
  </si>
  <si>
    <t>marker_667_372349.png</t>
  </si>
  <si>
    <t>A-497_2C__359</t>
  </si>
  <si>
    <t>marker_881_362318.png</t>
  </si>
  <si>
    <t>A-497_2C__360</t>
  </si>
  <si>
    <t>marker_155_362327.png</t>
  </si>
  <si>
    <t>A-497_2C__374</t>
  </si>
  <si>
    <t>marker_578_362533.png</t>
  </si>
  <si>
    <t>A-497_2C__381</t>
  </si>
  <si>
    <t>marker_394_362713.png</t>
  </si>
  <si>
    <t>A-497_2C__404</t>
  </si>
  <si>
    <t>marker_515_362951.png</t>
  </si>
  <si>
    <t>A-497_2C__408</t>
  </si>
  <si>
    <t>marker_425_362990.png</t>
  </si>
  <si>
    <t>A-497_2C__409</t>
  </si>
  <si>
    <t>marker_478_362998.png</t>
  </si>
  <si>
    <t>A-497_2C__413</t>
  </si>
  <si>
    <t>marker_753_363045.png</t>
  </si>
  <si>
    <t>A-497__479</t>
  </si>
  <si>
    <t>marker_139_376319.png</t>
  </si>
  <si>
    <t>A-497__478</t>
  </si>
  <si>
    <t>marker_605_376330.png</t>
  </si>
  <si>
    <t>A-497__476</t>
  </si>
  <si>
    <t>marker_345_376362.png</t>
  </si>
  <si>
    <t>A-497__475</t>
  </si>
  <si>
    <t>marker_467_376372.png</t>
  </si>
  <si>
    <t>A-497__452</t>
  </si>
  <si>
    <t>marker_448_376666.png</t>
  </si>
  <si>
    <t>A-497_2C__520</t>
  </si>
  <si>
    <t>marker_730_364276.png</t>
  </si>
  <si>
    <t>A-497_2C__523</t>
  </si>
  <si>
    <t>marker_260_364363.png</t>
  </si>
  <si>
    <t>A-497_2C__524</t>
  </si>
  <si>
    <t>marker_720_364380.png</t>
  </si>
  <si>
    <t>A-497_2C__530</t>
  </si>
  <si>
    <t>marker_819_364435.png</t>
  </si>
  <si>
    <t>A-497_2C__538</t>
  </si>
  <si>
    <t>marker_525_364520.png</t>
  </si>
  <si>
    <t>A-497_2C__557</t>
  </si>
  <si>
    <t>marker_237_366347.png</t>
  </si>
  <si>
    <t>A-497_2C__572</t>
  </si>
  <si>
    <t>marker_875_366503.png</t>
  </si>
  <si>
    <t>A-497_2C__575</t>
  </si>
  <si>
    <t>marker_649_366529.png</t>
  </si>
  <si>
    <t>A-497__415</t>
  </si>
  <si>
    <t>marker_497_377057.png</t>
  </si>
  <si>
    <t>A-497__387</t>
  </si>
  <si>
    <t>marker_993_377310.png</t>
  </si>
  <si>
    <t>A-497__376</t>
  </si>
  <si>
    <t>marker_898_377405.png</t>
  </si>
  <si>
    <t>A-497__369</t>
  </si>
  <si>
    <t>marker_528_377467.png</t>
  </si>
  <si>
    <t>A-497__368</t>
  </si>
  <si>
    <t>marker_228_377476.png</t>
  </si>
  <si>
    <t>A-497__312</t>
  </si>
  <si>
    <t>marker_738_378051.png</t>
  </si>
  <si>
    <t>A-497__285</t>
  </si>
  <si>
    <t>marker_901_378417.png</t>
  </si>
  <si>
    <t>A-497__267</t>
  </si>
  <si>
    <t>marker_871_378609.png</t>
  </si>
  <si>
    <t>A-497__261</t>
  </si>
  <si>
    <t>marker_319_378667.png</t>
  </si>
  <si>
    <t>A-497__254</t>
  </si>
  <si>
    <t>marker_171_378743.png</t>
  </si>
  <si>
    <t>A-497__252</t>
  </si>
  <si>
    <t>marker_532_378764.png</t>
  </si>
  <si>
    <t>A-497__251</t>
  </si>
  <si>
    <t>marker_167_378773.png</t>
  </si>
  <si>
    <t>A-497__250</t>
  </si>
  <si>
    <t>marker_468_378782.png</t>
  </si>
  <si>
    <t>A-497__240</t>
  </si>
  <si>
    <t>marker_216_378918.png</t>
  </si>
  <si>
    <t>A-497__237</t>
  </si>
  <si>
    <t>marker_672_378943.png</t>
  </si>
  <si>
    <t>A-497__216</t>
  </si>
  <si>
    <t>marker_956_379193.png</t>
  </si>
  <si>
    <t>A-497__215</t>
  </si>
  <si>
    <t>marker_724_379205.png</t>
  </si>
  <si>
    <t>A-497__214</t>
  </si>
  <si>
    <t>marker_847_379215.png</t>
  </si>
  <si>
    <t>A-497__213</t>
  </si>
  <si>
    <t>marker_449_379226.png</t>
  </si>
  <si>
    <t>A-497__211</t>
  </si>
  <si>
    <t>marker_357_379246.png</t>
  </si>
  <si>
    <t>A-497__208</t>
  </si>
  <si>
    <t>marker_682_379278.png</t>
  </si>
  <si>
    <t>A-497__207</t>
  </si>
  <si>
    <t>marker_692_379302.png</t>
  </si>
  <si>
    <t>A-497__157</t>
  </si>
  <si>
    <t>marker_359_380279.png</t>
  </si>
  <si>
    <t>A-497__139</t>
  </si>
  <si>
    <t>marker_539_380450.png</t>
  </si>
  <si>
    <t>A-497__138</t>
  </si>
  <si>
    <t>marker_653_380459.png</t>
  </si>
  <si>
    <t>A-497__137</t>
  </si>
  <si>
    <t>marker_580_380467.png</t>
  </si>
  <si>
    <t>A-497__136</t>
  </si>
  <si>
    <t>marker_526_380477.png</t>
  </si>
  <si>
    <t>A-497__135</t>
  </si>
  <si>
    <t>marker_257_380485.png</t>
  </si>
  <si>
    <t>A-497__134</t>
  </si>
  <si>
    <t>marker_624_380495.png</t>
  </si>
  <si>
    <t>A-490__24</t>
  </si>
  <si>
    <t>marker_174_730754.png</t>
  </si>
  <si>
    <t>A-490__18</t>
  </si>
  <si>
    <t>marker_244_730563.png</t>
  </si>
  <si>
    <t>A-490__214</t>
  </si>
  <si>
    <t>marker_141_742987.png</t>
  </si>
  <si>
    <t>A-490__224</t>
  </si>
  <si>
    <t>marker_722_743676.png</t>
  </si>
  <si>
    <t>A-490__231</t>
  </si>
  <si>
    <t>marker_480_743862.png</t>
  </si>
  <si>
    <t>A-490__245</t>
  </si>
  <si>
    <t>marker_688_749402.png</t>
  </si>
  <si>
    <t>A-490__587</t>
  </si>
  <si>
    <t>marker_908_819577.png</t>
  </si>
  <si>
    <t>A-492__79</t>
  </si>
  <si>
    <t>marker_941_823480.png</t>
  </si>
  <si>
    <t>A-492__82</t>
  </si>
  <si>
    <t>marker_185_823512.png</t>
  </si>
  <si>
    <t>A-492__89</t>
  </si>
  <si>
    <t>marker_967_823605.png</t>
  </si>
  <si>
    <t>A-492__116</t>
  </si>
  <si>
    <t>marker_283_824360.png</t>
  </si>
  <si>
    <t>A-492__470</t>
  </si>
  <si>
    <t>marker_950_840045.png</t>
  </si>
  <si>
    <t>A-495R__44</t>
  </si>
  <si>
    <t>marker_237_935721.png</t>
  </si>
  <si>
    <t>A-497__68</t>
  </si>
  <si>
    <t>marker_679_938063.png</t>
  </si>
  <si>
    <t>A-497__66</t>
  </si>
  <si>
    <t>marker_944_938191.png</t>
  </si>
  <si>
    <t>A-497__65</t>
  </si>
  <si>
    <t>marker_150_938206.png</t>
  </si>
  <si>
    <t>A-497__50</t>
  </si>
  <si>
    <t>marker_989_938394.png</t>
  </si>
  <si>
    <t>A-497__35</t>
  </si>
  <si>
    <t>marker_612_940330.png</t>
  </si>
  <si>
    <t>A-497__26</t>
  </si>
  <si>
    <t>marker_745_940911.png</t>
  </si>
  <si>
    <t>A-5050__117</t>
  </si>
  <si>
    <t>marker_561_946540.png</t>
  </si>
  <si>
    <t>A-5050__116</t>
  </si>
  <si>
    <t>marker_421_946554.png</t>
  </si>
  <si>
    <t>A-5050__104</t>
  </si>
  <si>
    <t>marker_100_946738.png</t>
  </si>
  <si>
    <t>A-5050__80</t>
  </si>
  <si>
    <t>marker_960_948775.png</t>
  </si>
  <si>
    <t>A-5050__76</t>
  </si>
  <si>
    <t>marker_380_948815.png</t>
  </si>
  <si>
    <t>A-5050__43</t>
  </si>
  <si>
    <t>marker_965_949220.png</t>
  </si>
  <si>
    <t>A-5050__42</t>
  </si>
  <si>
    <t>marker_660_949229.png</t>
  </si>
  <si>
    <t>A-5050__41</t>
  </si>
  <si>
    <t>marker_865_949238.png</t>
  </si>
  <si>
    <t>A-5050__39</t>
  </si>
  <si>
    <t>marker_774_949259.png</t>
  </si>
  <si>
    <t>A-5050__38</t>
  </si>
  <si>
    <t>marker_107_949272.png</t>
  </si>
  <si>
    <t>A-5050__37</t>
  </si>
  <si>
    <t>marker_238_949289.png</t>
  </si>
  <si>
    <t>A-5050__36</t>
  </si>
  <si>
    <t>marker_763_949300.png</t>
  </si>
  <si>
    <t>A-5050__34</t>
  </si>
  <si>
    <t>marker_633_949321.png</t>
  </si>
  <si>
    <t>A-5050__33</t>
  </si>
  <si>
    <t>marker_399_949332.png</t>
  </si>
  <si>
    <t>A-5050__32</t>
  </si>
  <si>
    <t>marker_226_949341.png</t>
  </si>
  <si>
    <t>A-5050__26</t>
  </si>
  <si>
    <t>marker_956_949397.png</t>
  </si>
  <si>
    <t>A-5050__14</t>
  </si>
  <si>
    <t>marker_600_949554.png</t>
  </si>
  <si>
    <t>A-5050__13</t>
  </si>
  <si>
    <t>marker_334_949565.png</t>
  </si>
  <si>
    <t>A-5050__10</t>
  </si>
  <si>
    <t>marker_698_949608.png</t>
  </si>
  <si>
    <t>A-5050__3</t>
  </si>
  <si>
    <t>marker_490_949681.png</t>
  </si>
  <si>
    <t>A-5052__3</t>
  </si>
  <si>
    <t>marker_793_949891.png</t>
  </si>
  <si>
    <t>A-5052__10</t>
  </si>
  <si>
    <t>marker_977_950021.png</t>
  </si>
  <si>
    <t>A-5052__53</t>
  </si>
  <si>
    <t>marker_710_956957.png</t>
  </si>
  <si>
    <t>A-5052__55</t>
  </si>
  <si>
    <t>marker_352_956980.png</t>
  </si>
  <si>
    <t>A-5052__103</t>
  </si>
  <si>
    <t>marker_893_957711.png</t>
  </si>
  <si>
    <t>A-5052__213</t>
  </si>
  <si>
    <t>marker_344_959623.png</t>
  </si>
  <si>
    <t>A-5052__251</t>
  </si>
  <si>
    <t>marker_853_960103.png</t>
  </si>
  <si>
    <t>A-5052__252</t>
  </si>
  <si>
    <t>marker_547_960114.png</t>
  </si>
  <si>
    <t>A-5052__263</t>
  </si>
  <si>
    <t>marker_149_960234.png</t>
  </si>
  <si>
    <t>A-5052__275</t>
  </si>
  <si>
    <t>marker_826_960378.png</t>
  </si>
  <si>
    <t>A-5052__277</t>
  </si>
  <si>
    <t>marker_931_960477.png</t>
  </si>
  <si>
    <t>A-5052__273</t>
  </si>
  <si>
    <t>marker_287_960359.png</t>
  </si>
  <si>
    <t>A-5052__297</t>
  </si>
  <si>
    <t>marker_885_960865.png</t>
  </si>
  <si>
    <t>A-5052__334</t>
  </si>
  <si>
    <t>marker_899_961550.png</t>
  </si>
  <si>
    <t>A-5052__335</t>
  </si>
  <si>
    <t>marker_502_961560.png</t>
  </si>
  <si>
    <t>A-5052__338</t>
  </si>
  <si>
    <t>marker_106_961589.png</t>
  </si>
  <si>
    <t>A-5052__348</t>
  </si>
  <si>
    <t>marker_391_961723.png</t>
  </si>
  <si>
    <t>A-5052__356</t>
  </si>
  <si>
    <t>marker_810_961820.png</t>
  </si>
  <si>
    <t>A-5052__357</t>
  </si>
  <si>
    <t>marker_246_961829.png</t>
  </si>
  <si>
    <t>A-5052__358</t>
  </si>
  <si>
    <t>marker_686_961840.png</t>
  </si>
  <si>
    <t>A-5052__359</t>
  </si>
  <si>
    <t>marker_488_961849.png</t>
  </si>
  <si>
    <t>A-5052__370</t>
  </si>
  <si>
    <t>marker_501_962294.png</t>
  </si>
  <si>
    <t>A-5052__381</t>
  </si>
  <si>
    <t>marker_125_962486.png</t>
  </si>
  <si>
    <t>A-5052__384</t>
  </si>
  <si>
    <t>marker_857_962520.png</t>
  </si>
  <si>
    <t>A-5052__391</t>
  </si>
  <si>
    <t>marker_384_962587.png</t>
  </si>
  <si>
    <t>A-5052__395</t>
  </si>
  <si>
    <t>marker_261_962621.png</t>
  </si>
  <si>
    <t>A-5052__398</t>
  </si>
  <si>
    <t>marker_841_962647.png</t>
  </si>
  <si>
    <t>A-5052__399</t>
  </si>
  <si>
    <t>marker_424_962656.png</t>
  </si>
  <si>
    <t>A-5052__405</t>
  </si>
  <si>
    <t>marker_309_962720.png</t>
  </si>
  <si>
    <t>A-5052__406</t>
  </si>
  <si>
    <t>marker_501_962729.png</t>
  </si>
  <si>
    <t>A-5053__329</t>
  </si>
  <si>
    <t>marker_855_964477.png</t>
  </si>
  <si>
    <t>A-5053__327</t>
  </si>
  <si>
    <t>marker_754_964497.png</t>
  </si>
  <si>
    <t>A-5053__326</t>
  </si>
  <si>
    <t>marker_798_964507.png</t>
  </si>
  <si>
    <t>A-5053__316</t>
  </si>
  <si>
    <t>marker_471_964618.png</t>
  </si>
  <si>
    <t>A-5053__302</t>
  </si>
  <si>
    <t>marker_480_964752.png</t>
  </si>
  <si>
    <t>A-5053__299</t>
  </si>
  <si>
    <t>marker_317_964874.png</t>
  </si>
  <si>
    <t>A-5053__294</t>
  </si>
  <si>
    <t>marker_592_964922.png</t>
  </si>
  <si>
    <t>A-5053__280</t>
  </si>
  <si>
    <t>marker_694_965060.png</t>
  </si>
  <si>
    <t>A-5053__278</t>
  </si>
  <si>
    <t>marker_730_965078.png</t>
  </si>
  <si>
    <t>A-5053__270</t>
  </si>
  <si>
    <t>marker_567_965147.png</t>
  </si>
  <si>
    <t>A-5053__268</t>
  </si>
  <si>
    <t>marker_173_965164.png</t>
  </si>
  <si>
    <t>A-5053__250</t>
  </si>
  <si>
    <t>marker_390_965350.png</t>
  </si>
  <si>
    <t>A-5053__249</t>
  </si>
  <si>
    <t>marker_624_965421.png</t>
  </si>
  <si>
    <t>A-5053__246</t>
  </si>
  <si>
    <t>marker_199_965447.png</t>
  </si>
  <si>
    <t>A-5053__242</t>
  </si>
  <si>
    <t>marker_234_965481.png</t>
  </si>
  <si>
    <t>A-5053__237</t>
  </si>
  <si>
    <t>marker_227_965527.png</t>
  </si>
  <si>
    <t>A-5053__236</t>
  </si>
  <si>
    <t>marker_122_965537.png</t>
  </si>
  <si>
    <t>A-5053__216</t>
  </si>
  <si>
    <t>marker_627_965728.png</t>
  </si>
  <si>
    <t>A-5053__210</t>
  </si>
  <si>
    <t>marker_101_965789.png</t>
  </si>
  <si>
    <t>A-5053__205</t>
  </si>
  <si>
    <t>marker_843_965843.png</t>
  </si>
  <si>
    <t>A-5053__199</t>
  </si>
  <si>
    <t>marker_732_965894.png</t>
  </si>
  <si>
    <t>A-5053__154</t>
  </si>
  <si>
    <t>marker_446_966350.png</t>
  </si>
  <si>
    <t>A-5053__148</t>
  </si>
  <si>
    <t>marker_851_966407.png</t>
  </si>
  <si>
    <t>A-5053__147</t>
  </si>
  <si>
    <t>marker_195_966422.png</t>
  </si>
  <si>
    <t>A-5053__146</t>
  </si>
  <si>
    <t>marker_724_966430.png</t>
  </si>
  <si>
    <t>A-5053__145</t>
  </si>
  <si>
    <t>marker_420_966439.png</t>
  </si>
  <si>
    <t>A-5053__144</t>
  </si>
  <si>
    <t>marker_990_966448.png</t>
  </si>
  <si>
    <t>A-5053__142</t>
  </si>
  <si>
    <t>marker_266_966464.png</t>
  </si>
  <si>
    <t>A-5053__141</t>
  </si>
  <si>
    <t>marker_401_966476.png</t>
  </si>
  <si>
    <t>A-5053__40</t>
  </si>
  <si>
    <t>marker_107_021715.png</t>
  </si>
  <si>
    <t>A-5053__39</t>
  </si>
  <si>
    <t>marker_825_021725.png</t>
  </si>
  <si>
    <t>A-5053__34</t>
  </si>
  <si>
    <t>marker_307_021771.png</t>
  </si>
  <si>
    <t>A-5053__33</t>
  </si>
  <si>
    <t>marker_805_021780.png</t>
  </si>
  <si>
    <t>A-5053__32</t>
  </si>
  <si>
    <t>marker_458_021789.png</t>
  </si>
  <si>
    <t>A-5053__31</t>
  </si>
  <si>
    <t>marker_745_021799.png</t>
  </si>
  <si>
    <t>A-5053__30</t>
  </si>
  <si>
    <t>marker_548_021809.png</t>
  </si>
  <si>
    <t>A-5053__27</t>
  </si>
  <si>
    <t>marker_194_022304.png</t>
  </si>
  <si>
    <t>A-5053__24</t>
  </si>
  <si>
    <t>marker_753_022846.png</t>
  </si>
  <si>
    <t>A-5053__13</t>
  </si>
  <si>
    <t>marker_634_025072.png</t>
  </si>
  <si>
    <t>A-5053__9</t>
  </si>
  <si>
    <t>marker_326_025120.png</t>
  </si>
  <si>
    <t>A-5053__8</t>
  </si>
  <si>
    <t>marker_932_025131.png</t>
  </si>
  <si>
    <t>A-5053__2</t>
  </si>
  <si>
    <t>marker_704_025197.png</t>
  </si>
  <si>
    <t>A-5053__1</t>
  </si>
  <si>
    <t>marker_969_025210.png</t>
  </si>
  <si>
    <t>A-495__19</t>
  </si>
  <si>
    <t>marker_973_381254.png</t>
  </si>
  <si>
    <t>A-495__32</t>
  </si>
  <si>
    <t>marker_854_381413.png</t>
  </si>
  <si>
    <t>A-495__35</t>
  </si>
  <si>
    <t>marker_909_381454.png</t>
  </si>
  <si>
    <t>A-495__36</t>
  </si>
  <si>
    <t>marker_132_381463.png</t>
  </si>
  <si>
    <t>A-495__37</t>
  </si>
  <si>
    <t>marker_497_381484.png</t>
  </si>
  <si>
    <t>A-495__38</t>
  </si>
  <si>
    <t>marker_749_381493.png</t>
  </si>
  <si>
    <t>A-495__39</t>
  </si>
  <si>
    <t>marker_906_381502.png</t>
  </si>
  <si>
    <t>A-495__40</t>
  </si>
  <si>
    <t>marker_565_381512.png</t>
  </si>
  <si>
    <t>A-495__41</t>
  </si>
  <si>
    <t>marker_793_381521.png</t>
  </si>
  <si>
    <t>A-495__44</t>
  </si>
  <si>
    <t>marker_843_381554.png</t>
  </si>
  <si>
    <t>A-495__45</t>
  </si>
  <si>
    <t>marker_877_381562.png</t>
  </si>
  <si>
    <t>A-495__46</t>
  </si>
  <si>
    <t>marker_834_381571.png</t>
  </si>
  <si>
    <t>A-495__47</t>
  </si>
  <si>
    <t>marker_127_381581.png</t>
  </si>
  <si>
    <t>A-495__48</t>
  </si>
  <si>
    <t>marker_365_381591.png</t>
  </si>
  <si>
    <t>A-495__50</t>
  </si>
  <si>
    <t>marker_794_381612.png</t>
  </si>
  <si>
    <t>A-495__59</t>
  </si>
  <si>
    <t>marker_821_381702.png</t>
  </si>
  <si>
    <t>A-495__60</t>
  </si>
  <si>
    <t>marker_824_381711.png</t>
  </si>
  <si>
    <t>A-495__66</t>
  </si>
  <si>
    <t>marker_911_381776.png</t>
  </si>
  <si>
    <t>A-495__79</t>
  </si>
  <si>
    <t>marker_318_381921.png</t>
  </si>
  <si>
    <t>A-495__92</t>
  </si>
  <si>
    <t>marker_378_382079.png</t>
  </si>
  <si>
    <t>A-495__93</t>
  </si>
  <si>
    <t>marker_900_382088.png</t>
  </si>
  <si>
    <t>A-495__102</t>
  </si>
  <si>
    <t>marker_208_382173.png</t>
  </si>
  <si>
    <t>A-495__106</t>
  </si>
  <si>
    <t>marker_482_382224.png</t>
  </si>
  <si>
    <t>A-5059__81</t>
  </si>
  <si>
    <t>marker_433_378727.png</t>
  </si>
  <si>
    <t>A-5059__68</t>
  </si>
  <si>
    <t>marker_719_378865.png</t>
  </si>
  <si>
    <t>A-5059__64</t>
  </si>
  <si>
    <t>marker_897_378904.png</t>
  </si>
  <si>
    <t>A-5059__63</t>
  </si>
  <si>
    <t>marker_665_378915.png</t>
  </si>
  <si>
    <t>A-495__130</t>
  </si>
  <si>
    <t>marker_732_382477.png</t>
  </si>
  <si>
    <t>A-5059__40</t>
  </si>
  <si>
    <t>marker_111_379295.png</t>
  </si>
  <si>
    <t>A-5059__38</t>
  </si>
  <si>
    <t>marker_531_379313.png</t>
  </si>
  <si>
    <t>A-5059__30</t>
  </si>
  <si>
    <t>marker_591_379404.png</t>
  </si>
  <si>
    <t>A-5059__27</t>
  </si>
  <si>
    <t>marker_936_379430.png</t>
  </si>
  <si>
    <t>A-495__145</t>
  </si>
  <si>
    <t>marker_157_382623.png</t>
  </si>
  <si>
    <t>A-5059__25</t>
  </si>
  <si>
    <t>marker_850_379448.png</t>
  </si>
  <si>
    <t>A-5059__21</t>
  </si>
  <si>
    <t>marker_405_379482.png</t>
  </si>
  <si>
    <t>A-5059__19</t>
  </si>
  <si>
    <t>marker_862_379500.png</t>
  </si>
  <si>
    <t>A-5059__18</t>
  </si>
  <si>
    <t>marker_181_379509.png</t>
  </si>
  <si>
    <t>A-5059__16</t>
  </si>
  <si>
    <t>marker_922_379525.png</t>
  </si>
  <si>
    <t>A-5059__13</t>
  </si>
  <si>
    <t>marker_381_379554.png</t>
  </si>
  <si>
    <t>A-5059__7</t>
  </si>
  <si>
    <t>marker_521_379608.png</t>
  </si>
  <si>
    <t>A-5059__6</t>
  </si>
  <si>
    <t>marker_959_379616.png</t>
  </si>
  <si>
    <t>A-5059__3</t>
  </si>
  <si>
    <t>marker_833_379646.png</t>
  </si>
  <si>
    <t>A-495__156</t>
  </si>
  <si>
    <t>marker_862_382752.png</t>
  </si>
  <si>
    <t>A-495__157</t>
  </si>
  <si>
    <t>marker_706_382763.png</t>
  </si>
  <si>
    <t>A-5058__9</t>
  </si>
  <si>
    <t>marker_190_379899.png</t>
  </si>
  <si>
    <t>A-5058__11</t>
  </si>
  <si>
    <t>marker_523_379917.png</t>
  </si>
  <si>
    <t>A-5058__12</t>
  </si>
  <si>
    <t>marker_518_379927.png</t>
  </si>
  <si>
    <t>A-5058__16</t>
  </si>
  <si>
    <t>marker_762_380001.png</t>
  </si>
  <si>
    <t>A-5058__19</t>
  </si>
  <si>
    <t>marker_576_380048.png</t>
  </si>
  <si>
    <t>A-5058__20</t>
  </si>
  <si>
    <t>marker_381_380056.png</t>
  </si>
  <si>
    <t>A-5058__21</t>
  </si>
  <si>
    <t>marker_207_380082.png</t>
  </si>
  <si>
    <t>A-5058__23</t>
  </si>
  <si>
    <t>marker_268_380107.png</t>
  </si>
  <si>
    <t>A-5058__28</t>
  </si>
  <si>
    <t>marker_323_380169.png</t>
  </si>
  <si>
    <t>A-5058__30</t>
  </si>
  <si>
    <t>marker_916_380191.png</t>
  </si>
  <si>
    <t>A-495__167</t>
  </si>
  <si>
    <t>marker_855_382883.png</t>
  </si>
  <si>
    <t>A-5058__36</t>
  </si>
  <si>
    <t>marker_453_380254.png</t>
  </si>
  <si>
    <t>A-5058__41</t>
  </si>
  <si>
    <t>marker_267_380312.png</t>
  </si>
  <si>
    <t>A-5058__59</t>
  </si>
  <si>
    <t>marker_910_380634.png</t>
  </si>
  <si>
    <t>A-5058__73</t>
  </si>
  <si>
    <t>marker_447_380784.png</t>
  </si>
  <si>
    <t>A-5058__80</t>
  </si>
  <si>
    <t>marker_770_380860.png</t>
  </si>
  <si>
    <t>A-5058__81</t>
  </si>
  <si>
    <t>marker_320_380872.png</t>
  </si>
  <si>
    <t>A-5058__102</t>
  </si>
  <si>
    <t>marker_302_381139.png</t>
  </si>
  <si>
    <t>A-5058__103</t>
  </si>
  <si>
    <t>marker_350_381152.png</t>
  </si>
  <si>
    <t>A-5058__111</t>
  </si>
  <si>
    <t>marker_686_381249.png</t>
  </si>
  <si>
    <t>A-5058__118</t>
  </si>
  <si>
    <t>marker_937_381324.png</t>
  </si>
  <si>
    <t>A-5058__135</t>
  </si>
  <si>
    <t>marker_535_381518.png</t>
  </si>
  <si>
    <t>A-5058__141</t>
  </si>
  <si>
    <t>marker_490_381597.png</t>
  </si>
  <si>
    <t>A-5058__145</t>
  </si>
  <si>
    <t>marker_940_381641.png</t>
  </si>
  <si>
    <t>A-5058__149</t>
  </si>
  <si>
    <t>marker_592_381691.png</t>
  </si>
  <si>
    <t>A-5058__151</t>
  </si>
  <si>
    <t>marker_984_381718.png</t>
  </si>
  <si>
    <t>A-5058__152</t>
  </si>
  <si>
    <t>marker_515_381731.png</t>
  </si>
  <si>
    <t>A-5058__154</t>
  </si>
  <si>
    <t>marker_753_381750.png</t>
  </si>
  <si>
    <t>A-5058__157</t>
  </si>
  <si>
    <t>marker_896_381776.png</t>
  </si>
  <si>
    <t>A-5058__158</t>
  </si>
  <si>
    <t>marker_858_381802.png</t>
  </si>
  <si>
    <t>A-5058__159</t>
  </si>
  <si>
    <t>marker_888_381815.png</t>
  </si>
  <si>
    <t>A-5058__161</t>
  </si>
  <si>
    <t>marker_277_381834.png</t>
  </si>
  <si>
    <t>A-5058__162</t>
  </si>
  <si>
    <t>marker_395_381843.png</t>
  </si>
  <si>
    <t>A-5058__164</t>
  </si>
  <si>
    <t>marker_201_381865.png</t>
  </si>
  <si>
    <t>A-5058__167</t>
  </si>
  <si>
    <t>marker_844_382002.png</t>
  </si>
  <si>
    <t>A-5058__173</t>
  </si>
  <si>
    <t>marker_833_382428.png</t>
  </si>
  <si>
    <t>A-5058__175</t>
  </si>
  <si>
    <t>marker_993_382465.png</t>
  </si>
  <si>
    <t>A-5058__177</t>
  </si>
  <si>
    <t>marker_800_382486.png</t>
  </si>
  <si>
    <t>A-5058__181</t>
  </si>
  <si>
    <t>marker_427_382671.png</t>
  </si>
  <si>
    <t>A-5058__192</t>
  </si>
  <si>
    <t>marker_747_382803.png</t>
  </si>
  <si>
    <t>A-5058__202</t>
  </si>
  <si>
    <t>marker_318_382911.png</t>
  </si>
  <si>
    <t>A-5058__225</t>
  </si>
  <si>
    <t>marker_972_383191.png</t>
  </si>
  <si>
    <t>A-5058__230</t>
  </si>
  <si>
    <t>marker_987_383249.png</t>
  </si>
  <si>
    <t>A-5058__233</t>
  </si>
  <si>
    <t>marker_508_383292.png</t>
  </si>
  <si>
    <t>A-5058__234</t>
  </si>
  <si>
    <t>marker_710_383301.png</t>
  </si>
  <si>
    <t>A-5058__235</t>
  </si>
  <si>
    <t>marker_551_383311.png</t>
  </si>
  <si>
    <t>A-5058__263</t>
  </si>
  <si>
    <t>marker_105_383712.png</t>
  </si>
  <si>
    <t>A-5058__270</t>
  </si>
  <si>
    <t>marker_347_383919.png</t>
  </si>
  <si>
    <t>A-5058__271</t>
  </si>
  <si>
    <t>marker_983_383928.png</t>
  </si>
  <si>
    <t>A-5058__272</t>
  </si>
  <si>
    <t>marker_856_383943.png</t>
  </si>
  <si>
    <t>A-5058__275</t>
  </si>
  <si>
    <t>marker_426_383976.png</t>
  </si>
  <si>
    <t>A-5058__277</t>
  </si>
  <si>
    <t>marker_840_383999.png</t>
  </si>
  <si>
    <t>A-5058__290</t>
  </si>
  <si>
    <t>marker_326_384145.png</t>
  </si>
  <si>
    <t>A-5058__293</t>
  </si>
  <si>
    <t>marker_904_384182.png</t>
  </si>
  <si>
    <t>A-5058__304</t>
  </si>
  <si>
    <t>marker_577_384321.png</t>
  </si>
  <si>
    <t>A-5058__305</t>
  </si>
  <si>
    <t>marker_911_384333.png</t>
  </si>
  <si>
    <t>A-5058__308</t>
  </si>
  <si>
    <t>marker_895_384375.png</t>
  </si>
  <si>
    <t>A-5058__309</t>
  </si>
  <si>
    <t>marker_603_384385.png</t>
  </si>
  <si>
    <t>A-5058__311</t>
  </si>
  <si>
    <t>marker_252_384402.png</t>
  </si>
  <si>
    <t>A-5058__327</t>
  </si>
  <si>
    <t>marker_870_384583.png</t>
  </si>
  <si>
    <t>A-5058__332</t>
  </si>
  <si>
    <t>marker_449_384655.png</t>
  </si>
  <si>
    <t>A-5058__337</t>
  </si>
  <si>
    <t>marker_331_384722.png</t>
  </si>
  <si>
    <t>A-5058__342</t>
  </si>
  <si>
    <t>marker_962_384785.png</t>
  </si>
  <si>
    <t>A-5058__376</t>
  </si>
  <si>
    <t>marker_550_385144.png</t>
  </si>
  <si>
    <t>A-5058__383</t>
  </si>
  <si>
    <t>marker_160_385241.png</t>
  </si>
  <si>
    <t>A-5058__390</t>
  </si>
  <si>
    <t>marker_400_385305.png</t>
  </si>
  <si>
    <t>A-5058__393</t>
  </si>
  <si>
    <t>marker_252_385332.png</t>
  </si>
  <si>
    <t>A-5058__396</t>
  </si>
  <si>
    <t>marker_601_385377.png</t>
  </si>
  <si>
    <t>A-5058__400</t>
  </si>
  <si>
    <t>marker_855_388064.png</t>
  </si>
  <si>
    <t>A-5058__407</t>
  </si>
  <si>
    <t>marker_992_388618.png</t>
  </si>
  <si>
    <t>A-5058__408</t>
  </si>
  <si>
    <t>marker_419_388627.png</t>
  </si>
  <si>
    <t>A-5058__434</t>
  </si>
  <si>
    <t>marker_967_388901.png</t>
  </si>
  <si>
    <t>A-5058__443</t>
  </si>
  <si>
    <t>marker_930_389011.png</t>
  </si>
  <si>
    <t>A-5058__445</t>
  </si>
  <si>
    <t>marker_417_389029.png</t>
  </si>
  <si>
    <t>A-5058__453</t>
  </si>
  <si>
    <t>marker_629_389121.png</t>
  </si>
  <si>
    <t>A-495__8</t>
  </si>
  <si>
    <t>marker_990_381057.png</t>
  </si>
  <si>
    <t>A-495__9</t>
  </si>
  <si>
    <t>marker_931_381150.png</t>
  </si>
  <si>
    <t>A-495_1__193</t>
  </si>
  <si>
    <t>marker_950_383702.png</t>
  </si>
  <si>
    <t>A-495_1__178</t>
  </si>
  <si>
    <t>marker_323_383910.png</t>
  </si>
  <si>
    <t>A-495_1__168</t>
  </si>
  <si>
    <t>marker_814_384011.png</t>
  </si>
  <si>
    <t>A-495_1__138</t>
  </si>
  <si>
    <t>marker_630_384391.png</t>
  </si>
  <si>
    <t>A-495_1__111</t>
  </si>
  <si>
    <t>marker_519_384711.png</t>
  </si>
  <si>
    <t>A-495_1__99</t>
  </si>
  <si>
    <t>marker_714_385051.png</t>
  </si>
  <si>
    <t>A-495_1__16</t>
  </si>
  <si>
    <t>marker_157_386170.png</t>
  </si>
  <si>
    <t>A-495_1__14</t>
  </si>
  <si>
    <t>marker_526_386187.png</t>
  </si>
  <si>
    <t>A-495_1__6</t>
  </si>
  <si>
    <t>marker_498_386264.png</t>
  </si>
  <si>
    <t>A-499__65</t>
  </si>
  <si>
    <t>marker_842_535124.png</t>
  </si>
  <si>
    <t>A-499__91</t>
  </si>
  <si>
    <t>marker_122_790026.png</t>
  </si>
  <si>
    <t>A-497__835</t>
  </si>
  <si>
    <t>marker_245_367597.png</t>
  </si>
  <si>
    <t>A-497__833</t>
  </si>
  <si>
    <t>marker_226_367617.png</t>
  </si>
  <si>
    <t>A-497__830</t>
  </si>
  <si>
    <t>marker_636_367648.png</t>
  </si>
  <si>
    <t>A-497__829</t>
  </si>
  <si>
    <t>marker_715_367657.png</t>
  </si>
  <si>
    <t>A-497__827</t>
  </si>
  <si>
    <t>marker_557_367675.png</t>
  </si>
  <si>
    <t>A-497__823</t>
  </si>
  <si>
    <t>marker_891_367721.png</t>
  </si>
  <si>
    <t>A-497__821</t>
  </si>
  <si>
    <t>marker_140_367744.png</t>
  </si>
  <si>
    <t>A-497__820</t>
  </si>
  <si>
    <t>marker_171_367754.png</t>
  </si>
  <si>
    <t>A-497__819</t>
  </si>
  <si>
    <t>marker_477_367765.png</t>
  </si>
  <si>
    <t>A-497__817</t>
  </si>
  <si>
    <t>marker_363_367783.png</t>
  </si>
  <si>
    <t>A-497__806</t>
  </si>
  <si>
    <t>marker_285_367891.png</t>
  </si>
  <si>
    <t>A-497__782</t>
  </si>
  <si>
    <t>marker_229_368142.png</t>
  </si>
  <si>
    <t>A-497__780</t>
  </si>
  <si>
    <t>marker_688_368161.png</t>
  </si>
  <si>
    <t>A-497__776</t>
  </si>
  <si>
    <t>marker_930_368220.png</t>
  </si>
  <si>
    <t>A-497__775</t>
  </si>
  <si>
    <t>marker_973_368232.png</t>
  </si>
  <si>
    <t>A-497__771</t>
  </si>
  <si>
    <t>marker_747_368290.png</t>
  </si>
  <si>
    <t>A-497_2C__2</t>
  </si>
  <si>
    <t>marker_869_653737.png</t>
  </si>
  <si>
    <t>A-497_2C__3</t>
  </si>
  <si>
    <t>marker_310_653748.png</t>
  </si>
  <si>
    <t>A-497_2C__23</t>
  </si>
  <si>
    <t>marker_148_654416.png</t>
  </si>
  <si>
    <t>A-497_2C__26</t>
  </si>
  <si>
    <t>marker_861_654443.png</t>
  </si>
  <si>
    <t>A-497_2C__57</t>
  </si>
  <si>
    <t>marker_835_654821.png</t>
  </si>
  <si>
    <t>A-497_2C__68</t>
  </si>
  <si>
    <t>marker_980_654946.png</t>
  </si>
  <si>
    <t>A-497_2C__70</t>
  </si>
  <si>
    <t>marker_251_655038.png</t>
  </si>
  <si>
    <t>A-497_2C__72</t>
  </si>
  <si>
    <t>marker_876_655056.png</t>
  </si>
  <si>
    <t>A-497_2C__74</t>
  </si>
  <si>
    <t>marker_530_655073.png</t>
  </si>
  <si>
    <t>A-497_2C__82</t>
  </si>
  <si>
    <t>marker_383_655169.png</t>
  </si>
  <si>
    <t>A-497_2C__83</t>
  </si>
  <si>
    <t>marker_917_655178.png</t>
  </si>
  <si>
    <t>A-497_2C__85</t>
  </si>
  <si>
    <t>marker_104_655212.png</t>
  </si>
  <si>
    <t>A-497_2C__86</t>
  </si>
  <si>
    <t>marker_160_655224.png</t>
  </si>
  <si>
    <t>A-497_2C__96</t>
  </si>
  <si>
    <t>marker_953_655367.png</t>
  </si>
  <si>
    <t>A-497_2C__97</t>
  </si>
  <si>
    <t>marker_294_655376.png</t>
  </si>
  <si>
    <t>A-497_2C__100</t>
  </si>
  <si>
    <t>marker_258_655441.png</t>
  </si>
  <si>
    <t>A-497_2C__103</t>
  </si>
  <si>
    <t>marker_440_655469.png</t>
  </si>
  <si>
    <t>A-497_2C__106</t>
  </si>
  <si>
    <t>marker_945_655497.png</t>
  </si>
  <si>
    <t>A-497_2C__121</t>
  </si>
  <si>
    <t>marker_388_655690.png</t>
  </si>
  <si>
    <t>A-497_2C__122</t>
  </si>
  <si>
    <t>marker_377_655698.png</t>
  </si>
  <si>
    <t>A-497_2C__138</t>
  </si>
  <si>
    <t>marker_787_655856.png</t>
  </si>
  <si>
    <t>A-497_2C__140</t>
  </si>
  <si>
    <t>marker_232_655872.png</t>
  </si>
  <si>
    <t>A-497_2C__142</t>
  </si>
  <si>
    <t>marker_251_655889.png</t>
  </si>
  <si>
    <t>A-497_2C__149</t>
  </si>
  <si>
    <t>marker_158_655968.png</t>
  </si>
  <si>
    <t>A-497__747</t>
  </si>
  <si>
    <t>marker_865_368735.png</t>
  </si>
  <si>
    <t>A-497__746</t>
  </si>
  <si>
    <t>marker_504_368746.png</t>
  </si>
  <si>
    <t>A-497_2C__153</t>
  </si>
  <si>
    <t>marker_609_656033.png</t>
  </si>
  <si>
    <t>A-497_2C__164</t>
  </si>
  <si>
    <t>marker_379_656138.png</t>
  </si>
  <si>
    <t>A-497__725</t>
  </si>
  <si>
    <t>marker_138_369012.png</t>
  </si>
  <si>
    <t>A-497__724</t>
  </si>
  <si>
    <t>marker_788_369022.png</t>
  </si>
  <si>
    <t>A-497_2C__165</t>
  </si>
  <si>
    <t>marker_269_656147.png</t>
  </si>
  <si>
    <t>A-497__718</t>
  </si>
  <si>
    <t>marker_818_369080.png</t>
  </si>
  <si>
    <t>A-497__717</t>
  </si>
  <si>
    <t>marker_552_369090.png</t>
  </si>
  <si>
    <t>A-497__716</t>
  </si>
  <si>
    <t>marker_840_369100.png</t>
  </si>
  <si>
    <t>A-497_2C__176</t>
  </si>
  <si>
    <t>marker_909_656258.png</t>
  </si>
  <si>
    <t>A-497_2C__177</t>
  </si>
  <si>
    <t>marker_881_656267.png</t>
  </si>
  <si>
    <t>A-497_2C__178</t>
  </si>
  <si>
    <t>marker_347_656312.png</t>
  </si>
  <si>
    <t>A-497_2C__180</t>
  </si>
  <si>
    <t>marker_742_656329.png</t>
  </si>
  <si>
    <t>A-497__713</t>
  </si>
  <si>
    <t>marker_198_369141.png</t>
  </si>
  <si>
    <t>A-497_2C__181</t>
  </si>
  <si>
    <t>marker_792_656338.png</t>
  </si>
  <si>
    <t>A-497_2C__182</t>
  </si>
  <si>
    <t>marker_392_656346.png</t>
  </si>
  <si>
    <t>A-497__711</t>
  </si>
  <si>
    <t>marker_159_369166.png</t>
  </si>
  <si>
    <t>A-497_2C__183</t>
  </si>
  <si>
    <t>marker_119_656355.png</t>
  </si>
  <si>
    <t>A-497__707</t>
  </si>
  <si>
    <t>marker_862_370307.png</t>
  </si>
  <si>
    <t>A-497_2C__188</t>
  </si>
  <si>
    <t>marker_949_656401.png</t>
  </si>
  <si>
    <t>A-497_2C__190</t>
  </si>
  <si>
    <t>marker_338_656422.png</t>
  </si>
  <si>
    <t>A-497__701</t>
  </si>
  <si>
    <t>marker_444_370368.png</t>
  </si>
  <si>
    <t>A-497__700</t>
  </si>
  <si>
    <t>marker_671_370377.png</t>
  </si>
  <si>
    <t>A-497_2C__215</t>
  </si>
  <si>
    <t>marker_319_656702.png</t>
  </si>
  <si>
    <t>A-497_2C__216</t>
  </si>
  <si>
    <t>marker_658_656711.png</t>
  </si>
  <si>
    <t>A-497__688</t>
  </si>
  <si>
    <t>marker_125_370494.png</t>
  </si>
  <si>
    <t>A-497__686</t>
  </si>
  <si>
    <t>marker_969_370512.png</t>
  </si>
  <si>
    <t>A-497_2C__226</t>
  </si>
  <si>
    <t>marker_668_656848.png</t>
  </si>
  <si>
    <t>A-497_2C__228</t>
  </si>
  <si>
    <t>marker_619_656865.png</t>
  </si>
  <si>
    <t>A-497_2C__229</t>
  </si>
  <si>
    <t>marker_198_656873.png</t>
  </si>
  <si>
    <t>A-497_2C__230</t>
  </si>
  <si>
    <t>marker_967_656882.png</t>
  </si>
  <si>
    <t>A-497_2C__250</t>
  </si>
  <si>
    <t>marker_381_319401.png</t>
  </si>
  <si>
    <t>A-497_2C__254</t>
  </si>
  <si>
    <t>marker_530_319441.png</t>
  </si>
  <si>
    <t>A-497_2C__255</t>
  </si>
  <si>
    <t>marker_961_319523.png</t>
  </si>
  <si>
    <t>A-497_2C__260</t>
  </si>
  <si>
    <t>marker_797_319590.png</t>
  </si>
  <si>
    <t>A-497_2C__261</t>
  </si>
  <si>
    <t>marker_954_319599.png</t>
  </si>
  <si>
    <t>A-497__637</t>
  </si>
  <si>
    <t>marker_454_371362.png</t>
  </si>
  <si>
    <t>A-497__625</t>
  </si>
  <si>
    <t>marker_115_371475.png</t>
  </si>
  <si>
    <t>A-497__624</t>
  </si>
  <si>
    <t>marker_527_371484.png</t>
  </si>
  <si>
    <t>A-497__623</t>
  </si>
  <si>
    <t>marker_183_371499.png</t>
  </si>
  <si>
    <t>A-497__600</t>
  </si>
  <si>
    <t>marker_398_371712.png</t>
  </si>
  <si>
    <t>A-497__598</t>
  </si>
  <si>
    <t>marker_935_371731.png</t>
  </si>
  <si>
    <t>A-497_2C__269</t>
  </si>
  <si>
    <t>marker_126_319733.png</t>
  </si>
  <si>
    <t>A-497_2C__270</t>
  </si>
  <si>
    <t>marker_647_319744.png</t>
  </si>
  <si>
    <t>A-497_2C__277</t>
  </si>
  <si>
    <t>marker_525_319836.png</t>
  </si>
  <si>
    <t>A-497_2C__278</t>
  </si>
  <si>
    <t>marker_381_319861.png</t>
  </si>
  <si>
    <t>A-497_2C__279</t>
  </si>
  <si>
    <t>marker_417_319872.png</t>
  </si>
  <si>
    <t>A-497_2C__280</t>
  </si>
  <si>
    <t>marker_878_319891.png</t>
  </si>
  <si>
    <t>A-497_2C__281</t>
  </si>
  <si>
    <t>marker_449_319900.png</t>
  </si>
  <si>
    <t>A-497_2C__285</t>
  </si>
  <si>
    <t>marker_840_319957.png</t>
  </si>
  <si>
    <t>A-497_2C__287</t>
  </si>
  <si>
    <t>marker_454_320040.png</t>
  </si>
  <si>
    <t>A-497_2C__288</t>
  </si>
  <si>
    <t>marker_466_320050.png</t>
  </si>
  <si>
    <t>A-497__573</t>
  </si>
  <si>
    <t>marker_502_371992.png</t>
  </si>
  <si>
    <t>A-497__567</t>
  </si>
  <si>
    <t>marker_649_372070.png</t>
  </si>
  <si>
    <t>A-497__560</t>
  </si>
  <si>
    <t>marker_642_372144.png</t>
  </si>
  <si>
    <t>A-497_2C__315</t>
  </si>
  <si>
    <t>marker_676_361879.png</t>
  </si>
  <si>
    <t>A-497_2C__318</t>
  </si>
  <si>
    <t>marker_566_361910.png</t>
  </si>
  <si>
    <t>A-497_2C__320</t>
  </si>
  <si>
    <t>marker_245_361930.png</t>
  </si>
  <si>
    <t>A-497_2C__323</t>
  </si>
  <si>
    <t>marker_525_361957.png</t>
  </si>
  <si>
    <t>A-497_2C__328</t>
  </si>
  <si>
    <t>marker_262_361999.png</t>
  </si>
  <si>
    <t>A-497_2C__334</t>
  </si>
  <si>
    <t>marker_319_362055.png</t>
  </si>
  <si>
    <t>A-497_2C__339</t>
  </si>
  <si>
    <t>marker_713_362118.png</t>
  </si>
  <si>
    <t>A-497_2C__341</t>
  </si>
  <si>
    <t>marker_461_362137.png</t>
  </si>
  <si>
    <t>A-497_2C__342</t>
  </si>
  <si>
    <t>marker_753_362147.png</t>
  </si>
  <si>
    <t>A-497_2C__346</t>
  </si>
  <si>
    <t>marker_182_362184.png</t>
  </si>
  <si>
    <t>A-497__531</t>
  </si>
  <si>
    <t>marker_895_372493.png</t>
  </si>
  <si>
    <t>A-497_2C__351</t>
  </si>
  <si>
    <t>marker_881_362240.png</t>
  </si>
  <si>
    <t>A-497_2C__353</t>
  </si>
  <si>
    <t>marker_559_362258.png</t>
  </si>
  <si>
    <t>A-497_2C__355</t>
  </si>
  <si>
    <t>marker_718_362279.png</t>
  </si>
  <si>
    <t>A-497_2C__356</t>
  </si>
  <si>
    <t>marker_627_362292.png</t>
  </si>
  <si>
    <t>A-497_2C__357</t>
  </si>
  <si>
    <t>marker_967_362301.png</t>
  </si>
  <si>
    <t>A-497_2C__358</t>
  </si>
  <si>
    <t>marker_885_362310.png</t>
  </si>
  <si>
    <t>A-497__522</t>
  </si>
  <si>
    <t>marker_716_372576.png</t>
  </si>
  <si>
    <t>A-497__516</t>
  </si>
  <si>
    <t>marker_841_372634.png</t>
  </si>
  <si>
    <t>A-497_2C__383</t>
  </si>
  <si>
    <t>marker_980_362730.png</t>
  </si>
  <si>
    <t>A-497_2C__384</t>
  </si>
  <si>
    <t>marker_158_362740.png</t>
  </si>
  <si>
    <t>A-497_2C__385</t>
  </si>
  <si>
    <t>marker_619_362749.png</t>
  </si>
  <si>
    <t>A-497_2C__386</t>
  </si>
  <si>
    <t>marker_934_362758.png</t>
  </si>
  <si>
    <t>A-497_2C__387</t>
  </si>
  <si>
    <t>marker_528_362770.png</t>
  </si>
  <si>
    <t>A-497_2C__388</t>
  </si>
  <si>
    <t>marker_708_362781.png</t>
  </si>
  <si>
    <t>A-497_2C__390</t>
  </si>
  <si>
    <t>marker_987_362808.png</t>
  </si>
  <si>
    <t>A-497_2C__391</t>
  </si>
  <si>
    <t>marker_959_362817.png</t>
  </si>
  <si>
    <t>A-497__508</t>
  </si>
  <si>
    <t>marker_802_372712.png</t>
  </si>
  <si>
    <t>A-497__504</t>
  </si>
  <si>
    <t>marker_399_375962.png</t>
  </si>
  <si>
    <t>A-497__501</t>
  </si>
  <si>
    <t>marker_518_376075.png</t>
  </si>
  <si>
    <t>A-497__499</t>
  </si>
  <si>
    <t>marker_863_376107.png</t>
  </si>
  <si>
    <t>A-497__497</t>
  </si>
  <si>
    <t>marker_976_376132.png</t>
  </si>
  <si>
    <t>A-497_2C__454</t>
  </si>
  <si>
    <t>marker_616_363456.png</t>
  </si>
  <si>
    <t>A-497_2C__455</t>
  </si>
  <si>
    <t>marker_402_363464.png</t>
  </si>
  <si>
    <t>A-497_2C__456</t>
  </si>
  <si>
    <t>marker_847_363475.png</t>
  </si>
  <si>
    <t>A-497_2C__462</t>
  </si>
  <si>
    <t>marker_461_363555.png</t>
  </si>
  <si>
    <t>A-497_2C__466</t>
  </si>
  <si>
    <t>marker_122_363600.png</t>
  </si>
  <si>
    <t>A-497_2C__469</t>
  </si>
  <si>
    <t>marker_338_363628.png</t>
  </si>
  <si>
    <t>A-497_2C__473</t>
  </si>
  <si>
    <t>marker_847_363678.png</t>
  </si>
  <si>
    <t>A-497_2C__476</t>
  </si>
  <si>
    <t>marker_179_363716.png</t>
  </si>
  <si>
    <t>A-497_2C__481</t>
  </si>
  <si>
    <t>marker_823_363781.png</t>
  </si>
  <si>
    <t>A-497_2C__482</t>
  </si>
  <si>
    <t>marker_598_363792.png</t>
  </si>
  <si>
    <t>A-497_2C__483</t>
  </si>
  <si>
    <t>marker_416_363804.png</t>
  </si>
  <si>
    <t>A-497_2C__486</t>
  </si>
  <si>
    <t>marker_694_363832.png</t>
  </si>
  <si>
    <t>A-497_2C__540</t>
  </si>
  <si>
    <t>marker_848_364541.png</t>
  </si>
  <si>
    <t>A-497_2C__542</t>
  </si>
  <si>
    <t>marker_245_364607.png</t>
  </si>
  <si>
    <t>A-497_2C__545</t>
  </si>
  <si>
    <t>marker_945_364628.png</t>
  </si>
  <si>
    <t>A-497_2C__546</t>
  </si>
  <si>
    <t>marker_377_364644.png</t>
  </si>
  <si>
    <t>A-497_2C__547</t>
  </si>
  <si>
    <t>marker_720_364655.png</t>
  </si>
  <si>
    <t>A-497_2C__549</t>
  </si>
  <si>
    <t>marker_812_364675.png</t>
  </si>
  <si>
    <t>A-497_2C__552</t>
  </si>
  <si>
    <t>marker_695_364702.png</t>
  </si>
  <si>
    <t>A-497_2C__558</t>
  </si>
  <si>
    <t>marker_349_366355.png</t>
  </si>
  <si>
    <t>A-497_2C__563</t>
  </si>
  <si>
    <t>marker_381_366416.png</t>
  </si>
  <si>
    <t>A-497_2C__566</t>
  </si>
  <si>
    <t>marker_352_366449.png</t>
  </si>
  <si>
    <t>A-497_2C__567</t>
  </si>
  <si>
    <t>marker_628_366459.png</t>
  </si>
  <si>
    <t>A-497_2C__568</t>
  </si>
  <si>
    <t>marker_919_366467.png</t>
  </si>
  <si>
    <t>A-497_2C__570</t>
  </si>
  <si>
    <t>marker_522_366485.png</t>
  </si>
  <si>
    <t>A-497_2C__571</t>
  </si>
  <si>
    <t>marker_629_366495.png</t>
  </si>
  <si>
    <t>A-497_2C__578</t>
  </si>
  <si>
    <t>marker_956_366555.png</t>
  </si>
  <si>
    <t>A-497_2C__580</t>
  </si>
  <si>
    <t>marker_373_366571.png</t>
  </si>
  <si>
    <t>A-497_2C__581</t>
  </si>
  <si>
    <t>marker_919_366579.png</t>
  </si>
  <si>
    <t>A-497_2C__582</t>
  </si>
  <si>
    <t>marker_708_366592.png</t>
  </si>
  <si>
    <t>A-497_2C__583</t>
  </si>
  <si>
    <t>marker_284_366601.png</t>
  </si>
  <si>
    <t>A-497_2C__586</t>
  </si>
  <si>
    <t>marker_481_366624.png</t>
  </si>
  <si>
    <t>A-497_2C__587</t>
  </si>
  <si>
    <t>marker_891_366639.png</t>
  </si>
  <si>
    <t>A-497_2C__589</t>
  </si>
  <si>
    <t>marker_450_366662.png</t>
  </si>
  <si>
    <t>A-497_2C__590</t>
  </si>
  <si>
    <t>marker_283_366671.png</t>
  </si>
  <si>
    <t>A-497_2C__593</t>
  </si>
  <si>
    <t>marker_782_366699.png</t>
  </si>
  <si>
    <t>A-497_2C__594</t>
  </si>
  <si>
    <t>marker_721_366707.png</t>
  </si>
  <si>
    <t>A-497_2C__596</t>
  </si>
  <si>
    <t>marker_665_366726.png</t>
  </si>
  <si>
    <t>A-497_2C__598</t>
  </si>
  <si>
    <t>marker_860_366742.png</t>
  </si>
  <si>
    <t>A-497_2C__599</t>
  </si>
  <si>
    <t>marker_124_366754.png</t>
  </si>
  <si>
    <t>A-497_2C__603</t>
  </si>
  <si>
    <t>marker_226_366794.png</t>
  </si>
  <si>
    <t>A-497_2C__604</t>
  </si>
  <si>
    <t>marker_305_366802.png</t>
  </si>
  <si>
    <t>A-497_2C__605</t>
  </si>
  <si>
    <t>marker_118_366811.png</t>
  </si>
  <si>
    <t>A-497_2C__607</t>
  </si>
  <si>
    <t>marker_754_366843.png</t>
  </si>
  <si>
    <t>A-497_2C__610</t>
  </si>
  <si>
    <t>marker_533_366871.png</t>
  </si>
  <si>
    <t>A-497_2C__611</t>
  </si>
  <si>
    <t>marker_872_366881.png</t>
  </si>
  <si>
    <t>A-497_2C__612</t>
  </si>
  <si>
    <t>marker_713_366890.png</t>
  </si>
  <si>
    <t>A-497_2C__613</t>
  </si>
  <si>
    <t>marker_365_366901.png</t>
  </si>
  <si>
    <t>A-497_2C__614</t>
  </si>
  <si>
    <t>marker_937_366909.png</t>
  </si>
  <si>
    <t>A-497_2C__616</t>
  </si>
  <si>
    <t>marker_722_366928.png</t>
  </si>
  <si>
    <t>A-497_2C__618</t>
  </si>
  <si>
    <t>marker_285_366962.png</t>
  </si>
  <si>
    <t>A-497_2C__619</t>
  </si>
  <si>
    <t>marker_911_366970.png</t>
  </si>
  <si>
    <t>A-497_2C__621</t>
  </si>
  <si>
    <t>marker_223_366995.png</t>
  </si>
  <si>
    <t>A-497_2C__622</t>
  </si>
  <si>
    <t>marker_958_367004.png</t>
  </si>
  <si>
    <t>A-497__406</t>
  </si>
  <si>
    <t>marker_987_377135.png</t>
  </si>
  <si>
    <t>A-497__395</t>
  </si>
  <si>
    <t>marker_912_377237.png</t>
  </si>
  <si>
    <t>A-497__392</t>
  </si>
  <si>
    <t>marker_459_377265.png</t>
  </si>
  <si>
    <t>A-497__388</t>
  </si>
  <si>
    <t>marker_681_377301.png</t>
  </si>
  <si>
    <t>A-497__386</t>
  </si>
  <si>
    <t>marker_339_377318.png</t>
  </si>
  <si>
    <t>A-497__363</t>
  </si>
  <si>
    <t>marker_758_377522.png</t>
  </si>
  <si>
    <t>A-497__338</t>
  </si>
  <si>
    <t>marker_723_377790.png</t>
  </si>
  <si>
    <t>A-497__334</t>
  </si>
  <si>
    <t>marker_331_377835.png</t>
  </si>
  <si>
    <t>A-497__323</t>
  </si>
  <si>
    <t>marker_211_377934.png</t>
  </si>
  <si>
    <t>A-497__320</t>
  </si>
  <si>
    <t>marker_982_377963.png</t>
  </si>
  <si>
    <t>A-497__318</t>
  </si>
  <si>
    <t>marker_874_377988.png</t>
  </si>
  <si>
    <t>A-497__316</t>
  </si>
  <si>
    <t>marker_251_378006.png</t>
  </si>
  <si>
    <t>A-497__308</t>
  </si>
  <si>
    <t>marker_451_378120.png</t>
  </si>
  <si>
    <t>A-497__305</t>
  </si>
  <si>
    <t>marker_425_378148.png</t>
  </si>
  <si>
    <t>A-497__294</t>
  </si>
  <si>
    <t>marker_888_378301.png</t>
  </si>
  <si>
    <t>A-497__278</t>
  </si>
  <si>
    <t>marker_187_378496.png</t>
  </si>
  <si>
    <t>A-497__269</t>
  </si>
  <si>
    <t>marker_422_378593.png</t>
  </si>
  <si>
    <t>A-497__268</t>
  </si>
  <si>
    <t>marker_646_378601.png</t>
  </si>
  <si>
    <t>A-497__263</t>
  </si>
  <si>
    <t>marker_445_378649.png</t>
  </si>
  <si>
    <t>A-497__245</t>
  </si>
  <si>
    <t>marker_835_378834.png</t>
  </si>
  <si>
    <t>A-497__244</t>
  </si>
  <si>
    <t>marker_423_378844.png</t>
  </si>
  <si>
    <t>A-497__242</t>
  </si>
  <si>
    <t>marker_192_378861.png</t>
  </si>
  <si>
    <t>A-497__241</t>
  </si>
  <si>
    <t>marker_259_378871.png</t>
  </si>
  <si>
    <t>A-497__234</t>
  </si>
  <si>
    <t>marker_567_378991.png</t>
  </si>
  <si>
    <t>A-497__233</t>
  </si>
  <si>
    <t>marker_504_379002.png</t>
  </si>
  <si>
    <t>A-497__230</t>
  </si>
  <si>
    <t>marker_745_379038.png</t>
  </si>
  <si>
    <t>A-497__225</t>
  </si>
  <si>
    <t>marker_806_379089.png</t>
  </si>
  <si>
    <t>A-497__224</t>
  </si>
  <si>
    <t>marker_459_379102.png</t>
  </si>
  <si>
    <t>A-497__218</t>
  </si>
  <si>
    <t>marker_916_379165.png</t>
  </si>
  <si>
    <t>A-497__217</t>
  </si>
  <si>
    <t>marker_660_379183.png</t>
  </si>
  <si>
    <t>A-497__210</t>
  </si>
  <si>
    <t>marker_618_379259.png</t>
  </si>
  <si>
    <t>A-497__209</t>
  </si>
  <si>
    <t>marker_957_379268.png</t>
  </si>
  <si>
    <t>A-497__202</t>
  </si>
  <si>
    <t>marker_846_379392.png</t>
  </si>
  <si>
    <t>A-497__201</t>
  </si>
  <si>
    <t>marker_629_379401.png</t>
  </si>
  <si>
    <t>A-497__200</t>
  </si>
  <si>
    <t>marker_623_379410.png</t>
  </si>
  <si>
    <t>A-497__199</t>
  </si>
  <si>
    <t>marker_323_379419.png</t>
  </si>
  <si>
    <t>A-497__194</t>
  </si>
  <si>
    <t>marker_957_379470.png</t>
  </si>
  <si>
    <t>A-497__191</t>
  </si>
  <si>
    <t>marker_412_379501.png</t>
  </si>
  <si>
    <t>A-497__190</t>
  </si>
  <si>
    <t>marker_913_379511.png</t>
  </si>
  <si>
    <t>A-497__189</t>
  </si>
  <si>
    <t>marker_917_379530.png</t>
  </si>
  <si>
    <t>A-497__184</t>
  </si>
  <si>
    <t>marker_141_379596.png</t>
  </si>
  <si>
    <t>A-497__173</t>
  </si>
  <si>
    <t>marker_849_379724.png</t>
  </si>
  <si>
    <t>A-497__172</t>
  </si>
  <si>
    <t>marker_875_379736.png</t>
  </si>
  <si>
    <t>A-497__171</t>
  </si>
  <si>
    <t>marker_189_379754.png</t>
  </si>
  <si>
    <t>A-497__169</t>
  </si>
  <si>
    <t>marker_703_380161.png</t>
  </si>
  <si>
    <t>A-497__167</t>
  </si>
  <si>
    <t>marker_704_380183.png</t>
  </si>
  <si>
    <t>A-497__162</t>
  </si>
  <si>
    <t>marker_968_380232.png</t>
  </si>
  <si>
    <t>A-497__159</t>
  </si>
  <si>
    <t>marker_863_380260.png</t>
  </si>
  <si>
    <t>A-497__158</t>
  </si>
  <si>
    <t>marker_856_380270.png</t>
  </si>
  <si>
    <t>A-497__156</t>
  </si>
  <si>
    <t>marker_369_380288.png</t>
  </si>
  <si>
    <t>A-497__151</t>
  </si>
  <si>
    <t>marker_915_380340.png</t>
  </si>
  <si>
    <t>A-497__150</t>
  </si>
  <si>
    <t>marker_753_380349.png</t>
  </si>
  <si>
    <t>A-497__149</t>
  </si>
  <si>
    <t>marker_684_380358.png</t>
  </si>
  <si>
    <t>A-497__133</t>
  </si>
  <si>
    <t>marker_424_380503.png</t>
  </si>
  <si>
    <t>A-497__127</t>
  </si>
  <si>
    <t>marker_251_380559.png</t>
  </si>
  <si>
    <t>A-497__126</t>
  </si>
  <si>
    <t>marker_323_380571.png</t>
  </si>
  <si>
    <t>A-497__121</t>
  </si>
  <si>
    <t>marker_880_380617.png</t>
  </si>
  <si>
    <t>A-497__120</t>
  </si>
  <si>
    <t>marker_246_380625.png</t>
  </si>
  <si>
    <t>A-497__117</t>
  </si>
  <si>
    <t>marker_721_380650.png</t>
  </si>
  <si>
    <t>A-497__103</t>
  </si>
  <si>
    <t>marker_304_380809.png</t>
  </si>
  <si>
    <t>A-497__102</t>
  </si>
  <si>
    <t>marker_559_380818.png</t>
  </si>
  <si>
    <t>A-497__101</t>
  </si>
  <si>
    <t>marker_407_380828.png</t>
  </si>
  <si>
    <t>A-497__99</t>
  </si>
  <si>
    <t>marker_237_380847.png</t>
  </si>
  <si>
    <t>A-497__98</t>
  </si>
  <si>
    <t>marker_800_380857.png</t>
  </si>
  <si>
    <t>A-497__95</t>
  </si>
  <si>
    <t>marker_831_380887.png</t>
  </si>
  <si>
    <t>A-490__49</t>
  </si>
  <si>
    <t>marker_100_732269.png</t>
  </si>
  <si>
    <t>A-490__84</t>
  </si>
  <si>
    <t>marker_380_738767.png</t>
  </si>
  <si>
    <t>A-490__70</t>
  </si>
  <si>
    <t>marker_536_738154.png</t>
  </si>
  <si>
    <t>A-490__90</t>
  </si>
  <si>
    <t>marker_205_738971.png</t>
  </si>
  <si>
    <t>A-490__142</t>
  </si>
  <si>
    <t>marker_692_740577.png</t>
  </si>
  <si>
    <t>A-492__92</t>
  </si>
  <si>
    <t>marker_598_823673.png</t>
  </si>
  <si>
    <t>A-492__94</t>
  </si>
  <si>
    <t>marker_373_823693.png</t>
  </si>
  <si>
    <t>A-492__106</t>
  </si>
  <si>
    <t>marker_780_824225.png</t>
  </si>
  <si>
    <t>A-492__134</t>
  </si>
  <si>
    <t>marker_482_824590.png</t>
  </si>
  <si>
    <t>A-492__135</t>
  </si>
  <si>
    <t>marker_362_824601.png</t>
  </si>
  <si>
    <t>A-492__163</t>
  </si>
  <si>
    <t>marker_610_831355.png</t>
  </si>
  <si>
    <t>A-492__171</t>
  </si>
  <si>
    <t>marker_291_831471.png</t>
  </si>
  <si>
    <t>A-492__308</t>
  </si>
  <si>
    <t>marker_216_837646.png</t>
  </si>
  <si>
    <t>A-492__310</t>
  </si>
  <si>
    <t>marker_791_837670.png</t>
  </si>
  <si>
    <t>A-492__351</t>
  </si>
  <si>
    <t>marker_113_838376.png</t>
  </si>
  <si>
    <t>A-492__400</t>
  </si>
  <si>
    <t>marker_317_839162.png</t>
  </si>
  <si>
    <t>A-495R__20</t>
  </si>
  <si>
    <t>marker_801_936731.png</t>
  </si>
  <si>
    <t>A-5050__181</t>
  </si>
  <si>
    <t>marker_442_944163.png</t>
  </si>
  <si>
    <t>A-5050__150</t>
  </si>
  <si>
    <t>marker_671_945387.png</t>
  </si>
  <si>
    <t>A-5050__146</t>
  </si>
  <si>
    <t>marker_432_945443.png</t>
  </si>
  <si>
    <t>A-5050__143</t>
  </si>
  <si>
    <t>marker_874_945809.png</t>
  </si>
  <si>
    <t>A-5050__127</t>
  </si>
  <si>
    <t>marker_931_946343.png</t>
  </si>
  <si>
    <t>A-5050__124</t>
  </si>
  <si>
    <t>marker_726_946375.png</t>
  </si>
  <si>
    <t>A-5050__123</t>
  </si>
  <si>
    <t>marker_284_946471.png</t>
  </si>
  <si>
    <t>A-5050__122</t>
  </si>
  <si>
    <t>marker_158_946481.png</t>
  </si>
  <si>
    <t>A-5050__121</t>
  </si>
  <si>
    <t>marker_390_946495.png</t>
  </si>
  <si>
    <t>A-5050__119</t>
  </si>
  <si>
    <t>marker_414_946518.png</t>
  </si>
  <si>
    <t>A-5050__118</t>
  </si>
  <si>
    <t>marker_968_946529.png</t>
  </si>
  <si>
    <t>A-5050__115</t>
  </si>
  <si>
    <t>marker_723_946566.png</t>
  </si>
  <si>
    <t>A-5050__114</t>
  </si>
  <si>
    <t>marker_176_946582.png</t>
  </si>
  <si>
    <t>A-5050__113</t>
  </si>
  <si>
    <t>marker_717_946611.png</t>
  </si>
  <si>
    <t>A-5050__112</t>
  </si>
  <si>
    <t>marker_992_946639.png</t>
  </si>
  <si>
    <t>A-5050__110</t>
  </si>
  <si>
    <t>marker_256_946664.png</t>
  </si>
  <si>
    <t>A-5050__109</t>
  </si>
  <si>
    <t>marker_586_946674.png</t>
  </si>
  <si>
    <t>A-5050__108</t>
  </si>
  <si>
    <t>marker_869_946686.png</t>
  </si>
  <si>
    <t>A-5050__103</t>
  </si>
  <si>
    <t>marker_643_946755.png</t>
  </si>
  <si>
    <t>A-5050__100</t>
  </si>
  <si>
    <t>marker_596_946804.png</t>
  </si>
  <si>
    <t>A-5050__99</t>
  </si>
  <si>
    <t>marker_945_946813.png</t>
  </si>
  <si>
    <t>A-5050__98</t>
  </si>
  <si>
    <t>marker_379_946827.png</t>
  </si>
  <si>
    <t>A-5050__97</t>
  </si>
  <si>
    <t>marker_356_946843.png</t>
  </si>
  <si>
    <t>A-5050__96</t>
  </si>
  <si>
    <t>marker_655_946870.png</t>
  </si>
  <si>
    <t>A-5050__94</t>
  </si>
  <si>
    <t>marker_686_947013.png</t>
  </si>
  <si>
    <t>A-5050__93</t>
  </si>
  <si>
    <t>marker_626_947377.png</t>
  </si>
  <si>
    <t>A-5050__92</t>
  </si>
  <si>
    <t>marker_899_947391.png</t>
  </si>
  <si>
    <t>A-5050__91</t>
  </si>
  <si>
    <t>marker_699_947401.png</t>
  </si>
  <si>
    <t>A-5050__90</t>
  </si>
  <si>
    <t>marker_128_947412.png</t>
  </si>
  <si>
    <t>A-5050__89</t>
  </si>
  <si>
    <t>marker_730_947424.png</t>
  </si>
  <si>
    <t>A-5050__86</t>
  </si>
  <si>
    <t>marker_462_947457.png</t>
  </si>
  <si>
    <t>A-5050__84</t>
  </si>
  <si>
    <t>marker_803_948654.png</t>
  </si>
  <si>
    <t>A-5050__83</t>
  </si>
  <si>
    <t>marker_460_948734.png</t>
  </si>
  <si>
    <t>A-5050__78</t>
  </si>
  <si>
    <t>marker_167_948792.png</t>
  </si>
  <si>
    <t>A-5050__77</t>
  </si>
  <si>
    <t>marker_588_948803.png</t>
  </si>
  <si>
    <t>A-5050__74</t>
  </si>
  <si>
    <t>marker_289_948836.png</t>
  </si>
  <si>
    <t>A-5050__73</t>
  </si>
  <si>
    <t>marker_256_948844.png</t>
  </si>
  <si>
    <t>A-5050__72</t>
  </si>
  <si>
    <t>marker_401_948853.png</t>
  </si>
  <si>
    <t>A-5050__71</t>
  </si>
  <si>
    <t>marker_875_948864.png</t>
  </si>
  <si>
    <t>A-5050__70</t>
  </si>
  <si>
    <t>marker_707_948873.png</t>
  </si>
  <si>
    <t>A-5050__69</t>
  </si>
  <si>
    <t>marker_355_948882.png</t>
  </si>
  <si>
    <t>A-5050__68</t>
  </si>
  <si>
    <t>marker_519_948891.png</t>
  </si>
  <si>
    <t>A-5050__67</t>
  </si>
  <si>
    <t>marker_560_948900.png</t>
  </si>
  <si>
    <t>A-5050__66</t>
  </si>
  <si>
    <t>marker_152_948909.png</t>
  </si>
  <si>
    <t>A-5050__64</t>
  </si>
  <si>
    <t>marker_488_948988.png</t>
  </si>
  <si>
    <t>A-5050__63</t>
  </si>
  <si>
    <t>marker_192_948997.png</t>
  </si>
  <si>
    <t>A-5050__61</t>
  </si>
  <si>
    <t>marker_928_949032.png</t>
  </si>
  <si>
    <t>A-5050__55</t>
  </si>
  <si>
    <t>marker_738_949109.png</t>
  </si>
  <si>
    <t>A-5050__52</t>
  </si>
  <si>
    <t>marker_979_949137.png</t>
  </si>
  <si>
    <t>A-5050__50</t>
  </si>
  <si>
    <t>marker_440_949154.png</t>
  </si>
  <si>
    <t>A-5050__44</t>
  </si>
  <si>
    <t>marker_354_949211.png</t>
  </si>
  <si>
    <t>A-5050__30</t>
  </si>
  <si>
    <t>marker_340_949358.png</t>
  </si>
  <si>
    <t>A-5050__28</t>
  </si>
  <si>
    <t>marker_474_949379.png</t>
  </si>
  <si>
    <t>A-5050__27</t>
  </si>
  <si>
    <t>marker_309_949389.png</t>
  </si>
  <si>
    <t>A-5050__16</t>
  </si>
  <si>
    <t>marker_793_949535.png</t>
  </si>
  <si>
    <t>A-5050__15</t>
  </si>
  <si>
    <t>marker_368_949545.png</t>
  </si>
  <si>
    <t>A-5050__12</t>
  </si>
  <si>
    <t>marker_441_949576.png</t>
  </si>
  <si>
    <t>A-5050__9</t>
  </si>
  <si>
    <t>marker_739_949618.png</t>
  </si>
  <si>
    <t>A-5050__8</t>
  </si>
  <si>
    <t>marker_301_949628.png</t>
  </si>
  <si>
    <t>A-5050__4</t>
  </si>
  <si>
    <t>marker_168_949670.png</t>
  </si>
  <si>
    <t>A-5050__1</t>
  </si>
  <si>
    <t>marker_983_949732.png</t>
  </si>
  <si>
    <t>A-5052__16</t>
  </si>
  <si>
    <t>marker_146_950171.png</t>
  </si>
  <si>
    <t>A-5052__23</t>
  </si>
  <si>
    <t>marker_944_951506.png</t>
  </si>
  <si>
    <t>A-5052__24</t>
  </si>
  <si>
    <t>marker_273_951519.png</t>
  </si>
  <si>
    <t>A-5052__25</t>
  </si>
  <si>
    <t>marker_177_951529.png</t>
  </si>
  <si>
    <t>A-5052__104</t>
  </si>
  <si>
    <t>marker_819_957721.png</t>
  </si>
  <si>
    <t>A-5052__145</t>
  </si>
  <si>
    <t>marker_412_958420.png</t>
  </si>
  <si>
    <t>A-5052__172</t>
  </si>
  <si>
    <t>marker_769_958978.png</t>
  </si>
  <si>
    <t>A-5052__173</t>
  </si>
  <si>
    <t>marker_551_958989.png</t>
  </si>
  <si>
    <t>A-5052__217</t>
  </si>
  <si>
    <t>marker_556_959690.png</t>
  </si>
  <si>
    <t>A-5052__256</t>
  </si>
  <si>
    <t>marker_473_960155.png</t>
  </si>
  <si>
    <t>A-5052__271</t>
  </si>
  <si>
    <t>marker_375_960331.png</t>
  </si>
  <si>
    <t>A-5052__274</t>
  </si>
  <si>
    <t>marker_797_960369.png</t>
  </si>
  <si>
    <t>A-5052__276</t>
  </si>
  <si>
    <t>marker_936_960390.png</t>
  </si>
  <si>
    <t>A-5052__278</t>
  </si>
  <si>
    <t>marker_841_960495.png</t>
  </si>
  <si>
    <t>A-5052__286</t>
  </si>
  <si>
    <t>marker_896_960594.png</t>
  </si>
  <si>
    <t>A-5052__288</t>
  </si>
  <si>
    <t>marker_165_960619.png</t>
  </si>
  <si>
    <t>A-5052__295</t>
  </si>
  <si>
    <t>marker_583_960765.png</t>
  </si>
  <si>
    <t>A-5052__305</t>
  </si>
  <si>
    <t>marker_864_961011.png</t>
  </si>
  <si>
    <t>A-5052__315</t>
  </si>
  <si>
    <t>marker_390_961183.png</t>
  </si>
  <si>
    <t>A-5052__316</t>
  </si>
  <si>
    <t>marker_438_961193.png</t>
  </si>
  <si>
    <t>A-5052__320</t>
  </si>
  <si>
    <t>marker_565_961270.png</t>
  </si>
  <si>
    <t>A-5052__329</t>
  </si>
  <si>
    <t>marker_805_961491.png</t>
  </si>
  <si>
    <t>A-5052__336</t>
  </si>
  <si>
    <t>marker_567_961569.png</t>
  </si>
  <si>
    <t>A-5052__349</t>
  </si>
  <si>
    <t>marker_580_961734.png</t>
  </si>
  <si>
    <t>A-5052__350</t>
  </si>
  <si>
    <t>marker_501_961745.png</t>
  </si>
  <si>
    <t>A-5052__351</t>
  </si>
  <si>
    <t>marker_699_961757.png</t>
  </si>
  <si>
    <t>A-5052__362</t>
  </si>
  <si>
    <t>marker_998_961879.png</t>
  </si>
  <si>
    <t>A-5052__365</t>
  </si>
  <si>
    <t>marker_466_961931.png</t>
  </si>
  <si>
    <t>A-5052__368</t>
  </si>
  <si>
    <t>marker_962_962273.png</t>
  </si>
  <si>
    <t>A-5052__371</t>
  </si>
  <si>
    <t>marker_399_962304.png</t>
  </si>
  <si>
    <t>A-5052__382</t>
  </si>
  <si>
    <t>marker_725_962502.png</t>
  </si>
  <si>
    <t>A-5052__387</t>
  </si>
  <si>
    <t>marker_716_962548.png</t>
  </si>
  <si>
    <t>A-5052__388</t>
  </si>
  <si>
    <t>marker_590_962558.png</t>
  </si>
  <si>
    <t>A-5052__393</t>
  </si>
  <si>
    <t>marker_509_962604.png</t>
  </si>
  <si>
    <t>A-5052__396</t>
  </si>
  <si>
    <t>marker_457_962629.png</t>
  </si>
  <si>
    <t>A-5052__397</t>
  </si>
  <si>
    <t>marker_511_962638.png</t>
  </si>
  <si>
    <t>A-5052__400</t>
  </si>
  <si>
    <t>marker_893_962665.png</t>
  </si>
  <si>
    <t>A-5052__445</t>
  </si>
  <si>
    <t>marker_564_963128.png</t>
  </si>
  <si>
    <t>A-5052__446</t>
  </si>
  <si>
    <t>marker_237_963137.png</t>
  </si>
  <si>
    <t>A-5052__474</t>
  </si>
  <si>
    <t>marker_551_963432.png</t>
  </si>
  <si>
    <t>A-5052__479</t>
  </si>
  <si>
    <t>marker_427_963482.png</t>
  </si>
  <si>
    <t>A-5052__480</t>
  </si>
  <si>
    <t>marker_346_963491.png</t>
  </si>
  <si>
    <t>A-5053__378</t>
  </si>
  <si>
    <t>marker_696_963876.png</t>
  </si>
  <si>
    <t>A-5053__363</t>
  </si>
  <si>
    <t>marker_388_964027.png</t>
  </si>
  <si>
    <t>A-5053__362</t>
  </si>
  <si>
    <t>marker_433_964040.png</t>
  </si>
  <si>
    <t>A-5053__360</t>
  </si>
  <si>
    <t>marker_864_964065.png</t>
  </si>
  <si>
    <t>A-5053__330</t>
  </si>
  <si>
    <t>marker_297_964467.png</t>
  </si>
  <si>
    <t>A-5053__318</t>
  </si>
  <si>
    <t>marker_422_964592.png</t>
  </si>
  <si>
    <t>A-5053__315</t>
  </si>
  <si>
    <t>marker_425_964626.png</t>
  </si>
  <si>
    <t>A-5053__301</t>
  </si>
  <si>
    <t>marker_588_964762.png</t>
  </si>
  <si>
    <t>A-5053__300</t>
  </si>
  <si>
    <t>marker_654_964845.png</t>
  </si>
  <si>
    <t>A-5053__240</t>
  </si>
  <si>
    <t>marker_443_965499.png</t>
  </si>
  <si>
    <t>A-5053__229</t>
  </si>
  <si>
    <t>marker_881_965603.png</t>
  </si>
  <si>
    <t>A-5053__227</t>
  </si>
  <si>
    <t>marker_138_965623.png</t>
  </si>
  <si>
    <t>A-5053__206</t>
  </si>
  <si>
    <t>marker_445_965834.png</t>
  </si>
  <si>
    <t>A-5053__152</t>
  </si>
  <si>
    <t>marker_806_966370.png</t>
  </si>
  <si>
    <t>A-5053__143</t>
  </si>
  <si>
    <t>marker_750_966456.png</t>
  </si>
  <si>
    <t>A-5053__100</t>
  </si>
  <si>
    <t>marker_606_019813.png</t>
  </si>
  <si>
    <t>A-5053__95</t>
  </si>
  <si>
    <t>marker_583_019860.png</t>
  </si>
  <si>
    <t>A-5053__38</t>
  </si>
  <si>
    <t>marker_711_021734.png</t>
  </si>
  <si>
    <t>A-5053__36</t>
  </si>
  <si>
    <t>marker_253_021753.png</t>
  </si>
  <si>
    <t>A-5053__35</t>
  </si>
  <si>
    <t>marker_944_021762.png</t>
  </si>
  <si>
    <t>A-5053__28</t>
  </si>
  <si>
    <t>marker_171_021831.png</t>
  </si>
  <si>
    <t>A-495__26</t>
  </si>
  <si>
    <t>marker_210_381361.png</t>
  </si>
  <si>
    <t>A-495__49</t>
  </si>
  <si>
    <t>marker_358_381600.png</t>
  </si>
  <si>
    <t>A-495__52</t>
  </si>
  <si>
    <t>marker_934_381634.png</t>
  </si>
  <si>
    <t>A-495__63</t>
  </si>
  <si>
    <t>marker_485_381742.png</t>
  </si>
  <si>
    <t>A-495__82</t>
  </si>
  <si>
    <t>marker_104_381953.png</t>
  </si>
  <si>
    <t>A-495__94</t>
  </si>
  <si>
    <t>marker_102_382099.png</t>
  </si>
  <si>
    <t>A-495__96</t>
  </si>
  <si>
    <t>marker_928_382116.png</t>
  </si>
  <si>
    <t>A-495__101</t>
  </si>
  <si>
    <t>marker_677_382164.png</t>
  </si>
  <si>
    <t>A-5059__72</t>
  </si>
  <si>
    <t>marker_687_378830.png</t>
  </si>
  <si>
    <t>A-5059__57</t>
  </si>
  <si>
    <t>marker_868_378975.png</t>
  </si>
  <si>
    <t>A-5059__56</t>
  </si>
  <si>
    <t>marker_973_378985.png</t>
  </si>
  <si>
    <t>A-495__131</t>
  </si>
  <si>
    <t>marker_591_382485.png</t>
  </si>
  <si>
    <t>A-495__136</t>
  </si>
  <si>
    <t>marker_916_382543.png</t>
  </si>
  <si>
    <t>A-495__140</t>
  </si>
  <si>
    <t>marker_432_382578.png</t>
  </si>
  <si>
    <t>A-495__141</t>
  </si>
  <si>
    <t>marker_731_382588.png</t>
  </si>
  <si>
    <t>A-495__142</t>
  </si>
  <si>
    <t>marker_647_382597.png</t>
  </si>
  <si>
    <t>A-495__143</t>
  </si>
  <si>
    <t>marker_874_382606.png</t>
  </si>
  <si>
    <t>A-495__148</t>
  </si>
  <si>
    <t>marker_564_382664.png</t>
  </si>
  <si>
    <t>A-495__149</t>
  </si>
  <si>
    <t>marker_867_382675.png</t>
  </si>
  <si>
    <t>A-495__150</t>
  </si>
  <si>
    <t>marker_558_382684.png</t>
  </si>
  <si>
    <t>A-5059__12</t>
  </si>
  <si>
    <t>marker_829_379562.png</t>
  </si>
  <si>
    <t>A-5059__11</t>
  </si>
  <si>
    <t>marker_977_379572.png</t>
  </si>
  <si>
    <t>A-495__154</t>
  </si>
  <si>
    <t>marker_270_382724.png</t>
  </si>
  <si>
    <t>A-5058__1</t>
  </si>
  <si>
    <t>marker_937_379787.png</t>
  </si>
  <si>
    <t>A-495__158</t>
  </si>
  <si>
    <t>marker_252_382782.png</t>
  </si>
  <si>
    <t>A-5058__10</t>
  </si>
  <si>
    <t>marker_838_379909.png</t>
  </si>
  <si>
    <t>A-5058__17</t>
  </si>
  <si>
    <t>marker_399_380010.png</t>
  </si>
  <si>
    <t>A-5058__18</t>
  </si>
  <si>
    <t>marker_713_380040.png</t>
  </si>
  <si>
    <t>A-5058__27</t>
  </si>
  <si>
    <t>marker_297_380157.png</t>
  </si>
  <si>
    <t>A-5058__58</t>
  </si>
  <si>
    <t>marker_872_380619.png</t>
  </si>
  <si>
    <t>A-5058__63</t>
  </si>
  <si>
    <t>marker_967_380672.png</t>
  </si>
  <si>
    <t>A-5058__64</t>
  </si>
  <si>
    <t>marker_192_380681.png</t>
  </si>
  <si>
    <t>A-5058__87</t>
  </si>
  <si>
    <t>marker_818_380954.png</t>
  </si>
  <si>
    <t>A-5058__115</t>
  </si>
  <si>
    <t>marker_833_381293.png</t>
  </si>
  <si>
    <t>A-495_1__144</t>
  </si>
  <si>
    <t>marker_718_384313.png</t>
  </si>
  <si>
    <t>A-495_1__141</t>
  </si>
  <si>
    <t>marker_837_384352.png</t>
  </si>
  <si>
    <t>A-495_1__140</t>
  </si>
  <si>
    <t>marker_967_384364.png</t>
  </si>
  <si>
    <t>A-495_1__112</t>
  </si>
  <si>
    <t>marker_104_384702.png</t>
  </si>
  <si>
    <t>A-495_1__100</t>
  </si>
  <si>
    <t>marker_187_385023.png</t>
  </si>
  <si>
    <t>A-495_1__20</t>
  </si>
  <si>
    <t>marker_220_386124.png</t>
  </si>
  <si>
    <t>A-499__46</t>
  </si>
  <si>
    <t>marker_536_534823.png</t>
  </si>
  <si>
    <t>A-499__56</t>
  </si>
  <si>
    <t>marker_975_534954.png</t>
  </si>
  <si>
    <t>A-499__85</t>
  </si>
  <si>
    <t>marker_323_789412.png</t>
  </si>
  <si>
    <t>A-499__92</t>
  </si>
  <si>
    <t>marker_511_790086.png</t>
  </si>
  <si>
    <t>A-497__789</t>
  </si>
  <si>
    <t>marker_551_368072.png</t>
  </si>
  <si>
    <t>A-499__113</t>
  </si>
  <si>
    <t>marker_401_793446.png</t>
  </si>
  <si>
    <t>A-499__114</t>
  </si>
  <si>
    <t>marker_816_793463.png</t>
  </si>
  <si>
    <t>A-497_2C__4</t>
  </si>
  <si>
    <t>marker_847_653758.png</t>
  </si>
  <si>
    <t>A-499__140</t>
  </si>
  <si>
    <t>marker_471_794068.png</t>
  </si>
  <si>
    <t>A-499__142</t>
  </si>
  <si>
    <t>marker_947_794112.png</t>
  </si>
  <si>
    <t>A-499__159</t>
  </si>
  <si>
    <t>marker_247_794565.png</t>
  </si>
  <si>
    <t>A-499__177</t>
  </si>
  <si>
    <t>marker_549_795586.png</t>
  </si>
  <si>
    <t>A-499__243</t>
  </si>
  <si>
    <t>marker_784_796905.png</t>
  </si>
  <si>
    <t>A-499__256</t>
  </si>
  <si>
    <t>marker_803_797085.png</t>
  </si>
  <si>
    <t>A-497__748</t>
  </si>
  <si>
    <t>marker_297_368724.png</t>
  </si>
  <si>
    <t>A-497_2C__161</t>
  </si>
  <si>
    <t>marker_174_656111.png</t>
  </si>
  <si>
    <t>A-497_2C__224</t>
  </si>
  <si>
    <t>marker_423_656823.png</t>
  </si>
  <si>
    <t>A-497_2C__225</t>
  </si>
  <si>
    <t>marker_427_656838.png</t>
  </si>
  <si>
    <t>A-497_2C__264</t>
  </si>
  <si>
    <t>marker_925_319669.png</t>
  </si>
  <si>
    <t>A-497_2C__266</t>
  </si>
  <si>
    <t>marker_255_319697.png</t>
  </si>
  <si>
    <t>A-497_2C__267</t>
  </si>
  <si>
    <t>marker_785_319706.png</t>
  </si>
  <si>
    <t>A-497__570</t>
  </si>
  <si>
    <t>marker_529_372035.png</t>
  </si>
  <si>
    <t>A-497__290</t>
  </si>
  <si>
    <t>marker_121_378353.png</t>
  </si>
  <si>
    <t>A-497__275</t>
  </si>
  <si>
    <t>marker_905_378526.png</t>
  </si>
  <si>
    <t>A-497__205</t>
  </si>
  <si>
    <t>marker_909_379324.png</t>
  </si>
  <si>
    <t>A-497__187</t>
  </si>
  <si>
    <t>marker_378_379553.png</t>
  </si>
  <si>
    <t>A-497__115</t>
  </si>
  <si>
    <t>marker_708_380667.png</t>
  </si>
  <si>
    <t>A-490__14</t>
  </si>
  <si>
    <t>marker_843_728108.png</t>
  </si>
  <si>
    <t>A-490__31</t>
  </si>
  <si>
    <t>marker_407_730957.png</t>
  </si>
  <si>
    <t>A-490__10</t>
  </si>
  <si>
    <t>marker_175_725035.png</t>
  </si>
  <si>
    <t>A-490__12</t>
  </si>
  <si>
    <t>marker_831_726118.png</t>
  </si>
  <si>
    <t>A-490__13</t>
  </si>
  <si>
    <t>marker_467_728073.png</t>
  </si>
  <si>
    <t>A-490__25</t>
  </si>
  <si>
    <t>marker_219_730793.png</t>
  </si>
  <si>
    <t>A-490__43</t>
  </si>
  <si>
    <t>marker_105_731262.png</t>
  </si>
  <si>
    <t>A-490__44</t>
  </si>
  <si>
    <t>marker_343_731292.png</t>
  </si>
  <si>
    <t>A-490__45</t>
  </si>
  <si>
    <t>marker_761_731313.png</t>
  </si>
  <si>
    <t>A-490__46</t>
  </si>
  <si>
    <t>marker_359_731353.png</t>
  </si>
  <si>
    <t>A-490__75</t>
  </si>
  <si>
    <t>marker_838_738462.png</t>
  </si>
  <si>
    <t>A-490__85</t>
  </si>
  <si>
    <t>marker_577_738784.png</t>
  </si>
  <si>
    <t>A-490__92</t>
  </si>
  <si>
    <t>marker_921_739013.png</t>
  </si>
  <si>
    <t>A-490__107</t>
  </si>
  <si>
    <t>marker_535_739693.png</t>
  </si>
  <si>
    <t>A-490__108</t>
  </si>
  <si>
    <t>marker_248_739710.png</t>
  </si>
  <si>
    <t>A-490__135</t>
  </si>
  <si>
    <t>marker_796_740338.png</t>
  </si>
  <si>
    <t>A-490__152</t>
  </si>
  <si>
    <t>marker_497_740796.png</t>
  </si>
  <si>
    <t>A-490__154</t>
  </si>
  <si>
    <t>marker_149_740862.png</t>
  </si>
  <si>
    <t>A-490__155</t>
  </si>
  <si>
    <t>marker_194_740878.png</t>
  </si>
  <si>
    <t>A-490__167</t>
  </si>
  <si>
    <t>marker_371_741405.png</t>
  </si>
  <si>
    <t>A-490__172</t>
  </si>
  <si>
    <t>marker_873_741529.png</t>
  </si>
  <si>
    <t>A-490__176</t>
  </si>
  <si>
    <t>marker_291_741629.png</t>
  </si>
  <si>
    <t>A-490__177</t>
  </si>
  <si>
    <t>marker_256_741685.png</t>
  </si>
  <si>
    <t>A-490__182</t>
  </si>
  <si>
    <t>marker_798_741847.png</t>
  </si>
  <si>
    <t>A-490__185</t>
  </si>
  <si>
    <t>marker_370_741932.png</t>
  </si>
  <si>
    <t>A-490__188</t>
  </si>
  <si>
    <t>marker_674_742002.png</t>
  </si>
  <si>
    <t>A-490__197</t>
  </si>
  <si>
    <t>marker_673_742243.png</t>
  </si>
  <si>
    <t>A-490__204</t>
  </si>
  <si>
    <t>marker_193_742465.png</t>
  </si>
  <si>
    <t>A-490__210</t>
  </si>
  <si>
    <t>marker_877_742670.png</t>
  </si>
  <si>
    <t>A-490__211</t>
  </si>
  <si>
    <t>marker_377_742718.png</t>
  </si>
  <si>
    <t>A-490__212</t>
  </si>
  <si>
    <t>marker_584_742745.png</t>
  </si>
  <si>
    <t>A-490__219</t>
  </si>
  <si>
    <t>marker_548_743338.png</t>
  </si>
  <si>
    <t>A-490__232</t>
  </si>
  <si>
    <t>marker_892_743885.png</t>
  </si>
  <si>
    <t>A-490__234</t>
  </si>
  <si>
    <t>marker_683_743933.png</t>
  </si>
  <si>
    <t>A-490__244</t>
  </si>
  <si>
    <t>marker_474_749376.png</t>
  </si>
  <si>
    <t>A-490__255</t>
  </si>
  <si>
    <t>marker_300_749612.png</t>
  </si>
  <si>
    <t>A-490__95</t>
  </si>
  <si>
    <t>marker_640_739071.png</t>
  </si>
  <si>
    <t>A-490__358</t>
  </si>
  <si>
    <t>marker_947_751841.png</t>
  </si>
  <si>
    <t>A-490__367</t>
  </si>
  <si>
    <t>marker_998_752032.png</t>
  </si>
  <si>
    <t>A-490__369</t>
  </si>
  <si>
    <t>marker_913_752081.png</t>
  </si>
  <si>
    <t>A-490__376</t>
  </si>
  <si>
    <t>marker_274_752244.png</t>
  </si>
  <si>
    <t>A-490__377</t>
  </si>
  <si>
    <t>marker_365_752273.png</t>
  </si>
  <si>
    <t>A-490__383</t>
  </si>
  <si>
    <t>marker_616_752410.png</t>
  </si>
  <si>
    <t>A-490__385</t>
  </si>
  <si>
    <t>marker_597_752447.png</t>
  </si>
  <si>
    <t>A-490__387</t>
  </si>
  <si>
    <t>marker_884_752479.png</t>
  </si>
  <si>
    <t>A-490__389</t>
  </si>
  <si>
    <t>marker_766_752511.png</t>
  </si>
  <si>
    <t>A-490__396</t>
  </si>
  <si>
    <t>marker_349_752931.png</t>
  </si>
  <si>
    <t>A-490__398</t>
  </si>
  <si>
    <t>marker_944_752982.png</t>
  </si>
  <si>
    <t>A-490__414</t>
  </si>
  <si>
    <t>marker_770_754191.png</t>
  </si>
  <si>
    <t>A-490__416</t>
  </si>
  <si>
    <t>marker_138_754233.png</t>
  </si>
  <si>
    <t>A-490__430</t>
  </si>
  <si>
    <t>marker_901_754480.png</t>
  </si>
  <si>
    <t>A-490__436</t>
  </si>
  <si>
    <t>marker_412_754590.png</t>
  </si>
  <si>
    <t>A-490__437</t>
  </si>
  <si>
    <t>marker_608_754604.png</t>
  </si>
  <si>
    <t>A-490__456</t>
  </si>
  <si>
    <t>marker_131_755145.png</t>
  </si>
  <si>
    <t>A-490__458</t>
  </si>
  <si>
    <t>marker_893_755182.png</t>
  </si>
  <si>
    <t>A-490__484</t>
  </si>
  <si>
    <t>marker_759_755657.png</t>
  </si>
  <si>
    <t>A-490__521</t>
  </si>
  <si>
    <t>marker_416_818071.png</t>
  </si>
  <si>
    <t>A-490__525</t>
  </si>
  <si>
    <t>marker_981_818126.png</t>
  </si>
  <si>
    <t>A-490__533</t>
  </si>
  <si>
    <t>marker_780_818247.png</t>
  </si>
  <si>
    <t>A-490__536</t>
  </si>
  <si>
    <t>marker_407_818290.png</t>
  </si>
  <si>
    <t>A-490__603</t>
  </si>
  <si>
    <t>marker_726_820127.png</t>
  </si>
  <si>
    <t>A-490__605</t>
  </si>
  <si>
    <t>marker_893_820151.png</t>
  </si>
  <si>
    <t>A-490__620</t>
  </si>
  <si>
    <t>marker_534_820311.png</t>
  </si>
  <si>
    <t>A-490__624</t>
  </si>
  <si>
    <t>marker_794_820353.png</t>
  </si>
  <si>
    <t>A-492__45</t>
  </si>
  <si>
    <t>marker_651_822938.png</t>
  </si>
  <si>
    <t>A-492__47</t>
  </si>
  <si>
    <t>marker_772_822963.png</t>
  </si>
  <si>
    <t>A-492__77</t>
  </si>
  <si>
    <t>marker_749_823431.png</t>
  </si>
  <si>
    <t>A-492__78</t>
  </si>
  <si>
    <t>marker_818_823467.png</t>
  </si>
  <si>
    <t>A-492__86</t>
  </si>
  <si>
    <t>marker_395_823569.png</t>
  </si>
  <si>
    <t>A-492__87</t>
  </si>
  <si>
    <t>marker_113_823579.png</t>
  </si>
  <si>
    <t>A-492__88</t>
  </si>
  <si>
    <t>marker_589_823593.png</t>
  </si>
  <si>
    <t>A-492__97</t>
  </si>
  <si>
    <t>marker_882_823725.png</t>
  </si>
  <si>
    <t>A-492__108</t>
  </si>
  <si>
    <t>marker_702_824269.png</t>
  </si>
  <si>
    <t>A-492__109</t>
  </si>
  <si>
    <t>marker_849_824280.png</t>
  </si>
  <si>
    <t>A-492__113</t>
  </si>
  <si>
    <t>marker_289_824324.png</t>
  </si>
  <si>
    <t>A-492__115</t>
  </si>
  <si>
    <t>marker_148_824349.png</t>
  </si>
  <si>
    <t>A-492__117</t>
  </si>
  <si>
    <t>marker_137_824372.png</t>
  </si>
  <si>
    <t>A-492__118</t>
  </si>
  <si>
    <t>marker_937_824400.png</t>
  </si>
  <si>
    <t>A-492__119</t>
  </si>
  <si>
    <t>marker_740_824413.png</t>
  </si>
  <si>
    <t>A-492__121</t>
  </si>
  <si>
    <t>marker_431_824432.png</t>
  </si>
  <si>
    <t>A-492__123</t>
  </si>
  <si>
    <t>marker_234_824457.png</t>
  </si>
  <si>
    <t>A-492__125</t>
  </si>
  <si>
    <t>marker_106_824477.png</t>
  </si>
  <si>
    <t>A-492__128</t>
  </si>
  <si>
    <t>marker_826_824513.png</t>
  </si>
  <si>
    <t>A-492__136</t>
  </si>
  <si>
    <t>marker_234_824617.png</t>
  </si>
  <si>
    <t>A-492__140</t>
  </si>
  <si>
    <t>marker_994_824673.png</t>
  </si>
  <si>
    <t>A-492__166</t>
  </si>
  <si>
    <t>marker_496_831393.png</t>
  </si>
  <si>
    <t>A-492__254</t>
  </si>
  <si>
    <t>marker_991_836163.png</t>
  </si>
  <si>
    <t>A-492__272</t>
  </si>
  <si>
    <t>marker_315_836812.png</t>
  </si>
  <si>
    <t>A-492__273</t>
  </si>
  <si>
    <t>marker_142_836827.png</t>
  </si>
  <si>
    <t>A-492__286</t>
  </si>
  <si>
    <t>marker_606_837369.png</t>
  </si>
  <si>
    <t>A-492__321</t>
  </si>
  <si>
    <t>marker_542_837961.png</t>
  </si>
  <si>
    <t>A-492__357</t>
  </si>
  <si>
    <t>marker_849_838595.png</t>
  </si>
  <si>
    <t>A-492__358</t>
  </si>
  <si>
    <t>marker_377_838605.png</t>
  </si>
  <si>
    <t>A-492__415</t>
  </si>
  <si>
    <t>marker_873_839343.png</t>
  </si>
  <si>
    <t>A-495R__19</t>
  </si>
  <si>
    <t>marker_147_936741.png</t>
  </si>
  <si>
    <t>A-495R__15</t>
  </si>
  <si>
    <t>marker_263_936851.png</t>
  </si>
  <si>
    <t>A-495R__14</t>
  </si>
  <si>
    <t>marker_825_936865.png</t>
  </si>
  <si>
    <t>A-495R__13</t>
  </si>
  <si>
    <t>marker_503_936874.png</t>
  </si>
  <si>
    <t>A-495R__12</t>
  </si>
  <si>
    <t>marker_845_936898.png</t>
  </si>
  <si>
    <t>A-495R__11</t>
  </si>
  <si>
    <t>marker_697_936909.png</t>
  </si>
  <si>
    <t>A-495R__10</t>
  </si>
  <si>
    <t>marker_886_936926.png</t>
  </si>
  <si>
    <t>A-497__90</t>
  </si>
  <si>
    <t>marker_558_937311.png</t>
  </si>
  <si>
    <t>A-497__63</t>
  </si>
  <si>
    <t>marker_744_938226.png</t>
  </si>
  <si>
    <t>A-497__62</t>
  </si>
  <si>
    <t>marker_482_938242.png</t>
  </si>
  <si>
    <t>A-497__61</t>
  </si>
  <si>
    <t>marker_152_938251.png</t>
  </si>
  <si>
    <t>A-497__27</t>
  </si>
  <si>
    <t>marker_709_940902.png</t>
  </si>
  <si>
    <t>A-497__17</t>
  </si>
  <si>
    <t>marker_236_943812.png</t>
  </si>
  <si>
    <t>A-497__11</t>
  </si>
  <si>
    <t>marker_253_943964.png</t>
  </si>
  <si>
    <t>A-497__10</t>
  </si>
  <si>
    <t>marker_314_943975.png</t>
  </si>
  <si>
    <t>A-497__7</t>
  </si>
  <si>
    <t>marker_825_944007.png</t>
  </si>
  <si>
    <t>A-5050__182</t>
  </si>
  <si>
    <t>marker_946_944153.png</t>
  </si>
  <si>
    <t>A-5050__179</t>
  </si>
  <si>
    <t>marker_265_944183.png</t>
  </si>
  <si>
    <t>A-5050__178</t>
  </si>
  <si>
    <t>marker_965_944201.png</t>
  </si>
  <si>
    <t>A-5050__177</t>
  </si>
  <si>
    <t>marker_289_944211.png</t>
  </si>
  <si>
    <t>A-5050__176</t>
  </si>
  <si>
    <t>marker_466_944221.png</t>
  </si>
  <si>
    <t>A-5050__175</t>
  </si>
  <si>
    <t>marker_244_944231.png</t>
  </si>
  <si>
    <t>A-5050__161</t>
  </si>
  <si>
    <t>marker_904_944679.png</t>
  </si>
  <si>
    <t>A-5050__156</t>
  </si>
  <si>
    <t>marker_497_945302.png</t>
  </si>
  <si>
    <t>A-5050__154</t>
  </si>
  <si>
    <t>marker_954_945330.png</t>
  </si>
  <si>
    <t>A-5050__149</t>
  </si>
  <si>
    <t>marker_109_945402.png</t>
  </si>
  <si>
    <t>A-5050__142</t>
  </si>
  <si>
    <t>marker_192_945819.png</t>
  </si>
  <si>
    <t>A-5050__130</t>
  </si>
  <si>
    <t>marker_444_945945.png</t>
  </si>
  <si>
    <t>A-5050__126</t>
  </si>
  <si>
    <t>marker_754_946353.png</t>
  </si>
  <si>
    <t>A-5050__107</t>
  </si>
  <si>
    <t>marker_341_946696.png</t>
  </si>
  <si>
    <t>A-5050__105</t>
  </si>
  <si>
    <t>marker_874_946720.png</t>
  </si>
  <si>
    <t>A-5050__87</t>
  </si>
  <si>
    <t>marker_888_947448.png</t>
  </si>
  <si>
    <t>A-5050__85</t>
  </si>
  <si>
    <t>marker_908_948399.png</t>
  </si>
  <si>
    <t>A-5050__82</t>
  </si>
  <si>
    <t>marker_325_948746.png</t>
  </si>
  <si>
    <t>A-5050__75</t>
  </si>
  <si>
    <t>marker_205_948826.png</t>
  </si>
  <si>
    <t>A-5050__58</t>
  </si>
  <si>
    <t>marker_762_949062.png</t>
  </si>
  <si>
    <t>A-5050__57</t>
  </si>
  <si>
    <t>marker_753_949074.png</t>
  </si>
  <si>
    <t>A-5050__53</t>
  </si>
  <si>
    <t>marker_920_949128.png</t>
  </si>
  <si>
    <t>A-5050__46</t>
  </si>
  <si>
    <t>marker_542_949192.png</t>
  </si>
  <si>
    <t>A-5050__40</t>
  </si>
  <si>
    <t>marker_702_949249.png</t>
  </si>
  <si>
    <t>A-5050__35</t>
  </si>
  <si>
    <t>marker_901_949309.png</t>
  </si>
  <si>
    <t>A-5050__11</t>
  </si>
  <si>
    <t>marker_669_949597.png</t>
  </si>
  <si>
    <t>A-5050__2</t>
  </si>
  <si>
    <t>marker_946_949693.png</t>
  </si>
  <si>
    <t>A-5052__11</t>
  </si>
  <si>
    <t>marker_373_950033.png</t>
  </si>
  <si>
    <t>A-5052__30</t>
  </si>
  <si>
    <t>marker_459_951628.png</t>
  </si>
  <si>
    <t>A-5052__57</t>
  </si>
  <si>
    <t>marker_332_957006.png</t>
  </si>
  <si>
    <t>A-5052__128</t>
  </si>
  <si>
    <t>marker_446_958062.png</t>
  </si>
  <si>
    <t>A-5052__138</t>
  </si>
  <si>
    <t>marker_901_958195.png</t>
  </si>
  <si>
    <t>A-5052__282</t>
  </si>
  <si>
    <t>marker_590_960538.png</t>
  </si>
  <si>
    <t>A-5052__284</t>
  </si>
  <si>
    <t>marker_102_960571.png</t>
  </si>
  <si>
    <t>A-5052__294</t>
  </si>
  <si>
    <t>marker_769_960752.png</t>
  </si>
  <si>
    <t>A-5052__304</t>
  </si>
  <si>
    <t>marker_167_960972.png</t>
  </si>
  <si>
    <t>A-5052__314</t>
  </si>
  <si>
    <t>marker_832_961172.png</t>
  </si>
  <si>
    <t>A-5052__326</t>
  </si>
  <si>
    <t>marker_781_961440.png</t>
  </si>
  <si>
    <t>A-5052__337</t>
  </si>
  <si>
    <t>marker_314_961579.png</t>
  </si>
  <si>
    <t>A-5052__353</t>
  </si>
  <si>
    <t>marker_143_961776.png</t>
  </si>
  <si>
    <t>A-5052__354</t>
  </si>
  <si>
    <t>marker_357_961785.png</t>
  </si>
  <si>
    <t>A-5052__380</t>
  </si>
  <si>
    <t>marker_269_962475.png</t>
  </si>
  <si>
    <t>A-5052__385</t>
  </si>
  <si>
    <t>marker_332_962528.png</t>
  </si>
  <si>
    <t>A-5053__325</t>
  </si>
  <si>
    <t>marker_796_964518.png</t>
  </si>
  <si>
    <t>A-5053__320</t>
  </si>
  <si>
    <t>marker_581_964573.png</t>
  </si>
  <si>
    <t>A-5053__291</t>
  </si>
  <si>
    <t>marker_437_964949.png</t>
  </si>
  <si>
    <t>A-5053__283</t>
  </si>
  <si>
    <t>marker_370_965032.png</t>
  </si>
  <si>
    <t>A-5053__279</t>
  </si>
  <si>
    <t>marker_588_965069.png</t>
  </si>
  <si>
    <t>A-5053__231</t>
  </si>
  <si>
    <t>marker_208_965585.png</t>
  </si>
  <si>
    <t>A-5053__220</t>
  </si>
  <si>
    <t>marker_343_965687.png</t>
  </si>
  <si>
    <t>A-5053__218</t>
  </si>
  <si>
    <t>marker_611_965709.png</t>
  </si>
  <si>
    <t>A-5053__215</t>
  </si>
  <si>
    <t>marker_649_965737.png</t>
  </si>
  <si>
    <t>A-5053__213</t>
  </si>
  <si>
    <t>marker_959_965758.png</t>
  </si>
  <si>
    <t>A-5053__209</t>
  </si>
  <si>
    <t>marker_102_965801.png</t>
  </si>
  <si>
    <t>A-5053__153</t>
  </si>
  <si>
    <t>marker_783_966358.png</t>
  </si>
  <si>
    <t>A-5053__99</t>
  </si>
  <si>
    <t>marker_686_019823.png</t>
  </si>
  <si>
    <t>A-5053__47</t>
  </si>
  <si>
    <t>marker_271_021029.png</t>
  </si>
  <si>
    <t>A-5053__12</t>
  </si>
  <si>
    <t>marker_802_025082.png</t>
  </si>
  <si>
    <t>A-495__20</t>
  </si>
  <si>
    <t>marker_606_381265.png</t>
  </si>
  <si>
    <t>A-495__42</t>
  </si>
  <si>
    <t>marker_206_381530.png</t>
  </si>
  <si>
    <t>A-495__43</t>
  </si>
  <si>
    <t>marker_469_381543.png</t>
  </si>
  <si>
    <t>A-5059__41</t>
  </si>
  <si>
    <t>marker_244_379286.png</t>
  </si>
  <si>
    <t>A-5059__39</t>
  </si>
  <si>
    <t>marker_168_379304.png</t>
  </si>
  <si>
    <t>A-5059__29</t>
  </si>
  <si>
    <t>marker_659_379413.png</t>
  </si>
  <si>
    <t>A-5059__28</t>
  </si>
  <si>
    <t>marker_200_379421.png</t>
  </si>
  <si>
    <t>A-5059__26</t>
  </si>
  <si>
    <t>marker_428_379439.png</t>
  </si>
  <si>
    <t>A-5059__24</t>
  </si>
  <si>
    <t>marker_780_379456.png</t>
  </si>
  <si>
    <t>A-5059__23</t>
  </si>
  <si>
    <t>marker_225_379465.png</t>
  </si>
  <si>
    <t>A-5059__15</t>
  </si>
  <si>
    <t>marker_719_379535.png</t>
  </si>
  <si>
    <t>A-5059__14</t>
  </si>
  <si>
    <t>marker_345_379545.png</t>
  </si>
  <si>
    <t>A-5059__10</t>
  </si>
  <si>
    <t>marker_509_379582.png</t>
  </si>
  <si>
    <t>A-495__159</t>
  </si>
  <si>
    <t>marker_607_382792.png</t>
  </si>
  <si>
    <t>A-5058__7</t>
  </si>
  <si>
    <t>marker_908_379881.png</t>
  </si>
  <si>
    <t>A-5058__15</t>
  </si>
  <si>
    <t>marker_351_379993.png</t>
  </si>
  <si>
    <t>A-5058__25</t>
  </si>
  <si>
    <t>marker_366_380136.png</t>
  </si>
  <si>
    <t>A-495__165</t>
  </si>
  <si>
    <t>marker_623_382864.png</t>
  </si>
  <si>
    <t>A-5058__33</t>
  </si>
  <si>
    <t>marker_163_380223.png</t>
  </si>
  <si>
    <t>A-5058__34</t>
  </si>
  <si>
    <t>marker_967_380234.png</t>
  </si>
  <si>
    <t>A-5058__35</t>
  </si>
  <si>
    <t>marker_680_380244.png</t>
  </si>
  <si>
    <t>A-5058__37</t>
  </si>
  <si>
    <t>marker_168_380265.png</t>
  </si>
  <si>
    <t>A-5058__43</t>
  </si>
  <si>
    <t>marker_758_380453.png</t>
  </si>
  <si>
    <t>A-5058__47</t>
  </si>
  <si>
    <t>marker_727_380501.png</t>
  </si>
  <si>
    <t>A-5058__75</t>
  </si>
  <si>
    <t>marker_287_380809.png</t>
  </si>
  <si>
    <t>A-5058__79</t>
  </si>
  <si>
    <t>marker_670_380848.png</t>
  </si>
  <si>
    <t>A-5058__96</t>
  </si>
  <si>
    <t>marker_829_381071.png</t>
  </si>
  <si>
    <t>A-5058__100</t>
  </si>
  <si>
    <t>marker_566_381110.png</t>
  </si>
  <si>
    <t>A-5058__104</t>
  </si>
  <si>
    <t>marker_734_381168.png</t>
  </si>
  <si>
    <t>A-5058__107</t>
  </si>
  <si>
    <t>marker_230_381210.png</t>
  </si>
  <si>
    <t>A-5058__109</t>
  </si>
  <si>
    <t>marker_198_381229.png</t>
  </si>
  <si>
    <t>A-5058__110</t>
  </si>
  <si>
    <t>marker_886_381240.png</t>
  </si>
  <si>
    <t>A-5058__112</t>
  </si>
  <si>
    <t>marker_280_381261.png</t>
  </si>
  <si>
    <t>A-5058__113</t>
  </si>
  <si>
    <t>marker_702_381271.png</t>
  </si>
  <si>
    <t>A-5058__116</t>
  </si>
  <si>
    <t>marker_698_381305.png</t>
  </si>
  <si>
    <t>A-5058__124</t>
  </si>
  <si>
    <t>marker_245_381378.png</t>
  </si>
  <si>
    <t>A-5058__128</t>
  </si>
  <si>
    <t>marker_407_381434.png</t>
  </si>
  <si>
    <t>A-5058__130</t>
  </si>
  <si>
    <t>marker_907_381456.png</t>
  </si>
  <si>
    <t>A-5058__136</t>
  </si>
  <si>
    <t>marker_826_381527.png</t>
  </si>
  <si>
    <t>A-5058__137</t>
  </si>
  <si>
    <t>marker_624_381537.png</t>
  </si>
  <si>
    <t>A-5058__138</t>
  </si>
  <si>
    <t>marker_262_381552.png</t>
  </si>
  <si>
    <t>A-5058__139</t>
  </si>
  <si>
    <t>marker_494_381561.png</t>
  </si>
  <si>
    <t>A-5058__142</t>
  </si>
  <si>
    <t>marker_718_381605.png</t>
  </si>
  <si>
    <t>A-5058__146</t>
  </si>
  <si>
    <t>marker_152_381655.png</t>
  </si>
  <si>
    <t>A-5058__147</t>
  </si>
  <si>
    <t>marker_498_381665.png</t>
  </si>
  <si>
    <t>A-5058__148</t>
  </si>
  <si>
    <t>marker_636_381682.png</t>
  </si>
  <si>
    <t>A-5058__150</t>
  </si>
  <si>
    <t>marker_417_381707.png</t>
  </si>
  <si>
    <t>A-5058__163</t>
  </si>
  <si>
    <t>marker_401_381857.png</t>
  </si>
  <si>
    <t>A-5058__178</t>
  </si>
  <si>
    <t>marker_484_382516.png</t>
  </si>
  <si>
    <t>A-5058__179</t>
  </si>
  <si>
    <t>marker_261_382527.png</t>
  </si>
  <si>
    <t>A-5058__182</t>
  </si>
  <si>
    <t>marker_303_382680.png</t>
  </si>
  <si>
    <t>A-5058__183</t>
  </si>
  <si>
    <t>marker_459_382697.png</t>
  </si>
  <si>
    <t>A-5058__185</t>
  </si>
  <si>
    <t>marker_450_382727.png</t>
  </si>
  <si>
    <t>A-5058__186</t>
  </si>
  <si>
    <t>marker_357_382737.png</t>
  </si>
  <si>
    <t>A-5058__190</t>
  </si>
  <si>
    <t>marker_432_382780.png</t>
  </si>
  <si>
    <t>A-5058__191</t>
  </si>
  <si>
    <t>marker_389_382793.png</t>
  </si>
  <si>
    <t>A-5058__196</t>
  </si>
  <si>
    <t>marker_249_382847.png</t>
  </si>
  <si>
    <t>A-5058__218</t>
  </si>
  <si>
    <t>marker_391_383100.png</t>
  </si>
  <si>
    <t>A-5058__229</t>
  </si>
  <si>
    <t>marker_616_383234.png</t>
  </si>
  <si>
    <t>A-5058__231</t>
  </si>
  <si>
    <t>marker_138_383264.png</t>
  </si>
  <si>
    <t>A-5058__232</t>
  </si>
  <si>
    <t>marker_247_383282.png</t>
  </si>
  <si>
    <t>A-5058__237</t>
  </si>
  <si>
    <t>marker_330_383333.png</t>
  </si>
  <si>
    <t>A-5058__240</t>
  </si>
  <si>
    <t>marker_359_383365.png</t>
  </si>
  <si>
    <t>A-5058__249</t>
  </si>
  <si>
    <t>marker_217_383491.png</t>
  </si>
  <si>
    <t>A-5058__250</t>
  </si>
  <si>
    <t>marker_154_383517.png</t>
  </si>
  <si>
    <t>A-5058__259</t>
  </si>
  <si>
    <t>marker_243_383651.png</t>
  </si>
  <si>
    <t>A-5058__260</t>
  </si>
  <si>
    <t>marker_419_383666.png</t>
  </si>
  <si>
    <t>A-5058__261</t>
  </si>
  <si>
    <t>marker_282_383676.png</t>
  </si>
  <si>
    <t>A-5058__262</t>
  </si>
  <si>
    <t>marker_275_383686.png</t>
  </si>
  <si>
    <t>A-5058__264</t>
  </si>
  <si>
    <t>marker_575_383727.png</t>
  </si>
  <si>
    <t>A-5058__265</t>
  </si>
  <si>
    <t>marker_420_383740.png</t>
  </si>
  <si>
    <t>A-5058__266</t>
  </si>
  <si>
    <t>marker_131_383750.png</t>
  </si>
  <si>
    <t>A-5058__267</t>
  </si>
  <si>
    <t>marker_704_383762.png</t>
  </si>
  <si>
    <t>A-5058__276</t>
  </si>
  <si>
    <t>marker_763_383990.png</t>
  </si>
  <si>
    <t>A-5058__288</t>
  </si>
  <si>
    <t>marker_155_384126.png</t>
  </si>
  <si>
    <t>A-5058__300</t>
  </si>
  <si>
    <t>marker_860_384272.png</t>
  </si>
  <si>
    <t>A-5058__301</t>
  </si>
  <si>
    <t>marker_770_384282.png</t>
  </si>
  <si>
    <t>A-5058__302</t>
  </si>
  <si>
    <t>marker_151_384298.png</t>
  </si>
  <si>
    <t>A-5058__306</t>
  </si>
  <si>
    <t>marker_697_384341.png</t>
  </si>
  <si>
    <t>A-5058__307</t>
  </si>
  <si>
    <t>marker_393_384362.png</t>
  </si>
  <si>
    <t>A-5058__310</t>
  </si>
  <si>
    <t>marker_639_384393.png</t>
  </si>
  <si>
    <t>A-5058__312</t>
  </si>
  <si>
    <t>marker_674_384413.png</t>
  </si>
  <si>
    <t>A-5058__314</t>
  </si>
  <si>
    <t>marker_486_384440.png</t>
  </si>
  <si>
    <t>A-5058__318</t>
  </si>
  <si>
    <t>marker_331_384477.png</t>
  </si>
  <si>
    <t>A-5058__319</t>
  </si>
  <si>
    <t>marker_156_384486.png</t>
  </si>
  <si>
    <t>A-5058__322</t>
  </si>
  <si>
    <t>marker_256_384519.png</t>
  </si>
  <si>
    <t>A-5058__324</t>
  </si>
  <si>
    <t>marker_378_384551.png</t>
  </si>
  <si>
    <t>A-5058__330</t>
  </si>
  <si>
    <t>marker_254_384633.png</t>
  </si>
  <si>
    <t>A-5058__334</t>
  </si>
  <si>
    <t>marker_120_384693.png</t>
  </si>
  <si>
    <t>A-5058__339</t>
  </si>
  <si>
    <t>marker_641_384744.png</t>
  </si>
  <si>
    <t>A-5058__340</t>
  </si>
  <si>
    <t>marker_724_384764.png</t>
  </si>
  <si>
    <t>A-5058__344</t>
  </si>
  <si>
    <t>marker_356_384805.png</t>
  </si>
  <si>
    <t>A-5058__345</t>
  </si>
  <si>
    <t>marker_123_384817.png</t>
  </si>
  <si>
    <t>A-5058__346</t>
  </si>
  <si>
    <t>marker_383_384827.png</t>
  </si>
  <si>
    <t>A-5058__347</t>
  </si>
  <si>
    <t>marker_277_384837.png</t>
  </si>
  <si>
    <t>A-5058__361</t>
  </si>
  <si>
    <t>marker_313_384983.png</t>
  </si>
  <si>
    <t>A-5058__370</t>
  </si>
  <si>
    <t>marker_311_385073.png</t>
  </si>
  <si>
    <t>A-5058__371</t>
  </si>
  <si>
    <t>marker_275_385085.png</t>
  </si>
  <si>
    <t>A-5058__372</t>
  </si>
  <si>
    <t>marker_905_385095.png</t>
  </si>
  <si>
    <t>A-5058__378</t>
  </si>
  <si>
    <t>marker_681_385174.png</t>
  </si>
  <si>
    <t>A-5058__388</t>
  </si>
  <si>
    <t>marker_529_385286.png</t>
  </si>
  <si>
    <t>A-5058__391</t>
  </si>
  <si>
    <t>marker_467_385314.png</t>
  </si>
  <si>
    <t>A-5058__392</t>
  </si>
  <si>
    <t>marker_754_385322.png</t>
  </si>
  <si>
    <t>A-5058__398</t>
  </si>
  <si>
    <t>marker_357_385404.png</t>
  </si>
  <si>
    <t>A-5058__401</t>
  </si>
  <si>
    <t>marker_480_388073.png</t>
  </si>
  <si>
    <t>A-5058__403</t>
  </si>
  <si>
    <t>marker_392_388527.png</t>
  </si>
  <si>
    <t>A-5058__406</t>
  </si>
  <si>
    <t>marker_518_388603.png</t>
  </si>
  <si>
    <t>A-5058__409</t>
  </si>
  <si>
    <t>marker_402_388638.png</t>
  </si>
  <si>
    <t>A-5058__410</t>
  </si>
  <si>
    <t>marker_498_388648.png</t>
  </si>
  <si>
    <t>A-5058__411</t>
  </si>
  <si>
    <t>marker_981_388659.png</t>
  </si>
  <si>
    <t>A-5058__417</t>
  </si>
  <si>
    <t>marker_377_388715.png</t>
  </si>
  <si>
    <t>A-5058__423</t>
  </si>
  <si>
    <t>marker_340_388782.png</t>
  </si>
  <si>
    <t>A-5058__433</t>
  </si>
  <si>
    <t>marker_433_388891.png</t>
  </si>
  <si>
    <t>A-5058__440</t>
  </si>
  <si>
    <t>marker_983_388969.png</t>
  </si>
  <si>
    <t>A-5058__442</t>
  </si>
  <si>
    <t>marker_729_389003.png</t>
  </si>
  <si>
    <t>A-5058__456</t>
  </si>
  <si>
    <t>marker_744_389152.png</t>
  </si>
  <si>
    <t>A-5058__457</t>
  </si>
  <si>
    <t>marker_629_389163.png</t>
  </si>
  <si>
    <t>A-5058__460</t>
  </si>
  <si>
    <t>marker_779_389316.png</t>
  </si>
  <si>
    <t>A-5058__461</t>
  </si>
  <si>
    <t>marker_497_389325.png</t>
  </si>
  <si>
    <t>A-5058__469</t>
  </si>
  <si>
    <t>marker_631_389394.png</t>
  </si>
  <si>
    <t>A-495__3</t>
  </si>
  <si>
    <t>marker_542_380997.png</t>
  </si>
  <si>
    <t>A-495__4</t>
  </si>
  <si>
    <t>marker_513_381018.png</t>
  </si>
  <si>
    <t>A-495__6</t>
  </si>
  <si>
    <t>marker_676_381039.png</t>
  </si>
  <si>
    <t>A-495__7</t>
  </si>
  <si>
    <t>marker_682_381048.png</t>
  </si>
  <si>
    <t>A-495__11</t>
  </si>
  <si>
    <t>marker_703_381171.png</t>
  </si>
  <si>
    <t>A-495_1__182</t>
  </si>
  <si>
    <t>marker_637_383803.png</t>
  </si>
  <si>
    <t>A-495_1__147</t>
  </si>
  <si>
    <t>marker_652_384273.png</t>
  </si>
  <si>
    <t>A-495_1__143</t>
  </si>
  <si>
    <t>marker_808_384323.png</t>
  </si>
  <si>
    <t>A-495_1__135</t>
  </si>
  <si>
    <t>marker_779_384422.png</t>
  </si>
  <si>
    <t>A-495_1__126</t>
  </si>
  <si>
    <t>marker_331_384512.png</t>
  </si>
  <si>
    <t>A-495_1__103</t>
  </si>
  <si>
    <t>marker_486_384969.png</t>
  </si>
  <si>
    <t>A-495_1__41</t>
  </si>
  <si>
    <t>marker_862_385645.png</t>
  </si>
  <si>
    <t>A-495_1__10</t>
  </si>
  <si>
    <t>marker_691_386227.png</t>
  </si>
  <si>
    <t>A-499__54</t>
  </si>
  <si>
    <t>marker_439_534935.png</t>
  </si>
  <si>
    <t>A-499__67</t>
  </si>
  <si>
    <t>marker_963_535145.png</t>
  </si>
  <si>
    <t>A-499__72</t>
  </si>
  <si>
    <t>marker_561_535198.png</t>
  </si>
  <si>
    <t>A-499__73</t>
  </si>
  <si>
    <t>marker_552_788823.png</t>
  </si>
  <si>
    <t>A-499__76</t>
  </si>
  <si>
    <t>marker_943_789177.png</t>
  </si>
  <si>
    <t>A-499__78</t>
  </si>
  <si>
    <t>marker_731_789221.png</t>
  </si>
  <si>
    <t>A-499__86</t>
  </si>
  <si>
    <t>marker_748_789874.png</t>
  </si>
  <si>
    <t>A-499__93</t>
  </si>
  <si>
    <t>marker_715_793096.png</t>
  </si>
  <si>
    <t>A-499__95</t>
  </si>
  <si>
    <t>marker_693_793137.png</t>
  </si>
  <si>
    <t>A-497__836</t>
  </si>
  <si>
    <t>marker_529_367586.png</t>
  </si>
  <si>
    <t>A-497__832</t>
  </si>
  <si>
    <t>marker_131_367629.png</t>
  </si>
  <si>
    <t>A-497__826</t>
  </si>
  <si>
    <t>marker_203_367688.png</t>
  </si>
  <si>
    <t>A-497__822</t>
  </si>
  <si>
    <t>marker_342_367734.png</t>
  </si>
  <si>
    <t>A-497__818</t>
  </si>
  <si>
    <t>marker_352_367775.png</t>
  </si>
  <si>
    <t>A-497__815</t>
  </si>
  <si>
    <t>marker_815_367801.png</t>
  </si>
  <si>
    <t>A-497__813</t>
  </si>
  <si>
    <t>marker_204_367818.png</t>
  </si>
  <si>
    <t>A-497__811</t>
  </si>
  <si>
    <t>marker_194_367839.png</t>
  </si>
  <si>
    <t>A-497__788</t>
  </si>
  <si>
    <t>marker_478_368083.png</t>
  </si>
  <si>
    <t>A-497__778</t>
  </si>
  <si>
    <t>marker_150_368185.png</t>
  </si>
  <si>
    <t>A-497__777</t>
  </si>
  <si>
    <t>marker_158_368199.png</t>
  </si>
  <si>
    <t>A-499__112</t>
  </si>
  <si>
    <t>marker_462_793433.png</t>
  </si>
  <si>
    <t>A-499__115</t>
  </si>
  <si>
    <t>marker_304_793498.png</t>
  </si>
  <si>
    <t>A-499__119</t>
  </si>
  <si>
    <t>marker_711_793576.png</t>
  </si>
  <si>
    <t>A-499__121</t>
  </si>
  <si>
    <t>marker_187_793629.png</t>
  </si>
  <si>
    <t>A-499__186</t>
  </si>
  <si>
    <t>marker_322_795747.png</t>
  </si>
  <si>
    <t>A-497_2C__33</t>
  </si>
  <si>
    <t>marker_563_654516.png</t>
  </si>
  <si>
    <t>A-499__241</t>
  </si>
  <si>
    <t>marker_597_796884.png</t>
  </si>
  <si>
    <t>A-497_2C__44</t>
  </si>
  <si>
    <t>marker_778_654683.png</t>
  </si>
  <si>
    <t>A-497_2C__45</t>
  </si>
  <si>
    <t>marker_738_654691.png</t>
  </si>
  <si>
    <t>A-497_2C__47</t>
  </si>
  <si>
    <t>marker_694_654707.png</t>
  </si>
  <si>
    <t>A-497_2C__52</t>
  </si>
  <si>
    <t>marker_137_654774.png</t>
  </si>
  <si>
    <t>A-497_2C__55</t>
  </si>
  <si>
    <t>marker_591_654804.png</t>
  </si>
  <si>
    <t>A-497_2C__56</t>
  </si>
  <si>
    <t>marker_260_654813.png</t>
  </si>
  <si>
    <t>A-497_2C__58</t>
  </si>
  <si>
    <t>marker_350_654855.png</t>
  </si>
  <si>
    <t>A-497_2C__60</t>
  </si>
  <si>
    <t>marker_476_654875.png</t>
  </si>
  <si>
    <t>A-497_2C__66</t>
  </si>
  <si>
    <t>marker_623_654929.png</t>
  </si>
  <si>
    <t>A-497_2C__67</t>
  </si>
  <si>
    <t>marker_612_654937.png</t>
  </si>
  <si>
    <t>A-497_2C__71</t>
  </si>
  <si>
    <t>marker_564_655048.png</t>
  </si>
  <si>
    <t>A-497_2C__73</t>
  </si>
  <si>
    <t>marker_680_655064.png</t>
  </si>
  <si>
    <t>A-497_2C__79</t>
  </si>
  <si>
    <t>marker_206_655117.png</t>
  </si>
  <si>
    <t>A-497_2C__84</t>
  </si>
  <si>
    <t>marker_734_655201.png</t>
  </si>
  <si>
    <t>A-497_2C__88</t>
  </si>
  <si>
    <t>marker_996_655262.png</t>
  </si>
  <si>
    <t>A-497_2C__99</t>
  </si>
  <si>
    <t>marker_736_655433.png</t>
  </si>
  <si>
    <t>A-497_2C__101</t>
  </si>
  <si>
    <t>marker_717_655450.png</t>
  </si>
  <si>
    <t>A-497_2C__112</t>
  </si>
  <si>
    <t>marker_256_655556.png</t>
  </si>
  <si>
    <t>A-497_2C__113</t>
  </si>
  <si>
    <t>marker_192_655617.png</t>
  </si>
  <si>
    <t>A-497_2C__143</t>
  </si>
  <si>
    <t>marker_688_655897.png</t>
  </si>
  <si>
    <t>A-497__745</t>
  </si>
  <si>
    <t>marker_542_368760.png</t>
  </si>
  <si>
    <t>A-497__727</t>
  </si>
  <si>
    <t>marker_197_368993.png</t>
  </si>
  <si>
    <t>A-497__722</t>
  </si>
  <si>
    <t>marker_129_369043.png</t>
  </si>
  <si>
    <t>A-497__720</t>
  </si>
  <si>
    <t>marker_497_369062.png</t>
  </si>
  <si>
    <t>A-497__712</t>
  </si>
  <si>
    <t>marker_812_369151.png</t>
  </si>
  <si>
    <t>A-497__710</t>
  </si>
  <si>
    <t>marker_616_370268.png</t>
  </si>
  <si>
    <t>A-497__708</t>
  </si>
  <si>
    <t>marker_390_370297.png</t>
  </si>
  <si>
    <t>A-497_2C__189</t>
  </si>
  <si>
    <t>marker_434_656411.png</t>
  </si>
  <si>
    <t>A-497_2C__195</t>
  </si>
  <si>
    <t>marker_262_656471.png</t>
  </si>
  <si>
    <t>A-497_2C__197</t>
  </si>
  <si>
    <t>marker_168_656490.png</t>
  </si>
  <si>
    <t>A-497_2C__198</t>
  </si>
  <si>
    <t>marker_185_656503.png</t>
  </si>
  <si>
    <t>A-497_2C__206</t>
  </si>
  <si>
    <t>marker_711_656611.png</t>
  </si>
  <si>
    <t>A-497__694</t>
  </si>
  <si>
    <t>marker_422_370439.png</t>
  </si>
  <si>
    <t>A-497__693</t>
  </si>
  <si>
    <t>marker_600_370447.png</t>
  </si>
  <si>
    <t>A-497__692</t>
  </si>
  <si>
    <t>marker_254_370455.png</t>
  </si>
  <si>
    <t>A-497_2C__217</t>
  </si>
  <si>
    <t>marker_780_656727.png</t>
  </si>
  <si>
    <t>A-497__687</t>
  </si>
  <si>
    <t>marker_619_370504.png</t>
  </si>
  <si>
    <t>A-497_2C__227</t>
  </si>
  <si>
    <t>marker_560_656856.png</t>
  </si>
  <si>
    <t>A-497_2C__239</t>
  </si>
  <si>
    <t>marker_173_656982.png</t>
  </si>
  <si>
    <t>A-497__667</t>
  </si>
  <si>
    <t>marker_119_371051.png</t>
  </si>
  <si>
    <t>A-497__666</t>
  </si>
  <si>
    <t>marker_198_371060.png</t>
  </si>
  <si>
    <t>A-497__657</t>
  </si>
  <si>
    <t>marker_430_371174.png</t>
  </si>
  <si>
    <t>A-497_2C__253</t>
  </si>
  <si>
    <t>marker_213_319432.png</t>
  </si>
  <si>
    <t>A-497__639</t>
  </si>
  <si>
    <t>marker_189_371338.png</t>
  </si>
  <si>
    <t>A-497__616</t>
  </si>
  <si>
    <t>marker_733_371567.png</t>
  </si>
  <si>
    <t>A-497__609</t>
  </si>
  <si>
    <t>marker_110_371630.png</t>
  </si>
  <si>
    <t>A-497__601</t>
  </si>
  <si>
    <t>marker_504_371704.png</t>
  </si>
  <si>
    <t>A-497__599</t>
  </si>
  <si>
    <t>marker_154_371722.png</t>
  </si>
  <si>
    <t>A-497_2C__271</t>
  </si>
  <si>
    <t>marker_574_319755.png</t>
  </si>
  <si>
    <t>A-497_2C__289</t>
  </si>
  <si>
    <t>marker_269_320063.png</t>
  </si>
  <si>
    <t>A-497_2C__292</t>
  </si>
  <si>
    <t>marker_911_320093.png</t>
  </si>
  <si>
    <t>A-497_2C__293</t>
  </si>
  <si>
    <t>marker_231_320101.png</t>
  </si>
  <si>
    <t>A-497_2C__296</t>
  </si>
  <si>
    <t>marker_319_320131.png</t>
  </si>
  <si>
    <t>A-497_2C__297</t>
  </si>
  <si>
    <t>marker_166_320141.png</t>
  </si>
  <si>
    <t>A-497_2C__316</t>
  </si>
  <si>
    <t>marker_997_361888.png</t>
  </si>
  <si>
    <t>A-497_2C__327</t>
  </si>
  <si>
    <t>marker_710_361991.png</t>
  </si>
  <si>
    <t>A-497_2C__335</t>
  </si>
  <si>
    <t>marker_369_362070.png</t>
  </si>
  <si>
    <t>A-497__542</t>
  </si>
  <si>
    <t>marker_323_372357.png</t>
  </si>
  <si>
    <t>A-497__534</t>
  </si>
  <si>
    <t>marker_668_372456.png</t>
  </si>
  <si>
    <t>A-497_2C__348</t>
  </si>
  <si>
    <t>marker_716_362203.png</t>
  </si>
  <si>
    <t>A-497__530</t>
  </si>
  <si>
    <t>marker_162_372501.png</t>
  </si>
  <si>
    <t>A-497__528</t>
  </si>
  <si>
    <t>marker_555_372520.png</t>
  </si>
  <si>
    <t>A-497__526</t>
  </si>
  <si>
    <t>marker_998_372537.png</t>
  </si>
  <si>
    <t>A-497_2C__361</t>
  </si>
  <si>
    <t>marker_348_362341.png</t>
  </si>
  <si>
    <t>A-497__523</t>
  </si>
  <si>
    <t>marker_298_372567.png</t>
  </si>
  <si>
    <t>A-497__520</t>
  </si>
  <si>
    <t>marker_125_372594.png</t>
  </si>
  <si>
    <t>A-497_2C__375</t>
  </si>
  <si>
    <t>marker_498_362571.png</t>
  </si>
  <si>
    <t>A-497__519</t>
  </si>
  <si>
    <t>marker_968_372604.png</t>
  </si>
  <si>
    <t>A-497__518</t>
  </si>
  <si>
    <t>marker_501_372614.png</t>
  </si>
  <si>
    <t>A-497_2C__376</t>
  </si>
  <si>
    <t>marker_594_362586.png</t>
  </si>
  <si>
    <t>A-497_2C__377</t>
  </si>
  <si>
    <t>marker_145_362596.png</t>
  </si>
  <si>
    <t>A-497_2C__379</t>
  </si>
  <si>
    <t>marker_504_362694.png</t>
  </si>
  <si>
    <t>A-497_2C__380</t>
  </si>
  <si>
    <t>marker_839_362704.png</t>
  </si>
  <si>
    <t>A-497__515</t>
  </si>
  <si>
    <t>marker_762_372643.png</t>
  </si>
  <si>
    <t>A-497_2C__382</t>
  </si>
  <si>
    <t>marker_227_362721.png</t>
  </si>
  <si>
    <t>A-497__514</t>
  </si>
  <si>
    <t>marker_288_372651.png</t>
  </si>
  <si>
    <t>A-497__511</t>
  </si>
  <si>
    <t>marker_245_372682.png</t>
  </si>
  <si>
    <t>A-497__509</t>
  </si>
  <si>
    <t>marker_608_372702.png</t>
  </si>
  <si>
    <t>A-497__507</t>
  </si>
  <si>
    <t>marker_476_372724.png</t>
  </si>
  <si>
    <t>A-497__506</t>
  </si>
  <si>
    <t>marker_260_372733.png</t>
  </si>
  <si>
    <t>A-497__505</t>
  </si>
  <si>
    <t>marker_386_372747.png</t>
  </si>
  <si>
    <t>A-497_2C__396</t>
  </si>
  <si>
    <t>marker_317_362866.png</t>
  </si>
  <si>
    <t>A-497_2C__398</t>
  </si>
  <si>
    <t>marker_668_362887.png</t>
  </si>
  <si>
    <t>A-497__502</t>
  </si>
  <si>
    <t>marker_908_376063.png</t>
  </si>
  <si>
    <t>A-497__498</t>
  </si>
  <si>
    <t>marker_845_376122.png</t>
  </si>
  <si>
    <t>A-497_2C__419</t>
  </si>
  <si>
    <t>marker_731_363103.png</t>
  </si>
  <si>
    <t>A-497__473</t>
  </si>
  <si>
    <t>marker_304_376395.png</t>
  </si>
  <si>
    <t>A-497_2C__458</t>
  </si>
  <si>
    <t>marker_478_363508.png</t>
  </si>
  <si>
    <t>A-497_2C__461</t>
  </si>
  <si>
    <t>marker_194_363545.png</t>
  </si>
  <si>
    <t>A-497_2C__468</t>
  </si>
  <si>
    <t>marker_885_363618.png</t>
  </si>
  <si>
    <t>A-497_2C__470</t>
  </si>
  <si>
    <t>marker_622_363638.png</t>
  </si>
  <si>
    <t>A-497__467</t>
  </si>
  <si>
    <t>marker_179_376498.png</t>
  </si>
  <si>
    <t>A-497__466</t>
  </si>
  <si>
    <t>marker_508_376513.png</t>
  </si>
  <si>
    <t>A-497_2C__485</t>
  </si>
  <si>
    <t>marker_226_363822.png</t>
  </si>
  <si>
    <t>A-497_2C__487</t>
  </si>
  <si>
    <t>marker_488_363842.png</t>
  </si>
  <si>
    <t>A-497_2C__490</t>
  </si>
  <si>
    <t>marker_590_363892.png</t>
  </si>
  <si>
    <t>A-497_2C__491</t>
  </si>
  <si>
    <t>marker_470_363905.png</t>
  </si>
  <si>
    <t>A-497_2C__493</t>
  </si>
  <si>
    <t>marker_800_363930.png</t>
  </si>
  <si>
    <t>A-497_2C__499</t>
  </si>
  <si>
    <t>marker_491_364052.png</t>
  </si>
  <si>
    <t>A-497_2C__541</t>
  </si>
  <si>
    <t>marker_993_364552.png</t>
  </si>
  <si>
    <t>A-497_2C__544</t>
  </si>
  <si>
    <t>marker_654_364619.png</t>
  </si>
  <si>
    <t>A-497_2C__548</t>
  </si>
  <si>
    <t>marker_278_364665.png</t>
  </si>
  <si>
    <t>A-497_2C__550</t>
  </si>
  <si>
    <t>marker_133_364684.png</t>
  </si>
  <si>
    <t>A-497_2C__556</t>
  </si>
  <si>
    <t>marker_775_366337.png</t>
  </si>
  <si>
    <t>A-497_2C__560</t>
  </si>
  <si>
    <t>marker_428_366377.png</t>
  </si>
  <si>
    <t>A-497_2C__561</t>
  </si>
  <si>
    <t>marker_604_366386.png</t>
  </si>
  <si>
    <t>A-497_2C__562</t>
  </si>
  <si>
    <t>marker_207_366394.png</t>
  </si>
  <si>
    <t>A-497_2C__564</t>
  </si>
  <si>
    <t>marker_492_366424.png</t>
  </si>
  <si>
    <t>A-497_2C__574</t>
  </si>
  <si>
    <t>marker_996_366519.png</t>
  </si>
  <si>
    <t>A-497_2C__577</t>
  </si>
  <si>
    <t>marker_550_366547.png</t>
  </si>
  <si>
    <t>A-497_2C__588</t>
  </si>
  <si>
    <t>marker_316_366650.png</t>
  </si>
  <si>
    <t>A-497_2C__595</t>
  </si>
  <si>
    <t>marker_697_366716.png</t>
  </si>
  <si>
    <t>A-497_2C__597</t>
  </si>
  <si>
    <t>marker_728_366734.png</t>
  </si>
  <si>
    <t>A-497_2C__601</t>
  </si>
  <si>
    <t>marker_249_366773.png</t>
  </si>
  <si>
    <t>A-497_2C__606</t>
  </si>
  <si>
    <t>marker_604_366833.png</t>
  </si>
  <si>
    <t>A-497_2C__608</t>
  </si>
  <si>
    <t>marker_498_366853.png</t>
  </si>
  <si>
    <t>A-497_2C__609</t>
  </si>
  <si>
    <t>marker_554_366862.png</t>
  </si>
  <si>
    <t>A-497_2C__617</t>
  </si>
  <si>
    <t>marker_118_366951.png</t>
  </si>
  <si>
    <t>A-497_2C__620</t>
  </si>
  <si>
    <t>marker_407_366981.png</t>
  </si>
  <si>
    <t>A-497_2C__624</t>
  </si>
  <si>
    <t>marker_286_367026.png</t>
  </si>
  <si>
    <t>A-497__405</t>
  </si>
  <si>
    <t>marker_901_377146.png</t>
  </si>
  <si>
    <t>A-497__397</t>
  </si>
  <si>
    <t>marker_511_377220.png</t>
  </si>
  <si>
    <t>A-497__396</t>
  </si>
  <si>
    <t>marker_205_377228.png</t>
  </si>
  <si>
    <t>A-497__393</t>
  </si>
  <si>
    <t>marker_103_377257.png</t>
  </si>
  <si>
    <t>A-497__391</t>
  </si>
  <si>
    <t>marker_752_377275.png</t>
  </si>
  <si>
    <t>A-497__390</t>
  </si>
  <si>
    <t>marker_316_377285.png</t>
  </si>
  <si>
    <t>A-497__389</t>
  </si>
  <si>
    <t>marker_319_377293.png</t>
  </si>
  <si>
    <t>A-497__337</t>
  </si>
  <si>
    <t>marker_283_377800.png</t>
  </si>
  <si>
    <t>A-497__328</t>
  </si>
  <si>
    <t>marker_474_377890.png</t>
  </si>
  <si>
    <t>A-497__326</t>
  </si>
  <si>
    <t>marker_237_377908.png</t>
  </si>
  <si>
    <t>A-497__321</t>
  </si>
  <si>
    <t>marker_619_377954.png</t>
  </si>
  <si>
    <t>A-497__315</t>
  </si>
  <si>
    <t>marker_253_378020.png</t>
  </si>
  <si>
    <t>A-497__309</t>
  </si>
  <si>
    <t>marker_641_378110.png</t>
  </si>
  <si>
    <t>A-497__303</t>
  </si>
  <si>
    <t>marker_546_378171.png</t>
  </si>
  <si>
    <t>A-497__291</t>
  </si>
  <si>
    <t>marker_271_378343.png</t>
  </si>
  <si>
    <t>A-497__286</t>
  </si>
  <si>
    <t>marker_393_378406.png</t>
  </si>
  <si>
    <t>A-497__262</t>
  </si>
  <si>
    <t>marker_234_378658.png</t>
  </si>
  <si>
    <t>A-497__246</t>
  </si>
  <si>
    <t>marker_160_378821.png</t>
  </si>
  <si>
    <t>A-497__243</t>
  </si>
  <si>
    <t>marker_791_378853.png</t>
  </si>
  <si>
    <t>A-497__239</t>
  </si>
  <si>
    <t>marker_881_378927.png</t>
  </si>
  <si>
    <t>A-497__238</t>
  </si>
  <si>
    <t>marker_674_378936.png</t>
  </si>
  <si>
    <t>A-497__221</t>
  </si>
  <si>
    <t>marker_235_379131.png</t>
  </si>
  <si>
    <t>A-497__212</t>
  </si>
  <si>
    <t>marker_283_379237.png</t>
  </si>
  <si>
    <t>A-497__206</t>
  </si>
  <si>
    <t>marker_850_379312.png</t>
  </si>
  <si>
    <t>A-497__204</t>
  </si>
  <si>
    <t>marker_273_379334.png</t>
  </si>
  <si>
    <t>A-497__203</t>
  </si>
  <si>
    <t>marker_173_379382.png</t>
  </si>
  <si>
    <t>A-497__198</t>
  </si>
  <si>
    <t>marker_105_379431.png</t>
  </si>
  <si>
    <t>A-497__197</t>
  </si>
  <si>
    <t>marker_297_379439.png</t>
  </si>
  <si>
    <t>A-497__196</t>
  </si>
  <si>
    <t>marker_478_379450.png</t>
  </si>
  <si>
    <t>A-497__195</t>
  </si>
  <si>
    <t>marker_300_379460.png</t>
  </si>
  <si>
    <t>A-497__183</t>
  </si>
  <si>
    <t>marker_169_379608.png</t>
  </si>
  <si>
    <t>A-497__170</t>
  </si>
  <si>
    <t>marker_734_379858.png</t>
  </si>
  <si>
    <t>A-497__166</t>
  </si>
  <si>
    <t>marker_158_380192.png</t>
  </si>
  <si>
    <t>A-497__161</t>
  </si>
  <si>
    <t>marker_762_380243.png</t>
  </si>
  <si>
    <t>A-497__160</t>
  </si>
  <si>
    <t>marker_301_380251.png</t>
  </si>
  <si>
    <t>A-497__155</t>
  </si>
  <si>
    <t>marker_436_380296.png</t>
  </si>
  <si>
    <t>A-497__154</t>
  </si>
  <si>
    <t>marker_715_380305.png</t>
  </si>
  <si>
    <t>A-497__153</t>
  </si>
  <si>
    <t>marker_636_380315.png</t>
  </si>
  <si>
    <t>A-497__148</t>
  </si>
  <si>
    <t>marker_168_380366.png</t>
  </si>
  <si>
    <t>A-497__147</t>
  </si>
  <si>
    <t>marker_124_380377.png</t>
  </si>
  <si>
    <t>A-497__146</t>
  </si>
  <si>
    <t>marker_576_380386.png</t>
  </si>
  <si>
    <t>A-497__145</t>
  </si>
  <si>
    <t>marker_509_380394.png</t>
  </si>
  <si>
    <t>A-497__144</t>
  </si>
  <si>
    <t>marker_670_380403.png</t>
  </si>
  <si>
    <t>A-497__143</t>
  </si>
  <si>
    <t>marker_330_380415.png</t>
  </si>
  <si>
    <t>A-497__142</t>
  </si>
  <si>
    <t>marker_543_380423.png</t>
  </si>
  <si>
    <t>A-497__141</t>
  </si>
  <si>
    <t>marker_309_380433.png</t>
  </si>
  <si>
    <t>A-497__109</t>
  </si>
  <si>
    <t>marker_442_380736.png</t>
  </si>
  <si>
    <t>A-497__106</t>
  </si>
  <si>
    <t>marker_834_380767.png</t>
  </si>
  <si>
    <t>A-497__105</t>
  </si>
  <si>
    <t>marker_478_380776.png</t>
  </si>
  <si>
    <t>A-497__104</t>
  </si>
  <si>
    <t>marker_830_380787.png</t>
  </si>
  <si>
    <t>A-497__100</t>
  </si>
  <si>
    <t>marker_782_380837.png</t>
  </si>
  <si>
    <t>A-497__96</t>
  </si>
  <si>
    <t>marker_323_380879.png</t>
  </si>
  <si>
    <t>A-497__93</t>
  </si>
  <si>
    <t>marker_847_380906.png</t>
  </si>
  <si>
    <t>A-490__246</t>
  </si>
  <si>
    <t>marker_232_749422.png</t>
  </si>
  <si>
    <t>A-490__250</t>
  </si>
  <si>
    <t>marker_912_749496.png</t>
  </si>
  <si>
    <t>A-490__257</t>
  </si>
  <si>
    <t>marker_609_749644.png</t>
  </si>
  <si>
    <t>A-490__629</t>
  </si>
  <si>
    <t>marker_751_789296.png</t>
  </si>
  <si>
    <t>A-490__630</t>
  </si>
  <si>
    <t>marker_946_789339.png</t>
  </si>
  <si>
    <t>A-492__19</t>
  </si>
  <si>
    <t>marker_293_822009.png</t>
  </si>
  <si>
    <t>A-492__64</t>
  </si>
  <si>
    <t>marker_878_823190.png</t>
  </si>
  <si>
    <t>A-492__65</t>
  </si>
  <si>
    <t>marker_197_823203.png</t>
  </si>
  <si>
    <t>A-492__72</t>
  </si>
  <si>
    <t>marker_543_823361.png</t>
  </si>
  <si>
    <t>A-492__75</t>
  </si>
  <si>
    <t>marker_327_823407.png</t>
  </si>
  <si>
    <t>A-492__76</t>
  </si>
  <si>
    <t>marker_768_823421.png</t>
  </si>
  <si>
    <t>A-492__91</t>
  </si>
  <si>
    <t>marker_725_823631.png</t>
  </si>
  <si>
    <t>A-492__251</t>
  </si>
  <si>
    <t>marker_209_836109.png</t>
  </si>
  <si>
    <t>A-492__252</t>
  </si>
  <si>
    <t>marker_856_836119.png</t>
  </si>
  <si>
    <t>A-492__320</t>
  </si>
  <si>
    <t>marker_631_837946.png</t>
  </si>
  <si>
    <t>A-492__478</t>
  </si>
  <si>
    <t>marker_288_840134.png</t>
  </si>
  <si>
    <t>A-492__479</t>
  </si>
  <si>
    <t>marker_984_840144.png</t>
  </si>
  <si>
    <t>A-495R__47</t>
  </si>
  <si>
    <t>marker_873_935694.png</t>
  </si>
  <si>
    <t>A-495R__9</t>
  </si>
  <si>
    <t>marker_697_937016.png</t>
  </si>
  <si>
    <t>A-495R__3</t>
  </si>
  <si>
    <t>marker_535_937089.png</t>
  </si>
  <si>
    <t>A-497__30</t>
  </si>
  <si>
    <t>marker_593_940802.png</t>
  </si>
  <si>
    <t>A-497__25</t>
  </si>
  <si>
    <t>marker_723_943716.png</t>
  </si>
  <si>
    <t>A-490__22</t>
  </si>
  <si>
    <t>marker_772_730713.png</t>
  </si>
  <si>
    <t>A-490__52</t>
  </si>
  <si>
    <t>marker_152_732343.png</t>
  </si>
  <si>
    <t>A-490__168</t>
  </si>
  <si>
    <t>marker_526_741425.png</t>
  </si>
  <si>
    <t>A-490__189</t>
  </si>
  <si>
    <t>marker_625_742023.png</t>
  </si>
  <si>
    <t>A-490__229</t>
  </si>
  <si>
    <t>marker_146_743811.png</t>
  </si>
  <si>
    <t>A-490__253</t>
  </si>
  <si>
    <t>marker_914_749567.png</t>
  </si>
  <si>
    <t>A-490__353</t>
  </si>
  <si>
    <t>marker_989_751729.png</t>
  </si>
  <si>
    <t>A-490__359</t>
  </si>
  <si>
    <t>marker_495_751861.png</t>
  </si>
  <si>
    <t>A-490__360</t>
  </si>
  <si>
    <t>marker_444_751877.png</t>
  </si>
  <si>
    <t>A-490__362</t>
  </si>
  <si>
    <t>marker_134_751926.png</t>
  </si>
  <si>
    <t>A-490__374</t>
  </si>
  <si>
    <t>marker_245_752181.png</t>
  </si>
  <si>
    <t>A-490__379</t>
  </si>
  <si>
    <t>marker_173_752315.png</t>
  </si>
  <si>
    <t>A-490__381</t>
  </si>
  <si>
    <t>marker_684_752355.png</t>
  </si>
  <si>
    <t>A-490__392</t>
  </si>
  <si>
    <t>marker_575_752591.png</t>
  </si>
  <si>
    <t>A-490__394</t>
  </si>
  <si>
    <t>marker_564_752892.png</t>
  </si>
  <si>
    <t>A-490__405</t>
  </si>
  <si>
    <t>marker_947_753128.png</t>
  </si>
  <si>
    <t>A-490__445</t>
  </si>
  <si>
    <t>marker_832_754859.png</t>
  </si>
  <si>
    <t>A-490__460</t>
  </si>
  <si>
    <t>marker_419_755215.png</t>
  </si>
  <si>
    <t>A-490__524</t>
  </si>
  <si>
    <t>marker_137_818112.png</t>
  </si>
  <si>
    <t>A-492__9</t>
  </si>
  <si>
    <t>marker_516_821869.png</t>
  </si>
  <si>
    <t>A-492__20</t>
  </si>
  <si>
    <t>marker_647_822021.png</t>
  </si>
  <si>
    <t>A-492__26</t>
  </si>
  <si>
    <t>marker_420_822235.png</t>
  </si>
  <si>
    <t>A-492__54</t>
  </si>
  <si>
    <t>marker_363_823063.png</t>
  </si>
  <si>
    <t>A-492__127</t>
  </si>
  <si>
    <t>marker_685_824502.png</t>
  </si>
  <si>
    <t>A-492__307</t>
  </si>
  <si>
    <t>marker_871_837632.png</t>
  </si>
  <si>
    <t>A-492__461</t>
  </si>
  <si>
    <t>marker_488_839940.png</t>
  </si>
  <si>
    <t>A-492__464</t>
  </si>
  <si>
    <t>marker_449_839971.png</t>
  </si>
  <si>
    <t>A-495R__16</t>
  </si>
  <si>
    <t>marker_796_936835.png</t>
  </si>
  <si>
    <t>A-495R__5</t>
  </si>
  <si>
    <t>marker_523_937064.png</t>
  </si>
  <si>
    <t>A-497__79</t>
  </si>
  <si>
    <t>marker_802_937930.png</t>
  </si>
  <si>
    <t>A-497__76</t>
  </si>
  <si>
    <t>marker_968_937979.png</t>
  </si>
  <si>
    <t>A-497__72</t>
  </si>
  <si>
    <t>marker_949_938025.png</t>
  </si>
  <si>
    <t>A-497__58</t>
  </si>
  <si>
    <t>marker_570_938284.png</t>
  </si>
  <si>
    <t>A-497__57</t>
  </si>
  <si>
    <t>marker_960_938295.png</t>
  </si>
  <si>
    <t>A-497__54</t>
  </si>
  <si>
    <t>marker_670_938340.png</t>
  </si>
  <si>
    <t>A-497__51</t>
  </si>
  <si>
    <t>marker_801_938376.png</t>
  </si>
  <si>
    <t>A-497__49</t>
  </si>
  <si>
    <t>marker_735_938406.png</t>
  </si>
  <si>
    <t>A-497__46</t>
  </si>
  <si>
    <t>marker_499_938439.png</t>
  </si>
  <si>
    <t>A-497__45</t>
  </si>
  <si>
    <t>marker_658_938449.png</t>
  </si>
  <si>
    <t>A-497__42</t>
  </si>
  <si>
    <t>marker_166_940255.png</t>
  </si>
  <si>
    <t>A-497__38</t>
  </si>
  <si>
    <t>marker_234_940302.png</t>
  </si>
  <si>
    <t>A-497__34</t>
  </si>
  <si>
    <t>marker_306_940557.png</t>
  </si>
  <si>
    <t>A-497__33</t>
  </si>
  <si>
    <t>marker_393_940568.png</t>
  </si>
  <si>
    <t>A-497__31</t>
  </si>
  <si>
    <t>marker_811_940683.png</t>
  </si>
  <si>
    <t>A-5050__169</t>
  </si>
  <si>
    <t>marker_842_944298.png</t>
  </si>
  <si>
    <t>A-5050__148</t>
  </si>
  <si>
    <t>marker_818_945420.png</t>
  </si>
  <si>
    <t>A-5050__141</t>
  </si>
  <si>
    <t>marker_155_945829.png</t>
  </si>
  <si>
    <t>A-5050__101</t>
  </si>
  <si>
    <t>marker_632_946795.png</t>
  </si>
  <si>
    <t>A-5050__81</t>
  </si>
  <si>
    <t>marker_603_948761.png</t>
  </si>
  <si>
    <t>A-5050__79</t>
  </si>
  <si>
    <t>marker_518_948784.png</t>
  </si>
  <si>
    <t>A-5050__22</t>
  </si>
  <si>
    <t>marker_720_949439.png</t>
  </si>
  <si>
    <t>A-5052__6</t>
  </si>
  <si>
    <t>marker_310_949930.png</t>
  </si>
  <si>
    <t>A-5052__9</t>
  </si>
  <si>
    <t>marker_970_950011.png</t>
  </si>
  <si>
    <t>A-5052__14</t>
  </si>
  <si>
    <t>marker_747_950145.png</t>
  </si>
  <si>
    <t>A-5052__42</t>
  </si>
  <si>
    <t>marker_833_956832.png</t>
  </si>
  <si>
    <t>A-5052__66</t>
  </si>
  <si>
    <t>marker_187_957129.png</t>
  </si>
  <si>
    <t>A-5052__130</t>
  </si>
  <si>
    <t>marker_355_958109.png</t>
  </si>
  <si>
    <t>A-5052__136</t>
  </si>
  <si>
    <t>marker_825_958175.png</t>
  </si>
  <si>
    <t>A-5052__137</t>
  </si>
  <si>
    <t>marker_139_958186.png</t>
  </si>
  <si>
    <t>A-5052__167</t>
  </si>
  <si>
    <t>marker_768_958921.png</t>
  </si>
  <si>
    <t>A-5052__204</t>
  </si>
  <si>
    <t>marker_733_959511.png</t>
  </si>
  <si>
    <t>A-5052__244</t>
  </si>
  <si>
    <t>marker_613_959999.png</t>
  </si>
  <si>
    <t>A-5052__293</t>
  </si>
  <si>
    <t>marker_125_960742.png</t>
  </si>
  <si>
    <t>A-5052__307</t>
  </si>
  <si>
    <t>marker_515_961054.png</t>
  </si>
  <si>
    <t>A-5052__360</t>
  </si>
  <si>
    <t>marker_201_961858.png</t>
  </si>
  <si>
    <t>A-5052__361</t>
  </si>
  <si>
    <t>marker_442_961866.png</t>
  </si>
  <si>
    <t>A-5052__372</t>
  </si>
  <si>
    <t>marker_898_962313.png</t>
  </si>
  <si>
    <t>A-5052__377</t>
  </si>
  <si>
    <t>marker_663_962447.png</t>
  </si>
  <si>
    <t>A-5052__378</t>
  </si>
  <si>
    <t>marker_295_962456.png</t>
  </si>
  <si>
    <t>A-5052__389</t>
  </si>
  <si>
    <t>marker_201_962569.png</t>
  </si>
  <si>
    <t>A-5052__394</t>
  </si>
  <si>
    <t>marker_996_962613.png</t>
  </si>
  <si>
    <t>A-5052__407</t>
  </si>
  <si>
    <t>marker_558_962746.png</t>
  </si>
  <si>
    <t>A-5052__471</t>
  </si>
  <si>
    <t>marker_398_963398.png</t>
  </si>
  <si>
    <t>A-5052__478</t>
  </si>
  <si>
    <t>marker_921_963468.png</t>
  </si>
  <si>
    <t>A-5052__498</t>
  </si>
  <si>
    <t>marker_766_963659.png</t>
  </si>
  <si>
    <t>A-5052__500</t>
  </si>
  <si>
    <t>marker_324_963680.png</t>
  </si>
  <si>
    <t>A-5053__373</t>
  </si>
  <si>
    <t>marker_889_963927.png</t>
  </si>
  <si>
    <t>A-5053__371</t>
  </si>
  <si>
    <t>marker_514_963948.png</t>
  </si>
  <si>
    <t>A-5053__339</t>
  </si>
  <si>
    <t>marker_534_964361.png</t>
  </si>
  <si>
    <t>A-5053__338</t>
  </si>
  <si>
    <t>marker_303_964369.png</t>
  </si>
  <si>
    <t>A-5053__337</t>
  </si>
  <si>
    <t>marker_862_964378.png</t>
  </si>
  <si>
    <t>A-5053__336</t>
  </si>
  <si>
    <t>marker_769_964389.png</t>
  </si>
  <si>
    <t>A-5053__335</t>
  </si>
  <si>
    <t>marker_801_964400.png</t>
  </si>
  <si>
    <t>A-5053__333</t>
  </si>
  <si>
    <t>marker_111_964425.png</t>
  </si>
  <si>
    <t>A-5053__314</t>
  </si>
  <si>
    <t>marker_946_964635.png</t>
  </si>
  <si>
    <t>A-5053__293</t>
  </si>
  <si>
    <t>marker_279_964931.png</t>
  </si>
  <si>
    <t>A-5053__290</t>
  </si>
  <si>
    <t>marker_891_964958.png</t>
  </si>
  <si>
    <t>A-5053__282</t>
  </si>
  <si>
    <t>marker_641_965041.png</t>
  </si>
  <si>
    <t>A-5053__274</t>
  </si>
  <si>
    <t>marker_959_965113.png</t>
  </si>
  <si>
    <t>A-5053__272</t>
  </si>
  <si>
    <t>marker_278_965131.png</t>
  </si>
  <si>
    <t>A-5053__258</t>
  </si>
  <si>
    <t>marker_564_965276.png</t>
  </si>
  <si>
    <t>A-5053__247</t>
  </si>
  <si>
    <t>marker_825_965438.png</t>
  </si>
  <si>
    <t>A-5053__244</t>
  </si>
  <si>
    <t>marker_949_965463.png</t>
  </si>
  <si>
    <t>A-5053__230</t>
  </si>
  <si>
    <t>marker_563_965595.png</t>
  </si>
  <si>
    <t>A-5053__224</t>
  </si>
  <si>
    <t>marker_380_965654.png</t>
  </si>
  <si>
    <t>A-5053__222</t>
  </si>
  <si>
    <t>marker_816_965671.png</t>
  </si>
  <si>
    <t>A-5053__219</t>
  </si>
  <si>
    <t>marker_466_965698.png</t>
  </si>
  <si>
    <t>A-5053__124</t>
  </si>
  <si>
    <t>marker_757_019551.png</t>
  </si>
  <si>
    <t>A-5053__122</t>
  </si>
  <si>
    <t>marker_149_019570.png</t>
  </si>
  <si>
    <t>A-5053__112</t>
  </si>
  <si>
    <t>marker_189_019683.png</t>
  </si>
  <si>
    <t>A-5053__111</t>
  </si>
  <si>
    <t>marker_823_019692.png</t>
  </si>
  <si>
    <t>A-5053__105</t>
  </si>
  <si>
    <t>marker_574_019768.png</t>
  </si>
  <si>
    <t>A-5053__97</t>
  </si>
  <si>
    <t>marker_637_019842.png</t>
  </si>
  <si>
    <t>A-5053__96</t>
  </si>
  <si>
    <t>marker_617_019851.png</t>
  </si>
  <si>
    <t>A-5053__63</t>
  </si>
  <si>
    <t>marker_415_020772.png</t>
  </si>
  <si>
    <t>A-5053__61</t>
  </si>
  <si>
    <t>marker_512_020793.png</t>
  </si>
  <si>
    <t>A-5053__60</t>
  </si>
  <si>
    <t>marker_436_020802.png</t>
  </si>
  <si>
    <t>A-5053__59</t>
  </si>
  <si>
    <t>marker_165_020894.png</t>
  </si>
  <si>
    <t>A-5053__53</t>
  </si>
  <si>
    <t>marker_255_020951.png</t>
  </si>
  <si>
    <t>A-5053__52</t>
  </si>
  <si>
    <t>marker_626_020974.png</t>
  </si>
  <si>
    <t>A-5053__51</t>
  </si>
  <si>
    <t>marker_207_020983.png</t>
  </si>
  <si>
    <t>A-5053__50</t>
  </si>
  <si>
    <t>marker_287_020992.png</t>
  </si>
  <si>
    <t>A-5053__48</t>
  </si>
  <si>
    <t>marker_648_021018.png</t>
  </si>
  <si>
    <t>A-5053__41</t>
  </si>
  <si>
    <t>marker_847_021704.png</t>
  </si>
  <si>
    <t>A-5053__25</t>
  </si>
  <si>
    <t>marker_457_022416.png</t>
  </si>
  <si>
    <t>A-5053__16</t>
  </si>
  <si>
    <t>marker_322_025042.png</t>
  </si>
  <si>
    <t>A-5053__14</t>
  </si>
  <si>
    <t>marker_506_025062.png</t>
  </si>
  <si>
    <t>A-495__22</t>
  </si>
  <si>
    <t>marker_682_381315.png</t>
  </si>
  <si>
    <t>A-495__28</t>
  </si>
  <si>
    <t>marker_667_381378.png</t>
  </si>
  <si>
    <t>A-495__29</t>
  </si>
  <si>
    <t>marker_163_381388.png</t>
  </si>
  <si>
    <t>A-495__56</t>
  </si>
  <si>
    <t>marker_490_381670.png</t>
  </si>
  <si>
    <t>A-495__58</t>
  </si>
  <si>
    <t>marker_973_381692.png</t>
  </si>
  <si>
    <t>A-495__67</t>
  </si>
  <si>
    <t>marker_180_381786.png</t>
  </si>
  <si>
    <t>A-495__75</t>
  </si>
  <si>
    <t>marker_338_381867.png</t>
  </si>
  <si>
    <t>A-495__80</t>
  </si>
  <si>
    <t>marker_947_381933.png</t>
  </si>
  <si>
    <t>A-495__87</t>
  </si>
  <si>
    <t>marker_867_382013.png</t>
  </si>
  <si>
    <t>A-495__95</t>
  </si>
  <si>
    <t>marker_746_382108.png</t>
  </si>
  <si>
    <t>A-495__110</t>
  </si>
  <si>
    <t>marker_731_382274.png</t>
  </si>
  <si>
    <t>A-5059__83</t>
  </si>
  <si>
    <t>marker_994_378694.png</t>
  </si>
  <si>
    <t>A-5059__80</t>
  </si>
  <si>
    <t>marker_647_378739.png</t>
  </si>
  <si>
    <t>A-495__125</t>
  </si>
  <si>
    <t>marker_664_382423.png</t>
  </si>
  <si>
    <t>A-5059__43</t>
  </si>
  <si>
    <t>marker_469_379267.png</t>
  </si>
  <si>
    <t>A-495__144</t>
  </si>
  <si>
    <t>marker_584_382615.png</t>
  </si>
  <si>
    <t>A-5059__5</t>
  </si>
  <si>
    <t>marker_475_379626.png</t>
  </si>
  <si>
    <t>A-5058__31</t>
  </si>
  <si>
    <t>marker_464_380200.png</t>
  </si>
  <si>
    <t>A-5058__32</t>
  </si>
  <si>
    <t>marker_207_380212.png</t>
  </si>
  <si>
    <t>A-5058__86</t>
  </si>
  <si>
    <t>marker_716_380944.png</t>
  </si>
  <si>
    <t>A-5058__99</t>
  </si>
  <si>
    <t>marker_349_381099.png</t>
  </si>
  <si>
    <t>A-5058__140</t>
  </si>
  <si>
    <t>marker_130_381572.png</t>
  </si>
  <si>
    <t>A-5058__143</t>
  </si>
  <si>
    <t>marker_877_381622.png</t>
  </si>
  <si>
    <t>A-5058__153</t>
  </si>
  <si>
    <t>marker_316_381739.png</t>
  </si>
  <si>
    <t>A-5058__156</t>
  </si>
  <si>
    <t>marker_211_381768.png</t>
  </si>
  <si>
    <t>A-5058__165</t>
  </si>
  <si>
    <t>marker_651_381877.png</t>
  </si>
  <si>
    <t>A-5058__166</t>
  </si>
  <si>
    <t>marker_844_381887.png</t>
  </si>
  <si>
    <t>A-5058__168</t>
  </si>
  <si>
    <t>marker_689_382315.png</t>
  </si>
  <si>
    <t>A-5058__174</t>
  </si>
  <si>
    <t>marker_870_382454.png</t>
  </si>
  <si>
    <t>A-5058__176</t>
  </si>
  <si>
    <t>marker_236_382475.png</t>
  </si>
  <si>
    <t>A-5058__180</t>
  </si>
  <si>
    <t>marker_208_382662.png</t>
  </si>
  <si>
    <t>A-5058__184</t>
  </si>
  <si>
    <t>marker_782_382717.png</t>
  </si>
  <si>
    <t>A-5058__188</t>
  </si>
  <si>
    <t>marker_993_382758.png</t>
  </si>
  <si>
    <t>A-5058__193</t>
  </si>
  <si>
    <t>marker_276_382814.png</t>
  </si>
  <si>
    <t>A-5058__195</t>
  </si>
  <si>
    <t>marker_150_382837.png</t>
  </si>
  <si>
    <t>A-5058__198</t>
  </si>
  <si>
    <t>marker_140_382870.png</t>
  </si>
  <si>
    <t>A-5058__199</t>
  </si>
  <si>
    <t>marker_970_382879.png</t>
  </si>
  <si>
    <t>A-5058__201</t>
  </si>
  <si>
    <t>marker_433_382903.png</t>
  </si>
  <si>
    <t>A-5058__204</t>
  </si>
  <si>
    <t>marker_404_382931.png</t>
  </si>
  <si>
    <t>A-5058__206</t>
  </si>
  <si>
    <t>marker_769_382969.png</t>
  </si>
  <si>
    <t>A-5058__208</t>
  </si>
  <si>
    <t>marker_677_382989.png</t>
  </si>
  <si>
    <t>A-5058__210</t>
  </si>
  <si>
    <t>marker_128_383021.png</t>
  </si>
  <si>
    <t>A-5058__211</t>
  </si>
  <si>
    <t>marker_457_383029.png</t>
  </si>
  <si>
    <t>A-5058__212</t>
  </si>
  <si>
    <t>marker_262_383041.png</t>
  </si>
  <si>
    <t>A-5058__213</t>
  </si>
  <si>
    <t>marker_573_383052.png</t>
  </si>
  <si>
    <t>A-5058__214</t>
  </si>
  <si>
    <t>marker_382_383062.png</t>
  </si>
  <si>
    <t>A-5058__215</t>
  </si>
  <si>
    <t>marker_179_383071.png</t>
  </si>
  <si>
    <t>A-5058__217</t>
  </si>
  <si>
    <t>marker_233_383092.png</t>
  </si>
  <si>
    <t>A-5058__219</t>
  </si>
  <si>
    <t>marker_224_383110.png</t>
  </si>
  <si>
    <t>A-5058__220</t>
  </si>
  <si>
    <t>marker_603_383128.png</t>
  </si>
  <si>
    <t>A-5058__221</t>
  </si>
  <si>
    <t>marker_594_383149.png</t>
  </si>
  <si>
    <t>A-5058__222</t>
  </si>
  <si>
    <t>marker_103_383158.png</t>
  </si>
  <si>
    <t>A-5058__223</t>
  </si>
  <si>
    <t>marker_970_383168.png</t>
  </si>
  <si>
    <t>A-5058__224</t>
  </si>
  <si>
    <t>marker_573_383182.png</t>
  </si>
  <si>
    <t>A-5058__227</t>
  </si>
  <si>
    <t>marker_850_383213.png</t>
  </si>
  <si>
    <t>A-5058__228</t>
  </si>
  <si>
    <t>marker_109_383225.png</t>
  </si>
  <si>
    <t>A-5058__238</t>
  </si>
  <si>
    <t>marker_547_383343.png</t>
  </si>
  <si>
    <t>A-5058__239</t>
  </si>
  <si>
    <t>marker_368_383356.png</t>
  </si>
  <si>
    <t>A-5058__241</t>
  </si>
  <si>
    <t>marker_695_383386.png</t>
  </si>
  <si>
    <t>A-5058__242</t>
  </si>
  <si>
    <t>marker_171_383402.png</t>
  </si>
  <si>
    <t>A-5058__243</t>
  </si>
  <si>
    <t>marker_821_383413.png</t>
  </si>
  <si>
    <t>A-5058__244</t>
  </si>
  <si>
    <t>marker_395_383424.png</t>
  </si>
  <si>
    <t>A-5058__245</t>
  </si>
  <si>
    <t>marker_885_383440.png</t>
  </si>
  <si>
    <t>A-5058__246</t>
  </si>
  <si>
    <t>marker_259_383450.png</t>
  </si>
  <si>
    <t>A-5058__248</t>
  </si>
  <si>
    <t>marker_906_383473.png</t>
  </si>
  <si>
    <t>A-5058__251</t>
  </si>
  <si>
    <t>marker_200_383532.png</t>
  </si>
  <si>
    <t>A-5058__252</t>
  </si>
  <si>
    <t>marker_101_383544.png</t>
  </si>
  <si>
    <t>A-5058__255</t>
  </si>
  <si>
    <t>marker_471_383594.png</t>
  </si>
  <si>
    <t>A-5058__256</t>
  </si>
  <si>
    <t>marker_799_383608.png</t>
  </si>
  <si>
    <t>A-5058__257</t>
  </si>
  <si>
    <t>marker_764_383632.png</t>
  </si>
  <si>
    <t>A-5058__258</t>
  </si>
  <si>
    <t>marker_699_383641.png</t>
  </si>
  <si>
    <t>A-5058__268</t>
  </si>
  <si>
    <t>marker_788_383894.png</t>
  </si>
  <si>
    <t>A-5058__273</t>
  </si>
  <si>
    <t>marker_863_383953.png</t>
  </si>
  <si>
    <t>A-5058__299</t>
  </si>
  <si>
    <t>marker_235_384259.png</t>
  </si>
  <si>
    <t>A-5058__313</t>
  </si>
  <si>
    <t>marker_230_384425.png</t>
  </si>
  <si>
    <t>A-5058__315</t>
  </si>
  <si>
    <t>marker_752_384450.png</t>
  </si>
  <si>
    <t>A-5058__320</t>
  </si>
  <si>
    <t>marker_733_384502.png</t>
  </si>
  <si>
    <t>A-5058__325</t>
  </si>
  <si>
    <t>marker_309_384561.png</t>
  </si>
  <si>
    <t>A-5058__326</t>
  </si>
  <si>
    <t>marker_285_384571.png</t>
  </si>
  <si>
    <t>A-5058__328</t>
  </si>
  <si>
    <t>marker_727_384595.png</t>
  </si>
  <si>
    <t>A-5058__336</t>
  </si>
  <si>
    <t>marker_373_384714.png</t>
  </si>
  <si>
    <t>A-5058__349</t>
  </si>
  <si>
    <t>marker_719_384856.png</t>
  </si>
  <si>
    <t>A-5058__350</t>
  </si>
  <si>
    <t>marker_576_384866.png</t>
  </si>
  <si>
    <t>A-5058__351</t>
  </si>
  <si>
    <t>marker_159_384878.png</t>
  </si>
  <si>
    <t>A-5058__352</t>
  </si>
  <si>
    <t>marker_873_384889.png</t>
  </si>
  <si>
    <t>A-5058__353</t>
  </si>
  <si>
    <t>marker_939_384898.png</t>
  </si>
  <si>
    <t>A-5058__354</t>
  </si>
  <si>
    <t>marker_783_384907.png</t>
  </si>
  <si>
    <t>A-5058__356</t>
  </si>
  <si>
    <t>marker_555_384926.png</t>
  </si>
  <si>
    <t>A-5058__357</t>
  </si>
  <si>
    <t>marker_678_384935.png</t>
  </si>
  <si>
    <t>A-5058__360</t>
  </si>
  <si>
    <t>marker_988_384972.png</t>
  </si>
  <si>
    <t>A-5058__362</t>
  </si>
  <si>
    <t>marker_206_384992.png</t>
  </si>
  <si>
    <t>A-5058__364</t>
  </si>
  <si>
    <t>marker_359_385013.png</t>
  </si>
  <si>
    <t>A-5058__365</t>
  </si>
  <si>
    <t>marker_820_385025.png</t>
  </si>
  <si>
    <t>A-5058__373</t>
  </si>
  <si>
    <t>marker_987_385107.png</t>
  </si>
  <si>
    <t>A-5058__374</t>
  </si>
  <si>
    <t>marker_545_385119.png</t>
  </si>
  <si>
    <t>A-5058__375</t>
  </si>
  <si>
    <t>marker_973_385130.png</t>
  </si>
  <si>
    <t>A-5058__380</t>
  </si>
  <si>
    <t>marker_672_385197.png</t>
  </si>
  <si>
    <t>A-5058__381</t>
  </si>
  <si>
    <t>marker_498_385220.png</t>
  </si>
  <si>
    <t>A-5058__382</t>
  </si>
  <si>
    <t>marker_356_385231.png</t>
  </si>
  <si>
    <t>A-5058__384</t>
  </si>
  <si>
    <t>marker_782_385249.png</t>
  </si>
  <si>
    <t>A-5058__389</t>
  </si>
  <si>
    <t>marker_236_385295.png</t>
  </si>
  <si>
    <t>A-5058__394</t>
  </si>
  <si>
    <t>marker_216_385342.png</t>
  </si>
  <si>
    <t>A-5058__397</t>
  </si>
  <si>
    <t>marker_150_385391.png</t>
  </si>
  <si>
    <t>A-5058__399</t>
  </si>
  <si>
    <t>marker_115_385419.png</t>
  </si>
  <si>
    <t>A-5058__402</t>
  </si>
  <si>
    <t>marker_182_388517.png</t>
  </si>
  <si>
    <t>A-5058__404</t>
  </si>
  <si>
    <t>marker_847_388576.png</t>
  </si>
  <si>
    <t>A-5058__405</t>
  </si>
  <si>
    <t>marker_156_388587.png</t>
  </si>
  <si>
    <t>A-5058__412</t>
  </si>
  <si>
    <t>marker_459_388669.png</t>
  </si>
  <si>
    <t>A-5058__414</t>
  </si>
  <si>
    <t>marker_501_388688.png</t>
  </si>
  <si>
    <t>A-5058__416</t>
  </si>
  <si>
    <t>marker_897_388705.png</t>
  </si>
  <si>
    <t>A-5058__418</t>
  </si>
  <si>
    <t>marker_584_388726.png</t>
  </si>
  <si>
    <t>A-5058__419</t>
  </si>
  <si>
    <t>marker_591_388745.png</t>
  </si>
  <si>
    <t>A-5058__420</t>
  </si>
  <si>
    <t>marker_418_388754.png</t>
  </si>
  <si>
    <t>A-5058__421</t>
  </si>
  <si>
    <t>marker_537_388763.png</t>
  </si>
  <si>
    <t>A-5058__425</t>
  </si>
  <si>
    <t>marker_850_388803.png</t>
  </si>
  <si>
    <t>A-5058__427</t>
  </si>
  <si>
    <t>marker_198_388825.png</t>
  </si>
  <si>
    <t>A-5058__428</t>
  </si>
  <si>
    <t>marker_767_388834.png</t>
  </si>
  <si>
    <t>A-5058__430</t>
  </si>
  <si>
    <t>marker_560_388851.png</t>
  </si>
  <si>
    <t>A-5058__431</t>
  </si>
  <si>
    <t>marker_719_388873.png</t>
  </si>
  <si>
    <t>A-5058__432</t>
  </si>
  <si>
    <t>marker_985_388883.png</t>
  </si>
  <si>
    <t>A-5058__435</t>
  </si>
  <si>
    <t>marker_783_388911.png</t>
  </si>
  <si>
    <t>A-5058__436</t>
  </si>
  <si>
    <t>marker_454_388921.png</t>
  </si>
  <si>
    <t>A-5058__437</t>
  </si>
  <si>
    <t>marker_267_388936.png</t>
  </si>
  <si>
    <t>A-5058__438</t>
  </si>
  <si>
    <t>marker_460_388945.png</t>
  </si>
  <si>
    <t>A-5058__439</t>
  </si>
  <si>
    <t>marker_273_388959.png</t>
  </si>
  <si>
    <t>A-5058__454</t>
  </si>
  <si>
    <t>marker_495_389131.png</t>
  </si>
  <si>
    <t>A-5058__455</t>
  </si>
  <si>
    <t>marker_579_389140.png</t>
  </si>
  <si>
    <t>A-5058__462</t>
  </si>
  <si>
    <t>marker_324_389333.png</t>
  </si>
  <si>
    <t>A-5058__464</t>
  </si>
  <si>
    <t>marker_345_389350.png</t>
  </si>
  <si>
    <t>A-5058__465</t>
  </si>
  <si>
    <t>marker_705_389360.png</t>
  </si>
  <si>
    <t>A-5058__466</t>
  </si>
  <si>
    <t>marker_420_389368.png</t>
  </si>
  <si>
    <t>A-5058__467</t>
  </si>
  <si>
    <t>marker_924_389377.png</t>
  </si>
  <si>
    <t>A-5058__470</t>
  </si>
  <si>
    <t>marker_137_389404.png</t>
  </si>
  <si>
    <t>A-495__10</t>
  </si>
  <si>
    <t>marker_389_381162.png</t>
  </si>
  <si>
    <t>A-495__54</t>
  </si>
  <si>
    <t>marker_122_381653.png</t>
  </si>
  <si>
    <t>A-495_1__192</t>
  </si>
  <si>
    <t>marker_297_383710.png</t>
  </si>
  <si>
    <t>A-495_1__191</t>
  </si>
  <si>
    <t>marker_783_383719.png</t>
  </si>
  <si>
    <t>A-495_1__190</t>
  </si>
  <si>
    <t>marker_440_383727.png</t>
  </si>
  <si>
    <t>A-495_1__185</t>
  </si>
  <si>
    <t>marker_470_383775.png</t>
  </si>
  <si>
    <t>A-495_1__174</t>
  </si>
  <si>
    <t>marker_533_383952.png</t>
  </si>
  <si>
    <t>A-495_1__172</t>
  </si>
  <si>
    <t>marker_988_383968.png</t>
  </si>
  <si>
    <t>A-495_1__167</t>
  </si>
  <si>
    <t>marker_647_384019.png</t>
  </si>
  <si>
    <t>A-495_1__166</t>
  </si>
  <si>
    <t>marker_120_384029.png</t>
  </si>
  <si>
    <t>A-495_1__164</t>
  </si>
  <si>
    <t>marker_166_384046.png</t>
  </si>
  <si>
    <t>A-495_1__149</t>
  </si>
  <si>
    <t>marker_638_384251.png</t>
  </si>
  <si>
    <t>A-495_1__148</t>
  </si>
  <si>
    <t>marker_431_384261.png</t>
  </si>
  <si>
    <t>A-495_1__132</t>
  </si>
  <si>
    <t>marker_507_384455.png</t>
  </si>
  <si>
    <t>A-495_1__118</t>
  </si>
  <si>
    <t>marker_446_384597.png</t>
  </si>
  <si>
    <t>A-495_1__117</t>
  </si>
  <si>
    <t>marker_286_384606.png</t>
  </si>
  <si>
    <t>A-495_1__114</t>
  </si>
  <si>
    <t>marker_328_384682.png</t>
  </si>
  <si>
    <t>A-495_1__98</t>
  </si>
  <si>
    <t>marker_361_385060.png</t>
  </si>
  <si>
    <t>A-495_1__73</t>
  </si>
  <si>
    <t>marker_527_385298.png</t>
  </si>
  <si>
    <t>A-495_1__61</t>
  </si>
  <si>
    <t>marker_375_385413.png</t>
  </si>
  <si>
    <t>A-495_1__45</t>
  </si>
  <si>
    <t>marker_830_385609.png</t>
  </si>
  <si>
    <t>A-495_1__38</t>
  </si>
  <si>
    <t>marker_955_385672.png</t>
  </si>
  <si>
    <t>A-495_1__13</t>
  </si>
  <si>
    <t>marker_200_386195.png</t>
  </si>
  <si>
    <t>A-495_1__12</t>
  </si>
  <si>
    <t>marker_811_386207.png</t>
  </si>
  <si>
    <t>A-495_1__11</t>
  </si>
  <si>
    <t>marker_743_386216.png</t>
  </si>
  <si>
    <t>A-495_1__9</t>
  </si>
  <si>
    <t>marker_462_386236.png</t>
  </si>
  <si>
    <t>A-495_1__8</t>
  </si>
  <si>
    <t>marker_228_386244.png</t>
  </si>
  <si>
    <t>A-495_1__7</t>
  </si>
  <si>
    <t>marker_457_386253.png</t>
  </si>
  <si>
    <t>A-495_1__5</t>
  </si>
  <si>
    <t>marker_617_386274.png</t>
  </si>
  <si>
    <t>A-495_1__4</t>
  </si>
  <si>
    <t>marker_958_386285.png</t>
  </si>
  <si>
    <t>A-495_1__2</t>
  </si>
  <si>
    <t>marker_738_386308.png</t>
  </si>
  <si>
    <t>A-499__52</t>
  </si>
  <si>
    <t>marker_495_534916.png</t>
  </si>
  <si>
    <t>A-499__57</t>
  </si>
  <si>
    <t>marker_291_534966.png</t>
  </si>
  <si>
    <t>A-499__58</t>
  </si>
  <si>
    <t>marker_422_534976.png</t>
  </si>
  <si>
    <t>A-497__831</t>
  </si>
  <si>
    <t>marker_323_367639.png</t>
  </si>
  <si>
    <t>A-497__825</t>
  </si>
  <si>
    <t>marker_823_367703.png</t>
  </si>
  <si>
    <t>A-497__824</t>
  </si>
  <si>
    <t>marker_202_367713.png</t>
  </si>
  <si>
    <t>A-497__816</t>
  </si>
  <si>
    <t>marker_391_367792.png</t>
  </si>
  <si>
    <t>A-497__814</t>
  </si>
  <si>
    <t>marker_136_367810.png</t>
  </si>
  <si>
    <t>A-497__812</t>
  </si>
  <si>
    <t>marker_693_367828.png</t>
  </si>
  <si>
    <t>A-497__810</t>
  </si>
  <si>
    <t>marker_744_367851.png</t>
  </si>
  <si>
    <t>A-497__809</t>
  </si>
  <si>
    <t>marker_264_367859.png</t>
  </si>
  <si>
    <t>A-497__807</t>
  </si>
  <si>
    <t>marker_219_367879.png</t>
  </si>
  <si>
    <t>A-497__805</t>
  </si>
  <si>
    <t>marker_871_367900.png</t>
  </si>
  <si>
    <t>A-497__804</t>
  </si>
  <si>
    <t>marker_837_367909.png</t>
  </si>
  <si>
    <t>A-497__803</t>
  </si>
  <si>
    <t>marker_956_367918.png</t>
  </si>
  <si>
    <t>A-497__802</t>
  </si>
  <si>
    <t>marker_265_367929.png</t>
  </si>
  <si>
    <t>A-497__801</t>
  </si>
  <si>
    <t>marker_513_367938.png</t>
  </si>
  <si>
    <t>A-497__798</t>
  </si>
  <si>
    <t>marker_830_367971.png</t>
  </si>
  <si>
    <t>A-497__797</t>
  </si>
  <si>
    <t>marker_166_367983.png</t>
  </si>
  <si>
    <t>A-497__796</t>
  </si>
  <si>
    <t>marker_119_367995.png</t>
  </si>
  <si>
    <t>A-497__791</t>
  </si>
  <si>
    <t>marker_888_368052.png</t>
  </si>
  <si>
    <t>A-497__790</t>
  </si>
  <si>
    <t>marker_907_368062.png</t>
  </si>
  <si>
    <t>A-497__787</t>
  </si>
  <si>
    <t>marker_564_368092.png</t>
  </si>
  <si>
    <t>A-497__786</t>
  </si>
  <si>
    <t>marker_762_368102.png</t>
  </si>
  <si>
    <t>A-497__785</t>
  </si>
  <si>
    <t>marker_374_368112.png</t>
  </si>
  <si>
    <t>A-497__784</t>
  </si>
  <si>
    <t>marker_349_368122.png</t>
  </si>
  <si>
    <t>A-497__781</t>
  </si>
  <si>
    <t>marker_531_368152.png</t>
  </si>
  <si>
    <t>A-497__779</t>
  </si>
  <si>
    <t>marker_873_368173.png</t>
  </si>
  <si>
    <t>A-497__763</t>
  </si>
  <si>
    <t>marker_645_368529.png</t>
  </si>
  <si>
    <t>A-497__762</t>
  </si>
  <si>
    <t>marker_677_368540.png</t>
  </si>
  <si>
    <t>A-497_2C__22</t>
  </si>
  <si>
    <t>marker_879_654407.png</t>
  </si>
  <si>
    <t>A-497_2C__24</t>
  </si>
  <si>
    <t>marker_161_654425.png</t>
  </si>
  <si>
    <t>A-497_2C__27</t>
  </si>
  <si>
    <t>marker_156_654457.png</t>
  </si>
  <si>
    <t>A-497_2C__34</t>
  </si>
  <si>
    <t>marker_961_654525.png</t>
  </si>
  <si>
    <t>A-497_2C__36</t>
  </si>
  <si>
    <t>marker_765_654611.png</t>
  </si>
  <si>
    <t>A-497_2C__37</t>
  </si>
  <si>
    <t>marker_815_654621.png</t>
  </si>
  <si>
    <t>A-497_2C__40</t>
  </si>
  <si>
    <t>marker_888_654649.png</t>
  </si>
  <si>
    <t>A-497_2C__41</t>
  </si>
  <si>
    <t>marker_211_654657.png</t>
  </si>
  <si>
    <t>A-497_2C__42</t>
  </si>
  <si>
    <t>marker_388_654665.png</t>
  </si>
  <si>
    <t>A-497_2C__46</t>
  </si>
  <si>
    <t>marker_865_654700.png</t>
  </si>
  <si>
    <t>A-497_2C__48</t>
  </si>
  <si>
    <t>marker_515_654716.png</t>
  </si>
  <si>
    <t>A-497_2C__49</t>
  </si>
  <si>
    <t>marker_550_654725.png</t>
  </si>
  <si>
    <t>A-497_2C__54</t>
  </si>
  <si>
    <t>marker_529_654795.png</t>
  </si>
  <si>
    <t>A-497_2C__59</t>
  </si>
  <si>
    <t>marker_395_654864.png</t>
  </si>
  <si>
    <t>A-497_2C__61</t>
  </si>
  <si>
    <t>marker_327_654884.png</t>
  </si>
  <si>
    <t>A-497_2C__62</t>
  </si>
  <si>
    <t>marker_539_654893.png</t>
  </si>
  <si>
    <t>A-497_2C__64</t>
  </si>
  <si>
    <t>marker_985_654911.png</t>
  </si>
  <si>
    <t>A-497_2C__65</t>
  </si>
  <si>
    <t>marker_504_654920.png</t>
  </si>
  <si>
    <t>A-497_2C__75</t>
  </si>
  <si>
    <t>marker_709_655083.png</t>
  </si>
  <si>
    <t>A-497_2C__76</t>
  </si>
  <si>
    <t>marker_764_655091.png</t>
  </si>
  <si>
    <t>A-497_2C__77</t>
  </si>
  <si>
    <t>marker_986_655099.png</t>
  </si>
  <si>
    <t>A-497_2C__81</t>
  </si>
  <si>
    <t>marker_497_655139.png</t>
  </si>
  <si>
    <t>A-497_2C__87</t>
  </si>
  <si>
    <t>marker_454_655233.png</t>
  </si>
  <si>
    <t>A-497_2C__89</t>
  </si>
  <si>
    <t>marker_175_655271.png</t>
  </si>
  <si>
    <t>A-497_2C__90</t>
  </si>
  <si>
    <t>marker_248_655280.png</t>
  </si>
  <si>
    <t>A-497_2C__91</t>
  </si>
  <si>
    <t>marker_829_655291.png</t>
  </si>
  <si>
    <t>A-497_2C__102</t>
  </si>
  <si>
    <t>marker_750_655460.png</t>
  </si>
  <si>
    <t>A-497_2C__104</t>
  </si>
  <si>
    <t>marker_336_655478.png</t>
  </si>
  <si>
    <t>A-497_2C__105</t>
  </si>
  <si>
    <t>marker_899_655488.png</t>
  </si>
  <si>
    <t>A-497_2C__110</t>
  </si>
  <si>
    <t>marker_777_655535.png</t>
  </si>
  <si>
    <t>A-497_2C__111</t>
  </si>
  <si>
    <t>marker_642_655545.png</t>
  </si>
  <si>
    <t>A-497_2C__114</t>
  </si>
  <si>
    <t>marker_838_655626.png</t>
  </si>
  <si>
    <t>A-497_2C__115</t>
  </si>
  <si>
    <t>marker_352_655635.png</t>
  </si>
  <si>
    <t>A-497_2C__118</t>
  </si>
  <si>
    <t>marker_195_655664.png</t>
  </si>
  <si>
    <t>A-497_2C__120</t>
  </si>
  <si>
    <t>marker_603_655682.png</t>
  </si>
  <si>
    <t>A-497_2C__136</t>
  </si>
  <si>
    <t>marker_745_655830.png</t>
  </si>
  <si>
    <t>A-497_2C__137</t>
  </si>
  <si>
    <t>marker_359_655842.png</t>
  </si>
  <si>
    <t>A-497_2C__139</t>
  </si>
  <si>
    <t>marker_498_655864.png</t>
  </si>
  <si>
    <t>A-497_2C__141</t>
  </si>
  <si>
    <t>marker_674_655881.png</t>
  </si>
  <si>
    <t>A-497_2C__148</t>
  </si>
  <si>
    <t>marker_319_655956.png</t>
  </si>
  <si>
    <t>A-497_2C__158</t>
  </si>
  <si>
    <t>marker_933_656086.png</t>
  </si>
  <si>
    <t>A-497_2C__159</t>
  </si>
  <si>
    <t>marker_742_656094.png</t>
  </si>
  <si>
    <t>A-497__733</t>
  </si>
  <si>
    <t>marker_390_368914.png</t>
  </si>
  <si>
    <t>A-497__732</t>
  </si>
  <si>
    <t>marker_250_368927.png</t>
  </si>
  <si>
    <t>A-497__729</t>
  </si>
  <si>
    <t>marker_279_368974.png</t>
  </si>
  <si>
    <t>A-497__726</t>
  </si>
  <si>
    <t>marker_796_369003.png</t>
  </si>
  <si>
    <t>A-497__721</t>
  </si>
  <si>
    <t>marker_166_369052.png</t>
  </si>
  <si>
    <t>A-497__719</t>
  </si>
  <si>
    <t>marker_281_369070.png</t>
  </si>
  <si>
    <t>A-497__715</t>
  </si>
  <si>
    <t>marker_740_369113.png</t>
  </si>
  <si>
    <t>A-497_2C__192</t>
  </si>
  <si>
    <t>marker_893_656445.png</t>
  </si>
  <si>
    <t>A-497_2C__193</t>
  </si>
  <si>
    <t>marker_837_656454.png</t>
  </si>
  <si>
    <t>A-497__699</t>
  </si>
  <si>
    <t>marker_891_370385.png</t>
  </si>
  <si>
    <t>A-497_2C__199</t>
  </si>
  <si>
    <t>marker_269_656515.png</t>
  </si>
  <si>
    <t>A-497_2C__200</t>
  </si>
  <si>
    <t>marker_258_656525.png</t>
  </si>
  <si>
    <t>A-497_2C__201</t>
  </si>
  <si>
    <t>marker_938_656534.png</t>
  </si>
  <si>
    <t>A-497_2C__202</t>
  </si>
  <si>
    <t>marker_965_656550.png</t>
  </si>
  <si>
    <t>A-497_2C__203</t>
  </si>
  <si>
    <t>marker_198_656579.png</t>
  </si>
  <si>
    <t>A-497_2C__204</t>
  </si>
  <si>
    <t>marker_853_656589.png</t>
  </si>
  <si>
    <t>A-497_2C__205</t>
  </si>
  <si>
    <t>marker_652_656600.png</t>
  </si>
  <si>
    <t>A-497_2C__207</t>
  </si>
  <si>
    <t>marker_393_656619.png</t>
  </si>
  <si>
    <t>A-497_2C__208</t>
  </si>
  <si>
    <t>marker_297_656630.png</t>
  </si>
  <si>
    <t>A-497_2C__209</t>
  </si>
  <si>
    <t>marker_228_656639.png</t>
  </si>
  <si>
    <t>A-497_2C__210</t>
  </si>
  <si>
    <t>marker_143_656652.png</t>
  </si>
  <si>
    <t>A-497_2C__211</t>
  </si>
  <si>
    <t>marker_305_656664.png</t>
  </si>
  <si>
    <t>A-497_2C__212</t>
  </si>
  <si>
    <t>marker_152_656672.png</t>
  </si>
  <si>
    <t>A-497_2C__213</t>
  </si>
  <si>
    <t>marker_950_656683.png</t>
  </si>
  <si>
    <t>A-497_2C__214</t>
  </si>
  <si>
    <t>marker_519_656692.png</t>
  </si>
  <si>
    <t>A-497__697</t>
  </si>
  <si>
    <t>marker_252_370406.png</t>
  </si>
  <si>
    <t>A-497__696</t>
  </si>
  <si>
    <t>marker_473_370415.png</t>
  </si>
  <si>
    <t>A-497__695</t>
  </si>
  <si>
    <t>marker_548_370430.png</t>
  </si>
  <si>
    <t>A-497__691</t>
  </si>
  <si>
    <t>marker_959_370465.png</t>
  </si>
  <si>
    <t>A-497__685</t>
  </si>
  <si>
    <t>marker_564_370521.png</t>
  </si>
  <si>
    <t>A-497__684</t>
  </si>
  <si>
    <t>marker_873_370531.png</t>
  </si>
  <si>
    <t>A-497__683</t>
  </si>
  <si>
    <t>marker_680_370541.png</t>
  </si>
  <si>
    <t>A-497_2C__222</t>
  </si>
  <si>
    <t>marker_145_656784.png</t>
  </si>
  <si>
    <t>A-497__678</t>
  </si>
  <si>
    <t>marker_452_370591.png</t>
  </si>
  <si>
    <t>A-497__677</t>
  </si>
  <si>
    <t>marker_619_370607.png</t>
  </si>
  <si>
    <t>A-497__676</t>
  </si>
  <si>
    <t>marker_932_370615.png</t>
  </si>
  <si>
    <t>A-497_2C__236</t>
  </si>
  <si>
    <t>marker_644_656934.png</t>
  </si>
  <si>
    <t>A-497__668</t>
  </si>
  <si>
    <t>marker_117_371043.png</t>
  </si>
  <si>
    <t>A-497_2C__241</t>
  </si>
  <si>
    <t>marker_345_657035.png</t>
  </si>
  <si>
    <t>A-497__665</t>
  </si>
  <si>
    <t>marker_861_371069.png</t>
  </si>
  <si>
    <t>A-497_2C__243</t>
  </si>
  <si>
    <t>marker_316_657051.png</t>
  </si>
  <si>
    <t>A-497__663</t>
  </si>
  <si>
    <t>marker_946_371124.png</t>
  </si>
  <si>
    <t>A-497__661</t>
  </si>
  <si>
    <t>marker_511_371141.png</t>
  </si>
  <si>
    <t>A-497__660</t>
  </si>
  <si>
    <t>marker_172_371149.png</t>
  </si>
  <si>
    <t>A-497__658</t>
  </si>
  <si>
    <t>marker_541_371165.png</t>
  </si>
  <si>
    <t>A-497__654</t>
  </si>
  <si>
    <t>marker_571_371201.png</t>
  </si>
  <si>
    <t>A-497__653</t>
  </si>
  <si>
    <t>marker_726_371209.png</t>
  </si>
  <si>
    <t>A-497_2C__251</t>
  </si>
  <si>
    <t>marker_913_319411.png</t>
  </si>
  <si>
    <t>A-497_2C__252</t>
  </si>
  <si>
    <t>marker_456_319423.png</t>
  </si>
  <si>
    <t>A-497__649</t>
  </si>
  <si>
    <t>marker_203_371245.png</t>
  </si>
  <si>
    <t>A-497__648</t>
  </si>
  <si>
    <t>marker_805_371254.png</t>
  </si>
  <si>
    <t>A-497__647</t>
  </si>
  <si>
    <t>marker_934_371262.png</t>
  </si>
  <si>
    <t>A-497__646</t>
  </si>
  <si>
    <t>marker_716_371270.png</t>
  </si>
  <si>
    <t>A-497__645</t>
  </si>
  <si>
    <t>marker_586_371281.png</t>
  </si>
  <si>
    <t>A-497__644</t>
  </si>
  <si>
    <t>marker_636_371290.png</t>
  </si>
  <si>
    <t>A-497_2C__256</t>
  </si>
  <si>
    <t>marker_407_319554.png</t>
  </si>
  <si>
    <t>A-497_2C__257</t>
  </si>
  <si>
    <t>marker_341_319563.png</t>
  </si>
  <si>
    <t>A-497_2C__258</t>
  </si>
  <si>
    <t>marker_128_319571.png</t>
  </si>
  <si>
    <t>A-497_2C__259</t>
  </si>
  <si>
    <t>marker_140_319581.png</t>
  </si>
  <si>
    <t>A-497__641</t>
  </si>
  <si>
    <t>marker_253_371320.png</t>
  </si>
  <si>
    <t>A-497__636</t>
  </si>
  <si>
    <t>marker_943_371371.png</t>
  </si>
  <si>
    <t>A-497__635</t>
  </si>
  <si>
    <t>marker_895_371380.png</t>
  </si>
  <si>
    <t>A-497__634</t>
  </si>
  <si>
    <t>marker_284_371394.png</t>
  </si>
  <si>
    <t>A-497__633</t>
  </si>
  <si>
    <t>marker_575_371404.png</t>
  </si>
  <si>
    <t>A-497__631</t>
  </si>
  <si>
    <t>marker_713_371424.png</t>
  </si>
  <si>
    <t>A-497__630</t>
  </si>
  <si>
    <t>marker_925_371433.png</t>
  </si>
  <si>
    <t>A-497__629</t>
  </si>
  <si>
    <t>marker_976_371441.png</t>
  </si>
  <si>
    <t>A-497__626</t>
  </si>
  <si>
    <t>marker_274_371467.png</t>
  </si>
  <si>
    <t>A-497__617</t>
  </si>
  <si>
    <t>marker_894_371555.png</t>
  </si>
  <si>
    <t>A-497__615</t>
  </si>
  <si>
    <t>marker_391_371576.png</t>
  </si>
  <si>
    <t>A-497__613</t>
  </si>
  <si>
    <t>marker_632_371593.png</t>
  </si>
  <si>
    <t>A-497__611</t>
  </si>
  <si>
    <t>marker_594_371611.png</t>
  </si>
  <si>
    <t>A-497__610</t>
  </si>
  <si>
    <t>marker_638_371619.png</t>
  </si>
  <si>
    <t>A-497__608</t>
  </si>
  <si>
    <t>marker_223_371639.png</t>
  </si>
  <si>
    <t>A-497__606</t>
  </si>
  <si>
    <t>marker_394_371659.png</t>
  </si>
  <si>
    <t>A-497__605</t>
  </si>
  <si>
    <t>marker_352_371669.png</t>
  </si>
  <si>
    <t>A-497__597</t>
  </si>
  <si>
    <t>marker_550_371739.png</t>
  </si>
  <si>
    <t>A-497_2C__262</t>
  </si>
  <si>
    <t>marker_949_319611.png</t>
  </si>
  <si>
    <t>A-497__592</t>
  </si>
  <si>
    <t>marker_996_371803.png</t>
  </si>
  <si>
    <t>A-497__591</t>
  </si>
  <si>
    <t>marker_587_371812.png</t>
  </si>
  <si>
    <t>A-497__590</t>
  </si>
  <si>
    <t>marker_106_371820.png</t>
  </si>
  <si>
    <t>A-497__589</t>
  </si>
  <si>
    <t>marker_593_371834.png</t>
  </si>
  <si>
    <t>A-497_2C__268</t>
  </si>
  <si>
    <t>marker_309_319717.png</t>
  </si>
  <si>
    <t>A-497__588</t>
  </si>
  <si>
    <t>marker_589_371852.png</t>
  </si>
  <si>
    <t>A-497_2C__274</t>
  </si>
  <si>
    <t>marker_629_319806.png</t>
  </si>
  <si>
    <t>A-497_2C__275</t>
  </si>
  <si>
    <t>marker_297_319816.png</t>
  </si>
  <si>
    <t>A-497_2C__276</t>
  </si>
  <si>
    <t>marker_798_319827.png</t>
  </si>
  <si>
    <t>A-497__583</t>
  </si>
  <si>
    <t>marker_392_371897.png</t>
  </si>
  <si>
    <t>A-497__581</t>
  </si>
  <si>
    <t>marker_517_371917.png</t>
  </si>
  <si>
    <t>A-497__579</t>
  </si>
  <si>
    <t>marker_421_371935.png</t>
  </si>
  <si>
    <t>A-497__569</t>
  </si>
  <si>
    <t>marker_637_372050.png</t>
  </si>
  <si>
    <t>A-497_2C__307</t>
  </si>
  <si>
    <t>marker_959_361801.png</t>
  </si>
  <si>
    <t>A-497_2C__308</t>
  </si>
  <si>
    <t>marker_469_361811.png</t>
  </si>
  <si>
    <t>A-497__558</t>
  </si>
  <si>
    <t>marker_859_372163.png</t>
  </si>
  <si>
    <t>A-497__557</t>
  </si>
  <si>
    <t>marker_177_372173.png</t>
  </si>
  <si>
    <t>A-497_2C__325</t>
  </si>
  <si>
    <t>marker_938_361974.png</t>
  </si>
  <si>
    <t>A-497_2C__326</t>
  </si>
  <si>
    <t>marker_698_361983.png</t>
  </si>
  <si>
    <t>A-497_2C__333</t>
  </si>
  <si>
    <t>marker_420_362047.png</t>
  </si>
  <si>
    <t>A-497__538</t>
  </si>
  <si>
    <t>marker_682_372395.png</t>
  </si>
  <si>
    <t>A-497__537</t>
  </si>
  <si>
    <t>marker_692_372404.png</t>
  </si>
  <si>
    <t>A-497_2C__345</t>
  </si>
  <si>
    <t>marker_593_362174.png</t>
  </si>
  <si>
    <t>A-497__533</t>
  </si>
  <si>
    <t>marker_922_372467.png</t>
  </si>
  <si>
    <t>A-497_2C__347</t>
  </si>
  <si>
    <t>marker_245_362193.png</t>
  </si>
  <si>
    <t>A-497_2C__349</t>
  </si>
  <si>
    <t>marker_924_362221.png</t>
  </si>
  <si>
    <t>A-497_2C__352</t>
  </si>
  <si>
    <t>marker_857_362249.png</t>
  </si>
  <si>
    <t>A-497_2C__354</t>
  </si>
  <si>
    <t>marker_367_362269.png</t>
  </si>
  <si>
    <t>A-497__524</t>
  </si>
  <si>
    <t>marker_610_372559.png</t>
  </si>
  <si>
    <t>A-497_2C__369</t>
  </si>
  <si>
    <t>marker_969_362457.png</t>
  </si>
  <si>
    <t>A-497__510</t>
  </si>
  <si>
    <t>marker_592_372691.png</t>
  </si>
  <si>
    <t>A-497__503</t>
  </si>
  <si>
    <t>marker_204_376052.png</t>
  </si>
  <si>
    <t>A-497_2C__397</t>
  </si>
  <si>
    <t>marker_231_362876.png</t>
  </si>
  <si>
    <t>A-497_2C__399</t>
  </si>
  <si>
    <t>marker_948_362897.png</t>
  </si>
  <si>
    <t>A-497_2C__400</t>
  </si>
  <si>
    <t>marker_854_362906.png</t>
  </si>
  <si>
    <t>A-497_2C__401</t>
  </si>
  <si>
    <t>marker_300_362915.png</t>
  </si>
  <si>
    <t>A-497_2C__402</t>
  </si>
  <si>
    <t>marker_618_362925.png</t>
  </si>
  <si>
    <t>A-497_2C__403</t>
  </si>
  <si>
    <t>marker_711_362935.png</t>
  </si>
  <si>
    <t>A-497_2C__416</t>
  </si>
  <si>
    <t>marker_777_363074.png</t>
  </si>
  <si>
    <t>A-497_2C__418</t>
  </si>
  <si>
    <t>marker_693_363094.png</t>
  </si>
  <si>
    <t>A-497__480</t>
  </si>
  <si>
    <t>marker_125_376309.png</t>
  </si>
  <si>
    <t>A-497__474</t>
  </si>
  <si>
    <t>marker_364_376383.png</t>
  </si>
  <si>
    <t>A-497__472</t>
  </si>
  <si>
    <t>marker_263_376404.png</t>
  </si>
  <si>
    <t>A-497__470</t>
  </si>
  <si>
    <t>marker_776_376472.png</t>
  </si>
  <si>
    <t>A-497__469</t>
  </si>
  <si>
    <t>marker_646_376480.png</t>
  </si>
  <si>
    <t>A-497__468</t>
  </si>
  <si>
    <t>marker_109_376489.png</t>
  </si>
  <si>
    <t>A-497_2C__435</t>
  </si>
  <si>
    <t>marker_612_363258.png</t>
  </si>
  <si>
    <t>A-497_2C__439</t>
  </si>
  <si>
    <t>marker_784_363299.png</t>
  </si>
  <si>
    <t>A-497_2C__449</t>
  </si>
  <si>
    <t>marker_948_363409.png</t>
  </si>
  <si>
    <t>A-497_2C__451</t>
  </si>
  <si>
    <t>marker_682_363428.png</t>
  </si>
  <si>
    <t>A-497_2C__452</t>
  </si>
  <si>
    <t>marker_409_363437.png</t>
  </si>
  <si>
    <t>A-497_2C__453</t>
  </si>
  <si>
    <t>marker_336_363446.png</t>
  </si>
  <si>
    <t>A-497_2C__457</t>
  </si>
  <si>
    <t>marker_522_363487.png</t>
  </si>
  <si>
    <t>A-497_2C__475</t>
  </si>
  <si>
    <t>marker_414_363701.png</t>
  </si>
  <si>
    <t>A-497_2C__479</t>
  </si>
  <si>
    <t>marker_695_363746.png</t>
  </si>
  <si>
    <t>A-497_2C__488</t>
  </si>
  <si>
    <t>marker_683_363855.png</t>
  </si>
  <si>
    <t>A-497_2C__492</t>
  </si>
  <si>
    <t>marker_894_363915.png</t>
  </si>
  <si>
    <t>A-497_2C__494</t>
  </si>
  <si>
    <t>marker_207_363942.png</t>
  </si>
  <si>
    <t>A-497_2C__495</t>
  </si>
  <si>
    <t>marker_503_363956.png</t>
  </si>
  <si>
    <t>A-497_2C__496</t>
  </si>
  <si>
    <t>marker_898_363967.png</t>
  </si>
  <si>
    <t>A-497_2C__497</t>
  </si>
  <si>
    <t>marker_745_364032.png</t>
  </si>
  <si>
    <t>A-497_2C__498</t>
  </si>
  <si>
    <t>marker_717_364041.png</t>
  </si>
  <si>
    <t>A-497_2C__503</t>
  </si>
  <si>
    <t>marker_175_364091.png</t>
  </si>
  <si>
    <t>A-497_2C__510</t>
  </si>
  <si>
    <t>marker_670_364159.png</t>
  </si>
  <si>
    <t>A-497_2C__512</t>
  </si>
  <si>
    <t>marker_507_364178.png</t>
  </si>
  <si>
    <t>A-497_2C__513</t>
  </si>
  <si>
    <t>marker_737_364188.png</t>
  </si>
  <si>
    <t>A-497_2C__514</t>
  </si>
  <si>
    <t>marker_489_364198.png</t>
  </si>
  <si>
    <t>A-497_2C__515</t>
  </si>
  <si>
    <t>marker_277_364207.png</t>
  </si>
  <si>
    <t>A-497_2C__516</t>
  </si>
  <si>
    <t>marker_529_364218.png</t>
  </si>
  <si>
    <t>A-497_2C__517</t>
  </si>
  <si>
    <t>marker_435_364234.png</t>
  </si>
  <si>
    <t>A-497_2C__518</t>
  </si>
  <si>
    <t>marker_648_364244.png</t>
  </si>
  <si>
    <t>A-497_2C__519</t>
  </si>
  <si>
    <t>marker_372_364265.png</t>
  </si>
  <si>
    <t>A-497_2C__551</t>
  </si>
  <si>
    <t>marker_253_364693.png</t>
  </si>
  <si>
    <t>A-497_2C__576</t>
  </si>
  <si>
    <t>marker_423_366538.png</t>
  </si>
  <si>
    <t>A-497_2C__592</t>
  </si>
  <si>
    <t>marker_380_366689.png</t>
  </si>
  <si>
    <t>A-497_2C__615</t>
  </si>
  <si>
    <t>marker_677_366919.png</t>
  </si>
  <si>
    <t>A-497_2C__649</t>
  </si>
  <si>
    <t>marker_122_367270.png</t>
  </si>
  <si>
    <t>A-497__433</t>
  </si>
  <si>
    <t>marker_312_376870.png</t>
  </si>
  <si>
    <t>A-497__414</t>
  </si>
  <si>
    <t>marker_115_377066.png</t>
  </si>
  <si>
    <t>A-497__394</t>
  </si>
  <si>
    <t>marker_760_377246.png</t>
  </si>
  <si>
    <t>A-497__380</t>
  </si>
  <si>
    <t>marker_920_377370.png</t>
  </si>
  <si>
    <t>A-497__374</t>
  </si>
  <si>
    <t>marker_289_377421.png</t>
  </si>
  <si>
    <t>A-497__348</t>
  </si>
  <si>
    <t>marker_577_377681.png</t>
  </si>
  <si>
    <t>A-497__347</t>
  </si>
  <si>
    <t>marker_268_377697.png</t>
  </si>
  <si>
    <t>A-497__346</t>
  </si>
  <si>
    <t>marker_730_377707.png</t>
  </si>
  <si>
    <t>A-497__344</t>
  </si>
  <si>
    <t>marker_969_377729.png</t>
  </si>
  <si>
    <t>A-497__341</t>
  </si>
  <si>
    <t>marker_518_377759.png</t>
  </si>
  <si>
    <t>A-497__340</t>
  </si>
  <si>
    <t>marker_527_377772.png</t>
  </si>
  <si>
    <t>A-497__339</t>
  </si>
  <si>
    <t>marker_949_377780.png</t>
  </si>
  <si>
    <t>A-497__333</t>
  </si>
  <si>
    <t>marker_978_377843.png</t>
  </si>
  <si>
    <t>A-497__332</t>
  </si>
  <si>
    <t>marker_833_377853.png</t>
  </si>
  <si>
    <t>A-497__330</t>
  </si>
  <si>
    <t>marker_973_377871.png</t>
  </si>
  <si>
    <t>A-497__327</t>
  </si>
  <si>
    <t>marker_783_377899.png</t>
  </si>
  <si>
    <t>A-497__324</t>
  </si>
  <si>
    <t>marker_651_377924.png</t>
  </si>
  <si>
    <t>A-497__319</t>
  </si>
  <si>
    <t>marker_434_377976.png</t>
  </si>
  <si>
    <t>A-497__272</t>
  </si>
  <si>
    <t>marker_820_378558.png</t>
  </si>
  <si>
    <t>A-497__271</t>
  </si>
  <si>
    <t>marker_389_378572.png</t>
  </si>
  <si>
    <t>A-497__266</t>
  </si>
  <si>
    <t>marker_923_378621.png</t>
  </si>
  <si>
    <t>A-497__265</t>
  </si>
  <si>
    <t>marker_212_378631.png</t>
  </si>
  <si>
    <t>A-497__264</t>
  </si>
  <si>
    <t>marker_224_378639.png</t>
  </si>
  <si>
    <t>A-497__258</t>
  </si>
  <si>
    <t>marker_802_378700.png</t>
  </si>
  <si>
    <t>A-497__257</t>
  </si>
  <si>
    <t>marker_229_378710.png</t>
  </si>
  <si>
    <t>A-497__256</t>
  </si>
  <si>
    <t>marker_470_378722.png</t>
  </si>
  <si>
    <t>A-497__253</t>
  </si>
  <si>
    <t>marker_843_378753.png</t>
  </si>
  <si>
    <t>A-497__248</t>
  </si>
  <si>
    <t>marker_434_378803.png</t>
  </si>
  <si>
    <t>A-497__231</t>
  </si>
  <si>
    <t>marker_359_379028.png</t>
  </si>
  <si>
    <t>A-497__228</t>
  </si>
  <si>
    <t>marker_339_379061.png</t>
  </si>
  <si>
    <t>A-497__222</t>
  </si>
  <si>
    <t>marker_163_379123.png</t>
  </si>
  <si>
    <t>A-497__219</t>
  </si>
  <si>
    <t>marker_843_379155.png</t>
  </si>
  <si>
    <t>A-497__140</t>
  </si>
  <si>
    <t>marker_542_380441.png</t>
  </si>
  <si>
    <t>A-497__132</t>
  </si>
  <si>
    <t>marker_745_380513.png</t>
  </si>
  <si>
    <t>A-497__131</t>
  </si>
  <si>
    <t>marker_318_380523.png</t>
  </si>
  <si>
    <t>A-497__130</t>
  </si>
  <si>
    <t>marker_687_380532.png</t>
  </si>
  <si>
    <t>A-497__129</t>
  </si>
  <si>
    <t>marker_902_380540.png</t>
  </si>
  <si>
    <t>A-497__128</t>
  </si>
  <si>
    <t>marker_985_380550.png</t>
  </si>
  <si>
    <t>A-497__125</t>
  </si>
  <si>
    <t>marker_896_380580.png</t>
  </si>
  <si>
    <t>A-497__124</t>
  </si>
  <si>
    <t>marker_798_380589.png</t>
  </si>
  <si>
    <t>A-497__123</t>
  </si>
  <si>
    <t>marker_744_380599.png</t>
  </si>
  <si>
    <t>A-497__122</t>
  </si>
  <si>
    <t>marker_768_380607.png</t>
  </si>
  <si>
    <t>A-497__119</t>
  </si>
  <si>
    <t>marker_173_380634.png</t>
  </si>
  <si>
    <t>A-497__118</t>
  </si>
  <si>
    <t>marker_322_380642.png</t>
  </si>
  <si>
    <t>A-497__116</t>
  </si>
  <si>
    <t>marker_329_380659.png</t>
  </si>
  <si>
    <t>A-490__2</t>
  </si>
  <si>
    <t>marker_920_817123.png</t>
  </si>
  <si>
    <t>A-490__4</t>
  </si>
  <si>
    <t>marker_658_724702.png</t>
  </si>
  <si>
    <t>A-490__252</t>
  </si>
  <si>
    <t>marker_384_749543.png</t>
  </si>
  <si>
    <t>A-490__225</t>
  </si>
  <si>
    <t>marker_507_743712.png</t>
  </si>
  <si>
    <t>A-492__13</t>
  </si>
  <si>
    <t>marker_469_821934.png</t>
  </si>
  <si>
    <t>A-492__23</t>
  </si>
  <si>
    <t>marker_251_822063.png</t>
  </si>
  <si>
    <t>A-492__33</t>
  </si>
  <si>
    <t>marker_529_822628.png</t>
  </si>
  <si>
    <t>A-492__63</t>
  </si>
  <si>
    <t>marker_451_823179.png</t>
  </si>
  <si>
    <t>A-492__67</t>
  </si>
  <si>
    <t>marker_468_823246.png</t>
  </si>
  <si>
    <t>A-492__71</t>
  </si>
  <si>
    <t>marker_213_823310.png</t>
  </si>
  <si>
    <t>A-495R__69</t>
  </si>
  <si>
    <t>marker_667_935244.png</t>
  </si>
  <si>
    <t>A-495R__63</t>
  </si>
  <si>
    <t>marker_608_935407.png</t>
  </si>
  <si>
    <t>A-495R__62</t>
  </si>
  <si>
    <t>marker_100_935419.png</t>
  </si>
  <si>
    <t>A-495R__52</t>
  </si>
  <si>
    <t>marker_323_935642.png</t>
  </si>
  <si>
    <t>A-495R__41</t>
  </si>
  <si>
    <t>marker_794_936512.png</t>
  </si>
  <si>
    <t>A-495R__36</t>
  </si>
  <si>
    <t>marker_384_936563.png</t>
  </si>
  <si>
    <t>A-495R__32</t>
  </si>
  <si>
    <t>marker_239_936601.png</t>
  </si>
  <si>
    <t>A-495R__23</t>
  </si>
  <si>
    <t>marker_829_936698.png</t>
  </si>
  <si>
    <t>A-5050__24</t>
  </si>
  <si>
    <t>marker_338_949421.png</t>
  </si>
  <si>
    <t>A-5053__328</t>
  </si>
  <si>
    <t>marker_709_964486.png</t>
  </si>
  <si>
    <t>A-5053__324</t>
  </si>
  <si>
    <t>marker_360_964533.png</t>
  </si>
  <si>
    <t>A-5053__261</t>
  </si>
  <si>
    <t>marker_409_965246.png</t>
  </si>
  <si>
    <t>A-5053__257</t>
  </si>
  <si>
    <t>marker_256_965287.png</t>
  </si>
  <si>
    <t>A-5053__235</t>
  </si>
  <si>
    <t>marker_264_965545.png</t>
  </si>
  <si>
    <t>A-5058__287</t>
  </si>
  <si>
    <t>marker_551_384116.png</t>
  </si>
  <si>
    <t>A-5058__289</t>
  </si>
  <si>
    <t>marker_650_384135.png</t>
  </si>
  <si>
    <t>A-5058__294</t>
  </si>
  <si>
    <t>marker_215_384197.png</t>
  </si>
  <si>
    <t>A-5058__295</t>
  </si>
  <si>
    <t>marker_492_384205.png</t>
  </si>
  <si>
    <t>A-5058__448</t>
  </si>
  <si>
    <t>marker_768_389056.png</t>
  </si>
  <si>
    <t>A-495_1__159</t>
  </si>
  <si>
    <t>marker_832_384103.png</t>
  </si>
  <si>
    <t>A-495_1__128</t>
  </si>
  <si>
    <t>marker_276_384493.png</t>
  </si>
  <si>
    <t>A-495_1__104</t>
  </si>
  <si>
    <t>marker_757_384959.png</t>
  </si>
  <si>
    <t>A-499__70</t>
  </si>
  <si>
    <t>marker_540_535178.png</t>
  </si>
  <si>
    <t>A-499__75</t>
  </si>
  <si>
    <t>marker_906_789143.png</t>
  </si>
  <si>
    <t>A-497__834</t>
  </si>
  <si>
    <t>marker_584_367606.png</t>
  </si>
  <si>
    <t>A-497__770</t>
  </si>
  <si>
    <t>marker_583_368305.png</t>
  </si>
  <si>
    <t>A-497__757</t>
  </si>
  <si>
    <t>marker_400_368602.png</t>
  </si>
  <si>
    <t>A-497__756</t>
  </si>
  <si>
    <t>marker_556_368614.png</t>
  </si>
  <si>
    <t>A-497__675</t>
  </si>
  <si>
    <t>marker_820_370730.png</t>
  </si>
  <si>
    <t>A-497__604</t>
  </si>
  <si>
    <t>marker_994_371678.png</t>
  </si>
  <si>
    <t>A-497_2C__283</t>
  </si>
  <si>
    <t>marker_122_319917.png</t>
  </si>
  <si>
    <t>A-497_2C__309</t>
  </si>
  <si>
    <t>marker_367_361819.png</t>
  </si>
  <si>
    <t>A-497_2C__389</t>
  </si>
  <si>
    <t>marker_898_362799.png</t>
  </si>
  <si>
    <t>A-497_2C__539</t>
  </si>
  <si>
    <t>marker_333_364531.png</t>
  </si>
  <si>
    <t>A-497__292</t>
  </si>
  <si>
    <t>marker_778_378331.png</t>
  </si>
  <si>
    <t>A-497__223</t>
  </si>
  <si>
    <t>marker_976_379110.png</t>
  </si>
  <si>
    <t>A-497__113</t>
  </si>
  <si>
    <t>marker_451_380688.png</t>
  </si>
  <si>
    <t>A-497__112</t>
  </si>
  <si>
    <t>marker_549_380706.png</t>
  </si>
  <si>
    <t>A-497__110</t>
  </si>
  <si>
    <t>marker_350_380724.png</t>
  </si>
  <si>
    <t>A-497__97</t>
  </si>
  <si>
    <t>marker_114_380866.png</t>
  </si>
  <si>
    <t>A-497__92</t>
  </si>
  <si>
    <t>marker_117_380920.png</t>
  </si>
  <si>
    <t>A-5052__2</t>
  </si>
  <si>
    <t>marker_116_949875.png</t>
  </si>
  <si>
    <t>A-5052__285</t>
  </si>
  <si>
    <t>marker_581_960583.png</t>
  </si>
  <si>
    <t>A-5052__298</t>
  </si>
  <si>
    <t>marker_832_960887.png</t>
  </si>
  <si>
    <t>A-5052__404</t>
  </si>
  <si>
    <t>marker_481_962710.png</t>
  </si>
  <si>
    <t>A-5053__321</t>
  </si>
  <si>
    <t>marker_996_964564.png</t>
  </si>
  <si>
    <t>A-5053__319</t>
  </si>
  <si>
    <t>marker_110_964583.png</t>
  </si>
  <si>
    <t>A-5053__296</t>
  </si>
  <si>
    <t>marker_470_964901.png</t>
  </si>
  <si>
    <t>A-5053__273</t>
  </si>
  <si>
    <t>marker_492_965122.png</t>
  </si>
  <si>
    <t>A-5053__269</t>
  </si>
  <si>
    <t>marker_647_965155.png</t>
  </si>
  <si>
    <t>A-5053__217</t>
  </si>
  <si>
    <t>marker_357_965717.png</t>
  </si>
  <si>
    <t>A-5053__26</t>
  </si>
  <si>
    <t>marker_508_022405.png</t>
  </si>
  <si>
    <t>A-499__71</t>
  </si>
  <si>
    <t>marker_758_535187.png</t>
  </si>
  <si>
    <t>A-497_2C__152</t>
  </si>
  <si>
    <t>marker_383_656021.png</t>
  </si>
  <si>
    <t>A-497_2C__311</t>
  </si>
  <si>
    <t>marker_708_361842.png</t>
  </si>
  <si>
    <t>A-497_2C__559</t>
  </si>
  <si>
    <t>marker_785_366367.png</t>
  </si>
  <si>
    <t>A-490__23</t>
  </si>
  <si>
    <t>marker_137_730734.png</t>
  </si>
  <si>
    <t>A-490__3</t>
  </si>
  <si>
    <t>marker_163_817296.png</t>
  </si>
  <si>
    <t>A-490__5</t>
  </si>
  <si>
    <t>marker_303_667472.png</t>
  </si>
  <si>
    <t>A-490__6</t>
  </si>
  <si>
    <t>marker_462_724787.png</t>
  </si>
  <si>
    <t>A-490__11</t>
  </si>
  <si>
    <t>marker_481_726083.png</t>
  </si>
  <si>
    <t>A-490__15</t>
  </si>
  <si>
    <t>marker_466_728126.png</t>
  </si>
  <si>
    <t>A-490__16</t>
  </si>
  <si>
    <t>marker_333_728175.png</t>
  </si>
  <si>
    <t>A-490__72</t>
  </si>
  <si>
    <t>marker_983_738217.png</t>
  </si>
  <si>
    <t>A-490__77</t>
  </si>
  <si>
    <t>marker_197_738520.png</t>
  </si>
  <si>
    <t>A-490__78</t>
  </si>
  <si>
    <t>marker_771_738559.png</t>
  </si>
  <si>
    <t>A-490__102</t>
  </si>
  <si>
    <t>marker_726_739592.png</t>
  </si>
  <si>
    <t>A-490__103</t>
  </si>
  <si>
    <t>marker_840_739608.png</t>
  </si>
  <si>
    <t>A-490__104</t>
  </si>
  <si>
    <t>marker_695_739634.png</t>
  </si>
  <si>
    <t>A-490__221</t>
  </si>
  <si>
    <t>marker_761_743400.png</t>
  </si>
  <si>
    <t>A-490__171</t>
  </si>
  <si>
    <t>marker_511_741501.png</t>
  </si>
  <si>
    <t>A-490__206</t>
  </si>
  <si>
    <t>marker_943_742505.png</t>
  </si>
  <si>
    <t>A-490__222</t>
  </si>
  <si>
    <t>marker_501_743597.png</t>
  </si>
  <si>
    <t>A-490__233</t>
  </si>
  <si>
    <t>marker_447_743903.png</t>
  </si>
  <si>
    <t>A-490__237</t>
  </si>
  <si>
    <t>marker_101_744049.png</t>
  </si>
  <si>
    <t>A-490__239</t>
  </si>
  <si>
    <t>marker_264_744128.png</t>
  </si>
  <si>
    <t>A-490__241</t>
  </si>
  <si>
    <t>marker_109_749198.png</t>
  </si>
  <si>
    <t>A-490__242</t>
  </si>
  <si>
    <t>marker_740_749219.png</t>
  </si>
  <si>
    <t>A-490__254</t>
  </si>
  <si>
    <t>marker_451_749584.png</t>
  </si>
  <si>
    <t>A-490__259</t>
  </si>
  <si>
    <t>marker_787_749682.png</t>
  </si>
  <si>
    <t>A-490__261</t>
  </si>
  <si>
    <t>marker_244_749729.png</t>
  </si>
  <si>
    <t>A-495R__40</t>
  </si>
  <si>
    <t>marker_280_936521.png</t>
  </si>
  <si>
    <t>A-492__14</t>
  </si>
  <si>
    <t>marker_339_821945.png</t>
  </si>
  <si>
    <t>A-492__32</t>
  </si>
  <si>
    <t>marker_834_822576.png</t>
  </si>
  <si>
    <t>A-492__34</t>
  </si>
  <si>
    <t>marker_516_822642.png</t>
  </si>
  <si>
    <t>A-492__36</t>
  </si>
  <si>
    <t>marker_314_822805.png</t>
  </si>
  <si>
    <t>A-492__62</t>
  </si>
  <si>
    <t>marker_924_823168.png</t>
  </si>
  <si>
    <t>A-492__69</t>
  </si>
  <si>
    <t>marker_342_823273.png</t>
  </si>
  <si>
    <t>A-492__70</t>
  </si>
  <si>
    <t>marker_637_823288.png</t>
  </si>
  <si>
    <t>A-492__73</t>
  </si>
  <si>
    <t>marker_272_823376.png</t>
  </si>
  <si>
    <t>A-492__114</t>
  </si>
  <si>
    <t>marker_580_824337.png</t>
  </si>
  <si>
    <t>A-492__126</t>
  </si>
  <si>
    <t>marker_211_824490.png</t>
  </si>
  <si>
    <t>A-492__480</t>
  </si>
  <si>
    <t>marker_564_840158.png</t>
  </si>
  <si>
    <t>A-495R__55</t>
  </si>
  <si>
    <t>marker_786_935610.png</t>
  </si>
  <si>
    <t>A-495R__31</t>
  </si>
  <si>
    <t>marker_184_936610.png</t>
  </si>
  <si>
    <t>A-495R__29</t>
  </si>
  <si>
    <t>marker_565_936632.png</t>
  </si>
  <si>
    <t>A-497__24</t>
  </si>
  <si>
    <t>marker_965_943730.png</t>
  </si>
  <si>
    <t>A-497__9</t>
  </si>
  <si>
    <t>marker_105_943986.png</t>
  </si>
  <si>
    <t>A-5050__59</t>
  </si>
  <si>
    <t>marker_457_949050.png</t>
  </si>
  <si>
    <t>A-5050__25</t>
  </si>
  <si>
    <t>marker_353_949407.png</t>
  </si>
  <si>
    <t>A-5050__23</t>
  </si>
  <si>
    <t>marker_202_949429.png</t>
  </si>
  <si>
    <t>A-5052__328</t>
  </si>
  <si>
    <t>marker_261_961477.png</t>
  </si>
  <si>
    <t>A-5052__403</t>
  </si>
  <si>
    <t>marker_736_962700.png</t>
  </si>
  <si>
    <t>A-5053__323</t>
  </si>
  <si>
    <t>marker_877_964544.png</t>
  </si>
  <si>
    <t>A-5053__297</t>
  </si>
  <si>
    <t>marker_790_964893.png</t>
  </si>
  <si>
    <t>A-5053__295</t>
  </si>
  <si>
    <t>marker_920_964912.png</t>
  </si>
  <si>
    <t>A-5053__292</t>
  </si>
  <si>
    <t>marker_387_964939.png</t>
  </si>
  <si>
    <t>A-5053__277</t>
  </si>
  <si>
    <t>marker_645_965087.png</t>
  </si>
  <si>
    <t>A-5053__276</t>
  </si>
  <si>
    <t>marker_591_965097.png</t>
  </si>
  <si>
    <t>A-5053__267</t>
  </si>
  <si>
    <t>marker_953_965173.png</t>
  </si>
  <si>
    <t>A-5053__266</t>
  </si>
  <si>
    <t>marker_724_965182.png</t>
  </si>
  <si>
    <t>A-5053__265</t>
  </si>
  <si>
    <t>marker_465_965190.png</t>
  </si>
  <si>
    <t>A-5053__253</t>
  </si>
  <si>
    <t>marker_715_965323.png</t>
  </si>
  <si>
    <t>A-5053__233</t>
  </si>
  <si>
    <t>marker_483_965567.png</t>
  </si>
  <si>
    <t>A-5053__221</t>
  </si>
  <si>
    <t>marker_546_965679.png</t>
  </si>
  <si>
    <t>A-5053__45</t>
  </si>
  <si>
    <t>marker_820_021652.png</t>
  </si>
  <si>
    <t>A-495__53</t>
  </si>
  <si>
    <t>marker_516_381643.png</t>
  </si>
  <si>
    <t>A-495__57</t>
  </si>
  <si>
    <t>marker_111_381678.png</t>
  </si>
  <si>
    <t>A-495__78</t>
  </si>
  <si>
    <t>marker_722_381910.png</t>
  </si>
  <si>
    <t>A-495__85</t>
  </si>
  <si>
    <t>marker_829_381988.png</t>
  </si>
  <si>
    <t>A-495__115</t>
  </si>
  <si>
    <t>marker_545_382320.png</t>
  </si>
  <si>
    <t>A-495__127</t>
  </si>
  <si>
    <t>marker_856_382441.png</t>
  </si>
  <si>
    <t>A-5058__169</t>
  </si>
  <si>
    <t>marker_790_382375.png</t>
  </si>
  <si>
    <t>A-5058__170</t>
  </si>
  <si>
    <t>marker_207_382387.png</t>
  </si>
  <si>
    <t>A-5058__171</t>
  </si>
  <si>
    <t>marker_692_382403.png</t>
  </si>
  <si>
    <t>A-5058__172</t>
  </si>
  <si>
    <t>marker_441_382414.png</t>
  </si>
  <si>
    <t>A-5058__200</t>
  </si>
  <si>
    <t>marker_661_382893.png</t>
  </si>
  <si>
    <t>A-5058__205</t>
  </si>
  <si>
    <t>marker_136_382951.png</t>
  </si>
  <si>
    <t>A-5058__209</t>
  </si>
  <si>
    <t>marker_411_383010.png</t>
  </si>
  <si>
    <t>A-5058__216</t>
  </si>
  <si>
    <t>marker_305_383080.png</t>
  </si>
  <si>
    <t>A-5058__269</t>
  </si>
  <si>
    <t>marker_660_383911.png</t>
  </si>
  <si>
    <t>A-5058__274</t>
  </si>
  <si>
    <t>marker_828_383964.png</t>
  </si>
  <si>
    <t>A-5058__278</t>
  </si>
  <si>
    <t>marker_976_384014.png</t>
  </si>
  <si>
    <t>A-5058__280</t>
  </si>
  <si>
    <t>marker_371_384033.png</t>
  </si>
  <si>
    <t>A-5058__281</t>
  </si>
  <si>
    <t>marker_167_384042.png</t>
  </si>
  <si>
    <t>A-5058__282</t>
  </si>
  <si>
    <t>marker_887_384051.png</t>
  </si>
  <si>
    <t>A-5058__283</t>
  </si>
  <si>
    <t>marker_594_384061.png</t>
  </si>
  <si>
    <t>A-5058__286</t>
  </si>
  <si>
    <t>marker_343_384094.png</t>
  </si>
  <si>
    <t>A-5058__291</t>
  </si>
  <si>
    <t>marker_579_384159.png</t>
  </si>
  <si>
    <t>A-5058__296</t>
  </si>
  <si>
    <t>marker_916_384224.png</t>
  </si>
  <si>
    <t>A-5058__298</t>
  </si>
  <si>
    <t>marker_518_384247.png</t>
  </si>
  <si>
    <t>A-5058__316</t>
  </si>
  <si>
    <t>marker_609_384460.png</t>
  </si>
  <si>
    <t>A-5058__317</t>
  </si>
  <si>
    <t>marker_965_384468.png</t>
  </si>
  <si>
    <t>A-5058__321</t>
  </si>
  <si>
    <t>marker_892_384511.png</t>
  </si>
  <si>
    <t>A-5058__323</t>
  </si>
  <si>
    <t>marker_683_384540.png</t>
  </si>
  <si>
    <t>A-5058__333</t>
  </si>
  <si>
    <t>marker_630_384667.png</t>
  </si>
  <si>
    <t>A-5058__335</t>
  </si>
  <si>
    <t>marker_294_384704.png</t>
  </si>
  <si>
    <t>A-5058__444</t>
  </si>
  <si>
    <t>marker_615_389020.png</t>
  </si>
  <si>
    <t>A-5058__452</t>
  </si>
  <si>
    <t>marker_128_389094.png</t>
  </si>
  <si>
    <t>A-495_1__170</t>
  </si>
  <si>
    <t>marker_357_383986.png</t>
  </si>
  <si>
    <t>A-495_1__161</t>
  </si>
  <si>
    <t>marker_990_384086.png</t>
  </si>
  <si>
    <t>A-495_1__157</t>
  </si>
  <si>
    <t>marker_728_384122.png</t>
  </si>
  <si>
    <t>A-495_1__154</t>
  </si>
  <si>
    <t>marker_823_384176.png</t>
  </si>
  <si>
    <t>A-495_1__153</t>
  </si>
  <si>
    <t>marker_521_384184.png</t>
  </si>
  <si>
    <t>A-495_1__146</t>
  </si>
  <si>
    <t>marker_484_384283.png</t>
  </si>
  <si>
    <t>A-495_1__142</t>
  </si>
  <si>
    <t>marker_872_384340.png</t>
  </si>
  <si>
    <t>A-495_1__139</t>
  </si>
  <si>
    <t>marker_483_384382.png</t>
  </si>
  <si>
    <t>A-495_1__134</t>
  </si>
  <si>
    <t>marker_282_384431.png</t>
  </si>
  <si>
    <t>A-495_1__130</t>
  </si>
  <si>
    <t>marker_905_384476.png</t>
  </si>
  <si>
    <t>A-495_1__127</t>
  </si>
  <si>
    <t>marker_437_384502.png</t>
  </si>
  <si>
    <t>A-495_1__125</t>
  </si>
  <si>
    <t>marker_635_384521.png</t>
  </si>
  <si>
    <t>A-495_1__122</t>
  </si>
  <si>
    <t>marker_439_384550.png</t>
  </si>
  <si>
    <t>A-495_1__121</t>
  </si>
  <si>
    <t>marker_635_384560.png</t>
  </si>
  <si>
    <t>A-495_1__110</t>
  </si>
  <si>
    <t>marker_792_384721.png</t>
  </si>
  <si>
    <t>A-495_1__101</t>
  </si>
  <si>
    <t>marker_748_385013.png</t>
  </si>
  <si>
    <t>A-497__828</t>
  </si>
  <si>
    <t>marker_640_367666.png</t>
  </si>
  <si>
    <t>A-497__808</t>
  </si>
  <si>
    <t>marker_841_367868.png</t>
  </si>
  <si>
    <t>A-497__799</t>
  </si>
  <si>
    <t>marker_683_367959.png</t>
  </si>
  <si>
    <t>A-497__795</t>
  </si>
  <si>
    <t>marker_675_368006.png</t>
  </si>
  <si>
    <t>A-497__792</t>
  </si>
  <si>
    <t>marker_520_368040.png</t>
  </si>
  <si>
    <t>A-497__783</t>
  </si>
  <si>
    <t>marker_741_368132.png</t>
  </si>
  <si>
    <t>A-497_2C__20</t>
  </si>
  <si>
    <t>marker_694_654388.png</t>
  </si>
  <si>
    <t>A-497_2C__21</t>
  </si>
  <si>
    <t>marker_418_654398.png</t>
  </si>
  <si>
    <t>A-497_2C__25</t>
  </si>
  <si>
    <t>marker_629_654435.png</t>
  </si>
  <si>
    <t>A-497_2C__78</t>
  </si>
  <si>
    <t>marker_727_655108.png</t>
  </si>
  <si>
    <t>A-497_2C__154</t>
  </si>
  <si>
    <t>marker_742_656044.png</t>
  </si>
  <si>
    <t>A-497_2C__163</t>
  </si>
  <si>
    <t>marker_534_656128.png</t>
  </si>
  <si>
    <t>A-497__723</t>
  </si>
  <si>
    <t>marker_455_369034.png</t>
  </si>
  <si>
    <t>A-497_2C__186</t>
  </si>
  <si>
    <t>marker_841_656382.png</t>
  </si>
  <si>
    <t>A-497__706</t>
  </si>
  <si>
    <t>marker_679_370319.png</t>
  </si>
  <si>
    <t>A-497__596</t>
  </si>
  <si>
    <t>marker_928_371748.png</t>
  </si>
  <si>
    <t>A-497_2C__282</t>
  </si>
  <si>
    <t>marker_868_319908.png</t>
  </si>
  <si>
    <t>A-497__575</t>
  </si>
  <si>
    <t>marker_213_371973.png</t>
  </si>
  <si>
    <t>A-497_2C__295</t>
  </si>
  <si>
    <t>marker_392_320120.png</t>
  </si>
  <si>
    <t>A-497_2C__310</t>
  </si>
  <si>
    <t>marker_509_361833.png</t>
  </si>
  <si>
    <t>A-497_2C__314</t>
  </si>
  <si>
    <t>marker_539_361871.png</t>
  </si>
  <si>
    <t>A-497_2C__331</t>
  </si>
  <si>
    <t>marker_627_362029.png</t>
  </si>
  <si>
    <t>A-497__541</t>
  </si>
  <si>
    <t>marker_611_372366.png</t>
  </si>
  <si>
    <t>A-497_2C__362</t>
  </si>
  <si>
    <t>marker_389_362365.png</t>
  </si>
  <si>
    <t>A-497_2C__363</t>
  </si>
  <si>
    <t>marker_423_362376.png</t>
  </si>
  <si>
    <t>A-497_2C__364</t>
  </si>
  <si>
    <t>marker_661_362385.png</t>
  </si>
  <si>
    <t>A-497_2C__442</t>
  </si>
  <si>
    <t>marker_847_363328.png</t>
  </si>
  <si>
    <t>A-497_2C__443</t>
  </si>
  <si>
    <t>marker_737_363346.png</t>
  </si>
  <si>
    <t>A-497_2C__445</t>
  </si>
  <si>
    <t>marker_758_363362.png</t>
  </si>
  <si>
    <t>A-497_2C__446</t>
  </si>
  <si>
    <t>marker_422_363372.png</t>
  </si>
  <si>
    <t>A-497_2C__448</t>
  </si>
  <si>
    <t>marker_889_363392.png</t>
  </si>
  <si>
    <t>A-497_2C__450</t>
  </si>
  <si>
    <t>marker_705_363419.png</t>
  </si>
  <si>
    <t>A-497_2C__460</t>
  </si>
  <si>
    <t>marker_825_363535.png</t>
  </si>
  <si>
    <t>A-497_2C__465</t>
  </si>
  <si>
    <t>marker_251_363588.png</t>
  </si>
  <si>
    <t>A-497_2C__471</t>
  </si>
  <si>
    <t>marker_504_363657.png</t>
  </si>
  <si>
    <t>A-497_2C__472</t>
  </si>
  <si>
    <t>marker_682_363668.png</t>
  </si>
  <si>
    <t>A-497_2C__477</t>
  </si>
  <si>
    <t>marker_427_363727.png</t>
  </si>
  <si>
    <t>A-497_2C__478</t>
  </si>
  <si>
    <t>marker_135_363736.png</t>
  </si>
  <si>
    <t>A-497_2C__480</t>
  </si>
  <si>
    <t>marker_490_363758.png</t>
  </si>
  <si>
    <t>A-497_2C__484</t>
  </si>
  <si>
    <t>marker_993_363813.png</t>
  </si>
  <si>
    <t>A-497_2C__489</t>
  </si>
  <si>
    <t>marker_223_363867.png</t>
  </si>
  <si>
    <t>A-497_2C__502</t>
  </si>
  <si>
    <t>marker_956_364082.png</t>
  </si>
  <si>
    <t>A-497__345</t>
  </si>
  <si>
    <t>marker_420_377718.png</t>
  </si>
  <si>
    <t>A-497__343</t>
  </si>
  <si>
    <t>marker_876_377740.png</t>
  </si>
  <si>
    <t>A-497__336</t>
  </si>
  <si>
    <t>marker_452_377808.png</t>
  </si>
  <si>
    <t>A-497__335</t>
  </si>
  <si>
    <t>marker_243_377817.png</t>
  </si>
  <si>
    <t>A-497__325</t>
  </si>
  <si>
    <t>marker_210_377916.png</t>
  </si>
  <si>
    <t>A-497__293</t>
  </si>
  <si>
    <t>marker_670_378314.png</t>
  </si>
  <si>
    <t>A-497__273</t>
  </si>
  <si>
    <t>marker_490_378549.png</t>
  </si>
  <si>
    <t>A-497__270</t>
  </si>
  <si>
    <t>marker_613_378583.png</t>
  </si>
  <si>
    <t>A-497__260</t>
  </si>
  <si>
    <t>marker_644_378677.png</t>
  </si>
  <si>
    <t>A-497__259</t>
  </si>
  <si>
    <t>marker_837_378688.png</t>
  </si>
  <si>
    <t>A-497__247</t>
  </si>
  <si>
    <t>marker_534_378812.png</t>
  </si>
  <si>
    <t>A-497__227</t>
  </si>
  <si>
    <t>marker_174_379070.png</t>
  </si>
  <si>
    <t>A-497__114</t>
  </si>
  <si>
    <t>marker_878_380677.png</t>
  </si>
  <si>
    <t>A-497__111</t>
  </si>
  <si>
    <t>marker_970_380714.png</t>
  </si>
  <si>
    <t>A-497__108</t>
  </si>
  <si>
    <t>marker_460_380747.png</t>
  </si>
  <si>
    <t>A-497__94</t>
  </si>
  <si>
    <t>marker_734_380898.png</t>
  </si>
  <si>
    <t>A-490__79</t>
  </si>
  <si>
    <t>marker_856_738579.png</t>
  </si>
  <si>
    <t>A-490__238</t>
  </si>
  <si>
    <t>marker_196_744109.png</t>
  </si>
  <si>
    <t>A-490__258</t>
  </si>
  <si>
    <t>marker_577_749660.png</t>
  </si>
  <si>
    <t>A-490__586</t>
  </si>
  <si>
    <t>marker_178_819564.png</t>
  </si>
  <si>
    <t>A-492__11</t>
  </si>
  <si>
    <t>marker_311_821901.png</t>
  </si>
  <si>
    <t>A-492__24</t>
  </si>
  <si>
    <t>marker_631_822082.png</t>
  </si>
  <si>
    <t>A-492__66</t>
  </si>
  <si>
    <t>marker_769_823218.png</t>
  </si>
  <si>
    <t>A-492__68</t>
  </si>
  <si>
    <t>marker_622_823261.png</t>
  </si>
  <si>
    <t>A-495R__48</t>
  </si>
  <si>
    <t>marker_553_935683.png</t>
  </si>
  <si>
    <t>A-495R__46</t>
  </si>
  <si>
    <t>marker_710_935703.png</t>
  </si>
  <si>
    <t>A-495R__27</t>
  </si>
  <si>
    <t>marker_662_936653.png</t>
  </si>
  <si>
    <t>A-495R__26</t>
  </si>
  <si>
    <t>marker_716_936668.png</t>
  </si>
  <si>
    <t>A-495R__25</t>
  </si>
  <si>
    <t>marker_770_936677.png</t>
  </si>
  <si>
    <t>A-497__77</t>
  </si>
  <si>
    <t>marker_799_937970.png</t>
  </si>
  <si>
    <t>A-497__69</t>
  </si>
  <si>
    <t>marker_449_938053.png</t>
  </si>
  <si>
    <t>A-499__74</t>
  </si>
  <si>
    <t>marker_832_789085.png</t>
  </si>
  <si>
    <t>A-490__7</t>
  </si>
  <si>
    <t>marker_474_724942.png</t>
  </si>
  <si>
    <t>A-490__260</t>
  </si>
  <si>
    <t>marker_466_749698.png</t>
  </si>
  <si>
    <t>A-492__10</t>
  </si>
  <si>
    <t>marker_861_821884.png</t>
  </si>
  <si>
    <t>A-492__18</t>
  </si>
  <si>
    <t>marker_494_821998.png</t>
  </si>
  <si>
    <t>A-492__21</t>
  </si>
  <si>
    <t>marker_424_822039.png</t>
  </si>
  <si>
    <t>A-492__28</t>
  </si>
  <si>
    <t>marker_328_822262.png</t>
  </si>
  <si>
    <t>A-492__30</t>
  </si>
  <si>
    <t>marker_630_822310.png</t>
  </si>
  <si>
    <t>A-492__35</t>
  </si>
  <si>
    <t>marker_888_822655.png</t>
  </si>
  <si>
    <t>A-492__90</t>
  </si>
  <si>
    <t>marker_503_823617.png</t>
  </si>
  <si>
    <t>A-492__460</t>
  </si>
  <si>
    <t>marker_995_839929.png</t>
  </si>
  <si>
    <t>A-495R__65</t>
  </si>
  <si>
    <t>marker_414_935386.png</t>
  </si>
  <si>
    <t>A-495R__64</t>
  </si>
  <si>
    <t>marker_576_935397.png</t>
  </si>
  <si>
    <t>A-495R__61</t>
  </si>
  <si>
    <t>marker_725_935511.png</t>
  </si>
  <si>
    <t>A-495R__59</t>
  </si>
  <si>
    <t>marker_778_935563.png</t>
  </si>
  <si>
    <t>A-495R__45</t>
  </si>
  <si>
    <t>marker_611_935713.png</t>
  </si>
  <si>
    <t>A-495R__43</t>
  </si>
  <si>
    <t>marker_117_935730.png</t>
  </si>
  <si>
    <t>A-495R__39</t>
  </si>
  <si>
    <t>marker_931_936532.png</t>
  </si>
  <si>
    <t>A-495R__22</t>
  </si>
  <si>
    <t>marker_940_936708.png</t>
  </si>
  <si>
    <t>A-497__64</t>
  </si>
  <si>
    <t>marker_960_938215.png</t>
  </si>
  <si>
    <t>A-497__6</t>
  </si>
  <si>
    <t>marker_854_944017.png</t>
  </si>
  <si>
    <t>A-5052__402</t>
  </si>
  <si>
    <t>marker_683_962690.png</t>
  </si>
  <si>
    <t>A-5053__263</t>
  </si>
  <si>
    <t>marker_142_965225.png</t>
  </si>
  <si>
    <t>A-5053__259</t>
  </si>
  <si>
    <t>marker_461_965265.png</t>
  </si>
  <si>
    <t>A-5053__255</t>
  </si>
  <si>
    <t>marker_986_965305.png</t>
  </si>
  <si>
    <t>A-5053__234</t>
  </si>
  <si>
    <t>marker_831_965557.png</t>
  </si>
  <si>
    <t>A-5059__82</t>
  </si>
  <si>
    <t>marker_387_378708.png</t>
  </si>
  <si>
    <t>A-495__119</t>
  </si>
  <si>
    <t>marker_349_382358.png</t>
  </si>
  <si>
    <t>A-495__124</t>
  </si>
  <si>
    <t>marker_385_382412.png</t>
  </si>
  <si>
    <t>A-495__126</t>
  </si>
  <si>
    <t>marker_487_382433.png</t>
  </si>
  <si>
    <t>A-5058__279</t>
  </si>
  <si>
    <t>marker_656_384024.png</t>
  </si>
  <si>
    <t>A-5058__297</t>
  </si>
  <si>
    <t>marker_508_384233.png</t>
  </si>
  <si>
    <t>A-5058__338</t>
  </si>
  <si>
    <t>marker_735_384731.png</t>
  </si>
  <si>
    <t>A-5058__395</t>
  </si>
  <si>
    <t>marker_719_385369.png</t>
  </si>
  <si>
    <t>A-5058__449</t>
  </si>
  <si>
    <t>marker_529_389065.png</t>
  </si>
  <si>
    <t>A-495__55</t>
  </si>
  <si>
    <t>marker_267_381661.png</t>
  </si>
  <si>
    <t>A-495_1__162</t>
  </si>
  <si>
    <t>marker_235_384064.png</t>
  </si>
  <si>
    <t>A-495_1__151</t>
  </si>
  <si>
    <t>marker_780_384231.png</t>
  </si>
  <si>
    <t>A-495_1__150</t>
  </si>
  <si>
    <t>marker_148_384242.png</t>
  </si>
  <si>
    <t>A-495_1__105</t>
  </si>
  <si>
    <t>marker_208_384950.png</t>
  </si>
  <si>
    <t>A-499__66</t>
  </si>
  <si>
    <t>marker_122_535135.png</t>
  </si>
  <si>
    <t>A-497__800</t>
  </si>
  <si>
    <t>marker_120_367949.png</t>
  </si>
  <si>
    <t>A-497__754</t>
  </si>
  <si>
    <t>marker_563_368640.png</t>
  </si>
  <si>
    <t>A-497_2C__5</t>
  </si>
  <si>
    <t>marker_965_653770.png</t>
  </si>
  <si>
    <t>A-497_2C__80</t>
  </si>
  <si>
    <t>marker_772_655127.png</t>
  </si>
  <si>
    <t>A-497_2C__92</t>
  </si>
  <si>
    <t>marker_254_655301.png</t>
  </si>
  <si>
    <t>A-497_2C__93</t>
  </si>
  <si>
    <t>marker_498_655312.png</t>
  </si>
  <si>
    <t>A-497_2C__107</t>
  </si>
  <si>
    <t>marker_826_655509.png</t>
  </si>
  <si>
    <t>A-497_2C__155</t>
  </si>
  <si>
    <t>marker_369_656056.png</t>
  </si>
  <si>
    <t>A-497_2C__168</t>
  </si>
  <si>
    <t>marker_369_656179.png</t>
  </si>
  <si>
    <t>A-497_2C__179</t>
  </si>
  <si>
    <t>marker_922_656320.png</t>
  </si>
  <si>
    <t>A-497__714</t>
  </si>
  <si>
    <t>marker_347_369124.png</t>
  </si>
  <si>
    <t>A-497_2C__184</t>
  </si>
  <si>
    <t>marker_401_656364.png</t>
  </si>
  <si>
    <t>A-497_2C__185</t>
  </si>
  <si>
    <t>marker_746_656373.png</t>
  </si>
  <si>
    <t>A-497_2C__187</t>
  </si>
  <si>
    <t>marker_796_656391.png</t>
  </si>
  <si>
    <t>A-497__705</t>
  </si>
  <si>
    <t>marker_269_370330.png</t>
  </si>
  <si>
    <t>A-497__702</t>
  </si>
  <si>
    <t>marker_822_370360.png</t>
  </si>
  <si>
    <t>A-497_2C__191</t>
  </si>
  <si>
    <t>marker_947_656434.png</t>
  </si>
  <si>
    <t>A-497__689</t>
  </si>
  <si>
    <t>marker_119_370484.png</t>
  </si>
  <si>
    <t>A-497_2C__231</t>
  </si>
  <si>
    <t>marker_576_656891.png</t>
  </si>
  <si>
    <t>A-497_2C__232</t>
  </si>
  <si>
    <t>marker_456_656899.png</t>
  </si>
  <si>
    <t>A-497__656</t>
  </si>
  <si>
    <t>marker_462_371183.png</t>
  </si>
  <si>
    <t>A-497__655</t>
  </si>
  <si>
    <t>marker_610_371193.png</t>
  </si>
  <si>
    <t>A-497__622</t>
  </si>
  <si>
    <t>marker_524_371508.png</t>
  </si>
  <si>
    <t>A-497__620</t>
  </si>
  <si>
    <t>marker_641_371528.png</t>
  </si>
  <si>
    <t>A-497__612</t>
  </si>
  <si>
    <t>marker_882_371603.png</t>
  </si>
  <si>
    <t>A-497__593</t>
  </si>
  <si>
    <t>marker_700_371793.png</t>
  </si>
  <si>
    <t>A-497__587</t>
  </si>
  <si>
    <t>marker_247_371861.png</t>
  </si>
  <si>
    <t>A-497_2C__272</t>
  </si>
  <si>
    <t>marker_537_319763.png</t>
  </si>
  <si>
    <t>A-497__586</t>
  </si>
  <si>
    <t>marker_701_371869.png</t>
  </si>
  <si>
    <t>A-497__584</t>
  </si>
  <si>
    <t>marker_954_371888.png</t>
  </si>
  <si>
    <t>A-497_2C__290</t>
  </si>
  <si>
    <t>marker_280_320073.png</t>
  </si>
  <si>
    <t>A-497__572</t>
  </si>
  <si>
    <t>marker_138_372005.png</t>
  </si>
  <si>
    <t>A-497_2C__294</t>
  </si>
  <si>
    <t>marker_924_320110.png</t>
  </si>
  <si>
    <t>A-497_2C__305</t>
  </si>
  <si>
    <t>marker_425_320220.png</t>
  </si>
  <si>
    <t>A-497_2C__306</t>
  </si>
  <si>
    <t>marker_827_361784.png</t>
  </si>
  <si>
    <t>A-497_2C__313</t>
  </si>
  <si>
    <t>marker_835_361860.png</t>
  </si>
  <si>
    <t>A-497__559</t>
  </si>
  <si>
    <t>marker_362_372153.png</t>
  </si>
  <si>
    <t>A-497_2C__321</t>
  </si>
  <si>
    <t>marker_128_361940.png</t>
  </si>
  <si>
    <t>A-497_2C__322</t>
  </si>
  <si>
    <t>marker_337_361949.png</t>
  </si>
  <si>
    <t>A-497_2C__324</t>
  </si>
  <si>
    <t>marker_832_361966.png</t>
  </si>
  <si>
    <t>A-497_2C__329</t>
  </si>
  <si>
    <t>marker_443_362009.png</t>
  </si>
  <si>
    <t>A-497_2C__330</t>
  </si>
  <si>
    <t>marker_981_362021.png</t>
  </si>
  <si>
    <t>A-497_2C__332</t>
  </si>
  <si>
    <t>marker_159_362037.png</t>
  </si>
  <si>
    <t>A-497_2C__336</t>
  </si>
  <si>
    <t>marker_659_362080.png</t>
  </si>
  <si>
    <t>A-497_2C__340</t>
  </si>
  <si>
    <t>marker_267_362128.png</t>
  </si>
  <si>
    <t>A-497_2C__343</t>
  </si>
  <si>
    <t>marker_188_362155.png</t>
  </si>
  <si>
    <t>A-497_2C__365</t>
  </si>
  <si>
    <t>marker_102_362414.png</t>
  </si>
  <si>
    <t>A-497_2C__366</t>
  </si>
  <si>
    <t>marker_629_362424.png</t>
  </si>
  <si>
    <t>A-497_2C__392</t>
  </si>
  <si>
    <t>marker_377_362827.png</t>
  </si>
  <si>
    <t>A-497_2C__444</t>
  </si>
  <si>
    <t>marker_127_363355.png</t>
  </si>
  <si>
    <t>A-497_2C__447</t>
  </si>
  <si>
    <t>marker_534_363382.png</t>
  </si>
  <si>
    <t>A-497_2C__463</t>
  </si>
  <si>
    <t>marker_330_363567.png</t>
  </si>
  <si>
    <t>A-497_2C__464</t>
  </si>
  <si>
    <t>marker_775_363576.png</t>
  </si>
  <si>
    <t>A-497_2C__467</t>
  </si>
  <si>
    <t>marker_100_363609.png</t>
  </si>
  <si>
    <t>A-497_2C__474</t>
  </si>
  <si>
    <t>marker_267_363686.png</t>
  </si>
  <si>
    <t>A-497_2C__553</t>
  </si>
  <si>
    <t>marker_652_364718.png</t>
  </si>
  <si>
    <t>A-497_2C__554</t>
  </si>
  <si>
    <t>marker_737_366317.png</t>
  </si>
  <si>
    <t>A-497_2C__555</t>
  </si>
  <si>
    <t>marker_556_366327.png</t>
  </si>
  <si>
    <t>A-497_2C__565</t>
  </si>
  <si>
    <t>marker_224_366432.png</t>
  </si>
  <si>
    <t>A-497_2C__584</t>
  </si>
  <si>
    <t>marker_348_366609.png</t>
  </si>
  <si>
    <t>A-497_2C__585</t>
  </si>
  <si>
    <t>marker_871_366616.png</t>
  </si>
  <si>
    <t>A-497_2C__591</t>
  </si>
  <si>
    <t>marker_892_366680.png</t>
  </si>
  <si>
    <t>A-497_2C__600</t>
  </si>
  <si>
    <t>marker_460_366763.png</t>
  </si>
  <si>
    <t>A-497_2C__623</t>
  </si>
  <si>
    <t>marker_417_367017.png</t>
  </si>
  <si>
    <t>A-497__404</t>
  </si>
  <si>
    <t>marker_107_377155.png</t>
  </si>
  <si>
    <t>A-497__403</t>
  </si>
  <si>
    <t>marker_899_377164.png</t>
  </si>
  <si>
    <t>A-497__402</t>
  </si>
  <si>
    <t>marker_394_377176.png</t>
  </si>
  <si>
    <t>A-497__400</t>
  </si>
  <si>
    <t>marker_263_377194.png</t>
  </si>
  <si>
    <t>A-497__399</t>
  </si>
  <si>
    <t>marker_411_377202.png</t>
  </si>
  <si>
    <t>A-497__398</t>
  </si>
  <si>
    <t>marker_112_377211.png</t>
  </si>
  <si>
    <t>A-497__310</t>
  </si>
  <si>
    <t>marker_344_378099.png</t>
  </si>
  <si>
    <t>A-497__304</t>
  </si>
  <si>
    <t>marker_726_378162.png</t>
  </si>
  <si>
    <t>A-497__279</t>
  </si>
  <si>
    <t>marker_745_378487.png</t>
  </si>
  <si>
    <t>A-497__277</t>
  </si>
  <si>
    <t>marker_670_378505.png</t>
  </si>
  <si>
    <t>A-497__226</t>
  </si>
  <si>
    <t>marker_453_379079.png</t>
  </si>
  <si>
    <t>A-497__220</t>
  </si>
  <si>
    <t>marker_639_379144.png</t>
  </si>
  <si>
    <t>A-497__107</t>
  </si>
  <si>
    <t>marker_245_380758.png</t>
  </si>
  <si>
    <t>A-495R__60</t>
  </si>
  <si>
    <t>marker_232_935520.png</t>
  </si>
  <si>
    <t>A-495R__57</t>
  </si>
  <si>
    <t>marker_140_935590.png</t>
  </si>
  <si>
    <t>A-495R__53</t>
  </si>
  <si>
    <t>marker_515_935632.png</t>
  </si>
  <si>
    <t>A-495R__51</t>
  </si>
  <si>
    <t>marker_750_935651.png</t>
  </si>
  <si>
    <t>A-495R__50</t>
  </si>
  <si>
    <t>marker_597_935661.png</t>
  </si>
  <si>
    <t>A-495R__30</t>
  </si>
  <si>
    <t>marker_994_936622.png</t>
  </si>
  <si>
    <t>A-495R__28</t>
  </si>
  <si>
    <t>marker_276_936642.png</t>
  </si>
  <si>
    <t>A-5052__245</t>
  </si>
  <si>
    <t>marker_778_960018.png</t>
  </si>
  <si>
    <t>A-5052__246</t>
  </si>
  <si>
    <t>marker_772_960041.png</t>
  </si>
  <si>
    <t>A-495_1__107</t>
  </si>
  <si>
    <t>marker_252_384926.png</t>
  </si>
  <si>
    <t>A-497__767</t>
  </si>
  <si>
    <t>marker_277_368480.png</t>
  </si>
  <si>
    <t>A-497__566</t>
  </si>
  <si>
    <t>marker_120_372080.png</t>
  </si>
  <si>
    <t>A-497_2C__337</t>
  </si>
  <si>
    <t>marker_838_362098.png</t>
  </si>
  <si>
    <t>A-497__280</t>
  </si>
  <si>
    <t>marker_349_378467.png</t>
  </si>
  <si>
    <t>A-490__117</t>
  </si>
  <si>
    <t>marker_505_739928.png</t>
  </si>
  <si>
    <t>A-490__248</t>
  </si>
  <si>
    <t>marker_353_749460.png</t>
  </si>
  <si>
    <t>A-495R__70</t>
  </si>
  <si>
    <t>marker_114_935234.png</t>
  </si>
  <si>
    <t>A-497_2C__156</t>
  </si>
  <si>
    <t>marker_164_656065.png</t>
  </si>
  <si>
    <t>A-490__96</t>
  </si>
  <si>
    <t>marker_343_739088.png</t>
  </si>
  <si>
    <t>A-490__628</t>
  </si>
  <si>
    <t>marker_873_820402.png</t>
  </si>
  <si>
    <t>A-495R__58</t>
  </si>
  <si>
    <t>marker_807_935573.png</t>
  </si>
  <si>
    <t>A-495R__56</t>
  </si>
  <si>
    <t>marker_948_935601.png</t>
  </si>
  <si>
    <t>A-495R__49</t>
  </si>
  <si>
    <t>marker_542_935673.png</t>
  </si>
  <si>
    <t>A-495R__42</t>
  </si>
  <si>
    <t>marker_109_935739.png</t>
  </si>
  <si>
    <t>A-495R__38</t>
  </si>
  <si>
    <t>marker_620_936541.png</t>
  </si>
  <si>
    <t>A-495R__34</t>
  </si>
  <si>
    <t>marker_481_936582.png</t>
  </si>
  <si>
    <t>A-5052__247</t>
  </si>
  <si>
    <t>marker_124_960057.png</t>
  </si>
  <si>
    <t>A-5052__248</t>
  </si>
  <si>
    <t>marker_491_960069.png</t>
  </si>
  <si>
    <t>A-5052__250</t>
  </si>
  <si>
    <t>marker_583_960093.png</t>
  </si>
  <si>
    <t>A-5053__44</t>
  </si>
  <si>
    <t>marker_798_021670.png</t>
  </si>
  <si>
    <t>A-5053__43</t>
  </si>
  <si>
    <t>marker_605_021684.png</t>
  </si>
  <si>
    <t>A-495__112</t>
  </si>
  <si>
    <t>marker_487_382293.png</t>
  </si>
  <si>
    <t>A-495__117</t>
  </si>
  <si>
    <t>marker_554_382339.png</t>
  </si>
  <si>
    <t>A-495__118</t>
  </si>
  <si>
    <t>marker_722_382348.png</t>
  </si>
  <si>
    <t>A-495__122</t>
  </si>
  <si>
    <t>marker_410_382390.png</t>
  </si>
  <si>
    <t>A-5058__284</t>
  </si>
  <si>
    <t>marker_235_384070.png</t>
  </si>
  <si>
    <t>A-5058__285</t>
  </si>
  <si>
    <t>marker_551_384084.png</t>
  </si>
  <si>
    <t>A-495_1__109</t>
  </si>
  <si>
    <t>marker_580_384735.png</t>
  </si>
  <si>
    <t>A-495_1__108</t>
  </si>
  <si>
    <t>marker_376_384755.png</t>
  </si>
  <si>
    <t>A-495_1__106</t>
  </si>
  <si>
    <t>marker_586_384941.png</t>
  </si>
  <si>
    <t>A-499__79</t>
  </si>
  <si>
    <t>marker_329_789245.png</t>
  </si>
  <si>
    <t>A-499__80</t>
  </si>
  <si>
    <t>marker_924_789270.png</t>
  </si>
  <si>
    <t>A-499__83</t>
  </si>
  <si>
    <t>marker_975_789355.png</t>
  </si>
  <si>
    <t>A-497__766</t>
  </si>
  <si>
    <t>marker_952_368491.png</t>
  </si>
  <si>
    <t>A-497__765</t>
  </si>
  <si>
    <t>marker_620_368503.png</t>
  </si>
  <si>
    <t>A-497__760</t>
  </si>
  <si>
    <t>marker_368_368568.png</t>
  </si>
  <si>
    <t>A-497_2C__109</t>
  </si>
  <si>
    <t>marker_975_655526.png</t>
  </si>
  <si>
    <t>A-497__752</t>
  </si>
  <si>
    <t>marker_915_368662.png</t>
  </si>
  <si>
    <t>A-497__751</t>
  </si>
  <si>
    <t>marker_142_368676.png</t>
  </si>
  <si>
    <t>A-497__638</t>
  </si>
  <si>
    <t>marker_438_371349.png</t>
  </si>
  <si>
    <t>A-497__621</t>
  </si>
  <si>
    <t>marker_338_371517.png</t>
  </si>
  <si>
    <t>A-497__607</t>
  </si>
  <si>
    <t>marker_942_371650.png</t>
  </si>
  <si>
    <t>A-497__594</t>
  </si>
  <si>
    <t>marker_556_371768.png</t>
  </si>
  <si>
    <t>A-497_2C__284</t>
  </si>
  <si>
    <t>marker_763_319925.png</t>
  </si>
  <si>
    <t>A-497_2C__286</t>
  </si>
  <si>
    <t>marker_423_320016.png</t>
  </si>
  <si>
    <t>A-497__562</t>
  </si>
  <si>
    <t>marker_704_372126.png</t>
  </si>
  <si>
    <t>A-497_2C__312</t>
  </si>
  <si>
    <t>marker_962_361850.png</t>
  </si>
  <si>
    <t>A-497_2C__350</t>
  </si>
  <si>
    <t>marker_497_362231.png</t>
  </si>
  <si>
    <t>A-497_2C__395</t>
  </si>
  <si>
    <t>marker_378_362857.png</t>
  </si>
  <si>
    <t>A-497__302</t>
  </si>
  <si>
    <t>marker_609_378195.png</t>
  </si>
  <si>
    <t>A-497__281</t>
  </si>
  <si>
    <t>marker_454_378457.png</t>
  </si>
  <si>
    <t>A-497__236</t>
  </si>
  <si>
    <t>marker_907_378956.png</t>
  </si>
  <si>
    <t>A-497__769</t>
  </si>
  <si>
    <t>marker_797_368320.png</t>
  </si>
  <si>
    <t>A-497_2C__167</t>
  </si>
  <si>
    <t>marker_418_656170.png</t>
  </si>
  <si>
    <t>A-497_2C__394</t>
  </si>
  <si>
    <t>marker_416_362846.png</t>
  </si>
  <si>
    <t>A-490__423</t>
  </si>
  <si>
    <t>marker_539_754345.png</t>
  </si>
  <si>
    <t>Mediana</t>
  </si>
  <si>
    <t>A-490__426</t>
  </si>
  <si>
    <t>marker_436_754397.png</t>
  </si>
  <si>
    <t>A-490__435</t>
  </si>
  <si>
    <t>marker_737_754574.png</t>
  </si>
  <si>
    <t>A-490__466</t>
  </si>
  <si>
    <t>marker_781_755321.png</t>
  </si>
  <si>
    <t>A-490__479</t>
  </si>
  <si>
    <t>marker_677_755566.png</t>
  </si>
  <si>
    <t>A-490__509</t>
  </si>
  <si>
    <t>marker_233_817756.png</t>
  </si>
  <si>
    <t>A-490__516</t>
  </si>
  <si>
    <t>marker_213_817917.png</t>
  </si>
  <si>
    <t>A-492__57</t>
  </si>
  <si>
    <t>marker_906_823095.png</t>
  </si>
  <si>
    <t>A-497__19</t>
  </si>
  <si>
    <t>marker_891_943786.png</t>
  </si>
  <si>
    <t>A-5050__184</t>
  </si>
  <si>
    <t>marker_440_944116.png</t>
  </si>
  <si>
    <t>A-5050__168</t>
  </si>
  <si>
    <t>marker_973_944309.png</t>
  </si>
  <si>
    <t>A-5050__138</t>
  </si>
  <si>
    <t>marker_342_945862.png</t>
  </si>
  <si>
    <t>A-5052__12</t>
  </si>
  <si>
    <t>marker_604_950124.png</t>
  </si>
  <si>
    <t>A-5052__29</t>
  </si>
  <si>
    <t>marker_656_951586.png</t>
  </si>
  <si>
    <t>A-5052__67</t>
  </si>
  <si>
    <t>marker_838_957138.png</t>
  </si>
  <si>
    <t>A-5052__71</t>
  </si>
  <si>
    <t>marker_901_957188.png</t>
  </si>
  <si>
    <t>A-5052__108</t>
  </si>
  <si>
    <t>marker_856_957765.png</t>
  </si>
  <si>
    <t>A-5052__158</t>
  </si>
  <si>
    <t>marker_226_958647.png</t>
  </si>
  <si>
    <t>A-5052__179</t>
  </si>
  <si>
    <t>marker_597_959071.png</t>
  </si>
  <si>
    <t>A-5052__180</t>
  </si>
  <si>
    <t>marker_821_959081.png</t>
  </si>
  <si>
    <t>A-5052__181</t>
  </si>
  <si>
    <t>marker_905_959094.png</t>
  </si>
  <si>
    <t>A-5052__196</t>
  </si>
  <si>
    <t>marker_681_959411.png</t>
  </si>
  <si>
    <t>A-5052__214</t>
  </si>
  <si>
    <t>marker_586_959632.png</t>
  </si>
  <si>
    <t>A-5052__257</t>
  </si>
  <si>
    <t>marker_336_960166.png</t>
  </si>
  <si>
    <t>Modificada</t>
  </si>
  <si>
    <t>A-5052__438</t>
  </si>
  <si>
    <t>marker_475_963057.png</t>
  </si>
  <si>
    <t>A-5053__376</t>
  </si>
  <si>
    <t>marker_644_963898.png</t>
  </si>
  <si>
    <t>A-5053__364</t>
  </si>
  <si>
    <t>marker_993_964018.png</t>
  </si>
  <si>
    <t>A-5053__332</t>
  </si>
  <si>
    <t>marker_496_964437.png</t>
  </si>
  <si>
    <t>A-5053__65</t>
  </si>
  <si>
    <t>marker_982_020755.png</t>
  </si>
  <si>
    <t>A-495__62</t>
  </si>
  <si>
    <t>marker_321_381730.png</t>
  </si>
  <si>
    <t>A-495__111</t>
  </si>
  <si>
    <t>marker_336_382284.png</t>
  </si>
  <si>
    <t>A-5059__79</t>
  </si>
  <si>
    <t>marker_995_378750.png</t>
  </si>
  <si>
    <t>A-495__128</t>
  </si>
  <si>
    <t>marker_881_382454.png</t>
  </si>
  <si>
    <t>A-495__151</t>
  </si>
  <si>
    <t>marker_579_382696.png</t>
  </si>
  <si>
    <t>A-495__153</t>
  </si>
  <si>
    <t>marker_795_382714.png</t>
  </si>
  <si>
    <t>A-497_2C__135</t>
  </si>
  <si>
    <t>marker_642_655817.png</t>
  </si>
  <si>
    <t>A-497_2C__219</t>
  </si>
  <si>
    <t>marker_526_656757.png</t>
  </si>
  <si>
    <t>A-497_2C__220</t>
  </si>
  <si>
    <t>marker_251_656766.png</t>
  </si>
  <si>
    <t>A-497_2C__221</t>
  </si>
  <si>
    <t>marker_162_656775.png</t>
  </si>
  <si>
    <t>A-497_2C__223</t>
  </si>
  <si>
    <t>marker_989_656793.png</t>
  </si>
  <si>
    <t>A-497__628</t>
  </si>
  <si>
    <t>marker_953_371449.png</t>
  </si>
  <si>
    <t>A-497__627</t>
  </si>
  <si>
    <t>marker_268_371459.png</t>
  </si>
  <si>
    <t>A-497__552</t>
  </si>
  <si>
    <t>marker_763_372242.png</t>
  </si>
  <si>
    <t>A-497__550</t>
  </si>
  <si>
    <t>marker_415_372264.png</t>
  </si>
  <si>
    <t>A-497__547</t>
  </si>
  <si>
    <t>marker_994_372308.png</t>
  </si>
  <si>
    <t>A-497__539</t>
  </si>
  <si>
    <t>marker_923_372386.png</t>
  </si>
  <si>
    <t>A-497_2C__405</t>
  </si>
  <si>
    <t>marker_846_362961.png</t>
  </si>
  <si>
    <t>A-497_2C__406</t>
  </si>
  <si>
    <t>marker_636_362972.png</t>
  </si>
  <si>
    <t>A-497_2C__438</t>
  </si>
  <si>
    <t>marker_649_363290.png</t>
  </si>
  <si>
    <t>A-497__456</t>
  </si>
  <si>
    <t>marker_222_376622.png</t>
  </si>
  <si>
    <t>A-497__451</t>
  </si>
  <si>
    <t>marker_297_376675.png</t>
  </si>
  <si>
    <t>A-497__450</t>
  </si>
  <si>
    <t>marker_848_376685.png</t>
  </si>
  <si>
    <t>A-490__28</t>
  </si>
  <si>
    <t>marker_108_730881.png</t>
  </si>
  <si>
    <t>A-490__29</t>
  </si>
  <si>
    <t>marker_681_730902.png</t>
  </si>
  <si>
    <t>A-490__89</t>
  </si>
  <si>
    <t>marker_220_738952.png</t>
  </si>
  <si>
    <t>A-490__126</t>
  </si>
  <si>
    <t>marker_791_740156.png</t>
  </si>
  <si>
    <t>A-490__264</t>
  </si>
  <si>
    <t>marker_103_749788.png</t>
  </si>
  <si>
    <t>A-490__452</t>
  </si>
  <si>
    <t>marker_778_755082.png</t>
  </si>
  <si>
    <t>A-490__604</t>
  </si>
  <si>
    <t>marker_564_820140.png</t>
  </si>
  <si>
    <t>A-490__623</t>
  </si>
  <si>
    <t>marker_404_820343.png</t>
  </si>
  <si>
    <t>A-492__93</t>
  </si>
  <si>
    <t>marker_986_823683.png</t>
  </si>
  <si>
    <t>A-492__111</t>
  </si>
  <si>
    <t>marker_881_824300.png</t>
  </si>
  <si>
    <t>A-492__129</t>
  </si>
  <si>
    <t>marker_830_824527.png</t>
  </si>
  <si>
    <t>A-492__130</t>
  </si>
  <si>
    <t>marker_670_824542.png</t>
  </si>
  <si>
    <t>A-492__174</t>
  </si>
  <si>
    <t>marker_335_831517.png</t>
  </si>
  <si>
    <t>A-492__180</t>
  </si>
  <si>
    <t>marker_833_831609.png</t>
  </si>
  <si>
    <t>A-492__181</t>
  </si>
  <si>
    <t>marker_745_831646.png</t>
  </si>
  <si>
    <t>A-492__255</t>
  </si>
  <si>
    <t>marker_595_836174.png</t>
  </si>
  <si>
    <t>A-492__266</t>
  </si>
  <si>
    <t>marker_236_836701.png</t>
  </si>
  <si>
    <t>A-492__267</t>
  </si>
  <si>
    <t>marker_889_836713.png</t>
  </si>
  <si>
    <t>A-492__282</t>
  </si>
  <si>
    <t>marker_453_837329.png</t>
  </si>
  <si>
    <t>A-492__289</t>
  </si>
  <si>
    <t>marker_423_837407.png</t>
  </si>
  <si>
    <t>A-492__329</t>
  </si>
  <si>
    <t>marker_659_838068.png</t>
  </si>
  <si>
    <t>A-492__359</t>
  </si>
  <si>
    <t>marker_304_838618.png</t>
  </si>
  <si>
    <t>A-492__361</t>
  </si>
  <si>
    <t>marker_911_838638.png</t>
  </si>
  <si>
    <t>A-492__369</t>
  </si>
  <si>
    <t>marker_555_838745.png</t>
  </si>
  <si>
    <t>A-492__383</t>
  </si>
  <si>
    <t>marker_338_838924.png</t>
  </si>
  <si>
    <t>A-492__384</t>
  </si>
  <si>
    <t>marker_614_838957.png</t>
  </si>
  <si>
    <t>A-492__385</t>
  </si>
  <si>
    <t>marker_907_838972.png</t>
  </si>
  <si>
    <t>A-492__386</t>
  </si>
  <si>
    <t>marker_578_838981.png</t>
  </si>
  <si>
    <t>A-492__391</t>
  </si>
  <si>
    <t>marker_636_839039.png</t>
  </si>
  <si>
    <t>A-492__396</t>
  </si>
  <si>
    <t>marker_947_839103.png</t>
  </si>
  <si>
    <t>A-492__397</t>
  </si>
  <si>
    <t>marker_366_839114.png</t>
  </si>
  <si>
    <t>A-492__406</t>
  </si>
  <si>
    <t>marker_844_839248.png</t>
  </si>
  <si>
    <t>A-492__416</t>
  </si>
  <si>
    <t>marker_543_839353.png</t>
  </si>
  <si>
    <t>A-492__452</t>
  </si>
  <si>
    <t>marker_147_839838.png</t>
  </si>
  <si>
    <t>A-492__453</t>
  </si>
  <si>
    <t>marker_906_839848.png</t>
  </si>
  <si>
    <t>A-492__459</t>
  </si>
  <si>
    <t>marker_829_839918.png</t>
  </si>
  <si>
    <t>A-492__462</t>
  </si>
  <si>
    <t>marker_320_839951.png</t>
  </si>
  <si>
    <t>A-492__463</t>
  </si>
  <si>
    <t>marker_760_839960.png</t>
  </si>
  <si>
    <t>A-492__467</t>
  </si>
  <si>
    <t>marker_170_840016.png</t>
  </si>
  <si>
    <t>A-492__468</t>
  </si>
  <si>
    <t>marker_985_840026.png</t>
  </si>
  <si>
    <t>A-495R__106</t>
  </si>
  <si>
    <t>marker_509_895797.png</t>
  </si>
  <si>
    <t>A-497__70</t>
  </si>
  <si>
    <t>marker_980_938045.png</t>
  </si>
  <si>
    <t>A-497__52</t>
  </si>
  <si>
    <t>marker_840_938366.png</t>
  </si>
  <si>
    <t>A-497__47</t>
  </si>
  <si>
    <t>marker_718_938426.png</t>
  </si>
  <si>
    <t>A-497__44</t>
  </si>
  <si>
    <t>marker_786_938459.png</t>
  </si>
  <si>
    <t>A-497__40</t>
  </si>
  <si>
    <t>marker_813_940280.png</t>
  </si>
  <si>
    <t>A-497__36</t>
  </si>
  <si>
    <t>marker_181_940322.png</t>
  </si>
  <si>
    <t>A-497__21</t>
  </si>
  <si>
    <t>marker_934_943767.png</t>
  </si>
  <si>
    <t>A-497__4</t>
  </si>
  <si>
    <t>marker_886_944040.png</t>
  </si>
  <si>
    <t>A-5050__165</t>
  </si>
  <si>
    <t>marker_115_944341.png</t>
  </si>
  <si>
    <t>A-5050__164</t>
  </si>
  <si>
    <t>marker_175_944349.png</t>
  </si>
  <si>
    <t>A-5050__160</t>
  </si>
  <si>
    <t>marker_762_944692.png</t>
  </si>
  <si>
    <t>A-5050__158</t>
  </si>
  <si>
    <t>marker_341_944952.png</t>
  </si>
  <si>
    <t>A-5050__102</t>
  </si>
  <si>
    <t>marker_537_946781.png</t>
  </si>
  <si>
    <t>A-5050__54</t>
  </si>
  <si>
    <t>marker_880_949118.png</t>
  </si>
  <si>
    <t>A-5050__51</t>
  </si>
  <si>
    <t>marker_219_949147.png</t>
  </si>
  <si>
    <t>A-5050__17</t>
  </si>
  <si>
    <t>marker_765_949525.png</t>
  </si>
  <si>
    <t>A-5052__36</t>
  </si>
  <si>
    <t>marker_506_956756.png</t>
  </si>
  <si>
    <t>A-5052__272</t>
  </si>
  <si>
    <t>marker_917_960349.png</t>
  </si>
  <si>
    <t>A-5052__292</t>
  </si>
  <si>
    <t>marker_618_960728.png</t>
  </si>
  <si>
    <t>A-5052__306</t>
  </si>
  <si>
    <t>marker_792_961038.png</t>
  </si>
  <si>
    <t>A-5052__313</t>
  </si>
  <si>
    <t>marker_739_961156.png</t>
  </si>
  <si>
    <t>A-5052__386</t>
  </si>
  <si>
    <t>marker_149_962537.png</t>
  </si>
  <si>
    <t>A-5052__401</t>
  </si>
  <si>
    <t>marker_849_962677.png</t>
  </si>
  <si>
    <t>A-5052__447</t>
  </si>
  <si>
    <t>marker_414_963147.png</t>
  </si>
  <si>
    <t>A-5053__381</t>
  </si>
  <si>
    <t>marker_163_963839.png</t>
  </si>
  <si>
    <t>A-5053__380</t>
  </si>
  <si>
    <t>marker_867_963850.png</t>
  </si>
  <si>
    <t>A-5053__379</t>
  </si>
  <si>
    <t>marker_556_963863.png</t>
  </si>
  <si>
    <t>A-5053__361</t>
  </si>
  <si>
    <t>marker_101_964051.png</t>
  </si>
  <si>
    <t>A-5053__359</t>
  </si>
  <si>
    <t>marker_631_964077.png</t>
  </si>
  <si>
    <t>A-5053__298</t>
  </si>
  <si>
    <t>marker_347_964884.png</t>
  </si>
  <si>
    <t>A-5053__271</t>
  </si>
  <si>
    <t>marker_680_965139.png</t>
  </si>
  <si>
    <t>A-5053__245</t>
  </si>
  <si>
    <t>marker_307_965455.png</t>
  </si>
  <si>
    <t>A-5053__203</t>
  </si>
  <si>
    <t>marker_548_965860.png</t>
  </si>
  <si>
    <t>A-495__51</t>
  </si>
  <si>
    <t>marker_853_381625.png</t>
  </si>
  <si>
    <t>A-495__61</t>
  </si>
  <si>
    <t>marker_109_381719.png</t>
  </si>
  <si>
    <t>A-495__84</t>
  </si>
  <si>
    <t>marker_227_381977.png</t>
  </si>
  <si>
    <t>A-495__107</t>
  </si>
  <si>
    <t>marker_368_382240.png</t>
  </si>
  <si>
    <t>A-495__147</t>
  </si>
  <si>
    <t>marker_987_382654.png</t>
  </si>
  <si>
    <t>A-495__160</t>
  </si>
  <si>
    <t>marker_565_382803.png</t>
  </si>
  <si>
    <t>A-495_1__136</t>
  </si>
  <si>
    <t>marker_321_384413.png</t>
  </si>
  <si>
    <t>A-495_1__3</t>
  </si>
  <si>
    <t>marker_340_386296.png</t>
  </si>
  <si>
    <t>A-499__45</t>
  </si>
  <si>
    <t>marker_303_534812.png</t>
  </si>
  <si>
    <t>A-499__111</t>
  </si>
  <si>
    <t>marker_548_793416.png</t>
  </si>
  <si>
    <t>A-499__165</t>
  </si>
  <si>
    <t>marker_637_794689.png</t>
  </si>
  <si>
    <t>A-499__166</t>
  </si>
  <si>
    <t>marker_271_794702.png</t>
  </si>
  <si>
    <t>A-499__188</t>
  </si>
  <si>
    <t>marker_198_795779.png</t>
  </si>
  <si>
    <t>A-499__196</t>
  </si>
  <si>
    <t>marker_366_795913.png</t>
  </si>
  <si>
    <t>A-499__232</t>
  </si>
  <si>
    <t>marker_585_796669.png</t>
  </si>
  <si>
    <t>A-499__235</t>
  </si>
  <si>
    <t>marker_142_796711.png</t>
  </si>
  <si>
    <t>A-499__240</t>
  </si>
  <si>
    <t>marker_711_796871.png</t>
  </si>
  <si>
    <t>A-499__266</t>
  </si>
  <si>
    <t>marker_556_797341.png</t>
  </si>
  <si>
    <t>A-497__670</t>
  </si>
  <si>
    <t>marker_957_371025.png</t>
  </si>
  <si>
    <t>A-497_2C__273</t>
  </si>
  <si>
    <t>marker_114_319772.png</t>
  </si>
  <si>
    <t>A-497__563</t>
  </si>
  <si>
    <t>marker_835_372116.png</t>
  </si>
  <si>
    <t>A-497__342</t>
  </si>
  <si>
    <t>marker_609_377750.png</t>
  </si>
  <si>
    <t>A-497__177</t>
  </si>
  <si>
    <t>marker_912_379675.png</t>
  </si>
  <si>
    <t>A-497__175</t>
  </si>
  <si>
    <t>marker_893_379698.png</t>
  </si>
  <si>
    <t>A-490__17</t>
  </si>
  <si>
    <t>marker_949_730502.png</t>
  </si>
  <si>
    <t>A-490__21</t>
  </si>
  <si>
    <t>marker_527_730685.png</t>
  </si>
  <si>
    <t>A-490__32</t>
  </si>
  <si>
    <t>marker_517_730986.png</t>
  </si>
  <si>
    <t>A-490__35</t>
  </si>
  <si>
    <t>marker_681_731056.png</t>
  </si>
  <si>
    <t>A-490__38</t>
  </si>
  <si>
    <t>marker_562_731121.png</t>
  </si>
  <si>
    <t>A-490__50</t>
  </si>
  <si>
    <t>marker_693_732289.png</t>
  </si>
  <si>
    <t>A-490__58</t>
  </si>
  <si>
    <t>marker_762_737851.png</t>
  </si>
  <si>
    <t>A-490__65</t>
  </si>
  <si>
    <t>marker_793_738024.png</t>
  </si>
  <si>
    <t>A-490__81</t>
  </si>
  <si>
    <t>marker_719_738677.png</t>
  </si>
  <si>
    <t>A-490__86</t>
  </si>
  <si>
    <t>marker_916_738820.png</t>
  </si>
  <si>
    <t>A-490__88</t>
  </si>
  <si>
    <t>marker_536_738935.png</t>
  </si>
  <si>
    <t>A-490__99</t>
  </si>
  <si>
    <t>marker_350_739146.png</t>
  </si>
  <si>
    <t>A-490__110</t>
  </si>
  <si>
    <t>marker_630_739762.png</t>
  </si>
  <si>
    <t>A-490__147</t>
  </si>
  <si>
    <t>marker_821_740698.png</t>
  </si>
  <si>
    <t>A-490__150</t>
  </si>
  <si>
    <t>marker_638_740755.png</t>
  </si>
  <si>
    <t>A-490__153</t>
  </si>
  <si>
    <t>marker_567_740841.png</t>
  </si>
  <si>
    <t>A-490__156</t>
  </si>
  <si>
    <t>marker_774_740894.png</t>
  </si>
  <si>
    <t>A-490__158</t>
  </si>
  <si>
    <t>marker_370_741171.png</t>
  </si>
  <si>
    <t>A-490__165</t>
  </si>
  <si>
    <t>marker_754_741353.png</t>
  </si>
  <si>
    <t>A-490__169</t>
  </si>
  <si>
    <t>marker_338_741459.png</t>
  </si>
  <si>
    <t>A-490__184</t>
  </si>
  <si>
    <t>marker_102_741894.png</t>
  </si>
  <si>
    <t>A-490__187</t>
  </si>
  <si>
    <t>marker_844_741980.png</t>
  </si>
  <si>
    <t>A-490__203</t>
  </si>
  <si>
    <t>marker_112_742441.png</t>
  </si>
  <si>
    <t>A-490__208</t>
  </si>
  <si>
    <t>marker_402_742625.png</t>
  </si>
  <si>
    <t>A-490__235</t>
  </si>
  <si>
    <t>marker_840_743985.png</t>
  </si>
  <si>
    <t>A-490__263</t>
  </si>
  <si>
    <t>marker_738_749769.png</t>
  </si>
  <si>
    <t>A-490__105</t>
  </si>
  <si>
    <t>marker_720_739654.png</t>
  </si>
  <si>
    <t>A-490__346</t>
  </si>
  <si>
    <t>marker_777_751614.png</t>
  </si>
  <si>
    <t>A-490__355</t>
  </si>
  <si>
    <t>marker_190_751773.png</t>
  </si>
  <si>
    <t>A-490__356</t>
  </si>
  <si>
    <t>marker_158_751789.png</t>
  </si>
  <si>
    <t>A-490__357</t>
  </si>
  <si>
    <t>marker_355_751809.png</t>
  </si>
  <si>
    <t>A-490__365</t>
  </si>
  <si>
    <t>marker_939_751997.png</t>
  </si>
  <si>
    <t>A-490__372</t>
  </si>
  <si>
    <t>marker_842_752141.png</t>
  </si>
  <si>
    <t>A-490__375</t>
  </si>
  <si>
    <t>marker_389_752208.png</t>
  </si>
  <si>
    <t>A-490__395</t>
  </si>
  <si>
    <t>marker_290_752909.png</t>
  </si>
  <si>
    <t>A-490__397</t>
  </si>
  <si>
    <t>marker_732_752962.png</t>
  </si>
  <si>
    <t>A-490__399</t>
  </si>
  <si>
    <t>marker_514_753000.png</t>
  </si>
  <si>
    <t>A-490__411</t>
  </si>
  <si>
    <t>marker_975_754140.png</t>
  </si>
  <si>
    <t>A-490__413</t>
  </si>
  <si>
    <t>marker_369_754176.png</t>
  </si>
  <si>
    <t>A-490__427</t>
  </si>
  <si>
    <t>marker_932_754411.png</t>
  </si>
  <si>
    <t>A-490__518</t>
  </si>
  <si>
    <t>marker_337_817944.png</t>
  </si>
  <si>
    <t>A-490__520</t>
  </si>
  <si>
    <t>marker_109_818057.png</t>
  </si>
  <si>
    <t>A-490__546</t>
  </si>
  <si>
    <t>marker_794_818465.png</t>
  </si>
  <si>
    <t>A-490__550</t>
  </si>
  <si>
    <t>marker_349_818583.png</t>
  </si>
  <si>
    <t>A-490__551</t>
  </si>
  <si>
    <t>marker_517_818620.png</t>
  </si>
  <si>
    <t>A-490__552</t>
  </si>
  <si>
    <t>marker_941_818633.png</t>
  </si>
  <si>
    <t>A-490__588</t>
  </si>
  <si>
    <t>marker_957_819600.png</t>
  </si>
  <si>
    <t>A-490__595</t>
  </si>
  <si>
    <t>marker_988_819694.png</t>
  </si>
  <si>
    <t>A-490__601</t>
  </si>
  <si>
    <t>marker_186_819883.png</t>
  </si>
  <si>
    <t>A-490__602</t>
  </si>
  <si>
    <t>marker_727_820116.png</t>
  </si>
  <si>
    <t>A-490__615</t>
  </si>
  <si>
    <t>marker_354_820254.png</t>
  </si>
  <si>
    <t>A-490__616</t>
  </si>
  <si>
    <t>marker_694_820265.png</t>
  </si>
  <si>
    <t>A-490__619</t>
  </si>
  <si>
    <t>marker_206_820296.png</t>
  </si>
  <si>
    <t>A-490__622</t>
  </si>
  <si>
    <t>marker_779_820331.png</t>
  </si>
  <si>
    <t>A-492__98</t>
  </si>
  <si>
    <t>marker_650_823736.png</t>
  </si>
  <si>
    <t>A-492__99</t>
  </si>
  <si>
    <t>marker_578_823746.png</t>
  </si>
  <si>
    <t>A-492__100</t>
  </si>
  <si>
    <t>marker_319_823762.png</t>
  </si>
  <si>
    <t>A-492__102</t>
  </si>
  <si>
    <t>marker_822_823784.png</t>
  </si>
  <si>
    <t>A-492__103</t>
  </si>
  <si>
    <t>marker_222_823795.png</t>
  </si>
  <si>
    <t>A-492__112</t>
  </si>
  <si>
    <t>marker_419_824313.png</t>
  </si>
  <si>
    <t>A-492__132</t>
  </si>
  <si>
    <t>marker_271_824565.png</t>
  </si>
  <si>
    <t>A-492__139</t>
  </si>
  <si>
    <t>marker_746_824661.png</t>
  </si>
  <si>
    <t>A-492__158</t>
  </si>
  <si>
    <t>marker_494_824929.png</t>
  </si>
  <si>
    <t>A-492__165</t>
  </si>
  <si>
    <t>marker_968_831380.png</t>
  </si>
  <si>
    <t>A-492__168</t>
  </si>
  <si>
    <t>marker_533_831425.png</t>
  </si>
  <si>
    <t>A-492__189</t>
  </si>
  <si>
    <t>marker_139_831790.png</t>
  </si>
  <si>
    <t>A-492__218</t>
  </si>
  <si>
    <t>marker_360_832790.png</t>
  </si>
  <si>
    <t>A-492__231</t>
  </si>
  <si>
    <t>marker_654_835828.png</t>
  </si>
  <si>
    <t>A-492__269</t>
  </si>
  <si>
    <t>marker_617_836739.png</t>
  </si>
  <si>
    <t>A-492__271</t>
  </si>
  <si>
    <t>marker_297_836795.png</t>
  </si>
  <si>
    <t>A-492__275</t>
  </si>
  <si>
    <t>marker_547_836855.png</t>
  </si>
  <si>
    <t>A-492__276</t>
  </si>
  <si>
    <t>marker_782_836865.png</t>
  </si>
  <si>
    <t>A-492__287</t>
  </si>
  <si>
    <t>marker_213_837381.png</t>
  </si>
  <si>
    <t>A-492__360</t>
  </si>
  <si>
    <t>marker_125_838628.png</t>
  </si>
  <si>
    <t>A-492__421</t>
  </si>
  <si>
    <t>marker_798_839426.png</t>
  </si>
  <si>
    <t>A-492__431</t>
  </si>
  <si>
    <t>marker_969_839538.png</t>
  </si>
  <si>
    <t>A-497__29</t>
  </si>
  <si>
    <t>marker_793_940881.png</t>
  </si>
  <si>
    <t>A-497__28</t>
  </si>
  <si>
    <t>marker_401_940890.png</t>
  </si>
  <si>
    <t>A-5050__172</t>
  </si>
  <si>
    <t>marker_878_944262.png</t>
  </si>
  <si>
    <t>A-5050__157</t>
  </si>
  <si>
    <t>marker_264_945291.png</t>
  </si>
  <si>
    <t>A-5052__139</t>
  </si>
  <si>
    <t>marker_241_958219.png</t>
  </si>
  <si>
    <t>A-5052__279</t>
  </si>
  <si>
    <t>marker_614_960507.png</t>
  </si>
  <si>
    <t>A-5052__296</t>
  </si>
  <si>
    <t>marker_990_960779.png</t>
  </si>
  <si>
    <t>A-5052__299</t>
  </si>
  <si>
    <t>marker_156_960898.png</t>
  </si>
  <si>
    <t>A-5052__300</t>
  </si>
  <si>
    <t>marker_259_960909.png</t>
  </si>
  <si>
    <t>A-5052__408</t>
  </si>
  <si>
    <t>marker_340_962755.png</t>
  </si>
  <si>
    <t>A-5053__251</t>
  </si>
  <si>
    <t>marker_472_965341.png</t>
  </si>
  <si>
    <t>A-495__77</t>
  </si>
  <si>
    <t>marker_516_381900.png</t>
  </si>
  <si>
    <t>A-5058__48</t>
  </si>
  <si>
    <t>marker_100_380512.png</t>
  </si>
  <si>
    <t>A-5058__106</t>
  </si>
  <si>
    <t>marker_547_381200.png</t>
  </si>
  <si>
    <t>A-5058__144</t>
  </si>
  <si>
    <t>marker_164_381631.png</t>
  </si>
  <si>
    <t>A-5058__331</t>
  </si>
  <si>
    <t>marker_526_384645.png</t>
  </si>
  <si>
    <t>A-5058__341</t>
  </si>
  <si>
    <t>marker_314_384775.png</t>
  </si>
  <si>
    <t>A-5058__358</t>
  </si>
  <si>
    <t>marker_681_384946.png</t>
  </si>
  <si>
    <t>A-5058__366</t>
  </si>
  <si>
    <t>marker_448_385035.png</t>
  </si>
  <si>
    <t>A-5058__367</t>
  </si>
  <si>
    <t>marker_232_385044.png</t>
  </si>
  <si>
    <t>A-5058__377</t>
  </si>
  <si>
    <t>marker_802_385156.png</t>
  </si>
  <si>
    <t>A-5058__379</t>
  </si>
  <si>
    <t>marker_840_385185.png</t>
  </si>
  <si>
    <t>A-5058__415</t>
  </si>
  <si>
    <t>marker_147_388697.png</t>
  </si>
  <si>
    <t>A-495__1</t>
  </si>
  <si>
    <t>marker_723_380965.png</t>
  </si>
  <si>
    <t>A-499__43</t>
  </si>
  <si>
    <t>marker_542_534614.png</t>
  </si>
  <si>
    <t>A-499__94</t>
  </si>
  <si>
    <t>marker_950_793121.png</t>
  </si>
  <si>
    <t>A-497_2C__1</t>
  </si>
  <si>
    <t>marker_500_653725.png</t>
  </si>
  <si>
    <t>A-499__198</t>
  </si>
  <si>
    <t>marker_522_796059.png</t>
  </si>
  <si>
    <t>A-497_2C__116</t>
  </si>
  <si>
    <t>marker_603_655646.png</t>
  </si>
  <si>
    <t>A-497__529</t>
  </si>
  <si>
    <t>marker_548_372511.png</t>
  </si>
  <si>
    <t>A-497__521</t>
  </si>
  <si>
    <t>marker_579_372584.png</t>
  </si>
  <si>
    <t>A-497_2C__378</t>
  </si>
  <si>
    <t>marker_704_362605.png</t>
  </si>
  <si>
    <t>A-497__500</t>
  </si>
  <si>
    <t>marker_534_376098.png</t>
  </si>
  <si>
    <t>A-497__249</t>
  </si>
  <si>
    <t>marker_192_378791.png</t>
  </si>
  <si>
    <t>A-490__20</t>
  </si>
  <si>
    <t>marker_812_730666.png</t>
  </si>
  <si>
    <t>A-490__33</t>
  </si>
  <si>
    <t>marker_703_731013.png</t>
  </si>
  <si>
    <t>A-490__48</t>
  </si>
  <si>
    <t>marker_138_731408.png</t>
  </si>
  <si>
    <t>A-490__53</t>
  </si>
  <si>
    <t>marker_865_732363.png</t>
  </si>
  <si>
    <t>A-490__61</t>
  </si>
  <si>
    <t>marker_117_737930.png</t>
  </si>
  <si>
    <t>A-490__62</t>
  </si>
  <si>
    <t>marker_655_737950.png</t>
  </si>
  <si>
    <t>A-490__64</t>
  </si>
  <si>
    <t>marker_585_738000.png</t>
  </si>
  <si>
    <t>A-490__98</t>
  </si>
  <si>
    <t>marker_340_739129.png</t>
  </si>
  <si>
    <t>A-490__100</t>
  </si>
  <si>
    <t>marker_401_739162.png</t>
  </si>
  <si>
    <t>A-490__113</t>
  </si>
  <si>
    <t>marker_207_739826.png</t>
  </si>
  <si>
    <t>A-490__143</t>
  </si>
  <si>
    <t>marker_431_740593.png</t>
  </si>
  <si>
    <t>A-490__144</t>
  </si>
  <si>
    <t>marker_163_740611.png</t>
  </si>
  <si>
    <t>A-490__173</t>
  </si>
  <si>
    <t>marker_602_741551.png</t>
  </si>
  <si>
    <t>A-490__175</t>
  </si>
  <si>
    <t>marker_360_741609.png</t>
  </si>
  <si>
    <t>A-490__186</t>
  </si>
  <si>
    <t>marker_825_741952.png</t>
  </si>
  <si>
    <t>A-490__190</t>
  </si>
  <si>
    <t>marker_942_742047.png</t>
  </si>
  <si>
    <t>A-490__191</t>
  </si>
  <si>
    <t>marker_108_742082.png</t>
  </si>
  <si>
    <t>A-490__192</t>
  </si>
  <si>
    <t>marker_139_742103.png</t>
  </si>
  <si>
    <t>A-490__193</t>
  </si>
  <si>
    <t>marker_116_742118.png</t>
  </si>
  <si>
    <t>A-490__194</t>
  </si>
  <si>
    <t>marker_679_742139.png</t>
  </si>
  <si>
    <t>A-490__195</t>
  </si>
  <si>
    <t>marker_710_742167.png</t>
  </si>
  <si>
    <t>A-490__196</t>
  </si>
  <si>
    <t>marker_686_742189.png</t>
  </si>
  <si>
    <t>A-490__199</t>
  </si>
  <si>
    <t>marker_470_742325.png</t>
  </si>
  <si>
    <t>A-490__209</t>
  </si>
  <si>
    <t>marker_301_742643.png</t>
  </si>
  <si>
    <t>A-490__251</t>
  </si>
  <si>
    <t>marker_124_749514.png</t>
  </si>
  <si>
    <t>A-490__256</t>
  </si>
  <si>
    <t>marker_319_749629.png</t>
  </si>
  <si>
    <t>A-490__349</t>
  </si>
  <si>
    <t>marker_428_751662.png</t>
  </si>
  <si>
    <t>A-490__351</t>
  </si>
  <si>
    <t>marker_266_751693.png</t>
  </si>
  <si>
    <t>A-490__380</t>
  </si>
  <si>
    <t>marker_169_752333.png</t>
  </si>
  <si>
    <t>A-490__548</t>
  </si>
  <si>
    <t>marker_125_818497.png</t>
  </si>
  <si>
    <t>A-490__598</t>
  </si>
  <si>
    <t>marker_928_819737.png</t>
  </si>
  <si>
    <t>A-490__627</t>
  </si>
  <si>
    <t>marker_613_820389.png</t>
  </si>
  <si>
    <t>A-492__6</t>
  </si>
  <si>
    <t>marker_501_821562.png</t>
  </si>
  <si>
    <t>A-492__7</t>
  </si>
  <si>
    <t>marker_265_821575.png</t>
  </si>
  <si>
    <t>A-492__16</t>
  </si>
  <si>
    <t>marker_114_821971.png</t>
  </si>
  <si>
    <t>A-492__29</t>
  </si>
  <si>
    <t>marker_401_822297.png</t>
  </si>
  <si>
    <t>A-492__84</t>
  </si>
  <si>
    <t>marker_739_823543.png</t>
  </si>
  <si>
    <t>A-492__138</t>
  </si>
  <si>
    <t>marker_840_824643.png</t>
  </si>
  <si>
    <t>A-492__414</t>
  </si>
  <si>
    <t>marker_787_839331.png</t>
  </si>
  <si>
    <t>A-492__456</t>
  </si>
  <si>
    <t>marker_353_839879.png</t>
  </si>
  <si>
    <t>A-492__474</t>
  </si>
  <si>
    <t>marker_216_840092.png</t>
  </si>
  <si>
    <t>A-495R__67</t>
  </si>
  <si>
    <t>marker_252_935280.png</t>
  </si>
  <si>
    <t>A-497__87</t>
  </si>
  <si>
    <t>marker_460_937382.png</t>
  </si>
  <si>
    <t>A-497__2</t>
  </si>
  <si>
    <t>marker_643_944060.png</t>
  </si>
  <si>
    <t>A-5050__171</t>
  </si>
  <si>
    <t>marker_117_944273.png</t>
  </si>
  <si>
    <t>A-5050__170</t>
  </si>
  <si>
    <t>marker_693_944287.png</t>
  </si>
  <si>
    <t>A-5052__19</t>
  </si>
  <si>
    <t>marker_254_950289.png</t>
  </si>
  <si>
    <t>A-5058__207</t>
  </si>
  <si>
    <t>marker_395_382979.png</t>
  </si>
  <si>
    <t>A-5058__292</t>
  </si>
  <si>
    <t>marker_197_384170.png</t>
  </si>
  <si>
    <t>A-5058__303</t>
  </si>
  <si>
    <t>marker_335_384312.png</t>
  </si>
  <si>
    <t>A-5058__441</t>
  </si>
  <si>
    <t>marker_763_388984.png</t>
  </si>
  <si>
    <t>A-495_1__158</t>
  </si>
  <si>
    <t>marker_336_384111.png</t>
  </si>
  <si>
    <t>A-495_1__131</t>
  </si>
  <si>
    <t>marker_943_384467.png</t>
  </si>
  <si>
    <t>A-495_1__129</t>
  </si>
  <si>
    <t>marker_565_384484.png</t>
  </si>
  <si>
    <t>A-495_1__124</t>
  </si>
  <si>
    <t>marker_383_384530.png</t>
  </si>
  <si>
    <t>A-499__68</t>
  </si>
  <si>
    <t>marker_182_535153.png</t>
  </si>
  <si>
    <t>A-499__69</t>
  </si>
  <si>
    <t>marker_244_535167.png</t>
  </si>
  <si>
    <t>A-499__84</t>
  </si>
  <si>
    <t>marker_815_789375.png</t>
  </si>
  <si>
    <t>A-497__709</t>
  </si>
  <si>
    <t>marker_399_370288.png</t>
  </si>
  <si>
    <t>A-497__669</t>
  </si>
  <si>
    <t>marker_111_371034.png</t>
  </si>
  <si>
    <t>A-497__659</t>
  </si>
  <si>
    <t>marker_529_371156.png</t>
  </si>
  <si>
    <t>A-497__651</t>
  </si>
  <si>
    <t>marker_664_371226.png</t>
  </si>
  <si>
    <t>A-497__602</t>
  </si>
  <si>
    <t>marker_182_371696.png</t>
  </si>
  <si>
    <t>A-497__536</t>
  </si>
  <si>
    <t>marker_539_372431.png</t>
  </si>
  <si>
    <t>A-497__525</t>
  </si>
  <si>
    <t>marker_750_372548.png</t>
  </si>
  <si>
    <t>A-497_2C__579</t>
  </si>
  <si>
    <t>marker_157_366562.png</t>
  </si>
  <si>
    <t>A-497__331</t>
  </si>
  <si>
    <t>marker_115_377862.png</t>
  </si>
  <si>
    <t>A-497__329</t>
  </si>
  <si>
    <t>marker_708_377881.png</t>
  </si>
  <si>
    <t>A-490__55</t>
  </si>
  <si>
    <t>marker_877_732399.png</t>
  </si>
  <si>
    <t>A-490__73</t>
  </si>
  <si>
    <t>marker_200_738234.png</t>
  </si>
  <si>
    <t>A-490__74</t>
  </si>
  <si>
    <t>marker_833_738417.png</t>
  </si>
  <si>
    <t>A-492__12</t>
  </si>
  <si>
    <t>marker_349_821916.png</t>
  </si>
  <si>
    <t>A-495R__71</t>
  </si>
  <si>
    <t>marker_680_935211.png</t>
  </si>
  <si>
    <t>A-495R__54</t>
  </si>
  <si>
    <t>marker_652_935620.png</t>
  </si>
  <si>
    <t>A-495R__35</t>
  </si>
  <si>
    <t>marker_935_936572.png</t>
  </si>
  <si>
    <t>A-495R__24</t>
  </si>
  <si>
    <t>marker_985_936688.png</t>
  </si>
  <si>
    <t>A-497__82</t>
  </si>
  <si>
    <t>marker_122_937440.png</t>
  </si>
  <si>
    <t>A-497__81</t>
  </si>
  <si>
    <t>marker_706_937449.png</t>
  </si>
  <si>
    <t>A-497__75</t>
  </si>
  <si>
    <t>marker_733_937988.png</t>
  </si>
  <si>
    <t>A-495__113</t>
  </si>
  <si>
    <t>marker_747_382303.png</t>
  </si>
  <si>
    <t>A-497__761</t>
  </si>
  <si>
    <t>marker_716_368557.png</t>
  </si>
  <si>
    <t>A-497__759</t>
  </si>
  <si>
    <t>marker_331_368580.png</t>
  </si>
  <si>
    <t>A-497__753</t>
  </si>
  <si>
    <t>marker_576_368650.png</t>
  </si>
  <si>
    <t>A-497_2C__19</t>
  </si>
  <si>
    <t>marker_792_654378.png</t>
  </si>
  <si>
    <t>A-497__595</t>
  </si>
  <si>
    <t>marker_310_371761.png</t>
  </si>
  <si>
    <t>A-497__571</t>
  </si>
  <si>
    <t>marker_239_372016.png</t>
  </si>
  <si>
    <t>A-497__568</t>
  </si>
  <si>
    <t>marker_360_372059.png</t>
  </si>
  <si>
    <t>A-497__229</t>
  </si>
  <si>
    <t>marker_497_379048.png</t>
  </si>
  <si>
    <t>A-490__19</t>
  </si>
  <si>
    <t>marker_830_730626.png</t>
  </si>
  <si>
    <t>A-490__26</t>
  </si>
  <si>
    <t>marker_240_730823.png</t>
  </si>
  <si>
    <t>A-490__30</t>
  </si>
  <si>
    <t>marker_928_730925.png</t>
  </si>
  <si>
    <t>A-490__36</t>
  </si>
  <si>
    <t>marker_869_731078.png</t>
  </si>
  <si>
    <t>A-490__40</t>
  </si>
  <si>
    <t>marker_921_731166.png</t>
  </si>
  <si>
    <t>A-490__42</t>
  </si>
  <si>
    <t>marker_997_731241.png</t>
  </si>
  <si>
    <t>A-490__51</t>
  </si>
  <si>
    <t>marker_426_732318.png</t>
  </si>
  <si>
    <t>A-490__56</t>
  </si>
  <si>
    <t>marker_113_737798.png</t>
  </si>
  <si>
    <t>A-490__59</t>
  </si>
  <si>
    <t>marker_468_737902.png</t>
  </si>
  <si>
    <t>A-490__71</t>
  </si>
  <si>
    <t>marker_833_738189.png</t>
  </si>
  <si>
    <t>A-490__80</t>
  </si>
  <si>
    <t>marker_789_738603.png</t>
  </si>
  <si>
    <t>A-490__82</t>
  </si>
  <si>
    <t>marker_164_738698.png</t>
  </si>
  <si>
    <t>A-490__83</t>
  </si>
  <si>
    <t>marker_165_738734.png</t>
  </si>
  <si>
    <t>A-490__93</t>
  </si>
  <si>
    <t>marker_444_739032.png</t>
  </si>
  <si>
    <t>A-490__128</t>
  </si>
  <si>
    <t>marker_771_740188.png</t>
  </si>
  <si>
    <t>A-490__106</t>
  </si>
  <si>
    <t>marker_189_739673.png</t>
  </si>
  <si>
    <t>A-490__109</t>
  </si>
  <si>
    <t>marker_291_739744.png</t>
  </si>
  <si>
    <t>A-490__111</t>
  </si>
  <si>
    <t>marker_932_739783.png</t>
  </si>
  <si>
    <t>A-490__112</t>
  </si>
  <si>
    <t>marker_160_739800.png</t>
  </si>
  <si>
    <t>A-490__115</t>
  </si>
  <si>
    <t>marker_371_739880.png</t>
  </si>
  <si>
    <t>A-490__121</t>
  </si>
  <si>
    <t>marker_857_740038.png</t>
  </si>
  <si>
    <t>A-490__122</t>
  </si>
  <si>
    <t>marker_411_740073.png</t>
  </si>
  <si>
    <t>A-490__124</t>
  </si>
  <si>
    <t>marker_225_740097.png</t>
  </si>
  <si>
    <t>A-490__125</t>
  </si>
  <si>
    <t>marker_559_740122.png</t>
  </si>
  <si>
    <t>A-490__127</t>
  </si>
  <si>
    <t>marker_859_740172.png</t>
  </si>
  <si>
    <t>A-490__129</t>
  </si>
  <si>
    <t>marker_845_740224.png</t>
  </si>
  <si>
    <t>A-490__130</t>
  </si>
  <si>
    <t>marker_714_740241.png</t>
  </si>
  <si>
    <t>A-490__132</t>
  </si>
  <si>
    <t>marker_207_740288.png</t>
  </si>
  <si>
    <t>A-490__137</t>
  </si>
  <si>
    <t>marker_540_740452.png</t>
  </si>
  <si>
    <t>A-490__138</t>
  </si>
  <si>
    <t>marker_762_740472.png</t>
  </si>
  <si>
    <t>A-490__139</t>
  </si>
  <si>
    <t>marker_378_740490.png</t>
  </si>
  <si>
    <t>A-490__145</t>
  </si>
  <si>
    <t>marker_442_740639.png</t>
  </si>
  <si>
    <t>A-490__148</t>
  </si>
  <si>
    <t>marker_875_740718.png</t>
  </si>
  <si>
    <t>A-490__149</t>
  </si>
  <si>
    <t>marker_145_740737.png</t>
  </si>
  <si>
    <t>A-490__159</t>
  </si>
  <si>
    <t>marker_517_741201.png</t>
  </si>
  <si>
    <t>A-490__162</t>
  </si>
  <si>
    <t>marker_639_741279.png</t>
  </si>
  <si>
    <t>A-490__163</t>
  </si>
  <si>
    <t>marker_935_741303.png</t>
  </si>
  <si>
    <t>A-490__166</t>
  </si>
  <si>
    <t>marker_621_741379.png</t>
  </si>
  <si>
    <t>A-490__174</t>
  </si>
  <si>
    <t>marker_955_741587.png</t>
  </si>
  <si>
    <t>A-490__178</t>
  </si>
  <si>
    <t>marker_687_741721.png</t>
  </si>
  <si>
    <t>A-490__179</t>
  </si>
  <si>
    <t>marker_374_741761.png</t>
  </si>
  <si>
    <t>A-490__183</t>
  </si>
  <si>
    <t>marker_584_741872.png</t>
  </si>
  <si>
    <t>A-490__198</t>
  </si>
  <si>
    <t>marker_546_742299.png</t>
  </si>
  <si>
    <t>A-490__200</t>
  </si>
  <si>
    <t>marker_399_742352.png</t>
  </si>
  <si>
    <t>A-490__201</t>
  </si>
  <si>
    <t>marker_773_742374.png</t>
  </si>
  <si>
    <t>A-490__202</t>
  </si>
  <si>
    <t>marker_286_742423.png</t>
  </si>
  <si>
    <t>A-490__215</t>
  </si>
  <si>
    <t>marker_634_743083.png</t>
  </si>
  <si>
    <t>A-490__227</t>
  </si>
  <si>
    <t>marker_354_743756.png</t>
  </si>
  <si>
    <t>A-490__228</t>
  </si>
  <si>
    <t>marker_445_743786.png</t>
  </si>
  <si>
    <t>A-490__236</t>
  </si>
  <si>
    <t>marker_226_744014.png</t>
  </si>
  <si>
    <t>A-490__240</t>
  </si>
  <si>
    <t>marker_865_749166.png</t>
  </si>
  <si>
    <t>A-490__243</t>
  </si>
  <si>
    <t>marker_473_749351.png</t>
  </si>
  <si>
    <t>A-490__247</t>
  </si>
  <si>
    <t>marker_430_749441.png</t>
  </si>
  <si>
    <t>A-490__249</t>
  </si>
  <si>
    <t>marker_675_749478.png</t>
  </si>
  <si>
    <t>A-490__262</t>
  </si>
  <si>
    <t>marker_577_749750.png</t>
  </si>
  <si>
    <t>A-490__101</t>
  </si>
  <si>
    <t>marker_347_739180.png</t>
  </si>
  <si>
    <t>A-490__352</t>
  </si>
  <si>
    <t>marker_755_751711.png</t>
  </si>
  <si>
    <t>A-490__364</t>
  </si>
  <si>
    <t>marker_607_751979.png</t>
  </si>
  <si>
    <t>A-490__366</t>
  </si>
  <si>
    <t>marker_243_752013.png</t>
  </si>
  <si>
    <t>A-490__371</t>
  </si>
  <si>
    <t>marker_893_752122.png</t>
  </si>
  <si>
    <t>A-490__378</t>
  </si>
  <si>
    <t>marker_566_752289.png</t>
  </si>
  <si>
    <t>A-490__386</t>
  </si>
  <si>
    <t>marker_428_752462.png</t>
  </si>
  <si>
    <t>A-490__390</t>
  </si>
  <si>
    <t>marker_530_752550.png</t>
  </si>
  <si>
    <t>A-490__391</t>
  </si>
  <si>
    <t>marker_581_752572.png</t>
  </si>
  <si>
    <t>A-490__393</t>
  </si>
  <si>
    <t>marker_889_752710.png</t>
  </si>
  <si>
    <t>A-490__400</t>
  </si>
  <si>
    <t>marker_898_753017.png</t>
  </si>
  <si>
    <t>A-490__402</t>
  </si>
  <si>
    <t>marker_264_753075.png</t>
  </si>
  <si>
    <t>A-490__403</t>
  </si>
  <si>
    <t>marker_902_753092.png</t>
  </si>
  <si>
    <t>A-490__404</t>
  </si>
  <si>
    <t>marker_395_753109.png</t>
  </si>
  <si>
    <t>A-490__407</t>
  </si>
  <si>
    <t>marker_772_753889.png</t>
  </si>
  <si>
    <t>A-490__408</t>
  </si>
  <si>
    <t>marker_716_754088.png</t>
  </si>
  <si>
    <t>A-490__409</t>
  </si>
  <si>
    <t>marker_677_754106.png</t>
  </si>
  <si>
    <t>A-490__412</t>
  </si>
  <si>
    <t>marker_334_754158.png</t>
  </si>
  <si>
    <t>A-490__421</t>
  </si>
  <si>
    <t>marker_627_754307.png</t>
  </si>
  <si>
    <t>A-490__424</t>
  </si>
  <si>
    <t>marker_661_754363.png</t>
  </si>
  <si>
    <t>A-490__438</t>
  </si>
  <si>
    <t>marker_805_754620.png</t>
  </si>
  <si>
    <t>A-490__440</t>
  </si>
  <si>
    <t>marker_881_754656.png</t>
  </si>
  <si>
    <t>A-490__441</t>
  </si>
  <si>
    <t>marker_563_754671.png</t>
  </si>
  <si>
    <t>A-490__454</t>
  </si>
  <si>
    <t>marker_772_755113.png</t>
  </si>
  <si>
    <t>A-490__467</t>
  </si>
  <si>
    <t>marker_695_755339.png</t>
  </si>
  <si>
    <t>A-490__472</t>
  </si>
  <si>
    <t>marker_385_755431.png</t>
  </si>
  <si>
    <t>A-490__487</t>
  </si>
  <si>
    <t>marker_348_755711.png</t>
  </si>
  <si>
    <t>A-490__489</t>
  </si>
  <si>
    <t>marker_960_755750.png</t>
  </si>
  <si>
    <t>A-490__490</t>
  </si>
  <si>
    <t>marker_136_755765.png</t>
  </si>
  <si>
    <t>A-490__494</t>
  </si>
  <si>
    <t>marker_350_755860.png</t>
  </si>
  <si>
    <t>A-490__495</t>
  </si>
  <si>
    <t>marker_235_755880.png</t>
  </si>
  <si>
    <t>A-490__500</t>
  </si>
  <si>
    <t>marker_712_817588.png</t>
  </si>
  <si>
    <t>A-490__504</t>
  </si>
  <si>
    <t>marker_262_817657.png</t>
  </si>
  <si>
    <t>A-490__505</t>
  </si>
  <si>
    <t>marker_787_817671.png</t>
  </si>
  <si>
    <t>A-490__508</t>
  </si>
  <si>
    <t>marker_474_817736.png</t>
  </si>
  <si>
    <t>A-490__511</t>
  </si>
  <si>
    <t>marker_838_817833.png</t>
  </si>
  <si>
    <t>A-490__514</t>
  </si>
  <si>
    <t>marker_513_817884.png</t>
  </si>
  <si>
    <t>A-490__517</t>
  </si>
  <si>
    <t>marker_821_817931.png</t>
  </si>
  <si>
    <t>A-490__523</t>
  </si>
  <si>
    <t>marker_138_818098.png</t>
  </si>
  <si>
    <t>A-490__537</t>
  </si>
  <si>
    <t>marker_951_818305.png</t>
  </si>
  <si>
    <t>A-490__542</t>
  </si>
  <si>
    <t>marker_929_818374.png</t>
  </si>
  <si>
    <t>A-490__543</t>
  </si>
  <si>
    <t>marker_179_818390.png</t>
  </si>
  <si>
    <t>A-490__545</t>
  </si>
  <si>
    <t>marker_587_818414.png</t>
  </si>
  <si>
    <t>A-490__553</t>
  </si>
  <si>
    <t>marker_778_818647.png</t>
  </si>
  <si>
    <t>A-490__554</t>
  </si>
  <si>
    <t>marker_953_818660.png</t>
  </si>
  <si>
    <t>A-490__560</t>
  </si>
  <si>
    <t>marker_903_819175.png</t>
  </si>
  <si>
    <t>A-490__573</t>
  </si>
  <si>
    <t>marker_998_819375.png</t>
  </si>
  <si>
    <t>A-490__589</t>
  </si>
  <si>
    <t>marker_159_819614.png</t>
  </si>
  <si>
    <t>A-490__590</t>
  </si>
  <si>
    <t>marker_976_819627.png</t>
  </si>
  <si>
    <t>A-490__592</t>
  </si>
  <si>
    <t>marker_586_819653.png</t>
  </si>
  <si>
    <t>A-490__596</t>
  </si>
  <si>
    <t>marker_537_819709.png</t>
  </si>
  <si>
    <t>A-490__597</t>
  </si>
  <si>
    <t>marker_344_819723.png</t>
  </si>
  <si>
    <t>A-490__599</t>
  </si>
  <si>
    <t>marker_348_819813.png</t>
  </si>
  <si>
    <t>A-490__600</t>
  </si>
  <si>
    <t>marker_101_819828.png</t>
  </si>
  <si>
    <t>A-490__606</t>
  </si>
  <si>
    <t>marker_723_820163.png</t>
  </si>
  <si>
    <t>A-490__607</t>
  </si>
  <si>
    <t>marker_797_820174.png</t>
  </si>
  <si>
    <t>A-490__611</t>
  </si>
  <si>
    <t>marker_234_820214.png</t>
  </si>
  <si>
    <t>A-490__614</t>
  </si>
  <si>
    <t>marker_624_820243.png</t>
  </si>
  <si>
    <t>A-490__625</t>
  </si>
  <si>
    <t>marker_571_820366.png</t>
  </si>
  <si>
    <t>A-490__626</t>
  </si>
  <si>
    <t>marker_106_820377.png</t>
  </si>
  <si>
    <t>A-492__5</t>
  </si>
  <si>
    <t>marker_872_821549.png</t>
  </si>
  <si>
    <t>A-492__15</t>
  </si>
  <si>
    <t>marker_553_821957.png</t>
  </si>
  <si>
    <t>A-492__17</t>
  </si>
  <si>
    <t>marker_788_821984.png</t>
  </si>
  <si>
    <t>A-492__25</t>
  </si>
  <si>
    <t>marker_542_822223.png</t>
  </si>
  <si>
    <t>A-492__27</t>
  </si>
  <si>
    <t>marker_429_822248.png</t>
  </si>
  <si>
    <t>A-492__37</t>
  </si>
  <si>
    <t>marker_157_822818.png</t>
  </si>
  <si>
    <t>A-492__50</t>
  </si>
  <si>
    <t>marker_459_823004.png</t>
  </si>
  <si>
    <t>A-492__51</t>
  </si>
  <si>
    <t>marker_642_823016.png</t>
  </si>
  <si>
    <t>A-492__85</t>
  </si>
  <si>
    <t>marker_422_823556.png</t>
  </si>
  <si>
    <t>A-492__96</t>
  </si>
  <si>
    <t>marker_980_823715.png</t>
  </si>
  <si>
    <t>A-492__101</t>
  </si>
  <si>
    <t>marker_798_823773.png</t>
  </si>
  <si>
    <t>A-492__122</t>
  </si>
  <si>
    <t>marker_887_824442.png</t>
  </si>
  <si>
    <t>A-492__124</t>
  </si>
  <si>
    <t>marker_748_824468.png</t>
  </si>
  <si>
    <t>A-492__133</t>
  </si>
  <si>
    <t>marker_155_824574.png</t>
  </si>
  <si>
    <t>A-492__137</t>
  </si>
  <si>
    <t>marker_639_824630.png</t>
  </si>
  <si>
    <t>A-492__152</t>
  </si>
  <si>
    <t>marker_661_824829.png</t>
  </si>
  <si>
    <t>A-492__153</t>
  </si>
  <si>
    <t>marker_242_824839.png</t>
  </si>
  <si>
    <t>A-492__154</t>
  </si>
  <si>
    <t>marker_188_824885.png</t>
  </si>
  <si>
    <t>A-492__155</t>
  </si>
  <si>
    <t>marker_224_824897.png</t>
  </si>
  <si>
    <t>A-492__156</t>
  </si>
  <si>
    <t>marker_818_824908.png</t>
  </si>
  <si>
    <t>A-492__157</t>
  </si>
  <si>
    <t>marker_687_824918.png</t>
  </si>
  <si>
    <t>A-492__159</t>
  </si>
  <si>
    <t>marker_582_824942.png</t>
  </si>
  <si>
    <t>A-492__162</t>
  </si>
  <si>
    <t>marker_556_831344.png</t>
  </si>
  <si>
    <t>A-492__164</t>
  </si>
  <si>
    <t>marker_385_831366.png</t>
  </si>
  <si>
    <t>A-492__167</t>
  </si>
  <si>
    <t>marker_925_831405.png</t>
  </si>
  <si>
    <t>A-492__169</t>
  </si>
  <si>
    <t>marker_225_831440.png</t>
  </si>
  <si>
    <t>A-492__175</t>
  </si>
  <si>
    <t>marker_587_831529.png</t>
  </si>
  <si>
    <t>A-492__182</t>
  </si>
  <si>
    <t>marker_745_831660.png</t>
  </si>
  <si>
    <t>A-492__187</t>
  </si>
  <si>
    <t>marker_606_831754.png</t>
  </si>
  <si>
    <t>A-492__188</t>
  </si>
  <si>
    <t>marker_544_831773.png</t>
  </si>
  <si>
    <t>A-492__191</t>
  </si>
  <si>
    <t>marker_116_831815.png</t>
  </si>
  <si>
    <t>A-492__192</t>
  </si>
  <si>
    <t>marker_146_831827.png</t>
  </si>
  <si>
    <t>A-492__199</t>
  </si>
  <si>
    <t>marker_916_831907.png</t>
  </si>
  <si>
    <t>A-492__200</t>
  </si>
  <si>
    <t>marker_507_831920.png</t>
  </si>
  <si>
    <t>A-492__201</t>
  </si>
  <si>
    <t>marker_190_831935.png</t>
  </si>
  <si>
    <t>A-492__210</t>
  </si>
  <si>
    <t>marker_817_832075.png</t>
  </si>
  <si>
    <t>A-492__215</t>
  </si>
  <si>
    <t>marker_225_832722.png</t>
  </si>
  <si>
    <t>A-492__216</t>
  </si>
  <si>
    <t>marker_928_832749.png</t>
  </si>
  <si>
    <t>A-492__219</t>
  </si>
  <si>
    <t>marker_529_832800.png</t>
  </si>
  <si>
    <t>A-492__220</t>
  </si>
  <si>
    <t>marker_439_835660.png</t>
  </si>
  <si>
    <t>A-492__223</t>
  </si>
  <si>
    <t>marker_362_835693.png</t>
  </si>
  <si>
    <t>A-492__235</t>
  </si>
  <si>
    <t>marker_997_835878.png</t>
  </si>
  <si>
    <t>A-492__236</t>
  </si>
  <si>
    <t>marker_270_835889.png</t>
  </si>
  <si>
    <t>A-492__237</t>
  </si>
  <si>
    <t>marker_540_835904.png</t>
  </si>
  <si>
    <t>A-492__239</t>
  </si>
  <si>
    <t>marker_334_835933.png</t>
  </si>
  <si>
    <t>A-492__240</t>
  </si>
  <si>
    <t>marker_890_835943.png</t>
  </si>
  <si>
    <t>A-492__243</t>
  </si>
  <si>
    <t>marker_391_835987.png</t>
  </si>
  <si>
    <t>A-492__244</t>
  </si>
  <si>
    <t>marker_505_836019.png</t>
  </si>
  <si>
    <t>A-492__253</t>
  </si>
  <si>
    <t>marker_444_836139.png</t>
  </si>
  <si>
    <t>A-492__259</t>
  </si>
  <si>
    <t>marker_504_836573.png</t>
  </si>
  <si>
    <t>A-492__265</t>
  </si>
  <si>
    <t>marker_776_836690.png</t>
  </si>
  <si>
    <t>A-492__280</t>
  </si>
  <si>
    <t>marker_269_836914.png</t>
  </si>
  <si>
    <t>A-492__284</t>
  </si>
  <si>
    <t>marker_294_837348.png</t>
  </si>
  <si>
    <t>A-492__285</t>
  </si>
  <si>
    <t>marker_437_837359.png</t>
  </si>
  <si>
    <t>A-492__290</t>
  </si>
  <si>
    <t>marker_557_837418.png</t>
  </si>
  <si>
    <t>A-492__292</t>
  </si>
  <si>
    <t>marker_199_837446.png</t>
  </si>
  <si>
    <t>A-492__293</t>
  </si>
  <si>
    <t>marker_862_837458.png</t>
  </si>
  <si>
    <t>A-492__295</t>
  </si>
  <si>
    <t>marker_692_837482.png</t>
  </si>
  <si>
    <t>A-492__296</t>
  </si>
  <si>
    <t>marker_918_837492.png</t>
  </si>
  <si>
    <t>A-492__297</t>
  </si>
  <si>
    <t>marker_874_837517.png</t>
  </si>
  <si>
    <t>A-492__298</t>
  </si>
  <si>
    <t>marker_131_837526.png</t>
  </si>
  <si>
    <t>A-492__299</t>
  </si>
  <si>
    <t>marker_755_837542.png</t>
  </si>
  <si>
    <t>A-492__300</t>
  </si>
  <si>
    <t>marker_223_837551.png</t>
  </si>
  <si>
    <t>A-492__302</t>
  </si>
  <si>
    <t>marker_611_837578.png</t>
  </si>
  <si>
    <t>A-492__303</t>
  </si>
  <si>
    <t>marker_825_837589.png</t>
  </si>
  <si>
    <t>A-492__318</t>
  </si>
  <si>
    <t>marker_757_837928.png</t>
  </si>
  <si>
    <t>A-492__319</t>
  </si>
  <si>
    <t>marker_370_837937.png</t>
  </si>
  <si>
    <t>A-492__328</t>
  </si>
  <si>
    <t>marker_253_838056.png</t>
  </si>
  <si>
    <t>A-492__335</t>
  </si>
  <si>
    <t>marker_910_838148.png</t>
  </si>
  <si>
    <t>A-492__338</t>
  </si>
  <si>
    <t>marker_640_838181.png</t>
  </si>
  <si>
    <t>A-492__343</t>
  </si>
  <si>
    <t>marker_872_838257.png</t>
  </si>
  <si>
    <t>A-492__344</t>
  </si>
  <si>
    <t>marker_688_838267.png</t>
  </si>
  <si>
    <t>A-492__346</t>
  </si>
  <si>
    <t>marker_745_838313.png</t>
  </si>
  <si>
    <t>A-492__349</t>
  </si>
  <si>
    <t>marker_571_838351.png</t>
  </si>
  <si>
    <t>A-492__390</t>
  </si>
  <si>
    <t>marker_782_839028.png</t>
  </si>
  <si>
    <t>A-492__409</t>
  </si>
  <si>
    <t>marker_316_839280.png</t>
  </si>
  <si>
    <t>A-492__413</t>
  </si>
  <si>
    <t>marker_427_839322.png</t>
  </si>
  <si>
    <t>A-492__422</t>
  </si>
  <si>
    <t>marker_947_839437.png</t>
  </si>
  <si>
    <t>A-492__432</t>
  </si>
  <si>
    <t>marker_803_839550.png</t>
  </si>
  <si>
    <t>A-492__433</t>
  </si>
  <si>
    <t>marker_549_839564.png</t>
  </si>
  <si>
    <t>A-492__454</t>
  </si>
  <si>
    <t>marker_972_839857.png</t>
  </si>
  <si>
    <t>A-492__457</t>
  </si>
  <si>
    <t>marker_227_839896.png</t>
  </si>
  <si>
    <t>A-492__466</t>
  </si>
  <si>
    <t>marker_736_839992.png</t>
  </si>
  <si>
    <t>A-492__469</t>
  </si>
  <si>
    <t>marker_772_840035.png</t>
  </si>
  <si>
    <t>A-492__473</t>
  </si>
  <si>
    <t>marker_907_840079.png</t>
  </si>
  <si>
    <t>A-495R__68</t>
  </si>
  <si>
    <t>marker_574_935258.png</t>
  </si>
  <si>
    <t>A-495R__66</t>
  </si>
  <si>
    <t>marker_310_935374.png</t>
  </si>
  <si>
    <t>A-495R__37</t>
  </si>
  <si>
    <t>marker_924_936552.png</t>
  </si>
  <si>
    <t>A-495R__33</t>
  </si>
  <si>
    <t>marker_302_936591.png</t>
  </si>
  <si>
    <t>A-495R__21</t>
  </si>
  <si>
    <t>marker_477_936719.png</t>
  </si>
  <si>
    <t>A-495R__17</t>
  </si>
  <si>
    <t>marker_647_936823.png</t>
  </si>
  <si>
    <t>A-497__89</t>
  </si>
  <si>
    <t>marker_775_937358.png</t>
  </si>
  <si>
    <t>A-497__88</t>
  </si>
  <si>
    <t>marker_461_937373.png</t>
  </si>
  <si>
    <t>A-497__85</t>
  </si>
  <si>
    <t>marker_529_937406.png</t>
  </si>
  <si>
    <t>A-497__84</t>
  </si>
  <si>
    <t>marker_539_937421.png</t>
  </si>
  <si>
    <t>A-497__83</t>
  </si>
  <si>
    <t>marker_223_937430.png</t>
  </si>
  <si>
    <t>A-497__78</t>
  </si>
  <si>
    <t>marker_292_937953.png</t>
  </si>
  <si>
    <t>A-497__73</t>
  </si>
  <si>
    <t>marker_551_938017.png</t>
  </si>
  <si>
    <t>A-497__67</t>
  </si>
  <si>
    <t>marker_142_938182.png</t>
  </si>
  <si>
    <t>A-497__60</t>
  </si>
  <si>
    <t>marker_461_938261.png</t>
  </si>
  <si>
    <t>A-497__59</t>
  </si>
  <si>
    <t>marker_232_938274.png</t>
  </si>
  <si>
    <t>A-497__56</t>
  </si>
  <si>
    <t>marker_411_938306.png</t>
  </si>
  <si>
    <t>A-497__55</t>
  </si>
  <si>
    <t>marker_946_938322.png</t>
  </si>
  <si>
    <t>A-497__53</t>
  </si>
  <si>
    <t>marker_448_938356.png</t>
  </si>
  <si>
    <t>A-497__48</t>
  </si>
  <si>
    <t>marker_695_938417.png</t>
  </si>
  <si>
    <t>A-497__43</t>
  </si>
  <si>
    <t>marker_299_938469.png</t>
  </si>
  <si>
    <t>A-497__41</t>
  </si>
  <si>
    <t>marker_573_940267.png</t>
  </si>
  <si>
    <t>A-497__39</t>
  </si>
  <si>
    <t>marker_438_940290.png</t>
  </si>
  <si>
    <t>A-497__37</t>
  </si>
  <si>
    <t>marker_876_940312.png</t>
  </si>
  <si>
    <t>A-497__32</t>
  </si>
  <si>
    <t>marker_939_940578.png</t>
  </si>
  <si>
    <t>A-497__16</t>
  </si>
  <si>
    <t>marker_935_943822.png</t>
  </si>
  <si>
    <t>A-497__8</t>
  </si>
  <si>
    <t>marker_244_943995.png</t>
  </si>
  <si>
    <t>A-5050__183</t>
  </si>
  <si>
    <t>marker_528_944137.png</t>
  </si>
  <si>
    <t>A-5050__167</t>
  </si>
  <si>
    <t>marker_234_944318.png</t>
  </si>
  <si>
    <t>A-5050__163</t>
  </si>
  <si>
    <t>marker_527_944657.png</t>
  </si>
  <si>
    <t>A-5050__159</t>
  </si>
  <si>
    <t>marker_953_944940.png</t>
  </si>
  <si>
    <t>A-5050__155</t>
  </si>
  <si>
    <t>marker_551_945312.png</t>
  </si>
  <si>
    <t>A-5050__153</t>
  </si>
  <si>
    <t>marker_324_945341.png</t>
  </si>
  <si>
    <t>A-5050__60</t>
  </si>
  <si>
    <t>marker_767_949041.png</t>
  </si>
  <si>
    <t>A-5052__1</t>
  </si>
  <si>
    <t>marker_190_949859.png</t>
  </si>
  <si>
    <t>A-5052__18</t>
  </si>
  <si>
    <t>marker_924_950215.png</t>
  </si>
  <si>
    <t>A-5052__174</t>
  </si>
  <si>
    <t>marker_652_959005.png</t>
  </si>
  <si>
    <t>A-5052__249</t>
  </si>
  <si>
    <t>marker_184_960083.png</t>
  </si>
  <si>
    <t>A-5052__266</t>
  </si>
  <si>
    <t>marker_594_960270.png</t>
  </si>
  <si>
    <t>A-5052__311</t>
  </si>
  <si>
    <t>marker_570_961122.png</t>
  </si>
  <si>
    <t>A-5052__352</t>
  </si>
  <si>
    <t>marker_211_961766.png</t>
  </si>
  <si>
    <t>A-5053__383</t>
  </si>
  <si>
    <t>marker_173_963812.png</t>
  </si>
  <si>
    <t>A-5053__275</t>
  </si>
  <si>
    <t>marker_448_965105.png</t>
  </si>
  <si>
    <t>A-5053__264</t>
  </si>
  <si>
    <t>marker_233_965217.png</t>
  </si>
  <si>
    <t>A-5053__262</t>
  </si>
  <si>
    <t>marker_627_965237.png</t>
  </si>
  <si>
    <t>A-5053__260</t>
  </si>
  <si>
    <t>marker_232_965256.png</t>
  </si>
  <si>
    <t>A-5053__256</t>
  </si>
  <si>
    <t>marker_915_965296.png</t>
  </si>
  <si>
    <t>A-5053__254</t>
  </si>
  <si>
    <t>marker_705_965314.png</t>
  </si>
  <si>
    <t>A-5053__252</t>
  </si>
  <si>
    <t>marker_554_965332.png</t>
  </si>
  <si>
    <t>A-5053__248</t>
  </si>
  <si>
    <t>marker_978_965430.png</t>
  </si>
  <si>
    <t>A-5053__208</t>
  </si>
  <si>
    <t>marker_513_965815.png</t>
  </si>
  <si>
    <t>A-5053__130</t>
  </si>
  <si>
    <t>marker_145_966573.png</t>
  </si>
  <si>
    <t>A-5053__46</t>
  </si>
  <si>
    <t>marker_500_021045.png</t>
  </si>
  <si>
    <t>A-5053__42</t>
  </si>
  <si>
    <t>marker_427_021694.png</t>
  </si>
  <si>
    <t>A-5053__23</t>
  </si>
  <si>
    <t>marker_252_022875.png</t>
  </si>
  <si>
    <t>A-5053__11</t>
  </si>
  <si>
    <t>marker_654_025094.png</t>
  </si>
  <si>
    <t>A-495__64</t>
  </si>
  <si>
    <t>marker_638_381752.png</t>
  </si>
  <si>
    <t>A-495__65</t>
  </si>
  <si>
    <t>marker_781_381765.png</t>
  </si>
  <si>
    <t>A-495__68</t>
  </si>
  <si>
    <t>marker_301_381795.png</t>
  </si>
  <si>
    <t>A-495__71</t>
  </si>
  <si>
    <t>marker_251_381826.png</t>
  </si>
  <si>
    <t>A-495__76</t>
  </si>
  <si>
    <t>marker_427_381888.png</t>
  </si>
  <si>
    <t>A-495__81</t>
  </si>
  <si>
    <t>marker_696_381942.png</t>
  </si>
  <si>
    <t>A-495__83</t>
  </si>
  <si>
    <t>marker_610_381967.png</t>
  </si>
  <si>
    <t>A-495__88</t>
  </si>
  <si>
    <t>marker_735_382025.png</t>
  </si>
  <si>
    <t>A-495__89</t>
  </si>
  <si>
    <t>marker_995_382045.png</t>
  </si>
  <si>
    <t>A-495__91</t>
  </si>
  <si>
    <t>marker_999_382070.png</t>
  </si>
  <si>
    <t>A-5059__84</t>
  </si>
  <si>
    <t>marker_972_378676.png</t>
  </si>
  <si>
    <t>A-495__116</t>
  </si>
  <si>
    <t>marker_660_382330.png</t>
  </si>
  <si>
    <t>A-495__120</t>
  </si>
  <si>
    <t>marker_820_382368.png</t>
  </si>
  <si>
    <t>A-495__121</t>
  </si>
  <si>
    <t>marker_474_382377.png</t>
  </si>
  <si>
    <t>A-495__129</t>
  </si>
  <si>
    <t>marker_569_382466.png</t>
  </si>
  <si>
    <t>A-495__134</t>
  </si>
  <si>
    <t>marker_994_382519.png</t>
  </si>
  <si>
    <t>A-5058__194</t>
  </si>
  <si>
    <t>marker_221_382828.png</t>
  </si>
  <si>
    <t>A-5058__197</t>
  </si>
  <si>
    <t>marker_407_382856.png</t>
  </si>
  <si>
    <t>A-5058__203</t>
  </si>
  <si>
    <t>marker_992_382920.png</t>
  </si>
  <si>
    <t>A-5058__226</t>
  </si>
  <si>
    <t>marker_221_383199.png</t>
  </si>
  <si>
    <t>A-5058__253</t>
  </si>
  <si>
    <t>marker_604_383556.png</t>
  </si>
  <si>
    <t>A-5058__254</t>
  </si>
  <si>
    <t>marker_309_383584.png</t>
  </si>
  <si>
    <t>A-5058__329</t>
  </si>
  <si>
    <t>marker_336_384611.png</t>
  </si>
  <si>
    <t>A-5058__385</t>
  </si>
  <si>
    <t>marker_978_385258.png</t>
  </si>
  <si>
    <t>A-5058__386</t>
  </si>
  <si>
    <t>marker_394_385268.png</t>
  </si>
  <si>
    <t>A-5058__387</t>
  </si>
  <si>
    <t>marker_402_385278.png</t>
  </si>
  <si>
    <t>A-5058__413</t>
  </si>
  <si>
    <t>marker_295_388679.png</t>
  </si>
  <si>
    <t>A-5058__422</t>
  </si>
  <si>
    <t>marker_850_388772.png</t>
  </si>
  <si>
    <t>A-5058__429</t>
  </si>
  <si>
    <t>marker_578_388843.png</t>
  </si>
  <si>
    <t>A-5058__446</t>
  </si>
  <si>
    <t>marker_146_389037.png</t>
  </si>
  <si>
    <t>A-5058__447</t>
  </si>
  <si>
    <t>marker_101_389046.png</t>
  </si>
  <si>
    <t>A-5058__450</t>
  </si>
  <si>
    <t>marker_809_389075.png</t>
  </si>
  <si>
    <t>A-5058__451</t>
  </si>
  <si>
    <t>marker_821_389084.png</t>
  </si>
  <si>
    <t>A-5058__459</t>
  </si>
  <si>
    <t>marker_807_389303.png</t>
  </si>
  <si>
    <t>A-5058__463</t>
  </si>
  <si>
    <t>marker_358_389342.png</t>
  </si>
  <si>
    <t>A-5058__468</t>
  </si>
  <si>
    <t>marker_975_389386.png</t>
  </si>
  <si>
    <t>A-495__2</t>
  </si>
  <si>
    <t>marker_986_380981.png</t>
  </si>
  <si>
    <t>A-495_1__188</t>
  </si>
  <si>
    <t>marker_100_383748.png</t>
  </si>
  <si>
    <t>A-495_1__171</t>
  </si>
  <si>
    <t>marker_258_383976.png</t>
  </si>
  <si>
    <t>A-495_1__165</t>
  </si>
  <si>
    <t>marker_879_384038.png</t>
  </si>
  <si>
    <t>A-495_1__163</t>
  </si>
  <si>
    <t>marker_338_384055.png</t>
  </si>
  <si>
    <t>A-495_1__160</t>
  </si>
  <si>
    <t>marker_266_384094.png</t>
  </si>
  <si>
    <t>A-495_1__156</t>
  </si>
  <si>
    <t>marker_908_384148.png</t>
  </si>
  <si>
    <t>A-495_1__155</t>
  </si>
  <si>
    <t>marker_224_384167.png</t>
  </si>
  <si>
    <t>A-495_1__152</t>
  </si>
  <si>
    <t>marker_831_384193.png</t>
  </si>
  <si>
    <t>A-495_1__145</t>
  </si>
  <si>
    <t>marker_230_384301.png</t>
  </si>
  <si>
    <t>A-495_1__137</t>
  </si>
  <si>
    <t>marker_539_384403.png</t>
  </si>
  <si>
    <t>A-495_1__82</t>
  </si>
  <si>
    <t>marker_542_385216.png</t>
  </si>
  <si>
    <t>A-497__793</t>
  </si>
  <si>
    <t>marker_414_368028.png</t>
  </si>
  <si>
    <t>A-497__755</t>
  </si>
  <si>
    <t>marker_531_368623.png</t>
  </si>
  <si>
    <t>A-497_2C__6</t>
  </si>
  <si>
    <t>marker_751_653780.png</t>
  </si>
  <si>
    <t>A-497_2C__28</t>
  </si>
  <si>
    <t>marker_645_654469.png</t>
  </si>
  <si>
    <t>A-497_2C__29</t>
  </si>
  <si>
    <t>marker_286_654479.png</t>
  </si>
  <si>
    <t>A-497_2C__30</t>
  </si>
  <si>
    <t>marker_725_654488.png</t>
  </si>
  <si>
    <t>A-497_2C__31</t>
  </si>
  <si>
    <t>marker_738_654499.png</t>
  </si>
  <si>
    <t>A-499__129</t>
  </si>
  <si>
    <t>marker_376_793769.png</t>
  </si>
  <si>
    <t>A-499__139</t>
  </si>
  <si>
    <t>marker_516_794054.png</t>
  </si>
  <si>
    <t>A-499__148</t>
  </si>
  <si>
    <t>marker_814_794252.png</t>
  </si>
  <si>
    <t>A-499__149</t>
  </si>
  <si>
    <t>marker_973_794289.png</t>
  </si>
  <si>
    <t>A-499__197</t>
  </si>
  <si>
    <t>marker_981_795961.png</t>
  </si>
  <si>
    <t>A-499__225</t>
  </si>
  <si>
    <t>marker_760_796545.png</t>
  </si>
  <si>
    <t>A-497_2C__35</t>
  </si>
  <si>
    <t>marker_537_654534.png</t>
  </si>
  <si>
    <t>A-497_2C__38</t>
  </si>
  <si>
    <t>marker_211_654629.png</t>
  </si>
  <si>
    <t>A-497_2C__39</t>
  </si>
  <si>
    <t>marker_225_654638.png</t>
  </si>
  <si>
    <t>A-497_2C__43</t>
  </si>
  <si>
    <t>marker_597_654674.png</t>
  </si>
  <si>
    <t>A-499__236</t>
  </si>
  <si>
    <t>marker_538_796726.png</t>
  </si>
  <si>
    <t>A-497_2C__63</t>
  </si>
  <si>
    <t>marker_830_654901.png</t>
  </si>
  <si>
    <t>A-497_2C__69</t>
  </si>
  <si>
    <t>marker_238_654957.png</t>
  </si>
  <si>
    <t>A-497_2C__94</t>
  </si>
  <si>
    <t>marker_281_655322.png</t>
  </si>
  <si>
    <t>A-497_2C__108</t>
  </si>
  <si>
    <t>marker_596_655517.png</t>
  </si>
  <si>
    <t>A-497__750</t>
  </si>
  <si>
    <t>marker_739_368689.png</t>
  </si>
  <si>
    <t>A-497_2C__147</t>
  </si>
  <si>
    <t>marker_978_655943.png</t>
  </si>
  <si>
    <t>A-497_2C__151</t>
  </si>
  <si>
    <t>marker_924_656012.png</t>
  </si>
  <si>
    <t>A-497_2C__162</t>
  </si>
  <si>
    <t>marker_220_656119.png</t>
  </si>
  <si>
    <t>A-497_2C__166</t>
  </si>
  <si>
    <t>marker_850_656158.png</t>
  </si>
  <si>
    <t>A-497__704</t>
  </si>
  <si>
    <t>marker_378_370341.png</t>
  </si>
  <si>
    <t>A-497__703</t>
  </si>
  <si>
    <t>marker_305_370350.png</t>
  </si>
  <si>
    <t>A-497__681</t>
  </si>
  <si>
    <t>marker_334_370566.png</t>
  </si>
  <si>
    <t>A-497__674</t>
  </si>
  <si>
    <t>marker_449_370740.png</t>
  </si>
  <si>
    <t>A-497_2C__233</t>
  </si>
  <si>
    <t>marker_375_656908.png</t>
  </si>
  <si>
    <t>A-497__650</t>
  </si>
  <si>
    <t>marker_558_371237.png</t>
  </si>
  <si>
    <t>A-497__643</t>
  </si>
  <si>
    <t>marker_904_371300.png</t>
  </si>
  <si>
    <t>A-497__642</t>
  </si>
  <si>
    <t>marker_521_371313.png</t>
  </si>
  <si>
    <t>A-497__640</t>
  </si>
  <si>
    <t>marker_345_371329.png</t>
  </si>
  <si>
    <t>A-497__614</t>
  </si>
  <si>
    <t>marker_129_371585.png</t>
  </si>
  <si>
    <t>A-497__603</t>
  </si>
  <si>
    <t>marker_601_371686.png</t>
  </si>
  <si>
    <t>A-497_2C__263</t>
  </si>
  <si>
    <t>marker_100_319657.png</t>
  </si>
  <si>
    <t>A-497__585</t>
  </si>
  <si>
    <t>marker_856_371879.png</t>
  </si>
  <si>
    <t>A-497__582</t>
  </si>
  <si>
    <t>marker_780_371907.png</t>
  </si>
  <si>
    <t>A-497__580</t>
  </si>
  <si>
    <t>marker_277_371925.png</t>
  </si>
  <si>
    <t>A-497__578</t>
  </si>
  <si>
    <t>marker_446_371943.png</t>
  </si>
  <si>
    <t>A-497__577</t>
  </si>
  <si>
    <t>marker_823_371954.png</t>
  </si>
  <si>
    <t>A-497__576</t>
  </si>
  <si>
    <t>marker_236_371963.png</t>
  </si>
  <si>
    <t>A-497__574</t>
  </si>
  <si>
    <t>marker_471_371982.png</t>
  </si>
  <si>
    <t>A-497_2C__291</t>
  </si>
  <si>
    <t>marker_200_320084.png</t>
  </si>
  <si>
    <t>A-497__565</t>
  </si>
  <si>
    <t>marker_457_372091.png</t>
  </si>
  <si>
    <t>A-497_2C__304</t>
  </si>
  <si>
    <t>marker_494_320210.png</t>
  </si>
  <si>
    <t>A-497__540</t>
  </si>
  <si>
    <t>marker_305_372376.png</t>
  </si>
  <si>
    <t>A-497_2C__338</t>
  </si>
  <si>
    <t>marker_340_362109.png</t>
  </si>
  <si>
    <t>A-497__535</t>
  </si>
  <si>
    <t>marker_665_372441.png</t>
  </si>
  <si>
    <t>A-497_2C__344</t>
  </si>
  <si>
    <t>marker_421_362164.png</t>
  </si>
  <si>
    <t>A-497__532</t>
  </si>
  <si>
    <t>marker_501_372482.png</t>
  </si>
  <si>
    <t>A-497__527</t>
  </si>
  <si>
    <t>marker_606_372529.png</t>
  </si>
  <si>
    <t>A-497_2C__367</t>
  </si>
  <si>
    <t>marker_578_362434.png</t>
  </si>
  <si>
    <t>A-497_2C__368</t>
  </si>
  <si>
    <t>marker_268_362448.png</t>
  </si>
  <si>
    <t>A-497_2C__370</t>
  </si>
  <si>
    <t>marker_630_362478.png</t>
  </si>
  <si>
    <t>A-497_2C__371</t>
  </si>
  <si>
    <t>marker_797_362490.png</t>
  </si>
  <si>
    <t>A-497_2C__373</t>
  </si>
  <si>
    <t>marker_830_362521.png</t>
  </si>
  <si>
    <t>A-497__517</t>
  </si>
  <si>
    <t>marker_620_372623.png</t>
  </si>
  <si>
    <t>A-497__513</t>
  </si>
  <si>
    <t>marker_943_372660.png</t>
  </si>
  <si>
    <t>A-497__512</t>
  </si>
  <si>
    <t>marker_219_372672.png</t>
  </si>
  <si>
    <t>A-497_2C__393</t>
  </si>
  <si>
    <t>marker_124_362836.png</t>
  </si>
  <si>
    <t>A-497__496</t>
  </si>
  <si>
    <t>marker_957_376142.png</t>
  </si>
  <si>
    <t>A-497_2C__407</t>
  </si>
  <si>
    <t>marker_400_362981.png</t>
  </si>
  <si>
    <t>A-497_2C__569</t>
  </si>
  <si>
    <t>marker_896_366477.png</t>
  </si>
  <si>
    <t>A-497_2C__602</t>
  </si>
  <si>
    <t>marker_541_366783.png</t>
  </si>
  <si>
    <t>A-497__407</t>
  </si>
  <si>
    <t>marker_835_377126.png</t>
  </si>
  <si>
    <t>A-497__401</t>
  </si>
  <si>
    <t>marker_359_377185.png</t>
  </si>
  <si>
    <t>A-497__289</t>
  </si>
  <si>
    <t>marker_444_378364.png</t>
  </si>
  <si>
    <t>A-497__235</t>
  </si>
  <si>
    <t>marker_183_378976.png</t>
  </si>
  <si>
    <t>A-497__193</t>
  </si>
  <si>
    <t>marker_432_379480.png</t>
  </si>
  <si>
    <t>A-497__192</t>
  </si>
  <si>
    <t>marker_368_379490.png</t>
  </si>
  <si>
    <t>A-490__527</t>
  </si>
  <si>
    <t>marker_266_818163.png</t>
  </si>
  <si>
    <t>A-495_1__183</t>
  </si>
  <si>
    <t>marker_226_383792.png</t>
  </si>
  <si>
    <t>A-492__131</t>
  </si>
  <si>
    <t>marker_150_824554.png</t>
  </si>
  <si>
    <t>A-492__394</t>
  </si>
  <si>
    <t>marker_982_839080.png</t>
  </si>
  <si>
    <t>A-492__401</t>
  </si>
  <si>
    <t>marker_893_839173.png</t>
  </si>
  <si>
    <t>A-497__679</t>
  </si>
  <si>
    <t>marker_546_370583.png</t>
  </si>
  <si>
    <t>A-490__157</t>
  </si>
  <si>
    <t>marker_213_740911.png</t>
  </si>
  <si>
    <t>A-490__361</t>
  </si>
  <si>
    <t>marker_467_751898.png</t>
  </si>
  <si>
    <t>A-490__410</t>
  </si>
  <si>
    <t>marker_379_754123.png</t>
  </si>
  <si>
    <t>A-490__34</t>
  </si>
  <si>
    <t>marker_161_731037.png</t>
  </si>
  <si>
    <t>A-490__114</t>
  </si>
  <si>
    <t>marker_164_739861.png</t>
  </si>
  <si>
    <t>A-490__350</t>
  </si>
  <si>
    <t>marker_284_751678.png</t>
  </si>
  <si>
    <t>A-495R__72</t>
  </si>
  <si>
    <t>marker_588_935195.png</t>
  </si>
  <si>
    <t>A-495_1__123</t>
  </si>
  <si>
    <t>marker_578_384541.png</t>
  </si>
  <si>
    <t>A-495_1__102</t>
  </si>
  <si>
    <t>marker_405_384978.png</t>
  </si>
  <si>
    <t>A-497_2C__459</t>
  </si>
  <si>
    <t>marker_260_363526.png</t>
  </si>
  <si>
    <t>A-490__54</t>
  </si>
  <si>
    <t>marker_904_732381.png</t>
  </si>
  <si>
    <t>A-497__86</t>
  </si>
  <si>
    <t>marker_880_937391.png</t>
  </si>
  <si>
    <t>A-497__80</t>
  </si>
  <si>
    <t>marker_674_937461.png</t>
  </si>
  <si>
    <t>A-497__74</t>
  </si>
  <si>
    <t>marker_921_937998.png</t>
  </si>
  <si>
    <t>A-490__63</t>
  </si>
  <si>
    <t>marker_472_737970.png</t>
  </si>
  <si>
    <t>A-490__41</t>
  </si>
  <si>
    <t>marker_135_731218.png</t>
  </si>
  <si>
    <t>A-490__47</t>
  </si>
  <si>
    <t>marker_823_731377.png</t>
  </si>
  <si>
    <t>A-490__69</t>
  </si>
  <si>
    <t>marker_423_738134.png</t>
  </si>
  <si>
    <t>A-490__76</t>
  </si>
  <si>
    <t>marker_600_738485.png</t>
  </si>
  <si>
    <t>A-490__116</t>
  </si>
  <si>
    <t>marker_437_739899.png</t>
  </si>
  <si>
    <t>A-490__94</t>
  </si>
  <si>
    <t>marker_997_739047.png</t>
  </si>
  <si>
    <t>A-490__97</t>
  </si>
  <si>
    <t>marker_651_739107.png</t>
  </si>
  <si>
    <t>A-490__131</t>
  </si>
  <si>
    <t>marker_854_740268.png</t>
  </si>
  <si>
    <t>A-490__134</t>
  </si>
  <si>
    <t>marker_528_740320.png</t>
  </si>
  <si>
    <t>A-490__146</t>
  </si>
  <si>
    <t>marker_736_740675.png</t>
  </si>
  <si>
    <t>A-490__164</t>
  </si>
  <si>
    <t>marker_877_741322.png</t>
  </si>
  <si>
    <t>A-490__180</t>
  </si>
  <si>
    <t>marker_239_741790.png</t>
  </si>
  <si>
    <t>A-490__216</t>
  </si>
  <si>
    <t>marker_811_743223.png</t>
  </si>
  <si>
    <t>A-490__585</t>
  </si>
  <si>
    <t>marker_233_819550.png</t>
  </si>
  <si>
    <t>A-490__498</t>
  </si>
  <si>
    <t>marker_979_817529.png</t>
  </si>
  <si>
    <t>A-490__538</t>
  </si>
  <si>
    <t>marker_353_818316.png</t>
  </si>
  <si>
    <t>A-490__549</t>
  </si>
  <si>
    <t>marker_476_818515.png</t>
  </si>
  <si>
    <t>A-490__618</t>
  </si>
  <si>
    <t>marker_291_820285.png</t>
  </si>
  <si>
    <t>A-492__95</t>
  </si>
  <si>
    <t>marker_123_823705.png</t>
  </si>
  <si>
    <t>A-492__172</t>
  </si>
  <si>
    <t>marker_448_831483.png</t>
  </si>
  <si>
    <t>A-492__173</t>
  </si>
  <si>
    <t>marker_594_831504.png</t>
  </si>
  <si>
    <t>A-492__234</t>
  </si>
  <si>
    <t>marker_952_835861.png</t>
  </si>
  <si>
    <t>A-492__279</t>
  </si>
  <si>
    <t>marker_627_836903.png</t>
  </si>
  <si>
    <t>A-492__288</t>
  </si>
  <si>
    <t>marker_389_837395.png</t>
  </si>
  <si>
    <t>A-492__291</t>
  </si>
  <si>
    <t>marker_456_837437.png</t>
  </si>
  <si>
    <t>A-492__294</t>
  </si>
  <si>
    <t>marker_501_837469.png</t>
  </si>
  <si>
    <t>A-492__301</t>
  </si>
  <si>
    <t>marker_683_837565.png</t>
  </si>
  <si>
    <t>A-492__323</t>
  </si>
  <si>
    <t>marker_116_837995.png</t>
  </si>
  <si>
    <t>A-492__334</t>
  </si>
  <si>
    <t>marker_662_838139.png</t>
  </si>
  <si>
    <t>A-492__337</t>
  </si>
  <si>
    <t>marker_177_838170.png</t>
  </si>
  <si>
    <t>A-492__362</t>
  </si>
  <si>
    <t>marker_873_838652.png</t>
  </si>
  <si>
    <t>A-492__387</t>
  </si>
  <si>
    <t>marker_620_838993.png</t>
  </si>
  <si>
    <t>A-492__388</t>
  </si>
  <si>
    <t>marker_863_839005.png</t>
  </si>
  <si>
    <t>A-492__389</t>
  </si>
  <si>
    <t>marker_589_839016.png</t>
  </si>
  <si>
    <t>A-492__395</t>
  </si>
  <si>
    <t>marker_548_839093.png</t>
  </si>
  <si>
    <t>A-492__412</t>
  </si>
  <si>
    <t>marker_522_839309.png</t>
  </si>
  <si>
    <t>A-492__458</t>
  </si>
  <si>
    <t>marker_980_839907.png</t>
  </si>
  <si>
    <t>A-5053__331</t>
  </si>
  <si>
    <t>marker_904_964448.png</t>
  </si>
  <si>
    <t>A-495__69</t>
  </si>
  <si>
    <t>marker_358_381804.png</t>
  </si>
  <si>
    <t>A-495__70</t>
  </si>
  <si>
    <t>marker_643_381816.png</t>
  </si>
  <si>
    <t>A-495__72</t>
  </si>
  <si>
    <t>marker_248_381835.png</t>
  </si>
  <si>
    <t>A-495__73</t>
  </si>
  <si>
    <t>marker_376_381844.png</t>
  </si>
  <si>
    <t>A-495__74</t>
  </si>
  <si>
    <t>marker_662_381853.png</t>
  </si>
  <si>
    <t>A-495__86</t>
  </si>
  <si>
    <t>marker_138_382002.png</t>
  </si>
  <si>
    <t>A-495__90</t>
  </si>
  <si>
    <t>marker_400_382056.png</t>
  </si>
  <si>
    <t>A-495__114</t>
  </si>
  <si>
    <t>marker_244_382312.png</t>
  </si>
  <si>
    <t>A-495__123</t>
  </si>
  <si>
    <t>marker_101_382401.png</t>
  </si>
  <si>
    <t>A-497_2C__372</t>
  </si>
  <si>
    <t>marker_384_362510.png</t>
  </si>
  <si>
    <t>A-497__471</t>
  </si>
  <si>
    <t>marker_461_376463.png</t>
  </si>
  <si>
    <t>A-497__322</t>
  </si>
  <si>
    <t>marker_163_377942.png</t>
  </si>
  <si>
    <t>A-492__392</t>
  </si>
  <si>
    <t>marker_720_839055.png</t>
  </si>
  <si>
    <t>A-490__422</t>
  </si>
  <si>
    <t>marker_387_910667.png</t>
  </si>
  <si>
    <t>A-490__556</t>
  </si>
  <si>
    <t>marker_859_251653.png</t>
  </si>
  <si>
    <t>A-490__568</t>
  </si>
  <si>
    <t>marker_456_251842.png</t>
  </si>
  <si>
    <t>A-490__526</t>
  </si>
  <si>
    <t>marker_516_241149.png</t>
  </si>
  <si>
    <t>A-492__441</t>
  </si>
  <si>
    <t>marker_840_518998.png</t>
  </si>
  <si>
    <t>A-5053__128</t>
  </si>
  <si>
    <t>marker_459_962370.png</t>
  </si>
  <si>
    <t>A-497__307</t>
  </si>
  <si>
    <t>marker_473_378128.png</t>
  </si>
  <si>
    <t>A-490__9</t>
  </si>
  <si>
    <t>marker_711_641330.png</t>
  </si>
  <si>
    <t>A-490__66</t>
  </si>
  <si>
    <t>marker_518_738044.png</t>
  </si>
  <si>
    <t>A-490__415</t>
  </si>
  <si>
    <t>marker_271_910561.png</t>
  </si>
  <si>
    <t>A-490__27</t>
  </si>
  <si>
    <t>marker_420_730849.png</t>
  </si>
  <si>
    <t>A-490__442</t>
  </si>
  <si>
    <t>marker_394_915441.png</t>
  </si>
  <si>
    <t>Fuera</t>
  </si>
  <si>
    <t>marker_113_388983.png</t>
  </si>
  <si>
    <t>A-490__8</t>
  </si>
  <si>
    <t>marker_857_641313.png</t>
  </si>
  <si>
    <t>A-490__87</t>
  </si>
  <si>
    <t>marker_606_649431.png</t>
  </si>
  <si>
    <t>A-490__218</t>
  </si>
  <si>
    <t>marker_804_668928.png</t>
  </si>
  <si>
    <t>A-490__401</t>
  </si>
  <si>
    <t>marker_962_909970.png</t>
  </si>
  <si>
    <t>A-492__146</t>
  </si>
  <si>
    <t>marker_613_335844.png</t>
  </si>
  <si>
    <t>A-492__426</t>
  </si>
  <si>
    <t>marker_747_518748.png</t>
  </si>
  <si>
    <t>A-5050__128</t>
  </si>
  <si>
    <t>marker_606_776109.png</t>
  </si>
  <si>
    <t>A-497__232</t>
  </si>
  <si>
    <t>marker_326_895145.png</t>
  </si>
  <si>
    <t>A-490__119</t>
  </si>
  <si>
    <t>marker_936_951949.png</t>
  </si>
  <si>
    <t>A-495_1__169</t>
  </si>
  <si>
    <t>marker_107_383998.png</t>
  </si>
  <si>
    <t>A-499__77</t>
  </si>
  <si>
    <t>marker_135_799777.png</t>
  </si>
  <si>
    <t>A-490__1</t>
  </si>
  <si>
    <t>marker_245_645287.png</t>
  </si>
  <si>
    <t>A-490__217</t>
  </si>
  <si>
    <t>marker_410_668905.png</t>
  </si>
  <si>
    <t>A-492__38</t>
  </si>
  <si>
    <t>marker_413_822839.png</t>
  </si>
  <si>
    <t>A-492__60</t>
  </si>
  <si>
    <t>marker_413_823143.png</t>
  </si>
  <si>
    <t>A-492__8</t>
  </si>
  <si>
    <t>marker_616_256562.png</t>
  </si>
  <si>
    <t>A-5053__322</t>
  </si>
  <si>
    <t>marker_534_942471.png</t>
  </si>
  <si>
    <t>A-5059__22</t>
  </si>
  <si>
    <t>marker_136_877895.png</t>
  </si>
  <si>
    <t>A-495_1__1</t>
  </si>
  <si>
    <t>marker_939_882242.png</t>
  </si>
  <si>
    <t>A-490__123</t>
  </si>
  <si>
    <t>marker_788_651063.png</t>
  </si>
  <si>
    <t>A-495R__103</t>
  </si>
  <si>
    <t>marker_538_895856.png</t>
  </si>
  <si>
    <t>A-5052__451</t>
  </si>
  <si>
    <t>marker_209_963189.png</t>
  </si>
  <si>
    <t>A-490__283</t>
  </si>
  <si>
    <t>marker_226_750216.png</t>
  </si>
  <si>
    <t>A-490__613</t>
  </si>
  <si>
    <t>marker_730_820233.png</t>
  </si>
  <si>
    <t>A-492__230</t>
  </si>
  <si>
    <t>marker_319_835795.png</t>
  </si>
  <si>
    <t>A-492__393</t>
  </si>
  <si>
    <t>marker_880_839070.png</t>
  </si>
  <si>
    <t>A-5050__88</t>
  </si>
  <si>
    <t>marker_335_947435.png</t>
  </si>
  <si>
    <t>A-5053__212</t>
  </si>
  <si>
    <t>marker_384_965769.png</t>
  </si>
  <si>
    <t>A-5053__211</t>
  </si>
  <si>
    <t>marker_750_965779.png</t>
  </si>
  <si>
    <t>A-5053__174</t>
  </si>
  <si>
    <t>marker_843_966152.png</t>
  </si>
  <si>
    <t>A-5058__42</t>
  </si>
  <si>
    <t>marker_185_380325.png</t>
  </si>
  <si>
    <t>A-499__100</t>
  </si>
  <si>
    <t>marker_474_793233.png</t>
  </si>
  <si>
    <t>A-495R__118</t>
  </si>
  <si>
    <t>marker_933_895406.png</t>
  </si>
  <si>
    <t>A-497__5</t>
  </si>
  <si>
    <t>marker_478_944027.png</t>
  </si>
  <si>
    <t>A-5053__281</t>
  </si>
  <si>
    <t>marker_903_965049.png</t>
  </si>
  <si>
    <t>A-5053__214</t>
  </si>
  <si>
    <t>marker_904_965747.png</t>
  </si>
  <si>
    <t>A-490__118</t>
  </si>
  <si>
    <t>marker_320_739948.png</t>
  </si>
  <si>
    <t>A-490__91</t>
  </si>
  <si>
    <t>marker_132_738995.png</t>
  </si>
  <si>
    <t>A-490__120</t>
  </si>
  <si>
    <t>marker_114_740016.png</t>
  </si>
  <si>
    <t>A-490__303</t>
  </si>
  <si>
    <t>marker_894_750623.png</t>
  </si>
  <si>
    <t>A-490__304</t>
  </si>
  <si>
    <t>marker_904_750639.png</t>
  </si>
  <si>
    <t>A-490__336</t>
  </si>
  <si>
    <t>marker_903_751408.png</t>
  </si>
  <si>
    <t>A-490__205</t>
  </si>
  <si>
    <t>marker_158_742483.png</t>
  </si>
  <si>
    <t>A-490__270</t>
  </si>
  <si>
    <t>marker_868_749899.png</t>
  </si>
  <si>
    <t>A-490__271</t>
  </si>
  <si>
    <t>marker_276_749922.png</t>
  </si>
  <si>
    <t>A-490__272</t>
  </si>
  <si>
    <t>marker_808_749944.png</t>
  </si>
  <si>
    <t>A-490__273</t>
  </si>
  <si>
    <t>marker_284_749969.png</t>
  </si>
  <si>
    <t>A-490__274</t>
  </si>
  <si>
    <t>marker_377_749984.png</t>
  </si>
  <si>
    <t>A-490__275</t>
  </si>
  <si>
    <t>marker_978_750010.png</t>
  </si>
  <si>
    <t>A-490__276</t>
  </si>
  <si>
    <t>marker_383_750024.png</t>
  </si>
  <si>
    <t>A-490__277</t>
  </si>
  <si>
    <t>marker_357_750049.png</t>
  </si>
  <si>
    <t>A-490__278</t>
  </si>
  <si>
    <t>marker_577_750067.png</t>
  </si>
  <si>
    <t>A-490__279</t>
  </si>
  <si>
    <t>marker_554_750095.png</t>
  </si>
  <si>
    <t>A-490__280</t>
  </si>
  <si>
    <t>marker_348_750124.png</t>
  </si>
  <si>
    <t>A-490__281</t>
  </si>
  <si>
    <t>marker_492_750142.png</t>
  </si>
  <si>
    <t>A-490__282</t>
  </si>
  <si>
    <t>marker_237_750162.png</t>
  </si>
  <si>
    <t>A-490__284</t>
  </si>
  <si>
    <t>marker_832_750233.png</t>
  </si>
  <si>
    <t>A-490__285</t>
  </si>
  <si>
    <t>marker_426_750247.png</t>
  </si>
  <si>
    <t>A-490__286</t>
  </si>
  <si>
    <t>marker_194_750262.png</t>
  </si>
  <si>
    <t>A-490__287</t>
  </si>
  <si>
    <t>marker_752_750279.png</t>
  </si>
  <si>
    <t>A-490__288</t>
  </si>
  <si>
    <t>marker_342_750296.png</t>
  </si>
  <si>
    <t>A-490__289</t>
  </si>
  <si>
    <t>marker_485_750312.png</t>
  </si>
  <si>
    <t>A-490__290</t>
  </si>
  <si>
    <t>marker_644_750334.png</t>
  </si>
  <si>
    <t>A-490__291</t>
  </si>
  <si>
    <t>marker_284_750358.png</t>
  </si>
  <si>
    <t>A-490__292</t>
  </si>
  <si>
    <t>marker_266_750376.png</t>
  </si>
  <si>
    <t>A-490__293</t>
  </si>
  <si>
    <t>marker_858_750393.png</t>
  </si>
  <si>
    <t>A-490__294</t>
  </si>
  <si>
    <t>marker_468_750410.png</t>
  </si>
  <si>
    <t>A-490__295</t>
  </si>
  <si>
    <t>marker_901_750424.png</t>
  </si>
  <si>
    <t>A-490__296</t>
  </si>
  <si>
    <t>marker_440_750485.png</t>
  </si>
  <si>
    <t>A-490__297</t>
  </si>
  <si>
    <t>marker_678_750501.png</t>
  </si>
  <si>
    <t>A-490__298</t>
  </si>
  <si>
    <t>marker_572_750523.png</t>
  </si>
  <si>
    <t>A-490__299</t>
  </si>
  <si>
    <t>marker_703_750544.png</t>
  </si>
  <si>
    <t>A-490__300</t>
  </si>
  <si>
    <t>marker_365_750560.png</t>
  </si>
  <si>
    <t>A-490__301</t>
  </si>
  <si>
    <t>marker_428_750588.png</t>
  </si>
  <si>
    <t>A-490__302</t>
  </si>
  <si>
    <t>marker_325_750605.png</t>
  </si>
  <si>
    <t>A-490__305</t>
  </si>
  <si>
    <t>marker_590_750677.png</t>
  </si>
  <si>
    <t>A-490__306</t>
  </si>
  <si>
    <t>marker_982_750699.png</t>
  </si>
  <si>
    <t>A-490__307</t>
  </si>
  <si>
    <t>marker_312_750717.png</t>
  </si>
  <si>
    <t>A-490__308</t>
  </si>
  <si>
    <t>marker_129_750733.png</t>
  </si>
  <si>
    <t>A-490__309</t>
  </si>
  <si>
    <t>marker_714_750749.png</t>
  </si>
  <si>
    <t>A-490__310</t>
  </si>
  <si>
    <t>marker_473_750773.png</t>
  </si>
  <si>
    <t>A-490__311</t>
  </si>
  <si>
    <t>marker_782_750795.png</t>
  </si>
  <si>
    <t>A-490__312</t>
  </si>
  <si>
    <t>marker_265_750814.png</t>
  </si>
  <si>
    <t>A-490__313</t>
  </si>
  <si>
    <t>marker_125_750832.png</t>
  </si>
  <si>
    <t>A-490__314</t>
  </si>
  <si>
    <t>marker_434_750849.png</t>
  </si>
  <si>
    <t>A-490__315</t>
  </si>
  <si>
    <t>marker_734_750865.png</t>
  </si>
  <si>
    <t>A-490__316</t>
  </si>
  <si>
    <t>marker_925_750983.png</t>
  </si>
  <si>
    <t>A-490__317</t>
  </si>
  <si>
    <t>marker_437_751000.png</t>
  </si>
  <si>
    <t>A-490__318</t>
  </si>
  <si>
    <t>marker_786_751014.png</t>
  </si>
  <si>
    <t>A-490__319</t>
  </si>
  <si>
    <t>marker_981_751034.png</t>
  </si>
  <si>
    <t>A-490__320</t>
  </si>
  <si>
    <t>marker_523_751056.png</t>
  </si>
  <si>
    <t>A-490__321</t>
  </si>
  <si>
    <t>marker_337_751077.png</t>
  </si>
  <si>
    <t>A-490__322</t>
  </si>
  <si>
    <t>marker_583_751100.png</t>
  </si>
  <si>
    <t>A-490__323</t>
  </si>
  <si>
    <t>marker_357_751127.png</t>
  </si>
  <si>
    <t>A-490__324</t>
  </si>
  <si>
    <t>marker_591_751148.png</t>
  </si>
  <si>
    <t>A-490__325</t>
  </si>
  <si>
    <t>marker_642_751168.png</t>
  </si>
  <si>
    <t>A-490__326</t>
  </si>
  <si>
    <t>marker_845_751185.png</t>
  </si>
  <si>
    <t>A-490__327</t>
  </si>
  <si>
    <t>marker_733_751201.png</t>
  </si>
  <si>
    <t>A-490__328</t>
  </si>
  <si>
    <t>marker_587_751219.png</t>
  </si>
  <si>
    <t>A-490__329</t>
  </si>
  <si>
    <t>marker_430_751240.png</t>
  </si>
  <si>
    <t>A-490__330</t>
  </si>
  <si>
    <t>marker_714_751254.png</t>
  </si>
  <si>
    <t>A-490__331</t>
  </si>
  <si>
    <t>marker_541_751279.png</t>
  </si>
  <si>
    <t>A-490__332</t>
  </si>
  <si>
    <t>marker_287_751295.png</t>
  </si>
  <si>
    <t>A-490__333</t>
  </si>
  <si>
    <t>marker_417_751317.png</t>
  </si>
  <si>
    <t>A-490__334</t>
  </si>
  <si>
    <t>marker_850_751343.png</t>
  </si>
  <si>
    <t>A-490__335</t>
  </si>
  <si>
    <t>marker_303_751366.png</t>
  </si>
  <si>
    <t>A-490__337</t>
  </si>
  <si>
    <t>marker_399_751429.png</t>
  </si>
  <si>
    <t>A-490__338</t>
  </si>
  <si>
    <t>marker_629_751453.png</t>
  </si>
  <si>
    <t>A-490__339</t>
  </si>
  <si>
    <t>marker_224_751479.png</t>
  </si>
  <si>
    <t>A-490__340</t>
  </si>
  <si>
    <t>marker_952_751503.png</t>
  </si>
  <si>
    <t>A-490__341</t>
  </si>
  <si>
    <t>marker_826_751521.png</t>
  </si>
  <si>
    <t>A-490__342</t>
  </si>
  <si>
    <t>marker_633_751536.png</t>
  </si>
  <si>
    <t>A-490__343</t>
  </si>
  <si>
    <t>marker_114_751549.png</t>
  </si>
  <si>
    <t>A-490__344</t>
  </si>
  <si>
    <t>marker_125_751562.png</t>
  </si>
  <si>
    <t>A-490__345</t>
  </si>
  <si>
    <t>marker_796_751590.png</t>
  </si>
  <si>
    <t>A-490__348</t>
  </si>
  <si>
    <t>marker_523_751645.png</t>
  </si>
  <si>
    <t>A-490__382</t>
  </si>
  <si>
    <t>marker_919_752393.png</t>
  </si>
  <si>
    <t>A-490__388</t>
  </si>
  <si>
    <t>marker_374_752494.png</t>
  </si>
  <si>
    <t>A-490__561</t>
  </si>
  <si>
    <t>marker_501_819189.png</t>
  </si>
  <si>
    <t>A-490__612</t>
  </si>
  <si>
    <t>marker_982_820224.png</t>
  </si>
  <si>
    <t>A-492__4</t>
  </si>
  <si>
    <t>marker_332_821520.png</t>
  </si>
  <si>
    <t>A-492__31</t>
  </si>
  <si>
    <t>marker_643_822357.png</t>
  </si>
  <si>
    <t>A-492__46</t>
  </si>
  <si>
    <t>marker_414_822951.png</t>
  </si>
  <si>
    <t>A-492__61</t>
  </si>
  <si>
    <t>marker_300_823155.png</t>
  </si>
  <si>
    <t>A-492__74</t>
  </si>
  <si>
    <t>marker_196_823394.png</t>
  </si>
  <si>
    <t>A-492__150</t>
  </si>
  <si>
    <t>marker_414_824802.png</t>
  </si>
  <si>
    <t>A-492__205</t>
  </si>
  <si>
    <t>marker_923_831980.png</t>
  </si>
  <si>
    <t>A-492__249</t>
  </si>
  <si>
    <t>marker_396_836086.png</t>
  </si>
  <si>
    <t>A-492__306</t>
  </si>
  <si>
    <t>marker_593_837622.png</t>
  </si>
  <si>
    <t>A-492__366</t>
  </si>
  <si>
    <t>marker_386_838715.png</t>
  </si>
  <si>
    <t>A-492__398</t>
  </si>
  <si>
    <t>marker_371_839125.png</t>
  </si>
  <si>
    <t>A-492__465</t>
  </si>
  <si>
    <t>marker_568_839982.png</t>
  </si>
  <si>
    <t>A-495R__120</t>
  </si>
  <si>
    <t>marker_433_895376.png</t>
  </si>
  <si>
    <t>A-495R__119</t>
  </si>
  <si>
    <t>marker_901_895393.png</t>
  </si>
  <si>
    <t>A-495R__117</t>
  </si>
  <si>
    <t>marker_767_895431.png</t>
  </si>
  <si>
    <t>A-497__1</t>
  </si>
  <si>
    <t>marker_364_773643.png</t>
  </si>
  <si>
    <t>A-5050__135</t>
  </si>
  <si>
    <t>marker_896_945895.png</t>
  </si>
  <si>
    <t>A-5052__37</t>
  </si>
  <si>
    <t>marker_350_956770.png</t>
  </si>
  <si>
    <t>A-5052__78</t>
  </si>
  <si>
    <t>marker_205_957264.png</t>
  </si>
  <si>
    <t>A-5052__317</t>
  </si>
  <si>
    <t>marker_562_961206.png</t>
  </si>
  <si>
    <t>A-5052__322</t>
  </si>
  <si>
    <t>marker_826_961290.png</t>
  </si>
  <si>
    <t>A-5052__325</t>
  </si>
  <si>
    <t>marker_674_961429.png</t>
  </si>
  <si>
    <t>A-5052__327</t>
  </si>
  <si>
    <t>marker_327_961449.png</t>
  </si>
  <si>
    <t>A-5052__330</t>
  </si>
  <si>
    <t>marker_807_961502.png</t>
  </si>
  <si>
    <t>A-5052__331</t>
  </si>
  <si>
    <t>marker_226_961513.png</t>
  </si>
  <si>
    <t>A-5052__448</t>
  </si>
  <si>
    <t>marker_195_963156.png</t>
  </si>
  <si>
    <t>A-5052__455</t>
  </si>
  <si>
    <t>marker_600_963234.png</t>
  </si>
  <si>
    <t>A-5052__502</t>
  </si>
  <si>
    <t>marker_676_963699.png</t>
  </si>
  <si>
    <t>A-5052__409</t>
  </si>
  <si>
    <t>marker_371_962764.png</t>
  </si>
  <si>
    <t>A-5053__49</t>
  </si>
  <si>
    <t>marker_725_021006.png</t>
  </si>
  <si>
    <t>A-5053__10</t>
  </si>
  <si>
    <t>marker_183_025106.png</t>
  </si>
  <si>
    <t>A-495__14</t>
  </si>
  <si>
    <t>marker_477_381202.png</t>
  </si>
  <si>
    <t>A-495__18</t>
  </si>
  <si>
    <t>marker_169_381244.png</t>
  </si>
  <si>
    <t>A-495__31</t>
  </si>
  <si>
    <t>marker_575_381405.png</t>
  </si>
  <si>
    <t>A-5059__73</t>
  </si>
  <si>
    <t>marker_378_378819.png</t>
  </si>
  <si>
    <t>A-5059__44</t>
  </si>
  <si>
    <t>marker_906_379257.png</t>
  </si>
  <si>
    <t>A-5059__4</t>
  </si>
  <si>
    <t>marker_270_379636.png</t>
  </si>
  <si>
    <t>A-5059__1</t>
  </si>
  <si>
    <t>marker_317_379667.png</t>
  </si>
  <si>
    <t>A-5058__24</t>
  </si>
  <si>
    <t>marker_772_380117.png</t>
  </si>
  <si>
    <t>A-5058__56</t>
  </si>
  <si>
    <t>marker_382_380598.png</t>
  </si>
  <si>
    <t>A-5058__60</t>
  </si>
  <si>
    <t>marker_164_380645.png</t>
  </si>
  <si>
    <t>A-5058__62</t>
  </si>
  <si>
    <t>marker_658_380663.png</t>
  </si>
  <si>
    <t>A-492__22</t>
  </si>
  <si>
    <t>marker_327_380692.png</t>
  </si>
  <si>
    <t>A-5058__247</t>
  </si>
  <si>
    <t>marker_117_383458.png</t>
  </si>
  <si>
    <t>A-5058__363</t>
  </si>
  <si>
    <t>marker_967_385002.png</t>
  </si>
  <si>
    <t>A-5058__424</t>
  </si>
  <si>
    <t>marker_570_388794.png</t>
  </si>
  <si>
    <t>A-5058__426</t>
  </si>
  <si>
    <t>marker_731_388817.png</t>
  </si>
  <si>
    <t>A-5058__458</t>
  </si>
  <si>
    <t>marker_416_389294.png</t>
  </si>
  <si>
    <t>A-497__91</t>
  </si>
  <si>
    <t>marker_320_393954.png</t>
  </si>
  <si>
    <t>A-5050__185</t>
  </si>
  <si>
    <t>marker_282_394500.png</t>
  </si>
  <si>
    <t>A-495_1__181</t>
  </si>
  <si>
    <t>marker_190_383811.png</t>
  </si>
  <si>
    <t>A-499__59</t>
  </si>
  <si>
    <t>marker_987_534985.png</t>
  </si>
  <si>
    <t>A-497__768</t>
  </si>
  <si>
    <t>marker_736_368460.png</t>
  </si>
  <si>
    <t>A-497__764</t>
  </si>
  <si>
    <t>marker_394_368520.png</t>
  </si>
  <si>
    <t>A-497__758</t>
  </si>
  <si>
    <t>marker_513_368591.png</t>
  </si>
  <si>
    <t>A-499__132</t>
  </si>
  <si>
    <t>marker_431_793824.png</t>
  </si>
  <si>
    <t>A-497__749</t>
  </si>
  <si>
    <t>marker_581_368702.png</t>
  </si>
  <si>
    <t>A-497_2C__242</t>
  </si>
  <si>
    <t>marker_530_657044.png</t>
  </si>
  <si>
    <t>A-497__662</t>
  </si>
  <si>
    <t>marker_722_371132.png</t>
  </si>
  <si>
    <t>A-497__619</t>
  </si>
  <si>
    <t>marker_229_371537.png</t>
  </si>
  <si>
    <t>A-497__618</t>
  </si>
  <si>
    <t>marker_938_371546.png</t>
  </si>
  <si>
    <t>A-497_2C__319</t>
  </si>
  <si>
    <t>marker_160_361918.png</t>
  </si>
  <si>
    <t>A-499__81</t>
  </si>
  <si>
    <t>marker_656_799839.png</t>
  </si>
  <si>
    <t>orden</t>
  </si>
  <si>
    <t>S3</t>
  </si>
  <si>
    <t>estrategia</t>
  </si>
  <si>
    <t>A-495R__4</t>
  </si>
  <si>
    <t>marker_386_937077.png</t>
  </si>
  <si>
    <t>X tramo desbrozado</t>
  </si>
  <si>
    <t>A-495R__2</t>
  </si>
  <si>
    <t>marker_276_937101.png</t>
  </si>
  <si>
    <t>X_ Tramo desbrozado</t>
  </si>
  <si>
    <t>A-495R__6</t>
  </si>
  <si>
    <t>marker_936_937052.png</t>
  </si>
  <si>
    <t>A-495R__8</t>
  </si>
  <si>
    <t>marker_723_937029.png</t>
  </si>
  <si>
    <t>X_Tramo_desbrozado</t>
  </si>
  <si>
    <t>A-495R__7</t>
  </si>
  <si>
    <t>marker_559_937040.png</t>
  </si>
  <si>
    <t>X_tramo desbrozado</t>
  </si>
  <si>
    <t>A-495R__1</t>
  </si>
  <si>
    <t>marker_797_937116.png</t>
  </si>
  <si>
    <t>Pred</t>
  </si>
  <si>
    <t>Error</t>
  </si>
  <si>
    <t>subset</t>
  </si>
  <si>
    <t>ocumap</t>
  </si>
  <si>
    <t>HD15</t>
  </si>
  <si>
    <t>test</t>
  </si>
  <si>
    <t>val</t>
  </si>
  <si>
    <t>train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</si>
</sst>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5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0" borderId="1" xfId="0" applyFont="1" applyBorder="1" applyAlignment="1" applyProtection="1">
      <alignment horizontal="center" vertical="top"/>
      <protection locked="0"/>
    </xf>
    <xf numFmtId="0" fontId="1" fillId="3" borderId="1" xfId="0" applyFont="1" applyFill="1" applyBorder="1" applyAlignment="1" applyProtection="1">
      <alignment horizontal="center" vertical="top"/>
      <protection locked="0"/>
    </xf>
    <xf numFmtId="0" fontId="1" fillId="2" borderId="1" xfId="0" applyFont="1" applyFill="1" applyBorder="1" applyAlignment="1" applyProtection="1">
      <alignment horizontal="center" vertical="top"/>
      <protection locked="0"/>
    </xf>
    <xf numFmtId="0" fontId="1" fillId="4" borderId="1" xfId="0" applyFont="1" applyFill="1" applyBorder="1" applyAlignment="1" applyProtection="1">
      <alignment horizontal="center" vertical="top"/>
      <protection locked="0"/>
    </xf>
    <xf numFmtId="0" fontId="1" fillId="5" borderId="2" xfId="0" applyFont="1" applyFill="1" applyBorder="1" applyAlignment="1" applyProtection="1">
      <alignment horizontal="center" vertical="top"/>
      <protection locked="0"/>
    </xf>
    <xf numFmtId="0" fontId="0" fillId="0" borderId="0" xfId="0" applyProtection="1">
      <protection locked="0"/>
    </xf>
    <xf numFmtId="0" fontId="2" fillId="0" borderId="0" xfId="1"/>
    <xf numFmtId="0" fontId="1" fillId="7" borderId="2" xfId="0" applyFont="1" applyFill="1" applyBorder="1" applyAlignment="1" applyProtection="1">
      <alignment horizontal="center" vertical="top"/>
      <protection locked="0"/>
    </xf>
    <xf numFmtId="0" fontId="0" fillId="7" borderId="0" xfId="0" applyFill="1"/>
    <xf numFmtId="0" fontId="1" fillId="8" borderId="2" xfId="0" applyFont="1" applyFill="1" applyBorder="1" applyAlignment="1" applyProtection="1">
      <alignment horizontal="center" vertical="top"/>
      <protection locked="0"/>
    </xf>
    <xf numFmtId="0" fontId="0" fillId="8" borderId="0" xfId="0" applyFill="1"/>
    <xf numFmtId="0" fontId="0" fillId="10" borderId="0" xfId="0" applyFill="1"/>
    <xf numFmtId="0" fontId="2" fillId="10" borderId="0" xfId="1" applyFill="1"/>
    <xf numFmtId="0" fontId="1" fillId="3" borderId="2" xfId="0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0" fillId="0" borderId="0" xfId="0" applyAlignment="1" applyProtection="1">
      <alignment horizontal="center"/>
      <protection locked="0"/>
    </xf>
    <xf numFmtId="0" fontId="0" fillId="0" borderId="3" xfId="0" applyBorder="1"/>
    <xf numFmtId="0" fontId="0" fillId="0" borderId="4" xfId="0" applyBorder="1"/>
    <xf numFmtId="0" fontId="0" fillId="2" borderId="4" xfId="0" applyFill="1" applyBorder="1"/>
    <xf numFmtId="0" fontId="0" fillId="4" borderId="4" xfId="0" applyFill="1" applyBorder="1"/>
    <xf numFmtId="0" fontId="0" fillId="3" borderId="4" xfId="0" applyFill="1" applyBorder="1"/>
    <xf numFmtId="0" fontId="0" fillId="5" borderId="4" xfId="0" applyFill="1" applyBorder="1"/>
    <xf numFmtId="0" fontId="0" fillId="7" borderId="4" xfId="0" applyFill="1" applyBorder="1"/>
    <xf numFmtId="0" fontId="3" fillId="9" borderId="4" xfId="0" applyFont="1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2" fillId="0" borderId="5" xfId="1" applyBorder="1"/>
    <xf numFmtId="0" fontId="0" fillId="0" borderId="6" xfId="0" applyBorder="1"/>
    <xf numFmtId="0" fontId="3" fillId="9" borderId="0" xfId="0" applyFont="1" applyFill="1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7" xfId="1" applyBorder="1"/>
    <xf numFmtId="1" fontId="0" fillId="3" borderId="0" xfId="0" applyNumberFormat="1" applyFill="1" applyAlignment="1">
      <alignment horizontal="center"/>
    </xf>
    <xf numFmtId="1" fontId="0" fillId="10" borderId="0" xfId="0" applyNumberFormat="1" applyFill="1" applyAlignment="1">
      <alignment horizontal="center"/>
    </xf>
    <xf numFmtId="0" fontId="0" fillId="10" borderId="6" xfId="0" applyFill="1" applyBorder="1"/>
    <xf numFmtId="0" fontId="3" fillId="10" borderId="0" xfId="0" applyFont="1" applyFill="1" applyAlignment="1">
      <alignment horizontal="center"/>
    </xf>
    <xf numFmtId="0" fontId="2" fillId="10" borderId="7" xfId="1" applyFill="1" applyBorder="1"/>
    <xf numFmtId="0" fontId="0" fillId="6" borderId="0" xfId="0" applyFill="1"/>
    <xf numFmtId="0" fontId="0" fillId="0" borderId="8" xfId="0" applyBorder="1"/>
    <xf numFmtId="0" fontId="0" fillId="0" borderId="9" xfId="0" applyBorder="1"/>
    <xf numFmtId="0" fontId="0" fillId="4" borderId="9" xfId="0" applyFill="1" applyBorder="1"/>
    <xf numFmtId="0" fontId="0" fillId="3" borderId="9" xfId="0" applyFill="1" applyBorder="1"/>
    <xf numFmtId="0" fontId="0" fillId="5" borderId="9" xfId="0" applyFill="1" applyBorder="1"/>
    <xf numFmtId="0" fontId="0" fillId="7" borderId="9" xfId="0" applyFill="1" applyBorder="1"/>
    <xf numFmtId="0" fontId="3" fillId="9" borderId="9" xfId="0" applyFont="1" applyFill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0" fontId="2" fillId="0" borderId="10" xfId="1" applyBorder="1"/>
    <xf numFmtId="9" fontId="0" fillId="0" borderId="0" xfId="0" applyNumberFormat="1" applyAlignment="1">
      <alignment horizontal="center"/>
    </xf>
    <xf numFmtId="0" fontId="4" fillId="5" borderId="2" xfId="0" applyFont="1" applyFill="1" applyBorder="1" applyAlignment="1" applyProtection="1">
      <alignment horizontal="center" vertical="top"/>
      <protection locked="0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995"/>
  <sheetViews>
    <sheetView workbookViewId="0"/>
  </sheetViews>
  <sheetFormatPr baseColWidth="10" defaultRowHeight="15" x14ac:dyDescent="0.25"/>
  <cols>
    <col min="1" max="1" width="5.28515625" customWidth="1"/>
    <col min="3" max="4" width="11.5703125" style="1" customWidth="1"/>
    <col min="11" max="11" width="14.28515625" customWidth="1"/>
  </cols>
  <sheetData>
    <row r="1" spans="1:13" x14ac:dyDescent="0.25">
      <c r="A1" t="s">
        <v>9993</v>
      </c>
      <c r="B1" s="5" t="s">
        <v>1</v>
      </c>
      <c r="C1" s="7" t="s">
        <v>2</v>
      </c>
      <c r="D1" s="7" t="s">
        <v>3</v>
      </c>
      <c r="E1" s="8" t="s">
        <v>4</v>
      </c>
      <c r="F1" s="18" t="s">
        <v>5</v>
      </c>
      <c r="G1" s="9" t="s">
        <v>9994</v>
      </c>
      <c r="H1" s="12" t="s">
        <v>7</v>
      </c>
      <c r="I1" s="14" t="s">
        <v>8</v>
      </c>
      <c r="J1" s="22" t="s">
        <v>9</v>
      </c>
      <c r="K1" s="6" t="s">
        <v>10</v>
      </c>
      <c r="L1" s="10" t="s">
        <v>11</v>
      </c>
      <c r="M1" s="10" t="s">
        <v>9995</v>
      </c>
    </row>
    <row r="2" spans="1:13" x14ac:dyDescent="0.25">
      <c r="A2">
        <v>1</v>
      </c>
      <c r="B2" t="s">
        <v>13</v>
      </c>
      <c r="C2" s="1">
        <v>37.490584882100002</v>
      </c>
      <c r="D2" s="1">
        <v>-7.2536924738200002</v>
      </c>
      <c r="E2" s="3">
        <v>1</v>
      </c>
      <c r="F2" s="2">
        <v>1</v>
      </c>
      <c r="G2" s="4">
        <v>1</v>
      </c>
      <c r="H2" s="13"/>
      <c r="I2" s="15"/>
      <c r="J2" s="19">
        <v>1</v>
      </c>
      <c r="K2" s="2" t="s">
        <v>14</v>
      </c>
      <c r="L2" s="11" t="str">
        <f t="shared" ref="L2:L49" si="0">HYPERLINK("1\0\" &amp; K2, "Ver Imagen")</f>
        <v>Ver Imagen</v>
      </c>
      <c r="M2" t="s">
        <v>15</v>
      </c>
    </row>
    <row r="3" spans="1:13" x14ac:dyDescent="0.25">
      <c r="A3">
        <v>2</v>
      </c>
      <c r="B3" t="s">
        <v>16</v>
      </c>
      <c r="C3" s="1">
        <v>37.490473999700001</v>
      </c>
      <c r="D3" s="1">
        <v>-7.2549748260299998</v>
      </c>
      <c r="E3" s="3">
        <v>1</v>
      </c>
      <c r="F3" s="2">
        <v>1</v>
      </c>
      <c r="G3" s="4">
        <v>1</v>
      </c>
      <c r="H3" s="13"/>
      <c r="I3" s="15"/>
      <c r="J3" s="19">
        <v>1</v>
      </c>
      <c r="K3" s="2" t="s">
        <v>17</v>
      </c>
      <c r="L3" s="11" t="str">
        <f t="shared" si="0"/>
        <v>Ver Imagen</v>
      </c>
      <c r="M3" t="s">
        <v>15</v>
      </c>
    </row>
    <row r="4" spans="1:13" x14ac:dyDescent="0.25">
      <c r="A4">
        <v>3</v>
      </c>
      <c r="B4" t="s">
        <v>18</v>
      </c>
      <c r="C4" s="1">
        <v>37.490408225899998</v>
      </c>
      <c r="D4" s="1">
        <v>-7.2557441266199998</v>
      </c>
      <c r="E4" s="3">
        <v>1</v>
      </c>
      <c r="F4" s="2">
        <v>1</v>
      </c>
      <c r="G4" s="4">
        <v>1</v>
      </c>
      <c r="H4" s="13"/>
      <c r="I4" s="15"/>
      <c r="J4" s="19">
        <v>1</v>
      </c>
      <c r="K4" s="2" t="s">
        <v>19</v>
      </c>
      <c r="L4" s="11" t="str">
        <f t="shared" si="0"/>
        <v>Ver Imagen</v>
      </c>
      <c r="M4" t="s">
        <v>15</v>
      </c>
    </row>
    <row r="5" spans="1:13" x14ac:dyDescent="0.25">
      <c r="A5">
        <v>4</v>
      </c>
      <c r="B5" t="s">
        <v>20</v>
      </c>
      <c r="C5" s="1">
        <v>37.4902857716</v>
      </c>
      <c r="D5" s="1">
        <v>-7.2570025382000001</v>
      </c>
      <c r="E5" s="3">
        <v>1</v>
      </c>
      <c r="F5" s="2">
        <v>1</v>
      </c>
      <c r="G5" s="4">
        <v>1</v>
      </c>
      <c r="H5" s="13"/>
      <c r="I5" s="15"/>
      <c r="J5" s="19">
        <v>1</v>
      </c>
      <c r="K5" s="2" t="s">
        <v>21</v>
      </c>
      <c r="L5" s="11" t="str">
        <f t="shared" si="0"/>
        <v>Ver Imagen</v>
      </c>
      <c r="M5" t="s">
        <v>15</v>
      </c>
    </row>
    <row r="6" spans="1:13" x14ac:dyDescent="0.25">
      <c r="A6">
        <v>5</v>
      </c>
      <c r="B6" t="s">
        <v>22</v>
      </c>
      <c r="C6" s="1">
        <v>37.4901839678</v>
      </c>
      <c r="D6" s="1">
        <v>-7.2577493328299996</v>
      </c>
      <c r="E6" s="3">
        <v>1</v>
      </c>
      <c r="F6" s="2">
        <v>1</v>
      </c>
      <c r="G6" s="4">
        <v>1</v>
      </c>
      <c r="H6" s="13"/>
      <c r="I6" s="15"/>
      <c r="J6" s="19">
        <v>1</v>
      </c>
      <c r="K6" s="2" t="s">
        <v>23</v>
      </c>
      <c r="L6" s="11" t="str">
        <f t="shared" si="0"/>
        <v>Ver Imagen</v>
      </c>
      <c r="M6" t="s">
        <v>15</v>
      </c>
    </row>
    <row r="7" spans="1:13" x14ac:dyDescent="0.25">
      <c r="A7">
        <v>6</v>
      </c>
      <c r="B7" t="s">
        <v>24</v>
      </c>
      <c r="C7" s="1">
        <v>37.490121516599999</v>
      </c>
      <c r="D7" s="1">
        <v>-7.2582315820699996</v>
      </c>
      <c r="E7" s="3">
        <v>1</v>
      </c>
      <c r="F7" s="2">
        <v>1</v>
      </c>
      <c r="G7" s="4">
        <v>1</v>
      </c>
      <c r="H7" s="13"/>
      <c r="I7" s="15"/>
      <c r="J7" s="19">
        <v>1</v>
      </c>
      <c r="K7" s="2" t="s">
        <v>25</v>
      </c>
      <c r="L7" s="11" t="str">
        <f t="shared" si="0"/>
        <v>Ver Imagen</v>
      </c>
      <c r="M7" t="s">
        <v>15</v>
      </c>
    </row>
    <row r="8" spans="1:13" x14ac:dyDescent="0.25">
      <c r="A8">
        <v>7</v>
      </c>
      <c r="B8" t="s">
        <v>26</v>
      </c>
      <c r="C8" s="1">
        <v>37.493912071799997</v>
      </c>
      <c r="D8" s="1">
        <v>-7.2652538047700004</v>
      </c>
      <c r="E8" s="3">
        <v>1</v>
      </c>
      <c r="F8" s="2">
        <v>1</v>
      </c>
      <c r="G8" s="4">
        <v>1</v>
      </c>
      <c r="H8" s="13"/>
      <c r="I8" s="15"/>
      <c r="J8" s="19">
        <v>1</v>
      </c>
      <c r="K8" s="2" t="s">
        <v>27</v>
      </c>
      <c r="L8" s="11" t="str">
        <f t="shared" si="0"/>
        <v>Ver Imagen</v>
      </c>
      <c r="M8" t="s">
        <v>15</v>
      </c>
    </row>
    <row r="9" spans="1:13" x14ac:dyDescent="0.25">
      <c r="A9">
        <v>8</v>
      </c>
      <c r="B9" t="s">
        <v>28</v>
      </c>
      <c r="C9" s="1">
        <v>37.465062512000003</v>
      </c>
      <c r="D9" s="1">
        <v>-7.1213172741399999</v>
      </c>
      <c r="E9" s="3">
        <v>1</v>
      </c>
      <c r="F9" s="2">
        <v>1</v>
      </c>
      <c r="G9" s="4">
        <v>1</v>
      </c>
      <c r="H9" s="13"/>
      <c r="I9" s="15"/>
      <c r="J9" s="19">
        <v>1</v>
      </c>
      <c r="K9" s="2" t="s">
        <v>29</v>
      </c>
      <c r="L9" s="11" t="str">
        <f t="shared" si="0"/>
        <v>Ver Imagen</v>
      </c>
      <c r="M9" t="s">
        <v>15</v>
      </c>
    </row>
    <row r="10" spans="1:13" x14ac:dyDescent="0.25">
      <c r="A10">
        <v>9</v>
      </c>
      <c r="B10" t="s">
        <v>30</v>
      </c>
      <c r="C10" s="1">
        <v>37.464905177799999</v>
      </c>
      <c r="D10" s="1">
        <v>-7.1208362617700001</v>
      </c>
      <c r="E10" s="3">
        <v>1</v>
      </c>
      <c r="F10" s="2">
        <v>1</v>
      </c>
      <c r="G10" s="4">
        <v>1</v>
      </c>
      <c r="H10" s="13"/>
      <c r="I10" s="15"/>
      <c r="J10" s="19">
        <v>1</v>
      </c>
      <c r="K10" s="2" t="s">
        <v>31</v>
      </c>
      <c r="L10" s="11" t="str">
        <f t="shared" si="0"/>
        <v>Ver Imagen</v>
      </c>
      <c r="M10" t="s">
        <v>15</v>
      </c>
    </row>
    <row r="11" spans="1:13" x14ac:dyDescent="0.25">
      <c r="A11">
        <v>10</v>
      </c>
      <c r="B11" t="s">
        <v>32</v>
      </c>
      <c r="C11" s="1">
        <v>37.464828793899997</v>
      </c>
      <c r="D11" s="1">
        <v>-7.1205977811399999</v>
      </c>
      <c r="E11" s="3">
        <v>1</v>
      </c>
      <c r="F11" s="2">
        <v>1</v>
      </c>
      <c r="G11" s="4">
        <v>1</v>
      </c>
      <c r="H11" s="13"/>
      <c r="I11" s="15"/>
      <c r="J11" s="19">
        <v>1</v>
      </c>
      <c r="K11" s="2" t="s">
        <v>33</v>
      </c>
      <c r="L11" s="11" t="str">
        <f t="shared" si="0"/>
        <v>Ver Imagen</v>
      </c>
      <c r="M11" t="s">
        <v>15</v>
      </c>
    </row>
    <row r="12" spans="1:13" x14ac:dyDescent="0.25">
      <c r="A12">
        <v>11</v>
      </c>
      <c r="B12" t="s">
        <v>34</v>
      </c>
      <c r="C12" s="1">
        <v>37.464754788699999</v>
      </c>
      <c r="D12" s="1">
        <v>-7.1203678847500003</v>
      </c>
      <c r="E12" s="3">
        <v>1</v>
      </c>
      <c r="F12" s="2">
        <v>1</v>
      </c>
      <c r="G12" s="4">
        <v>1</v>
      </c>
      <c r="H12" s="13"/>
      <c r="I12" s="15"/>
      <c r="J12" s="19">
        <v>1</v>
      </c>
      <c r="K12" s="2" t="s">
        <v>35</v>
      </c>
      <c r="L12" s="11" t="str">
        <f t="shared" si="0"/>
        <v>Ver Imagen</v>
      </c>
      <c r="M12" t="s">
        <v>15</v>
      </c>
    </row>
    <row r="13" spans="1:13" x14ac:dyDescent="0.25">
      <c r="A13">
        <v>12</v>
      </c>
      <c r="B13" t="s">
        <v>36</v>
      </c>
      <c r="C13" s="1">
        <v>37.464663701500001</v>
      </c>
      <c r="D13" s="1">
        <v>-7.1200814073299998</v>
      </c>
      <c r="E13" s="3">
        <v>1</v>
      </c>
      <c r="F13" s="2">
        <v>1</v>
      </c>
      <c r="G13" s="4">
        <v>1</v>
      </c>
      <c r="H13" s="13"/>
      <c r="I13" s="15"/>
      <c r="J13" s="19">
        <v>1</v>
      </c>
      <c r="K13" s="2" t="s">
        <v>37</v>
      </c>
      <c r="L13" s="11" t="str">
        <f t="shared" si="0"/>
        <v>Ver Imagen</v>
      </c>
      <c r="M13" t="s">
        <v>15</v>
      </c>
    </row>
    <row r="14" spans="1:13" x14ac:dyDescent="0.25">
      <c r="A14">
        <v>13</v>
      </c>
      <c r="B14" t="s">
        <v>38</v>
      </c>
      <c r="C14" s="1">
        <v>37.464591632500003</v>
      </c>
      <c r="D14" s="1">
        <v>-7.1198585737300002</v>
      </c>
      <c r="E14" s="3">
        <v>1</v>
      </c>
      <c r="F14" s="2">
        <v>1</v>
      </c>
      <c r="G14" s="4">
        <v>1</v>
      </c>
      <c r="H14" s="13"/>
      <c r="I14" s="15"/>
      <c r="J14" s="19">
        <v>1</v>
      </c>
      <c r="K14" s="2" t="s">
        <v>39</v>
      </c>
      <c r="L14" s="11" t="str">
        <f t="shared" si="0"/>
        <v>Ver Imagen</v>
      </c>
      <c r="M14" t="s">
        <v>15</v>
      </c>
    </row>
    <row r="15" spans="1:13" x14ac:dyDescent="0.25">
      <c r="A15">
        <v>14</v>
      </c>
      <c r="B15" t="s">
        <v>40</v>
      </c>
      <c r="C15" s="1">
        <v>37.4645183226</v>
      </c>
      <c r="D15" s="1">
        <v>-7.11964083234</v>
      </c>
      <c r="E15" s="3">
        <v>1</v>
      </c>
      <c r="F15" s="2">
        <v>1</v>
      </c>
      <c r="G15" s="4">
        <v>1</v>
      </c>
      <c r="H15" s="13"/>
      <c r="I15" s="15"/>
      <c r="J15" s="19">
        <v>1</v>
      </c>
      <c r="K15" s="2" t="s">
        <v>41</v>
      </c>
      <c r="L15" s="11" t="str">
        <f t="shared" si="0"/>
        <v>Ver Imagen</v>
      </c>
      <c r="M15" t="s">
        <v>15</v>
      </c>
    </row>
    <row r="16" spans="1:13" x14ac:dyDescent="0.25">
      <c r="A16">
        <v>15</v>
      </c>
      <c r="B16" t="s">
        <v>42</v>
      </c>
      <c r="C16" s="1">
        <v>37.213134241799999</v>
      </c>
      <c r="D16" s="1">
        <v>-7.0624066620499999</v>
      </c>
      <c r="E16" s="3">
        <v>1</v>
      </c>
      <c r="F16" s="2">
        <v>1</v>
      </c>
      <c r="G16" s="4">
        <v>1</v>
      </c>
      <c r="H16" s="13"/>
      <c r="I16" s="15"/>
      <c r="J16" s="19">
        <v>1</v>
      </c>
      <c r="K16" s="2" t="s">
        <v>43</v>
      </c>
      <c r="L16" s="11" t="str">
        <f t="shared" si="0"/>
        <v>Ver Imagen</v>
      </c>
      <c r="M16" t="s">
        <v>15</v>
      </c>
    </row>
    <row r="17" spans="1:13" x14ac:dyDescent="0.25">
      <c r="A17">
        <v>16</v>
      </c>
      <c r="B17" t="s">
        <v>44</v>
      </c>
      <c r="C17" s="1">
        <v>37.2127200097</v>
      </c>
      <c r="D17" s="1">
        <v>-7.06096965411</v>
      </c>
      <c r="E17" s="3">
        <v>1</v>
      </c>
      <c r="F17" s="2">
        <v>1</v>
      </c>
      <c r="G17" s="4">
        <v>1</v>
      </c>
      <c r="H17" s="13"/>
      <c r="I17" s="15"/>
      <c r="J17" s="19">
        <v>1</v>
      </c>
      <c r="K17" s="2" t="s">
        <v>45</v>
      </c>
      <c r="L17" s="11" t="str">
        <f t="shared" si="0"/>
        <v>Ver Imagen</v>
      </c>
      <c r="M17" t="s">
        <v>15</v>
      </c>
    </row>
    <row r="18" spans="1:13" x14ac:dyDescent="0.25">
      <c r="A18">
        <v>17</v>
      </c>
      <c r="B18" t="s">
        <v>46</v>
      </c>
      <c r="C18" s="1">
        <v>37.203017422499997</v>
      </c>
      <c r="D18" s="1">
        <v>-7.0235748525400004</v>
      </c>
      <c r="E18" s="3">
        <v>1</v>
      </c>
      <c r="F18" s="2">
        <v>1</v>
      </c>
      <c r="G18" s="4">
        <v>1</v>
      </c>
      <c r="H18" s="13"/>
      <c r="I18" s="15"/>
      <c r="J18" s="19">
        <v>1</v>
      </c>
      <c r="K18" s="2" t="s">
        <v>47</v>
      </c>
      <c r="L18" s="11" t="str">
        <f t="shared" si="0"/>
        <v>Ver Imagen</v>
      </c>
      <c r="M18" t="s">
        <v>15</v>
      </c>
    </row>
    <row r="19" spans="1:13" x14ac:dyDescent="0.25">
      <c r="A19">
        <v>18</v>
      </c>
      <c r="B19" t="s">
        <v>48</v>
      </c>
      <c r="C19" s="1">
        <v>37.202941772599999</v>
      </c>
      <c r="D19" s="1">
        <v>-7.0233800621500002</v>
      </c>
      <c r="E19" s="3">
        <v>1</v>
      </c>
      <c r="F19" s="2">
        <v>1</v>
      </c>
      <c r="G19" s="4">
        <v>1</v>
      </c>
      <c r="H19" s="13"/>
      <c r="I19" s="15"/>
      <c r="J19" s="19">
        <v>1</v>
      </c>
      <c r="K19" s="2" t="s">
        <v>49</v>
      </c>
      <c r="L19" s="11" t="str">
        <f t="shared" si="0"/>
        <v>Ver Imagen</v>
      </c>
      <c r="M19" t="s">
        <v>15</v>
      </c>
    </row>
    <row r="20" spans="1:13" x14ac:dyDescent="0.25">
      <c r="A20">
        <v>19</v>
      </c>
      <c r="B20" t="s">
        <v>50</v>
      </c>
      <c r="C20" s="1">
        <v>37.202768263199999</v>
      </c>
      <c r="D20" s="1">
        <v>-7.02290963999</v>
      </c>
      <c r="E20" s="3">
        <v>1</v>
      </c>
      <c r="F20" s="2">
        <v>1</v>
      </c>
      <c r="G20" s="4">
        <v>1</v>
      </c>
      <c r="H20" s="13"/>
      <c r="I20" s="15"/>
      <c r="J20" s="19">
        <v>1</v>
      </c>
      <c r="K20" s="2" t="s">
        <v>51</v>
      </c>
      <c r="L20" s="11" t="str">
        <f t="shared" si="0"/>
        <v>Ver Imagen</v>
      </c>
      <c r="M20" t="s">
        <v>15</v>
      </c>
    </row>
    <row r="21" spans="1:13" x14ac:dyDescent="0.25">
      <c r="A21">
        <v>20</v>
      </c>
      <c r="B21" t="s">
        <v>52</v>
      </c>
      <c r="C21" s="1">
        <v>37.202679419900001</v>
      </c>
      <c r="D21" s="1">
        <v>-7.0226752106700001</v>
      </c>
      <c r="E21" s="3">
        <v>1</v>
      </c>
      <c r="F21" s="2">
        <v>1</v>
      </c>
      <c r="G21" s="4">
        <v>1</v>
      </c>
      <c r="H21" s="13"/>
      <c r="I21" s="15"/>
      <c r="J21" s="19">
        <v>1</v>
      </c>
      <c r="K21" s="2" t="s">
        <v>53</v>
      </c>
      <c r="L21" s="11" t="str">
        <f t="shared" si="0"/>
        <v>Ver Imagen</v>
      </c>
      <c r="M21" t="s">
        <v>15</v>
      </c>
    </row>
    <row r="22" spans="1:13" x14ac:dyDescent="0.25">
      <c r="A22">
        <v>21</v>
      </c>
      <c r="B22" t="s">
        <v>54</v>
      </c>
      <c r="C22" s="1">
        <v>37.2025916403</v>
      </c>
      <c r="D22" s="1">
        <v>-7.0224453321000002</v>
      </c>
      <c r="E22" s="3">
        <v>1</v>
      </c>
      <c r="F22" s="2">
        <v>1</v>
      </c>
      <c r="G22" s="4">
        <v>1</v>
      </c>
      <c r="H22" s="13"/>
      <c r="I22" s="15"/>
      <c r="J22" s="19">
        <v>1</v>
      </c>
      <c r="K22" s="2" t="s">
        <v>55</v>
      </c>
      <c r="L22" s="11" t="str">
        <f t="shared" si="0"/>
        <v>Ver Imagen</v>
      </c>
      <c r="M22" t="s">
        <v>15</v>
      </c>
    </row>
    <row r="23" spans="1:13" x14ac:dyDescent="0.25">
      <c r="A23">
        <v>22</v>
      </c>
      <c r="B23" t="s">
        <v>56</v>
      </c>
      <c r="C23" s="1">
        <v>37.202500742600002</v>
      </c>
      <c r="D23" s="1">
        <v>-7.0222092632099997</v>
      </c>
      <c r="E23" s="3">
        <v>1</v>
      </c>
      <c r="F23" s="2">
        <v>1</v>
      </c>
      <c r="G23" s="4">
        <v>1</v>
      </c>
      <c r="H23" s="13"/>
      <c r="I23" s="15"/>
      <c r="J23" s="19">
        <v>1</v>
      </c>
      <c r="K23" s="2" t="s">
        <v>57</v>
      </c>
      <c r="L23" s="11" t="str">
        <f t="shared" si="0"/>
        <v>Ver Imagen</v>
      </c>
      <c r="M23" t="s">
        <v>15</v>
      </c>
    </row>
    <row r="24" spans="1:13" x14ac:dyDescent="0.25">
      <c r="A24">
        <v>23</v>
      </c>
      <c r="B24" t="s">
        <v>58</v>
      </c>
      <c r="C24" s="1">
        <v>37.202419817699997</v>
      </c>
      <c r="D24" s="1">
        <v>-7.0220007547799996</v>
      </c>
      <c r="E24" s="3">
        <v>1</v>
      </c>
      <c r="F24" s="2">
        <v>1</v>
      </c>
      <c r="G24" s="4">
        <v>1</v>
      </c>
      <c r="H24" s="13"/>
      <c r="I24" s="15"/>
      <c r="J24" s="19">
        <v>1</v>
      </c>
      <c r="K24" s="2" t="s">
        <v>59</v>
      </c>
      <c r="L24" s="11" t="str">
        <f t="shared" si="0"/>
        <v>Ver Imagen</v>
      </c>
      <c r="M24" t="s">
        <v>15</v>
      </c>
    </row>
    <row r="25" spans="1:13" x14ac:dyDescent="0.25">
      <c r="A25">
        <v>24</v>
      </c>
      <c r="B25" t="s">
        <v>60</v>
      </c>
      <c r="C25" s="1">
        <v>37.202154107399998</v>
      </c>
      <c r="D25" s="1">
        <v>-7.0213068942200003</v>
      </c>
      <c r="E25" s="3">
        <v>1</v>
      </c>
      <c r="F25" s="2">
        <v>1</v>
      </c>
      <c r="G25" s="4">
        <v>1</v>
      </c>
      <c r="H25" s="13"/>
      <c r="I25" s="15"/>
      <c r="J25" s="19">
        <v>1</v>
      </c>
      <c r="K25" s="2" t="s">
        <v>61</v>
      </c>
      <c r="L25" s="11" t="str">
        <f t="shared" si="0"/>
        <v>Ver Imagen</v>
      </c>
      <c r="M25" t="s">
        <v>15</v>
      </c>
    </row>
    <row r="26" spans="1:13" x14ac:dyDescent="0.25">
      <c r="A26">
        <v>25</v>
      </c>
      <c r="B26" t="s">
        <v>62</v>
      </c>
      <c r="C26" s="1">
        <v>37.202066352199999</v>
      </c>
      <c r="D26" s="1">
        <v>-7.02107645285</v>
      </c>
      <c r="E26" s="3">
        <v>1</v>
      </c>
      <c r="F26" s="2">
        <v>1</v>
      </c>
      <c r="G26" s="4">
        <v>1</v>
      </c>
      <c r="H26" s="13"/>
      <c r="I26" s="15"/>
      <c r="J26" s="19">
        <v>1</v>
      </c>
      <c r="K26" s="2" t="s">
        <v>63</v>
      </c>
      <c r="L26" s="11" t="str">
        <f t="shared" si="0"/>
        <v>Ver Imagen</v>
      </c>
      <c r="M26" t="s">
        <v>15</v>
      </c>
    </row>
    <row r="27" spans="1:13" x14ac:dyDescent="0.25">
      <c r="A27">
        <v>26</v>
      </c>
      <c r="B27" t="s">
        <v>64</v>
      </c>
      <c r="C27" s="1">
        <v>37.201980766699997</v>
      </c>
      <c r="D27" s="1">
        <v>-7.0208527109799999</v>
      </c>
      <c r="E27" s="3">
        <v>1</v>
      </c>
      <c r="F27" s="2">
        <v>1</v>
      </c>
      <c r="G27" s="4">
        <v>1</v>
      </c>
      <c r="H27" s="13"/>
      <c r="I27" s="15"/>
      <c r="J27" s="19">
        <v>1</v>
      </c>
      <c r="K27" s="2" t="s">
        <v>65</v>
      </c>
      <c r="L27" s="11" t="str">
        <f t="shared" si="0"/>
        <v>Ver Imagen</v>
      </c>
      <c r="M27" t="s">
        <v>15</v>
      </c>
    </row>
    <row r="28" spans="1:13" x14ac:dyDescent="0.25">
      <c r="A28">
        <v>27</v>
      </c>
      <c r="B28" t="s">
        <v>66</v>
      </c>
      <c r="C28" s="1">
        <v>37.2017139417</v>
      </c>
      <c r="D28" s="1">
        <v>-7.0201597753599998</v>
      </c>
      <c r="E28" s="3">
        <v>1</v>
      </c>
      <c r="F28" s="2">
        <v>1</v>
      </c>
      <c r="G28" s="4">
        <v>1</v>
      </c>
      <c r="H28" s="13"/>
      <c r="I28" s="15"/>
      <c r="J28" s="19">
        <v>1</v>
      </c>
      <c r="K28" s="2" t="s">
        <v>67</v>
      </c>
      <c r="L28" s="11" t="str">
        <f t="shared" si="0"/>
        <v>Ver Imagen</v>
      </c>
      <c r="M28" t="s">
        <v>15</v>
      </c>
    </row>
    <row r="29" spans="1:13" x14ac:dyDescent="0.25">
      <c r="A29">
        <v>28</v>
      </c>
      <c r="B29" t="s">
        <v>68</v>
      </c>
      <c r="C29" s="1">
        <v>37.200308670399998</v>
      </c>
      <c r="D29" s="1">
        <v>-7.0165034044999999</v>
      </c>
      <c r="E29" s="3">
        <v>1</v>
      </c>
      <c r="F29" s="2">
        <v>1</v>
      </c>
      <c r="G29" s="4">
        <v>1</v>
      </c>
      <c r="H29" s="13"/>
      <c r="I29" s="15"/>
      <c r="J29" s="19">
        <v>1</v>
      </c>
      <c r="K29" s="2" t="s">
        <v>69</v>
      </c>
      <c r="L29" s="11" t="str">
        <f t="shared" si="0"/>
        <v>Ver Imagen</v>
      </c>
      <c r="M29" t="s">
        <v>15</v>
      </c>
    </row>
    <row r="30" spans="1:13" x14ac:dyDescent="0.25">
      <c r="A30">
        <v>29</v>
      </c>
      <c r="B30" t="s">
        <v>70</v>
      </c>
      <c r="C30" s="1">
        <v>37.200227294199998</v>
      </c>
      <c r="D30" s="1">
        <v>-7.0162936652500001</v>
      </c>
      <c r="E30" s="3">
        <v>1</v>
      </c>
      <c r="F30" s="2">
        <v>1</v>
      </c>
      <c r="G30" s="4">
        <v>1</v>
      </c>
      <c r="H30" s="13"/>
      <c r="I30" s="15"/>
      <c r="J30" s="19">
        <v>1</v>
      </c>
      <c r="K30" s="2" t="s">
        <v>71</v>
      </c>
      <c r="L30" s="11" t="str">
        <f t="shared" si="0"/>
        <v>Ver Imagen</v>
      </c>
      <c r="M30" t="s">
        <v>15</v>
      </c>
    </row>
    <row r="31" spans="1:13" x14ac:dyDescent="0.25">
      <c r="A31">
        <v>30</v>
      </c>
      <c r="B31" t="s">
        <v>72</v>
      </c>
      <c r="C31" s="1">
        <v>37.1997810481</v>
      </c>
      <c r="D31" s="1">
        <v>-7.0151143009299997</v>
      </c>
      <c r="E31" s="3">
        <v>1</v>
      </c>
      <c r="F31" s="2">
        <v>1</v>
      </c>
      <c r="G31" s="4">
        <v>1</v>
      </c>
      <c r="H31" s="13"/>
      <c r="I31" s="15"/>
      <c r="J31" s="19">
        <v>1</v>
      </c>
      <c r="K31" s="2" t="s">
        <v>73</v>
      </c>
      <c r="L31" s="11" t="str">
        <f t="shared" si="0"/>
        <v>Ver Imagen</v>
      </c>
      <c r="M31" t="s">
        <v>15</v>
      </c>
    </row>
    <row r="32" spans="1:13" x14ac:dyDescent="0.25">
      <c r="A32">
        <v>31</v>
      </c>
      <c r="B32" t="s">
        <v>74</v>
      </c>
      <c r="C32" s="1">
        <v>37.1993582295</v>
      </c>
      <c r="D32" s="1">
        <v>-7.0140126984900002</v>
      </c>
      <c r="E32" s="3">
        <v>1</v>
      </c>
      <c r="F32" s="2">
        <v>1</v>
      </c>
      <c r="G32" s="4">
        <v>1</v>
      </c>
      <c r="H32" s="13"/>
      <c r="I32" s="15"/>
      <c r="J32" s="19">
        <v>1</v>
      </c>
      <c r="K32" s="2" t="s">
        <v>75</v>
      </c>
      <c r="L32" s="11" t="str">
        <f t="shared" si="0"/>
        <v>Ver Imagen</v>
      </c>
      <c r="M32" t="s">
        <v>15</v>
      </c>
    </row>
    <row r="33" spans="1:13" x14ac:dyDescent="0.25">
      <c r="A33">
        <v>32</v>
      </c>
      <c r="B33" t="s">
        <v>76</v>
      </c>
      <c r="C33" s="1">
        <v>37.199265427999997</v>
      </c>
      <c r="D33" s="1">
        <v>-7.01377104109</v>
      </c>
      <c r="E33" s="3">
        <v>1</v>
      </c>
      <c r="F33" s="2">
        <v>1</v>
      </c>
      <c r="G33" s="4">
        <v>1</v>
      </c>
      <c r="H33" s="13"/>
      <c r="I33" s="15"/>
      <c r="J33" s="19">
        <v>1</v>
      </c>
      <c r="K33" s="2" t="s">
        <v>77</v>
      </c>
      <c r="L33" s="11" t="str">
        <f t="shared" si="0"/>
        <v>Ver Imagen</v>
      </c>
      <c r="M33" t="s">
        <v>15</v>
      </c>
    </row>
    <row r="34" spans="1:13" x14ac:dyDescent="0.25">
      <c r="A34">
        <v>33</v>
      </c>
      <c r="B34" t="s">
        <v>78</v>
      </c>
      <c r="C34" s="1">
        <v>37.199174401599997</v>
      </c>
      <c r="D34" s="1">
        <v>-7.0135351215400004</v>
      </c>
      <c r="E34" s="3">
        <v>1</v>
      </c>
      <c r="F34" s="2">
        <v>1</v>
      </c>
      <c r="G34" s="4">
        <v>1</v>
      </c>
      <c r="H34" s="13"/>
      <c r="I34" s="15"/>
      <c r="J34" s="19">
        <v>1</v>
      </c>
      <c r="K34" s="2" t="s">
        <v>79</v>
      </c>
      <c r="L34" s="11" t="str">
        <f t="shared" si="0"/>
        <v>Ver Imagen</v>
      </c>
      <c r="M34" t="s">
        <v>15</v>
      </c>
    </row>
    <row r="35" spans="1:13" x14ac:dyDescent="0.25">
      <c r="A35">
        <v>34</v>
      </c>
      <c r="B35" t="s">
        <v>80</v>
      </c>
      <c r="C35" s="1">
        <v>37.1974462202</v>
      </c>
      <c r="D35" s="1">
        <v>-7.0089830617900004</v>
      </c>
      <c r="E35" s="3">
        <v>1</v>
      </c>
      <c r="F35" s="2">
        <v>1</v>
      </c>
      <c r="G35" s="4">
        <v>1</v>
      </c>
      <c r="H35" s="13"/>
      <c r="I35" s="15"/>
      <c r="J35" s="19">
        <v>1</v>
      </c>
      <c r="K35" s="2" t="s">
        <v>81</v>
      </c>
      <c r="L35" s="11" t="str">
        <f t="shared" si="0"/>
        <v>Ver Imagen</v>
      </c>
      <c r="M35" t="s">
        <v>15</v>
      </c>
    </row>
    <row r="36" spans="1:13" x14ac:dyDescent="0.25">
      <c r="A36">
        <v>35</v>
      </c>
      <c r="B36" t="s">
        <v>82</v>
      </c>
      <c r="C36" s="1">
        <v>37.197393903600002</v>
      </c>
      <c r="D36" s="1">
        <v>-7.0087512994000001</v>
      </c>
      <c r="E36" s="3">
        <v>1</v>
      </c>
      <c r="F36" s="2">
        <v>1</v>
      </c>
      <c r="G36" s="4">
        <v>1</v>
      </c>
      <c r="H36" s="13"/>
      <c r="I36" s="15"/>
      <c r="J36" s="19">
        <v>1</v>
      </c>
      <c r="K36" s="2" t="s">
        <v>83</v>
      </c>
      <c r="L36" s="11" t="str">
        <f t="shared" si="0"/>
        <v>Ver Imagen</v>
      </c>
      <c r="M36" t="s">
        <v>15</v>
      </c>
    </row>
    <row r="37" spans="1:13" x14ac:dyDescent="0.25">
      <c r="A37">
        <v>36</v>
      </c>
      <c r="B37" t="s">
        <v>84</v>
      </c>
      <c r="C37" s="1">
        <v>37.1973261495</v>
      </c>
      <c r="D37" s="1">
        <v>-7.0082540560100002</v>
      </c>
      <c r="E37" s="3">
        <v>1</v>
      </c>
      <c r="F37" s="2">
        <v>1</v>
      </c>
      <c r="G37" s="4">
        <v>1</v>
      </c>
      <c r="H37" s="13"/>
      <c r="I37" s="15"/>
      <c r="J37" s="19">
        <v>1</v>
      </c>
      <c r="K37" s="2" t="s">
        <v>85</v>
      </c>
      <c r="L37" s="11" t="str">
        <f t="shared" si="0"/>
        <v>Ver Imagen</v>
      </c>
      <c r="M37" t="s">
        <v>15</v>
      </c>
    </row>
    <row r="38" spans="1:13" x14ac:dyDescent="0.25">
      <c r="A38">
        <v>37</v>
      </c>
      <c r="B38" t="s">
        <v>86</v>
      </c>
      <c r="C38" s="1">
        <v>37.197176966800001</v>
      </c>
      <c r="D38" s="1">
        <v>-7.0067016041399999</v>
      </c>
      <c r="E38" s="3">
        <v>1</v>
      </c>
      <c r="F38" s="2">
        <v>1</v>
      </c>
      <c r="G38" s="4">
        <v>1</v>
      </c>
      <c r="H38" s="13"/>
      <c r="I38" s="15"/>
      <c r="J38" s="19">
        <v>1</v>
      </c>
      <c r="K38" s="2" t="s">
        <v>87</v>
      </c>
      <c r="L38" s="11" t="str">
        <f t="shared" si="0"/>
        <v>Ver Imagen</v>
      </c>
      <c r="M38" t="s">
        <v>15</v>
      </c>
    </row>
    <row r="39" spans="1:13" x14ac:dyDescent="0.25">
      <c r="A39">
        <v>38</v>
      </c>
      <c r="B39" t="s">
        <v>88</v>
      </c>
      <c r="C39" s="1">
        <v>37.465212516999998</v>
      </c>
      <c r="D39" s="1">
        <v>-7.1230777116299997</v>
      </c>
      <c r="E39" s="3">
        <v>1</v>
      </c>
      <c r="F39" s="2">
        <v>1</v>
      </c>
      <c r="G39" s="4">
        <v>1</v>
      </c>
      <c r="H39" s="13"/>
      <c r="I39" s="15"/>
      <c r="J39" s="19">
        <v>1</v>
      </c>
      <c r="K39" s="2" t="s">
        <v>89</v>
      </c>
      <c r="L39" s="11" t="str">
        <f t="shared" si="0"/>
        <v>Ver Imagen</v>
      </c>
      <c r="M39" t="s">
        <v>15</v>
      </c>
    </row>
    <row r="40" spans="1:13" x14ac:dyDescent="0.25">
      <c r="A40">
        <v>39</v>
      </c>
      <c r="B40" t="s">
        <v>90</v>
      </c>
      <c r="C40" s="1">
        <v>37.4580456355</v>
      </c>
      <c r="D40" s="1">
        <v>-7.1256093535099998</v>
      </c>
      <c r="E40" s="3">
        <v>1</v>
      </c>
      <c r="F40" s="2">
        <v>1</v>
      </c>
      <c r="G40" s="4">
        <v>1</v>
      </c>
      <c r="H40" s="13"/>
      <c r="I40" s="15"/>
      <c r="J40" s="19">
        <v>1</v>
      </c>
      <c r="K40" s="2" t="s">
        <v>91</v>
      </c>
      <c r="L40" s="11" t="str">
        <f t="shared" si="0"/>
        <v>Ver Imagen</v>
      </c>
      <c r="M40" t="s">
        <v>15</v>
      </c>
    </row>
    <row r="41" spans="1:13" x14ac:dyDescent="0.25">
      <c r="A41">
        <v>40</v>
      </c>
      <c r="B41" t="s">
        <v>92</v>
      </c>
      <c r="C41" s="1">
        <v>37.453776880200003</v>
      </c>
      <c r="D41" s="1">
        <v>-7.1271574949599996</v>
      </c>
      <c r="E41" s="3">
        <v>1</v>
      </c>
      <c r="F41" s="2">
        <v>1</v>
      </c>
      <c r="G41" s="4">
        <v>1</v>
      </c>
      <c r="H41" s="13"/>
      <c r="I41" s="15"/>
      <c r="J41" s="19">
        <v>1</v>
      </c>
      <c r="K41" s="2" t="s">
        <v>93</v>
      </c>
      <c r="L41" s="11" t="str">
        <f t="shared" si="0"/>
        <v>Ver Imagen</v>
      </c>
      <c r="M41" t="s">
        <v>15</v>
      </c>
    </row>
    <row r="42" spans="1:13" x14ac:dyDescent="0.25">
      <c r="A42">
        <v>41</v>
      </c>
      <c r="B42" t="s">
        <v>94</v>
      </c>
      <c r="C42" s="1">
        <v>37.265425981999996</v>
      </c>
      <c r="D42" s="1">
        <v>-6.9964484622400001</v>
      </c>
      <c r="E42" s="3">
        <v>1</v>
      </c>
      <c r="F42" s="2">
        <v>1</v>
      </c>
      <c r="G42" s="4">
        <v>1</v>
      </c>
      <c r="H42" s="13"/>
      <c r="I42" s="15"/>
      <c r="J42" s="19">
        <v>1</v>
      </c>
      <c r="K42" s="2" t="s">
        <v>95</v>
      </c>
      <c r="L42" s="11" t="str">
        <f t="shared" si="0"/>
        <v>Ver Imagen</v>
      </c>
      <c r="M42" t="s">
        <v>15</v>
      </c>
    </row>
    <row r="43" spans="1:13" x14ac:dyDescent="0.25">
      <c r="A43">
        <v>42</v>
      </c>
      <c r="B43" t="s">
        <v>96</v>
      </c>
      <c r="C43" s="1">
        <v>37.265373799700001</v>
      </c>
      <c r="D43" s="1">
        <v>-6.9967061943199997</v>
      </c>
      <c r="E43" s="3">
        <v>1</v>
      </c>
      <c r="F43" s="2">
        <v>1</v>
      </c>
      <c r="G43" s="4">
        <v>1</v>
      </c>
      <c r="H43" s="13"/>
      <c r="I43" s="15"/>
      <c r="J43" s="19">
        <v>1</v>
      </c>
      <c r="K43" s="2" t="s">
        <v>97</v>
      </c>
      <c r="L43" s="11" t="str">
        <f t="shared" si="0"/>
        <v>Ver Imagen</v>
      </c>
      <c r="M43" t="s">
        <v>15</v>
      </c>
    </row>
    <row r="44" spans="1:13" x14ac:dyDescent="0.25">
      <c r="A44">
        <v>43</v>
      </c>
      <c r="B44" t="s">
        <v>98</v>
      </c>
      <c r="C44" s="1">
        <v>37.265328464500001</v>
      </c>
      <c r="D44" s="1">
        <v>-6.9969362800499999</v>
      </c>
      <c r="E44" s="3">
        <v>1</v>
      </c>
      <c r="F44" s="2">
        <v>1</v>
      </c>
      <c r="G44" s="4">
        <v>1</v>
      </c>
      <c r="H44" s="13"/>
      <c r="I44" s="15"/>
      <c r="J44" s="19">
        <v>1</v>
      </c>
      <c r="K44" s="2" t="s">
        <v>99</v>
      </c>
      <c r="L44" s="11" t="str">
        <f t="shared" si="0"/>
        <v>Ver Imagen</v>
      </c>
      <c r="M44" t="s">
        <v>15</v>
      </c>
    </row>
    <row r="45" spans="1:13" x14ac:dyDescent="0.25">
      <c r="A45">
        <v>44</v>
      </c>
      <c r="B45" t="s">
        <v>100</v>
      </c>
      <c r="C45" s="1">
        <v>37.208885279</v>
      </c>
      <c r="D45" s="1">
        <v>-7.0231739988799999</v>
      </c>
      <c r="E45" s="3">
        <v>1</v>
      </c>
      <c r="F45" s="2">
        <v>1</v>
      </c>
      <c r="G45" s="4">
        <v>1</v>
      </c>
      <c r="H45" s="13"/>
      <c r="I45" s="15"/>
      <c r="J45" s="19">
        <v>1</v>
      </c>
      <c r="K45" s="2" t="s">
        <v>101</v>
      </c>
      <c r="L45" s="11" t="str">
        <f t="shared" si="0"/>
        <v>Ver Imagen</v>
      </c>
      <c r="M45" t="s">
        <v>15</v>
      </c>
    </row>
    <row r="46" spans="1:13" x14ac:dyDescent="0.25">
      <c r="A46">
        <v>45</v>
      </c>
      <c r="B46" t="s">
        <v>102</v>
      </c>
      <c r="C46" s="1">
        <v>37.228561540199998</v>
      </c>
      <c r="D46" s="1">
        <v>-7.0213524055400001</v>
      </c>
      <c r="E46" s="3">
        <v>1</v>
      </c>
      <c r="F46" s="2">
        <v>1</v>
      </c>
      <c r="G46" s="4">
        <v>1</v>
      </c>
      <c r="H46" s="13"/>
      <c r="I46" s="15"/>
      <c r="J46" s="19">
        <v>1</v>
      </c>
      <c r="K46" s="2" t="s">
        <v>103</v>
      </c>
      <c r="L46" s="11" t="str">
        <f t="shared" si="0"/>
        <v>Ver Imagen</v>
      </c>
      <c r="M46" t="s">
        <v>15</v>
      </c>
    </row>
    <row r="47" spans="1:13" x14ac:dyDescent="0.25">
      <c r="A47">
        <v>46</v>
      </c>
      <c r="B47" t="s">
        <v>104</v>
      </c>
      <c r="C47" s="1">
        <v>37.228707952000001</v>
      </c>
      <c r="D47" s="1">
        <v>-7.0212395610099998</v>
      </c>
      <c r="E47" s="3">
        <v>1</v>
      </c>
      <c r="F47" s="2">
        <v>1</v>
      </c>
      <c r="G47" s="4">
        <v>1</v>
      </c>
      <c r="H47" s="13"/>
      <c r="I47" s="15"/>
      <c r="J47" s="19">
        <v>1</v>
      </c>
      <c r="K47" s="2" t="s">
        <v>105</v>
      </c>
      <c r="L47" s="11" t="str">
        <f t="shared" si="0"/>
        <v>Ver Imagen</v>
      </c>
      <c r="M47" t="s">
        <v>15</v>
      </c>
    </row>
    <row r="48" spans="1:13" x14ac:dyDescent="0.25">
      <c r="A48">
        <v>47</v>
      </c>
      <c r="B48" t="s">
        <v>106</v>
      </c>
      <c r="C48" s="1">
        <v>37.228834491800001</v>
      </c>
      <c r="D48" s="1">
        <v>-7.0211424964500004</v>
      </c>
      <c r="E48" s="3">
        <v>1</v>
      </c>
      <c r="F48" s="2">
        <v>1</v>
      </c>
      <c r="G48" s="4">
        <v>1</v>
      </c>
      <c r="H48" s="13"/>
      <c r="I48" s="15"/>
      <c r="J48" s="19">
        <v>1</v>
      </c>
      <c r="K48" s="2" t="s">
        <v>107</v>
      </c>
      <c r="L48" s="11" t="str">
        <f t="shared" si="0"/>
        <v>Ver Imagen</v>
      </c>
      <c r="M48" t="s">
        <v>15</v>
      </c>
    </row>
    <row r="49" spans="1:13" x14ac:dyDescent="0.25">
      <c r="A49">
        <v>48</v>
      </c>
      <c r="B49" t="s">
        <v>108</v>
      </c>
      <c r="C49" s="1">
        <v>37.229028700599997</v>
      </c>
      <c r="D49" s="1">
        <v>-7.0209945495200001</v>
      </c>
      <c r="E49" s="3">
        <v>1</v>
      </c>
      <c r="F49" s="2">
        <v>1</v>
      </c>
      <c r="G49" s="4">
        <v>1</v>
      </c>
      <c r="H49" s="13"/>
      <c r="I49" s="15"/>
      <c r="J49" s="19">
        <v>1</v>
      </c>
      <c r="K49" s="2" t="s">
        <v>109</v>
      </c>
      <c r="L49" s="11" t="str">
        <f t="shared" si="0"/>
        <v>Ver Imagen</v>
      </c>
      <c r="M49" t="s">
        <v>15</v>
      </c>
    </row>
    <row r="50" spans="1:13" x14ac:dyDescent="0.25">
      <c r="A50">
        <v>49</v>
      </c>
      <c r="B50" t="s">
        <v>110</v>
      </c>
      <c r="C50" s="1">
        <v>37.467528188800003</v>
      </c>
      <c r="D50" s="1">
        <v>-7.1850930435700002</v>
      </c>
      <c r="E50" s="3">
        <v>1</v>
      </c>
      <c r="F50" s="2">
        <v>2</v>
      </c>
      <c r="G50" s="4">
        <v>1</v>
      </c>
      <c r="H50" s="13"/>
      <c r="I50" s="15"/>
      <c r="J50" s="19">
        <v>1</v>
      </c>
      <c r="K50" s="2" t="s">
        <v>111</v>
      </c>
      <c r="L50" s="11" t="str">
        <f t="shared" ref="L50:L113" si="1">HYPERLINK("1\1\" &amp; K50, "Ver Imagen")</f>
        <v>Ver Imagen</v>
      </c>
      <c r="M50" t="s">
        <v>15</v>
      </c>
    </row>
    <row r="51" spans="1:13" x14ac:dyDescent="0.25">
      <c r="A51">
        <v>50</v>
      </c>
      <c r="B51" t="s">
        <v>112</v>
      </c>
      <c r="C51" s="1">
        <v>37.467618986700003</v>
      </c>
      <c r="D51" s="1">
        <v>-7.1852621116300002</v>
      </c>
      <c r="E51" s="3">
        <v>1</v>
      </c>
      <c r="F51" s="2">
        <v>2</v>
      </c>
      <c r="G51" s="4">
        <v>1</v>
      </c>
      <c r="H51" s="13"/>
      <c r="I51" s="15"/>
      <c r="J51" s="19">
        <v>1</v>
      </c>
      <c r="K51" s="2" t="s">
        <v>113</v>
      </c>
      <c r="L51" s="11" t="str">
        <f t="shared" si="1"/>
        <v>Ver Imagen</v>
      </c>
      <c r="M51" t="s">
        <v>15</v>
      </c>
    </row>
    <row r="52" spans="1:13" x14ac:dyDescent="0.25">
      <c r="A52">
        <v>51</v>
      </c>
      <c r="B52" t="s">
        <v>114</v>
      </c>
      <c r="C52" s="1">
        <v>37.4677631108</v>
      </c>
      <c r="D52" s="1">
        <v>-7.1855302331999997</v>
      </c>
      <c r="E52" s="3">
        <v>1</v>
      </c>
      <c r="F52" s="2">
        <v>2</v>
      </c>
      <c r="G52" s="4">
        <v>1</v>
      </c>
      <c r="H52" s="13"/>
      <c r="I52" s="15"/>
      <c r="J52" s="19">
        <v>1</v>
      </c>
      <c r="K52" s="2" t="s">
        <v>115</v>
      </c>
      <c r="L52" s="11" t="str">
        <f t="shared" si="1"/>
        <v>Ver Imagen</v>
      </c>
      <c r="M52" t="s">
        <v>15</v>
      </c>
    </row>
    <row r="53" spans="1:13" x14ac:dyDescent="0.25">
      <c r="A53">
        <v>52</v>
      </c>
      <c r="B53" t="s">
        <v>116</v>
      </c>
      <c r="C53" s="1">
        <v>37.467833600600002</v>
      </c>
      <c r="D53" s="1">
        <v>-7.1856613199400003</v>
      </c>
      <c r="E53" s="3">
        <v>1</v>
      </c>
      <c r="F53" s="2">
        <v>2</v>
      </c>
      <c r="G53" s="4">
        <v>1</v>
      </c>
      <c r="H53" s="13"/>
      <c r="I53" s="15"/>
      <c r="J53" s="19">
        <v>1</v>
      </c>
      <c r="K53" s="2" t="s">
        <v>117</v>
      </c>
      <c r="L53" s="11" t="str">
        <f t="shared" si="1"/>
        <v>Ver Imagen</v>
      </c>
      <c r="M53" t="s">
        <v>15</v>
      </c>
    </row>
    <row r="54" spans="1:13" x14ac:dyDescent="0.25">
      <c r="A54">
        <v>53</v>
      </c>
      <c r="B54" t="s">
        <v>118</v>
      </c>
      <c r="C54" s="1">
        <v>37.4900800952</v>
      </c>
      <c r="D54" s="1">
        <v>-7.2488707481899999</v>
      </c>
      <c r="E54" s="3">
        <v>1</v>
      </c>
      <c r="F54" s="2">
        <v>2</v>
      </c>
      <c r="G54" s="4">
        <v>1</v>
      </c>
      <c r="H54" s="13"/>
      <c r="I54" s="15"/>
      <c r="J54" s="19">
        <v>1</v>
      </c>
      <c r="K54" s="2" t="s">
        <v>119</v>
      </c>
      <c r="L54" s="11" t="str">
        <f t="shared" si="1"/>
        <v>Ver Imagen</v>
      </c>
      <c r="M54" t="s">
        <v>15</v>
      </c>
    </row>
    <row r="55" spans="1:13" x14ac:dyDescent="0.25">
      <c r="A55">
        <v>54</v>
      </c>
      <c r="B55" t="s">
        <v>120</v>
      </c>
      <c r="C55" s="1">
        <v>37.490087161399998</v>
      </c>
      <c r="D55" s="1">
        <v>-7.2585390925900004</v>
      </c>
      <c r="E55" s="3">
        <v>1</v>
      </c>
      <c r="F55" s="2">
        <v>2</v>
      </c>
      <c r="G55" s="4">
        <v>1</v>
      </c>
      <c r="H55" s="13"/>
      <c r="I55" s="15"/>
      <c r="J55" s="19">
        <v>1</v>
      </c>
      <c r="K55" s="2" t="s">
        <v>121</v>
      </c>
      <c r="L55" s="11" t="str">
        <f t="shared" si="1"/>
        <v>Ver Imagen</v>
      </c>
      <c r="M55" t="s">
        <v>15</v>
      </c>
    </row>
    <row r="56" spans="1:13" x14ac:dyDescent="0.25">
      <c r="A56">
        <v>55</v>
      </c>
      <c r="B56" t="s">
        <v>122</v>
      </c>
      <c r="C56" s="1">
        <v>37.490072088300003</v>
      </c>
      <c r="D56" s="1">
        <v>-7.2587693281999996</v>
      </c>
      <c r="E56" s="3">
        <v>1</v>
      </c>
      <c r="F56" s="2">
        <v>2</v>
      </c>
      <c r="G56" s="4">
        <v>1</v>
      </c>
      <c r="H56" s="13"/>
      <c r="I56" s="15"/>
      <c r="J56" s="19">
        <v>1</v>
      </c>
      <c r="K56" s="2" t="s">
        <v>123</v>
      </c>
      <c r="L56" s="11" t="str">
        <f t="shared" si="1"/>
        <v>Ver Imagen</v>
      </c>
      <c r="M56" t="s">
        <v>15</v>
      </c>
    </row>
    <row r="57" spans="1:13" x14ac:dyDescent="0.25">
      <c r="A57">
        <v>56</v>
      </c>
      <c r="B57" t="s">
        <v>124</v>
      </c>
      <c r="C57" s="1">
        <v>37.4766149282</v>
      </c>
      <c r="D57" s="1">
        <v>-7.2024947993400001</v>
      </c>
      <c r="E57" s="3">
        <v>1</v>
      </c>
      <c r="F57" s="2">
        <v>2</v>
      </c>
      <c r="G57" s="4">
        <v>1</v>
      </c>
      <c r="H57" s="13"/>
      <c r="I57" s="15"/>
      <c r="J57" s="19">
        <v>1</v>
      </c>
      <c r="K57" s="2" t="s">
        <v>125</v>
      </c>
      <c r="L57" s="11" t="str">
        <f t="shared" si="1"/>
        <v>Ver Imagen</v>
      </c>
      <c r="M57" t="s">
        <v>15</v>
      </c>
    </row>
    <row r="58" spans="1:13" x14ac:dyDescent="0.25">
      <c r="A58">
        <v>57</v>
      </c>
      <c r="B58" t="s">
        <v>126</v>
      </c>
      <c r="C58" s="1">
        <v>37.478807186399997</v>
      </c>
      <c r="D58" s="1">
        <v>-7.2075822943999999</v>
      </c>
      <c r="E58" s="3">
        <v>1</v>
      </c>
      <c r="F58" s="2">
        <v>2</v>
      </c>
      <c r="G58" s="4">
        <v>1</v>
      </c>
      <c r="H58" s="13"/>
      <c r="I58" s="15"/>
      <c r="J58" s="19">
        <v>1</v>
      </c>
      <c r="K58" s="2" t="s">
        <v>127</v>
      </c>
      <c r="L58" s="11" t="str">
        <f t="shared" si="1"/>
        <v>Ver Imagen</v>
      </c>
      <c r="M58" t="s">
        <v>15</v>
      </c>
    </row>
    <row r="59" spans="1:13" x14ac:dyDescent="0.25">
      <c r="A59">
        <v>58</v>
      </c>
      <c r="B59" t="s">
        <v>128</v>
      </c>
      <c r="C59" s="1">
        <v>37.482079334300003</v>
      </c>
      <c r="D59" s="1">
        <v>-7.2157907908499999</v>
      </c>
      <c r="E59" s="3">
        <v>1</v>
      </c>
      <c r="F59" s="2">
        <v>2</v>
      </c>
      <c r="G59" s="4">
        <v>1</v>
      </c>
      <c r="H59" s="13"/>
      <c r="I59" s="15"/>
      <c r="J59" s="19">
        <v>1</v>
      </c>
      <c r="K59" s="2" t="s">
        <v>129</v>
      </c>
      <c r="L59" s="11" t="str">
        <f t="shared" si="1"/>
        <v>Ver Imagen</v>
      </c>
      <c r="M59" t="s">
        <v>15</v>
      </c>
    </row>
    <row r="60" spans="1:13" x14ac:dyDescent="0.25">
      <c r="A60">
        <v>59</v>
      </c>
      <c r="B60" t="s">
        <v>130</v>
      </c>
      <c r="C60" s="1">
        <v>37.483450780799998</v>
      </c>
      <c r="D60" s="1">
        <v>-7.2224566830499999</v>
      </c>
      <c r="E60" s="3">
        <v>1</v>
      </c>
      <c r="F60" s="2">
        <v>2</v>
      </c>
      <c r="G60" s="4">
        <v>1</v>
      </c>
      <c r="H60" s="13"/>
      <c r="I60" s="15"/>
      <c r="J60" s="19">
        <v>1</v>
      </c>
      <c r="K60" s="2" t="s">
        <v>131</v>
      </c>
      <c r="L60" s="11" t="str">
        <f t="shared" si="1"/>
        <v>Ver Imagen</v>
      </c>
      <c r="M60" t="s">
        <v>15</v>
      </c>
    </row>
    <row r="61" spans="1:13" x14ac:dyDescent="0.25">
      <c r="A61">
        <v>60</v>
      </c>
      <c r="B61" t="s">
        <v>132</v>
      </c>
      <c r="C61" s="1">
        <v>37.483486268500002</v>
      </c>
      <c r="D61" s="1">
        <v>-7.2226408682400001</v>
      </c>
      <c r="E61" s="3">
        <v>1</v>
      </c>
      <c r="F61" s="2">
        <v>2</v>
      </c>
      <c r="G61" s="4">
        <v>1</v>
      </c>
      <c r="H61" s="13"/>
      <c r="I61" s="15"/>
      <c r="J61" s="19">
        <v>1</v>
      </c>
      <c r="K61" s="2" t="s">
        <v>133</v>
      </c>
      <c r="L61" s="11" t="str">
        <f t="shared" si="1"/>
        <v>Ver Imagen</v>
      </c>
      <c r="M61" t="s">
        <v>15</v>
      </c>
    </row>
    <row r="62" spans="1:13" x14ac:dyDescent="0.25">
      <c r="A62">
        <v>61</v>
      </c>
      <c r="B62" t="s">
        <v>134</v>
      </c>
      <c r="C62" s="1">
        <v>37.485683077399997</v>
      </c>
      <c r="D62" s="1">
        <v>-7.2340341173400002</v>
      </c>
      <c r="E62" s="3">
        <v>1</v>
      </c>
      <c r="F62" s="2">
        <v>2</v>
      </c>
      <c r="G62" s="4">
        <v>1</v>
      </c>
      <c r="H62" s="13"/>
      <c r="I62" s="15"/>
      <c r="J62" s="19">
        <v>1</v>
      </c>
      <c r="K62" s="2" t="s">
        <v>135</v>
      </c>
      <c r="L62" s="11" t="str">
        <f t="shared" si="1"/>
        <v>Ver Imagen</v>
      </c>
      <c r="M62" t="s">
        <v>15</v>
      </c>
    </row>
    <row r="63" spans="1:13" x14ac:dyDescent="0.25">
      <c r="A63">
        <v>62</v>
      </c>
      <c r="B63" t="s">
        <v>136</v>
      </c>
      <c r="C63" s="1">
        <v>37.485726239900004</v>
      </c>
      <c r="D63" s="1">
        <v>-7.2342644689600002</v>
      </c>
      <c r="E63" s="3">
        <v>1</v>
      </c>
      <c r="F63" s="2">
        <v>2</v>
      </c>
      <c r="G63" s="4">
        <v>1</v>
      </c>
      <c r="H63" s="13"/>
      <c r="I63" s="15"/>
      <c r="J63" s="19">
        <v>1</v>
      </c>
      <c r="K63" s="2" t="s">
        <v>137</v>
      </c>
      <c r="L63" s="11" t="str">
        <f t="shared" si="1"/>
        <v>Ver Imagen</v>
      </c>
      <c r="M63" t="s">
        <v>15</v>
      </c>
    </row>
    <row r="64" spans="1:13" x14ac:dyDescent="0.25">
      <c r="A64">
        <v>63</v>
      </c>
      <c r="B64" t="s">
        <v>138</v>
      </c>
      <c r="C64" s="1">
        <v>37.4881311842</v>
      </c>
      <c r="D64" s="1">
        <v>-7.24573575377</v>
      </c>
      <c r="E64" s="3">
        <v>1</v>
      </c>
      <c r="F64" s="2">
        <v>2</v>
      </c>
      <c r="G64" s="4">
        <v>1</v>
      </c>
      <c r="H64" s="13"/>
      <c r="I64" s="15"/>
      <c r="J64" s="19">
        <v>1</v>
      </c>
      <c r="K64" s="2" t="s">
        <v>139</v>
      </c>
      <c r="L64" s="11" t="str">
        <f t="shared" si="1"/>
        <v>Ver Imagen</v>
      </c>
      <c r="M64" t="s">
        <v>15</v>
      </c>
    </row>
    <row r="65" spans="1:13" x14ac:dyDescent="0.25">
      <c r="A65">
        <v>64</v>
      </c>
      <c r="B65" t="s">
        <v>140</v>
      </c>
      <c r="C65" s="1">
        <v>37.488235332999999</v>
      </c>
      <c r="D65" s="1">
        <v>-7.2460041407100002</v>
      </c>
      <c r="E65" s="3">
        <v>1</v>
      </c>
      <c r="F65" s="2">
        <v>2</v>
      </c>
      <c r="G65" s="4">
        <v>1</v>
      </c>
      <c r="H65" s="13"/>
      <c r="I65" s="15"/>
      <c r="J65" s="19">
        <v>1</v>
      </c>
      <c r="K65" s="2" t="s">
        <v>141</v>
      </c>
      <c r="L65" s="11" t="str">
        <f t="shared" si="1"/>
        <v>Ver Imagen</v>
      </c>
      <c r="M65" t="s">
        <v>15</v>
      </c>
    </row>
    <row r="66" spans="1:13" x14ac:dyDescent="0.25">
      <c r="A66">
        <v>65</v>
      </c>
      <c r="B66" t="s">
        <v>142</v>
      </c>
      <c r="C66" s="1">
        <v>37.488319986999997</v>
      </c>
      <c r="D66" s="1">
        <v>-7.2462215668900001</v>
      </c>
      <c r="E66" s="3">
        <v>1</v>
      </c>
      <c r="F66" s="2">
        <v>2</v>
      </c>
      <c r="G66" s="4">
        <v>1</v>
      </c>
      <c r="H66" s="13"/>
      <c r="I66" s="15"/>
      <c r="J66" s="19">
        <v>1</v>
      </c>
      <c r="K66" s="2" t="s">
        <v>143</v>
      </c>
      <c r="L66" s="11" t="str">
        <f t="shared" si="1"/>
        <v>Ver Imagen</v>
      </c>
      <c r="M66" t="s">
        <v>15</v>
      </c>
    </row>
    <row r="67" spans="1:13" x14ac:dyDescent="0.25">
      <c r="A67">
        <v>66</v>
      </c>
      <c r="B67" t="s">
        <v>144</v>
      </c>
      <c r="C67" s="1">
        <v>37.488404981800002</v>
      </c>
      <c r="D67" s="1">
        <v>-7.24643799521</v>
      </c>
      <c r="E67" s="3">
        <v>1</v>
      </c>
      <c r="F67" s="2">
        <v>2</v>
      </c>
      <c r="G67" s="4">
        <v>1</v>
      </c>
      <c r="H67" s="13"/>
      <c r="I67" s="15"/>
      <c r="J67" s="19">
        <v>1</v>
      </c>
      <c r="K67" s="2" t="s">
        <v>145</v>
      </c>
      <c r="L67" s="11" t="str">
        <f t="shared" si="1"/>
        <v>Ver Imagen</v>
      </c>
      <c r="M67" t="s">
        <v>15</v>
      </c>
    </row>
    <row r="68" spans="1:13" x14ac:dyDescent="0.25">
      <c r="A68">
        <v>67</v>
      </c>
      <c r="B68" t="s">
        <v>146</v>
      </c>
      <c r="C68" s="1">
        <v>37.490705820000002</v>
      </c>
      <c r="D68" s="1">
        <v>-7.2514278879100003</v>
      </c>
      <c r="E68" s="3">
        <v>1</v>
      </c>
      <c r="F68" s="2">
        <v>2</v>
      </c>
      <c r="G68" s="4">
        <v>1</v>
      </c>
      <c r="H68" s="13"/>
      <c r="I68" s="15"/>
      <c r="J68" s="19">
        <v>1</v>
      </c>
      <c r="K68" s="2" t="s">
        <v>147</v>
      </c>
      <c r="L68" s="11" t="str">
        <f t="shared" si="1"/>
        <v>Ver Imagen</v>
      </c>
      <c r="M68" t="s">
        <v>15</v>
      </c>
    </row>
    <row r="69" spans="1:13" x14ac:dyDescent="0.25">
      <c r="A69">
        <v>68</v>
      </c>
      <c r="B69" t="s">
        <v>148</v>
      </c>
      <c r="C69" s="1">
        <v>37.490690115600003</v>
      </c>
      <c r="D69" s="1">
        <v>-7.2519672977300003</v>
      </c>
      <c r="E69" s="3">
        <v>1</v>
      </c>
      <c r="F69" s="2">
        <v>2</v>
      </c>
      <c r="G69" s="4">
        <v>1</v>
      </c>
      <c r="H69" s="13"/>
      <c r="I69" s="15"/>
      <c r="J69" s="19">
        <v>1</v>
      </c>
      <c r="K69" s="2" t="s">
        <v>149</v>
      </c>
      <c r="L69" s="11" t="str">
        <f t="shared" si="1"/>
        <v>Ver Imagen</v>
      </c>
      <c r="M69" t="s">
        <v>15</v>
      </c>
    </row>
    <row r="70" spans="1:13" x14ac:dyDescent="0.25">
      <c r="A70">
        <v>69</v>
      </c>
      <c r="B70" t="s">
        <v>150</v>
      </c>
      <c r="C70" s="1">
        <v>37.490679926200002</v>
      </c>
      <c r="D70" s="1">
        <v>-7.2522529755800003</v>
      </c>
      <c r="E70" s="3">
        <v>1</v>
      </c>
      <c r="F70" s="2">
        <v>2</v>
      </c>
      <c r="G70" s="4">
        <v>1</v>
      </c>
      <c r="H70" s="13"/>
      <c r="I70" s="15"/>
      <c r="J70" s="19">
        <v>1</v>
      </c>
      <c r="K70" s="2" t="s">
        <v>151</v>
      </c>
      <c r="L70" s="11" t="str">
        <f t="shared" si="1"/>
        <v>Ver Imagen</v>
      </c>
      <c r="M70" t="s">
        <v>15</v>
      </c>
    </row>
    <row r="71" spans="1:13" x14ac:dyDescent="0.25">
      <c r="A71">
        <v>70</v>
      </c>
      <c r="B71" t="s">
        <v>152</v>
      </c>
      <c r="C71" s="1">
        <v>37.490668233199997</v>
      </c>
      <c r="D71" s="1">
        <v>-7.2525110048199997</v>
      </c>
      <c r="E71" s="3">
        <v>1</v>
      </c>
      <c r="F71" s="2">
        <v>2</v>
      </c>
      <c r="G71" s="4">
        <v>1</v>
      </c>
      <c r="H71" s="13"/>
      <c r="I71" s="15"/>
      <c r="J71" s="19">
        <v>1</v>
      </c>
      <c r="K71" s="2" t="s">
        <v>153</v>
      </c>
      <c r="L71" s="11" t="str">
        <f t="shared" si="1"/>
        <v>Ver Imagen</v>
      </c>
      <c r="M71" t="s">
        <v>15</v>
      </c>
    </row>
    <row r="72" spans="1:13" x14ac:dyDescent="0.25">
      <c r="A72">
        <v>71</v>
      </c>
      <c r="B72" t="s">
        <v>154</v>
      </c>
      <c r="C72" s="1">
        <v>37.4906034762</v>
      </c>
      <c r="D72" s="1">
        <v>-7.25346488985</v>
      </c>
      <c r="E72" s="3">
        <v>1</v>
      </c>
      <c r="F72" s="2">
        <v>2</v>
      </c>
      <c r="G72" s="4">
        <v>1</v>
      </c>
      <c r="H72" s="13"/>
      <c r="I72" s="15"/>
      <c r="J72" s="19">
        <v>1</v>
      </c>
      <c r="K72" s="2" t="s">
        <v>155</v>
      </c>
      <c r="L72" s="11" t="str">
        <f t="shared" si="1"/>
        <v>Ver Imagen</v>
      </c>
      <c r="M72" t="s">
        <v>15</v>
      </c>
    </row>
    <row r="73" spans="1:13" x14ac:dyDescent="0.25">
      <c r="A73">
        <v>72</v>
      </c>
      <c r="B73" t="s">
        <v>156</v>
      </c>
      <c r="C73" s="1">
        <v>37.490562537700001</v>
      </c>
      <c r="D73" s="1">
        <v>-7.2539585901399999</v>
      </c>
      <c r="E73" s="3">
        <v>1</v>
      </c>
      <c r="F73" s="2">
        <v>2</v>
      </c>
      <c r="G73" s="4">
        <v>1</v>
      </c>
      <c r="H73" s="13"/>
      <c r="I73" s="15"/>
      <c r="J73" s="19">
        <v>1</v>
      </c>
      <c r="K73" s="2" t="s">
        <v>157</v>
      </c>
      <c r="L73" s="11" t="str">
        <f t="shared" si="1"/>
        <v>Ver Imagen</v>
      </c>
      <c r="M73" t="s">
        <v>15</v>
      </c>
    </row>
    <row r="74" spans="1:13" x14ac:dyDescent="0.25">
      <c r="A74">
        <v>73</v>
      </c>
      <c r="B74" t="s">
        <v>158</v>
      </c>
      <c r="C74" s="1">
        <v>37.490540759799998</v>
      </c>
      <c r="D74" s="1">
        <v>-7.2542095241300002</v>
      </c>
      <c r="E74" s="3">
        <v>1</v>
      </c>
      <c r="F74" s="2">
        <v>2</v>
      </c>
      <c r="G74" s="4">
        <v>1</v>
      </c>
      <c r="H74" s="13"/>
      <c r="I74" s="15"/>
      <c r="J74" s="19">
        <v>1</v>
      </c>
      <c r="K74" s="2" t="s">
        <v>159</v>
      </c>
      <c r="L74" s="11" t="str">
        <f t="shared" si="1"/>
        <v>Ver Imagen</v>
      </c>
      <c r="M74" t="s">
        <v>15</v>
      </c>
    </row>
    <row r="75" spans="1:13" x14ac:dyDescent="0.25">
      <c r="A75">
        <v>74</v>
      </c>
      <c r="B75" t="s">
        <v>160</v>
      </c>
      <c r="C75" s="1">
        <v>37.490513712899997</v>
      </c>
      <c r="D75" s="1">
        <v>-7.2545149376399998</v>
      </c>
      <c r="E75" s="3">
        <v>1</v>
      </c>
      <c r="F75" s="2">
        <v>2</v>
      </c>
      <c r="G75" s="4">
        <v>1</v>
      </c>
      <c r="H75" s="13"/>
      <c r="I75" s="15"/>
      <c r="J75" s="19">
        <v>1</v>
      </c>
      <c r="K75" s="2" t="s">
        <v>161</v>
      </c>
      <c r="L75" s="11" t="str">
        <f t="shared" si="1"/>
        <v>Ver Imagen</v>
      </c>
      <c r="M75" t="s">
        <v>15</v>
      </c>
    </row>
    <row r="76" spans="1:13" x14ac:dyDescent="0.25">
      <c r="A76">
        <v>75</v>
      </c>
      <c r="B76" t="s">
        <v>162</v>
      </c>
      <c r="C76" s="1">
        <v>37.4904484455</v>
      </c>
      <c r="D76" s="1">
        <v>-7.2552793281100003</v>
      </c>
      <c r="E76" s="3">
        <v>1</v>
      </c>
      <c r="F76" s="2">
        <v>2</v>
      </c>
      <c r="G76" s="4">
        <v>1</v>
      </c>
      <c r="H76" s="13"/>
      <c r="I76" s="15"/>
      <c r="J76" s="19">
        <v>1</v>
      </c>
      <c r="K76" s="2" t="s">
        <v>163</v>
      </c>
      <c r="L76" s="11" t="str">
        <f t="shared" si="1"/>
        <v>Ver Imagen</v>
      </c>
      <c r="M76" t="s">
        <v>15</v>
      </c>
    </row>
    <row r="77" spans="1:13" x14ac:dyDescent="0.25">
      <c r="A77">
        <v>76</v>
      </c>
      <c r="B77" t="s">
        <v>164</v>
      </c>
      <c r="C77" s="1">
        <v>37.490363689399999</v>
      </c>
      <c r="D77" s="1">
        <v>-7.2562420467799997</v>
      </c>
      <c r="E77" s="3">
        <v>1</v>
      </c>
      <c r="F77" s="2">
        <v>2</v>
      </c>
      <c r="G77" s="4">
        <v>1</v>
      </c>
      <c r="H77" s="13"/>
      <c r="I77" s="15"/>
      <c r="J77" s="19">
        <v>1</v>
      </c>
      <c r="K77" s="2" t="s">
        <v>165</v>
      </c>
      <c r="L77" s="11" t="str">
        <f t="shared" si="1"/>
        <v>Ver Imagen</v>
      </c>
      <c r="M77" t="s">
        <v>15</v>
      </c>
    </row>
    <row r="78" spans="1:13" x14ac:dyDescent="0.25">
      <c r="A78">
        <v>77</v>
      </c>
      <c r="B78" t="s">
        <v>166</v>
      </c>
      <c r="C78" s="1">
        <v>37.490340661099999</v>
      </c>
      <c r="D78" s="1">
        <v>-7.2564977972799998</v>
      </c>
      <c r="E78" s="3">
        <v>1</v>
      </c>
      <c r="F78" s="2">
        <v>2</v>
      </c>
      <c r="G78" s="4">
        <v>1</v>
      </c>
      <c r="H78" s="13"/>
      <c r="I78" s="15"/>
      <c r="J78" s="19">
        <v>1</v>
      </c>
      <c r="K78" s="2" t="s">
        <v>167</v>
      </c>
      <c r="L78" s="11" t="str">
        <f t="shared" si="1"/>
        <v>Ver Imagen</v>
      </c>
      <c r="M78" t="s">
        <v>15</v>
      </c>
    </row>
    <row r="79" spans="1:13" x14ac:dyDescent="0.25">
      <c r="A79">
        <v>78</v>
      </c>
      <c r="B79" t="s">
        <v>168</v>
      </c>
      <c r="C79" s="1">
        <v>37.490312496599998</v>
      </c>
      <c r="D79" s="1">
        <v>-7.2567738402600002</v>
      </c>
      <c r="E79" s="3">
        <v>1</v>
      </c>
      <c r="F79" s="2">
        <v>2</v>
      </c>
      <c r="G79" s="4">
        <v>1</v>
      </c>
      <c r="H79" s="13"/>
      <c r="I79" s="15"/>
      <c r="J79" s="19">
        <v>1</v>
      </c>
      <c r="K79" s="2" t="s">
        <v>169</v>
      </c>
      <c r="L79" s="11" t="str">
        <f t="shared" si="1"/>
        <v>Ver Imagen</v>
      </c>
      <c r="M79" t="s">
        <v>15</v>
      </c>
    </row>
    <row r="80" spans="1:13" x14ac:dyDescent="0.25">
      <c r="A80">
        <v>79</v>
      </c>
      <c r="B80" t="s">
        <v>170</v>
      </c>
      <c r="C80" s="1">
        <v>37.4902549898</v>
      </c>
      <c r="D80" s="1">
        <v>-7.2572418595099997</v>
      </c>
      <c r="E80" s="3">
        <v>1</v>
      </c>
      <c r="F80" s="2">
        <v>2</v>
      </c>
      <c r="G80" s="4">
        <v>1</v>
      </c>
      <c r="H80" s="13"/>
      <c r="I80" s="15"/>
      <c r="J80" s="19">
        <v>1</v>
      </c>
      <c r="K80" s="2" t="s">
        <v>171</v>
      </c>
      <c r="L80" s="11" t="str">
        <f t="shared" si="1"/>
        <v>Ver Imagen</v>
      </c>
      <c r="M80" t="s">
        <v>15</v>
      </c>
    </row>
    <row r="81" spans="1:13" x14ac:dyDescent="0.25">
      <c r="A81">
        <v>80</v>
      </c>
      <c r="B81" t="s">
        <v>172</v>
      </c>
      <c r="C81" s="1">
        <v>37.490220811</v>
      </c>
      <c r="D81" s="1">
        <v>-7.2574897178400004</v>
      </c>
      <c r="E81" s="3">
        <v>1</v>
      </c>
      <c r="F81" s="2">
        <v>2</v>
      </c>
      <c r="G81" s="4">
        <v>1</v>
      </c>
      <c r="H81" s="13"/>
      <c r="I81" s="15"/>
      <c r="J81" s="19">
        <v>1</v>
      </c>
      <c r="K81" s="2" t="s">
        <v>173</v>
      </c>
      <c r="L81" s="11" t="str">
        <f t="shared" si="1"/>
        <v>Ver Imagen</v>
      </c>
      <c r="M81" t="s">
        <v>15</v>
      </c>
    </row>
    <row r="82" spans="1:13" x14ac:dyDescent="0.25">
      <c r="A82">
        <v>81</v>
      </c>
      <c r="B82" t="s">
        <v>174</v>
      </c>
      <c r="C82" s="1">
        <v>37.4901525975</v>
      </c>
      <c r="D82" s="1">
        <v>-7.2579835316999999</v>
      </c>
      <c r="E82" s="3">
        <v>1</v>
      </c>
      <c r="F82" s="2">
        <v>2</v>
      </c>
      <c r="G82" s="4">
        <v>1</v>
      </c>
      <c r="H82" s="13"/>
      <c r="I82" s="15"/>
      <c r="J82" s="19">
        <v>1</v>
      </c>
      <c r="K82" s="2" t="s">
        <v>175</v>
      </c>
      <c r="L82" s="11" t="str">
        <f t="shared" si="1"/>
        <v>Ver Imagen</v>
      </c>
      <c r="M82" t="s">
        <v>15</v>
      </c>
    </row>
    <row r="83" spans="1:13" x14ac:dyDescent="0.25">
      <c r="A83">
        <v>82</v>
      </c>
      <c r="B83" t="s">
        <v>176</v>
      </c>
      <c r="C83" s="1">
        <v>37.493137105999999</v>
      </c>
      <c r="D83" s="1">
        <v>-7.2634838042299998</v>
      </c>
      <c r="E83" s="3">
        <v>1</v>
      </c>
      <c r="F83" s="2">
        <v>2</v>
      </c>
      <c r="G83" s="4">
        <v>1</v>
      </c>
      <c r="H83" s="13"/>
      <c r="I83" s="15"/>
      <c r="J83" s="19">
        <v>1</v>
      </c>
      <c r="K83" s="2" t="s">
        <v>177</v>
      </c>
      <c r="L83" s="11" t="str">
        <f t="shared" si="1"/>
        <v>Ver Imagen</v>
      </c>
      <c r="M83" t="s">
        <v>15</v>
      </c>
    </row>
    <row r="84" spans="1:13" x14ac:dyDescent="0.25">
      <c r="A84">
        <v>83</v>
      </c>
      <c r="B84" t="s">
        <v>178</v>
      </c>
      <c r="C84" s="1">
        <v>37.464974236899998</v>
      </c>
      <c r="D84" s="1">
        <v>-7.1210508192099997</v>
      </c>
      <c r="E84" s="3">
        <v>1</v>
      </c>
      <c r="F84" s="2">
        <v>1</v>
      </c>
      <c r="G84" s="4">
        <v>2</v>
      </c>
      <c r="H84" s="13"/>
      <c r="I84" s="15"/>
      <c r="J84" s="19">
        <v>1</v>
      </c>
      <c r="K84" s="2" t="s">
        <v>179</v>
      </c>
      <c r="L84" s="11" t="str">
        <f t="shared" si="1"/>
        <v>Ver Imagen</v>
      </c>
      <c r="M84" t="s">
        <v>15</v>
      </c>
    </row>
    <row r="85" spans="1:13" x14ac:dyDescent="0.25">
      <c r="A85">
        <v>84</v>
      </c>
      <c r="B85" t="s">
        <v>180</v>
      </c>
      <c r="C85" s="1">
        <v>37.464431157200003</v>
      </c>
      <c r="D85" s="1">
        <v>-7.1193903455800003</v>
      </c>
      <c r="E85" s="3">
        <v>1</v>
      </c>
      <c r="F85" s="2">
        <v>1</v>
      </c>
      <c r="G85" s="4">
        <v>2</v>
      </c>
      <c r="H85" s="13"/>
      <c r="I85" s="15"/>
      <c r="J85" s="19">
        <v>1</v>
      </c>
      <c r="K85" s="2" t="s">
        <v>181</v>
      </c>
      <c r="L85" s="11" t="str">
        <f t="shared" si="1"/>
        <v>Ver Imagen</v>
      </c>
      <c r="M85" t="s">
        <v>15</v>
      </c>
    </row>
    <row r="86" spans="1:13" x14ac:dyDescent="0.25">
      <c r="A86">
        <v>85</v>
      </c>
      <c r="B86" t="s">
        <v>182</v>
      </c>
      <c r="C86" s="1">
        <v>37.464353826</v>
      </c>
      <c r="D86" s="1">
        <v>-7.1191946485799997</v>
      </c>
      <c r="E86" s="3">
        <v>1</v>
      </c>
      <c r="F86" s="2">
        <v>1</v>
      </c>
      <c r="G86" s="4">
        <v>2</v>
      </c>
      <c r="H86" s="13"/>
      <c r="I86" s="15"/>
      <c r="J86" s="19">
        <v>1</v>
      </c>
      <c r="K86" s="2" t="s">
        <v>183</v>
      </c>
      <c r="L86" s="11" t="str">
        <f t="shared" si="1"/>
        <v>Ver Imagen</v>
      </c>
      <c r="M86" t="s">
        <v>15</v>
      </c>
    </row>
    <row r="87" spans="1:13" x14ac:dyDescent="0.25">
      <c r="A87">
        <v>86</v>
      </c>
      <c r="B87" t="s">
        <v>184</v>
      </c>
      <c r="C87" s="1">
        <v>37.463497445599998</v>
      </c>
      <c r="D87" s="1">
        <v>-7.1181446172699996</v>
      </c>
      <c r="E87" s="3">
        <v>1</v>
      </c>
      <c r="F87" s="2">
        <v>1</v>
      </c>
      <c r="G87" s="4">
        <v>2</v>
      </c>
      <c r="H87" s="13"/>
      <c r="I87" s="15"/>
      <c r="J87" s="19">
        <v>1</v>
      </c>
      <c r="K87" s="2" t="s">
        <v>185</v>
      </c>
      <c r="L87" s="11" t="str">
        <f t="shared" si="1"/>
        <v>Ver Imagen</v>
      </c>
      <c r="M87" t="s">
        <v>15</v>
      </c>
    </row>
    <row r="88" spans="1:13" x14ac:dyDescent="0.25">
      <c r="A88">
        <v>87</v>
      </c>
      <c r="B88" t="s">
        <v>186</v>
      </c>
      <c r="C88" s="1">
        <v>37.463318292799997</v>
      </c>
      <c r="D88" s="1">
        <v>-7.1179926808999996</v>
      </c>
      <c r="E88" s="3">
        <v>1</v>
      </c>
      <c r="F88" s="2">
        <v>1</v>
      </c>
      <c r="G88" s="4">
        <v>2</v>
      </c>
      <c r="H88" s="13"/>
      <c r="I88" s="15"/>
      <c r="J88" s="19">
        <v>1</v>
      </c>
      <c r="K88" s="2" t="s">
        <v>187</v>
      </c>
      <c r="L88" s="11" t="str">
        <f t="shared" si="1"/>
        <v>Ver Imagen</v>
      </c>
      <c r="M88" t="s">
        <v>15</v>
      </c>
    </row>
    <row r="89" spans="1:13" x14ac:dyDescent="0.25">
      <c r="A89">
        <v>88</v>
      </c>
      <c r="B89" t="s">
        <v>188</v>
      </c>
      <c r="C89" s="1">
        <v>37.463154811800003</v>
      </c>
      <c r="D89" s="1">
        <v>-7.1178717141799996</v>
      </c>
      <c r="E89" s="3">
        <v>1</v>
      </c>
      <c r="F89" s="2">
        <v>1</v>
      </c>
      <c r="G89" s="4">
        <v>2</v>
      </c>
      <c r="H89" s="13"/>
      <c r="I89" s="15"/>
      <c r="J89" s="19">
        <v>1</v>
      </c>
      <c r="K89" s="2" t="s">
        <v>189</v>
      </c>
      <c r="L89" s="11" t="str">
        <f t="shared" si="1"/>
        <v>Ver Imagen</v>
      </c>
      <c r="M89" t="s">
        <v>15</v>
      </c>
    </row>
    <row r="90" spans="1:13" x14ac:dyDescent="0.25">
      <c r="A90">
        <v>89</v>
      </c>
      <c r="B90" t="s">
        <v>190</v>
      </c>
      <c r="C90" s="1">
        <v>37.462790816000002</v>
      </c>
      <c r="D90" s="1">
        <v>-7.1176336435399996</v>
      </c>
      <c r="E90" s="3">
        <v>1</v>
      </c>
      <c r="F90" s="2">
        <v>1</v>
      </c>
      <c r="G90" s="4">
        <v>2</v>
      </c>
      <c r="H90" s="13"/>
      <c r="I90" s="15"/>
      <c r="J90" s="19">
        <v>1</v>
      </c>
      <c r="K90" s="2" t="s">
        <v>191</v>
      </c>
      <c r="L90" s="11" t="str">
        <f t="shared" si="1"/>
        <v>Ver Imagen</v>
      </c>
      <c r="M90" t="s">
        <v>15</v>
      </c>
    </row>
    <row r="91" spans="1:13" x14ac:dyDescent="0.25">
      <c r="A91">
        <v>90</v>
      </c>
      <c r="B91" t="s">
        <v>192</v>
      </c>
      <c r="C91" s="1">
        <v>37.462410349999999</v>
      </c>
      <c r="D91" s="1">
        <v>-7.11738555144</v>
      </c>
      <c r="E91" s="3">
        <v>1</v>
      </c>
      <c r="F91" s="2">
        <v>1</v>
      </c>
      <c r="G91" s="4">
        <v>2</v>
      </c>
      <c r="H91" s="13"/>
      <c r="I91" s="15"/>
      <c r="J91" s="19">
        <v>1</v>
      </c>
      <c r="K91" s="2" t="s">
        <v>193</v>
      </c>
      <c r="L91" s="11" t="str">
        <f t="shared" si="1"/>
        <v>Ver Imagen</v>
      </c>
      <c r="M91" t="s">
        <v>15</v>
      </c>
    </row>
    <row r="92" spans="1:13" x14ac:dyDescent="0.25">
      <c r="A92">
        <v>91</v>
      </c>
      <c r="B92" t="s">
        <v>194</v>
      </c>
      <c r="C92" s="1">
        <v>37.4622247597</v>
      </c>
      <c r="D92" s="1">
        <v>-7.1172453419800004</v>
      </c>
      <c r="E92" s="3">
        <v>1</v>
      </c>
      <c r="F92" s="2">
        <v>1</v>
      </c>
      <c r="G92" s="4">
        <v>2</v>
      </c>
      <c r="H92" s="13"/>
      <c r="I92" s="15"/>
      <c r="J92" s="19">
        <v>1</v>
      </c>
      <c r="K92" s="2" t="s">
        <v>195</v>
      </c>
      <c r="L92" s="11" t="str">
        <f t="shared" si="1"/>
        <v>Ver Imagen</v>
      </c>
      <c r="M92" t="s">
        <v>15</v>
      </c>
    </row>
    <row r="93" spans="1:13" x14ac:dyDescent="0.25">
      <c r="A93">
        <v>92</v>
      </c>
      <c r="B93" t="s">
        <v>196</v>
      </c>
      <c r="C93" s="1">
        <v>37.462096770199999</v>
      </c>
      <c r="D93" s="1">
        <v>-7.1171371355700002</v>
      </c>
      <c r="E93" s="3">
        <v>1</v>
      </c>
      <c r="F93" s="2">
        <v>1</v>
      </c>
      <c r="G93" s="4">
        <v>2</v>
      </c>
      <c r="H93" s="13"/>
      <c r="I93" s="15"/>
      <c r="J93" s="19">
        <v>1</v>
      </c>
      <c r="K93" s="2" t="s">
        <v>197</v>
      </c>
      <c r="L93" s="11" t="str">
        <f t="shared" si="1"/>
        <v>Ver Imagen</v>
      </c>
      <c r="M93" t="s">
        <v>15</v>
      </c>
    </row>
    <row r="94" spans="1:13" x14ac:dyDescent="0.25">
      <c r="A94">
        <v>93</v>
      </c>
      <c r="B94" t="s">
        <v>198</v>
      </c>
      <c r="C94" s="1">
        <v>37.4619249239</v>
      </c>
      <c r="D94" s="1">
        <v>-7.1169766619899999</v>
      </c>
      <c r="E94" s="3">
        <v>1</v>
      </c>
      <c r="F94" s="2">
        <v>1</v>
      </c>
      <c r="G94" s="4">
        <v>2</v>
      </c>
      <c r="H94" s="13"/>
      <c r="I94" s="15"/>
      <c r="J94" s="19">
        <v>1</v>
      </c>
      <c r="K94" s="2" t="s">
        <v>199</v>
      </c>
      <c r="L94" s="11" t="str">
        <f t="shared" si="1"/>
        <v>Ver Imagen</v>
      </c>
      <c r="M94" t="s">
        <v>15</v>
      </c>
    </row>
    <row r="95" spans="1:13" x14ac:dyDescent="0.25">
      <c r="A95">
        <v>94</v>
      </c>
      <c r="B95" t="s">
        <v>200</v>
      </c>
      <c r="C95" s="1">
        <v>37.461741192600002</v>
      </c>
      <c r="D95" s="1">
        <v>-7.11677741959</v>
      </c>
      <c r="E95" s="3">
        <v>1</v>
      </c>
      <c r="F95" s="2">
        <v>1</v>
      </c>
      <c r="G95" s="4">
        <v>2</v>
      </c>
      <c r="H95" s="13"/>
      <c r="I95" s="15"/>
      <c r="J95" s="19">
        <v>1</v>
      </c>
      <c r="K95" s="2" t="s">
        <v>201</v>
      </c>
      <c r="L95" s="11" t="str">
        <f t="shared" si="1"/>
        <v>Ver Imagen</v>
      </c>
      <c r="M95" t="s">
        <v>15</v>
      </c>
    </row>
    <row r="96" spans="1:13" x14ac:dyDescent="0.25">
      <c r="A96">
        <v>95</v>
      </c>
      <c r="B96" t="s">
        <v>202</v>
      </c>
      <c r="C96" s="1">
        <v>37.461614676099998</v>
      </c>
      <c r="D96" s="1">
        <v>-7.1166238505599999</v>
      </c>
      <c r="E96" s="3">
        <v>1</v>
      </c>
      <c r="F96" s="2">
        <v>1</v>
      </c>
      <c r="G96" s="4">
        <v>2</v>
      </c>
      <c r="H96" s="13"/>
      <c r="I96" s="15"/>
      <c r="J96" s="19">
        <v>1</v>
      </c>
      <c r="K96" s="2" t="s">
        <v>203</v>
      </c>
      <c r="L96" s="11" t="str">
        <f t="shared" si="1"/>
        <v>Ver Imagen</v>
      </c>
      <c r="M96" t="s">
        <v>15</v>
      </c>
    </row>
    <row r="97" spans="1:13" x14ac:dyDescent="0.25">
      <c r="A97">
        <v>96</v>
      </c>
      <c r="B97" t="s">
        <v>204</v>
      </c>
      <c r="C97" s="1">
        <v>37.461337182900003</v>
      </c>
      <c r="D97" s="1">
        <v>-7.1162764876000004</v>
      </c>
      <c r="E97" s="3">
        <v>1</v>
      </c>
      <c r="F97" s="2">
        <v>1</v>
      </c>
      <c r="G97" s="4">
        <v>2</v>
      </c>
      <c r="H97" s="13"/>
      <c r="I97" s="15"/>
      <c r="J97" s="19">
        <v>1</v>
      </c>
      <c r="K97" s="2" t="s">
        <v>205</v>
      </c>
      <c r="L97" s="11" t="str">
        <f t="shared" si="1"/>
        <v>Ver Imagen</v>
      </c>
      <c r="M97" t="s">
        <v>15</v>
      </c>
    </row>
    <row r="98" spans="1:13" x14ac:dyDescent="0.25">
      <c r="A98">
        <v>97</v>
      </c>
      <c r="B98" t="s">
        <v>206</v>
      </c>
      <c r="C98" s="1">
        <v>37.461192681900002</v>
      </c>
      <c r="D98" s="1">
        <v>-7.1161015666100003</v>
      </c>
      <c r="E98" s="3">
        <v>1</v>
      </c>
      <c r="F98" s="2">
        <v>1</v>
      </c>
      <c r="G98" s="4">
        <v>2</v>
      </c>
      <c r="H98" s="13"/>
      <c r="I98" s="15"/>
      <c r="J98" s="19">
        <v>1</v>
      </c>
      <c r="K98" s="2" t="s">
        <v>207</v>
      </c>
      <c r="L98" s="11" t="str">
        <f t="shared" si="1"/>
        <v>Ver Imagen</v>
      </c>
      <c r="M98" t="s">
        <v>15</v>
      </c>
    </row>
    <row r="99" spans="1:13" x14ac:dyDescent="0.25">
      <c r="A99">
        <v>98</v>
      </c>
      <c r="B99" t="s">
        <v>208</v>
      </c>
      <c r="C99" s="1">
        <v>37.460018402499998</v>
      </c>
      <c r="D99" s="1">
        <v>-7.1151288587100003</v>
      </c>
      <c r="E99" s="3">
        <v>1</v>
      </c>
      <c r="F99" s="2">
        <v>1</v>
      </c>
      <c r="G99" s="4">
        <v>2</v>
      </c>
      <c r="H99" s="13"/>
      <c r="I99" s="15"/>
      <c r="J99" s="19">
        <v>1</v>
      </c>
      <c r="K99" s="2" t="s">
        <v>209</v>
      </c>
      <c r="L99" s="11" t="str">
        <f t="shared" si="1"/>
        <v>Ver Imagen</v>
      </c>
      <c r="M99" t="s">
        <v>15</v>
      </c>
    </row>
    <row r="100" spans="1:13" x14ac:dyDescent="0.25">
      <c r="A100">
        <v>99</v>
      </c>
      <c r="B100" t="s">
        <v>210</v>
      </c>
      <c r="C100" s="1">
        <v>37.217836762799998</v>
      </c>
      <c r="D100" s="1">
        <v>-7.1165117258899997</v>
      </c>
      <c r="E100" s="3">
        <v>1</v>
      </c>
      <c r="F100" s="2">
        <v>1</v>
      </c>
      <c r="G100" s="4">
        <v>2</v>
      </c>
      <c r="H100" s="13"/>
      <c r="I100" s="15"/>
      <c r="J100" s="19">
        <v>1</v>
      </c>
      <c r="K100" s="2" t="s">
        <v>211</v>
      </c>
      <c r="L100" s="11" t="str">
        <f t="shared" si="1"/>
        <v>Ver Imagen</v>
      </c>
      <c r="M100" t="s">
        <v>15</v>
      </c>
    </row>
    <row r="101" spans="1:13" x14ac:dyDescent="0.25">
      <c r="A101">
        <v>100</v>
      </c>
      <c r="B101" t="s">
        <v>212</v>
      </c>
      <c r="C101" s="1">
        <v>37.217800616700004</v>
      </c>
      <c r="D101" s="1">
        <v>-7.1162511940200002</v>
      </c>
      <c r="E101" s="3">
        <v>1</v>
      </c>
      <c r="F101" s="2">
        <v>1</v>
      </c>
      <c r="G101" s="4">
        <v>2</v>
      </c>
      <c r="H101" s="13"/>
      <c r="I101" s="15"/>
      <c r="J101" s="19">
        <v>1</v>
      </c>
      <c r="K101" s="2" t="s">
        <v>213</v>
      </c>
      <c r="L101" s="11" t="str">
        <f t="shared" si="1"/>
        <v>Ver Imagen</v>
      </c>
      <c r="M101" t="s">
        <v>15</v>
      </c>
    </row>
    <row r="102" spans="1:13" x14ac:dyDescent="0.25">
      <c r="A102">
        <v>101</v>
      </c>
      <c r="B102" t="s">
        <v>214</v>
      </c>
      <c r="C102" s="1">
        <v>37.217768080299997</v>
      </c>
      <c r="D102" s="1">
        <v>-7.1160083822600004</v>
      </c>
      <c r="E102" s="3">
        <v>1</v>
      </c>
      <c r="F102" s="2">
        <v>1</v>
      </c>
      <c r="G102" s="4">
        <v>2</v>
      </c>
      <c r="H102" s="13"/>
      <c r="I102" s="15"/>
      <c r="J102" s="19">
        <v>1</v>
      </c>
      <c r="K102" s="2" t="s">
        <v>215</v>
      </c>
      <c r="L102" s="11" t="str">
        <f t="shared" si="1"/>
        <v>Ver Imagen</v>
      </c>
      <c r="M102" t="s">
        <v>15</v>
      </c>
    </row>
    <row r="103" spans="1:13" x14ac:dyDescent="0.25">
      <c r="A103">
        <v>102</v>
      </c>
      <c r="B103" t="s">
        <v>216</v>
      </c>
      <c r="C103" s="1">
        <v>37.217732590600001</v>
      </c>
      <c r="D103" s="1">
        <v>-7.1157445932999996</v>
      </c>
      <c r="E103" s="3">
        <v>1</v>
      </c>
      <c r="F103" s="2">
        <v>1</v>
      </c>
      <c r="G103" s="4">
        <v>2</v>
      </c>
      <c r="H103" s="13"/>
      <c r="I103" s="15"/>
      <c r="J103" s="19">
        <v>1</v>
      </c>
      <c r="K103" s="2" t="s">
        <v>217</v>
      </c>
      <c r="L103" s="11" t="str">
        <f t="shared" si="1"/>
        <v>Ver Imagen</v>
      </c>
      <c r="M103" t="s">
        <v>15</v>
      </c>
    </row>
    <row r="104" spans="1:13" x14ac:dyDescent="0.25">
      <c r="A104">
        <v>103</v>
      </c>
      <c r="B104" t="s">
        <v>218</v>
      </c>
      <c r="C104" s="1">
        <v>37.217592942700001</v>
      </c>
      <c r="D104" s="1">
        <v>-7.11470679473</v>
      </c>
      <c r="E104" s="3">
        <v>1</v>
      </c>
      <c r="F104" s="2">
        <v>1</v>
      </c>
      <c r="G104" s="4">
        <v>2</v>
      </c>
      <c r="H104" s="13"/>
      <c r="I104" s="15"/>
      <c r="J104" s="19">
        <v>1</v>
      </c>
      <c r="K104" s="2" t="s">
        <v>219</v>
      </c>
      <c r="L104" s="11" t="str">
        <f t="shared" si="1"/>
        <v>Ver Imagen</v>
      </c>
      <c r="M104" t="s">
        <v>15</v>
      </c>
    </row>
    <row r="105" spans="1:13" x14ac:dyDescent="0.25">
      <c r="A105">
        <v>104</v>
      </c>
      <c r="B105" t="s">
        <v>220</v>
      </c>
      <c r="C105" s="1">
        <v>37.2176408009</v>
      </c>
      <c r="D105" s="1">
        <v>-7.1104482628600003</v>
      </c>
      <c r="E105" s="3">
        <v>1</v>
      </c>
      <c r="F105" s="2">
        <v>1</v>
      </c>
      <c r="G105" s="4">
        <v>2</v>
      </c>
      <c r="H105" s="13"/>
      <c r="I105" s="15"/>
      <c r="J105" s="19">
        <v>1</v>
      </c>
      <c r="K105" s="2" t="s">
        <v>221</v>
      </c>
      <c r="L105" s="11" t="str">
        <f t="shared" si="1"/>
        <v>Ver Imagen</v>
      </c>
      <c r="M105" t="s">
        <v>15</v>
      </c>
    </row>
    <row r="106" spans="1:13" x14ac:dyDescent="0.25">
      <c r="A106">
        <v>105</v>
      </c>
      <c r="B106" t="s">
        <v>222</v>
      </c>
      <c r="C106" s="1">
        <v>37.217650068600001</v>
      </c>
      <c r="D106" s="1">
        <v>-7.1101947003000001</v>
      </c>
      <c r="E106" s="3">
        <v>1</v>
      </c>
      <c r="F106" s="2">
        <v>1</v>
      </c>
      <c r="G106" s="4">
        <v>2</v>
      </c>
      <c r="H106" s="13"/>
      <c r="I106" s="15"/>
      <c r="J106" s="19">
        <v>1</v>
      </c>
      <c r="K106" s="2" t="s">
        <v>223</v>
      </c>
      <c r="L106" s="11" t="str">
        <f t="shared" si="1"/>
        <v>Ver Imagen</v>
      </c>
      <c r="M106" t="s">
        <v>15</v>
      </c>
    </row>
    <row r="107" spans="1:13" x14ac:dyDescent="0.25">
      <c r="A107">
        <v>106</v>
      </c>
      <c r="B107" t="s">
        <v>224</v>
      </c>
      <c r="C107" s="1">
        <v>37.217449255600002</v>
      </c>
      <c r="D107" s="1">
        <v>-7.1079332283600003</v>
      </c>
      <c r="E107" s="3">
        <v>1</v>
      </c>
      <c r="F107" s="2">
        <v>1</v>
      </c>
      <c r="G107" s="4">
        <v>2</v>
      </c>
      <c r="H107" s="13"/>
      <c r="I107" s="15"/>
      <c r="J107" s="19">
        <v>1</v>
      </c>
      <c r="K107" s="2" t="s">
        <v>225</v>
      </c>
      <c r="L107" s="11" t="str">
        <f t="shared" si="1"/>
        <v>Ver Imagen</v>
      </c>
      <c r="M107" t="s">
        <v>15</v>
      </c>
    </row>
    <row r="108" spans="1:13" x14ac:dyDescent="0.25">
      <c r="A108">
        <v>107</v>
      </c>
      <c r="B108" t="s">
        <v>226</v>
      </c>
      <c r="C108" s="1">
        <v>37.217262937599997</v>
      </c>
      <c r="D108" s="1">
        <v>-7.1066792680699997</v>
      </c>
      <c r="E108" s="3">
        <v>1</v>
      </c>
      <c r="F108" s="2">
        <v>1</v>
      </c>
      <c r="G108" s="4">
        <v>2</v>
      </c>
      <c r="H108" s="13"/>
      <c r="I108" s="15"/>
      <c r="J108" s="19">
        <v>1</v>
      </c>
      <c r="K108" s="2" t="s">
        <v>227</v>
      </c>
      <c r="L108" s="11" t="str">
        <f t="shared" si="1"/>
        <v>Ver Imagen</v>
      </c>
      <c r="M108" t="s">
        <v>15</v>
      </c>
    </row>
    <row r="109" spans="1:13" x14ac:dyDescent="0.25">
      <c r="A109">
        <v>108</v>
      </c>
      <c r="B109" t="s">
        <v>228</v>
      </c>
      <c r="C109" s="1">
        <v>37.217196227000002</v>
      </c>
      <c r="D109" s="1">
        <v>-7.1062007170700001</v>
      </c>
      <c r="E109" s="3">
        <v>1</v>
      </c>
      <c r="F109" s="2">
        <v>1</v>
      </c>
      <c r="G109" s="4">
        <v>2</v>
      </c>
      <c r="H109" s="13"/>
      <c r="I109" s="15"/>
      <c r="J109" s="19">
        <v>1</v>
      </c>
      <c r="K109" s="2" t="s">
        <v>229</v>
      </c>
      <c r="L109" s="11" t="str">
        <f t="shared" si="1"/>
        <v>Ver Imagen</v>
      </c>
      <c r="M109" t="s">
        <v>15</v>
      </c>
    </row>
    <row r="110" spans="1:13" x14ac:dyDescent="0.25">
      <c r="A110">
        <v>109</v>
      </c>
      <c r="B110" t="s">
        <v>230</v>
      </c>
      <c r="C110" s="1">
        <v>37.217161013199998</v>
      </c>
      <c r="D110" s="1">
        <v>-7.1059420426299997</v>
      </c>
      <c r="E110" s="3">
        <v>1</v>
      </c>
      <c r="F110" s="2">
        <v>1</v>
      </c>
      <c r="G110" s="4">
        <v>2</v>
      </c>
      <c r="H110" s="13"/>
      <c r="I110" s="15"/>
      <c r="J110" s="19">
        <v>1</v>
      </c>
      <c r="K110" s="2" t="s">
        <v>231</v>
      </c>
      <c r="L110" s="11" t="str">
        <f t="shared" si="1"/>
        <v>Ver Imagen</v>
      </c>
      <c r="M110" t="s">
        <v>15</v>
      </c>
    </row>
    <row r="111" spans="1:13" x14ac:dyDescent="0.25">
      <c r="A111">
        <v>110</v>
      </c>
      <c r="B111" t="s">
        <v>232</v>
      </c>
      <c r="C111" s="1">
        <v>37.216944109499998</v>
      </c>
      <c r="D111" s="1">
        <v>-7.1036803806400002</v>
      </c>
      <c r="E111" s="3">
        <v>1</v>
      </c>
      <c r="F111" s="2">
        <v>1</v>
      </c>
      <c r="G111" s="4">
        <v>2</v>
      </c>
      <c r="H111" s="13"/>
      <c r="I111" s="15"/>
      <c r="J111" s="19">
        <v>1</v>
      </c>
      <c r="K111" s="2" t="s">
        <v>233</v>
      </c>
      <c r="L111" s="11" t="str">
        <f t="shared" si="1"/>
        <v>Ver Imagen</v>
      </c>
      <c r="M111" t="s">
        <v>15</v>
      </c>
    </row>
    <row r="112" spans="1:13" x14ac:dyDescent="0.25">
      <c r="A112">
        <v>111</v>
      </c>
      <c r="B112" t="s">
        <v>234</v>
      </c>
      <c r="C112" s="1">
        <v>37.2169227654</v>
      </c>
      <c r="D112" s="1">
        <v>-7.1034431284300004</v>
      </c>
      <c r="E112" s="3">
        <v>1</v>
      </c>
      <c r="F112" s="2">
        <v>1</v>
      </c>
      <c r="G112" s="4">
        <v>2</v>
      </c>
      <c r="H112" s="13"/>
      <c r="I112" s="15"/>
      <c r="J112" s="19">
        <v>1</v>
      </c>
      <c r="K112" s="2" t="s">
        <v>235</v>
      </c>
      <c r="L112" s="11" t="str">
        <f t="shared" si="1"/>
        <v>Ver Imagen</v>
      </c>
      <c r="M112" t="s">
        <v>15</v>
      </c>
    </row>
    <row r="113" spans="1:13" x14ac:dyDescent="0.25">
      <c r="A113">
        <v>112</v>
      </c>
      <c r="B113" t="s">
        <v>236</v>
      </c>
      <c r="C113" s="1">
        <v>37.216902488599999</v>
      </c>
      <c r="D113" s="1">
        <v>-7.1032062828400004</v>
      </c>
      <c r="E113" s="3">
        <v>1</v>
      </c>
      <c r="F113" s="2">
        <v>1</v>
      </c>
      <c r="G113" s="4">
        <v>2</v>
      </c>
      <c r="H113" s="13"/>
      <c r="I113" s="15"/>
      <c r="J113" s="19">
        <v>1</v>
      </c>
      <c r="K113" s="2" t="s">
        <v>237</v>
      </c>
      <c r="L113" s="11" t="str">
        <f t="shared" si="1"/>
        <v>Ver Imagen</v>
      </c>
      <c r="M113" t="s">
        <v>15</v>
      </c>
    </row>
    <row r="114" spans="1:13" x14ac:dyDescent="0.25">
      <c r="A114">
        <v>113</v>
      </c>
      <c r="B114" t="s">
        <v>238</v>
      </c>
      <c r="C114" s="1">
        <v>37.216787592800003</v>
      </c>
      <c r="D114" s="1">
        <v>-7.1019256173400001</v>
      </c>
      <c r="E114" s="3">
        <v>1</v>
      </c>
      <c r="F114" s="2">
        <v>1</v>
      </c>
      <c r="G114" s="4">
        <v>2</v>
      </c>
      <c r="H114" s="13"/>
      <c r="I114" s="15"/>
      <c r="J114" s="19">
        <v>1</v>
      </c>
      <c r="K114" s="2" t="s">
        <v>239</v>
      </c>
      <c r="L114" s="11" t="str">
        <f t="shared" ref="L114:L177" si="2">HYPERLINK("1\1\" &amp; K114, "Ver Imagen")</f>
        <v>Ver Imagen</v>
      </c>
      <c r="M114" t="s">
        <v>15</v>
      </c>
    </row>
    <row r="115" spans="1:13" x14ac:dyDescent="0.25">
      <c r="A115">
        <v>114</v>
      </c>
      <c r="B115" t="s">
        <v>240</v>
      </c>
      <c r="C115" s="1">
        <v>37.216825970899997</v>
      </c>
      <c r="D115" s="1">
        <v>-7.1011628906400004</v>
      </c>
      <c r="E115" s="3">
        <v>1</v>
      </c>
      <c r="F115" s="2">
        <v>1</v>
      </c>
      <c r="G115" s="4">
        <v>2</v>
      </c>
      <c r="H115" s="13"/>
      <c r="I115" s="15"/>
      <c r="J115" s="19">
        <v>1</v>
      </c>
      <c r="K115" s="2" t="s">
        <v>241</v>
      </c>
      <c r="L115" s="11" t="str">
        <f t="shared" si="2"/>
        <v>Ver Imagen</v>
      </c>
      <c r="M115" t="s">
        <v>15</v>
      </c>
    </row>
    <row r="116" spans="1:13" x14ac:dyDescent="0.25">
      <c r="A116">
        <v>115</v>
      </c>
      <c r="B116" t="s">
        <v>242</v>
      </c>
      <c r="C116" s="1">
        <v>37.2166573911</v>
      </c>
      <c r="D116" s="1">
        <v>-7.09565970392</v>
      </c>
      <c r="E116" s="3">
        <v>1</v>
      </c>
      <c r="F116" s="2">
        <v>1</v>
      </c>
      <c r="G116" s="4">
        <v>2</v>
      </c>
      <c r="H116" s="13"/>
      <c r="I116" s="15"/>
      <c r="J116" s="19">
        <v>1</v>
      </c>
      <c r="K116" s="2" t="s">
        <v>243</v>
      </c>
      <c r="L116" s="11" t="str">
        <f t="shared" si="2"/>
        <v>Ver Imagen</v>
      </c>
      <c r="M116" t="s">
        <v>15</v>
      </c>
    </row>
    <row r="117" spans="1:13" x14ac:dyDescent="0.25">
      <c r="A117">
        <v>116</v>
      </c>
      <c r="B117" t="s">
        <v>244</v>
      </c>
      <c r="C117" s="1">
        <v>37.216021548800001</v>
      </c>
      <c r="D117" s="1">
        <v>-7.0876144180400003</v>
      </c>
      <c r="E117" s="3">
        <v>1</v>
      </c>
      <c r="F117" s="2">
        <v>1</v>
      </c>
      <c r="G117" s="4">
        <v>2</v>
      </c>
      <c r="H117" s="13"/>
      <c r="I117" s="15"/>
      <c r="J117" s="19">
        <v>1</v>
      </c>
      <c r="K117" s="2" t="s">
        <v>245</v>
      </c>
      <c r="L117" s="11" t="str">
        <f t="shared" si="2"/>
        <v>Ver Imagen</v>
      </c>
      <c r="M117" t="s">
        <v>15</v>
      </c>
    </row>
    <row r="118" spans="1:13" x14ac:dyDescent="0.25">
      <c r="A118">
        <v>117</v>
      </c>
      <c r="B118" t="s">
        <v>246</v>
      </c>
      <c r="C118" s="1">
        <v>37.216227173</v>
      </c>
      <c r="D118" s="1">
        <v>-7.0843834838399999</v>
      </c>
      <c r="E118" s="3">
        <v>1</v>
      </c>
      <c r="F118" s="2">
        <v>1</v>
      </c>
      <c r="G118" s="4">
        <v>2</v>
      </c>
      <c r="H118" s="13"/>
      <c r="I118" s="15"/>
      <c r="J118" s="19">
        <v>1</v>
      </c>
      <c r="K118" s="2" t="s">
        <v>247</v>
      </c>
      <c r="L118" s="11" t="str">
        <f t="shared" si="2"/>
        <v>Ver Imagen</v>
      </c>
      <c r="M118" t="s">
        <v>15</v>
      </c>
    </row>
    <row r="119" spans="1:13" x14ac:dyDescent="0.25">
      <c r="A119">
        <v>118</v>
      </c>
      <c r="B119" t="s">
        <v>248</v>
      </c>
      <c r="C119" s="1">
        <v>37.215662479000002</v>
      </c>
      <c r="D119" s="1">
        <v>-7.0819953365400004</v>
      </c>
      <c r="E119" s="3">
        <v>1</v>
      </c>
      <c r="F119" s="2">
        <v>1</v>
      </c>
      <c r="G119" s="4">
        <v>2</v>
      </c>
      <c r="H119" s="13"/>
      <c r="I119" s="15"/>
      <c r="J119" s="19">
        <v>1</v>
      </c>
      <c r="K119" s="2" t="s">
        <v>249</v>
      </c>
      <c r="L119" s="11" t="str">
        <f t="shared" si="2"/>
        <v>Ver Imagen</v>
      </c>
      <c r="M119" t="s">
        <v>15</v>
      </c>
    </row>
    <row r="120" spans="1:13" x14ac:dyDescent="0.25">
      <c r="A120">
        <v>119</v>
      </c>
      <c r="B120" t="s">
        <v>250</v>
      </c>
      <c r="C120" s="1">
        <v>37.215252385299998</v>
      </c>
      <c r="D120" s="1">
        <v>-7.0805504620899997</v>
      </c>
      <c r="E120" s="3">
        <v>1</v>
      </c>
      <c r="F120" s="2">
        <v>1</v>
      </c>
      <c r="G120" s="4">
        <v>2</v>
      </c>
      <c r="H120" s="13"/>
      <c r="I120" s="15"/>
      <c r="J120" s="19">
        <v>1</v>
      </c>
      <c r="K120" s="2" t="s">
        <v>251</v>
      </c>
      <c r="L120" s="11" t="str">
        <f t="shared" si="2"/>
        <v>Ver Imagen</v>
      </c>
      <c r="M120" t="s">
        <v>15</v>
      </c>
    </row>
    <row r="121" spans="1:13" x14ac:dyDescent="0.25">
      <c r="A121">
        <v>120</v>
      </c>
      <c r="B121" t="s">
        <v>252</v>
      </c>
      <c r="C121" s="1">
        <v>37.2146018969</v>
      </c>
      <c r="D121" s="1">
        <v>-7.0775733329600001</v>
      </c>
      <c r="E121" s="3">
        <v>1</v>
      </c>
      <c r="F121" s="2">
        <v>1</v>
      </c>
      <c r="G121" s="4">
        <v>2</v>
      </c>
      <c r="H121" s="13"/>
      <c r="I121" s="15"/>
      <c r="J121" s="19">
        <v>1</v>
      </c>
      <c r="K121" s="2" t="s">
        <v>253</v>
      </c>
      <c r="L121" s="11" t="str">
        <f t="shared" si="2"/>
        <v>Ver Imagen</v>
      </c>
      <c r="M121" t="s">
        <v>15</v>
      </c>
    </row>
    <row r="122" spans="1:13" x14ac:dyDescent="0.25">
      <c r="A122">
        <v>121</v>
      </c>
      <c r="B122" t="s">
        <v>254</v>
      </c>
      <c r="C122" s="1">
        <v>37.214555141200002</v>
      </c>
      <c r="D122" s="1">
        <v>-7.0773280982499998</v>
      </c>
      <c r="E122" s="3">
        <v>1</v>
      </c>
      <c r="F122" s="2">
        <v>1</v>
      </c>
      <c r="G122" s="4">
        <v>2</v>
      </c>
      <c r="H122" s="13"/>
      <c r="I122" s="15"/>
      <c r="J122" s="19">
        <v>1</v>
      </c>
      <c r="K122" s="2" t="s">
        <v>255</v>
      </c>
      <c r="L122" s="11" t="str">
        <f t="shared" si="2"/>
        <v>Ver Imagen</v>
      </c>
      <c r="M122" t="s">
        <v>15</v>
      </c>
    </row>
    <row r="123" spans="1:13" x14ac:dyDescent="0.25">
      <c r="A123">
        <v>122</v>
      </c>
      <c r="B123" t="s">
        <v>256</v>
      </c>
      <c r="C123" s="1">
        <v>37.214462614699997</v>
      </c>
      <c r="D123" s="1">
        <v>-7.0768366407299998</v>
      </c>
      <c r="E123" s="3">
        <v>1</v>
      </c>
      <c r="F123" s="2">
        <v>1</v>
      </c>
      <c r="G123" s="4">
        <v>2</v>
      </c>
      <c r="H123" s="13"/>
      <c r="I123" s="15"/>
      <c r="J123" s="19">
        <v>1</v>
      </c>
      <c r="K123" s="2" t="s">
        <v>257</v>
      </c>
      <c r="L123" s="11" t="str">
        <f t="shared" si="2"/>
        <v>Ver Imagen</v>
      </c>
      <c r="M123" t="s">
        <v>15</v>
      </c>
    </row>
    <row r="124" spans="1:13" x14ac:dyDescent="0.25">
      <c r="A124">
        <v>123</v>
      </c>
      <c r="B124" t="s">
        <v>258</v>
      </c>
      <c r="C124" s="1">
        <v>37.214409569700003</v>
      </c>
      <c r="D124" s="1">
        <v>-7.0765522281599997</v>
      </c>
      <c r="E124" s="3">
        <v>1</v>
      </c>
      <c r="F124" s="2">
        <v>1</v>
      </c>
      <c r="G124" s="4">
        <v>2</v>
      </c>
      <c r="H124" s="13"/>
      <c r="I124" s="15"/>
      <c r="J124" s="19">
        <v>1</v>
      </c>
      <c r="K124" s="2" t="s">
        <v>259</v>
      </c>
      <c r="L124" s="11" t="str">
        <f t="shared" si="2"/>
        <v>Ver Imagen</v>
      </c>
      <c r="M124" t="s">
        <v>15</v>
      </c>
    </row>
    <row r="125" spans="1:13" x14ac:dyDescent="0.25">
      <c r="A125">
        <v>124</v>
      </c>
      <c r="B125" t="s">
        <v>260</v>
      </c>
      <c r="C125" s="1">
        <v>37.214372957199998</v>
      </c>
      <c r="D125" s="1">
        <v>-7.0763607039699998</v>
      </c>
      <c r="E125" s="3">
        <v>1</v>
      </c>
      <c r="F125" s="2">
        <v>1</v>
      </c>
      <c r="G125" s="4">
        <v>2</v>
      </c>
      <c r="H125" s="13"/>
      <c r="I125" s="15"/>
      <c r="J125" s="19">
        <v>1</v>
      </c>
      <c r="K125" s="2" t="s">
        <v>261</v>
      </c>
      <c r="L125" s="11" t="str">
        <f t="shared" si="2"/>
        <v>Ver Imagen</v>
      </c>
      <c r="M125" t="s">
        <v>15</v>
      </c>
    </row>
    <row r="126" spans="1:13" x14ac:dyDescent="0.25">
      <c r="A126">
        <v>125</v>
      </c>
      <c r="B126" t="s">
        <v>262</v>
      </c>
      <c r="C126" s="1">
        <v>37.2143231282</v>
      </c>
      <c r="D126" s="1">
        <v>-7.0761088343300003</v>
      </c>
      <c r="E126" s="3">
        <v>1</v>
      </c>
      <c r="F126" s="2">
        <v>1</v>
      </c>
      <c r="G126" s="4">
        <v>2</v>
      </c>
      <c r="H126" s="13"/>
      <c r="I126" s="15"/>
      <c r="J126" s="19">
        <v>1</v>
      </c>
      <c r="K126" s="2" t="s">
        <v>263</v>
      </c>
      <c r="L126" s="11" t="str">
        <f t="shared" si="2"/>
        <v>Ver Imagen</v>
      </c>
      <c r="M126" t="s">
        <v>15</v>
      </c>
    </row>
    <row r="127" spans="1:13" x14ac:dyDescent="0.25">
      <c r="A127">
        <v>126</v>
      </c>
      <c r="B127" t="s">
        <v>264</v>
      </c>
      <c r="C127" s="1">
        <v>37.214280316100002</v>
      </c>
      <c r="D127" s="1">
        <v>-7.0758904570399999</v>
      </c>
      <c r="E127" s="3">
        <v>1</v>
      </c>
      <c r="F127" s="2">
        <v>1</v>
      </c>
      <c r="G127" s="4">
        <v>2</v>
      </c>
      <c r="H127" s="13"/>
      <c r="I127" s="15"/>
      <c r="J127" s="19">
        <v>1</v>
      </c>
      <c r="K127" s="2" t="s">
        <v>265</v>
      </c>
      <c r="L127" s="11" t="str">
        <f t="shared" si="2"/>
        <v>Ver Imagen</v>
      </c>
      <c r="M127" t="s">
        <v>15</v>
      </c>
    </row>
    <row r="128" spans="1:13" x14ac:dyDescent="0.25">
      <c r="A128">
        <v>127</v>
      </c>
      <c r="B128" t="s">
        <v>266</v>
      </c>
      <c r="C128" s="1">
        <v>37.2142291734</v>
      </c>
      <c r="D128" s="1">
        <v>-7.0756251793000002</v>
      </c>
      <c r="E128" s="3">
        <v>1</v>
      </c>
      <c r="F128" s="2">
        <v>1</v>
      </c>
      <c r="G128" s="4">
        <v>2</v>
      </c>
      <c r="H128" s="13"/>
      <c r="I128" s="15"/>
      <c r="J128" s="19">
        <v>1</v>
      </c>
      <c r="K128" s="2" t="s">
        <v>267</v>
      </c>
      <c r="L128" s="11" t="str">
        <f t="shared" si="2"/>
        <v>Ver Imagen</v>
      </c>
      <c r="M128" t="s">
        <v>15</v>
      </c>
    </row>
    <row r="129" spans="1:13" x14ac:dyDescent="0.25">
      <c r="A129">
        <v>128</v>
      </c>
      <c r="B129" t="s">
        <v>268</v>
      </c>
      <c r="C129" s="1">
        <v>37.214183838399997</v>
      </c>
      <c r="D129" s="1">
        <v>-7.07538416538</v>
      </c>
      <c r="E129" s="3">
        <v>1</v>
      </c>
      <c r="F129" s="2">
        <v>1</v>
      </c>
      <c r="G129" s="4">
        <v>2</v>
      </c>
      <c r="H129" s="13"/>
      <c r="I129" s="15"/>
      <c r="J129" s="19">
        <v>1</v>
      </c>
      <c r="K129" s="2" t="s">
        <v>269</v>
      </c>
      <c r="L129" s="11" t="str">
        <f t="shared" si="2"/>
        <v>Ver Imagen</v>
      </c>
      <c r="M129" t="s">
        <v>15</v>
      </c>
    </row>
    <row r="130" spans="1:13" x14ac:dyDescent="0.25">
      <c r="A130">
        <v>129</v>
      </c>
      <c r="B130" t="s">
        <v>270</v>
      </c>
      <c r="C130" s="1">
        <v>37.214009448200002</v>
      </c>
      <c r="D130" s="1">
        <v>-7.07440724843</v>
      </c>
      <c r="E130" s="3">
        <v>1</v>
      </c>
      <c r="F130" s="2">
        <v>1</v>
      </c>
      <c r="G130" s="4">
        <v>2</v>
      </c>
      <c r="H130" s="13"/>
      <c r="I130" s="15"/>
      <c r="J130" s="19">
        <v>1</v>
      </c>
      <c r="K130" s="2" t="s">
        <v>271</v>
      </c>
      <c r="L130" s="11" t="str">
        <f t="shared" si="2"/>
        <v>Ver Imagen</v>
      </c>
      <c r="M130" t="s">
        <v>15</v>
      </c>
    </row>
    <row r="131" spans="1:13" x14ac:dyDescent="0.25">
      <c r="A131">
        <v>130</v>
      </c>
      <c r="B131" t="s">
        <v>272</v>
      </c>
      <c r="C131" s="1">
        <v>37.213612889899998</v>
      </c>
      <c r="D131" s="1">
        <v>-7.0711185219299999</v>
      </c>
      <c r="E131" s="3">
        <v>1</v>
      </c>
      <c r="F131" s="2">
        <v>1</v>
      </c>
      <c r="G131" s="4">
        <v>2</v>
      </c>
      <c r="H131" s="13"/>
      <c r="I131" s="15"/>
      <c r="J131" s="19">
        <v>1</v>
      </c>
      <c r="K131" s="2" t="s">
        <v>273</v>
      </c>
      <c r="L131" s="11" t="str">
        <f t="shared" si="2"/>
        <v>Ver Imagen</v>
      </c>
      <c r="M131" t="s">
        <v>15</v>
      </c>
    </row>
    <row r="132" spans="1:13" x14ac:dyDescent="0.25">
      <c r="A132">
        <v>131</v>
      </c>
      <c r="B132" t="s">
        <v>274</v>
      </c>
      <c r="C132" s="1">
        <v>37.213557827000002</v>
      </c>
      <c r="D132" s="1">
        <v>-7.0706241247700001</v>
      </c>
      <c r="E132" s="3">
        <v>1</v>
      </c>
      <c r="F132" s="2">
        <v>1</v>
      </c>
      <c r="G132" s="4">
        <v>2</v>
      </c>
      <c r="H132" s="13"/>
      <c r="I132" s="15"/>
      <c r="J132" s="19">
        <v>1</v>
      </c>
      <c r="K132" s="2" t="s">
        <v>275</v>
      </c>
      <c r="L132" s="11" t="str">
        <f t="shared" si="2"/>
        <v>Ver Imagen</v>
      </c>
      <c r="M132" t="s">
        <v>15</v>
      </c>
    </row>
    <row r="133" spans="1:13" x14ac:dyDescent="0.25">
      <c r="A133">
        <v>132</v>
      </c>
      <c r="B133" t="s">
        <v>276</v>
      </c>
      <c r="C133" s="1">
        <v>37.213534972600002</v>
      </c>
      <c r="D133" s="1">
        <v>-7.0704035917699999</v>
      </c>
      <c r="E133" s="3">
        <v>1</v>
      </c>
      <c r="F133" s="2">
        <v>1</v>
      </c>
      <c r="G133" s="4">
        <v>2</v>
      </c>
      <c r="H133" s="13"/>
      <c r="I133" s="15"/>
      <c r="J133" s="19">
        <v>1</v>
      </c>
      <c r="K133" s="2" t="s">
        <v>277</v>
      </c>
      <c r="L133" s="11" t="str">
        <f t="shared" si="2"/>
        <v>Ver Imagen</v>
      </c>
      <c r="M133" t="s">
        <v>15</v>
      </c>
    </row>
    <row r="134" spans="1:13" x14ac:dyDescent="0.25">
      <c r="A134">
        <v>133</v>
      </c>
      <c r="B134" t="s">
        <v>278</v>
      </c>
      <c r="C134" s="1">
        <v>37.213512476299996</v>
      </c>
      <c r="D134" s="1">
        <v>-7.07014968984</v>
      </c>
      <c r="E134" s="3">
        <v>1</v>
      </c>
      <c r="F134" s="2">
        <v>1</v>
      </c>
      <c r="G134" s="4">
        <v>2</v>
      </c>
      <c r="H134" s="13"/>
      <c r="I134" s="15"/>
      <c r="J134" s="19">
        <v>1</v>
      </c>
      <c r="K134" s="2" t="s">
        <v>279</v>
      </c>
      <c r="L134" s="11" t="str">
        <f t="shared" si="2"/>
        <v>Ver Imagen</v>
      </c>
      <c r="M134" t="s">
        <v>15</v>
      </c>
    </row>
    <row r="135" spans="1:13" x14ac:dyDescent="0.25">
      <c r="A135">
        <v>134</v>
      </c>
      <c r="B135" t="s">
        <v>280</v>
      </c>
      <c r="C135" s="1">
        <v>37.213493518200004</v>
      </c>
      <c r="D135" s="1">
        <v>-7.0698987901999999</v>
      </c>
      <c r="E135" s="3">
        <v>1</v>
      </c>
      <c r="F135" s="2">
        <v>1</v>
      </c>
      <c r="G135" s="4">
        <v>2</v>
      </c>
      <c r="H135" s="13"/>
      <c r="I135" s="15"/>
      <c r="J135" s="19">
        <v>1</v>
      </c>
      <c r="K135" s="2" t="s">
        <v>281</v>
      </c>
      <c r="L135" s="11" t="str">
        <f t="shared" si="2"/>
        <v>Ver Imagen</v>
      </c>
      <c r="M135" t="s">
        <v>15</v>
      </c>
    </row>
    <row r="136" spans="1:13" x14ac:dyDescent="0.25">
      <c r="A136">
        <v>135</v>
      </c>
      <c r="B136" t="s">
        <v>282</v>
      </c>
      <c r="C136" s="1">
        <v>37.2134767298</v>
      </c>
      <c r="D136" s="1">
        <v>-7.0696145755000002</v>
      </c>
      <c r="E136" s="3">
        <v>1</v>
      </c>
      <c r="F136" s="2">
        <v>1</v>
      </c>
      <c r="G136" s="4">
        <v>2</v>
      </c>
      <c r="H136" s="13"/>
      <c r="I136" s="15"/>
      <c r="J136" s="19">
        <v>1</v>
      </c>
      <c r="K136" s="2" t="s">
        <v>283</v>
      </c>
      <c r="L136" s="11" t="str">
        <f t="shared" si="2"/>
        <v>Ver Imagen</v>
      </c>
      <c r="M136" t="s">
        <v>15</v>
      </c>
    </row>
    <row r="137" spans="1:13" x14ac:dyDescent="0.25">
      <c r="A137">
        <v>136</v>
      </c>
      <c r="B137" t="s">
        <v>284</v>
      </c>
      <c r="C137" s="1">
        <v>37.2134582702</v>
      </c>
      <c r="D137" s="1">
        <v>-7.0691522952000003</v>
      </c>
      <c r="E137" s="3">
        <v>1</v>
      </c>
      <c r="F137" s="2">
        <v>1</v>
      </c>
      <c r="G137" s="4">
        <v>2</v>
      </c>
      <c r="H137" s="13"/>
      <c r="I137" s="15"/>
      <c r="J137" s="19">
        <v>1</v>
      </c>
      <c r="K137" s="2" t="s">
        <v>285</v>
      </c>
      <c r="L137" s="11" t="str">
        <f t="shared" si="2"/>
        <v>Ver Imagen</v>
      </c>
      <c r="M137" t="s">
        <v>15</v>
      </c>
    </row>
    <row r="138" spans="1:13" x14ac:dyDescent="0.25">
      <c r="A138">
        <v>137</v>
      </c>
      <c r="B138" t="s">
        <v>286</v>
      </c>
      <c r="C138" s="1">
        <v>37.213427129099998</v>
      </c>
      <c r="D138" s="1">
        <v>-7.0683615525499999</v>
      </c>
      <c r="E138" s="3">
        <v>1</v>
      </c>
      <c r="F138" s="2">
        <v>1</v>
      </c>
      <c r="G138" s="4">
        <v>2</v>
      </c>
      <c r="H138" s="13"/>
      <c r="I138" s="15"/>
      <c r="J138" s="19">
        <v>1</v>
      </c>
      <c r="K138" s="2" t="s">
        <v>287</v>
      </c>
      <c r="L138" s="11" t="str">
        <f t="shared" si="2"/>
        <v>Ver Imagen</v>
      </c>
      <c r="M138" t="s">
        <v>15</v>
      </c>
    </row>
    <row r="139" spans="1:13" x14ac:dyDescent="0.25">
      <c r="A139">
        <v>138</v>
      </c>
      <c r="B139" t="s">
        <v>288</v>
      </c>
      <c r="C139" s="1">
        <v>37.213401263500003</v>
      </c>
      <c r="D139" s="1">
        <v>-7.0678530266299999</v>
      </c>
      <c r="E139" s="3">
        <v>1</v>
      </c>
      <c r="F139" s="2">
        <v>1</v>
      </c>
      <c r="G139" s="4">
        <v>2</v>
      </c>
      <c r="H139" s="13"/>
      <c r="I139" s="15"/>
      <c r="J139" s="19">
        <v>1</v>
      </c>
      <c r="K139" s="2" t="s">
        <v>289</v>
      </c>
      <c r="L139" s="11" t="str">
        <f t="shared" si="2"/>
        <v>Ver Imagen</v>
      </c>
      <c r="M139" t="s">
        <v>15</v>
      </c>
    </row>
    <row r="140" spans="1:13" x14ac:dyDescent="0.25">
      <c r="A140">
        <v>139</v>
      </c>
      <c r="B140" t="s">
        <v>290</v>
      </c>
      <c r="C140" s="1">
        <v>37.213348801199999</v>
      </c>
      <c r="D140" s="1">
        <v>-7.0666375297200004</v>
      </c>
      <c r="E140" s="3">
        <v>1</v>
      </c>
      <c r="F140" s="2">
        <v>1</v>
      </c>
      <c r="G140" s="4">
        <v>2</v>
      </c>
      <c r="H140" s="13"/>
      <c r="I140" s="15"/>
      <c r="J140" s="19">
        <v>1</v>
      </c>
      <c r="K140" s="2" t="s">
        <v>291</v>
      </c>
      <c r="L140" s="11" t="str">
        <f t="shared" si="2"/>
        <v>Ver Imagen</v>
      </c>
      <c r="M140" t="s">
        <v>15</v>
      </c>
    </row>
    <row r="141" spans="1:13" x14ac:dyDescent="0.25">
      <c r="A141">
        <v>140</v>
      </c>
      <c r="B141" t="s">
        <v>292</v>
      </c>
      <c r="C141" s="1">
        <v>37.213307809600003</v>
      </c>
      <c r="D141" s="1">
        <v>-7.0653542036400001</v>
      </c>
      <c r="E141" s="3">
        <v>1</v>
      </c>
      <c r="F141" s="2">
        <v>1</v>
      </c>
      <c r="G141" s="4">
        <v>2</v>
      </c>
      <c r="H141" s="13"/>
      <c r="I141" s="15"/>
      <c r="J141" s="19">
        <v>1</v>
      </c>
      <c r="K141" s="2" t="s">
        <v>293</v>
      </c>
      <c r="L141" s="11" t="str">
        <f t="shared" si="2"/>
        <v>Ver Imagen</v>
      </c>
      <c r="M141" t="s">
        <v>15</v>
      </c>
    </row>
    <row r="142" spans="1:13" x14ac:dyDescent="0.25">
      <c r="A142">
        <v>141</v>
      </c>
      <c r="B142" t="s">
        <v>294</v>
      </c>
      <c r="C142" s="1">
        <v>37.211947150299999</v>
      </c>
      <c r="D142" s="1">
        <v>-7.0589051030299999</v>
      </c>
      <c r="E142" s="3">
        <v>2</v>
      </c>
      <c r="F142" s="2">
        <v>1</v>
      </c>
      <c r="G142" s="4">
        <v>1</v>
      </c>
      <c r="H142" s="13"/>
      <c r="I142" s="15"/>
      <c r="J142" s="19">
        <v>1</v>
      </c>
      <c r="K142" s="2" t="s">
        <v>295</v>
      </c>
      <c r="L142" s="11" t="str">
        <f t="shared" si="2"/>
        <v>Ver Imagen</v>
      </c>
      <c r="M142" t="s">
        <v>15</v>
      </c>
    </row>
    <row r="143" spans="1:13" x14ac:dyDescent="0.25">
      <c r="A143">
        <v>142</v>
      </c>
      <c r="B143" t="s">
        <v>296</v>
      </c>
      <c r="C143" s="1">
        <v>37.210028379199997</v>
      </c>
      <c r="D143" s="1">
        <v>-7.0418082143199996</v>
      </c>
      <c r="E143" s="3">
        <v>2</v>
      </c>
      <c r="F143" s="2">
        <v>1</v>
      </c>
      <c r="G143" s="4">
        <v>1</v>
      </c>
      <c r="H143" s="13"/>
      <c r="I143" s="15"/>
      <c r="J143" s="19">
        <v>1</v>
      </c>
      <c r="K143" s="2" t="s">
        <v>297</v>
      </c>
      <c r="L143" s="11" t="str">
        <f t="shared" si="2"/>
        <v>Ver Imagen</v>
      </c>
      <c r="M143" t="s">
        <v>15</v>
      </c>
    </row>
    <row r="144" spans="1:13" x14ac:dyDescent="0.25">
      <c r="A144">
        <v>143</v>
      </c>
      <c r="B144" t="s">
        <v>298</v>
      </c>
      <c r="C144" s="1">
        <v>37.203917001900003</v>
      </c>
      <c r="D144" s="1">
        <v>-7.0258793363400001</v>
      </c>
      <c r="E144" s="3">
        <v>1</v>
      </c>
      <c r="F144" s="2">
        <v>2</v>
      </c>
      <c r="G144" s="4">
        <v>1</v>
      </c>
      <c r="H144" s="13"/>
      <c r="I144" s="15"/>
      <c r="J144" s="19">
        <v>1</v>
      </c>
      <c r="K144" s="2" t="s">
        <v>299</v>
      </c>
      <c r="L144" s="11" t="str">
        <f t="shared" si="2"/>
        <v>Ver Imagen</v>
      </c>
      <c r="M144" t="s">
        <v>15</v>
      </c>
    </row>
    <row r="145" spans="1:13" x14ac:dyDescent="0.25">
      <c r="A145">
        <v>144</v>
      </c>
      <c r="B145" t="s">
        <v>300</v>
      </c>
      <c r="C145" s="1">
        <v>37.203826780699998</v>
      </c>
      <c r="D145" s="1">
        <v>-7.0256451443200003</v>
      </c>
      <c r="E145" s="3">
        <v>1</v>
      </c>
      <c r="F145" s="2">
        <v>2</v>
      </c>
      <c r="G145" s="4">
        <v>1</v>
      </c>
      <c r="H145" s="13"/>
      <c r="I145" s="15"/>
      <c r="J145" s="19">
        <v>1</v>
      </c>
      <c r="K145" s="2" t="s">
        <v>301</v>
      </c>
      <c r="L145" s="11" t="str">
        <f t="shared" si="2"/>
        <v>Ver Imagen</v>
      </c>
      <c r="M145" t="s">
        <v>15</v>
      </c>
    </row>
    <row r="146" spans="1:13" x14ac:dyDescent="0.25">
      <c r="A146">
        <v>145</v>
      </c>
      <c r="B146" t="s">
        <v>302</v>
      </c>
      <c r="C146" s="1">
        <v>37.203285781700004</v>
      </c>
      <c r="D146" s="1">
        <v>-7.0242523405500004</v>
      </c>
      <c r="E146" s="3">
        <v>1</v>
      </c>
      <c r="F146" s="2">
        <v>2</v>
      </c>
      <c r="G146" s="4">
        <v>1</v>
      </c>
      <c r="H146" s="13"/>
      <c r="I146" s="15"/>
      <c r="J146" s="19">
        <v>1</v>
      </c>
      <c r="K146" s="2" t="s">
        <v>303</v>
      </c>
      <c r="L146" s="11" t="str">
        <f t="shared" si="2"/>
        <v>Ver Imagen</v>
      </c>
      <c r="M146" t="s">
        <v>15</v>
      </c>
    </row>
    <row r="147" spans="1:13" x14ac:dyDescent="0.25">
      <c r="A147">
        <v>146</v>
      </c>
      <c r="B147" t="s">
        <v>304</v>
      </c>
      <c r="C147" s="1">
        <v>37.202849861899999</v>
      </c>
      <c r="D147" s="1">
        <v>-7.0231303238300002</v>
      </c>
      <c r="E147" s="3">
        <v>1</v>
      </c>
      <c r="F147" s="2">
        <v>2</v>
      </c>
      <c r="G147" s="4">
        <v>1</v>
      </c>
      <c r="H147" s="13"/>
      <c r="I147" s="15"/>
      <c r="J147" s="19">
        <v>1</v>
      </c>
      <c r="K147" s="2" t="s">
        <v>305</v>
      </c>
      <c r="L147" s="11" t="str">
        <f t="shared" si="2"/>
        <v>Ver Imagen</v>
      </c>
      <c r="M147" t="s">
        <v>15</v>
      </c>
    </row>
    <row r="148" spans="1:13" x14ac:dyDescent="0.25">
      <c r="A148">
        <v>147</v>
      </c>
      <c r="B148" t="s">
        <v>306</v>
      </c>
      <c r="C148" s="1">
        <v>37.202328762699999</v>
      </c>
      <c r="D148" s="1">
        <v>-7.0217655519999997</v>
      </c>
      <c r="E148" s="3">
        <v>1</v>
      </c>
      <c r="F148" s="2">
        <v>1</v>
      </c>
      <c r="G148" s="4">
        <v>2</v>
      </c>
      <c r="H148" s="13"/>
      <c r="I148" s="15"/>
      <c r="J148" s="19">
        <v>1</v>
      </c>
      <c r="K148" s="2" t="s">
        <v>307</v>
      </c>
      <c r="L148" s="11" t="str">
        <f t="shared" si="2"/>
        <v>Ver Imagen</v>
      </c>
      <c r="M148" t="s">
        <v>15</v>
      </c>
    </row>
    <row r="149" spans="1:13" x14ac:dyDescent="0.25">
      <c r="A149">
        <v>148</v>
      </c>
      <c r="B149" t="s">
        <v>308</v>
      </c>
      <c r="C149" s="1">
        <v>37.202232066900002</v>
      </c>
      <c r="D149" s="1">
        <v>-7.0215129771799996</v>
      </c>
      <c r="E149" s="3">
        <v>1</v>
      </c>
      <c r="F149" s="2">
        <v>2</v>
      </c>
      <c r="G149" s="4">
        <v>1</v>
      </c>
      <c r="H149" s="13"/>
      <c r="I149" s="15"/>
      <c r="J149" s="19">
        <v>1</v>
      </c>
      <c r="K149" s="2" t="s">
        <v>309</v>
      </c>
      <c r="L149" s="11" t="str">
        <f t="shared" si="2"/>
        <v>Ver Imagen</v>
      </c>
      <c r="M149" t="s">
        <v>15</v>
      </c>
    </row>
    <row r="150" spans="1:13" x14ac:dyDescent="0.25">
      <c r="A150">
        <v>149</v>
      </c>
      <c r="B150" t="s">
        <v>310</v>
      </c>
      <c r="C150" s="1">
        <v>37.201795479799998</v>
      </c>
      <c r="D150" s="1">
        <v>-7.02037208515</v>
      </c>
      <c r="E150" s="3">
        <v>1</v>
      </c>
      <c r="F150" s="2">
        <v>1</v>
      </c>
      <c r="G150" s="4">
        <v>2</v>
      </c>
      <c r="H150" s="13"/>
      <c r="I150" s="15"/>
      <c r="J150" s="19">
        <v>1</v>
      </c>
      <c r="K150" s="2" t="s">
        <v>311</v>
      </c>
      <c r="L150" s="11" t="str">
        <f t="shared" si="2"/>
        <v>Ver Imagen</v>
      </c>
      <c r="M150" t="s">
        <v>15</v>
      </c>
    </row>
    <row r="151" spans="1:13" x14ac:dyDescent="0.25">
      <c r="A151">
        <v>150</v>
      </c>
      <c r="B151" t="s">
        <v>312</v>
      </c>
      <c r="C151" s="1">
        <v>37.200488997299999</v>
      </c>
      <c r="D151" s="1">
        <v>-7.0169700740399996</v>
      </c>
      <c r="E151" s="3">
        <v>2</v>
      </c>
      <c r="F151" s="2">
        <v>1</v>
      </c>
      <c r="G151" s="4">
        <v>1</v>
      </c>
      <c r="H151" s="13"/>
      <c r="I151" s="15"/>
      <c r="J151" s="19">
        <v>1</v>
      </c>
      <c r="K151" s="2" t="s">
        <v>313</v>
      </c>
      <c r="L151" s="11" t="str">
        <f t="shared" si="2"/>
        <v>Ver Imagen</v>
      </c>
      <c r="M151" t="s">
        <v>15</v>
      </c>
    </row>
    <row r="152" spans="1:13" x14ac:dyDescent="0.25">
      <c r="A152">
        <v>151</v>
      </c>
      <c r="B152" t="s">
        <v>314</v>
      </c>
      <c r="C152" s="1">
        <v>37.200136913400002</v>
      </c>
      <c r="D152" s="1">
        <v>-7.0160574146899997</v>
      </c>
      <c r="E152" s="3">
        <v>1</v>
      </c>
      <c r="F152" s="2">
        <v>1</v>
      </c>
      <c r="G152" s="4">
        <v>2</v>
      </c>
      <c r="H152" s="13"/>
      <c r="I152" s="15"/>
      <c r="J152" s="19">
        <v>1</v>
      </c>
      <c r="K152" s="2" t="s">
        <v>315</v>
      </c>
      <c r="L152" s="11" t="str">
        <f t="shared" si="2"/>
        <v>Ver Imagen</v>
      </c>
      <c r="M152" t="s">
        <v>15</v>
      </c>
    </row>
    <row r="153" spans="1:13" x14ac:dyDescent="0.25">
      <c r="A153">
        <v>152</v>
      </c>
      <c r="B153" t="s">
        <v>316</v>
      </c>
      <c r="C153" s="1">
        <v>37.199692967899999</v>
      </c>
      <c r="D153" s="1">
        <v>-7.0148840703699999</v>
      </c>
      <c r="E153" s="3">
        <v>1</v>
      </c>
      <c r="F153" s="2">
        <v>1</v>
      </c>
      <c r="G153" s="4">
        <v>2</v>
      </c>
      <c r="H153" s="13"/>
      <c r="I153" s="15"/>
      <c r="J153" s="19">
        <v>1</v>
      </c>
      <c r="K153" s="2" t="s">
        <v>317</v>
      </c>
      <c r="L153" s="11" t="str">
        <f t="shared" si="2"/>
        <v>Ver Imagen</v>
      </c>
      <c r="M153" t="s">
        <v>15</v>
      </c>
    </row>
    <row r="154" spans="1:13" x14ac:dyDescent="0.25">
      <c r="A154">
        <v>153</v>
      </c>
      <c r="B154" t="s">
        <v>318</v>
      </c>
      <c r="C154" s="1">
        <v>37.1996009163</v>
      </c>
      <c r="D154" s="1">
        <v>-7.0146446707600001</v>
      </c>
      <c r="E154" s="3">
        <v>1</v>
      </c>
      <c r="F154" s="2">
        <v>1</v>
      </c>
      <c r="G154" s="4">
        <v>2</v>
      </c>
      <c r="H154" s="13"/>
      <c r="I154" s="15"/>
      <c r="J154" s="19">
        <v>1</v>
      </c>
      <c r="K154" s="2" t="s">
        <v>319</v>
      </c>
      <c r="L154" s="11" t="str">
        <f t="shared" si="2"/>
        <v>Ver Imagen</v>
      </c>
      <c r="M154" t="s">
        <v>15</v>
      </c>
    </row>
    <row r="155" spans="1:13" x14ac:dyDescent="0.25">
      <c r="A155">
        <v>154</v>
      </c>
      <c r="B155" t="s">
        <v>320</v>
      </c>
      <c r="C155" s="1">
        <v>37.199524289800003</v>
      </c>
      <c r="D155" s="1">
        <v>-7.0144445631299996</v>
      </c>
      <c r="E155" s="3">
        <v>0</v>
      </c>
      <c r="F155" s="2">
        <v>1</v>
      </c>
      <c r="G155" s="4">
        <v>1</v>
      </c>
      <c r="H155" s="13"/>
      <c r="I155" s="15"/>
      <c r="J155" s="19">
        <v>1</v>
      </c>
      <c r="K155" s="2" t="s">
        <v>321</v>
      </c>
      <c r="L155" s="11" t="str">
        <f t="shared" si="2"/>
        <v>Ver Imagen</v>
      </c>
      <c r="M155" t="s">
        <v>15</v>
      </c>
    </row>
    <row r="156" spans="1:13" x14ac:dyDescent="0.25">
      <c r="A156">
        <v>155</v>
      </c>
      <c r="B156" t="s">
        <v>322</v>
      </c>
      <c r="C156" s="1">
        <v>37.199440213099997</v>
      </c>
      <c r="D156" s="1">
        <v>-7.0142258689899997</v>
      </c>
      <c r="E156" s="3">
        <v>1</v>
      </c>
      <c r="F156" s="2">
        <v>1</v>
      </c>
      <c r="G156" s="4">
        <v>2</v>
      </c>
      <c r="H156" s="13"/>
      <c r="I156" s="15"/>
      <c r="J156" s="19">
        <v>1</v>
      </c>
      <c r="K156" s="2" t="s">
        <v>323</v>
      </c>
      <c r="L156" s="11" t="str">
        <f t="shared" si="2"/>
        <v>Ver Imagen</v>
      </c>
      <c r="M156" t="s">
        <v>15</v>
      </c>
    </row>
    <row r="157" spans="1:13" x14ac:dyDescent="0.25">
      <c r="A157">
        <v>156</v>
      </c>
      <c r="B157" t="s">
        <v>324</v>
      </c>
      <c r="C157" s="1">
        <v>37.197300523300001</v>
      </c>
      <c r="D157" s="1">
        <v>-7.0079759575800002</v>
      </c>
      <c r="E157" s="3">
        <v>1</v>
      </c>
      <c r="F157" s="2">
        <v>1</v>
      </c>
      <c r="G157" s="4">
        <v>2</v>
      </c>
      <c r="H157" s="13"/>
      <c r="I157" s="15"/>
      <c r="J157" s="19">
        <v>1</v>
      </c>
      <c r="K157" s="2" t="s">
        <v>325</v>
      </c>
      <c r="L157" s="11" t="str">
        <f t="shared" si="2"/>
        <v>Ver Imagen</v>
      </c>
      <c r="M157" t="s">
        <v>15</v>
      </c>
    </row>
    <row r="158" spans="1:13" x14ac:dyDescent="0.25">
      <c r="A158">
        <v>157</v>
      </c>
      <c r="B158" t="s">
        <v>326</v>
      </c>
      <c r="C158" s="1">
        <v>37.197143595199996</v>
      </c>
      <c r="D158" s="1">
        <v>-7.0064638505700003</v>
      </c>
      <c r="E158" s="3">
        <v>1</v>
      </c>
      <c r="F158" s="2">
        <v>2</v>
      </c>
      <c r="G158" s="4">
        <v>1</v>
      </c>
      <c r="H158" s="13"/>
      <c r="I158" s="15"/>
      <c r="J158" s="19">
        <v>1</v>
      </c>
      <c r="K158" s="2" t="s">
        <v>327</v>
      </c>
      <c r="L158" s="11" t="str">
        <f t="shared" si="2"/>
        <v>Ver Imagen</v>
      </c>
      <c r="M158" t="s">
        <v>15</v>
      </c>
    </row>
    <row r="159" spans="1:13" x14ac:dyDescent="0.25">
      <c r="A159">
        <v>158</v>
      </c>
      <c r="B159" t="s">
        <v>328</v>
      </c>
      <c r="C159" s="1">
        <v>37.286130169300002</v>
      </c>
      <c r="D159" s="1">
        <v>-7.1417665162199997</v>
      </c>
      <c r="E159" s="3">
        <v>1</v>
      </c>
      <c r="F159" s="2">
        <v>1</v>
      </c>
      <c r="G159" s="4">
        <v>2</v>
      </c>
      <c r="H159" s="13"/>
      <c r="I159" s="15"/>
      <c r="J159" s="19">
        <v>1</v>
      </c>
      <c r="K159" s="2" t="s">
        <v>329</v>
      </c>
      <c r="L159" s="11" t="str">
        <f t="shared" si="2"/>
        <v>Ver Imagen</v>
      </c>
      <c r="M159" t="s">
        <v>15</v>
      </c>
    </row>
    <row r="160" spans="1:13" x14ac:dyDescent="0.25">
      <c r="A160">
        <v>159</v>
      </c>
      <c r="B160" t="s">
        <v>330</v>
      </c>
      <c r="C160" s="1">
        <v>37.282118669799999</v>
      </c>
      <c r="D160" s="1">
        <v>-7.1442891711799996</v>
      </c>
      <c r="E160" s="3">
        <v>1</v>
      </c>
      <c r="F160" s="2">
        <v>1</v>
      </c>
      <c r="G160" s="4">
        <v>2</v>
      </c>
      <c r="H160" s="13"/>
      <c r="I160" s="15"/>
      <c r="J160" s="19">
        <v>1</v>
      </c>
      <c r="K160" s="2" t="s">
        <v>331</v>
      </c>
      <c r="L160" s="11" t="str">
        <f t="shared" si="2"/>
        <v>Ver Imagen</v>
      </c>
      <c r="M160" t="s">
        <v>15</v>
      </c>
    </row>
    <row r="161" spans="1:13" x14ac:dyDescent="0.25">
      <c r="A161">
        <v>160</v>
      </c>
      <c r="B161" t="s">
        <v>332</v>
      </c>
      <c r="C161" s="1">
        <v>37.241231924899999</v>
      </c>
      <c r="D161" s="1">
        <v>-7.1285721725700002</v>
      </c>
      <c r="E161" s="3">
        <v>1</v>
      </c>
      <c r="F161" s="2">
        <v>1</v>
      </c>
      <c r="G161" s="4">
        <v>2</v>
      </c>
      <c r="H161" s="13"/>
      <c r="I161" s="15"/>
      <c r="J161" s="19">
        <v>1</v>
      </c>
      <c r="K161" s="2" t="s">
        <v>333</v>
      </c>
      <c r="L161" s="11" t="str">
        <f t="shared" si="2"/>
        <v>Ver Imagen</v>
      </c>
      <c r="M161" t="s">
        <v>15</v>
      </c>
    </row>
    <row r="162" spans="1:13" x14ac:dyDescent="0.25">
      <c r="A162">
        <v>161</v>
      </c>
      <c r="B162" t="s">
        <v>334</v>
      </c>
      <c r="C162" s="1">
        <v>37.2218070471</v>
      </c>
      <c r="D162" s="1">
        <v>-7.1252192934199998</v>
      </c>
      <c r="E162" s="3">
        <v>1</v>
      </c>
      <c r="F162" s="2">
        <v>1</v>
      </c>
      <c r="G162" s="4">
        <v>2</v>
      </c>
      <c r="H162" s="13"/>
      <c r="I162" s="15"/>
      <c r="J162" s="19">
        <v>1</v>
      </c>
      <c r="K162" s="2" t="s">
        <v>335</v>
      </c>
      <c r="L162" s="11" t="str">
        <f t="shared" si="2"/>
        <v>Ver Imagen</v>
      </c>
      <c r="M162" t="s">
        <v>15</v>
      </c>
    </row>
    <row r="163" spans="1:13" x14ac:dyDescent="0.25">
      <c r="A163">
        <v>162</v>
      </c>
      <c r="B163" t="s">
        <v>336</v>
      </c>
      <c r="C163" s="1">
        <v>37.435887683799997</v>
      </c>
      <c r="D163" s="1">
        <v>-7.0769456238700004</v>
      </c>
      <c r="E163" s="3">
        <v>2</v>
      </c>
      <c r="F163" s="2">
        <v>1</v>
      </c>
      <c r="G163" s="4">
        <v>1</v>
      </c>
      <c r="H163" s="13"/>
      <c r="I163" s="15"/>
      <c r="J163" s="19">
        <v>1</v>
      </c>
      <c r="K163" s="2" t="s">
        <v>337</v>
      </c>
      <c r="L163" s="11" t="str">
        <f t="shared" si="2"/>
        <v>Ver Imagen</v>
      </c>
      <c r="M163" t="s">
        <v>15</v>
      </c>
    </row>
    <row r="164" spans="1:13" x14ac:dyDescent="0.25">
      <c r="A164">
        <v>163</v>
      </c>
      <c r="B164" t="s">
        <v>338</v>
      </c>
      <c r="C164" s="1">
        <v>37.435468408699997</v>
      </c>
      <c r="D164" s="1">
        <v>-7.0766853322500003</v>
      </c>
      <c r="E164" s="3">
        <v>1</v>
      </c>
      <c r="F164" s="2">
        <v>2</v>
      </c>
      <c r="G164" s="4">
        <v>1</v>
      </c>
      <c r="H164" s="13"/>
      <c r="I164" s="15"/>
      <c r="J164" s="19">
        <v>1</v>
      </c>
      <c r="K164" s="2" t="s">
        <v>339</v>
      </c>
      <c r="L164" s="11" t="str">
        <f t="shared" si="2"/>
        <v>Ver Imagen</v>
      </c>
      <c r="M164" t="s">
        <v>15</v>
      </c>
    </row>
    <row r="165" spans="1:13" x14ac:dyDescent="0.25">
      <c r="A165">
        <v>164</v>
      </c>
      <c r="B165" t="s">
        <v>340</v>
      </c>
      <c r="C165" s="1">
        <v>37.465989174599997</v>
      </c>
      <c r="D165" s="1">
        <v>-7.1227607422199997</v>
      </c>
      <c r="E165" s="3">
        <v>1</v>
      </c>
      <c r="F165" s="2">
        <v>2</v>
      </c>
      <c r="G165" s="4">
        <v>1</v>
      </c>
      <c r="H165" s="13"/>
      <c r="I165" s="15"/>
      <c r="J165" s="19">
        <v>1</v>
      </c>
      <c r="K165" s="2" t="s">
        <v>341</v>
      </c>
      <c r="L165" s="11" t="str">
        <f t="shared" si="2"/>
        <v>Ver Imagen</v>
      </c>
      <c r="M165" t="s">
        <v>15</v>
      </c>
    </row>
    <row r="166" spans="1:13" x14ac:dyDescent="0.25">
      <c r="A166">
        <v>165</v>
      </c>
      <c r="B166" t="s">
        <v>342</v>
      </c>
      <c r="C166" s="1">
        <v>37.465818290900003</v>
      </c>
      <c r="D166" s="1">
        <v>-7.12280292175</v>
      </c>
      <c r="E166" s="3">
        <v>1</v>
      </c>
      <c r="F166" s="2">
        <v>2</v>
      </c>
      <c r="G166" s="4">
        <v>1</v>
      </c>
      <c r="H166" s="13"/>
      <c r="I166" s="15"/>
      <c r="J166" s="19">
        <v>1</v>
      </c>
      <c r="K166" s="2" t="s">
        <v>343</v>
      </c>
      <c r="L166" s="11" t="str">
        <f t="shared" si="2"/>
        <v>Ver Imagen</v>
      </c>
      <c r="M166" t="s">
        <v>15</v>
      </c>
    </row>
    <row r="167" spans="1:13" x14ac:dyDescent="0.25">
      <c r="A167">
        <v>166</v>
      </c>
      <c r="B167" t="s">
        <v>344</v>
      </c>
      <c r="C167" s="1">
        <v>37.465398670399999</v>
      </c>
      <c r="D167" s="1">
        <v>-7.1229731858500003</v>
      </c>
      <c r="E167" s="3">
        <v>1</v>
      </c>
      <c r="F167" s="2">
        <v>2</v>
      </c>
      <c r="G167" s="4">
        <v>1</v>
      </c>
      <c r="H167" s="13"/>
      <c r="I167" s="15"/>
      <c r="J167" s="19">
        <v>1</v>
      </c>
      <c r="K167" s="2" t="s">
        <v>345</v>
      </c>
      <c r="L167" s="11" t="str">
        <f t="shared" si="2"/>
        <v>Ver Imagen</v>
      </c>
      <c r="M167" t="s">
        <v>15</v>
      </c>
    </row>
    <row r="168" spans="1:13" x14ac:dyDescent="0.25">
      <c r="A168">
        <v>167</v>
      </c>
      <c r="B168" t="s">
        <v>346</v>
      </c>
      <c r="C168" s="1">
        <v>37.463581151</v>
      </c>
      <c r="D168" s="1">
        <v>-7.1240194503199996</v>
      </c>
      <c r="E168" s="3">
        <v>1</v>
      </c>
      <c r="F168" s="2">
        <v>1</v>
      </c>
      <c r="G168" s="4">
        <v>2</v>
      </c>
      <c r="H168" s="13"/>
      <c r="I168" s="15"/>
      <c r="J168" s="19">
        <v>1</v>
      </c>
      <c r="K168" s="2" t="s">
        <v>347</v>
      </c>
      <c r="L168" s="11" t="str">
        <f t="shared" si="2"/>
        <v>Ver Imagen</v>
      </c>
      <c r="M168" t="s">
        <v>15</v>
      </c>
    </row>
    <row r="169" spans="1:13" x14ac:dyDescent="0.25">
      <c r="A169">
        <v>168</v>
      </c>
      <c r="B169" t="s">
        <v>348</v>
      </c>
      <c r="C169" s="1">
        <v>37.463190984199997</v>
      </c>
      <c r="D169" s="1">
        <v>-7.1241301375499999</v>
      </c>
      <c r="E169" s="3">
        <v>1</v>
      </c>
      <c r="F169" s="2">
        <v>1</v>
      </c>
      <c r="G169" s="4">
        <v>2</v>
      </c>
      <c r="H169" s="13"/>
      <c r="I169" s="15"/>
      <c r="J169" s="19">
        <v>1</v>
      </c>
      <c r="K169" s="2" t="s">
        <v>349</v>
      </c>
      <c r="L169" s="11" t="str">
        <f t="shared" si="2"/>
        <v>Ver Imagen</v>
      </c>
      <c r="M169" t="s">
        <v>15</v>
      </c>
    </row>
    <row r="170" spans="1:13" x14ac:dyDescent="0.25">
      <c r="A170">
        <v>169</v>
      </c>
      <c r="B170" t="s">
        <v>350</v>
      </c>
      <c r="C170" s="1">
        <v>37.462973584799997</v>
      </c>
      <c r="D170" s="1">
        <v>-7.1241732635200004</v>
      </c>
      <c r="E170" s="3">
        <v>1</v>
      </c>
      <c r="F170" s="2">
        <v>2</v>
      </c>
      <c r="G170" s="4">
        <v>1</v>
      </c>
      <c r="H170" s="13"/>
      <c r="I170" s="15"/>
      <c r="J170" s="19">
        <v>1</v>
      </c>
      <c r="K170" s="2" t="s">
        <v>351</v>
      </c>
      <c r="L170" s="11" t="str">
        <f t="shared" si="2"/>
        <v>Ver Imagen</v>
      </c>
      <c r="M170" t="s">
        <v>15</v>
      </c>
    </row>
    <row r="171" spans="1:13" x14ac:dyDescent="0.25">
      <c r="A171">
        <v>170</v>
      </c>
      <c r="B171" t="s">
        <v>352</v>
      </c>
      <c r="C171" s="1">
        <v>37.459621140499998</v>
      </c>
      <c r="D171" s="1">
        <v>-7.12503114057</v>
      </c>
      <c r="E171" s="3">
        <v>1</v>
      </c>
      <c r="F171" s="2">
        <v>1</v>
      </c>
      <c r="G171" s="4">
        <v>2</v>
      </c>
      <c r="H171" s="13"/>
      <c r="I171" s="15"/>
      <c r="J171" s="19">
        <v>1</v>
      </c>
      <c r="K171" s="2" t="s">
        <v>353</v>
      </c>
      <c r="L171" s="11" t="str">
        <f t="shared" si="2"/>
        <v>Ver Imagen</v>
      </c>
      <c r="M171" t="s">
        <v>15</v>
      </c>
    </row>
    <row r="172" spans="1:13" x14ac:dyDescent="0.25">
      <c r="A172">
        <v>171</v>
      </c>
      <c r="B172" t="s">
        <v>354</v>
      </c>
      <c r="C172" s="1">
        <v>37.458834202299997</v>
      </c>
      <c r="D172" s="1">
        <v>-7.1253207020499998</v>
      </c>
      <c r="E172" s="3">
        <v>1</v>
      </c>
      <c r="F172" s="2">
        <v>1</v>
      </c>
      <c r="G172" s="4">
        <v>2</v>
      </c>
      <c r="H172" s="13"/>
      <c r="I172" s="15"/>
      <c r="J172" s="19">
        <v>1</v>
      </c>
      <c r="K172" s="2" t="s">
        <v>355</v>
      </c>
      <c r="L172" s="11" t="str">
        <f t="shared" si="2"/>
        <v>Ver Imagen</v>
      </c>
      <c r="M172" t="s">
        <v>15</v>
      </c>
    </row>
    <row r="173" spans="1:13" x14ac:dyDescent="0.25">
      <c r="A173">
        <v>172</v>
      </c>
      <c r="B173" t="s">
        <v>356</v>
      </c>
      <c r="C173" s="1">
        <v>37.4584425802</v>
      </c>
      <c r="D173" s="1">
        <v>-7.1254625140999996</v>
      </c>
      <c r="E173" s="3">
        <v>1</v>
      </c>
      <c r="F173" s="2">
        <v>1</v>
      </c>
      <c r="G173" s="4">
        <v>2</v>
      </c>
      <c r="H173" s="13"/>
      <c r="I173" s="15"/>
      <c r="J173" s="19">
        <v>1</v>
      </c>
      <c r="K173" s="2" t="s">
        <v>357</v>
      </c>
      <c r="L173" s="11" t="str">
        <f t="shared" si="2"/>
        <v>Ver Imagen</v>
      </c>
      <c r="M173" t="s">
        <v>15</v>
      </c>
    </row>
    <row r="174" spans="1:13" x14ac:dyDescent="0.25">
      <c r="A174">
        <v>173</v>
      </c>
      <c r="B174" t="s">
        <v>358</v>
      </c>
      <c r="C174" s="1">
        <v>37.458265132299999</v>
      </c>
      <c r="D174" s="1">
        <v>-7.1255282100399997</v>
      </c>
      <c r="E174" s="3">
        <v>1</v>
      </c>
      <c r="F174" s="2">
        <v>1</v>
      </c>
      <c r="G174" s="4">
        <v>2</v>
      </c>
      <c r="H174" s="13"/>
      <c r="I174" s="15"/>
      <c r="J174" s="19">
        <v>1</v>
      </c>
      <c r="K174" s="2" t="s">
        <v>359</v>
      </c>
      <c r="L174" s="11" t="str">
        <f t="shared" si="2"/>
        <v>Ver Imagen</v>
      </c>
      <c r="M174" t="s">
        <v>15</v>
      </c>
    </row>
    <row r="175" spans="1:13" x14ac:dyDescent="0.25">
      <c r="A175">
        <v>174</v>
      </c>
      <c r="B175" t="s">
        <v>360</v>
      </c>
      <c r="C175" s="1">
        <v>37.456493069499999</v>
      </c>
      <c r="D175" s="1">
        <v>-7.1261765697900001</v>
      </c>
      <c r="E175" s="3">
        <v>1</v>
      </c>
      <c r="F175" s="2">
        <v>1</v>
      </c>
      <c r="G175" s="4">
        <v>2</v>
      </c>
      <c r="H175" s="13"/>
      <c r="I175" s="15"/>
      <c r="J175" s="19">
        <v>1</v>
      </c>
      <c r="K175" s="2" t="s">
        <v>361</v>
      </c>
      <c r="L175" s="11" t="str">
        <f t="shared" si="2"/>
        <v>Ver Imagen</v>
      </c>
      <c r="M175" t="s">
        <v>15</v>
      </c>
    </row>
    <row r="176" spans="1:13" x14ac:dyDescent="0.25">
      <c r="A176">
        <v>175</v>
      </c>
      <c r="B176" t="s">
        <v>362</v>
      </c>
      <c r="C176" s="1">
        <v>37.455334911599998</v>
      </c>
      <c r="D176" s="1">
        <v>-7.1266031989299998</v>
      </c>
      <c r="E176" s="3">
        <v>2</v>
      </c>
      <c r="F176" s="2">
        <v>1</v>
      </c>
      <c r="G176" s="4">
        <v>1</v>
      </c>
      <c r="H176" s="13"/>
      <c r="I176" s="15"/>
      <c r="J176" s="19">
        <v>1</v>
      </c>
      <c r="K176" s="2" t="s">
        <v>363</v>
      </c>
      <c r="L176" s="11" t="str">
        <f t="shared" si="2"/>
        <v>Ver Imagen</v>
      </c>
      <c r="M176" t="s">
        <v>15</v>
      </c>
    </row>
    <row r="177" spans="1:13" x14ac:dyDescent="0.25">
      <c r="A177">
        <v>176</v>
      </c>
      <c r="B177" t="s">
        <v>364</v>
      </c>
      <c r="C177" s="1">
        <v>37.454959689699997</v>
      </c>
      <c r="D177" s="1">
        <v>-7.1267418854300004</v>
      </c>
      <c r="E177" s="3">
        <v>1</v>
      </c>
      <c r="F177" s="2">
        <v>1</v>
      </c>
      <c r="G177" s="4">
        <v>2</v>
      </c>
      <c r="H177" s="13"/>
      <c r="I177" s="15"/>
      <c r="J177" s="19">
        <v>1</v>
      </c>
      <c r="K177" s="2" t="s">
        <v>365</v>
      </c>
      <c r="L177" s="11" t="str">
        <f t="shared" si="2"/>
        <v>Ver Imagen</v>
      </c>
      <c r="M177" t="s">
        <v>15</v>
      </c>
    </row>
    <row r="178" spans="1:13" x14ac:dyDescent="0.25">
      <c r="A178">
        <v>177</v>
      </c>
      <c r="B178" t="s">
        <v>366</v>
      </c>
      <c r="C178" s="1">
        <v>37.454577942100002</v>
      </c>
      <c r="D178" s="1">
        <v>-7.1268819465300002</v>
      </c>
      <c r="E178" s="3">
        <v>1</v>
      </c>
      <c r="F178" s="2">
        <v>1</v>
      </c>
      <c r="G178" s="4">
        <v>2</v>
      </c>
      <c r="H178" s="13"/>
      <c r="I178" s="15"/>
      <c r="J178" s="19">
        <v>1</v>
      </c>
      <c r="K178" s="2" t="s">
        <v>367</v>
      </c>
      <c r="L178" s="11" t="str">
        <f t="shared" ref="L178:L241" si="3">HYPERLINK("1\1\" &amp; K178, "Ver Imagen")</f>
        <v>Ver Imagen</v>
      </c>
      <c r="M178" t="s">
        <v>15</v>
      </c>
    </row>
    <row r="179" spans="1:13" x14ac:dyDescent="0.25">
      <c r="A179">
        <v>178</v>
      </c>
      <c r="B179" t="s">
        <v>368</v>
      </c>
      <c r="C179" s="1">
        <v>37.454372168900001</v>
      </c>
      <c r="D179" s="1">
        <v>-7.1269561717499998</v>
      </c>
      <c r="E179" s="3">
        <v>2</v>
      </c>
      <c r="F179" s="2">
        <v>1</v>
      </c>
      <c r="G179" s="4">
        <v>1</v>
      </c>
      <c r="H179" s="13"/>
      <c r="I179" s="15"/>
      <c r="J179" s="19">
        <v>1</v>
      </c>
      <c r="K179" s="2" t="s">
        <v>369</v>
      </c>
      <c r="L179" s="11" t="str">
        <f t="shared" si="3"/>
        <v>Ver Imagen</v>
      </c>
      <c r="M179" t="s">
        <v>15</v>
      </c>
    </row>
    <row r="180" spans="1:13" x14ac:dyDescent="0.25">
      <c r="A180">
        <v>179</v>
      </c>
      <c r="B180" t="s">
        <v>370</v>
      </c>
      <c r="C180" s="1">
        <v>37.453220563400002</v>
      </c>
      <c r="D180" s="1">
        <v>-7.1273076301899998</v>
      </c>
      <c r="E180" s="3">
        <v>1</v>
      </c>
      <c r="F180" s="2">
        <v>1</v>
      </c>
      <c r="G180" s="4">
        <v>2</v>
      </c>
      <c r="H180" s="13"/>
      <c r="I180" s="15"/>
      <c r="J180" s="19">
        <v>1</v>
      </c>
      <c r="K180" s="2" t="s">
        <v>371</v>
      </c>
      <c r="L180" s="11" t="str">
        <f t="shared" si="3"/>
        <v>Ver Imagen</v>
      </c>
      <c r="M180" t="s">
        <v>15</v>
      </c>
    </row>
    <row r="181" spans="1:13" x14ac:dyDescent="0.25">
      <c r="A181">
        <v>180</v>
      </c>
      <c r="B181" t="s">
        <v>372</v>
      </c>
      <c r="C181" s="1">
        <v>37.452983575899999</v>
      </c>
      <c r="D181" s="1">
        <v>-7.1273559558899997</v>
      </c>
      <c r="E181" s="3">
        <v>1</v>
      </c>
      <c r="F181" s="2">
        <v>1</v>
      </c>
      <c r="G181" s="4">
        <v>2</v>
      </c>
      <c r="H181" s="13"/>
      <c r="I181" s="15"/>
      <c r="J181" s="19">
        <v>1</v>
      </c>
      <c r="K181" s="2" t="s">
        <v>373</v>
      </c>
      <c r="L181" s="11" t="str">
        <f t="shared" si="3"/>
        <v>Ver Imagen</v>
      </c>
      <c r="M181" t="s">
        <v>15</v>
      </c>
    </row>
    <row r="182" spans="1:13" x14ac:dyDescent="0.25">
      <c r="A182">
        <v>181</v>
      </c>
      <c r="B182" t="s">
        <v>374</v>
      </c>
      <c r="C182" s="1">
        <v>37.452386651499999</v>
      </c>
      <c r="D182" s="1">
        <v>-7.1274403171199996</v>
      </c>
      <c r="E182" s="3">
        <v>1</v>
      </c>
      <c r="F182" s="2">
        <v>1</v>
      </c>
      <c r="G182" s="4">
        <v>2</v>
      </c>
      <c r="H182" s="13"/>
      <c r="I182" s="15"/>
      <c r="J182" s="19">
        <v>1</v>
      </c>
      <c r="K182" s="2" t="s">
        <v>375</v>
      </c>
      <c r="L182" s="11" t="str">
        <f t="shared" si="3"/>
        <v>Ver Imagen</v>
      </c>
      <c r="M182" t="s">
        <v>15</v>
      </c>
    </row>
    <row r="183" spans="1:13" x14ac:dyDescent="0.25">
      <c r="A183">
        <v>182</v>
      </c>
      <c r="B183" t="s">
        <v>376</v>
      </c>
      <c r="C183" s="1">
        <v>37.452211020199996</v>
      </c>
      <c r="D183" s="1">
        <v>-7.1274543326800002</v>
      </c>
      <c r="E183" s="3">
        <v>1</v>
      </c>
      <c r="F183" s="2">
        <v>1</v>
      </c>
      <c r="G183" s="4">
        <v>2</v>
      </c>
      <c r="H183" s="13"/>
      <c r="I183" s="15"/>
      <c r="J183" s="19">
        <v>1</v>
      </c>
      <c r="K183" s="2" t="s">
        <v>377</v>
      </c>
      <c r="L183" s="11" t="str">
        <f t="shared" si="3"/>
        <v>Ver Imagen</v>
      </c>
      <c r="M183" t="s">
        <v>15</v>
      </c>
    </row>
    <row r="184" spans="1:13" x14ac:dyDescent="0.25">
      <c r="A184">
        <v>183</v>
      </c>
      <c r="B184" t="s">
        <v>378</v>
      </c>
      <c r="C184" s="1">
        <v>37.451385991599999</v>
      </c>
      <c r="D184" s="1">
        <v>-7.1274557462999999</v>
      </c>
      <c r="E184" s="3">
        <v>1</v>
      </c>
      <c r="F184" s="2">
        <v>1</v>
      </c>
      <c r="G184" s="4">
        <v>2</v>
      </c>
      <c r="H184" s="13"/>
      <c r="I184" s="15"/>
      <c r="J184" s="19">
        <v>1</v>
      </c>
      <c r="K184" s="2" t="s">
        <v>379</v>
      </c>
      <c r="L184" s="11" t="str">
        <f t="shared" si="3"/>
        <v>Ver Imagen</v>
      </c>
      <c r="M184" t="s">
        <v>15</v>
      </c>
    </row>
    <row r="185" spans="1:13" x14ac:dyDescent="0.25">
      <c r="A185">
        <v>184</v>
      </c>
      <c r="B185" t="s">
        <v>380</v>
      </c>
      <c r="C185" s="1">
        <v>37.493420347899999</v>
      </c>
      <c r="D185" s="1">
        <v>-7.2771702700300001</v>
      </c>
      <c r="E185" s="3">
        <v>1</v>
      </c>
      <c r="F185" s="2">
        <v>1</v>
      </c>
      <c r="G185" s="4">
        <v>2</v>
      </c>
      <c r="H185" s="13"/>
      <c r="I185" s="15"/>
      <c r="J185" s="19">
        <v>1</v>
      </c>
      <c r="K185" s="2" t="s">
        <v>381</v>
      </c>
      <c r="L185" s="11" t="str">
        <f t="shared" si="3"/>
        <v>Ver Imagen</v>
      </c>
      <c r="M185" t="s">
        <v>15</v>
      </c>
    </row>
    <row r="186" spans="1:13" x14ac:dyDescent="0.25">
      <c r="A186">
        <v>185</v>
      </c>
      <c r="B186" t="s">
        <v>382</v>
      </c>
      <c r="C186" s="1">
        <v>37.493608680100003</v>
      </c>
      <c r="D186" s="1">
        <v>-7.2771062038099998</v>
      </c>
      <c r="E186" s="3">
        <v>1</v>
      </c>
      <c r="F186" s="2">
        <v>1</v>
      </c>
      <c r="G186" s="4">
        <v>2</v>
      </c>
      <c r="H186" s="13"/>
      <c r="I186" s="15"/>
      <c r="J186" s="19">
        <v>1</v>
      </c>
      <c r="K186" s="2" t="s">
        <v>383</v>
      </c>
      <c r="L186" s="11" t="str">
        <f t="shared" si="3"/>
        <v>Ver Imagen</v>
      </c>
      <c r="M186" t="s">
        <v>15</v>
      </c>
    </row>
    <row r="187" spans="1:13" x14ac:dyDescent="0.25">
      <c r="A187">
        <v>186</v>
      </c>
      <c r="B187" t="s">
        <v>384</v>
      </c>
      <c r="C187" s="1">
        <v>37.500169580700003</v>
      </c>
      <c r="D187" s="1">
        <v>-7.2670414024800003</v>
      </c>
      <c r="E187" s="3">
        <v>1</v>
      </c>
      <c r="F187" s="2">
        <v>1</v>
      </c>
      <c r="G187" s="4">
        <v>2</v>
      </c>
      <c r="H187" s="13"/>
      <c r="I187" s="15"/>
      <c r="J187" s="19">
        <v>1</v>
      </c>
      <c r="K187" s="2" t="s">
        <v>385</v>
      </c>
      <c r="L187" s="11" t="str">
        <f t="shared" si="3"/>
        <v>Ver Imagen</v>
      </c>
      <c r="M187" t="s">
        <v>15</v>
      </c>
    </row>
    <row r="188" spans="1:13" x14ac:dyDescent="0.25">
      <c r="A188">
        <v>187</v>
      </c>
      <c r="B188" t="s">
        <v>386</v>
      </c>
      <c r="C188" s="1">
        <v>37.517688912499999</v>
      </c>
      <c r="D188" s="1">
        <v>-7.2645119702500001</v>
      </c>
      <c r="E188" s="3">
        <v>1</v>
      </c>
      <c r="F188" s="2">
        <v>1</v>
      </c>
      <c r="G188" s="4">
        <v>2</v>
      </c>
      <c r="H188" s="13"/>
      <c r="I188" s="15"/>
      <c r="J188" s="19">
        <v>1</v>
      </c>
      <c r="K188" s="2" t="s">
        <v>387</v>
      </c>
      <c r="L188" s="11" t="str">
        <f t="shared" si="3"/>
        <v>Ver Imagen</v>
      </c>
      <c r="M188" t="s">
        <v>15</v>
      </c>
    </row>
    <row r="189" spans="1:13" x14ac:dyDescent="0.25">
      <c r="A189">
        <v>188</v>
      </c>
      <c r="B189" t="s">
        <v>388</v>
      </c>
      <c r="C189" s="1">
        <v>37.518013654400001</v>
      </c>
      <c r="D189" s="1">
        <v>-7.2638753617300003</v>
      </c>
      <c r="E189" s="3">
        <v>1</v>
      </c>
      <c r="F189" s="2">
        <v>1</v>
      </c>
      <c r="G189" s="4">
        <v>2</v>
      </c>
      <c r="H189" s="13"/>
      <c r="I189" s="15"/>
      <c r="J189" s="19">
        <v>1</v>
      </c>
      <c r="K189" s="2" t="s">
        <v>389</v>
      </c>
      <c r="L189" s="11" t="str">
        <f t="shared" si="3"/>
        <v>Ver Imagen</v>
      </c>
      <c r="M189" t="s">
        <v>15</v>
      </c>
    </row>
    <row r="190" spans="1:13" x14ac:dyDescent="0.25">
      <c r="A190">
        <v>189</v>
      </c>
      <c r="B190" t="s">
        <v>390</v>
      </c>
      <c r="C190" s="1">
        <v>37.271008046699997</v>
      </c>
      <c r="D190" s="1">
        <v>-6.9888626754200001</v>
      </c>
      <c r="E190" s="3">
        <v>2</v>
      </c>
      <c r="F190" s="2">
        <v>1</v>
      </c>
      <c r="G190" s="4">
        <v>1</v>
      </c>
      <c r="H190" s="13"/>
      <c r="I190" s="15"/>
      <c r="J190" s="19">
        <v>1</v>
      </c>
      <c r="K190" s="2" t="s">
        <v>391</v>
      </c>
      <c r="L190" s="11" t="str">
        <f t="shared" si="3"/>
        <v>Ver Imagen</v>
      </c>
      <c r="M190" t="s">
        <v>15</v>
      </c>
    </row>
    <row r="191" spans="1:13" x14ac:dyDescent="0.25">
      <c r="A191">
        <v>190</v>
      </c>
      <c r="B191" t="s">
        <v>392</v>
      </c>
      <c r="C191" s="1">
        <v>37.270476864599999</v>
      </c>
      <c r="D191" s="1">
        <v>-6.9893159840000001</v>
      </c>
      <c r="E191" s="3">
        <v>1</v>
      </c>
      <c r="F191" s="2">
        <v>1</v>
      </c>
      <c r="G191" s="4">
        <v>2</v>
      </c>
      <c r="H191" s="13"/>
      <c r="I191" s="15"/>
      <c r="J191" s="19">
        <v>1</v>
      </c>
      <c r="K191" s="2" t="s">
        <v>393</v>
      </c>
      <c r="L191" s="11" t="str">
        <f t="shared" si="3"/>
        <v>Ver Imagen</v>
      </c>
      <c r="M191" t="s">
        <v>15</v>
      </c>
    </row>
    <row r="192" spans="1:13" x14ac:dyDescent="0.25">
      <c r="A192">
        <v>191</v>
      </c>
      <c r="B192" t="s">
        <v>394</v>
      </c>
      <c r="C192" s="1">
        <v>37.270309899200001</v>
      </c>
      <c r="D192" s="1">
        <v>-6.9894328575799998</v>
      </c>
      <c r="E192" s="3">
        <v>1</v>
      </c>
      <c r="F192" s="2">
        <v>1</v>
      </c>
      <c r="G192" s="4">
        <v>2</v>
      </c>
      <c r="H192" s="13"/>
      <c r="I192" s="15"/>
      <c r="J192" s="19">
        <v>1</v>
      </c>
      <c r="K192" s="2" t="s">
        <v>395</v>
      </c>
      <c r="L192" s="11" t="str">
        <f t="shared" si="3"/>
        <v>Ver Imagen</v>
      </c>
      <c r="M192" t="s">
        <v>15</v>
      </c>
    </row>
    <row r="193" spans="1:13" x14ac:dyDescent="0.25">
      <c r="A193">
        <v>192</v>
      </c>
      <c r="B193" t="s">
        <v>396</v>
      </c>
      <c r="C193" s="1">
        <v>37.2655222438</v>
      </c>
      <c r="D193" s="1">
        <v>-6.9959534888199997</v>
      </c>
      <c r="E193" s="3">
        <v>2</v>
      </c>
      <c r="F193" s="2">
        <v>1</v>
      </c>
      <c r="G193" s="4">
        <v>1</v>
      </c>
      <c r="H193" s="13"/>
      <c r="I193" s="15"/>
      <c r="J193" s="19">
        <v>1</v>
      </c>
      <c r="K193" s="2" t="s">
        <v>397</v>
      </c>
      <c r="L193" s="11" t="str">
        <f t="shared" si="3"/>
        <v>Ver Imagen</v>
      </c>
      <c r="M193" t="s">
        <v>15</v>
      </c>
    </row>
    <row r="194" spans="1:13" x14ac:dyDescent="0.25">
      <c r="A194">
        <v>193</v>
      </c>
      <c r="B194" t="s">
        <v>398</v>
      </c>
      <c r="C194" s="1">
        <v>37.265479634999998</v>
      </c>
      <c r="D194" s="1">
        <v>-6.9961804902700004</v>
      </c>
      <c r="E194" s="3">
        <v>1</v>
      </c>
      <c r="F194" s="2">
        <v>2</v>
      </c>
      <c r="G194" s="4">
        <v>1</v>
      </c>
      <c r="H194" s="13"/>
      <c r="I194" s="15"/>
      <c r="J194" s="19">
        <v>1</v>
      </c>
      <c r="K194" s="2" t="s">
        <v>399</v>
      </c>
      <c r="L194" s="11" t="str">
        <f t="shared" si="3"/>
        <v>Ver Imagen</v>
      </c>
      <c r="M194" t="s">
        <v>15</v>
      </c>
    </row>
    <row r="195" spans="1:13" x14ac:dyDescent="0.25">
      <c r="A195">
        <v>194</v>
      </c>
      <c r="B195" t="s">
        <v>400</v>
      </c>
      <c r="C195" s="1">
        <v>37.213597397000001</v>
      </c>
      <c r="D195" s="1">
        <v>-7.0236596093100001</v>
      </c>
      <c r="E195" s="3">
        <v>1</v>
      </c>
      <c r="F195" s="2">
        <v>1</v>
      </c>
      <c r="G195" s="4">
        <v>2</v>
      </c>
      <c r="H195" s="13"/>
      <c r="I195" s="15"/>
      <c r="J195" s="19">
        <v>1</v>
      </c>
      <c r="K195" s="2" t="s">
        <v>401</v>
      </c>
      <c r="L195" s="11" t="str">
        <f t="shared" si="3"/>
        <v>Ver Imagen</v>
      </c>
      <c r="M195" t="s">
        <v>15</v>
      </c>
    </row>
    <row r="196" spans="1:13" x14ac:dyDescent="0.25">
      <c r="A196">
        <v>195</v>
      </c>
      <c r="B196" t="s">
        <v>402</v>
      </c>
      <c r="C196" s="1">
        <v>37.213972956799999</v>
      </c>
      <c r="D196" s="1">
        <v>-7.0235947766200004</v>
      </c>
      <c r="E196" s="3">
        <v>1</v>
      </c>
      <c r="F196" s="2">
        <v>1</v>
      </c>
      <c r="G196" s="4">
        <v>2</v>
      </c>
      <c r="H196" s="13"/>
      <c r="I196" s="15"/>
      <c r="J196" s="19">
        <v>1</v>
      </c>
      <c r="K196" s="2" t="s">
        <v>403</v>
      </c>
      <c r="L196" s="11" t="str">
        <f t="shared" si="3"/>
        <v>Ver Imagen</v>
      </c>
      <c r="M196" t="s">
        <v>15</v>
      </c>
    </row>
    <row r="197" spans="1:13" x14ac:dyDescent="0.25">
      <c r="A197">
        <v>196</v>
      </c>
      <c r="B197" t="s">
        <v>404</v>
      </c>
      <c r="C197" s="1">
        <v>37.214154613300003</v>
      </c>
      <c r="D197" s="1">
        <v>-7.0235632742199998</v>
      </c>
      <c r="E197" s="3">
        <v>1</v>
      </c>
      <c r="F197" s="2">
        <v>1</v>
      </c>
      <c r="G197" s="4">
        <v>2</v>
      </c>
      <c r="H197" s="13"/>
      <c r="I197" s="15"/>
      <c r="J197" s="19">
        <v>1</v>
      </c>
      <c r="K197" s="2" t="s">
        <v>405</v>
      </c>
      <c r="L197" s="11" t="str">
        <f t="shared" si="3"/>
        <v>Ver Imagen</v>
      </c>
      <c r="M197" t="s">
        <v>15</v>
      </c>
    </row>
    <row r="198" spans="1:13" x14ac:dyDescent="0.25">
      <c r="A198">
        <v>197</v>
      </c>
      <c r="B198" t="s">
        <v>406</v>
      </c>
      <c r="C198" s="1">
        <v>37.214352108900002</v>
      </c>
      <c r="D198" s="1">
        <v>-7.0235283598400002</v>
      </c>
      <c r="E198" s="3">
        <v>1</v>
      </c>
      <c r="F198" s="2">
        <v>1</v>
      </c>
      <c r="G198" s="4">
        <v>2</v>
      </c>
      <c r="H198" s="13"/>
      <c r="I198" s="15"/>
      <c r="J198" s="19">
        <v>1</v>
      </c>
      <c r="K198" s="2" t="s">
        <v>407</v>
      </c>
      <c r="L198" s="11" t="str">
        <f t="shared" si="3"/>
        <v>Ver Imagen</v>
      </c>
      <c r="M198" t="s">
        <v>15</v>
      </c>
    </row>
    <row r="199" spans="1:13" x14ac:dyDescent="0.25">
      <c r="A199">
        <v>198</v>
      </c>
      <c r="B199" t="s">
        <v>408</v>
      </c>
      <c r="C199" s="1">
        <v>37.2252934805</v>
      </c>
      <c r="D199" s="1">
        <v>-7.0233598681</v>
      </c>
      <c r="E199" s="3">
        <v>1</v>
      </c>
      <c r="F199" s="2">
        <v>1</v>
      </c>
      <c r="G199" s="4">
        <v>2</v>
      </c>
      <c r="H199" s="13"/>
      <c r="I199" s="15"/>
      <c r="J199" s="19">
        <v>1</v>
      </c>
      <c r="K199" s="2" t="s">
        <v>409</v>
      </c>
      <c r="L199" s="11" t="str">
        <f t="shared" si="3"/>
        <v>Ver Imagen</v>
      </c>
      <c r="M199" t="s">
        <v>15</v>
      </c>
    </row>
    <row r="200" spans="1:13" x14ac:dyDescent="0.25">
      <c r="A200">
        <v>199</v>
      </c>
      <c r="B200" t="s">
        <v>410</v>
      </c>
      <c r="C200" s="1">
        <v>37.225118102700002</v>
      </c>
      <c r="D200" s="1">
        <v>-7.0233795077799996</v>
      </c>
      <c r="E200" s="3">
        <v>1</v>
      </c>
      <c r="F200" s="2">
        <v>1</v>
      </c>
      <c r="G200" s="4">
        <v>2</v>
      </c>
      <c r="H200" s="13"/>
      <c r="I200" s="15"/>
      <c r="J200" s="19">
        <v>1</v>
      </c>
      <c r="K200" s="2" t="s">
        <v>411</v>
      </c>
      <c r="L200" s="11" t="str">
        <f t="shared" si="3"/>
        <v>Ver Imagen</v>
      </c>
      <c r="M200" t="s">
        <v>15</v>
      </c>
    </row>
    <row r="201" spans="1:13" x14ac:dyDescent="0.25">
      <c r="A201">
        <v>200</v>
      </c>
      <c r="B201" t="s">
        <v>412</v>
      </c>
      <c r="C201" s="1">
        <v>37.224096768499997</v>
      </c>
      <c r="D201" s="1">
        <v>-7.0233507939699997</v>
      </c>
      <c r="E201" s="3">
        <v>1</v>
      </c>
      <c r="F201" s="2">
        <v>1</v>
      </c>
      <c r="G201" s="4">
        <v>2</v>
      </c>
      <c r="H201" s="13"/>
      <c r="I201" s="15"/>
      <c r="J201" s="19">
        <v>1</v>
      </c>
      <c r="K201" s="2" t="s">
        <v>413</v>
      </c>
      <c r="L201" s="11" t="str">
        <f t="shared" si="3"/>
        <v>Ver Imagen</v>
      </c>
      <c r="M201" t="s">
        <v>15</v>
      </c>
    </row>
    <row r="202" spans="1:13" x14ac:dyDescent="0.25">
      <c r="A202">
        <v>201</v>
      </c>
      <c r="B202" t="s">
        <v>414</v>
      </c>
      <c r="C202" s="1">
        <v>37.223898026800001</v>
      </c>
      <c r="D202" s="1">
        <v>-7.0233324848000001</v>
      </c>
      <c r="E202" s="3">
        <v>1</v>
      </c>
      <c r="F202" s="2">
        <v>1</v>
      </c>
      <c r="G202" s="4">
        <v>2</v>
      </c>
      <c r="H202" s="13"/>
      <c r="I202" s="15"/>
      <c r="J202" s="19">
        <v>1</v>
      </c>
      <c r="K202" s="2" t="s">
        <v>415</v>
      </c>
      <c r="L202" s="11" t="str">
        <f t="shared" si="3"/>
        <v>Ver Imagen</v>
      </c>
      <c r="M202" t="s">
        <v>15</v>
      </c>
    </row>
    <row r="203" spans="1:13" x14ac:dyDescent="0.25">
      <c r="A203">
        <v>202</v>
      </c>
      <c r="B203" t="s">
        <v>416</v>
      </c>
      <c r="C203" s="1">
        <v>37.209406719500002</v>
      </c>
      <c r="D203" s="1">
        <v>-7.0234663690100003</v>
      </c>
      <c r="E203" s="3">
        <v>1</v>
      </c>
      <c r="F203" s="2">
        <v>1</v>
      </c>
      <c r="G203" s="4">
        <v>2</v>
      </c>
      <c r="H203" s="13"/>
      <c r="I203" s="15"/>
      <c r="J203" s="19">
        <v>1</v>
      </c>
      <c r="K203" s="2" t="s">
        <v>417</v>
      </c>
      <c r="L203" s="11" t="str">
        <f t="shared" si="3"/>
        <v>Ver Imagen</v>
      </c>
      <c r="M203" t="s">
        <v>15</v>
      </c>
    </row>
    <row r="204" spans="1:13" x14ac:dyDescent="0.25">
      <c r="A204">
        <v>203</v>
      </c>
      <c r="B204" t="s">
        <v>418</v>
      </c>
      <c r="C204" s="1">
        <v>37.2092259211</v>
      </c>
      <c r="D204" s="1">
        <v>-7.0233729754900001</v>
      </c>
      <c r="E204" s="3">
        <v>1</v>
      </c>
      <c r="F204" s="2">
        <v>1</v>
      </c>
      <c r="G204" s="4">
        <v>2</v>
      </c>
      <c r="H204" s="13"/>
      <c r="I204" s="15"/>
      <c r="J204" s="19">
        <v>1</v>
      </c>
      <c r="K204" s="2" t="s">
        <v>419</v>
      </c>
      <c r="L204" s="11" t="str">
        <f t="shared" si="3"/>
        <v>Ver Imagen</v>
      </c>
      <c r="M204" t="s">
        <v>15</v>
      </c>
    </row>
    <row r="205" spans="1:13" x14ac:dyDescent="0.25">
      <c r="A205">
        <v>204</v>
      </c>
      <c r="B205" t="s">
        <v>420</v>
      </c>
      <c r="C205" s="1">
        <v>37.209052309900002</v>
      </c>
      <c r="D205" s="1">
        <v>-7.0232755115999996</v>
      </c>
      <c r="E205" s="3">
        <v>1</v>
      </c>
      <c r="F205" s="2">
        <v>1</v>
      </c>
      <c r="G205" s="4">
        <v>2</v>
      </c>
      <c r="H205" s="13"/>
      <c r="I205" s="15"/>
      <c r="J205" s="19">
        <v>1</v>
      </c>
      <c r="K205" s="2" t="s">
        <v>421</v>
      </c>
      <c r="L205" s="11" t="str">
        <f t="shared" si="3"/>
        <v>Ver Imagen</v>
      </c>
      <c r="M205" t="s">
        <v>15</v>
      </c>
    </row>
    <row r="206" spans="1:13" x14ac:dyDescent="0.25">
      <c r="A206">
        <v>205</v>
      </c>
      <c r="B206" t="s">
        <v>422</v>
      </c>
      <c r="C206" s="1">
        <v>37.2056282418</v>
      </c>
      <c r="D206" s="1">
        <v>-7.0186982882900004</v>
      </c>
      <c r="E206" s="3">
        <v>1</v>
      </c>
      <c r="F206" s="2">
        <v>1</v>
      </c>
      <c r="G206" s="4">
        <v>2</v>
      </c>
      <c r="H206" s="13"/>
      <c r="I206" s="15"/>
      <c r="J206" s="19">
        <v>1</v>
      </c>
      <c r="K206" s="2" t="s">
        <v>423</v>
      </c>
      <c r="L206" s="11" t="str">
        <f t="shared" si="3"/>
        <v>Ver Imagen</v>
      </c>
      <c r="M206" t="s">
        <v>15</v>
      </c>
    </row>
    <row r="207" spans="1:13" x14ac:dyDescent="0.25">
      <c r="A207">
        <v>206</v>
      </c>
      <c r="B207" t="s">
        <v>424</v>
      </c>
      <c r="C207" s="1">
        <v>37.205435308799998</v>
      </c>
      <c r="D207" s="1">
        <v>-7.0180825526200001</v>
      </c>
      <c r="E207" s="3">
        <v>1</v>
      </c>
      <c r="F207" s="2">
        <v>1</v>
      </c>
      <c r="G207" s="4">
        <v>2</v>
      </c>
      <c r="H207" s="13"/>
      <c r="I207" s="15"/>
      <c r="J207" s="19">
        <v>1</v>
      </c>
      <c r="K207" s="2" t="s">
        <v>425</v>
      </c>
      <c r="L207" s="11" t="str">
        <f t="shared" si="3"/>
        <v>Ver Imagen</v>
      </c>
      <c r="M207" t="s">
        <v>15</v>
      </c>
    </row>
    <row r="208" spans="1:13" x14ac:dyDescent="0.25">
      <c r="A208">
        <v>207</v>
      </c>
      <c r="B208" t="s">
        <v>426</v>
      </c>
      <c r="C208" s="1">
        <v>37.205289438100003</v>
      </c>
      <c r="D208" s="1">
        <v>-7.0175635600300001</v>
      </c>
      <c r="E208" s="3">
        <v>1</v>
      </c>
      <c r="F208" s="2">
        <v>1</v>
      </c>
      <c r="G208" s="4">
        <v>2</v>
      </c>
      <c r="H208" s="13"/>
      <c r="I208" s="15"/>
      <c r="J208" s="19">
        <v>1</v>
      </c>
      <c r="K208" s="2" t="s">
        <v>427</v>
      </c>
      <c r="L208" s="11" t="str">
        <f t="shared" si="3"/>
        <v>Ver Imagen</v>
      </c>
      <c r="M208" t="s">
        <v>15</v>
      </c>
    </row>
    <row r="209" spans="1:13" x14ac:dyDescent="0.25">
      <c r="A209">
        <v>208</v>
      </c>
      <c r="B209" t="s">
        <v>428</v>
      </c>
      <c r="C209" s="1">
        <v>37.205232534399997</v>
      </c>
      <c r="D209" s="1">
        <v>-7.01734578742</v>
      </c>
      <c r="E209" s="3">
        <v>1</v>
      </c>
      <c r="F209" s="2">
        <v>1</v>
      </c>
      <c r="G209" s="4">
        <v>2</v>
      </c>
      <c r="H209" s="13"/>
      <c r="I209" s="15"/>
      <c r="J209" s="19">
        <v>1</v>
      </c>
      <c r="K209" s="2" t="s">
        <v>429</v>
      </c>
      <c r="L209" s="11" t="str">
        <f t="shared" si="3"/>
        <v>Ver Imagen</v>
      </c>
      <c r="M209" t="s">
        <v>15</v>
      </c>
    </row>
    <row r="210" spans="1:13" x14ac:dyDescent="0.25">
      <c r="A210">
        <v>209</v>
      </c>
      <c r="B210" t="s">
        <v>430</v>
      </c>
      <c r="C210" s="1">
        <v>37.221648925899999</v>
      </c>
      <c r="D210" s="1">
        <v>-7.0229317840099998</v>
      </c>
      <c r="E210" s="3">
        <v>1</v>
      </c>
      <c r="F210" s="2">
        <v>1</v>
      </c>
      <c r="G210" s="4">
        <v>2</v>
      </c>
      <c r="H210" s="13"/>
      <c r="I210" s="15"/>
      <c r="J210" s="19">
        <v>1</v>
      </c>
      <c r="K210" s="2" t="s">
        <v>431</v>
      </c>
      <c r="L210" s="11" t="str">
        <f t="shared" si="3"/>
        <v>Ver Imagen</v>
      </c>
      <c r="M210" t="s">
        <v>15</v>
      </c>
    </row>
    <row r="211" spans="1:13" x14ac:dyDescent="0.25">
      <c r="A211">
        <v>210</v>
      </c>
      <c r="B211" t="s">
        <v>432</v>
      </c>
      <c r="C211" s="1">
        <v>37.2226225195</v>
      </c>
      <c r="D211" s="1">
        <v>-7.0230260190399996</v>
      </c>
      <c r="E211" s="3">
        <v>1</v>
      </c>
      <c r="F211" s="2">
        <v>1</v>
      </c>
      <c r="G211" s="4">
        <v>2</v>
      </c>
      <c r="H211" s="13"/>
      <c r="I211" s="15"/>
      <c r="J211" s="19">
        <v>1</v>
      </c>
      <c r="K211" s="2" t="s">
        <v>433</v>
      </c>
      <c r="L211" s="11" t="str">
        <f t="shared" si="3"/>
        <v>Ver Imagen</v>
      </c>
      <c r="M211" t="s">
        <v>15</v>
      </c>
    </row>
    <row r="212" spans="1:13" x14ac:dyDescent="0.25">
      <c r="A212">
        <v>211</v>
      </c>
      <c r="B212" t="s">
        <v>434</v>
      </c>
      <c r="C212" s="1">
        <v>37.227335167600003</v>
      </c>
      <c r="D212" s="1">
        <v>-7.02227432904</v>
      </c>
      <c r="E212" s="3">
        <v>2</v>
      </c>
      <c r="F212" s="2">
        <v>1</v>
      </c>
      <c r="G212" s="4">
        <v>1</v>
      </c>
      <c r="H212" s="13"/>
      <c r="I212" s="15"/>
      <c r="J212" s="19">
        <v>1</v>
      </c>
      <c r="K212" s="2" t="s">
        <v>435</v>
      </c>
      <c r="L212" s="11" t="str">
        <f t="shared" si="3"/>
        <v>Ver Imagen</v>
      </c>
      <c r="M212" t="s">
        <v>15</v>
      </c>
    </row>
    <row r="213" spans="1:13" x14ac:dyDescent="0.25">
      <c r="A213">
        <v>212</v>
      </c>
      <c r="B213" t="s">
        <v>436</v>
      </c>
      <c r="C213" s="1">
        <v>37.227625043300002</v>
      </c>
      <c r="D213" s="1">
        <v>-7.0220586818599999</v>
      </c>
      <c r="E213" s="3">
        <v>2</v>
      </c>
      <c r="F213" s="2">
        <v>1</v>
      </c>
      <c r="G213" s="4">
        <v>1</v>
      </c>
      <c r="H213" s="13"/>
      <c r="I213" s="15"/>
      <c r="J213" s="19">
        <v>1</v>
      </c>
      <c r="K213" s="2" t="s">
        <v>437</v>
      </c>
      <c r="L213" s="11" t="str">
        <f t="shared" si="3"/>
        <v>Ver Imagen</v>
      </c>
      <c r="M213" t="s">
        <v>15</v>
      </c>
    </row>
    <row r="214" spans="1:13" x14ac:dyDescent="0.25">
      <c r="A214">
        <v>213</v>
      </c>
      <c r="B214" t="s">
        <v>438</v>
      </c>
      <c r="C214" s="1">
        <v>37.2283785917</v>
      </c>
      <c r="D214" s="1">
        <v>-7.0214924630400004</v>
      </c>
      <c r="E214" s="3">
        <v>1</v>
      </c>
      <c r="F214" s="2">
        <v>1</v>
      </c>
      <c r="G214" s="4">
        <v>2</v>
      </c>
      <c r="H214" s="13"/>
      <c r="I214" s="15"/>
      <c r="J214" s="19">
        <v>1</v>
      </c>
      <c r="K214" s="2" t="s">
        <v>439</v>
      </c>
      <c r="L214" s="11" t="str">
        <f t="shared" si="3"/>
        <v>Ver Imagen</v>
      </c>
      <c r="M214" t="s">
        <v>15</v>
      </c>
    </row>
    <row r="215" spans="1:13" x14ac:dyDescent="0.25">
      <c r="A215">
        <v>214</v>
      </c>
      <c r="B215" t="s">
        <v>440</v>
      </c>
      <c r="C215" s="1">
        <v>37.229210176400002</v>
      </c>
      <c r="D215" s="1">
        <v>-7.0208570232599996</v>
      </c>
      <c r="E215" s="3">
        <v>1</v>
      </c>
      <c r="F215" s="2">
        <v>1</v>
      </c>
      <c r="G215" s="4">
        <v>2</v>
      </c>
      <c r="H215" s="13"/>
      <c r="I215" s="15"/>
      <c r="J215" s="19">
        <v>1</v>
      </c>
      <c r="K215" s="2" t="s">
        <v>441</v>
      </c>
      <c r="L215" s="11" t="str">
        <f t="shared" si="3"/>
        <v>Ver Imagen</v>
      </c>
      <c r="M215" t="s">
        <v>15</v>
      </c>
    </row>
    <row r="216" spans="1:13" x14ac:dyDescent="0.25">
      <c r="A216">
        <v>215</v>
      </c>
      <c r="B216" t="s">
        <v>442</v>
      </c>
      <c r="C216" s="1">
        <v>37.264882143100003</v>
      </c>
      <c r="D216" s="1">
        <v>-6.9989017240900004</v>
      </c>
      <c r="E216" s="3">
        <v>1</v>
      </c>
      <c r="F216" s="2">
        <v>2</v>
      </c>
      <c r="G216" s="4">
        <v>1</v>
      </c>
      <c r="H216" s="13"/>
      <c r="I216" s="15"/>
      <c r="J216" s="19">
        <v>1</v>
      </c>
      <c r="K216" s="2" t="s">
        <v>443</v>
      </c>
      <c r="L216" s="11" t="str">
        <f t="shared" si="3"/>
        <v>Ver Imagen</v>
      </c>
      <c r="M216" t="s">
        <v>15</v>
      </c>
    </row>
    <row r="217" spans="1:13" x14ac:dyDescent="0.25">
      <c r="A217">
        <v>216</v>
      </c>
      <c r="B217" t="s">
        <v>444</v>
      </c>
      <c r="C217" s="1">
        <v>37.2650146792</v>
      </c>
      <c r="D217" s="1">
        <v>-6.9981442285700002</v>
      </c>
      <c r="E217" s="3">
        <v>1</v>
      </c>
      <c r="F217" s="2">
        <v>2</v>
      </c>
      <c r="G217" s="4">
        <v>1</v>
      </c>
      <c r="H217" s="13"/>
      <c r="I217" s="15"/>
      <c r="J217" s="19">
        <v>1</v>
      </c>
      <c r="K217" s="2" t="s">
        <v>445</v>
      </c>
      <c r="L217" s="11" t="str">
        <f t="shared" si="3"/>
        <v>Ver Imagen</v>
      </c>
      <c r="M217" t="s">
        <v>15</v>
      </c>
    </row>
    <row r="218" spans="1:13" x14ac:dyDescent="0.25">
      <c r="A218">
        <v>217</v>
      </c>
      <c r="B218" t="s">
        <v>446</v>
      </c>
      <c r="C218" s="1">
        <v>37.265284673899998</v>
      </c>
      <c r="D218" s="1">
        <v>-6.9966499049599999</v>
      </c>
      <c r="E218" s="3">
        <v>1</v>
      </c>
      <c r="F218" s="2">
        <v>2</v>
      </c>
      <c r="G218" s="4">
        <v>1</v>
      </c>
      <c r="H218" s="13"/>
      <c r="I218" s="15"/>
      <c r="J218" s="19">
        <v>1</v>
      </c>
      <c r="K218" s="2" t="s">
        <v>447</v>
      </c>
      <c r="L218" s="11" t="str">
        <f t="shared" si="3"/>
        <v>Ver Imagen</v>
      </c>
      <c r="M218" t="s">
        <v>15</v>
      </c>
    </row>
    <row r="219" spans="1:13" x14ac:dyDescent="0.25">
      <c r="A219">
        <v>218</v>
      </c>
      <c r="B219" t="s">
        <v>448</v>
      </c>
      <c r="C219" s="1">
        <v>37.265505572499997</v>
      </c>
      <c r="D219" s="1">
        <v>-6.9953928651900004</v>
      </c>
      <c r="E219" s="3">
        <v>1</v>
      </c>
      <c r="F219" s="2">
        <v>2</v>
      </c>
      <c r="G219" s="4">
        <v>1</v>
      </c>
      <c r="H219" s="13"/>
      <c r="I219" s="15"/>
      <c r="J219" s="19">
        <v>1</v>
      </c>
      <c r="K219" s="2" t="s">
        <v>449</v>
      </c>
      <c r="L219" s="11" t="str">
        <f t="shared" si="3"/>
        <v>Ver Imagen</v>
      </c>
      <c r="M219" t="s">
        <v>15</v>
      </c>
    </row>
    <row r="220" spans="1:13" x14ac:dyDescent="0.25">
      <c r="A220">
        <v>219</v>
      </c>
      <c r="B220" t="s">
        <v>450</v>
      </c>
      <c r="C220" s="1">
        <v>37.487144796599999</v>
      </c>
      <c r="D220" s="1">
        <v>-7.2426827427199996</v>
      </c>
      <c r="E220" s="3">
        <v>1</v>
      </c>
      <c r="F220" s="2">
        <v>1</v>
      </c>
      <c r="G220" s="4">
        <v>2</v>
      </c>
      <c r="H220" s="13"/>
      <c r="I220" s="15"/>
      <c r="J220" s="19">
        <v>1</v>
      </c>
      <c r="K220" s="2" t="s">
        <v>451</v>
      </c>
      <c r="L220" s="11" t="str">
        <f t="shared" si="3"/>
        <v>Ver Imagen</v>
      </c>
      <c r="M220" t="s">
        <v>15</v>
      </c>
    </row>
    <row r="221" spans="1:13" x14ac:dyDescent="0.25">
      <c r="A221">
        <v>220</v>
      </c>
      <c r="B221" t="s">
        <v>452</v>
      </c>
      <c r="C221" s="1">
        <v>37.483925458100003</v>
      </c>
      <c r="D221" s="1">
        <v>-7.22493053017</v>
      </c>
      <c r="E221" s="3">
        <v>1</v>
      </c>
      <c r="F221" s="2">
        <v>1</v>
      </c>
      <c r="G221" s="4">
        <v>2</v>
      </c>
      <c r="H221" s="13"/>
      <c r="I221" s="15"/>
      <c r="J221" s="19">
        <v>1</v>
      </c>
      <c r="K221" s="2" t="s">
        <v>453</v>
      </c>
      <c r="L221" s="11" t="str">
        <f t="shared" si="3"/>
        <v>Ver Imagen</v>
      </c>
      <c r="M221" t="s">
        <v>15</v>
      </c>
    </row>
    <row r="222" spans="1:13" x14ac:dyDescent="0.25">
      <c r="A222">
        <v>221</v>
      </c>
      <c r="B222" t="s">
        <v>454</v>
      </c>
      <c r="C222" s="1">
        <v>37.483971228599998</v>
      </c>
      <c r="D222" s="1">
        <v>-7.2251662267299999</v>
      </c>
      <c r="E222" s="3">
        <v>1</v>
      </c>
      <c r="F222" s="2">
        <v>1</v>
      </c>
      <c r="G222" s="4">
        <v>2</v>
      </c>
      <c r="H222" s="13"/>
      <c r="I222" s="15"/>
      <c r="J222" s="19">
        <v>1</v>
      </c>
      <c r="K222" s="2" t="s">
        <v>455</v>
      </c>
      <c r="L222" s="11" t="str">
        <f t="shared" si="3"/>
        <v>Ver Imagen</v>
      </c>
      <c r="M222" t="s">
        <v>15</v>
      </c>
    </row>
    <row r="223" spans="1:13" x14ac:dyDescent="0.25">
      <c r="A223">
        <v>222</v>
      </c>
      <c r="B223" t="s">
        <v>456</v>
      </c>
      <c r="C223" s="1">
        <v>37.484243458900004</v>
      </c>
      <c r="D223" s="1">
        <v>-7.2265821317199999</v>
      </c>
      <c r="E223" s="3">
        <v>1</v>
      </c>
      <c r="F223" s="2">
        <v>1</v>
      </c>
      <c r="G223" s="4">
        <v>2</v>
      </c>
      <c r="H223" s="13"/>
      <c r="I223" s="15"/>
      <c r="J223" s="19">
        <v>1</v>
      </c>
      <c r="K223" s="2" t="s">
        <v>457</v>
      </c>
      <c r="L223" s="11" t="str">
        <f t="shared" si="3"/>
        <v>Ver Imagen</v>
      </c>
      <c r="M223" t="s">
        <v>15</v>
      </c>
    </row>
    <row r="224" spans="1:13" x14ac:dyDescent="0.25">
      <c r="A224">
        <v>223</v>
      </c>
      <c r="B224" t="s">
        <v>458</v>
      </c>
      <c r="C224" s="1">
        <v>37.484316395299999</v>
      </c>
      <c r="D224" s="1">
        <v>-7.2269555144700002</v>
      </c>
      <c r="E224" s="3">
        <v>1</v>
      </c>
      <c r="F224" s="2">
        <v>1</v>
      </c>
      <c r="G224" s="4">
        <v>2</v>
      </c>
      <c r="H224" s="13"/>
      <c r="I224" s="15"/>
      <c r="J224" s="19">
        <v>1</v>
      </c>
      <c r="K224" s="2" t="s">
        <v>459</v>
      </c>
      <c r="L224" s="11" t="str">
        <f t="shared" si="3"/>
        <v>Ver Imagen</v>
      </c>
      <c r="M224" t="s">
        <v>15</v>
      </c>
    </row>
    <row r="225" spans="1:13" x14ac:dyDescent="0.25">
      <c r="A225">
        <v>224</v>
      </c>
      <c r="B225" t="s">
        <v>460</v>
      </c>
      <c r="C225" s="1">
        <v>37.4843929002</v>
      </c>
      <c r="D225" s="1">
        <v>-7.2273399735400004</v>
      </c>
      <c r="E225" s="3">
        <v>1</v>
      </c>
      <c r="F225" s="2">
        <v>1</v>
      </c>
      <c r="G225" s="4">
        <v>2</v>
      </c>
      <c r="H225" s="13"/>
      <c r="I225" s="15"/>
      <c r="J225" s="19">
        <v>1</v>
      </c>
      <c r="K225" s="2" t="s">
        <v>461</v>
      </c>
      <c r="L225" s="11" t="str">
        <f t="shared" si="3"/>
        <v>Ver Imagen</v>
      </c>
      <c r="M225" t="s">
        <v>15</v>
      </c>
    </row>
    <row r="226" spans="1:13" x14ac:dyDescent="0.25">
      <c r="A226">
        <v>225</v>
      </c>
      <c r="B226" t="s">
        <v>462</v>
      </c>
      <c r="C226" s="1">
        <v>37.484878667499999</v>
      </c>
      <c r="D226" s="1">
        <v>-7.2298223733200002</v>
      </c>
      <c r="E226" s="3">
        <v>1</v>
      </c>
      <c r="F226" s="2">
        <v>1</v>
      </c>
      <c r="G226" s="4">
        <v>2</v>
      </c>
      <c r="H226" s="13"/>
      <c r="I226" s="15"/>
      <c r="J226" s="19">
        <v>1</v>
      </c>
      <c r="K226" s="2" t="s">
        <v>463</v>
      </c>
      <c r="L226" s="11" t="str">
        <f t="shared" si="3"/>
        <v>Ver Imagen</v>
      </c>
      <c r="M226" t="s">
        <v>15</v>
      </c>
    </row>
    <row r="227" spans="1:13" x14ac:dyDescent="0.25">
      <c r="A227">
        <v>226</v>
      </c>
      <c r="B227" t="s">
        <v>464</v>
      </c>
      <c r="C227" s="1">
        <v>37.4851193975</v>
      </c>
      <c r="D227" s="1">
        <v>-7.2310644812199998</v>
      </c>
      <c r="E227" s="3">
        <v>1</v>
      </c>
      <c r="F227" s="2">
        <v>1</v>
      </c>
      <c r="G227" s="4">
        <v>2</v>
      </c>
      <c r="H227" s="13"/>
      <c r="I227" s="15"/>
      <c r="J227" s="19">
        <v>1</v>
      </c>
      <c r="K227" s="2" t="s">
        <v>465</v>
      </c>
      <c r="L227" s="11" t="str">
        <f t="shared" si="3"/>
        <v>Ver Imagen</v>
      </c>
      <c r="M227" t="s">
        <v>15</v>
      </c>
    </row>
    <row r="228" spans="1:13" x14ac:dyDescent="0.25">
      <c r="A228">
        <v>227</v>
      </c>
      <c r="B228" t="s">
        <v>466</v>
      </c>
      <c r="C228" s="1">
        <v>37.4851589039</v>
      </c>
      <c r="D228" s="1">
        <v>-7.2312690074499999</v>
      </c>
      <c r="E228" s="3">
        <v>1</v>
      </c>
      <c r="F228" s="2">
        <v>1</v>
      </c>
      <c r="G228" s="4">
        <v>2</v>
      </c>
      <c r="H228" s="13"/>
      <c r="I228" s="15"/>
      <c r="J228" s="19">
        <v>1</v>
      </c>
      <c r="K228" s="2" t="s">
        <v>467</v>
      </c>
      <c r="L228" s="11" t="str">
        <f t="shared" si="3"/>
        <v>Ver Imagen</v>
      </c>
      <c r="M228" t="s">
        <v>15</v>
      </c>
    </row>
    <row r="229" spans="1:13" x14ac:dyDescent="0.25">
      <c r="A229">
        <v>228</v>
      </c>
      <c r="B229" t="s">
        <v>468</v>
      </c>
      <c r="C229" s="1">
        <v>37.485354665000003</v>
      </c>
      <c r="D229" s="1">
        <v>-7.2323011594400004</v>
      </c>
      <c r="E229" s="3">
        <v>1</v>
      </c>
      <c r="F229" s="2">
        <v>1</v>
      </c>
      <c r="G229" s="4">
        <v>2</v>
      </c>
      <c r="H229" s="13"/>
      <c r="I229" s="15"/>
      <c r="J229" s="19">
        <v>1</v>
      </c>
      <c r="K229" s="2" t="s">
        <v>469</v>
      </c>
      <c r="L229" s="11" t="str">
        <f t="shared" si="3"/>
        <v>Ver Imagen</v>
      </c>
      <c r="M229" t="s">
        <v>15</v>
      </c>
    </row>
    <row r="230" spans="1:13" x14ac:dyDescent="0.25">
      <c r="A230">
        <v>229</v>
      </c>
      <c r="B230" t="s">
        <v>470</v>
      </c>
      <c r="C230" s="1">
        <v>37.486256415100002</v>
      </c>
      <c r="D230" s="1">
        <v>-7.2369854071999997</v>
      </c>
      <c r="E230" s="3">
        <v>1</v>
      </c>
      <c r="F230" s="2">
        <v>1</v>
      </c>
      <c r="G230" s="4">
        <v>2</v>
      </c>
      <c r="H230" s="13"/>
      <c r="I230" s="15"/>
      <c r="J230" s="19">
        <v>1</v>
      </c>
      <c r="K230" s="2" t="s">
        <v>471</v>
      </c>
      <c r="L230" s="11" t="str">
        <f t="shared" si="3"/>
        <v>Ver Imagen</v>
      </c>
      <c r="M230" t="s">
        <v>15</v>
      </c>
    </row>
    <row r="231" spans="1:13" x14ac:dyDescent="0.25">
      <c r="A231">
        <v>230</v>
      </c>
      <c r="B231" t="s">
        <v>472</v>
      </c>
      <c r="C231" s="1">
        <v>37.4893515618</v>
      </c>
      <c r="D231" s="1">
        <v>-7.2480459035100004</v>
      </c>
      <c r="E231" s="3">
        <v>1</v>
      </c>
      <c r="F231" s="2">
        <v>1</v>
      </c>
      <c r="G231" s="4">
        <v>2</v>
      </c>
      <c r="H231" s="13"/>
      <c r="I231" s="15"/>
      <c r="J231" s="19">
        <v>1</v>
      </c>
      <c r="K231" s="2" t="s">
        <v>473</v>
      </c>
      <c r="L231" s="11" t="str">
        <f t="shared" si="3"/>
        <v>Ver Imagen</v>
      </c>
      <c r="M231" t="s">
        <v>15</v>
      </c>
    </row>
    <row r="232" spans="1:13" x14ac:dyDescent="0.25">
      <c r="A232">
        <v>231</v>
      </c>
      <c r="B232" t="s">
        <v>474</v>
      </c>
      <c r="C232" s="1">
        <v>37.490530656499999</v>
      </c>
      <c r="D232" s="1">
        <v>-7.2494637520299996</v>
      </c>
      <c r="E232" s="3">
        <v>1</v>
      </c>
      <c r="F232" s="2">
        <v>1</v>
      </c>
      <c r="G232" s="4">
        <v>2</v>
      </c>
      <c r="H232" s="13"/>
      <c r="I232" s="15"/>
      <c r="J232" s="19">
        <v>1</v>
      </c>
      <c r="K232" s="2" t="s">
        <v>475</v>
      </c>
      <c r="L232" s="11" t="str">
        <f t="shared" si="3"/>
        <v>Ver Imagen</v>
      </c>
      <c r="M232" t="s">
        <v>15</v>
      </c>
    </row>
    <row r="233" spans="1:13" x14ac:dyDescent="0.25">
      <c r="A233">
        <v>232</v>
      </c>
      <c r="B233" t="s">
        <v>476</v>
      </c>
      <c r="C233" s="1">
        <v>37.490682174900002</v>
      </c>
      <c r="D233" s="1">
        <v>-7.2602002512599997</v>
      </c>
      <c r="E233" s="3">
        <v>1</v>
      </c>
      <c r="F233" s="2">
        <v>1</v>
      </c>
      <c r="G233" s="4">
        <v>2</v>
      </c>
      <c r="H233" s="13"/>
      <c r="I233" s="15"/>
      <c r="J233" s="19">
        <v>1</v>
      </c>
      <c r="K233" s="2" t="s">
        <v>477</v>
      </c>
      <c r="L233" s="11" t="str">
        <f t="shared" si="3"/>
        <v>Ver Imagen</v>
      </c>
      <c r="M233" t="s">
        <v>15</v>
      </c>
    </row>
    <row r="234" spans="1:13" x14ac:dyDescent="0.25">
      <c r="A234">
        <v>233</v>
      </c>
      <c r="B234" t="s">
        <v>478</v>
      </c>
      <c r="C234" s="1">
        <v>37.4932226273</v>
      </c>
      <c r="D234" s="1">
        <v>-7.26371030414</v>
      </c>
      <c r="E234" s="3">
        <v>1</v>
      </c>
      <c r="F234" s="2">
        <v>1</v>
      </c>
      <c r="G234" s="4">
        <v>2</v>
      </c>
      <c r="H234" s="13"/>
      <c r="I234" s="15"/>
      <c r="J234" s="19">
        <v>1</v>
      </c>
      <c r="K234" s="2" t="s">
        <v>479</v>
      </c>
      <c r="L234" s="11" t="str">
        <f t="shared" si="3"/>
        <v>Ver Imagen</v>
      </c>
      <c r="M234" t="s">
        <v>15</v>
      </c>
    </row>
    <row r="235" spans="1:13" x14ac:dyDescent="0.25">
      <c r="A235">
        <v>234</v>
      </c>
      <c r="B235" t="s">
        <v>480</v>
      </c>
      <c r="C235" s="1">
        <v>37.278995243499999</v>
      </c>
      <c r="D235" s="1">
        <v>-7.0304281258900003</v>
      </c>
      <c r="E235" s="3">
        <v>1</v>
      </c>
      <c r="F235" s="2">
        <v>1</v>
      </c>
      <c r="G235" s="4">
        <v>2</v>
      </c>
      <c r="H235" s="13"/>
      <c r="I235" s="15"/>
      <c r="J235" s="19">
        <v>1</v>
      </c>
      <c r="K235" s="2" t="s">
        <v>481</v>
      </c>
      <c r="L235" s="11" t="str">
        <f t="shared" si="3"/>
        <v>Ver Imagen</v>
      </c>
      <c r="M235" t="s">
        <v>15</v>
      </c>
    </row>
    <row r="236" spans="1:13" x14ac:dyDescent="0.25">
      <c r="A236">
        <v>235</v>
      </c>
      <c r="B236" t="s">
        <v>482</v>
      </c>
      <c r="C236" s="1">
        <v>37.284103924299998</v>
      </c>
      <c r="D236" s="1">
        <v>-7.0358398401400004</v>
      </c>
      <c r="E236" s="3">
        <v>1</v>
      </c>
      <c r="F236" s="2">
        <v>1</v>
      </c>
      <c r="G236" s="4">
        <v>2</v>
      </c>
      <c r="H236" s="13"/>
      <c r="I236" s="15"/>
      <c r="J236" s="19">
        <v>1</v>
      </c>
      <c r="K236" s="2" t="s">
        <v>483</v>
      </c>
      <c r="L236" s="11" t="str">
        <f t="shared" si="3"/>
        <v>Ver Imagen</v>
      </c>
      <c r="M236" t="s">
        <v>15</v>
      </c>
    </row>
    <row r="237" spans="1:13" x14ac:dyDescent="0.25">
      <c r="A237">
        <v>236</v>
      </c>
      <c r="B237" t="s">
        <v>484</v>
      </c>
      <c r="C237" s="1">
        <v>37.284227424999997</v>
      </c>
      <c r="D237" s="1">
        <v>-7.0376028955400001</v>
      </c>
      <c r="E237" s="3">
        <v>1</v>
      </c>
      <c r="F237" s="2">
        <v>1</v>
      </c>
      <c r="G237" s="4">
        <v>2</v>
      </c>
      <c r="H237" s="13"/>
      <c r="I237" s="15"/>
      <c r="J237" s="19">
        <v>1</v>
      </c>
      <c r="K237" s="2" t="s">
        <v>485</v>
      </c>
      <c r="L237" s="11" t="str">
        <f t="shared" si="3"/>
        <v>Ver Imagen</v>
      </c>
      <c r="M237" t="s">
        <v>15</v>
      </c>
    </row>
    <row r="238" spans="1:13" x14ac:dyDescent="0.25">
      <c r="A238">
        <v>237</v>
      </c>
      <c r="B238" t="s">
        <v>486</v>
      </c>
      <c r="C238" s="1">
        <v>37.284335613099998</v>
      </c>
      <c r="D238" s="1">
        <v>-7.0380552111599997</v>
      </c>
      <c r="E238" s="3">
        <v>1</v>
      </c>
      <c r="F238" s="2">
        <v>1</v>
      </c>
      <c r="G238" s="4">
        <v>2</v>
      </c>
      <c r="H238" s="13"/>
      <c r="I238" s="15"/>
      <c r="J238" s="19">
        <v>1</v>
      </c>
      <c r="K238" s="2" t="s">
        <v>487</v>
      </c>
      <c r="L238" s="11" t="str">
        <f t="shared" si="3"/>
        <v>Ver Imagen</v>
      </c>
      <c r="M238" t="s">
        <v>15</v>
      </c>
    </row>
    <row r="239" spans="1:13" x14ac:dyDescent="0.25">
      <c r="A239">
        <v>238</v>
      </c>
      <c r="B239" t="s">
        <v>488</v>
      </c>
      <c r="C239" s="1">
        <v>37.284394822199999</v>
      </c>
      <c r="D239" s="1">
        <v>-7.0382897021700002</v>
      </c>
      <c r="E239" s="3">
        <v>1</v>
      </c>
      <c r="F239" s="2">
        <v>1</v>
      </c>
      <c r="G239" s="4">
        <v>2</v>
      </c>
      <c r="H239" s="13"/>
      <c r="I239" s="15"/>
      <c r="J239" s="19">
        <v>1</v>
      </c>
      <c r="K239" s="2" t="s">
        <v>489</v>
      </c>
      <c r="L239" s="11" t="str">
        <f t="shared" si="3"/>
        <v>Ver Imagen</v>
      </c>
      <c r="M239" t="s">
        <v>15</v>
      </c>
    </row>
    <row r="240" spans="1:13" x14ac:dyDescent="0.25">
      <c r="A240">
        <v>239</v>
      </c>
      <c r="B240" t="s">
        <v>490</v>
      </c>
      <c r="C240" s="1">
        <v>37.285684816699998</v>
      </c>
      <c r="D240" s="1">
        <v>-7.0411257100800002</v>
      </c>
      <c r="E240" s="3">
        <v>1</v>
      </c>
      <c r="F240" s="2">
        <v>1</v>
      </c>
      <c r="G240" s="4">
        <v>2</v>
      </c>
      <c r="H240" s="13"/>
      <c r="I240" s="15"/>
      <c r="J240" s="19">
        <v>1</v>
      </c>
      <c r="K240" s="2" t="s">
        <v>491</v>
      </c>
      <c r="L240" s="11" t="str">
        <f t="shared" si="3"/>
        <v>Ver Imagen</v>
      </c>
      <c r="M240" t="s">
        <v>15</v>
      </c>
    </row>
    <row r="241" spans="1:13" x14ac:dyDescent="0.25">
      <c r="A241">
        <v>240</v>
      </c>
      <c r="B241" t="s">
        <v>492</v>
      </c>
      <c r="C241" s="1">
        <v>37.2858226484</v>
      </c>
      <c r="D241" s="1">
        <v>-7.0412578183000001</v>
      </c>
      <c r="E241" s="3">
        <v>1</v>
      </c>
      <c r="F241" s="2">
        <v>1</v>
      </c>
      <c r="G241" s="4">
        <v>2</v>
      </c>
      <c r="H241" s="13"/>
      <c r="I241" s="15"/>
      <c r="J241" s="19">
        <v>1</v>
      </c>
      <c r="K241" s="2" t="s">
        <v>493</v>
      </c>
      <c r="L241" s="11" t="str">
        <f t="shared" si="3"/>
        <v>Ver Imagen</v>
      </c>
      <c r="M241" t="s">
        <v>15</v>
      </c>
    </row>
    <row r="242" spans="1:13" x14ac:dyDescent="0.25">
      <c r="A242">
        <v>241</v>
      </c>
      <c r="B242" t="s">
        <v>494</v>
      </c>
      <c r="C242" s="1">
        <v>37.289361486700003</v>
      </c>
      <c r="D242" s="1">
        <v>-7.0440166029600002</v>
      </c>
      <c r="E242" s="3">
        <v>1</v>
      </c>
      <c r="F242" s="2">
        <v>1</v>
      </c>
      <c r="G242" s="4">
        <v>2</v>
      </c>
      <c r="H242" s="13"/>
      <c r="I242" s="15"/>
      <c r="J242" s="19">
        <v>1</v>
      </c>
      <c r="K242" s="2" t="s">
        <v>495</v>
      </c>
      <c r="L242" s="11" t="str">
        <f t="shared" ref="L242:L264" si="4">HYPERLINK("1\1\" &amp; K242, "Ver Imagen")</f>
        <v>Ver Imagen</v>
      </c>
      <c r="M242" t="s">
        <v>15</v>
      </c>
    </row>
    <row r="243" spans="1:13" x14ac:dyDescent="0.25">
      <c r="A243">
        <v>242</v>
      </c>
      <c r="B243" t="s">
        <v>496</v>
      </c>
      <c r="C243" s="1">
        <v>37.294643174000001</v>
      </c>
      <c r="D243" s="1">
        <v>-7.0481560596700001</v>
      </c>
      <c r="E243" s="3">
        <v>1</v>
      </c>
      <c r="F243" s="2">
        <v>1</v>
      </c>
      <c r="G243" s="4">
        <v>2</v>
      </c>
      <c r="H243" s="13"/>
      <c r="I243" s="15"/>
      <c r="J243" s="19">
        <v>1</v>
      </c>
      <c r="K243" s="2" t="s">
        <v>497</v>
      </c>
      <c r="L243" s="11" t="str">
        <f t="shared" si="4"/>
        <v>Ver Imagen</v>
      </c>
      <c r="M243" t="s">
        <v>15</v>
      </c>
    </row>
    <row r="244" spans="1:13" x14ac:dyDescent="0.25">
      <c r="A244">
        <v>243</v>
      </c>
      <c r="B244" t="s">
        <v>498</v>
      </c>
      <c r="C244" s="1">
        <v>37.302893321100001</v>
      </c>
      <c r="D244" s="1">
        <v>-7.0566212226199996</v>
      </c>
      <c r="E244" s="3">
        <v>1</v>
      </c>
      <c r="F244" s="2">
        <v>1</v>
      </c>
      <c r="G244" s="4">
        <v>2</v>
      </c>
      <c r="H244" s="13"/>
      <c r="I244" s="15"/>
      <c r="J244" s="19">
        <v>1</v>
      </c>
      <c r="K244" s="2" t="s">
        <v>499</v>
      </c>
      <c r="L244" s="11" t="str">
        <f t="shared" si="4"/>
        <v>Ver Imagen</v>
      </c>
      <c r="M244" t="s">
        <v>15</v>
      </c>
    </row>
    <row r="245" spans="1:13" x14ac:dyDescent="0.25">
      <c r="A245">
        <v>244</v>
      </c>
      <c r="B245" t="s">
        <v>500</v>
      </c>
      <c r="C245" s="1">
        <v>37.3034567897</v>
      </c>
      <c r="D245" s="1">
        <v>-7.0567106920400002</v>
      </c>
      <c r="E245" s="3">
        <v>1</v>
      </c>
      <c r="F245" s="2">
        <v>1</v>
      </c>
      <c r="G245" s="4">
        <v>2</v>
      </c>
      <c r="H245" s="13"/>
      <c r="I245" s="15"/>
      <c r="J245" s="19">
        <v>1</v>
      </c>
      <c r="K245" s="2" t="s">
        <v>501</v>
      </c>
      <c r="L245" s="11" t="str">
        <f t="shared" si="4"/>
        <v>Ver Imagen</v>
      </c>
      <c r="M245" t="s">
        <v>15</v>
      </c>
    </row>
    <row r="246" spans="1:13" x14ac:dyDescent="0.25">
      <c r="A246">
        <v>245</v>
      </c>
      <c r="B246" t="s">
        <v>502</v>
      </c>
      <c r="C246" s="1">
        <v>37.304902657699998</v>
      </c>
      <c r="D246" s="1">
        <v>-7.0567400460099998</v>
      </c>
      <c r="E246" s="3">
        <v>1</v>
      </c>
      <c r="F246" s="2">
        <v>1</v>
      </c>
      <c r="G246" s="4">
        <v>2</v>
      </c>
      <c r="H246" s="13"/>
      <c r="I246" s="15"/>
      <c r="J246" s="19">
        <v>1</v>
      </c>
      <c r="K246" s="2" t="s">
        <v>503</v>
      </c>
      <c r="L246" s="11" t="str">
        <f t="shared" si="4"/>
        <v>Ver Imagen</v>
      </c>
      <c r="M246" t="s">
        <v>15</v>
      </c>
    </row>
    <row r="247" spans="1:13" x14ac:dyDescent="0.25">
      <c r="A247">
        <v>246</v>
      </c>
      <c r="B247" t="s">
        <v>504</v>
      </c>
      <c r="C247" s="1">
        <v>37.305094695400001</v>
      </c>
      <c r="D247" s="1">
        <v>-7.0567362267</v>
      </c>
      <c r="E247" s="3">
        <v>1</v>
      </c>
      <c r="F247" s="2">
        <v>1</v>
      </c>
      <c r="G247" s="4">
        <v>2</v>
      </c>
      <c r="H247" s="13"/>
      <c r="I247" s="15"/>
      <c r="J247" s="19">
        <v>1</v>
      </c>
      <c r="K247" s="2" t="s">
        <v>505</v>
      </c>
      <c r="L247" s="11" t="str">
        <f t="shared" si="4"/>
        <v>Ver Imagen</v>
      </c>
      <c r="M247" t="s">
        <v>15</v>
      </c>
    </row>
    <row r="248" spans="1:13" x14ac:dyDescent="0.25">
      <c r="A248">
        <v>247</v>
      </c>
      <c r="B248" t="s">
        <v>506</v>
      </c>
      <c r="C248" s="1">
        <v>37.3100827353</v>
      </c>
      <c r="D248" s="1">
        <v>-7.0583043278000002</v>
      </c>
      <c r="E248" s="3">
        <v>1</v>
      </c>
      <c r="F248" s="2">
        <v>1</v>
      </c>
      <c r="G248" s="4">
        <v>2</v>
      </c>
      <c r="H248" s="13"/>
      <c r="I248" s="15"/>
      <c r="J248" s="19">
        <v>1</v>
      </c>
      <c r="K248" s="2" t="s">
        <v>507</v>
      </c>
      <c r="L248" s="11" t="str">
        <f t="shared" si="4"/>
        <v>Ver Imagen</v>
      </c>
      <c r="M248" t="s">
        <v>15</v>
      </c>
    </row>
    <row r="249" spans="1:13" x14ac:dyDescent="0.25">
      <c r="A249">
        <v>248</v>
      </c>
      <c r="B249" t="s">
        <v>508</v>
      </c>
      <c r="C249" s="1">
        <v>37.313943542700002</v>
      </c>
      <c r="D249" s="1">
        <v>-7.0634877316300004</v>
      </c>
      <c r="E249" s="3">
        <v>1</v>
      </c>
      <c r="F249" s="2">
        <v>1</v>
      </c>
      <c r="G249" s="4">
        <v>2</v>
      </c>
      <c r="H249" s="13"/>
      <c r="I249" s="15"/>
      <c r="J249" s="19">
        <v>1</v>
      </c>
      <c r="K249" s="2" t="s">
        <v>509</v>
      </c>
      <c r="L249" s="11" t="str">
        <f t="shared" si="4"/>
        <v>Ver Imagen</v>
      </c>
      <c r="M249" t="s">
        <v>15</v>
      </c>
    </row>
    <row r="250" spans="1:13" x14ac:dyDescent="0.25">
      <c r="A250">
        <v>249</v>
      </c>
      <c r="B250" t="s">
        <v>510</v>
      </c>
      <c r="C250" s="1">
        <v>37.314140017699998</v>
      </c>
      <c r="D250" s="1">
        <v>-7.0638580168600003</v>
      </c>
      <c r="E250" s="3">
        <v>1</v>
      </c>
      <c r="F250" s="2">
        <v>1</v>
      </c>
      <c r="G250" s="4">
        <v>2</v>
      </c>
      <c r="H250" s="13"/>
      <c r="I250" s="15"/>
      <c r="J250" s="19">
        <v>1</v>
      </c>
      <c r="K250" s="2" t="s">
        <v>511</v>
      </c>
      <c r="L250" s="11" t="str">
        <f t="shared" si="4"/>
        <v>Ver Imagen</v>
      </c>
      <c r="M250" t="s">
        <v>15</v>
      </c>
    </row>
    <row r="251" spans="1:13" x14ac:dyDescent="0.25">
      <c r="A251">
        <v>250</v>
      </c>
      <c r="B251" t="s">
        <v>512</v>
      </c>
      <c r="C251" s="1">
        <v>37.314382794099998</v>
      </c>
      <c r="D251" s="1">
        <v>-7.0643103461100001</v>
      </c>
      <c r="E251" s="3">
        <v>1</v>
      </c>
      <c r="F251" s="2">
        <v>1</v>
      </c>
      <c r="G251" s="4">
        <v>2</v>
      </c>
      <c r="H251" s="13"/>
      <c r="I251" s="15"/>
      <c r="J251" s="19">
        <v>1</v>
      </c>
      <c r="K251" s="2" t="s">
        <v>513</v>
      </c>
      <c r="L251" s="11" t="str">
        <f t="shared" si="4"/>
        <v>Ver Imagen</v>
      </c>
      <c r="M251" t="s">
        <v>15</v>
      </c>
    </row>
    <row r="252" spans="1:13" x14ac:dyDescent="0.25">
      <c r="A252">
        <v>251</v>
      </c>
      <c r="B252" t="s">
        <v>514</v>
      </c>
      <c r="C252" s="1">
        <v>37.315113013599998</v>
      </c>
      <c r="D252" s="1">
        <v>-7.0657999838499999</v>
      </c>
      <c r="E252" s="3">
        <v>1</v>
      </c>
      <c r="F252" s="2">
        <v>1</v>
      </c>
      <c r="G252" s="4">
        <v>2</v>
      </c>
      <c r="H252" s="13"/>
      <c r="I252" s="15"/>
      <c r="J252" s="19">
        <v>1</v>
      </c>
      <c r="K252" s="2" t="s">
        <v>515</v>
      </c>
      <c r="L252" s="11" t="str">
        <f t="shared" si="4"/>
        <v>Ver Imagen</v>
      </c>
      <c r="M252" t="s">
        <v>15</v>
      </c>
    </row>
    <row r="253" spans="1:13" x14ac:dyDescent="0.25">
      <c r="A253">
        <v>252</v>
      </c>
      <c r="B253" t="s">
        <v>516</v>
      </c>
      <c r="C253" s="1">
        <v>37.3151885288</v>
      </c>
      <c r="D253" s="1">
        <v>-7.0660510211999998</v>
      </c>
      <c r="E253" s="3">
        <v>1</v>
      </c>
      <c r="F253" s="2">
        <v>1</v>
      </c>
      <c r="G253" s="4">
        <v>2</v>
      </c>
      <c r="H253" s="13"/>
      <c r="I253" s="15"/>
      <c r="J253" s="19">
        <v>1</v>
      </c>
      <c r="K253" s="2" t="s">
        <v>517</v>
      </c>
      <c r="L253" s="11" t="str">
        <f t="shared" si="4"/>
        <v>Ver Imagen</v>
      </c>
      <c r="M253" t="s">
        <v>15</v>
      </c>
    </row>
    <row r="254" spans="1:13" x14ac:dyDescent="0.25">
      <c r="A254">
        <v>253</v>
      </c>
      <c r="B254" t="s">
        <v>518</v>
      </c>
      <c r="C254" s="1">
        <v>37.3152448568</v>
      </c>
      <c r="D254" s="1">
        <v>-7.0662695471200001</v>
      </c>
      <c r="E254" s="3">
        <v>1</v>
      </c>
      <c r="F254" s="2">
        <v>1</v>
      </c>
      <c r="G254" s="4">
        <v>2</v>
      </c>
      <c r="H254" s="13"/>
      <c r="I254" s="15"/>
      <c r="J254" s="19">
        <v>1</v>
      </c>
      <c r="K254" s="2" t="s">
        <v>519</v>
      </c>
      <c r="L254" s="11" t="str">
        <f t="shared" si="4"/>
        <v>Ver Imagen</v>
      </c>
      <c r="M254" t="s">
        <v>15</v>
      </c>
    </row>
    <row r="255" spans="1:13" x14ac:dyDescent="0.25">
      <c r="A255">
        <v>254</v>
      </c>
      <c r="B255" t="s">
        <v>520</v>
      </c>
      <c r="C255" s="1">
        <v>37.315312040099997</v>
      </c>
      <c r="D255" s="1">
        <v>-7.0665484596399999</v>
      </c>
      <c r="E255" s="3">
        <v>1</v>
      </c>
      <c r="F255" s="2">
        <v>1</v>
      </c>
      <c r="G255" s="4">
        <v>2</v>
      </c>
      <c r="H255" s="13"/>
      <c r="I255" s="15"/>
      <c r="J255" s="19">
        <v>1</v>
      </c>
      <c r="K255" s="2" t="s">
        <v>521</v>
      </c>
      <c r="L255" s="11" t="str">
        <f t="shared" si="4"/>
        <v>Ver Imagen</v>
      </c>
      <c r="M255" t="s">
        <v>15</v>
      </c>
    </row>
    <row r="256" spans="1:13" x14ac:dyDescent="0.25">
      <c r="A256">
        <v>255</v>
      </c>
      <c r="B256" t="s">
        <v>522</v>
      </c>
      <c r="C256" s="1">
        <v>37.315373435700003</v>
      </c>
      <c r="D256" s="1">
        <v>-7.0668117538399997</v>
      </c>
      <c r="E256" s="3">
        <v>1</v>
      </c>
      <c r="F256" s="2">
        <v>1</v>
      </c>
      <c r="G256" s="4">
        <v>2</v>
      </c>
      <c r="H256" s="13"/>
      <c r="I256" s="15"/>
      <c r="J256" s="19">
        <v>1</v>
      </c>
      <c r="K256" s="2" t="s">
        <v>523</v>
      </c>
      <c r="L256" s="11" t="str">
        <f t="shared" si="4"/>
        <v>Ver Imagen</v>
      </c>
      <c r="M256" t="s">
        <v>15</v>
      </c>
    </row>
    <row r="257" spans="1:13" x14ac:dyDescent="0.25">
      <c r="A257">
        <v>256</v>
      </c>
      <c r="B257" t="s">
        <v>524</v>
      </c>
      <c r="C257" s="1">
        <v>37.459833419900001</v>
      </c>
      <c r="D257" s="1">
        <v>-7.1150506485499996</v>
      </c>
      <c r="E257" s="3">
        <v>1</v>
      </c>
      <c r="F257" s="2">
        <v>1</v>
      </c>
      <c r="G257" s="4">
        <v>2</v>
      </c>
      <c r="H257" s="13"/>
      <c r="I257" s="15"/>
      <c r="J257" s="19">
        <v>1</v>
      </c>
      <c r="K257" s="2" t="s">
        <v>525</v>
      </c>
      <c r="L257" s="11" t="str">
        <f t="shared" si="4"/>
        <v>Ver Imagen</v>
      </c>
      <c r="M257" t="s">
        <v>15</v>
      </c>
    </row>
    <row r="258" spans="1:13" x14ac:dyDescent="0.25">
      <c r="A258">
        <v>257</v>
      </c>
      <c r="B258" t="s">
        <v>526</v>
      </c>
      <c r="C258" s="1">
        <v>37.459407171000002</v>
      </c>
      <c r="D258" s="1">
        <v>-7.1149234735700002</v>
      </c>
      <c r="E258" s="3">
        <v>1</v>
      </c>
      <c r="F258" s="2">
        <v>1</v>
      </c>
      <c r="G258" s="4">
        <v>2</v>
      </c>
      <c r="H258" s="13"/>
      <c r="I258" s="15"/>
      <c r="J258" s="19">
        <v>1</v>
      </c>
      <c r="K258" s="2" t="s">
        <v>527</v>
      </c>
      <c r="L258" s="11" t="str">
        <f t="shared" si="4"/>
        <v>Ver Imagen</v>
      </c>
      <c r="M258" t="s">
        <v>15</v>
      </c>
    </row>
    <row r="259" spans="1:13" x14ac:dyDescent="0.25">
      <c r="A259">
        <v>258</v>
      </c>
      <c r="B259" t="s">
        <v>528</v>
      </c>
      <c r="C259" s="1">
        <v>37.4592190973</v>
      </c>
      <c r="D259" s="1">
        <v>-7.1148712741300004</v>
      </c>
      <c r="E259" s="3">
        <v>1</v>
      </c>
      <c r="F259" s="2">
        <v>1</v>
      </c>
      <c r="G259" s="4">
        <v>2</v>
      </c>
      <c r="H259" s="13"/>
      <c r="I259" s="15"/>
      <c r="J259" s="19">
        <v>1</v>
      </c>
      <c r="K259" s="2" t="s">
        <v>529</v>
      </c>
      <c r="L259" s="11" t="str">
        <f t="shared" si="4"/>
        <v>Ver Imagen</v>
      </c>
      <c r="M259" t="s">
        <v>15</v>
      </c>
    </row>
    <row r="260" spans="1:13" x14ac:dyDescent="0.25">
      <c r="A260">
        <v>259</v>
      </c>
      <c r="B260" t="s">
        <v>530</v>
      </c>
      <c r="C260" s="1">
        <v>37.459043581099998</v>
      </c>
      <c r="D260" s="1">
        <v>-7.1148190950599997</v>
      </c>
      <c r="E260" s="3">
        <v>1</v>
      </c>
      <c r="F260" s="2">
        <v>1</v>
      </c>
      <c r="G260" s="4">
        <v>2</v>
      </c>
      <c r="H260" s="13"/>
      <c r="I260" s="15"/>
      <c r="J260" s="19">
        <v>1</v>
      </c>
      <c r="K260" s="2" t="s">
        <v>531</v>
      </c>
      <c r="L260" s="11" t="str">
        <f t="shared" si="4"/>
        <v>Ver Imagen</v>
      </c>
      <c r="M260" t="s">
        <v>15</v>
      </c>
    </row>
    <row r="261" spans="1:13" x14ac:dyDescent="0.25">
      <c r="A261">
        <v>260</v>
      </c>
      <c r="B261" t="s">
        <v>532</v>
      </c>
      <c r="C261" s="1">
        <v>37.2167797197</v>
      </c>
      <c r="D261" s="1">
        <v>-7.0969221290700002</v>
      </c>
      <c r="E261" s="3">
        <v>1</v>
      </c>
      <c r="F261" s="2">
        <v>1</v>
      </c>
      <c r="G261" s="4">
        <v>2</v>
      </c>
      <c r="H261" s="13"/>
      <c r="I261" s="15"/>
      <c r="J261" s="19">
        <v>1</v>
      </c>
      <c r="K261" s="2" t="s">
        <v>533</v>
      </c>
      <c r="L261" s="11" t="str">
        <f t="shared" si="4"/>
        <v>Ver Imagen</v>
      </c>
      <c r="M261" t="s">
        <v>15</v>
      </c>
    </row>
    <row r="262" spans="1:13" x14ac:dyDescent="0.25">
      <c r="A262">
        <v>261</v>
      </c>
      <c r="B262" t="s">
        <v>534</v>
      </c>
      <c r="C262" s="1">
        <v>37.2133168525</v>
      </c>
      <c r="D262" s="1">
        <v>-7.0658385151700003</v>
      </c>
      <c r="E262" s="3">
        <v>1</v>
      </c>
      <c r="F262" s="2">
        <v>1</v>
      </c>
      <c r="G262" s="4">
        <v>2</v>
      </c>
      <c r="H262" s="13"/>
      <c r="I262" s="15"/>
      <c r="J262" s="19">
        <v>1</v>
      </c>
      <c r="K262" s="2" t="s">
        <v>535</v>
      </c>
      <c r="L262" s="11" t="str">
        <f t="shared" si="4"/>
        <v>Ver Imagen</v>
      </c>
      <c r="M262" t="s">
        <v>15</v>
      </c>
    </row>
    <row r="263" spans="1:13" x14ac:dyDescent="0.25">
      <c r="A263">
        <v>262</v>
      </c>
      <c r="B263" t="s">
        <v>536</v>
      </c>
      <c r="C263" s="1">
        <v>37.211381921799997</v>
      </c>
      <c r="D263" s="1">
        <v>-7.0457510762400002</v>
      </c>
      <c r="E263" s="3">
        <v>1</v>
      </c>
      <c r="F263" s="2">
        <v>1</v>
      </c>
      <c r="G263" s="4">
        <v>2</v>
      </c>
      <c r="H263" s="13"/>
      <c r="I263" s="15"/>
      <c r="J263" s="19">
        <v>1</v>
      </c>
      <c r="K263" s="2" t="s">
        <v>537</v>
      </c>
      <c r="L263" s="11" t="str">
        <f t="shared" si="4"/>
        <v>Ver Imagen</v>
      </c>
      <c r="M263" t="s">
        <v>15</v>
      </c>
    </row>
    <row r="264" spans="1:13" x14ac:dyDescent="0.25">
      <c r="A264">
        <v>263</v>
      </c>
      <c r="B264" t="s">
        <v>538</v>
      </c>
      <c r="C264" s="1">
        <v>37.4735585683</v>
      </c>
      <c r="D264" s="1">
        <v>-7.1263179280399997</v>
      </c>
      <c r="E264" s="3">
        <v>2</v>
      </c>
      <c r="F264" s="2">
        <v>1</v>
      </c>
      <c r="G264" s="4">
        <v>1</v>
      </c>
      <c r="H264" s="13"/>
      <c r="I264" s="15"/>
      <c r="J264" s="19">
        <v>1</v>
      </c>
      <c r="K264" s="2" t="s">
        <v>539</v>
      </c>
      <c r="L264" s="11" t="str">
        <f t="shared" si="4"/>
        <v>Ver Imagen</v>
      </c>
      <c r="M264" t="s">
        <v>15</v>
      </c>
    </row>
    <row r="265" spans="1:13" x14ac:dyDescent="0.25">
      <c r="A265">
        <v>264</v>
      </c>
      <c r="B265" t="s">
        <v>540</v>
      </c>
      <c r="C265" s="1">
        <v>37.448423712</v>
      </c>
      <c r="D265" s="1">
        <v>-7.1426461863800004</v>
      </c>
      <c r="E265" s="3">
        <v>2</v>
      </c>
      <c r="F265" s="2">
        <v>2</v>
      </c>
      <c r="G265" s="4">
        <v>2</v>
      </c>
      <c r="H265" s="13"/>
      <c r="I265" s="15"/>
      <c r="J265" s="19">
        <v>2</v>
      </c>
      <c r="K265" s="2" t="s">
        <v>541</v>
      </c>
      <c r="L265" s="11" t="str">
        <f t="shared" ref="L265:L328" si="5">HYPERLINK("2\0\" &amp; K265, "Ver Imagen")</f>
        <v>Ver Imagen</v>
      </c>
      <c r="M265" t="s">
        <v>15</v>
      </c>
    </row>
    <row r="266" spans="1:13" x14ac:dyDescent="0.25">
      <c r="A266">
        <v>265</v>
      </c>
      <c r="B266" t="s">
        <v>542</v>
      </c>
      <c r="C266" s="1">
        <v>37.467960987399998</v>
      </c>
      <c r="D266" s="1">
        <v>-7.1858986200699997</v>
      </c>
      <c r="E266" s="3">
        <v>2</v>
      </c>
      <c r="F266" s="2">
        <v>2</v>
      </c>
      <c r="G266" s="4">
        <v>2</v>
      </c>
      <c r="H266" s="13"/>
      <c r="I266" s="15"/>
      <c r="J266" s="19">
        <v>2</v>
      </c>
      <c r="K266" s="2" t="s">
        <v>543</v>
      </c>
      <c r="L266" s="11" t="str">
        <f t="shared" si="5"/>
        <v>Ver Imagen</v>
      </c>
      <c r="M266" t="s">
        <v>15</v>
      </c>
    </row>
    <row r="267" spans="1:13" x14ac:dyDescent="0.25">
      <c r="A267">
        <v>266</v>
      </c>
      <c r="B267" t="s">
        <v>544</v>
      </c>
      <c r="C267" s="1">
        <v>37.478162342600001</v>
      </c>
      <c r="D267" s="1">
        <v>-7.2060817150499998</v>
      </c>
      <c r="E267" s="3">
        <v>2</v>
      </c>
      <c r="F267" s="2">
        <v>2</v>
      </c>
      <c r="G267" s="4">
        <v>2</v>
      </c>
      <c r="H267" s="13"/>
      <c r="I267" s="15"/>
      <c r="J267" s="19">
        <v>2</v>
      </c>
      <c r="K267" s="2" t="s">
        <v>545</v>
      </c>
      <c r="L267" s="11" t="str">
        <f t="shared" si="5"/>
        <v>Ver Imagen</v>
      </c>
      <c r="M267" t="s">
        <v>15</v>
      </c>
    </row>
    <row r="268" spans="1:13" x14ac:dyDescent="0.25">
      <c r="A268">
        <v>267</v>
      </c>
      <c r="B268" t="s">
        <v>546</v>
      </c>
      <c r="C268" s="1">
        <v>37.4827287986</v>
      </c>
      <c r="D268" s="1">
        <v>-7.2187894583699999</v>
      </c>
      <c r="E268" s="3">
        <v>2</v>
      </c>
      <c r="F268" s="2">
        <v>2</v>
      </c>
      <c r="G268" s="4">
        <v>2</v>
      </c>
      <c r="H268" s="13"/>
      <c r="I268" s="15"/>
      <c r="J268" s="19">
        <v>2</v>
      </c>
      <c r="K268" s="2" t="s">
        <v>547</v>
      </c>
      <c r="L268" s="11" t="str">
        <f t="shared" si="5"/>
        <v>Ver Imagen</v>
      </c>
      <c r="M268" t="s">
        <v>15</v>
      </c>
    </row>
    <row r="269" spans="1:13" x14ac:dyDescent="0.25">
      <c r="A269">
        <v>268</v>
      </c>
      <c r="B269" t="s">
        <v>548</v>
      </c>
      <c r="C269" s="1">
        <v>37.483739781399997</v>
      </c>
      <c r="D269" s="1">
        <v>-7.2239591183899998</v>
      </c>
      <c r="E269" s="3">
        <v>2</v>
      </c>
      <c r="F269" s="2">
        <v>2</v>
      </c>
      <c r="G269" s="4">
        <v>2</v>
      </c>
      <c r="H269" s="13"/>
      <c r="I269" s="15"/>
      <c r="J269" s="19">
        <v>2</v>
      </c>
      <c r="K269" s="2" t="s">
        <v>549</v>
      </c>
      <c r="L269" s="11" t="str">
        <f t="shared" si="5"/>
        <v>Ver Imagen</v>
      </c>
      <c r="M269" t="s">
        <v>15</v>
      </c>
    </row>
    <row r="270" spans="1:13" x14ac:dyDescent="0.25">
      <c r="A270">
        <v>269</v>
      </c>
      <c r="B270" t="s">
        <v>550</v>
      </c>
      <c r="C270" s="1">
        <v>37.4840611264</v>
      </c>
      <c r="D270" s="1">
        <v>-7.2256242669199997</v>
      </c>
      <c r="E270" s="3">
        <v>2</v>
      </c>
      <c r="F270" s="2">
        <v>2</v>
      </c>
      <c r="G270" s="4">
        <v>2</v>
      </c>
      <c r="H270" s="13"/>
      <c r="I270" s="15"/>
      <c r="J270" s="19">
        <v>2</v>
      </c>
      <c r="K270" s="2" t="s">
        <v>551</v>
      </c>
      <c r="L270" s="11" t="str">
        <f t="shared" si="5"/>
        <v>Ver Imagen</v>
      </c>
      <c r="M270" t="s">
        <v>15</v>
      </c>
    </row>
    <row r="271" spans="1:13" x14ac:dyDescent="0.25">
      <c r="A271">
        <v>270</v>
      </c>
      <c r="B271" t="s">
        <v>552</v>
      </c>
      <c r="C271" s="1">
        <v>37.484149327600001</v>
      </c>
      <c r="D271" s="1">
        <v>-7.2260801533799999</v>
      </c>
      <c r="E271" s="3">
        <v>2</v>
      </c>
      <c r="F271" s="2">
        <v>2</v>
      </c>
      <c r="G271" s="4">
        <v>2</v>
      </c>
      <c r="H271" s="13"/>
      <c r="I271" s="15"/>
      <c r="J271" s="19">
        <v>2</v>
      </c>
      <c r="K271" s="2" t="s">
        <v>553</v>
      </c>
      <c r="L271" s="11" t="str">
        <f t="shared" si="5"/>
        <v>Ver Imagen</v>
      </c>
      <c r="M271" t="s">
        <v>15</v>
      </c>
    </row>
    <row r="272" spans="1:13" x14ac:dyDescent="0.25">
      <c r="A272">
        <v>271</v>
      </c>
      <c r="B272" t="s">
        <v>554</v>
      </c>
      <c r="C272" s="1">
        <v>37.4842006509</v>
      </c>
      <c r="D272" s="1">
        <v>-7.2263533618400002</v>
      </c>
      <c r="E272" s="3">
        <v>2</v>
      </c>
      <c r="F272" s="2">
        <v>2</v>
      </c>
      <c r="G272" s="4">
        <v>2</v>
      </c>
      <c r="H272" s="13"/>
      <c r="I272" s="15"/>
      <c r="J272" s="19">
        <v>2</v>
      </c>
      <c r="K272" s="2" t="s">
        <v>555</v>
      </c>
      <c r="L272" s="11" t="str">
        <f t="shared" si="5"/>
        <v>Ver Imagen</v>
      </c>
      <c r="M272" t="s">
        <v>15</v>
      </c>
    </row>
    <row r="273" spans="1:13" x14ac:dyDescent="0.25">
      <c r="A273">
        <v>272</v>
      </c>
      <c r="B273" t="s">
        <v>556</v>
      </c>
      <c r="C273" s="1">
        <v>37.484600689899999</v>
      </c>
      <c r="D273" s="1">
        <v>-7.2283922550400002</v>
      </c>
      <c r="E273" s="3">
        <v>2</v>
      </c>
      <c r="F273" s="2">
        <v>2</v>
      </c>
      <c r="G273" s="4">
        <v>2</v>
      </c>
      <c r="H273" s="13"/>
      <c r="I273" s="15"/>
      <c r="J273" s="19">
        <v>2</v>
      </c>
      <c r="K273" s="2" t="s">
        <v>557</v>
      </c>
      <c r="L273" s="11" t="str">
        <f t="shared" si="5"/>
        <v>Ver Imagen</v>
      </c>
      <c r="M273" t="s">
        <v>15</v>
      </c>
    </row>
    <row r="274" spans="1:13" x14ac:dyDescent="0.25">
      <c r="A274">
        <v>273</v>
      </c>
      <c r="B274" t="s">
        <v>558</v>
      </c>
      <c r="C274" s="1">
        <v>37.484683681</v>
      </c>
      <c r="D274" s="1">
        <v>-7.2288164176900001</v>
      </c>
      <c r="E274" s="3">
        <v>2</v>
      </c>
      <c r="F274" s="2">
        <v>2</v>
      </c>
      <c r="G274" s="4">
        <v>2</v>
      </c>
      <c r="H274" s="13"/>
      <c r="I274" s="15"/>
      <c r="J274" s="19">
        <v>2</v>
      </c>
      <c r="K274" s="2" t="s">
        <v>559</v>
      </c>
      <c r="L274" s="11" t="str">
        <f t="shared" si="5"/>
        <v>Ver Imagen</v>
      </c>
      <c r="M274" t="s">
        <v>15</v>
      </c>
    </row>
    <row r="275" spans="1:13" x14ac:dyDescent="0.25">
      <c r="A275">
        <v>274</v>
      </c>
      <c r="B275" t="s">
        <v>560</v>
      </c>
      <c r="C275" s="1">
        <v>37.484780285200003</v>
      </c>
      <c r="D275" s="1">
        <v>-7.2293169833200004</v>
      </c>
      <c r="E275" s="3">
        <v>2</v>
      </c>
      <c r="F275" s="2">
        <v>2</v>
      </c>
      <c r="G275" s="4">
        <v>2</v>
      </c>
      <c r="H275" s="13"/>
      <c r="I275" s="15"/>
      <c r="J275" s="19">
        <v>2</v>
      </c>
      <c r="K275" s="2" t="s">
        <v>561</v>
      </c>
      <c r="L275" s="11" t="str">
        <f t="shared" si="5"/>
        <v>Ver Imagen</v>
      </c>
      <c r="M275" t="s">
        <v>15</v>
      </c>
    </row>
    <row r="276" spans="1:13" x14ac:dyDescent="0.25">
      <c r="A276">
        <v>275</v>
      </c>
      <c r="B276" t="s">
        <v>562</v>
      </c>
      <c r="C276" s="1">
        <v>37.4852683887</v>
      </c>
      <c r="D276" s="1">
        <v>-7.2318471392500001</v>
      </c>
      <c r="E276" s="3">
        <v>2</v>
      </c>
      <c r="F276" s="2">
        <v>2</v>
      </c>
      <c r="G276" s="4">
        <v>2</v>
      </c>
      <c r="H276" s="13"/>
      <c r="I276" s="15"/>
      <c r="J276" s="19">
        <v>2</v>
      </c>
      <c r="K276" s="2" t="s">
        <v>563</v>
      </c>
      <c r="L276" s="11" t="str">
        <f t="shared" si="5"/>
        <v>Ver Imagen</v>
      </c>
      <c r="M276" t="s">
        <v>15</v>
      </c>
    </row>
    <row r="277" spans="1:13" x14ac:dyDescent="0.25">
      <c r="A277">
        <v>276</v>
      </c>
      <c r="B277" t="s">
        <v>564</v>
      </c>
      <c r="C277" s="1">
        <v>37.485777462500003</v>
      </c>
      <c r="D277" s="1">
        <v>-7.2345331871600003</v>
      </c>
      <c r="E277" s="3">
        <v>2</v>
      </c>
      <c r="F277" s="2">
        <v>2</v>
      </c>
      <c r="G277" s="4">
        <v>2</v>
      </c>
      <c r="H277" s="13"/>
      <c r="I277" s="15"/>
      <c r="J277" s="19">
        <v>2</v>
      </c>
      <c r="K277" s="2" t="s">
        <v>565</v>
      </c>
      <c r="L277" s="11" t="str">
        <f t="shared" si="5"/>
        <v>Ver Imagen</v>
      </c>
      <c r="M277" t="s">
        <v>15</v>
      </c>
    </row>
    <row r="278" spans="1:13" x14ac:dyDescent="0.25">
      <c r="A278">
        <v>277</v>
      </c>
      <c r="B278" t="s">
        <v>566</v>
      </c>
      <c r="C278" s="1">
        <v>37.485830227900003</v>
      </c>
      <c r="D278" s="1">
        <v>-7.2348040948400003</v>
      </c>
      <c r="E278" s="3">
        <v>2</v>
      </c>
      <c r="F278" s="2">
        <v>2</v>
      </c>
      <c r="G278" s="4">
        <v>2</v>
      </c>
      <c r="H278" s="13"/>
      <c r="I278" s="15"/>
      <c r="J278" s="19">
        <v>2</v>
      </c>
      <c r="K278" s="2" t="s">
        <v>567</v>
      </c>
      <c r="L278" s="11" t="str">
        <f t="shared" si="5"/>
        <v>Ver Imagen</v>
      </c>
      <c r="M278" t="s">
        <v>15</v>
      </c>
    </row>
    <row r="279" spans="1:13" x14ac:dyDescent="0.25">
      <c r="A279">
        <v>278</v>
      </c>
      <c r="B279" t="s">
        <v>568</v>
      </c>
      <c r="C279" s="1">
        <v>37.485920790900003</v>
      </c>
      <c r="D279" s="1">
        <v>-7.2352630768199999</v>
      </c>
      <c r="E279" s="3">
        <v>2</v>
      </c>
      <c r="F279" s="2">
        <v>2</v>
      </c>
      <c r="G279" s="4">
        <v>2</v>
      </c>
      <c r="H279" s="13"/>
      <c r="I279" s="15"/>
      <c r="J279" s="19">
        <v>2</v>
      </c>
      <c r="K279" s="2" t="s">
        <v>569</v>
      </c>
      <c r="L279" s="11" t="str">
        <f t="shared" si="5"/>
        <v>Ver Imagen</v>
      </c>
      <c r="M279" t="s">
        <v>15</v>
      </c>
    </row>
    <row r="280" spans="1:13" x14ac:dyDescent="0.25">
      <c r="A280">
        <v>279</v>
      </c>
      <c r="B280" t="s">
        <v>570</v>
      </c>
      <c r="C280" s="1">
        <v>37.4859643936</v>
      </c>
      <c r="D280" s="1">
        <v>-7.2354825515599996</v>
      </c>
      <c r="E280" s="3">
        <v>2</v>
      </c>
      <c r="F280" s="2">
        <v>2</v>
      </c>
      <c r="G280" s="4">
        <v>2</v>
      </c>
      <c r="H280" s="13"/>
      <c r="I280" s="15"/>
      <c r="J280" s="19">
        <v>2</v>
      </c>
      <c r="K280" s="2" t="s">
        <v>571</v>
      </c>
      <c r="L280" s="11" t="str">
        <f t="shared" si="5"/>
        <v>Ver Imagen</v>
      </c>
      <c r="M280" t="s">
        <v>15</v>
      </c>
    </row>
    <row r="281" spans="1:13" x14ac:dyDescent="0.25">
      <c r="A281">
        <v>280</v>
      </c>
      <c r="B281" t="s">
        <v>572</v>
      </c>
      <c r="C281" s="1">
        <v>37.4865876247</v>
      </c>
      <c r="D281" s="1">
        <v>-7.2387283519199999</v>
      </c>
      <c r="E281" s="3">
        <v>2</v>
      </c>
      <c r="F281" s="2">
        <v>2</v>
      </c>
      <c r="G281" s="4">
        <v>2</v>
      </c>
      <c r="H281" s="13"/>
      <c r="I281" s="15"/>
      <c r="J281" s="19">
        <v>2</v>
      </c>
      <c r="K281" s="2" t="s">
        <v>573</v>
      </c>
      <c r="L281" s="11" t="str">
        <f t="shared" si="5"/>
        <v>Ver Imagen</v>
      </c>
      <c r="M281" t="s">
        <v>15</v>
      </c>
    </row>
    <row r="282" spans="1:13" x14ac:dyDescent="0.25">
      <c r="A282">
        <v>281</v>
      </c>
      <c r="B282" t="s">
        <v>574</v>
      </c>
      <c r="C282" s="1">
        <v>37.487033628699997</v>
      </c>
      <c r="D282" s="1">
        <v>-7.2414579656900004</v>
      </c>
      <c r="E282" s="3">
        <v>2</v>
      </c>
      <c r="F282" s="2">
        <v>2</v>
      </c>
      <c r="G282" s="4">
        <v>2</v>
      </c>
      <c r="H282" s="13"/>
      <c r="I282" s="15"/>
      <c r="J282" s="19">
        <v>2</v>
      </c>
      <c r="K282" s="2" t="s">
        <v>575</v>
      </c>
      <c r="L282" s="11" t="str">
        <f t="shared" si="5"/>
        <v>Ver Imagen</v>
      </c>
      <c r="M282" t="s">
        <v>15</v>
      </c>
    </row>
    <row r="283" spans="1:13" x14ac:dyDescent="0.25">
      <c r="A283">
        <v>282</v>
      </c>
      <c r="B283" t="s">
        <v>576</v>
      </c>
      <c r="C283" s="1">
        <v>37.487100808100003</v>
      </c>
      <c r="D283" s="1">
        <v>-7.2421983272099997</v>
      </c>
      <c r="E283" s="3">
        <v>2</v>
      </c>
      <c r="F283" s="2">
        <v>2</v>
      </c>
      <c r="G283" s="4">
        <v>2</v>
      </c>
      <c r="H283" s="13"/>
      <c r="I283" s="15"/>
      <c r="J283" s="19">
        <v>2</v>
      </c>
      <c r="K283" s="2" t="s">
        <v>577</v>
      </c>
      <c r="L283" s="11" t="str">
        <f t="shared" si="5"/>
        <v>Ver Imagen</v>
      </c>
      <c r="M283" t="s">
        <v>15</v>
      </c>
    </row>
    <row r="284" spans="1:13" x14ac:dyDescent="0.25">
      <c r="A284">
        <v>283</v>
      </c>
      <c r="B284" t="s">
        <v>578</v>
      </c>
      <c r="C284" s="1">
        <v>37.487592904700001</v>
      </c>
      <c r="D284" s="1">
        <v>-7.2443757519299998</v>
      </c>
      <c r="E284" s="3">
        <v>2</v>
      </c>
      <c r="F284" s="2">
        <v>2</v>
      </c>
      <c r="G284" s="4">
        <v>2</v>
      </c>
      <c r="H284" s="13"/>
      <c r="I284" s="15"/>
      <c r="J284" s="19">
        <v>2</v>
      </c>
      <c r="K284" s="2" t="s">
        <v>579</v>
      </c>
      <c r="L284" s="11" t="str">
        <f t="shared" si="5"/>
        <v>Ver Imagen</v>
      </c>
      <c r="M284" t="s">
        <v>15</v>
      </c>
    </row>
    <row r="285" spans="1:13" x14ac:dyDescent="0.25">
      <c r="A285">
        <v>284</v>
      </c>
      <c r="B285" t="s">
        <v>580</v>
      </c>
      <c r="C285" s="1">
        <v>37.4896609185</v>
      </c>
      <c r="D285" s="1">
        <v>-7.24839515687</v>
      </c>
      <c r="E285" s="3">
        <v>2</v>
      </c>
      <c r="F285" s="2">
        <v>2</v>
      </c>
      <c r="G285" s="4">
        <v>2</v>
      </c>
      <c r="H285" s="13"/>
      <c r="I285" s="15"/>
      <c r="J285" s="19">
        <v>2</v>
      </c>
      <c r="K285" s="2" t="s">
        <v>581</v>
      </c>
      <c r="L285" s="11" t="str">
        <f t="shared" si="5"/>
        <v>Ver Imagen</v>
      </c>
      <c r="M285" t="s">
        <v>15</v>
      </c>
    </row>
    <row r="286" spans="1:13" x14ac:dyDescent="0.25">
      <c r="A286">
        <v>285</v>
      </c>
      <c r="B286" t="s">
        <v>582</v>
      </c>
      <c r="C286" s="1">
        <v>37.491008040300002</v>
      </c>
      <c r="D286" s="1">
        <v>-7.2605299437499999</v>
      </c>
      <c r="E286" s="3">
        <v>2</v>
      </c>
      <c r="F286" s="2">
        <v>2</v>
      </c>
      <c r="G286" s="4">
        <v>2</v>
      </c>
      <c r="H286" s="13"/>
      <c r="I286" s="15"/>
      <c r="J286" s="19">
        <v>2</v>
      </c>
      <c r="K286" s="2" t="s">
        <v>583</v>
      </c>
      <c r="L286" s="11" t="str">
        <f t="shared" si="5"/>
        <v>Ver Imagen</v>
      </c>
      <c r="M286" t="s">
        <v>15</v>
      </c>
    </row>
    <row r="287" spans="1:13" x14ac:dyDescent="0.25">
      <c r="A287">
        <v>286</v>
      </c>
      <c r="B287" t="s">
        <v>584</v>
      </c>
      <c r="C287" s="1">
        <v>37.279173254699998</v>
      </c>
      <c r="D287" s="1">
        <v>-6.9951040456199998</v>
      </c>
      <c r="E287" s="3">
        <v>2</v>
      </c>
      <c r="F287" s="2">
        <v>2</v>
      </c>
      <c r="G287" s="4">
        <v>2</v>
      </c>
      <c r="H287" s="13"/>
      <c r="I287" s="15"/>
      <c r="J287" s="19">
        <v>2</v>
      </c>
      <c r="K287" s="2" t="s">
        <v>585</v>
      </c>
      <c r="L287" s="11" t="str">
        <f t="shared" si="5"/>
        <v>Ver Imagen</v>
      </c>
      <c r="M287" t="s">
        <v>15</v>
      </c>
    </row>
    <row r="288" spans="1:13" x14ac:dyDescent="0.25">
      <c r="A288">
        <v>287</v>
      </c>
      <c r="B288" t="s">
        <v>586</v>
      </c>
      <c r="C288" s="1">
        <v>37.279235862500002</v>
      </c>
      <c r="D288" s="1">
        <v>-6.9953562405899996</v>
      </c>
      <c r="E288" s="3">
        <v>2</v>
      </c>
      <c r="F288" s="2">
        <v>2</v>
      </c>
      <c r="G288" s="4">
        <v>2</v>
      </c>
      <c r="H288" s="13"/>
      <c r="I288" s="15"/>
      <c r="J288" s="19">
        <v>2</v>
      </c>
      <c r="K288" s="2" t="s">
        <v>587</v>
      </c>
      <c r="L288" s="11" t="str">
        <f t="shared" si="5"/>
        <v>Ver Imagen</v>
      </c>
      <c r="M288" t="s">
        <v>15</v>
      </c>
    </row>
    <row r="289" spans="1:13" x14ac:dyDescent="0.25">
      <c r="A289">
        <v>288</v>
      </c>
      <c r="B289" t="s">
        <v>588</v>
      </c>
      <c r="C289" s="1">
        <v>37.280662570099999</v>
      </c>
      <c r="D289" s="1">
        <v>-7.0027589522999998</v>
      </c>
      <c r="E289" s="3">
        <v>2</v>
      </c>
      <c r="F289" s="2">
        <v>2</v>
      </c>
      <c r="G289" s="4">
        <v>2</v>
      </c>
      <c r="H289" s="13"/>
      <c r="I289" s="15"/>
      <c r="J289" s="19">
        <v>2</v>
      </c>
      <c r="K289" s="2" t="s">
        <v>589</v>
      </c>
      <c r="L289" s="11" t="str">
        <f t="shared" si="5"/>
        <v>Ver Imagen</v>
      </c>
      <c r="M289" t="s">
        <v>15</v>
      </c>
    </row>
    <row r="290" spans="1:13" x14ac:dyDescent="0.25">
      <c r="A290">
        <v>289</v>
      </c>
      <c r="B290" t="s">
        <v>590</v>
      </c>
      <c r="C290" s="1">
        <v>37.275358036299998</v>
      </c>
      <c r="D290" s="1">
        <v>-7.0167299353599999</v>
      </c>
      <c r="E290" s="3">
        <v>2</v>
      </c>
      <c r="F290" s="2">
        <v>2</v>
      </c>
      <c r="G290" s="4">
        <v>2</v>
      </c>
      <c r="H290" s="13"/>
      <c r="I290" s="15"/>
      <c r="J290" s="19">
        <v>2</v>
      </c>
      <c r="K290" s="2" t="s">
        <v>591</v>
      </c>
      <c r="L290" s="11" t="str">
        <f t="shared" si="5"/>
        <v>Ver Imagen</v>
      </c>
      <c r="M290" t="s">
        <v>15</v>
      </c>
    </row>
    <row r="291" spans="1:13" x14ac:dyDescent="0.25">
      <c r="A291">
        <v>290</v>
      </c>
      <c r="B291" t="s">
        <v>592</v>
      </c>
      <c r="C291" s="1">
        <v>37.279172789999997</v>
      </c>
      <c r="D291" s="1">
        <v>-7.0305920739600003</v>
      </c>
      <c r="E291" s="3">
        <v>2</v>
      </c>
      <c r="F291" s="2">
        <v>2</v>
      </c>
      <c r="G291" s="4">
        <v>2</v>
      </c>
      <c r="H291" s="13"/>
      <c r="I291" s="15"/>
      <c r="J291" s="19">
        <v>2</v>
      </c>
      <c r="K291" s="2" t="s">
        <v>593</v>
      </c>
      <c r="L291" s="11" t="str">
        <f t="shared" si="5"/>
        <v>Ver Imagen</v>
      </c>
      <c r="M291" t="s">
        <v>15</v>
      </c>
    </row>
    <row r="292" spans="1:13" x14ac:dyDescent="0.25">
      <c r="A292">
        <v>291</v>
      </c>
      <c r="B292" t="s">
        <v>594</v>
      </c>
      <c r="C292" s="1">
        <v>37.279635662899999</v>
      </c>
      <c r="D292" s="1">
        <v>-7.0310154923999999</v>
      </c>
      <c r="E292" s="3">
        <v>2</v>
      </c>
      <c r="F292" s="2">
        <v>2</v>
      </c>
      <c r="G292" s="4">
        <v>2</v>
      </c>
      <c r="H292" s="13"/>
      <c r="I292" s="15"/>
      <c r="J292" s="19">
        <v>2</v>
      </c>
      <c r="K292" s="2" t="s">
        <v>595</v>
      </c>
      <c r="L292" s="11" t="str">
        <f t="shared" si="5"/>
        <v>Ver Imagen</v>
      </c>
      <c r="M292" t="s">
        <v>15</v>
      </c>
    </row>
    <row r="293" spans="1:13" x14ac:dyDescent="0.25">
      <c r="A293">
        <v>292</v>
      </c>
      <c r="B293" t="s">
        <v>596</v>
      </c>
      <c r="C293" s="1">
        <v>37.2798401967</v>
      </c>
      <c r="D293" s="1">
        <v>-7.0311966672299997</v>
      </c>
      <c r="E293" s="3">
        <v>2</v>
      </c>
      <c r="F293" s="2">
        <v>2</v>
      </c>
      <c r="G293" s="4">
        <v>2</v>
      </c>
      <c r="H293" s="13"/>
      <c r="I293" s="15"/>
      <c r="J293" s="19">
        <v>2</v>
      </c>
      <c r="K293" s="2" t="s">
        <v>597</v>
      </c>
      <c r="L293" s="11" t="str">
        <f t="shared" si="5"/>
        <v>Ver Imagen</v>
      </c>
      <c r="M293" t="s">
        <v>15</v>
      </c>
    </row>
    <row r="294" spans="1:13" x14ac:dyDescent="0.25">
      <c r="A294">
        <v>293</v>
      </c>
      <c r="B294" t="s">
        <v>598</v>
      </c>
      <c r="C294" s="1">
        <v>37.283070363100002</v>
      </c>
      <c r="D294" s="1">
        <v>-7.033156645</v>
      </c>
      <c r="E294" s="3">
        <v>2</v>
      </c>
      <c r="F294" s="2">
        <v>2</v>
      </c>
      <c r="G294" s="4">
        <v>2</v>
      </c>
      <c r="H294" s="13"/>
      <c r="I294" s="15"/>
      <c r="J294" s="19">
        <v>2</v>
      </c>
      <c r="K294" s="2" t="s">
        <v>599</v>
      </c>
      <c r="L294" s="11" t="str">
        <f t="shared" si="5"/>
        <v>Ver Imagen</v>
      </c>
      <c r="M294" t="s">
        <v>15</v>
      </c>
    </row>
    <row r="295" spans="1:13" x14ac:dyDescent="0.25">
      <c r="A295">
        <v>294</v>
      </c>
      <c r="B295" t="s">
        <v>600</v>
      </c>
      <c r="C295" s="1">
        <v>37.285009024499999</v>
      </c>
      <c r="D295" s="1">
        <v>-7.0401826323299996</v>
      </c>
      <c r="E295" s="3">
        <v>2</v>
      </c>
      <c r="F295" s="2">
        <v>2</v>
      </c>
      <c r="G295" s="4">
        <v>2</v>
      </c>
      <c r="H295" s="13"/>
      <c r="I295" s="15"/>
      <c r="J295" s="19">
        <v>2</v>
      </c>
      <c r="K295" s="2" t="s">
        <v>601</v>
      </c>
      <c r="L295" s="11" t="str">
        <f t="shared" si="5"/>
        <v>Ver Imagen</v>
      </c>
      <c r="M295" t="s">
        <v>15</v>
      </c>
    </row>
    <row r="296" spans="1:13" x14ac:dyDescent="0.25">
      <c r="A296">
        <v>295</v>
      </c>
      <c r="B296" t="s">
        <v>602</v>
      </c>
      <c r="C296" s="1">
        <v>37.2851096447</v>
      </c>
      <c r="D296" s="1">
        <v>-7.0403655595599997</v>
      </c>
      <c r="E296" s="3">
        <v>2</v>
      </c>
      <c r="F296" s="2">
        <v>2</v>
      </c>
      <c r="G296" s="4">
        <v>2</v>
      </c>
      <c r="H296" s="13"/>
      <c r="I296" s="15"/>
      <c r="J296" s="19">
        <v>2</v>
      </c>
      <c r="K296" s="2" t="s">
        <v>603</v>
      </c>
      <c r="L296" s="11" t="str">
        <f t="shared" si="5"/>
        <v>Ver Imagen</v>
      </c>
      <c r="M296" t="s">
        <v>15</v>
      </c>
    </row>
    <row r="297" spans="1:13" x14ac:dyDescent="0.25">
      <c r="A297">
        <v>296</v>
      </c>
      <c r="B297" t="s">
        <v>604</v>
      </c>
      <c r="C297" s="1">
        <v>37.293849149400003</v>
      </c>
      <c r="D297" s="1">
        <v>-7.0470722643199997</v>
      </c>
      <c r="E297" s="3">
        <v>2</v>
      </c>
      <c r="F297" s="2">
        <v>2</v>
      </c>
      <c r="G297" s="4">
        <v>2</v>
      </c>
      <c r="H297" s="13"/>
      <c r="I297" s="15"/>
      <c r="J297" s="19">
        <v>2</v>
      </c>
      <c r="K297" s="2" t="s">
        <v>605</v>
      </c>
      <c r="L297" s="11" t="str">
        <f t="shared" si="5"/>
        <v>Ver Imagen</v>
      </c>
      <c r="M297" t="s">
        <v>15</v>
      </c>
    </row>
    <row r="298" spans="1:13" x14ac:dyDescent="0.25">
      <c r="A298">
        <v>297</v>
      </c>
      <c r="B298" t="s">
        <v>606</v>
      </c>
      <c r="C298" s="1">
        <v>37.294367953200002</v>
      </c>
      <c r="D298" s="1">
        <v>-7.0477857450499997</v>
      </c>
      <c r="E298" s="3">
        <v>2</v>
      </c>
      <c r="F298" s="2">
        <v>2</v>
      </c>
      <c r="G298" s="4">
        <v>2</v>
      </c>
      <c r="H298" s="13"/>
      <c r="I298" s="15"/>
      <c r="J298" s="19">
        <v>2</v>
      </c>
      <c r="K298" s="2" t="s">
        <v>607</v>
      </c>
      <c r="L298" s="11" t="str">
        <f t="shared" si="5"/>
        <v>Ver Imagen</v>
      </c>
      <c r="M298" t="s">
        <v>15</v>
      </c>
    </row>
    <row r="299" spans="1:13" x14ac:dyDescent="0.25">
      <c r="A299">
        <v>298</v>
      </c>
      <c r="B299" t="s">
        <v>608</v>
      </c>
      <c r="C299" s="1">
        <v>37.294501861900002</v>
      </c>
      <c r="D299" s="1">
        <v>-7.0479662124200004</v>
      </c>
      <c r="E299" s="3">
        <v>2</v>
      </c>
      <c r="F299" s="2">
        <v>2</v>
      </c>
      <c r="G299" s="4">
        <v>2</v>
      </c>
      <c r="H299" s="13"/>
      <c r="I299" s="15"/>
      <c r="J299" s="19">
        <v>2</v>
      </c>
      <c r="K299" s="2" t="s">
        <v>609</v>
      </c>
      <c r="L299" s="11" t="str">
        <f t="shared" si="5"/>
        <v>Ver Imagen</v>
      </c>
      <c r="M299" t="s">
        <v>15</v>
      </c>
    </row>
    <row r="300" spans="1:13" x14ac:dyDescent="0.25">
      <c r="A300">
        <v>299</v>
      </c>
      <c r="B300" t="s">
        <v>610</v>
      </c>
      <c r="C300" s="1">
        <v>37.296407870199999</v>
      </c>
      <c r="D300" s="1">
        <v>-7.0502574207200004</v>
      </c>
      <c r="E300" s="3">
        <v>2</v>
      </c>
      <c r="F300" s="2">
        <v>2</v>
      </c>
      <c r="G300" s="4">
        <v>2</v>
      </c>
      <c r="H300" s="13"/>
      <c r="I300" s="15"/>
      <c r="J300" s="19">
        <v>2</v>
      </c>
      <c r="K300" s="2" t="s">
        <v>611</v>
      </c>
      <c r="L300" s="11" t="str">
        <f t="shared" si="5"/>
        <v>Ver Imagen</v>
      </c>
      <c r="M300" t="s">
        <v>15</v>
      </c>
    </row>
    <row r="301" spans="1:13" x14ac:dyDescent="0.25">
      <c r="A301">
        <v>300</v>
      </c>
      <c r="B301" t="s">
        <v>612</v>
      </c>
      <c r="C301" s="1">
        <v>37.296920178199997</v>
      </c>
      <c r="D301" s="1">
        <v>-7.0511160085900002</v>
      </c>
      <c r="E301" s="3">
        <v>2</v>
      </c>
      <c r="F301" s="2">
        <v>2</v>
      </c>
      <c r="G301" s="4">
        <v>2</v>
      </c>
      <c r="H301" s="13"/>
      <c r="I301" s="15"/>
      <c r="J301" s="19">
        <v>2</v>
      </c>
      <c r="K301" s="2" t="s">
        <v>613</v>
      </c>
      <c r="L301" s="11" t="str">
        <f t="shared" si="5"/>
        <v>Ver Imagen</v>
      </c>
      <c r="M301" t="s">
        <v>15</v>
      </c>
    </row>
    <row r="302" spans="1:13" x14ac:dyDescent="0.25">
      <c r="A302">
        <v>301</v>
      </c>
      <c r="B302" t="s">
        <v>614</v>
      </c>
      <c r="C302" s="1">
        <v>37.297005240799997</v>
      </c>
      <c r="D302" s="1">
        <v>-7.0513168242999997</v>
      </c>
      <c r="E302" s="3">
        <v>2</v>
      </c>
      <c r="F302" s="2">
        <v>2</v>
      </c>
      <c r="G302" s="4">
        <v>2</v>
      </c>
      <c r="H302" s="13"/>
      <c r="I302" s="15"/>
      <c r="J302" s="19">
        <v>2</v>
      </c>
      <c r="K302" s="2" t="s">
        <v>615</v>
      </c>
      <c r="L302" s="11" t="str">
        <f t="shared" si="5"/>
        <v>Ver Imagen</v>
      </c>
      <c r="M302" t="s">
        <v>15</v>
      </c>
    </row>
    <row r="303" spans="1:13" x14ac:dyDescent="0.25">
      <c r="A303">
        <v>302</v>
      </c>
      <c r="B303" t="s">
        <v>616</v>
      </c>
      <c r="C303" s="1">
        <v>37.298418527199999</v>
      </c>
      <c r="D303" s="1">
        <v>-7.0539251012599999</v>
      </c>
      <c r="E303" s="3">
        <v>2</v>
      </c>
      <c r="F303" s="2">
        <v>2</v>
      </c>
      <c r="G303" s="4">
        <v>2</v>
      </c>
      <c r="H303" s="13"/>
      <c r="I303" s="15"/>
      <c r="J303" s="19">
        <v>2</v>
      </c>
      <c r="K303" s="2" t="s">
        <v>617</v>
      </c>
      <c r="L303" s="11" t="str">
        <f t="shared" si="5"/>
        <v>Ver Imagen</v>
      </c>
      <c r="M303" t="s">
        <v>15</v>
      </c>
    </row>
    <row r="304" spans="1:13" x14ac:dyDescent="0.25">
      <c r="A304">
        <v>303</v>
      </c>
      <c r="B304" t="s">
        <v>618</v>
      </c>
      <c r="C304" s="1">
        <v>37.298973885000002</v>
      </c>
      <c r="D304" s="1">
        <v>-7.05427702237</v>
      </c>
      <c r="E304" s="3">
        <v>2</v>
      </c>
      <c r="F304" s="2">
        <v>2</v>
      </c>
      <c r="G304" s="4">
        <v>2</v>
      </c>
      <c r="H304" s="13"/>
      <c r="I304" s="15"/>
      <c r="J304" s="19">
        <v>2</v>
      </c>
      <c r="K304" s="2" t="s">
        <v>619</v>
      </c>
      <c r="L304" s="11" t="str">
        <f t="shared" si="5"/>
        <v>Ver Imagen</v>
      </c>
      <c r="M304" t="s">
        <v>15</v>
      </c>
    </row>
    <row r="305" spans="1:13" x14ac:dyDescent="0.25">
      <c r="A305">
        <v>304</v>
      </c>
      <c r="B305" t="s">
        <v>620</v>
      </c>
      <c r="C305" s="1">
        <v>37.2993093758</v>
      </c>
      <c r="D305" s="1">
        <v>-7.05450514158</v>
      </c>
      <c r="E305" s="3">
        <v>2</v>
      </c>
      <c r="F305" s="2">
        <v>2</v>
      </c>
      <c r="G305" s="4">
        <v>2</v>
      </c>
      <c r="H305" s="13"/>
      <c r="I305" s="15"/>
      <c r="J305" s="19">
        <v>2</v>
      </c>
      <c r="K305" s="2" t="s">
        <v>621</v>
      </c>
      <c r="L305" s="11" t="str">
        <f t="shared" si="5"/>
        <v>Ver Imagen</v>
      </c>
      <c r="M305" t="s">
        <v>15</v>
      </c>
    </row>
    <row r="306" spans="1:13" x14ac:dyDescent="0.25">
      <c r="A306">
        <v>305</v>
      </c>
      <c r="B306" t="s">
        <v>622</v>
      </c>
      <c r="C306" s="1">
        <v>37.299636017200001</v>
      </c>
      <c r="D306" s="1">
        <v>-7.0548019580499997</v>
      </c>
      <c r="E306" s="3">
        <v>2</v>
      </c>
      <c r="F306" s="2">
        <v>2</v>
      </c>
      <c r="G306" s="4">
        <v>2</v>
      </c>
      <c r="H306" s="13"/>
      <c r="I306" s="15"/>
      <c r="J306" s="19">
        <v>2</v>
      </c>
      <c r="K306" s="2" t="s">
        <v>623</v>
      </c>
      <c r="L306" s="11" t="str">
        <f t="shared" si="5"/>
        <v>Ver Imagen</v>
      </c>
      <c r="M306" t="s">
        <v>15</v>
      </c>
    </row>
    <row r="307" spans="1:13" x14ac:dyDescent="0.25">
      <c r="A307">
        <v>306</v>
      </c>
      <c r="B307" t="s">
        <v>624</v>
      </c>
      <c r="C307" s="1">
        <v>37.300098579999997</v>
      </c>
      <c r="D307" s="1">
        <v>-7.0553522330699998</v>
      </c>
      <c r="E307" s="3">
        <v>2</v>
      </c>
      <c r="F307" s="2">
        <v>2</v>
      </c>
      <c r="G307" s="4">
        <v>2</v>
      </c>
      <c r="H307" s="13"/>
      <c r="I307" s="15"/>
      <c r="J307" s="19">
        <v>2</v>
      </c>
      <c r="K307" s="2" t="s">
        <v>625</v>
      </c>
      <c r="L307" s="11" t="str">
        <f t="shared" si="5"/>
        <v>Ver Imagen</v>
      </c>
      <c r="M307" t="s">
        <v>15</v>
      </c>
    </row>
    <row r="308" spans="1:13" x14ac:dyDescent="0.25">
      <c r="A308">
        <v>307</v>
      </c>
      <c r="B308" t="s">
        <v>626</v>
      </c>
      <c r="C308" s="1">
        <v>37.309769564900002</v>
      </c>
      <c r="D308" s="1">
        <v>-7.0580489907899997</v>
      </c>
      <c r="E308" s="3">
        <v>2</v>
      </c>
      <c r="F308" s="2">
        <v>2</v>
      </c>
      <c r="G308" s="4">
        <v>2</v>
      </c>
      <c r="H308" s="13"/>
      <c r="I308" s="15"/>
      <c r="J308" s="19">
        <v>2</v>
      </c>
      <c r="K308" s="2" t="s">
        <v>627</v>
      </c>
      <c r="L308" s="11" t="str">
        <f t="shared" si="5"/>
        <v>Ver Imagen</v>
      </c>
      <c r="M308" t="s">
        <v>15</v>
      </c>
    </row>
    <row r="309" spans="1:13" x14ac:dyDescent="0.25">
      <c r="A309">
        <v>308</v>
      </c>
      <c r="B309" t="s">
        <v>628</v>
      </c>
      <c r="C309" s="1">
        <v>37.3118790455</v>
      </c>
      <c r="D309" s="1">
        <v>-7.0600154135200004</v>
      </c>
      <c r="E309" s="3">
        <v>2</v>
      </c>
      <c r="F309" s="2">
        <v>2</v>
      </c>
      <c r="G309" s="4">
        <v>2</v>
      </c>
      <c r="H309" s="13"/>
      <c r="I309" s="15"/>
      <c r="J309" s="19">
        <v>2</v>
      </c>
      <c r="K309" s="2" t="s">
        <v>629</v>
      </c>
      <c r="L309" s="11" t="str">
        <f t="shared" si="5"/>
        <v>Ver Imagen</v>
      </c>
      <c r="M309" t="s">
        <v>15</v>
      </c>
    </row>
    <row r="310" spans="1:13" x14ac:dyDescent="0.25">
      <c r="A310">
        <v>309</v>
      </c>
      <c r="B310" t="s">
        <v>630</v>
      </c>
      <c r="C310" s="1">
        <v>37.3138468155</v>
      </c>
      <c r="D310" s="1">
        <v>-7.0633057370500003</v>
      </c>
      <c r="E310" s="3">
        <v>2</v>
      </c>
      <c r="F310" s="2">
        <v>2</v>
      </c>
      <c r="G310" s="4">
        <v>2</v>
      </c>
      <c r="H310" s="13"/>
      <c r="I310" s="15"/>
      <c r="J310" s="19">
        <v>2</v>
      </c>
      <c r="K310" s="2" t="s">
        <v>631</v>
      </c>
      <c r="L310" s="11" t="str">
        <f t="shared" si="5"/>
        <v>Ver Imagen</v>
      </c>
      <c r="M310" t="s">
        <v>15</v>
      </c>
    </row>
    <row r="311" spans="1:13" x14ac:dyDescent="0.25">
      <c r="A311">
        <v>310</v>
      </c>
      <c r="B311" t="s">
        <v>632</v>
      </c>
      <c r="C311" s="1">
        <v>37.314277108799999</v>
      </c>
      <c r="D311" s="1">
        <v>-7.0641144922399999</v>
      </c>
      <c r="E311" s="3">
        <v>2</v>
      </c>
      <c r="F311" s="2">
        <v>2</v>
      </c>
      <c r="G311" s="4">
        <v>2</v>
      </c>
      <c r="H311" s="13"/>
      <c r="I311" s="15"/>
      <c r="J311" s="19">
        <v>2</v>
      </c>
      <c r="K311" s="2" t="s">
        <v>633</v>
      </c>
      <c r="L311" s="11" t="str">
        <f t="shared" si="5"/>
        <v>Ver Imagen</v>
      </c>
      <c r="M311" t="s">
        <v>15</v>
      </c>
    </row>
    <row r="312" spans="1:13" x14ac:dyDescent="0.25">
      <c r="A312">
        <v>311</v>
      </c>
      <c r="B312" t="s">
        <v>634</v>
      </c>
      <c r="C312" s="1">
        <v>37.315425402499997</v>
      </c>
      <c r="D312" s="1">
        <v>-7.0670398264200003</v>
      </c>
      <c r="E312" s="3">
        <v>2</v>
      </c>
      <c r="F312" s="2">
        <v>2</v>
      </c>
      <c r="G312" s="4">
        <v>2</v>
      </c>
      <c r="H312" s="13"/>
      <c r="I312" s="15"/>
      <c r="J312" s="19">
        <v>2</v>
      </c>
      <c r="K312" s="2" t="s">
        <v>635</v>
      </c>
      <c r="L312" s="11" t="str">
        <f t="shared" si="5"/>
        <v>Ver Imagen</v>
      </c>
      <c r="M312" t="s">
        <v>15</v>
      </c>
    </row>
    <row r="313" spans="1:13" x14ac:dyDescent="0.25">
      <c r="A313">
        <v>312</v>
      </c>
      <c r="B313" t="s">
        <v>636</v>
      </c>
      <c r="C313" s="1">
        <v>37.315654531</v>
      </c>
      <c r="D313" s="1">
        <v>-7.0680339463099999</v>
      </c>
      <c r="E313" s="3">
        <v>2</v>
      </c>
      <c r="F313" s="2">
        <v>2</v>
      </c>
      <c r="G313" s="4">
        <v>2</v>
      </c>
      <c r="H313" s="13"/>
      <c r="I313" s="15"/>
      <c r="J313" s="19">
        <v>2</v>
      </c>
      <c r="K313" s="2" t="s">
        <v>637</v>
      </c>
      <c r="L313" s="11" t="str">
        <f t="shared" si="5"/>
        <v>Ver Imagen</v>
      </c>
      <c r="M313" t="s">
        <v>15</v>
      </c>
    </row>
    <row r="314" spans="1:13" x14ac:dyDescent="0.25">
      <c r="A314">
        <v>313</v>
      </c>
      <c r="B314" t="s">
        <v>638</v>
      </c>
      <c r="C314" s="1">
        <v>37.318565789700003</v>
      </c>
      <c r="D314" s="1">
        <v>-7.0713539447400002</v>
      </c>
      <c r="E314" s="3">
        <v>2</v>
      </c>
      <c r="F314" s="2">
        <v>2</v>
      </c>
      <c r="G314" s="4">
        <v>2</v>
      </c>
      <c r="H314" s="13"/>
      <c r="I314" s="15"/>
      <c r="J314" s="19">
        <v>2</v>
      </c>
      <c r="K314" s="2" t="s">
        <v>639</v>
      </c>
      <c r="L314" s="11" t="str">
        <f t="shared" si="5"/>
        <v>Ver Imagen</v>
      </c>
      <c r="M314" t="s">
        <v>15</v>
      </c>
    </row>
    <row r="315" spans="1:13" x14ac:dyDescent="0.25">
      <c r="A315">
        <v>314</v>
      </c>
      <c r="B315" t="s">
        <v>640</v>
      </c>
      <c r="C315" s="1">
        <v>37.267465421300003</v>
      </c>
      <c r="D315" s="1">
        <v>-6.9615047517899997</v>
      </c>
      <c r="E315" s="3">
        <v>2</v>
      </c>
      <c r="F315" s="2">
        <v>2</v>
      </c>
      <c r="G315" s="4">
        <v>2</v>
      </c>
      <c r="H315" s="13"/>
      <c r="I315" s="15"/>
      <c r="J315" s="19">
        <v>2</v>
      </c>
      <c r="K315" s="2" t="s">
        <v>641</v>
      </c>
      <c r="L315" s="11" t="str">
        <f t="shared" si="5"/>
        <v>Ver Imagen</v>
      </c>
      <c r="M315" t="s">
        <v>15</v>
      </c>
    </row>
    <row r="316" spans="1:13" x14ac:dyDescent="0.25">
      <c r="A316">
        <v>315</v>
      </c>
      <c r="B316" t="s">
        <v>642</v>
      </c>
      <c r="C316" s="1">
        <v>37.267409993699999</v>
      </c>
      <c r="D316" s="1">
        <v>-6.9607538250700003</v>
      </c>
      <c r="E316" s="3">
        <v>2</v>
      </c>
      <c r="F316" s="2">
        <v>2</v>
      </c>
      <c r="G316" s="4">
        <v>2</v>
      </c>
      <c r="H316" s="13"/>
      <c r="I316" s="15"/>
      <c r="J316" s="19">
        <v>2</v>
      </c>
      <c r="K316" s="2" t="s">
        <v>643</v>
      </c>
      <c r="L316" s="11" t="str">
        <f t="shared" si="5"/>
        <v>Ver Imagen</v>
      </c>
      <c r="M316" t="s">
        <v>15</v>
      </c>
    </row>
    <row r="317" spans="1:13" x14ac:dyDescent="0.25">
      <c r="A317">
        <v>316</v>
      </c>
      <c r="B317" t="s">
        <v>644</v>
      </c>
      <c r="C317" s="1">
        <v>37.267331868299998</v>
      </c>
      <c r="D317" s="1">
        <v>-6.9602660942099996</v>
      </c>
      <c r="E317" s="3">
        <v>2</v>
      </c>
      <c r="F317" s="2">
        <v>2</v>
      </c>
      <c r="G317" s="4">
        <v>2</v>
      </c>
      <c r="H317" s="13"/>
      <c r="I317" s="15"/>
      <c r="J317" s="19">
        <v>2</v>
      </c>
      <c r="K317" s="2" t="s">
        <v>645</v>
      </c>
      <c r="L317" s="11" t="str">
        <f t="shared" si="5"/>
        <v>Ver Imagen</v>
      </c>
      <c r="M317" t="s">
        <v>15</v>
      </c>
    </row>
    <row r="318" spans="1:13" x14ac:dyDescent="0.25">
      <c r="A318">
        <v>317</v>
      </c>
      <c r="B318" t="s">
        <v>646</v>
      </c>
      <c r="C318" s="1">
        <v>37.193378527900002</v>
      </c>
      <c r="D318" s="1">
        <v>-6.9962321534800003</v>
      </c>
      <c r="E318" s="3">
        <v>2</v>
      </c>
      <c r="F318" s="2">
        <v>2</v>
      </c>
      <c r="G318" s="4">
        <v>2</v>
      </c>
      <c r="H318" s="13"/>
      <c r="I318" s="15"/>
      <c r="J318" s="19">
        <v>2</v>
      </c>
      <c r="K318" s="2" t="s">
        <v>647</v>
      </c>
      <c r="L318" s="11" t="str">
        <f t="shared" si="5"/>
        <v>Ver Imagen</v>
      </c>
      <c r="M318" t="s">
        <v>15</v>
      </c>
    </row>
    <row r="319" spans="1:13" x14ac:dyDescent="0.25">
      <c r="A319">
        <v>318</v>
      </c>
      <c r="B319" t="s">
        <v>648</v>
      </c>
      <c r="C319" s="1">
        <v>37.193564079600002</v>
      </c>
      <c r="D319" s="1">
        <v>-6.9966571712699999</v>
      </c>
      <c r="E319" s="3">
        <v>2</v>
      </c>
      <c r="F319" s="2">
        <v>2</v>
      </c>
      <c r="G319" s="4">
        <v>2</v>
      </c>
      <c r="H319" s="13"/>
      <c r="I319" s="15"/>
      <c r="J319" s="19">
        <v>2</v>
      </c>
      <c r="K319" s="2" t="s">
        <v>649</v>
      </c>
      <c r="L319" s="11" t="str">
        <f t="shared" si="5"/>
        <v>Ver Imagen</v>
      </c>
      <c r="M319" t="s">
        <v>15</v>
      </c>
    </row>
    <row r="320" spans="1:13" x14ac:dyDescent="0.25">
      <c r="A320">
        <v>319</v>
      </c>
      <c r="B320" t="s">
        <v>650</v>
      </c>
      <c r="C320" s="1">
        <v>37.194048099</v>
      </c>
      <c r="D320" s="1">
        <v>-6.9978255433200003</v>
      </c>
      <c r="E320" s="3">
        <v>2</v>
      </c>
      <c r="F320" s="2">
        <v>2</v>
      </c>
      <c r="G320" s="4">
        <v>2</v>
      </c>
      <c r="H320" s="13"/>
      <c r="I320" s="15"/>
      <c r="J320" s="19">
        <v>2</v>
      </c>
      <c r="K320" s="2" t="s">
        <v>651</v>
      </c>
      <c r="L320" s="11" t="str">
        <f t="shared" si="5"/>
        <v>Ver Imagen</v>
      </c>
      <c r="M320" t="s">
        <v>15</v>
      </c>
    </row>
    <row r="321" spans="1:13" x14ac:dyDescent="0.25">
      <c r="A321">
        <v>320</v>
      </c>
      <c r="B321" t="s">
        <v>652</v>
      </c>
      <c r="C321" s="1">
        <v>37.194143797099997</v>
      </c>
      <c r="D321" s="1">
        <v>-6.9980576966100001</v>
      </c>
      <c r="E321" s="3">
        <v>2</v>
      </c>
      <c r="F321" s="2">
        <v>2</v>
      </c>
      <c r="G321" s="4">
        <v>2</v>
      </c>
      <c r="H321" s="13"/>
      <c r="I321" s="15"/>
      <c r="J321" s="19">
        <v>2</v>
      </c>
      <c r="K321" s="2" t="s">
        <v>653</v>
      </c>
      <c r="L321" s="11" t="str">
        <f t="shared" si="5"/>
        <v>Ver Imagen</v>
      </c>
      <c r="M321" t="s">
        <v>15</v>
      </c>
    </row>
    <row r="322" spans="1:13" x14ac:dyDescent="0.25">
      <c r="A322">
        <v>321</v>
      </c>
      <c r="B322" t="s">
        <v>654</v>
      </c>
      <c r="C322" s="1">
        <v>37.194330899999997</v>
      </c>
      <c r="D322" s="1">
        <v>-6.9985077850700002</v>
      </c>
      <c r="E322" s="3">
        <v>2</v>
      </c>
      <c r="F322" s="2">
        <v>2</v>
      </c>
      <c r="G322" s="4">
        <v>2</v>
      </c>
      <c r="H322" s="13"/>
      <c r="I322" s="15"/>
      <c r="J322" s="19">
        <v>2</v>
      </c>
      <c r="K322" s="2" t="s">
        <v>655</v>
      </c>
      <c r="L322" s="11" t="str">
        <f t="shared" si="5"/>
        <v>Ver Imagen</v>
      </c>
      <c r="M322" t="s">
        <v>15</v>
      </c>
    </row>
    <row r="323" spans="1:13" x14ac:dyDescent="0.25">
      <c r="A323">
        <v>322</v>
      </c>
      <c r="B323" t="s">
        <v>656</v>
      </c>
      <c r="C323" s="1">
        <v>37.194425192300002</v>
      </c>
      <c r="D323" s="1">
        <v>-6.9987358692099999</v>
      </c>
      <c r="E323" s="3">
        <v>2</v>
      </c>
      <c r="F323" s="2">
        <v>2</v>
      </c>
      <c r="G323" s="4">
        <v>2</v>
      </c>
      <c r="H323" s="13"/>
      <c r="I323" s="15"/>
      <c r="J323" s="19">
        <v>2</v>
      </c>
      <c r="K323" s="2" t="s">
        <v>657</v>
      </c>
      <c r="L323" s="11" t="str">
        <f t="shared" si="5"/>
        <v>Ver Imagen</v>
      </c>
      <c r="M323" t="s">
        <v>15</v>
      </c>
    </row>
    <row r="324" spans="1:13" x14ac:dyDescent="0.25">
      <c r="A324">
        <v>323</v>
      </c>
      <c r="B324" t="s">
        <v>658</v>
      </c>
      <c r="C324" s="1">
        <v>37.194607300800001</v>
      </c>
      <c r="D324" s="1">
        <v>-6.99917660888</v>
      </c>
      <c r="E324" s="3">
        <v>2</v>
      </c>
      <c r="F324" s="2">
        <v>2</v>
      </c>
      <c r="G324" s="4">
        <v>2</v>
      </c>
      <c r="H324" s="13"/>
      <c r="I324" s="15"/>
      <c r="J324" s="19">
        <v>2</v>
      </c>
      <c r="K324" s="2" t="s">
        <v>659</v>
      </c>
      <c r="L324" s="11" t="str">
        <f t="shared" si="5"/>
        <v>Ver Imagen</v>
      </c>
      <c r="M324" t="s">
        <v>15</v>
      </c>
    </row>
    <row r="325" spans="1:13" x14ac:dyDescent="0.25">
      <c r="A325">
        <v>324</v>
      </c>
      <c r="B325" t="s">
        <v>660</v>
      </c>
      <c r="C325" s="1">
        <v>37.195063481200002</v>
      </c>
      <c r="D325" s="1">
        <v>-7.0003027765199999</v>
      </c>
      <c r="E325" s="3">
        <v>2</v>
      </c>
      <c r="F325" s="2">
        <v>2</v>
      </c>
      <c r="G325" s="4">
        <v>2</v>
      </c>
      <c r="H325" s="13"/>
      <c r="I325" s="15"/>
      <c r="J325" s="19">
        <v>2</v>
      </c>
      <c r="K325" s="2" t="s">
        <v>661</v>
      </c>
      <c r="L325" s="11" t="str">
        <f t="shared" si="5"/>
        <v>Ver Imagen</v>
      </c>
      <c r="M325" t="s">
        <v>15</v>
      </c>
    </row>
    <row r="326" spans="1:13" x14ac:dyDescent="0.25">
      <c r="A326">
        <v>325</v>
      </c>
      <c r="B326" t="s">
        <v>662</v>
      </c>
      <c r="C326" s="1">
        <v>37.195436385599997</v>
      </c>
      <c r="D326" s="1">
        <v>-7.0012071573599997</v>
      </c>
      <c r="E326" s="3">
        <v>2</v>
      </c>
      <c r="F326" s="2">
        <v>2</v>
      </c>
      <c r="G326" s="4">
        <v>2</v>
      </c>
      <c r="H326" s="13"/>
      <c r="I326" s="15"/>
      <c r="J326" s="19">
        <v>2</v>
      </c>
      <c r="K326" s="2" t="s">
        <v>663</v>
      </c>
      <c r="L326" s="11" t="str">
        <f t="shared" si="5"/>
        <v>Ver Imagen</v>
      </c>
      <c r="M326" t="s">
        <v>15</v>
      </c>
    </row>
    <row r="327" spans="1:13" x14ac:dyDescent="0.25">
      <c r="A327">
        <v>326</v>
      </c>
      <c r="B327" t="s">
        <v>664</v>
      </c>
      <c r="C327" s="1">
        <v>37.202033041</v>
      </c>
      <c r="D327" s="1">
        <v>-7.0138701087999999</v>
      </c>
      <c r="E327" s="3">
        <v>2</v>
      </c>
      <c r="F327" s="2">
        <v>2</v>
      </c>
      <c r="G327" s="4">
        <v>2</v>
      </c>
      <c r="H327" s="13"/>
      <c r="I327" s="15"/>
      <c r="J327" s="19">
        <v>2</v>
      </c>
      <c r="K327" s="2" t="s">
        <v>665</v>
      </c>
      <c r="L327" s="11" t="str">
        <f t="shared" si="5"/>
        <v>Ver Imagen</v>
      </c>
      <c r="M327" t="s">
        <v>15</v>
      </c>
    </row>
    <row r="328" spans="1:13" x14ac:dyDescent="0.25">
      <c r="A328">
        <v>327</v>
      </c>
      <c r="B328" t="s">
        <v>666</v>
      </c>
      <c r="C328" s="1">
        <v>37.2042073625</v>
      </c>
      <c r="D328" s="1">
        <v>-7.0172127654300001</v>
      </c>
      <c r="E328" s="3">
        <v>2</v>
      </c>
      <c r="F328" s="2">
        <v>2</v>
      </c>
      <c r="G328" s="4">
        <v>2</v>
      </c>
      <c r="H328" s="13"/>
      <c r="I328" s="15"/>
      <c r="J328" s="19">
        <v>2</v>
      </c>
      <c r="K328" s="2" t="s">
        <v>667</v>
      </c>
      <c r="L328" s="11" t="str">
        <f t="shared" si="5"/>
        <v>Ver Imagen</v>
      </c>
      <c r="M328" t="s">
        <v>15</v>
      </c>
    </row>
    <row r="329" spans="1:13" x14ac:dyDescent="0.25">
      <c r="A329">
        <v>328</v>
      </c>
      <c r="B329" t="s">
        <v>668</v>
      </c>
      <c r="C329" s="1">
        <v>37.208015745399997</v>
      </c>
      <c r="D329" s="1">
        <v>-7.0227519411100001</v>
      </c>
      <c r="E329" s="3">
        <v>2</v>
      </c>
      <c r="F329" s="2">
        <v>2</v>
      </c>
      <c r="G329" s="4">
        <v>2</v>
      </c>
      <c r="H329" s="13"/>
      <c r="I329" s="15"/>
      <c r="J329" s="19">
        <v>2</v>
      </c>
      <c r="K329" s="2" t="s">
        <v>669</v>
      </c>
      <c r="L329" s="11" t="str">
        <f t="shared" ref="L329:L392" si="6">HYPERLINK("2\0\" &amp; K329, "Ver Imagen")</f>
        <v>Ver Imagen</v>
      </c>
      <c r="M329" t="s">
        <v>15</v>
      </c>
    </row>
    <row r="330" spans="1:13" x14ac:dyDescent="0.25">
      <c r="A330">
        <v>329</v>
      </c>
      <c r="B330" t="s">
        <v>670</v>
      </c>
      <c r="C330" s="1">
        <v>37.208117621100001</v>
      </c>
      <c r="D330" s="1">
        <v>-7.0229642924900002</v>
      </c>
      <c r="E330" s="3">
        <v>2</v>
      </c>
      <c r="F330" s="2">
        <v>2</v>
      </c>
      <c r="G330" s="4">
        <v>2</v>
      </c>
      <c r="H330" s="13"/>
      <c r="I330" s="15"/>
      <c r="J330" s="19">
        <v>2</v>
      </c>
      <c r="K330" s="2" t="s">
        <v>671</v>
      </c>
      <c r="L330" s="11" t="str">
        <f t="shared" si="6"/>
        <v>Ver Imagen</v>
      </c>
      <c r="M330" t="s">
        <v>15</v>
      </c>
    </row>
    <row r="331" spans="1:13" x14ac:dyDescent="0.25">
      <c r="A331">
        <v>330</v>
      </c>
      <c r="B331" t="s">
        <v>672</v>
      </c>
      <c r="C331" s="1">
        <v>37.217989247600002</v>
      </c>
      <c r="D331" s="1">
        <v>-7.1222618618700002</v>
      </c>
      <c r="E331" s="3">
        <v>2</v>
      </c>
      <c r="F331" s="2">
        <v>2</v>
      </c>
      <c r="G331" s="4">
        <v>2</v>
      </c>
      <c r="H331" s="13"/>
      <c r="I331" s="15"/>
      <c r="J331" s="19">
        <v>2</v>
      </c>
      <c r="K331" s="2" t="s">
        <v>673</v>
      </c>
      <c r="L331" s="11" t="str">
        <f t="shared" si="6"/>
        <v>Ver Imagen</v>
      </c>
      <c r="M331" t="s">
        <v>15</v>
      </c>
    </row>
    <row r="332" spans="1:13" x14ac:dyDescent="0.25">
      <c r="A332">
        <v>331</v>
      </c>
      <c r="B332" t="s">
        <v>674</v>
      </c>
      <c r="C332" s="1">
        <v>37.217897139900003</v>
      </c>
      <c r="D332" s="1">
        <v>-7.1217857976900003</v>
      </c>
      <c r="E332" s="3">
        <v>2</v>
      </c>
      <c r="F332" s="2">
        <v>2</v>
      </c>
      <c r="G332" s="4">
        <v>2</v>
      </c>
      <c r="H332" s="13"/>
      <c r="I332" s="15"/>
      <c r="J332" s="19">
        <v>2</v>
      </c>
      <c r="K332" s="2" t="s">
        <v>675</v>
      </c>
      <c r="L332" s="11" t="str">
        <f t="shared" si="6"/>
        <v>Ver Imagen</v>
      </c>
      <c r="M332" t="s">
        <v>15</v>
      </c>
    </row>
    <row r="333" spans="1:13" x14ac:dyDescent="0.25">
      <c r="A333">
        <v>332</v>
      </c>
      <c r="B333" t="s">
        <v>676</v>
      </c>
      <c r="C333" s="1">
        <v>37.218131153900003</v>
      </c>
      <c r="D333" s="1">
        <v>-7.1190018253299998</v>
      </c>
      <c r="E333" s="3">
        <v>2</v>
      </c>
      <c r="F333" s="2">
        <v>2</v>
      </c>
      <c r="G333" s="4">
        <v>2</v>
      </c>
      <c r="H333" s="13"/>
      <c r="I333" s="15"/>
      <c r="J333" s="19">
        <v>2</v>
      </c>
      <c r="K333" s="2" t="s">
        <v>677</v>
      </c>
      <c r="L333" s="11" t="str">
        <f t="shared" si="6"/>
        <v>Ver Imagen</v>
      </c>
      <c r="M333" t="s">
        <v>15</v>
      </c>
    </row>
    <row r="334" spans="1:13" x14ac:dyDescent="0.25">
      <c r="A334">
        <v>333</v>
      </c>
      <c r="B334" t="s">
        <v>678</v>
      </c>
      <c r="C334" s="1">
        <v>37.217515696900001</v>
      </c>
      <c r="D334" s="1">
        <v>-7.1140023928999998</v>
      </c>
      <c r="E334" s="3">
        <v>2</v>
      </c>
      <c r="F334" s="2">
        <v>2</v>
      </c>
      <c r="G334" s="4">
        <v>2</v>
      </c>
      <c r="H334" s="13"/>
      <c r="I334" s="15"/>
      <c r="J334" s="19">
        <v>2</v>
      </c>
      <c r="K334" s="2" t="s">
        <v>679</v>
      </c>
      <c r="L334" s="11" t="str">
        <f t="shared" si="6"/>
        <v>Ver Imagen</v>
      </c>
      <c r="M334" t="s">
        <v>15</v>
      </c>
    </row>
    <row r="335" spans="1:13" x14ac:dyDescent="0.25">
      <c r="A335">
        <v>334</v>
      </c>
      <c r="B335" t="s">
        <v>680</v>
      </c>
      <c r="C335" s="1">
        <v>37.217503566200001</v>
      </c>
      <c r="D335" s="1">
        <v>-7.1137819678599996</v>
      </c>
      <c r="E335" s="3">
        <v>2</v>
      </c>
      <c r="F335" s="2">
        <v>2</v>
      </c>
      <c r="G335" s="4">
        <v>2</v>
      </c>
      <c r="H335" s="13"/>
      <c r="I335" s="15"/>
      <c r="J335" s="19">
        <v>2</v>
      </c>
      <c r="K335" s="2" t="s">
        <v>681</v>
      </c>
      <c r="L335" s="11" t="str">
        <f t="shared" si="6"/>
        <v>Ver Imagen</v>
      </c>
      <c r="M335" t="s">
        <v>15</v>
      </c>
    </row>
    <row r="336" spans="1:13" x14ac:dyDescent="0.25">
      <c r="A336">
        <v>335</v>
      </c>
      <c r="B336" t="s">
        <v>682</v>
      </c>
      <c r="C336" s="1">
        <v>37.217502367999998</v>
      </c>
      <c r="D336" s="1">
        <v>-7.1135175573999998</v>
      </c>
      <c r="E336" s="3">
        <v>2</v>
      </c>
      <c r="F336" s="2">
        <v>2</v>
      </c>
      <c r="G336" s="4">
        <v>2</v>
      </c>
      <c r="H336" s="13"/>
      <c r="I336" s="15"/>
      <c r="J336" s="19">
        <v>2</v>
      </c>
      <c r="K336" s="2" t="s">
        <v>683</v>
      </c>
      <c r="L336" s="11" t="str">
        <f t="shared" si="6"/>
        <v>Ver Imagen</v>
      </c>
      <c r="M336" t="s">
        <v>15</v>
      </c>
    </row>
    <row r="337" spans="1:13" x14ac:dyDescent="0.25">
      <c r="A337">
        <v>336</v>
      </c>
      <c r="B337" t="s">
        <v>684</v>
      </c>
      <c r="C337" s="1">
        <v>37.217510963999999</v>
      </c>
      <c r="D337" s="1">
        <v>-7.1132375029399997</v>
      </c>
      <c r="E337" s="3">
        <v>2</v>
      </c>
      <c r="F337" s="2">
        <v>2</v>
      </c>
      <c r="G337" s="4">
        <v>2</v>
      </c>
      <c r="H337" s="13"/>
      <c r="I337" s="15"/>
      <c r="J337" s="19">
        <v>2</v>
      </c>
      <c r="K337" s="2" t="s">
        <v>685</v>
      </c>
      <c r="L337" s="11" t="str">
        <f t="shared" si="6"/>
        <v>Ver Imagen</v>
      </c>
      <c r="M337" t="s">
        <v>15</v>
      </c>
    </row>
    <row r="338" spans="1:13" x14ac:dyDescent="0.25">
      <c r="A338">
        <v>337</v>
      </c>
      <c r="B338" t="s">
        <v>686</v>
      </c>
      <c r="C338" s="1">
        <v>37.217523876500003</v>
      </c>
      <c r="D338" s="1">
        <v>-7.1129795733699996</v>
      </c>
      <c r="E338" s="3">
        <v>2</v>
      </c>
      <c r="F338" s="2">
        <v>2</v>
      </c>
      <c r="G338" s="4">
        <v>2</v>
      </c>
      <c r="H338" s="13"/>
      <c r="I338" s="15"/>
      <c r="J338" s="19">
        <v>2</v>
      </c>
      <c r="K338" s="2" t="s">
        <v>687</v>
      </c>
      <c r="L338" s="11" t="str">
        <f t="shared" si="6"/>
        <v>Ver Imagen</v>
      </c>
      <c r="M338" t="s">
        <v>15</v>
      </c>
    </row>
    <row r="339" spans="1:13" x14ac:dyDescent="0.25">
      <c r="A339">
        <v>338</v>
      </c>
      <c r="B339" t="s">
        <v>688</v>
      </c>
      <c r="C339" s="1">
        <v>37.217549157400001</v>
      </c>
      <c r="D339" s="1">
        <v>-7.1124828721300002</v>
      </c>
      <c r="E339" s="3">
        <v>2</v>
      </c>
      <c r="F339" s="2">
        <v>2</v>
      </c>
      <c r="G339" s="4">
        <v>2</v>
      </c>
      <c r="H339" s="13"/>
      <c r="I339" s="15"/>
      <c r="J339" s="19">
        <v>2</v>
      </c>
      <c r="K339" s="2" t="s">
        <v>689</v>
      </c>
      <c r="L339" s="11" t="str">
        <f t="shared" si="6"/>
        <v>Ver Imagen</v>
      </c>
      <c r="M339" t="s">
        <v>15</v>
      </c>
    </row>
    <row r="340" spans="1:13" x14ac:dyDescent="0.25">
      <c r="A340">
        <v>339</v>
      </c>
      <c r="B340" t="s">
        <v>690</v>
      </c>
      <c r="C340" s="1">
        <v>37.217593794899997</v>
      </c>
      <c r="D340" s="1">
        <v>-7.1114576013499997</v>
      </c>
      <c r="E340" s="3">
        <v>2</v>
      </c>
      <c r="F340" s="2">
        <v>2</v>
      </c>
      <c r="G340" s="4">
        <v>2</v>
      </c>
      <c r="H340" s="13"/>
      <c r="I340" s="15"/>
      <c r="J340" s="19">
        <v>2</v>
      </c>
      <c r="K340" s="2" t="s">
        <v>691</v>
      </c>
      <c r="L340" s="11" t="str">
        <f t="shared" si="6"/>
        <v>Ver Imagen</v>
      </c>
      <c r="M340" t="s">
        <v>15</v>
      </c>
    </row>
    <row r="341" spans="1:13" x14ac:dyDescent="0.25">
      <c r="A341">
        <v>340</v>
      </c>
      <c r="B341" t="s">
        <v>692</v>
      </c>
      <c r="C341" s="1">
        <v>37.217563607199999</v>
      </c>
      <c r="D341" s="1">
        <v>-7.1087096255100004</v>
      </c>
      <c r="E341" s="3">
        <v>2</v>
      </c>
      <c r="F341" s="2">
        <v>2</v>
      </c>
      <c r="G341" s="4">
        <v>2</v>
      </c>
      <c r="H341" s="13"/>
      <c r="I341" s="15"/>
      <c r="J341" s="19">
        <v>2</v>
      </c>
      <c r="K341" s="2" t="s">
        <v>693</v>
      </c>
      <c r="L341" s="11" t="str">
        <f t="shared" si="6"/>
        <v>Ver Imagen</v>
      </c>
      <c r="M341" t="s">
        <v>15</v>
      </c>
    </row>
    <row r="342" spans="1:13" x14ac:dyDescent="0.25">
      <c r="A342">
        <v>341</v>
      </c>
      <c r="B342" t="s">
        <v>694</v>
      </c>
      <c r="C342" s="1">
        <v>37.217302266600001</v>
      </c>
      <c r="D342" s="1">
        <v>-7.1069414742900001</v>
      </c>
      <c r="E342" s="3">
        <v>2</v>
      </c>
      <c r="F342" s="2">
        <v>2</v>
      </c>
      <c r="G342" s="4">
        <v>2</v>
      </c>
      <c r="H342" s="13"/>
      <c r="I342" s="15"/>
      <c r="J342" s="19">
        <v>2</v>
      </c>
      <c r="K342" s="2" t="s">
        <v>695</v>
      </c>
      <c r="L342" s="11" t="str">
        <f t="shared" si="6"/>
        <v>Ver Imagen</v>
      </c>
      <c r="M342" t="s">
        <v>15</v>
      </c>
    </row>
    <row r="343" spans="1:13" x14ac:dyDescent="0.25">
      <c r="A343">
        <v>342</v>
      </c>
      <c r="B343" t="s">
        <v>696</v>
      </c>
      <c r="C343" s="1">
        <v>37.217104309600003</v>
      </c>
      <c r="D343" s="1">
        <v>-7.1054224055999997</v>
      </c>
      <c r="E343" s="3">
        <v>2</v>
      </c>
      <c r="F343" s="2">
        <v>2</v>
      </c>
      <c r="G343" s="4">
        <v>2</v>
      </c>
      <c r="H343" s="13"/>
      <c r="I343" s="15"/>
      <c r="J343" s="19">
        <v>2</v>
      </c>
      <c r="K343" s="2" t="s">
        <v>697</v>
      </c>
      <c r="L343" s="11" t="str">
        <f t="shared" si="6"/>
        <v>Ver Imagen</v>
      </c>
      <c r="M343" t="s">
        <v>15</v>
      </c>
    </row>
    <row r="344" spans="1:13" x14ac:dyDescent="0.25">
      <c r="A344">
        <v>343</v>
      </c>
      <c r="B344" t="s">
        <v>698</v>
      </c>
      <c r="C344" s="1">
        <v>37.217082793800003</v>
      </c>
      <c r="D344" s="1">
        <v>-7.1052083607899998</v>
      </c>
      <c r="E344" s="3">
        <v>2</v>
      </c>
      <c r="F344" s="2">
        <v>2</v>
      </c>
      <c r="G344" s="4">
        <v>2</v>
      </c>
      <c r="H344" s="13"/>
      <c r="I344" s="15"/>
      <c r="J344" s="19">
        <v>2</v>
      </c>
      <c r="K344" s="2" t="s">
        <v>699</v>
      </c>
      <c r="L344" s="11" t="str">
        <f t="shared" si="6"/>
        <v>Ver Imagen</v>
      </c>
      <c r="M344" t="s">
        <v>15</v>
      </c>
    </row>
    <row r="345" spans="1:13" x14ac:dyDescent="0.25">
      <c r="A345">
        <v>344</v>
      </c>
      <c r="B345" t="s">
        <v>700</v>
      </c>
      <c r="C345" s="1">
        <v>37.216791114800003</v>
      </c>
      <c r="D345" s="1">
        <v>-7.1014362879800004</v>
      </c>
      <c r="E345" s="3">
        <v>2</v>
      </c>
      <c r="F345" s="2">
        <v>2</v>
      </c>
      <c r="G345" s="4">
        <v>2</v>
      </c>
      <c r="H345" s="13"/>
      <c r="I345" s="15"/>
      <c r="J345" s="19">
        <v>2</v>
      </c>
      <c r="K345" s="2" t="s">
        <v>701</v>
      </c>
      <c r="L345" s="11" t="str">
        <f t="shared" si="6"/>
        <v>Ver Imagen</v>
      </c>
      <c r="M345" t="s">
        <v>15</v>
      </c>
    </row>
    <row r="346" spans="1:13" x14ac:dyDescent="0.25">
      <c r="A346">
        <v>345</v>
      </c>
      <c r="B346" t="s">
        <v>702</v>
      </c>
      <c r="C346" s="1">
        <v>37.216975080099999</v>
      </c>
      <c r="D346" s="1">
        <v>-7.1004355093999996</v>
      </c>
      <c r="E346" s="3">
        <v>2</v>
      </c>
      <c r="F346" s="2">
        <v>2</v>
      </c>
      <c r="G346" s="4">
        <v>2</v>
      </c>
      <c r="H346" s="13"/>
      <c r="I346" s="15"/>
      <c r="J346" s="19">
        <v>2</v>
      </c>
      <c r="K346" s="2" t="s">
        <v>703</v>
      </c>
      <c r="L346" s="11" t="str">
        <f t="shared" si="6"/>
        <v>Ver Imagen</v>
      </c>
      <c r="M346" t="s">
        <v>15</v>
      </c>
    </row>
    <row r="347" spans="1:13" x14ac:dyDescent="0.25">
      <c r="A347">
        <v>346</v>
      </c>
      <c r="B347" t="s">
        <v>704</v>
      </c>
      <c r="C347" s="1">
        <v>37.217046036799999</v>
      </c>
      <c r="D347" s="1">
        <v>-7.0996871103899997</v>
      </c>
      <c r="E347" s="3">
        <v>2</v>
      </c>
      <c r="F347" s="2">
        <v>2</v>
      </c>
      <c r="G347" s="4">
        <v>2</v>
      </c>
      <c r="H347" s="13"/>
      <c r="I347" s="15"/>
      <c r="J347" s="19">
        <v>2</v>
      </c>
      <c r="K347" s="2" t="s">
        <v>705</v>
      </c>
      <c r="L347" s="11" t="str">
        <f t="shared" si="6"/>
        <v>Ver Imagen</v>
      </c>
      <c r="M347" t="s">
        <v>15</v>
      </c>
    </row>
    <row r="348" spans="1:13" x14ac:dyDescent="0.25">
      <c r="A348">
        <v>347</v>
      </c>
      <c r="B348" t="s">
        <v>706</v>
      </c>
      <c r="C348" s="1">
        <v>37.216883395099998</v>
      </c>
      <c r="D348" s="1">
        <v>-7.0979444303200001</v>
      </c>
      <c r="E348" s="3">
        <v>2</v>
      </c>
      <c r="F348" s="2">
        <v>2</v>
      </c>
      <c r="G348" s="4">
        <v>2</v>
      </c>
      <c r="H348" s="13"/>
      <c r="I348" s="15"/>
      <c r="J348" s="19">
        <v>2</v>
      </c>
      <c r="K348" s="2" t="s">
        <v>707</v>
      </c>
      <c r="L348" s="11" t="str">
        <f t="shared" si="6"/>
        <v>Ver Imagen</v>
      </c>
      <c r="M348" t="s">
        <v>15</v>
      </c>
    </row>
    <row r="349" spans="1:13" x14ac:dyDescent="0.25">
      <c r="A349">
        <v>348</v>
      </c>
      <c r="B349" t="s">
        <v>708</v>
      </c>
      <c r="C349" s="1">
        <v>37.216710483999996</v>
      </c>
      <c r="D349" s="1">
        <v>-7.0961581775000004</v>
      </c>
      <c r="E349" s="3">
        <v>2</v>
      </c>
      <c r="F349" s="2">
        <v>2</v>
      </c>
      <c r="G349" s="4">
        <v>2</v>
      </c>
      <c r="H349" s="13"/>
      <c r="I349" s="15"/>
      <c r="J349" s="19">
        <v>2</v>
      </c>
      <c r="K349" s="2" t="s">
        <v>709</v>
      </c>
      <c r="L349" s="11" t="str">
        <f t="shared" si="6"/>
        <v>Ver Imagen</v>
      </c>
      <c r="M349" t="s">
        <v>15</v>
      </c>
    </row>
    <row r="350" spans="1:13" x14ac:dyDescent="0.25">
      <c r="A350">
        <v>349</v>
      </c>
      <c r="B350" t="s">
        <v>710</v>
      </c>
      <c r="C350" s="1">
        <v>37.216644514099997</v>
      </c>
      <c r="D350" s="1">
        <v>-7.0941518584600001</v>
      </c>
      <c r="E350" s="3">
        <v>2</v>
      </c>
      <c r="F350" s="2">
        <v>2</v>
      </c>
      <c r="G350" s="4">
        <v>2</v>
      </c>
      <c r="H350" s="13"/>
      <c r="I350" s="15"/>
      <c r="J350" s="19">
        <v>2</v>
      </c>
      <c r="K350" s="2" t="s">
        <v>711</v>
      </c>
      <c r="L350" s="11" t="str">
        <f t="shared" si="6"/>
        <v>Ver Imagen</v>
      </c>
      <c r="M350" t="s">
        <v>15</v>
      </c>
    </row>
    <row r="351" spans="1:13" x14ac:dyDescent="0.25">
      <c r="A351">
        <v>350</v>
      </c>
      <c r="B351" t="s">
        <v>712</v>
      </c>
      <c r="C351" s="1">
        <v>37.216633288499999</v>
      </c>
      <c r="D351" s="1">
        <v>-7.0936355338599997</v>
      </c>
      <c r="E351" s="3">
        <v>2</v>
      </c>
      <c r="F351" s="2">
        <v>2</v>
      </c>
      <c r="G351" s="4">
        <v>2</v>
      </c>
      <c r="H351" s="13"/>
      <c r="I351" s="15"/>
      <c r="J351" s="19">
        <v>2</v>
      </c>
      <c r="K351" s="2" t="s">
        <v>713</v>
      </c>
      <c r="L351" s="11" t="str">
        <f t="shared" si="6"/>
        <v>Ver Imagen</v>
      </c>
      <c r="M351" t="s">
        <v>15</v>
      </c>
    </row>
    <row r="352" spans="1:13" x14ac:dyDescent="0.25">
      <c r="A352">
        <v>351</v>
      </c>
      <c r="B352" t="s">
        <v>714</v>
      </c>
      <c r="C352" s="1">
        <v>37.216533704200003</v>
      </c>
      <c r="D352" s="1">
        <v>-7.0928948583600002</v>
      </c>
      <c r="E352" s="3">
        <v>2</v>
      </c>
      <c r="F352" s="2">
        <v>2</v>
      </c>
      <c r="G352" s="4">
        <v>2</v>
      </c>
      <c r="H352" s="13"/>
      <c r="I352" s="15"/>
      <c r="J352" s="19">
        <v>2</v>
      </c>
      <c r="K352" s="2" t="s">
        <v>715</v>
      </c>
      <c r="L352" s="11" t="str">
        <f t="shared" si="6"/>
        <v>Ver Imagen</v>
      </c>
      <c r="M352" t="s">
        <v>15</v>
      </c>
    </row>
    <row r="353" spans="1:13" x14ac:dyDescent="0.25">
      <c r="A353">
        <v>352</v>
      </c>
      <c r="B353" t="s">
        <v>716</v>
      </c>
      <c r="C353" s="1">
        <v>37.216018952399999</v>
      </c>
      <c r="D353" s="1">
        <v>-7.0868927910100004</v>
      </c>
      <c r="E353" s="3">
        <v>2</v>
      </c>
      <c r="F353" s="2">
        <v>2</v>
      </c>
      <c r="G353" s="4">
        <v>2</v>
      </c>
      <c r="H353" s="13"/>
      <c r="I353" s="15"/>
      <c r="J353" s="19">
        <v>2</v>
      </c>
      <c r="K353" s="2" t="s">
        <v>717</v>
      </c>
      <c r="L353" s="11" t="str">
        <f t="shared" si="6"/>
        <v>Ver Imagen</v>
      </c>
      <c r="M353" t="s">
        <v>15</v>
      </c>
    </row>
    <row r="354" spans="1:13" x14ac:dyDescent="0.25">
      <c r="A354">
        <v>353</v>
      </c>
      <c r="B354" t="s">
        <v>718</v>
      </c>
      <c r="C354" s="1">
        <v>37.216023117200002</v>
      </c>
      <c r="D354" s="1">
        <v>-7.0865985506499998</v>
      </c>
      <c r="E354" s="3">
        <v>2</v>
      </c>
      <c r="F354" s="2">
        <v>2</v>
      </c>
      <c r="G354" s="4">
        <v>2</v>
      </c>
      <c r="H354" s="13"/>
      <c r="I354" s="15"/>
      <c r="J354" s="19">
        <v>2</v>
      </c>
      <c r="K354" s="2" t="s">
        <v>719</v>
      </c>
      <c r="L354" s="11" t="str">
        <f t="shared" si="6"/>
        <v>Ver Imagen</v>
      </c>
      <c r="M354" t="s">
        <v>15</v>
      </c>
    </row>
    <row r="355" spans="1:13" x14ac:dyDescent="0.25">
      <c r="A355">
        <v>354</v>
      </c>
      <c r="B355" t="s">
        <v>720</v>
      </c>
      <c r="C355" s="1">
        <v>37.216053586599998</v>
      </c>
      <c r="D355" s="1">
        <v>-7.0861018208299997</v>
      </c>
      <c r="E355" s="3">
        <v>2</v>
      </c>
      <c r="F355" s="2">
        <v>2</v>
      </c>
      <c r="G355" s="4">
        <v>2</v>
      </c>
      <c r="H355" s="13"/>
      <c r="I355" s="15"/>
      <c r="J355" s="19">
        <v>2</v>
      </c>
      <c r="K355" s="2" t="s">
        <v>721</v>
      </c>
      <c r="L355" s="11" t="str">
        <f t="shared" si="6"/>
        <v>Ver Imagen</v>
      </c>
      <c r="M355" t="s">
        <v>15</v>
      </c>
    </row>
    <row r="356" spans="1:13" x14ac:dyDescent="0.25">
      <c r="A356">
        <v>355</v>
      </c>
      <c r="B356" t="s">
        <v>722</v>
      </c>
      <c r="C356" s="1">
        <v>37.216176683500002</v>
      </c>
      <c r="D356" s="1">
        <v>-7.0851342269600002</v>
      </c>
      <c r="E356" s="3">
        <v>2</v>
      </c>
      <c r="F356" s="2">
        <v>2</v>
      </c>
      <c r="G356" s="4">
        <v>2</v>
      </c>
      <c r="H356" s="13"/>
      <c r="I356" s="15"/>
      <c r="J356" s="19">
        <v>2</v>
      </c>
      <c r="K356" s="2" t="s">
        <v>723</v>
      </c>
      <c r="L356" s="11" t="str">
        <f t="shared" si="6"/>
        <v>Ver Imagen</v>
      </c>
      <c r="M356" t="s">
        <v>15</v>
      </c>
    </row>
    <row r="357" spans="1:13" x14ac:dyDescent="0.25">
      <c r="A357">
        <v>356</v>
      </c>
      <c r="B357" t="s">
        <v>724</v>
      </c>
      <c r="C357" s="1">
        <v>37.215594034399999</v>
      </c>
      <c r="D357" s="1">
        <v>-7.0817365175300004</v>
      </c>
      <c r="E357" s="3">
        <v>2</v>
      </c>
      <c r="F357" s="2">
        <v>2</v>
      </c>
      <c r="G357" s="4">
        <v>2</v>
      </c>
      <c r="H357" s="13"/>
      <c r="I357" s="15"/>
      <c r="J357" s="19">
        <v>2</v>
      </c>
      <c r="K357" s="2" t="s">
        <v>725</v>
      </c>
      <c r="L357" s="11" t="str">
        <f t="shared" si="6"/>
        <v>Ver Imagen</v>
      </c>
      <c r="M357" t="s">
        <v>15</v>
      </c>
    </row>
    <row r="358" spans="1:13" x14ac:dyDescent="0.25">
      <c r="A358">
        <v>357</v>
      </c>
      <c r="B358" t="s">
        <v>726</v>
      </c>
      <c r="C358" s="1">
        <v>37.2155234357</v>
      </c>
      <c r="D358" s="1">
        <v>-7.0814823176099999</v>
      </c>
      <c r="E358" s="3">
        <v>2</v>
      </c>
      <c r="F358" s="2">
        <v>2</v>
      </c>
      <c r="G358" s="4">
        <v>2</v>
      </c>
      <c r="H358" s="13"/>
      <c r="I358" s="15"/>
      <c r="J358" s="19">
        <v>2</v>
      </c>
      <c r="K358" s="2" t="s">
        <v>727</v>
      </c>
      <c r="L358" s="11" t="str">
        <f t="shared" si="6"/>
        <v>Ver Imagen</v>
      </c>
      <c r="M358" t="s">
        <v>15</v>
      </c>
    </row>
    <row r="359" spans="1:13" x14ac:dyDescent="0.25">
      <c r="A359">
        <v>358</v>
      </c>
      <c r="B359" t="s">
        <v>728</v>
      </c>
      <c r="C359" s="1">
        <v>37.2151881614</v>
      </c>
      <c r="D359" s="1">
        <v>-7.08032007</v>
      </c>
      <c r="E359" s="3">
        <v>2</v>
      </c>
      <c r="F359" s="2">
        <v>2</v>
      </c>
      <c r="G359" s="4">
        <v>2</v>
      </c>
      <c r="H359" s="13"/>
      <c r="I359" s="15"/>
      <c r="J359" s="19">
        <v>2</v>
      </c>
      <c r="K359" s="2" t="s">
        <v>729</v>
      </c>
      <c r="L359" s="11" t="str">
        <f t="shared" si="6"/>
        <v>Ver Imagen</v>
      </c>
      <c r="M359" t="s">
        <v>15</v>
      </c>
    </row>
    <row r="360" spans="1:13" x14ac:dyDescent="0.25">
      <c r="A360">
        <v>359</v>
      </c>
      <c r="B360" t="s">
        <v>730</v>
      </c>
      <c r="C360" s="1">
        <v>37.215111489500003</v>
      </c>
      <c r="D360" s="1">
        <v>-7.0800380680500004</v>
      </c>
      <c r="E360" s="3">
        <v>2</v>
      </c>
      <c r="F360" s="2">
        <v>2</v>
      </c>
      <c r="G360" s="4">
        <v>2</v>
      </c>
      <c r="H360" s="13"/>
      <c r="I360" s="15"/>
      <c r="J360" s="19">
        <v>2</v>
      </c>
      <c r="K360" s="2" t="s">
        <v>731</v>
      </c>
      <c r="L360" s="11" t="str">
        <f t="shared" si="6"/>
        <v>Ver Imagen</v>
      </c>
      <c r="M360" t="s">
        <v>15</v>
      </c>
    </row>
    <row r="361" spans="1:13" x14ac:dyDescent="0.25">
      <c r="A361">
        <v>360</v>
      </c>
      <c r="B361" t="s">
        <v>732</v>
      </c>
      <c r="C361" s="1">
        <v>37.215044392599999</v>
      </c>
      <c r="D361" s="1">
        <v>-7.0797783913599996</v>
      </c>
      <c r="E361" s="3">
        <v>2</v>
      </c>
      <c r="F361" s="2">
        <v>2</v>
      </c>
      <c r="G361" s="4">
        <v>2</v>
      </c>
      <c r="H361" s="13"/>
      <c r="I361" s="15"/>
      <c r="J361" s="19">
        <v>2</v>
      </c>
      <c r="K361" s="2" t="s">
        <v>733</v>
      </c>
      <c r="L361" s="11" t="str">
        <f t="shared" si="6"/>
        <v>Ver Imagen</v>
      </c>
      <c r="M361" t="s">
        <v>15</v>
      </c>
    </row>
    <row r="362" spans="1:13" x14ac:dyDescent="0.25">
      <c r="A362">
        <v>361</v>
      </c>
      <c r="B362" t="s">
        <v>734</v>
      </c>
      <c r="C362" s="1">
        <v>37.214992075600001</v>
      </c>
      <c r="D362" s="1">
        <v>-7.0795558380200001</v>
      </c>
      <c r="E362" s="3">
        <v>2</v>
      </c>
      <c r="F362" s="2">
        <v>2</v>
      </c>
      <c r="G362" s="4">
        <v>2</v>
      </c>
      <c r="H362" s="13"/>
      <c r="I362" s="15"/>
      <c r="J362" s="19">
        <v>2</v>
      </c>
      <c r="K362" s="2" t="s">
        <v>735</v>
      </c>
      <c r="L362" s="11" t="str">
        <f t="shared" si="6"/>
        <v>Ver Imagen</v>
      </c>
      <c r="M362" t="s">
        <v>15</v>
      </c>
    </row>
    <row r="363" spans="1:13" x14ac:dyDescent="0.25">
      <c r="A363">
        <v>362</v>
      </c>
      <c r="B363" t="s">
        <v>736</v>
      </c>
      <c r="C363" s="1">
        <v>37.213377728700003</v>
      </c>
      <c r="D363" s="1">
        <v>-7.0673679733499997</v>
      </c>
      <c r="E363" s="3">
        <v>2</v>
      </c>
      <c r="F363" s="2">
        <v>2</v>
      </c>
      <c r="G363" s="4">
        <v>2</v>
      </c>
      <c r="H363" s="13"/>
      <c r="I363" s="15"/>
      <c r="J363" s="19">
        <v>2</v>
      </c>
      <c r="K363" s="2" t="s">
        <v>737</v>
      </c>
      <c r="L363" s="11" t="str">
        <f t="shared" si="6"/>
        <v>Ver Imagen</v>
      </c>
      <c r="M363" t="s">
        <v>15</v>
      </c>
    </row>
    <row r="364" spans="1:13" x14ac:dyDescent="0.25">
      <c r="A364">
        <v>363</v>
      </c>
      <c r="B364" t="s">
        <v>738</v>
      </c>
      <c r="C364" s="1">
        <v>37.213357175500001</v>
      </c>
      <c r="D364" s="1">
        <v>-7.0668649817400002</v>
      </c>
      <c r="E364" s="3">
        <v>2</v>
      </c>
      <c r="F364" s="2">
        <v>2</v>
      </c>
      <c r="G364" s="4">
        <v>2</v>
      </c>
      <c r="H364" s="13"/>
      <c r="I364" s="15"/>
      <c r="J364" s="19">
        <v>2</v>
      </c>
      <c r="K364" s="2" t="s">
        <v>739</v>
      </c>
      <c r="L364" s="11" t="str">
        <f t="shared" si="6"/>
        <v>Ver Imagen</v>
      </c>
      <c r="M364" t="s">
        <v>15</v>
      </c>
    </row>
    <row r="365" spans="1:13" x14ac:dyDescent="0.25">
      <c r="A365">
        <v>364</v>
      </c>
      <c r="B365" t="s">
        <v>740</v>
      </c>
      <c r="C365" s="1">
        <v>37.213174875299998</v>
      </c>
      <c r="D365" s="1">
        <v>-7.06267194525</v>
      </c>
      <c r="E365" s="3">
        <v>2</v>
      </c>
      <c r="F365" s="2">
        <v>2</v>
      </c>
      <c r="G365" s="4">
        <v>2</v>
      </c>
      <c r="H365" s="13"/>
      <c r="I365" s="15"/>
      <c r="J365" s="19">
        <v>2</v>
      </c>
      <c r="K365" s="2" t="s">
        <v>741</v>
      </c>
      <c r="L365" s="11" t="str">
        <f t="shared" si="6"/>
        <v>Ver Imagen</v>
      </c>
      <c r="M365" t="s">
        <v>15</v>
      </c>
    </row>
    <row r="366" spans="1:13" x14ac:dyDescent="0.25">
      <c r="A366">
        <v>365</v>
      </c>
      <c r="B366" t="s">
        <v>742</v>
      </c>
      <c r="C366" s="1">
        <v>37.212894662899998</v>
      </c>
      <c r="D366" s="1">
        <v>-7.0614613909699999</v>
      </c>
      <c r="E366" s="3">
        <v>2</v>
      </c>
      <c r="F366" s="2">
        <v>2</v>
      </c>
      <c r="G366" s="4">
        <v>2</v>
      </c>
      <c r="H366" s="13"/>
      <c r="I366" s="15"/>
      <c r="J366" s="19">
        <v>2</v>
      </c>
      <c r="K366" s="2" t="s">
        <v>743</v>
      </c>
      <c r="L366" s="11" t="str">
        <f t="shared" si="6"/>
        <v>Ver Imagen</v>
      </c>
      <c r="M366" t="s">
        <v>15</v>
      </c>
    </row>
    <row r="367" spans="1:13" x14ac:dyDescent="0.25">
      <c r="A367">
        <v>366</v>
      </c>
      <c r="B367" t="s">
        <v>744</v>
      </c>
      <c r="C367" s="1">
        <v>37.212627033899999</v>
      </c>
      <c r="D367" s="1">
        <v>-7.0607243407400002</v>
      </c>
      <c r="E367" s="3">
        <v>2</v>
      </c>
      <c r="F367" s="2">
        <v>2</v>
      </c>
      <c r="G367" s="4">
        <v>2</v>
      </c>
      <c r="H367" s="13"/>
      <c r="I367" s="15"/>
      <c r="J367" s="19">
        <v>2</v>
      </c>
      <c r="K367" s="2" t="s">
        <v>745</v>
      </c>
      <c r="L367" s="11" t="str">
        <f t="shared" si="6"/>
        <v>Ver Imagen</v>
      </c>
      <c r="M367" t="s">
        <v>15</v>
      </c>
    </row>
    <row r="368" spans="1:13" x14ac:dyDescent="0.25">
      <c r="A368">
        <v>367</v>
      </c>
      <c r="B368" t="s">
        <v>746</v>
      </c>
      <c r="C368" s="1">
        <v>37.212379371799997</v>
      </c>
      <c r="D368" s="1">
        <v>-7.0600590745199998</v>
      </c>
      <c r="E368" s="3">
        <v>2</v>
      </c>
      <c r="F368" s="2">
        <v>2</v>
      </c>
      <c r="G368" s="4">
        <v>2</v>
      </c>
      <c r="H368" s="13"/>
      <c r="I368" s="15"/>
      <c r="J368" s="19">
        <v>2</v>
      </c>
      <c r="K368" s="2" t="s">
        <v>747</v>
      </c>
      <c r="L368" s="11" t="str">
        <f t="shared" si="6"/>
        <v>Ver Imagen</v>
      </c>
      <c r="M368" t="s">
        <v>15</v>
      </c>
    </row>
    <row r="369" spans="1:13" x14ac:dyDescent="0.25">
      <c r="A369">
        <v>368</v>
      </c>
      <c r="B369" t="s">
        <v>748</v>
      </c>
      <c r="C369" s="1">
        <v>37.212123526900001</v>
      </c>
      <c r="D369" s="1">
        <v>-7.0593756262099996</v>
      </c>
      <c r="E369" s="3">
        <v>2</v>
      </c>
      <c r="F369" s="2">
        <v>2</v>
      </c>
      <c r="G369" s="4">
        <v>2</v>
      </c>
      <c r="H369" s="13"/>
      <c r="I369" s="15"/>
      <c r="J369" s="19">
        <v>2</v>
      </c>
      <c r="K369" s="2" t="s">
        <v>749</v>
      </c>
      <c r="L369" s="11" t="str">
        <f t="shared" si="6"/>
        <v>Ver Imagen</v>
      </c>
      <c r="M369" t="s">
        <v>15</v>
      </c>
    </row>
    <row r="370" spans="1:13" x14ac:dyDescent="0.25">
      <c r="A370">
        <v>369</v>
      </c>
      <c r="B370" t="s">
        <v>750</v>
      </c>
      <c r="C370" s="1">
        <v>37.211250038700001</v>
      </c>
      <c r="D370" s="1">
        <v>-7.0562774511599997</v>
      </c>
      <c r="E370" s="3">
        <v>2</v>
      </c>
      <c r="F370" s="2">
        <v>2</v>
      </c>
      <c r="G370" s="4">
        <v>2</v>
      </c>
      <c r="H370" s="13"/>
      <c r="I370" s="15"/>
      <c r="J370" s="19">
        <v>2</v>
      </c>
      <c r="K370" s="2" t="s">
        <v>751</v>
      </c>
      <c r="L370" s="11" t="str">
        <f t="shared" si="6"/>
        <v>Ver Imagen</v>
      </c>
      <c r="M370" t="s">
        <v>15</v>
      </c>
    </row>
    <row r="371" spans="1:13" x14ac:dyDescent="0.25">
      <c r="A371">
        <v>370</v>
      </c>
      <c r="B371" t="s">
        <v>752</v>
      </c>
      <c r="C371" s="1">
        <v>37.211191956299999</v>
      </c>
      <c r="D371" s="1">
        <v>-7.0557783950999999</v>
      </c>
      <c r="E371" s="3">
        <v>2</v>
      </c>
      <c r="F371" s="2">
        <v>2</v>
      </c>
      <c r="G371" s="4">
        <v>2</v>
      </c>
      <c r="H371" s="13"/>
      <c r="I371" s="15"/>
      <c r="J371" s="19">
        <v>2</v>
      </c>
      <c r="K371" s="2" t="s">
        <v>753</v>
      </c>
      <c r="L371" s="11" t="str">
        <f t="shared" si="6"/>
        <v>Ver Imagen</v>
      </c>
      <c r="M371" t="s">
        <v>15</v>
      </c>
    </row>
    <row r="372" spans="1:13" x14ac:dyDescent="0.25">
      <c r="A372">
        <v>371</v>
      </c>
      <c r="B372" t="s">
        <v>754</v>
      </c>
      <c r="C372" s="1">
        <v>37.210954485800002</v>
      </c>
      <c r="D372" s="1">
        <v>-7.0540240976600002</v>
      </c>
      <c r="E372" s="3">
        <v>2</v>
      </c>
      <c r="F372" s="2">
        <v>2</v>
      </c>
      <c r="G372" s="4">
        <v>2</v>
      </c>
      <c r="H372" s="13"/>
      <c r="I372" s="15"/>
      <c r="J372" s="19">
        <v>2</v>
      </c>
      <c r="K372" s="2" t="s">
        <v>755</v>
      </c>
      <c r="L372" s="11" t="str">
        <f t="shared" si="6"/>
        <v>Ver Imagen</v>
      </c>
      <c r="M372" t="s">
        <v>15</v>
      </c>
    </row>
    <row r="373" spans="1:13" x14ac:dyDescent="0.25">
      <c r="A373">
        <v>372</v>
      </c>
      <c r="B373" t="s">
        <v>756</v>
      </c>
      <c r="C373" s="1">
        <v>37.210935818700001</v>
      </c>
      <c r="D373" s="1">
        <v>-7.0510416111199996</v>
      </c>
      <c r="E373" s="3">
        <v>2</v>
      </c>
      <c r="F373" s="2">
        <v>2</v>
      </c>
      <c r="G373" s="4">
        <v>2</v>
      </c>
      <c r="H373" s="13"/>
      <c r="I373" s="15"/>
      <c r="J373" s="19">
        <v>2</v>
      </c>
      <c r="K373" s="2" t="s">
        <v>757</v>
      </c>
      <c r="L373" s="11" t="str">
        <f t="shared" si="6"/>
        <v>Ver Imagen</v>
      </c>
      <c r="M373" t="s">
        <v>15</v>
      </c>
    </row>
    <row r="374" spans="1:13" x14ac:dyDescent="0.25">
      <c r="A374">
        <v>373</v>
      </c>
      <c r="B374" t="s">
        <v>758</v>
      </c>
      <c r="C374" s="1">
        <v>37.211000702</v>
      </c>
      <c r="D374" s="1">
        <v>-7.05082896519</v>
      </c>
      <c r="E374" s="3">
        <v>2</v>
      </c>
      <c r="F374" s="2">
        <v>2</v>
      </c>
      <c r="G374" s="4">
        <v>2</v>
      </c>
      <c r="H374" s="13"/>
      <c r="I374" s="15"/>
      <c r="J374" s="19">
        <v>2</v>
      </c>
      <c r="K374" s="2" t="s">
        <v>759</v>
      </c>
      <c r="L374" s="11" t="str">
        <f t="shared" si="6"/>
        <v>Ver Imagen</v>
      </c>
      <c r="M374" t="s">
        <v>15</v>
      </c>
    </row>
    <row r="375" spans="1:13" x14ac:dyDescent="0.25">
      <c r="A375">
        <v>374</v>
      </c>
      <c r="B375" t="s">
        <v>760</v>
      </c>
      <c r="C375" s="1">
        <v>37.211500042600001</v>
      </c>
      <c r="D375" s="1">
        <v>-7.0496974656900004</v>
      </c>
      <c r="E375" s="3">
        <v>2</v>
      </c>
      <c r="F375" s="2">
        <v>2</v>
      </c>
      <c r="G375" s="4">
        <v>2</v>
      </c>
      <c r="H375" s="13"/>
      <c r="I375" s="15"/>
      <c r="J375" s="19">
        <v>2</v>
      </c>
      <c r="K375" s="2" t="s">
        <v>761</v>
      </c>
      <c r="L375" s="11" t="str">
        <f t="shared" si="6"/>
        <v>Ver Imagen</v>
      </c>
      <c r="M375" t="s">
        <v>15</v>
      </c>
    </row>
    <row r="376" spans="1:13" x14ac:dyDescent="0.25">
      <c r="A376">
        <v>375</v>
      </c>
      <c r="B376" t="s">
        <v>762</v>
      </c>
      <c r="C376" s="1">
        <v>37.2115754744</v>
      </c>
      <c r="D376" s="1">
        <v>-7.0494779672799996</v>
      </c>
      <c r="E376" s="3">
        <v>2</v>
      </c>
      <c r="F376" s="2">
        <v>2</v>
      </c>
      <c r="G376" s="4">
        <v>2</v>
      </c>
      <c r="H376" s="13"/>
      <c r="I376" s="15"/>
      <c r="J376" s="19">
        <v>2</v>
      </c>
      <c r="K376" s="2" t="s">
        <v>763</v>
      </c>
      <c r="L376" s="11" t="str">
        <f t="shared" si="6"/>
        <v>Ver Imagen</v>
      </c>
      <c r="M376" t="s">
        <v>15</v>
      </c>
    </row>
    <row r="377" spans="1:13" x14ac:dyDescent="0.25">
      <c r="A377">
        <v>376</v>
      </c>
      <c r="B377" t="s">
        <v>764</v>
      </c>
      <c r="C377" s="1">
        <v>37.211648703999998</v>
      </c>
      <c r="D377" s="1">
        <v>-7.0492142588100002</v>
      </c>
      <c r="E377" s="3">
        <v>2</v>
      </c>
      <c r="F377" s="2">
        <v>2</v>
      </c>
      <c r="G377" s="4">
        <v>2</v>
      </c>
      <c r="H377" s="13"/>
      <c r="I377" s="15"/>
      <c r="J377" s="19">
        <v>2</v>
      </c>
      <c r="K377" s="2" t="s">
        <v>765</v>
      </c>
      <c r="L377" s="11" t="str">
        <f t="shared" si="6"/>
        <v>Ver Imagen</v>
      </c>
      <c r="M377" t="s">
        <v>15</v>
      </c>
    </row>
    <row r="378" spans="1:13" x14ac:dyDescent="0.25">
      <c r="A378">
        <v>377</v>
      </c>
      <c r="B378" t="s">
        <v>766</v>
      </c>
      <c r="C378" s="1">
        <v>37.211656933900002</v>
      </c>
      <c r="D378" s="1">
        <v>-7.0472289759700004</v>
      </c>
      <c r="E378" s="3">
        <v>2</v>
      </c>
      <c r="F378" s="2">
        <v>2</v>
      </c>
      <c r="G378" s="4">
        <v>2</v>
      </c>
      <c r="H378" s="13"/>
      <c r="I378" s="15"/>
      <c r="J378" s="19">
        <v>2</v>
      </c>
      <c r="K378" s="2" t="s">
        <v>767</v>
      </c>
      <c r="L378" s="11" t="str">
        <f t="shared" si="6"/>
        <v>Ver Imagen</v>
      </c>
      <c r="M378" t="s">
        <v>15</v>
      </c>
    </row>
    <row r="379" spans="1:13" x14ac:dyDescent="0.25">
      <c r="A379">
        <v>378</v>
      </c>
      <c r="B379" t="s">
        <v>768</v>
      </c>
      <c r="C379" s="1">
        <v>37.211520651000001</v>
      </c>
      <c r="D379" s="1">
        <v>-7.0465041836999998</v>
      </c>
      <c r="E379" s="3">
        <v>2</v>
      </c>
      <c r="F379" s="2">
        <v>2</v>
      </c>
      <c r="G379" s="4">
        <v>2</v>
      </c>
      <c r="H379" s="13"/>
      <c r="I379" s="15"/>
      <c r="J379" s="19">
        <v>2</v>
      </c>
      <c r="K379" s="2" t="s">
        <v>769</v>
      </c>
      <c r="L379" s="11" t="str">
        <f t="shared" si="6"/>
        <v>Ver Imagen</v>
      </c>
      <c r="M379" t="s">
        <v>15</v>
      </c>
    </row>
    <row r="380" spans="1:13" x14ac:dyDescent="0.25">
      <c r="A380">
        <v>379</v>
      </c>
      <c r="B380" t="s">
        <v>770</v>
      </c>
      <c r="C380" s="1">
        <v>37.210781011900004</v>
      </c>
      <c r="D380" s="1">
        <v>-7.0438400084000001</v>
      </c>
      <c r="E380" s="3">
        <v>2</v>
      </c>
      <c r="F380" s="2">
        <v>2</v>
      </c>
      <c r="G380" s="4">
        <v>2</v>
      </c>
      <c r="H380" s="13"/>
      <c r="I380" s="15"/>
      <c r="J380" s="19">
        <v>2</v>
      </c>
      <c r="K380" s="2" t="s">
        <v>771</v>
      </c>
      <c r="L380" s="11" t="str">
        <f t="shared" si="6"/>
        <v>Ver Imagen</v>
      </c>
      <c r="M380" t="s">
        <v>15</v>
      </c>
    </row>
    <row r="381" spans="1:13" x14ac:dyDescent="0.25">
      <c r="A381">
        <v>380</v>
      </c>
      <c r="B381" t="s">
        <v>772</v>
      </c>
      <c r="C381" s="1">
        <v>37.210187690399998</v>
      </c>
      <c r="D381" s="1">
        <v>-7.0422466466899998</v>
      </c>
      <c r="E381" s="3">
        <v>2</v>
      </c>
      <c r="F381" s="2">
        <v>2</v>
      </c>
      <c r="G381" s="4">
        <v>2</v>
      </c>
      <c r="H381" s="13"/>
      <c r="I381" s="15"/>
      <c r="J381" s="19">
        <v>2</v>
      </c>
      <c r="K381" s="2" t="s">
        <v>773</v>
      </c>
      <c r="L381" s="11" t="str">
        <f t="shared" si="6"/>
        <v>Ver Imagen</v>
      </c>
      <c r="M381" t="s">
        <v>15</v>
      </c>
    </row>
    <row r="382" spans="1:13" x14ac:dyDescent="0.25">
      <c r="A382">
        <v>381</v>
      </c>
      <c r="B382" t="s">
        <v>774</v>
      </c>
      <c r="C382" s="1">
        <v>37.209853895999998</v>
      </c>
      <c r="D382" s="1">
        <v>-7.0413470197899999</v>
      </c>
      <c r="E382" s="3">
        <v>2</v>
      </c>
      <c r="F382" s="2">
        <v>2</v>
      </c>
      <c r="G382" s="4">
        <v>2</v>
      </c>
      <c r="H382" s="13"/>
      <c r="I382" s="15"/>
      <c r="J382" s="19">
        <v>2</v>
      </c>
      <c r="K382" s="2" t="s">
        <v>775</v>
      </c>
      <c r="L382" s="11" t="str">
        <f t="shared" si="6"/>
        <v>Ver Imagen</v>
      </c>
      <c r="M382" t="s">
        <v>15</v>
      </c>
    </row>
    <row r="383" spans="1:13" x14ac:dyDescent="0.25">
      <c r="A383">
        <v>382</v>
      </c>
      <c r="B383" t="s">
        <v>776</v>
      </c>
      <c r="C383" s="1">
        <v>37.209677966599997</v>
      </c>
      <c r="D383" s="1">
        <v>-7.04088586639</v>
      </c>
      <c r="E383" s="3">
        <v>2</v>
      </c>
      <c r="F383" s="2">
        <v>2</v>
      </c>
      <c r="G383" s="4">
        <v>2</v>
      </c>
      <c r="H383" s="13"/>
      <c r="I383" s="15"/>
      <c r="J383" s="19">
        <v>2</v>
      </c>
      <c r="K383" s="2" t="s">
        <v>777</v>
      </c>
      <c r="L383" s="11" t="str">
        <f t="shared" si="6"/>
        <v>Ver Imagen</v>
      </c>
      <c r="M383" t="s">
        <v>15</v>
      </c>
    </row>
    <row r="384" spans="1:13" x14ac:dyDescent="0.25">
      <c r="A384">
        <v>383</v>
      </c>
      <c r="B384" t="s">
        <v>778</v>
      </c>
      <c r="C384" s="1">
        <v>37.209524459400001</v>
      </c>
      <c r="D384" s="1">
        <v>-7.0404739142399997</v>
      </c>
      <c r="E384" s="3">
        <v>2</v>
      </c>
      <c r="F384" s="2">
        <v>2</v>
      </c>
      <c r="G384" s="4">
        <v>2</v>
      </c>
      <c r="H384" s="13"/>
      <c r="I384" s="15"/>
      <c r="J384" s="19">
        <v>2</v>
      </c>
      <c r="K384" s="2" t="s">
        <v>779</v>
      </c>
      <c r="L384" s="11" t="str">
        <f t="shared" si="6"/>
        <v>Ver Imagen</v>
      </c>
      <c r="M384" t="s">
        <v>15</v>
      </c>
    </row>
    <row r="385" spans="1:13" x14ac:dyDescent="0.25">
      <c r="A385">
        <v>384</v>
      </c>
      <c r="B385" t="s">
        <v>780</v>
      </c>
      <c r="C385" s="1">
        <v>37.203110670000001</v>
      </c>
      <c r="D385" s="1">
        <v>-7.0238100174699998</v>
      </c>
      <c r="E385" s="3">
        <v>2</v>
      </c>
      <c r="F385" s="2">
        <v>2</v>
      </c>
      <c r="G385" s="4">
        <v>2</v>
      </c>
      <c r="H385" s="13"/>
      <c r="I385" s="15"/>
      <c r="J385" s="19">
        <v>2</v>
      </c>
      <c r="K385" s="2" t="s">
        <v>781</v>
      </c>
      <c r="L385" s="11" t="str">
        <f t="shared" si="6"/>
        <v>Ver Imagen</v>
      </c>
      <c r="M385" t="s">
        <v>15</v>
      </c>
    </row>
    <row r="386" spans="1:13" x14ac:dyDescent="0.25">
      <c r="A386">
        <v>385</v>
      </c>
      <c r="B386" t="s">
        <v>782</v>
      </c>
      <c r="C386" s="1">
        <v>37.199875330300003</v>
      </c>
      <c r="D386" s="1">
        <v>-7.0153619321900003</v>
      </c>
      <c r="E386" s="3">
        <v>2</v>
      </c>
      <c r="F386" s="2">
        <v>2</v>
      </c>
      <c r="G386" s="4">
        <v>2</v>
      </c>
      <c r="H386" s="13"/>
      <c r="I386" s="15"/>
      <c r="J386" s="19">
        <v>2</v>
      </c>
      <c r="K386" s="2" t="s">
        <v>783</v>
      </c>
      <c r="L386" s="11" t="str">
        <f t="shared" si="6"/>
        <v>Ver Imagen</v>
      </c>
      <c r="M386" t="s">
        <v>15</v>
      </c>
    </row>
    <row r="387" spans="1:13" x14ac:dyDescent="0.25">
      <c r="A387">
        <v>386</v>
      </c>
      <c r="B387" t="s">
        <v>784</v>
      </c>
      <c r="C387" s="1">
        <v>37.198823034100002</v>
      </c>
      <c r="D387" s="1">
        <v>-7.0126249591200001</v>
      </c>
      <c r="E387" s="3">
        <v>2</v>
      </c>
      <c r="F387" s="2">
        <v>2</v>
      </c>
      <c r="G387" s="4">
        <v>2</v>
      </c>
      <c r="H387" s="13"/>
      <c r="I387" s="15"/>
      <c r="J387" s="19">
        <v>2</v>
      </c>
      <c r="K387" s="2" t="s">
        <v>785</v>
      </c>
      <c r="L387" s="11" t="str">
        <f t="shared" si="6"/>
        <v>Ver Imagen</v>
      </c>
      <c r="M387" t="s">
        <v>15</v>
      </c>
    </row>
    <row r="388" spans="1:13" x14ac:dyDescent="0.25">
      <c r="A388">
        <v>387</v>
      </c>
      <c r="B388" t="s">
        <v>786</v>
      </c>
      <c r="C388" s="1">
        <v>37.198737502999997</v>
      </c>
      <c r="D388" s="1">
        <v>-7.0124110669000004</v>
      </c>
      <c r="E388" s="3">
        <v>2</v>
      </c>
      <c r="F388" s="2">
        <v>2</v>
      </c>
      <c r="G388" s="4">
        <v>2</v>
      </c>
      <c r="H388" s="13"/>
      <c r="I388" s="15"/>
      <c r="J388" s="19">
        <v>2</v>
      </c>
      <c r="K388" s="2" t="s">
        <v>787</v>
      </c>
      <c r="L388" s="11" t="str">
        <f t="shared" si="6"/>
        <v>Ver Imagen</v>
      </c>
      <c r="M388" t="s">
        <v>15</v>
      </c>
    </row>
    <row r="389" spans="1:13" x14ac:dyDescent="0.25">
      <c r="A389">
        <v>388</v>
      </c>
      <c r="B389" t="s">
        <v>788</v>
      </c>
      <c r="C389" s="1">
        <v>37.198557957200002</v>
      </c>
      <c r="D389" s="1">
        <v>-7.0119491098499998</v>
      </c>
      <c r="E389" s="3">
        <v>2</v>
      </c>
      <c r="F389" s="2">
        <v>2</v>
      </c>
      <c r="G389" s="4">
        <v>2</v>
      </c>
      <c r="H389" s="13"/>
      <c r="I389" s="15"/>
      <c r="J389" s="19">
        <v>2</v>
      </c>
      <c r="K389" s="2" t="s">
        <v>789</v>
      </c>
      <c r="L389" s="11" t="str">
        <f t="shared" si="6"/>
        <v>Ver Imagen</v>
      </c>
      <c r="M389" t="s">
        <v>15</v>
      </c>
    </row>
    <row r="390" spans="1:13" x14ac:dyDescent="0.25">
      <c r="A390">
        <v>389</v>
      </c>
      <c r="B390" t="s">
        <v>790</v>
      </c>
      <c r="C390" s="1">
        <v>37.198469084400003</v>
      </c>
      <c r="D390" s="1">
        <v>-7.0117180403699999</v>
      </c>
      <c r="E390" s="3">
        <v>2</v>
      </c>
      <c r="F390" s="2">
        <v>2</v>
      </c>
      <c r="G390" s="4">
        <v>2</v>
      </c>
      <c r="H390" s="13"/>
      <c r="I390" s="15"/>
      <c r="J390" s="19">
        <v>2</v>
      </c>
      <c r="K390" s="2" t="s">
        <v>791</v>
      </c>
      <c r="L390" s="11" t="str">
        <f t="shared" si="6"/>
        <v>Ver Imagen</v>
      </c>
      <c r="M390" t="s">
        <v>15</v>
      </c>
    </row>
    <row r="391" spans="1:13" x14ac:dyDescent="0.25">
      <c r="A391">
        <v>390</v>
      </c>
      <c r="B391" t="s">
        <v>792</v>
      </c>
      <c r="C391" s="1">
        <v>37.198106535900003</v>
      </c>
      <c r="D391" s="1">
        <v>-7.0107820946999997</v>
      </c>
      <c r="E391" s="3">
        <v>2</v>
      </c>
      <c r="F391" s="2">
        <v>2</v>
      </c>
      <c r="G391" s="4">
        <v>2</v>
      </c>
      <c r="H391" s="13"/>
      <c r="I391" s="15"/>
      <c r="J391" s="19">
        <v>2</v>
      </c>
      <c r="K391" s="2" t="s">
        <v>793</v>
      </c>
      <c r="L391" s="11" t="str">
        <f t="shared" si="6"/>
        <v>Ver Imagen</v>
      </c>
      <c r="M391" t="s">
        <v>15</v>
      </c>
    </row>
    <row r="392" spans="1:13" x14ac:dyDescent="0.25">
      <c r="A392">
        <v>391</v>
      </c>
      <c r="B392" t="s">
        <v>794</v>
      </c>
      <c r="C392" s="1">
        <v>37.197682824099999</v>
      </c>
      <c r="D392" s="1">
        <v>-7.0096865636099999</v>
      </c>
      <c r="E392" s="3">
        <v>2</v>
      </c>
      <c r="F392" s="2">
        <v>2</v>
      </c>
      <c r="G392" s="4">
        <v>2</v>
      </c>
      <c r="H392" s="13"/>
      <c r="I392" s="15"/>
      <c r="J392" s="19">
        <v>2</v>
      </c>
      <c r="K392" s="2" t="s">
        <v>795</v>
      </c>
      <c r="L392" s="11" t="str">
        <f t="shared" si="6"/>
        <v>Ver Imagen</v>
      </c>
      <c r="M392" t="s">
        <v>15</v>
      </c>
    </row>
    <row r="393" spans="1:13" x14ac:dyDescent="0.25">
      <c r="A393">
        <v>392</v>
      </c>
      <c r="B393" t="s">
        <v>796</v>
      </c>
      <c r="C393" s="1">
        <v>37.197505703899999</v>
      </c>
      <c r="D393" s="1">
        <v>-7.0091928486999997</v>
      </c>
      <c r="E393" s="3">
        <v>2</v>
      </c>
      <c r="F393" s="2">
        <v>2</v>
      </c>
      <c r="G393" s="4">
        <v>2</v>
      </c>
      <c r="H393" s="13"/>
      <c r="I393" s="15"/>
      <c r="J393" s="19">
        <v>2</v>
      </c>
      <c r="K393" s="2" t="s">
        <v>797</v>
      </c>
      <c r="L393" s="11" t="str">
        <f t="shared" ref="L393:L456" si="7">HYPERLINK("2\0\" &amp; K393, "Ver Imagen")</f>
        <v>Ver Imagen</v>
      </c>
      <c r="M393" t="s">
        <v>15</v>
      </c>
    </row>
    <row r="394" spans="1:13" x14ac:dyDescent="0.25">
      <c r="A394">
        <v>393</v>
      </c>
      <c r="B394" t="s">
        <v>798</v>
      </c>
      <c r="C394" s="1">
        <v>37.197278734299999</v>
      </c>
      <c r="D394" s="1">
        <v>-7.0077203693400003</v>
      </c>
      <c r="E394" s="3">
        <v>2</v>
      </c>
      <c r="F394" s="2">
        <v>2</v>
      </c>
      <c r="G394" s="4">
        <v>2</v>
      </c>
      <c r="H394" s="13"/>
      <c r="I394" s="15"/>
      <c r="J394" s="19">
        <v>2</v>
      </c>
      <c r="K394" s="2" t="s">
        <v>799</v>
      </c>
      <c r="L394" s="11" t="str">
        <f t="shared" si="7"/>
        <v>Ver Imagen</v>
      </c>
      <c r="M394" t="s">
        <v>15</v>
      </c>
    </row>
    <row r="395" spans="1:13" x14ac:dyDescent="0.25">
      <c r="A395">
        <v>394</v>
      </c>
      <c r="B395" t="s">
        <v>800</v>
      </c>
      <c r="C395" s="1">
        <v>37.197255701000003</v>
      </c>
      <c r="D395" s="1">
        <v>-7.0074589351399998</v>
      </c>
      <c r="E395" s="3">
        <v>2</v>
      </c>
      <c r="F395" s="2">
        <v>2</v>
      </c>
      <c r="G395" s="4">
        <v>2</v>
      </c>
      <c r="H395" s="13"/>
      <c r="I395" s="15"/>
      <c r="J395" s="19">
        <v>2</v>
      </c>
      <c r="K395" s="2" t="s">
        <v>801</v>
      </c>
      <c r="L395" s="11" t="str">
        <f t="shared" si="7"/>
        <v>Ver Imagen</v>
      </c>
      <c r="M395" t="s">
        <v>15</v>
      </c>
    </row>
    <row r="396" spans="1:13" x14ac:dyDescent="0.25">
      <c r="A396">
        <v>395</v>
      </c>
      <c r="B396" t="s">
        <v>802</v>
      </c>
      <c r="C396" s="1">
        <v>37.197232106400001</v>
      </c>
      <c r="D396" s="1">
        <v>-7.0072103983399998</v>
      </c>
      <c r="E396" s="3">
        <v>2</v>
      </c>
      <c r="F396" s="2">
        <v>2</v>
      </c>
      <c r="G396" s="4">
        <v>2</v>
      </c>
      <c r="H396" s="13"/>
      <c r="I396" s="15"/>
      <c r="J396" s="19">
        <v>2</v>
      </c>
      <c r="K396" s="2" t="s">
        <v>803</v>
      </c>
      <c r="L396" s="11" t="str">
        <f t="shared" si="7"/>
        <v>Ver Imagen</v>
      </c>
      <c r="M396" t="s">
        <v>15</v>
      </c>
    </row>
    <row r="397" spans="1:13" x14ac:dyDescent="0.25">
      <c r="A397">
        <v>396</v>
      </c>
      <c r="B397" t="s">
        <v>804</v>
      </c>
      <c r="C397" s="1">
        <v>37.197104962399997</v>
      </c>
      <c r="D397" s="1">
        <v>-7.0062375364699996</v>
      </c>
      <c r="E397" s="3">
        <v>2</v>
      </c>
      <c r="F397" s="2">
        <v>2</v>
      </c>
      <c r="G397" s="4">
        <v>2</v>
      </c>
      <c r="H397" s="13"/>
      <c r="I397" s="15"/>
      <c r="J397" s="19">
        <v>2</v>
      </c>
      <c r="K397" s="2" t="s">
        <v>805</v>
      </c>
      <c r="L397" s="11" t="str">
        <f t="shared" si="7"/>
        <v>Ver Imagen</v>
      </c>
      <c r="M397" t="s">
        <v>15</v>
      </c>
    </row>
    <row r="398" spans="1:13" x14ac:dyDescent="0.25">
      <c r="A398">
        <v>397</v>
      </c>
      <c r="B398" t="s">
        <v>806</v>
      </c>
      <c r="C398" s="1">
        <v>37.287460276799997</v>
      </c>
      <c r="D398" s="1">
        <v>-7.1412103809799996</v>
      </c>
      <c r="E398" s="3">
        <v>2</v>
      </c>
      <c r="F398" s="2">
        <v>2</v>
      </c>
      <c r="G398" s="4">
        <v>2</v>
      </c>
      <c r="H398" s="13"/>
      <c r="I398" s="15"/>
      <c r="J398" s="19">
        <v>2</v>
      </c>
      <c r="K398" s="2" t="s">
        <v>807</v>
      </c>
      <c r="L398" s="11" t="str">
        <f t="shared" si="7"/>
        <v>Ver Imagen</v>
      </c>
      <c r="M398" t="s">
        <v>15</v>
      </c>
    </row>
    <row r="399" spans="1:13" x14ac:dyDescent="0.25">
      <c r="A399">
        <v>398</v>
      </c>
      <c r="B399" t="s">
        <v>808</v>
      </c>
      <c r="C399" s="1">
        <v>37.2872598744</v>
      </c>
      <c r="D399" s="1">
        <v>-7.1412227022200003</v>
      </c>
      <c r="E399" s="3">
        <v>2</v>
      </c>
      <c r="F399" s="2">
        <v>2</v>
      </c>
      <c r="G399" s="4">
        <v>2</v>
      </c>
      <c r="H399" s="13"/>
      <c r="I399" s="15"/>
      <c r="J399" s="19">
        <v>2</v>
      </c>
      <c r="K399" s="2" t="s">
        <v>809</v>
      </c>
      <c r="L399" s="11" t="str">
        <f t="shared" si="7"/>
        <v>Ver Imagen</v>
      </c>
      <c r="M399" t="s">
        <v>15</v>
      </c>
    </row>
    <row r="400" spans="1:13" x14ac:dyDescent="0.25">
      <c r="A400">
        <v>399</v>
      </c>
      <c r="B400" t="s">
        <v>810</v>
      </c>
      <c r="C400" s="1">
        <v>37.286854460400001</v>
      </c>
      <c r="D400" s="1">
        <v>-7.14132494453</v>
      </c>
      <c r="E400" s="3">
        <v>2</v>
      </c>
      <c r="F400" s="2">
        <v>2</v>
      </c>
      <c r="G400" s="4">
        <v>2</v>
      </c>
      <c r="H400" s="13"/>
      <c r="I400" s="15"/>
      <c r="J400" s="19">
        <v>2</v>
      </c>
      <c r="K400" s="2" t="s">
        <v>811</v>
      </c>
      <c r="L400" s="11" t="str">
        <f t="shared" si="7"/>
        <v>Ver Imagen</v>
      </c>
      <c r="M400" t="s">
        <v>15</v>
      </c>
    </row>
    <row r="401" spans="1:13" x14ac:dyDescent="0.25">
      <c r="A401">
        <v>400</v>
      </c>
      <c r="B401" t="s">
        <v>812</v>
      </c>
      <c r="C401" s="1">
        <v>37.286496462499997</v>
      </c>
      <c r="D401" s="1">
        <v>-7.1414963347800002</v>
      </c>
      <c r="E401" s="3">
        <v>2</v>
      </c>
      <c r="F401" s="2">
        <v>2</v>
      </c>
      <c r="G401" s="4">
        <v>2</v>
      </c>
      <c r="H401" s="13"/>
      <c r="I401" s="15"/>
      <c r="J401" s="19">
        <v>2</v>
      </c>
      <c r="K401" s="2" t="s">
        <v>813</v>
      </c>
      <c r="L401" s="11" t="str">
        <f t="shared" si="7"/>
        <v>Ver Imagen</v>
      </c>
      <c r="M401" t="s">
        <v>15</v>
      </c>
    </row>
    <row r="402" spans="1:13" x14ac:dyDescent="0.25">
      <c r="A402">
        <v>401</v>
      </c>
      <c r="B402" t="s">
        <v>814</v>
      </c>
      <c r="C402" s="1">
        <v>37.284373527100001</v>
      </c>
      <c r="D402" s="1">
        <v>-7.1432089563599996</v>
      </c>
      <c r="E402" s="3">
        <v>2</v>
      </c>
      <c r="F402" s="2">
        <v>2</v>
      </c>
      <c r="G402" s="4">
        <v>2</v>
      </c>
      <c r="H402" s="13"/>
      <c r="I402" s="15"/>
      <c r="J402" s="19">
        <v>2</v>
      </c>
      <c r="K402" s="2" t="s">
        <v>815</v>
      </c>
      <c r="L402" s="11" t="str">
        <f t="shared" si="7"/>
        <v>Ver Imagen</v>
      </c>
      <c r="M402" t="s">
        <v>15</v>
      </c>
    </row>
    <row r="403" spans="1:13" x14ac:dyDescent="0.25">
      <c r="A403">
        <v>402</v>
      </c>
      <c r="B403" t="s">
        <v>816</v>
      </c>
      <c r="C403" s="1">
        <v>37.284197364199997</v>
      </c>
      <c r="D403" s="1">
        <v>-7.1433183746199997</v>
      </c>
      <c r="E403" s="3">
        <v>2</v>
      </c>
      <c r="F403" s="2">
        <v>2</v>
      </c>
      <c r="G403" s="4">
        <v>2</v>
      </c>
      <c r="H403" s="13"/>
      <c r="I403" s="15"/>
      <c r="J403" s="19">
        <v>2</v>
      </c>
      <c r="K403" s="2" t="s">
        <v>817</v>
      </c>
      <c r="L403" s="11" t="str">
        <f t="shared" si="7"/>
        <v>Ver Imagen</v>
      </c>
      <c r="M403" t="s">
        <v>15</v>
      </c>
    </row>
    <row r="404" spans="1:13" x14ac:dyDescent="0.25">
      <c r="A404">
        <v>403</v>
      </c>
      <c r="B404" t="s">
        <v>818</v>
      </c>
      <c r="C404" s="1">
        <v>37.284003742599999</v>
      </c>
      <c r="D404" s="1">
        <v>-7.1434360480499999</v>
      </c>
      <c r="E404" s="3">
        <v>2</v>
      </c>
      <c r="F404" s="2">
        <v>2</v>
      </c>
      <c r="G404" s="4">
        <v>2</v>
      </c>
      <c r="H404" s="13"/>
      <c r="I404" s="15"/>
      <c r="J404" s="19">
        <v>2</v>
      </c>
      <c r="K404" s="2" t="s">
        <v>819</v>
      </c>
      <c r="L404" s="11" t="str">
        <f t="shared" si="7"/>
        <v>Ver Imagen</v>
      </c>
      <c r="M404" t="s">
        <v>15</v>
      </c>
    </row>
    <row r="405" spans="1:13" x14ac:dyDescent="0.25">
      <c r="A405">
        <v>404</v>
      </c>
      <c r="B405" t="s">
        <v>820</v>
      </c>
      <c r="C405" s="1">
        <v>37.283634732300001</v>
      </c>
      <c r="D405" s="1">
        <v>-7.1436406409700002</v>
      </c>
      <c r="E405" s="3">
        <v>2</v>
      </c>
      <c r="F405" s="2">
        <v>2</v>
      </c>
      <c r="G405" s="4">
        <v>2</v>
      </c>
      <c r="H405" s="13"/>
      <c r="I405" s="15"/>
      <c r="J405" s="19">
        <v>2</v>
      </c>
      <c r="K405" s="2" t="s">
        <v>821</v>
      </c>
      <c r="L405" s="11" t="str">
        <f t="shared" si="7"/>
        <v>Ver Imagen</v>
      </c>
      <c r="M405" t="s">
        <v>15</v>
      </c>
    </row>
    <row r="406" spans="1:13" x14ac:dyDescent="0.25">
      <c r="A406">
        <v>405</v>
      </c>
      <c r="B406" t="s">
        <v>822</v>
      </c>
      <c r="C406" s="1">
        <v>37.283453199699998</v>
      </c>
      <c r="D406" s="1">
        <v>-7.1437311285299998</v>
      </c>
      <c r="E406" s="3">
        <v>2</v>
      </c>
      <c r="F406" s="2">
        <v>2</v>
      </c>
      <c r="G406" s="4">
        <v>2</v>
      </c>
      <c r="H406" s="13"/>
      <c r="I406" s="15"/>
      <c r="J406" s="19">
        <v>2</v>
      </c>
      <c r="K406" s="2" t="s">
        <v>823</v>
      </c>
      <c r="L406" s="11" t="str">
        <f t="shared" si="7"/>
        <v>Ver Imagen</v>
      </c>
      <c r="M406" t="s">
        <v>15</v>
      </c>
    </row>
    <row r="407" spans="1:13" x14ac:dyDescent="0.25">
      <c r="A407">
        <v>406</v>
      </c>
      <c r="B407" t="s">
        <v>824</v>
      </c>
      <c r="C407" s="1">
        <v>37.283085196400002</v>
      </c>
      <c r="D407" s="1">
        <v>-7.1438971854800002</v>
      </c>
      <c r="E407" s="3">
        <v>2</v>
      </c>
      <c r="F407" s="2">
        <v>2</v>
      </c>
      <c r="G407" s="4">
        <v>2</v>
      </c>
      <c r="H407" s="13"/>
      <c r="I407" s="15"/>
      <c r="J407" s="19">
        <v>2</v>
      </c>
      <c r="K407" s="2" t="s">
        <v>825</v>
      </c>
      <c r="L407" s="11" t="str">
        <f t="shared" si="7"/>
        <v>Ver Imagen</v>
      </c>
      <c r="M407" t="s">
        <v>15</v>
      </c>
    </row>
    <row r="408" spans="1:13" x14ac:dyDescent="0.25">
      <c r="A408">
        <v>407</v>
      </c>
      <c r="B408" t="s">
        <v>826</v>
      </c>
      <c r="C408" s="1">
        <v>37.282889749299997</v>
      </c>
      <c r="D408" s="1">
        <v>-7.1439766877100004</v>
      </c>
      <c r="E408" s="3">
        <v>2</v>
      </c>
      <c r="F408" s="2">
        <v>2</v>
      </c>
      <c r="G408" s="4">
        <v>2</v>
      </c>
      <c r="H408" s="13"/>
      <c r="I408" s="15"/>
      <c r="J408" s="19">
        <v>2</v>
      </c>
      <c r="K408" s="2" t="s">
        <v>827</v>
      </c>
      <c r="L408" s="11" t="str">
        <f t="shared" si="7"/>
        <v>Ver Imagen</v>
      </c>
      <c r="M408" t="s">
        <v>15</v>
      </c>
    </row>
    <row r="409" spans="1:13" x14ac:dyDescent="0.25">
      <c r="A409">
        <v>408</v>
      </c>
      <c r="B409" t="s">
        <v>828</v>
      </c>
      <c r="C409" s="1">
        <v>37.282486755500003</v>
      </c>
      <c r="D409" s="1">
        <v>-7.1441391957000002</v>
      </c>
      <c r="E409" s="3">
        <v>2</v>
      </c>
      <c r="F409" s="2">
        <v>2</v>
      </c>
      <c r="G409" s="4">
        <v>2</v>
      </c>
      <c r="H409" s="13"/>
      <c r="I409" s="15"/>
      <c r="J409" s="19">
        <v>2</v>
      </c>
      <c r="K409" s="2" t="s">
        <v>829</v>
      </c>
      <c r="L409" s="11" t="str">
        <f t="shared" si="7"/>
        <v>Ver Imagen</v>
      </c>
      <c r="M409" t="s">
        <v>15</v>
      </c>
    </row>
    <row r="410" spans="1:13" x14ac:dyDescent="0.25">
      <c r="A410">
        <v>409</v>
      </c>
      <c r="B410" t="s">
        <v>830</v>
      </c>
      <c r="C410" s="1">
        <v>37.282306219200002</v>
      </c>
      <c r="D410" s="1">
        <v>-7.1442122696899997</v>
      </c>
      <c r="E410" s="3">
        <v>2</v>
      </c>
      <c r="F410" s="2">
        <v>2</v>
      </c>
      <c r="G410" s="4">
        <v>2</v>
      </c>
      <c r="H410" s="13"/>
      <c r="I410" s="15"/>
      <c r="J410" s="19">
        <v>2</v>
      </c>
      <c r="K410" s="2" t="s">
        <v>831</v>
      </c>
      <c r="L410" s="11" t="str">
        <f t="shared" si="7"/>
        <v>Ver Imagen</v>
      </c>
      <c r="M410" t="s">
        <v>15</v>
      </c>
    </row>
    <row r="411" spans="1:13" x14ac:dyDescent="0.25">
      <c r="A411">
        <v>410</v>
      </c>
      <c r="B411" t="s">
        <v>832</v>
      </c>
      <c r="C411" s="1">
        <v>37.281726216599999</v>
      </c>
      <c r="D411" s="1">
        <v>-7.1444638988799998</v>
      </c>
      <c r="E411" s="3">
        <v>2</v>
      </c>
      <c r="F411" s="2">
        <v>2</v>
      </c>
      <c r="G411" s="4">
        <v>2</v>
      </c>
      <c r="H411" s="13"/>
      <c r="I411" s="15"/>
      <c r="J411" s="19">
        <v>2</v>
      </c>
      <c r="K411" s="2" t="s">
        <v>833</v>
      </c>
      <c r="L411" s="11" t="str">
        <f t="shared" si="7"/>
        <v>Ver Imagen</v>
      </c>
      <c r="M411" t="s">
        <v>15</v>
      </c>
    </row>
    <row r="412" spans="1:13" x14ac:dyDescent="0.25">
      <c r="A412">
        <v>411</v>
      </c>
      <c r="B412" t="s">
        <v>834</v>
      </c>
      <c r="C412" s="1">
        <v>37.281547754199998</v>
      </c>
      <c r="D412" s="1">
        <v>-7.14455403887</v>
      </c>
      <c r="E412" s="3">
        <v>2</v>
      </c>
      <c r="F412" s="2">
        <v>2</v>
      </c>
      <c r="G412" s="4">
        <v>2</v>
      </c>
      <c r="H412" s="13"/>
      <c r="I412" s="15"/>
      <c r="J412" s="19">
        <v>2</v>
      </c>
      <c r="K412" s="2" t="s">
        <v>835</v>
      </c>
      <c r="L412" s="11" t="str">
        <f t="shared" si="7"/>
        <v>Ver Imagen</v>
      </c>
      <c r="M412" t="s">
        <v>15</v>
      </c>
    </row>
    <row r="413" spans="1:13" x14ac:dyDescent="0.25">
      <c r="A413">
        <v>412</v>
      </c>
      <c r="B413" t="s">
        <v>836</v>
      </c>
      <c r="C413" s="1">
        <v>37.281152284900003</v>
      </c>
      <c r="D413" s="1">
        <v>-7.1447825648999999</v>
      </c>
      <c r="E413" s="3">
        <v>2</v>
      </c>
      <c r="F413" s="2">
        <v>2</v>
      </c>
      <c r="G413" s="4">
        <v>2</v>
      </c>
      <c r="H413" s="13"/>
      <c r="I413" s="15"/>
      <c r="J413" s="19">
        <v>2</v>
      </c>
      <c r="K413" s="2" t="s">
        <v>837</v>
      </c>
      <c r="L413" s="11" t="str">
        <f t="shared" si="7"/>
        <v>Ver Imagen</v>
      </c>
      <c r="M413" t="s">
        <v>15</v>
      </c>
    </row>
    <row r="414" spans="1:13" x14ac:dyDescent="0.25">
      <c r="A414">
        <v>413</v>
      </c>
      <c r="B414" t="s">
        <v>838</v>
      </c>
      <c r="C414" s="1">
        <v>37.280170601400002</v>
      </c>
      <c r="D414" s="1">
        <v>-7.1456132922800002</v>
      </c>
      <c r="E414" s="3">
        <v>2</v>
      </c>
      <c r="F414" s="2">
        <v>2</v>
      </c>
      <c r="G414" s="4">
        <v>2</v>
      </c>
      <c r="H414" s="13"/>
      <c r="I414" s="15"/>
      <c r="J414" s="19">
        <v>2</v>
      </c>
      <c r="K414" s="2" t="s">
        <v>839</v>
      </c>
      <c r="L414" s="11" t="str">
        <f t="shared" si="7"/>
        <v>Ver Imagen</v>
      </c>
      <c r="M414" t="s">
        <v>15</v>
      </c>
    </row>
    <row r="415" spans="1:13" x14ac:dyDescent="0.25">
      <c r="A415">
        <v>414</v>
      </c>
      <c r="B415" t="s">
        <v>840</v>
      </c>
      <c r="C415" s="1">
        <v>37.277543465100003</v>
      </c>
      <c r="D415" s="1">
        <v>-7.1435301431799996</v>
      </c>
      <c r="E415" s="3">
        <v>2</v>
      </c>
      <c r="F415" s="2">
        <v>2</v>
      </c>
      <c r="G415" s="4">
        <v>2</v>
      </c>
      <c r="H415" s="13"/>
      <c r="I415" s="15"/>
      <c r="J415" s="19">
        <v>2</v>
      </c>
      <c r="K415" s="2" t="s">
        <v>841</v>
      </c>
      <c r="L415" s="11" t="str">
        <f t="shared" si="7"/>
        <v>Ver Imagen</v>
      </c>
      <c r="M415" t="s">
        <v>15</v>
      </c>
    </row>
    <row r="416" spans="1:13" x14ac:dyDescent="0.25">
      <c r="A416">
        <v>415</v>
      </c>
      <c r="B416" t="s">
        <v>842</v>
      </c>
      <c r="C416" s="1">
        <v>37.2766457878</v>
      </c>
      <c r="D416" s="1">
        <v>-7.1430983416</v>
      </c>
      <c r="E416" s="3">
        <v>2</v>
      </c>
      <c r="F416" s="2">
        <v>2</v>
      </c>
      <c r="G416" s="4">
        <v>2</v>
      </c>
      <c r="H416" s="13"/>
      <c r="I416" s="15"/>
      <c r="J416" s="19">
        <v>2</v>
      </c>
      <c r="K416" s="2" t="s">
        <v>843</v>
      </c>
      <c r="L416" s="11" t="str">
        <f t="shared" si="7"/>
        <v>Ver Imagen</v>
      </c>
      <c r="M416" t="s">
        <v>15</v>
      </c>
    </row>
    <row r="417" spans="1:13" x14ac:dyDescent="0.25">
      <c r="A417">
        <v>416</v>
      </c>
      <c r="B417" t="s">
        <v>844</v>
      </c>
      <c r="C417" s="1">
        <v>37.276405170399997</v>
      </c>
      <c r="D417" s="1">
        <v>-7.14301967871</v>
      </c>
      <c r="E417" s="3">
        <v>2</v>
      </c>
      <c r="F417" s="2">
        <v>2</v>
      </c>
      <c r="G417" s="4">
        <v>2</v>
      </c>
      <c r="H417" s="13"/>
      <c r="I417" s="15"/>
      <c r="J417" s="19">
        <v>2</v>
      </c>
      <c r="K417" s="2" t="s">
        <v>845</v>
      </c>
      <c r="L417" s="11" t="str">
        <f t="shared" si="7"/>
        <v>Ver Imagen</v>
      </c>
      <c r="M417" t="s">
        <v>15</v>
      </c>
    </row>
    <row r="418" spans="1:13" x14ac:dyDescent="0.25">
      <c r="A418">
        <v>417</v>
      </c>
      <c r="B418" t="s">
        <v>846</v>
      </c>
      <c r="C418" s="1">
        <v>37.276226129299999</v>
      </c>
      <c r="D418" s="1">
        <v>-7.14296833599</v>
      </c>
      <c r="E418" s="3">
        <v>2</v>
      </c>
      <c r="F418" s="2">
        <v>2</v>
      </c>
      <c r="G418" s="4">
        <v>2</v>
      </c>
      <c r="H418" s="13"/>
      <c r="I418" s="15"/>
      <c r="J418" s="19">
        <v>2</v>
      </c>
      <c r="K418" s="2" t="s">
        <v>847</v>
      </c>
      <c r="L418" s="11" t="str">
        <f t="shared" si="7"/>
        <v>Ver Imagen</v>
      </c>
      <c r="M418" t="s">
        <v>15</v>
      </c>
    </row>
    <row r="419" spans="1:13" x14ac:dyDescent="0.25">
      <c r="A419">
        <v>418</v>
      </c>
      <c r="B419" t="s">
        <v>848</v>
      </c>
      <c r="C419" s="1">
        <v>37.276022973400003</v>
      </c>
      <c r="D419" s="1">
        <v>-7.1429136245000002</v>
      </c>
      <c r="E419" s="3">
        <v>2</v>
      </c>
      <c r="F419" s="2">
        <v>2</v>
      </c>
      <c r="G419" s="4">
        <v>2</v>
      </c>
      <c r="H419" s="13"/>
      <c r="I419" s="15"/>
      <c r="J419" s="19">
        <v>2</v>
      </c>
      <c r="K419" s="2" t="s">
        <v>849</v>
      </c>
      <c r="L419" s="11" t="str">
        <f t="shared" si="7"/>
        <v>Ver Imagen</v>
      </c>
      <c r="M419" t="s">
        <v>15</v>
      </c>
    </row>
    <row r="420" spans="1:13" x14ac:dyDescent="0.25">
      <c r="A420">
        <v>419</v>
      </c>
      <c r="B420" t="s">
        <v>850</v>
      </c>
      <c r="C420" s="1">
        <v>37.275854859299997</v>
      </c>
      <c r="D420" s="1">
        <v>-7.1428693948499999</v>
      </c>
      <c r="E420" s="3">
        <v>2</v>
      </c>
      <c r="F420" s="2">
        <v>2</v>
      </c>
      <c r="G420" s="4">
        <v>2</v>
      </c>
      <c r="H420" s="13"/>
      <c r="I420" s="15"/>
      <c r="J420" s="19">
        <v>2</v>
      </c>
      <c r="K420" s="2" t="s">
        <v>851</v>
      </c>
      <c r="L420" s="11" t="str">
        <f t="shared" si="7"/>
        <v>Ver Imagen</v>
      </c>
      <c r="M420" t="s">
        <v>15</v>
      </c>
    </row>
    <row r="421" spans="1:13" x14ac:dyDescent="0.25">
      <c r="A421">
        <v>420</v>
      </c>
      <c r="B421" t="s">
        <v>852</v>
      </c>
      <c r="C421" s="1">
        <v>37.275646516400002</v>
      </c>
      <c r="D421" s="1">
        <v>-7.1428154373400004</v>
      </c>
      <c r="E421" s="3">
        <v>2</v>
      </c>
      <c r="F421" s="2">
        <v>2</v>
      </c>
      <c r="G421" s="4">
        <v>2</v>
      </c>
      <c r="H421" s="13"/>
      <c r="I421" s="15"/>
      <c r="J421" s="19">
        <v>2</v>
      </c>
      <c r="K421" s="2" t="s">
        <v>853</v>
      </c>
      <c r="L421" s="11" t="str">
        <f t="shared" si="7"/>
        <v>Ver Imagen</v>
      </c>
      <c r="M421" t="s">
        <v>15</v>
      </c>
    </row>
    <row r="422" spans="1:13" x14ac:dyDescent="0.25">
      <c r="A422">
        <v>421</v>
      </c>
      <c r="B422" t="s">
        <v>854</v>
      </c>
      <c r="C422" s="1">
        <v>37.275029021599998</v>
      </c>
      <c r="D422" s="1">
        <v>-7.14265266562</v>
      </c>
      <c r="E422" s="3">
        <v>2</v>
      </c>
      <c r="F422" s="2">
        <v>2</v>
      </c>
      <c r="G422" s="4">
        <v>2</v>
      </c>
      <c r="H422" s="13"/>
      <c r="I422" s="15"/>
      <c r="J422" s="19">
        <v>2</v>
      </c>
      <c r="K422" s="2" t="s">
        <v>855</v>
      </c>
      <c r="L422" s="11" t="str">
        <f t="shared" si="7"/>
        <v>Ver Imagen</v>
      </c>
      <c r="M422" t="s">
        <v>15</v>
      </c>
    </row>
    <row r="423" spans="1:13" x14ac:dyDescent="0.25">
      <c r="A423">
        <v>422</v>
      </c>
      <c r="B423" t="s">
        <v>856</v>
      </c>
      <c r="C423" s="1">
        <v>37.272233285299997</v>
      </c>
      <c r="D423" s="1">
        <v>-7.1413302443999997</v>
      </c>
      <c r="E423" s="3">
        <v>2</v>
      </c>
      <c r="F423" s="2">
        <v>2</v>
      </c>
      <c r="G423" s="4">
        <v>2</v>
      </c>
      <c r="H423" s="13"/>
      <c r="I423" s="15"/>
      <c r="J423" s="19">
        <v>2</v>
      </c>
      <c r="K423" s="2" t="s">
        <v>857</v>
      </c>
      <c r="L423" s="11" t="str">
        <f t="shared" si="7"/>
        <v>Ver Imagen</v>
      </c>
      <c r="M423" t="s">
        <v>15</v>
      </c>
    </row>
    <row r="424" spans="1:13" x14ac:dyDescent="0.25">
      <c r="A424">
        <v>423</v>
      </c>
      <c r="B424" t="s">
        <v>858</v>
      </c>
      <c r="C424" s="1">
        <v>37.2659105985</v>
      </c>
      <c r="D424" s="1">
        <v>-7.1327945961300001</v>
      </c>
      <c r="E424" s="3">
        <v>2</v>
      </c>
      <c r="F424" s="2">
        <v>2</v>
      </c>
      <c r="G424" s="4">
        <v>2</v>
      </c>
      <c r="H424" s="13"/>
      <c r="I424" s="15"/>
      <c r="J424" s="19">
        <v>2</v>
      </c>
      <c r="K424" s="2" t="s">
        <v>859</v>
      </c>
      <c r="L424" s="11" t="str">
        <f t="shared" si="7"/>
        <v>Ver Imagen</v>
      </c>
      <c r="M424" t="s">
        <v>15</v>
      </c>
    </row>
    <row r="425" spans="1:13" x14ac:dyDescent="0.25">
      <c r="A425">
        <v>424</v>
      </c>
      <c r="B425" t="s">
        <v>860</v>
      </c>
      <c r="C425" s="1">
        <v>37.265382946000003</v>
      </c>
      <c r="D425" s="1">
        <v>-7.1324607119200003</v>
      </c>
      <c r="E425" s="3">
        <v>2</v>
      </c>
      <c r="F425" s="2">
        <v>2</v>
      </c>
      <c r="G425" s="4">
        <v>2</v>
      </c>
      <c r="H425" s="13"/>
      <c r="I425" s="15"/>
      <c r="J425" s="19">
        <v>2</v>
      </c>
      <c r="K425" s="2" t="s">
        <v>861</v>
      </c>
      <c r="L425" s="11" t="str">
        <f t="shared" si="7"/>
        <v>Ver Imagen</v>
      </c>
      <c r="M425" t="s">
        <v>15</v>
      </c>
    </row>
    <row r="426" spans="1:13" x14ac:dyDescent="0.25">
      <c r="A426">
        <v>425</v>
      </c>
      <c r="B426" t="s">
        <v>862</v>
      </c>
      <c r="C426" s="1">
        <v>37.264298095199997</v>
      </c>
      <c r="D426" s="1">
        <v>-7.1317828835899997</v>
      </c>
      <c r="E426" s="3">
        <v>2</v>
      </c>
      <c r="F426" s="2">
        <v>2</v>
      </c>
      <c r="G426" s="4">
        <v>2</v>
      </c>
      <c r="H426" s="13"/>
      <c r="I426" s="15"/>
      <c r="J426" s="19">
        <v>2</v>
      </c>
      <c r="K426" s="2" t="s">
        <v>863</v>
      </c>
      <c r="L426" s="11" t="str">
        <f t="shared" si="7"/>
        <v>Ver Imagen</v>
      </c>
      <c r="M426" t="s">
        <v>15</v>
      </c>
    </row>
    <row r="427" spans="1:13" x14ac:dyDescent="0.25">
      <c r="A427">
        <v>426</v>
      </c>
      <c r="B427" t="s">
        <v>864</v>
      </c>
      <c r="C427" s="1">
        <v>37.263595095699998</v>
      </c>
      <c r="D427" s="1">
        <v>-7.13134017392</v>
      </c>
      <c r="E427" s="3">
        <v>2</v>
      </c>
      <c r="F427" s="2">
        <v>2</v>
      </c>
      <c r="G427" s="4">
        <v>2</v>
      </c>
      <c r="H427" s="13"/>
      <c r="I427" s="15"/>
      <c r="J427" s="19">
        <v>2</v>
      </c>
      <c r="K427" s="2" t="s">
        <v>865</v>
      </c>
      <c r="L427" s="11" t="str">
        <f t="shared" si="7"/>
        <v>Ver Imagen</v>
      </c>
      <c r="M427" t="s">
        <v>15</v>
      </c>
    </row>
    <row r="428" spans="1:13" x14ac:dyDescent="0.25">
      <c r="A428">
        <v>427</v>
      </c>
      <c r="B428" t="s">
        <v>866</v>
      </c>
      <c r="C428" s="1">
        <v>37.263244129599997</v>
      </c>
      <c r="D428" s="1">
        <v>-7.1311171314999999</v>
      </c>
      <c r="E428" s="3">
        <v>2</v>
      </c>
      <c r="F428" s="2">
        <v>2</v>
      </c>
      <c r="G428" s="4">
        <v>2</v>
      </c>
      <c r="H428" s="13"/>
      <c r="I428" s="15"/>
      <c r="J428" s="19">
        <v>2</v>
      </c>
      <c r="K428" s="2" t="s">
        <v>867</v>
      </c>
      <c r="L428" s="11" t="str">
        <f t="shared" si="7"/>
        <v>Ver Imagen</v>
      </c>
      <c r="M428" t="s">
        <v>15</v>
      </c>
    </row>
    <row r="429" spans="1:13" x14ac:dyDescent="0.25">
      <c r="A429">
        <v>428</v>
      </c>
      <c r="B429" t="s">
        <v>868</v>
      </c>
      <c r="C429" s="1">
        <v>37.263034727600001</v>
      </c>
      <c r="D429" s="1">
        <v>-7.1309855647699996</v>
      </c>
      <c r="E429" s="3">
        <v>2</v>
      </c>
      <c r="F429" s="2">
        <v>2</v>
      </c>
      <c r="G429" s="4">
        <v>2</v>
      </c>
      <c r="H429" s="13"/>
      <c r="I429" s="15"/>
      <c r="J429" s="19">
        <v>2</v>
      </c>
      <c r="K429" s="2" t="s">
        <v>869</v>
      </c>
      <c r="L429" s="11" t="str">
        <f t="shared" si="7"/>
        <v>Ver Imagen</v>
      </c>
      <c r="M429" t="s">
        <v>15</v>
      </c>
    </row>
    <row r="430" spans="1:13" x14ac:dyDescent="0.25">
      <c r="A430">
        <v>429</v>
      </c>
      <c r="B430" t="s">
        <v>870</v>
      </c>
      <c r="C430" s="1">
        <v>37.258886560900002</v>
      </c>
      <c r="D430" s="1">
        <v>-7.12838498143</v>
      </c>
      <c r="E430" s="3">
        <v>2</v>
      </c>
      <c r="F430" s="2">
        <v>2</v>
      </c>
      <c r="G430" s="4">
        <v>2</v>
      </c>
      <c r="H430" s="13"/>
      <c r="I430" s="15"/>
      <c r="J430" s="19">
        <v>2</v>
      </c>
      <c r="K430" s="2" t="s">
        <v>871</v>
      </c>
      <c r="L430" s="11" t="str">
        <f t="shared" si="7"/>
        <v>Ver Imagen</v>
      </c>
      <c r="M430" t="s">
        <v>15</v>
      </c>
    </row>
    <row r="431" spans="1:13" x14ac:dyDescent="0.25">
      <c r="A431">
        <v>430</v>
      </c>
      <c r="B431" t="s">
        <v>872</v>
      </c>
      <c r="C431" s="1">
        <v>37.258514834499998</v>
      </c>
      <c r="D431" s="1">
        <v>-7.12814715836</v>
      </c>
      <c r="E431" s="3">
        <v>2</v>
      </c>
      <c r="F431" s="2">
        <v>2</v>
      </c>
      <c r="G431" s="4">
        <v>2</v>
      </c>
      <c r="H431" s="13"/>
      <c r="I431" s="15"/>
      <c r="J431" s="19">
        <v>2</v>
      </c>
      <c r="K431" s="2" t="s">
        <v>873</v>
      </c>
      <c r="L431" s="11" t="str">
        <f t="shared" si="7"/>
        <v>Ver Imagen</v>
      </c>
      <c r="M431" t="s">
        <v>15</v>
      </c>
    </row>
    <row r="432" spans="1:13" x14ac:dyDescent="0.25">
      <c r="A432">
        <v>431</v>
      </c>
      <c r="B432" t="s">
        <v>874</v>
      </c>
      <c r="C432" s="1">
        <v>37.258169807599998</v>
      </c>
      <c r="D432" s="1">
        <v>-7.1279269987199996</v>
      </c>
      <c r="E432" s="3">
        <v>2</v>
      </c>
      <c r="F432" s="2">
        <v>2</v>
      </c>
      <c r="G432" s="4">
        <v>2</v>
      </c>
      <c r="H432" s="13"/>
      <c r="I432" s="15"/>
      <c r="J432" s="19">
        <v>2</v>
      </c>
      <c r="K432" s="2" t="s">
        <v>875</v>
      </c>
      <c r="L432" s="11" t="str">
        <f t="shared" si="7"/>
        <v>Ver Imagen</v>
      </c>
      <c r="M432" t="s">
        <v>15</v>
      </c>
    </row>
    <row r="433" spans="1:13" x14ac:dyDescent="0.25">
      <c r="A433">
        <v>432</v>
      </c>
      <c r="B433" t="s">
        <v>876</v>
      </c>
      <c r="C433" s="1">
        <v>37.257807688299998</v>
      </c>
      <c r="D433" s="1">
        <v>-7.1276982133800004</v>
      </c>
      <c r="E433" s="3">
        <v>2</v>
      </c>
      <c r="F433" s="2">
        <v>2</v>
      </c>
      <c r="G433" s="4">
        <v>2</v>
      </c>
      <c r="H433" s="13"/>
      <c r="I433" s="15"/>
      <c r="J433" s="19">
        <v>2</v>
      </c>
      <c r="K433" s="2" t="s">
        <v>877</v>
      </c>
      <c r="L433" s="11" t="str">
        <f t="shared" si="7"/>
        <v>Ver Imagen</v>
      </c>
      <c r="M433" t="s">
        <v>15</v>
      </c>
    </row>
    <row r="434" spans="1:13" x14ac:dyDescent="0.25">
      <c r="A434">
        <v>433</v>
      </c>
      <c r="B434" t="s">
        <v>878</v>
      </c>
      <c r="C434" s="1">
        <v>37.257595792799997</v>
      </c>
      <c r="D434" s="1">
        <v>-7.1275650884599999</v>
      </c>
      <c r="E434" s="3">
        <v>2</v>
      </c>
      <c r="F434" s="2">
        <v>2</v>
      </c>
      <c r="G434" s="4">
        <v>2</v>
      </c>
      <c r="H434" s="13"/>
      <c r="I434" s="15"/>
      <c r="J434" s="19">
        <v>2</v>
      </c>
      <c r="K434" s="2" t="s">
        <v>879</v>
      </c>
      <c r="L434" s="11" t="str">
        <f t="shared" si="7"/>
        <v>Ver Imagen</v>
      </c>
      <c r="M434" t="s">
        <v>15</v>
      </c>
    </row>
    <row r="435" spans="1:13" x14ac:dyDescent="0.25">
      <c r="A435">
        <v>434</v>
      </c>
      <c r="B435" t="s">
        <v>880</v>
      </c>
      <c r="C435" s="1">
        <v>37.257455360100003</v>
      </c>
      <c r="D435" s="1">
        <v>-7.1274762563699996</v>
      </c>
      <c r="E435" s="3">
        <v>2</v>
      </c>
      <c r="F435" s="2">
        <v>2</v>
      </c>
      <c r="G435" s="4">
        <v>2</v>
      </c>
      <c r="H435" s="13"/>
      <c r="I435" s="15"/>
      <c r="J435" s="19">
        <v>2</v>
      </c>
      <c r="K435" s="2" t="s">
        <v>881</v>
      </c>
      <c r="L435" s="11" t="str">
        <f t="shared" si="7"/>
        <v>Ver Imagen</v>
      </c>
      <c r="M435" t="s">
        <v>15</v>
      </c>
    </row>
    <row r="436" spans="1:13" x14ac:dyDescent="0.25">
      <c r="A436">
        <v>435</v>
      </c>
      <c r="B436" t="s">
        <v>882</v>
      </c>
      <c r="C436" s="1">
        <v>37.257264512699997</v>
      </c>
      <c r="D436" s="1">
        <v>-7.1273557995600001</v>
      </c>
      <c r="E436" s="3">
        <v>2</v>
      </c>
      <c r="F436" s="2">
        <v>2</v>
      </c>
      <c r="G436" s="4">
        <v>2</v>
      </c>
      <c r="H436" s="13"/>
      <c r="I436" s="15"/>
      <c r="J436" s="19">
        <v>2</v>
      </c>
      <c r="K436" s="2" t="s">
        <v>883</v>
      </c>
      <c r="L436" s="11" t="str">
        <f t="shared" si="7"/>
        <v>Ver Imagen</v>
      </c>
      <c r="M436" t="s">
        <v>15</v>
      </c>
    </row>
    <row r="437" spans="1:13" x14ac:dyDescent="0.25">
      <c r="A437">
        <v>436</v>
      </c>
      <c r="B437" t="s">
        <v>884</v>
      </c>
      <c r="C437" s="1">
        <v>37.257097553400001</v>
      </c>
      <c r="D437" s="1">
        <v>-7.1272521368000001</v>
      </c>
      <c r="E437" s="3">
        <v>2</v>
      </c>
      <c r="F437" s="2">
        <v>2</v>
      </c>
      <c r="G437" s="4">
        <v>2</v>
      </c>
      <c r="H437" s="13"/>
      <c r="I437" s="15"/>
      <c r="J437" s="19">
        <v>2</v>
      </c>
      <c r="K437" s="2" t="s">
        <v>885</v>
      </c>
      <c r="L437" s="11" t="str">
        <f t="shared" si="7"/>
        <v>Ver Imagen</v>
      </c>
      <c r="M437" t="s">
        <v>15</v>
      </c>
    </row>
    <row r="438" spans="1:13" x14ac:dyDescent="0.25">
      <c r="A438">
        <v>437</v>
      </c>
      <c r="B438" t="s">
        <v>886</v>
      </c>
      <c r="C438" s="1">
        <v>37.256898524699999</v>
      </c>
      <c r="D438" s="1">
        <v>-7.1271334013800001</v>
      </c>
      <c r="E438" s="3">
        <v>2</v>
      </c>
      <c r="F438" s="2">
        <v>2</v>
      </c>
      <c r="G438" s="4">
        <v>2</v>
      </c>
      <c r="H438" s="13"/>
      <c r="I438" s="15"/>
      <c r="J438" s="19">
        <v>2</v>
      </c>
      <c r="K438" s="2" t="s">
        <v>887</v>
      </c>
      <c r="L438" s="11" t="str">
        <f t="shared" si="7"/>
        <v>Ver Imagen</v>
      </c>
      <c r="M438" t="s">
        <v>15</v>
      </c>
    </row>
    <row r="439" spans="1:13" x14ac:dyDescent="0.25">
      <c r="A439">
        <v>438</v>
      </c>
      <c r="B439" t="s">
        <v>888</v>
      </c>
      <c r="C439" s="1">
        <v>37.256707389699997</v>
      </c>
      <c r="D439" s="1">
        <v>-7.1270283972300001</v>
      </c>
      <c r="E439" s="3">
        <v>2</v>
      </c>
      <c r="F439" s="2">
        <v>2</v>
      </c>
      <c r="G439" s="4">
        <v>2</v>
      </c>
      <c r="H439" s="13"/>
      <c r="I439" s="15"/>
      <c r="J439" s="19">
        <v>2</v>
      </c>
      <c r="K439" s="2" t="s">
        <v>889</v>
      </c>
      <c r="L439" s="11" t="str">
        <f t="shared" si="7"/>
        <v>Ver Imagen</v>
      </c>
      <c r="M439" t="s">
        <v>15</v>
      </c>
    </row>
    <row r="440" spans="1:13" x14ac:dyDescent="0.25">
      <c r="A440">
        <v>439</v>
      </c>
      <c r="B440" t="s">
        <v>890</v>
      </c>
      <c r="C440" s="1">
        <v>37.256481103600002</v>
      </c>
      <c r="D440" s="1">
        <v>-7.1269183171200003</v>
      </c>
      <c r="E440" s="3">
        <v>2</v>
      </c>
      <c r="F440" s="2">
        <v>2</v>
      </c>
      <c r="G440" s="4">
        <v>2</v>
      </c>
      <c r="H440" s="13"/>
      <c r="I440" s="15"/>
      <c r="J440" s="19">
        <v>2</v>
      </c>
      <c r="K440" s="2" t="s">
        <v>891</v>
      </c>
      <c r="L440" s="11" t="str">
        <f t="shared" si="7"/>
        <v>Ver Imagen</v>
      </c>
      <c r="M440" t="s">
        <v>15</v>
      </c>
    </row>
    <row r="441" spans="1:13" x14ac:dyDescent="0.25">
      <c r="A441">
        <v>440</v>
      </c>
      <c r="B441" t="s">
        <v>892</v>
      </c>
      <c r="C441" s="1">
        <v>37.2563147065</v>
      </c>
      <c r="D441" s="1">
        <v>-7.1268461712000004</v>
      </c>
      <c r="E441" s="3">
        <v>2</v>
      </c>
      <c r="F441" s="2">
        <v>2</v>
      </c>
      <c r="G441" s="4">
        <v>2</v>
      </c>
      <c r="H441" s="13"/>
      <c r="I441" s="15"/>
      <c r="J441" s="19">
        <v>2</v>
      </c>
      <c r="K441" s="2" t="s">
        <v>893</v>
      </c>
      <c r="L441" s="11" t="str">
        <f t="shared" si="7"/>
        <v>Ver Imagen</v>
      </c>
      <c r="M441" t="s">
        <v>15</v>
      </c>
    </row>
    <row r="442" spans="1:13" x14ac:dyDescent="0.25">
      <c r="A442">
        <v>441</v>
      </c>
      <c r="B442" t="s">
        <v>894</v>
      </c>
      <c r="C442" s="1">
        <v>37.256142433199997</v>
      </c>
      <c r="D442" s="1">
        <v>-7.1267791859100003</v>
      </c>
      <c r="E442" s="3">
        <v>2</v>
      </c>
      <c r="F442" s="2">
        <v>2</v>
      </c>
      <c r="G442" s="4">
        <v>2</v>
      </c>
      <c r="H442" s="13"/>
      <c r="I442" s="15"/>
      <c r="J442" s="19">
        <v>2</v>
      </c>
      <c r="K442" s="2" t="s">
        <v>895</v>
      </c>
      <c r="L442" s="11" t="str">
        <f t="shared" si="7"/>
        <v>Ver Imagen</v>
      </c>
      <c r="M442" t="s">
        <v>15</v>
      </c>
    </row>
    <row r="443" spans="1:13" x14ac:dyDescent="0.25">
      <c r="A443">
        <v>442</v>
      </c>
      <c r="B443" t="s">
        <v>896</v>
      </c>
      <c r="C443" s="1">
        <v>37.2559179486</v>
      </c>
      <c r="D443" s="1">
        <v>-7.1267048171700003</v>
      </c>
      <c r="E443" s="3">
        <v>2</v>
      </c>
      <c r="F443" s="2">
        <v>2</v>
      </c>
      <c r="G443" s="4">
        <v>2</v>
      </c>
      <c r="H443" s="13"/>
      <c r="I443" s="15"/>
      <c r="J443" s="19">
        <v>2</v>
      </c>
      <c r="K443" s="2" t="s">
        <v>897</v>
      </c>
      <c r="L443" s="11" t="str">
        <f t="shared" si="7"/>
        <v>Ver Imagen</v>
      </c>
      <c r="M443" t="s">
        <v>15</v>
      </c>
    </row>
    <row r="444" spans="1:13" x14ac:dyDescent="0.25">
      <c r="A444">
        <v>443</v>
      </c>
      <c r="B444" t="s">
        <v>898</v>
      </c>
      <c r="C444" s="1">
        <v>37.255750498899999</v>
      </c>
      <c r="D444" s="1">
        <v>-7.1266596405399998</v>
      </c>
      <c r="E444" s="3">
        <v>2</v>
      </c>
      <c r="F444" s="2">
        <v>2</v>
      </c>
      <c r="G444" s="4">
        <v>2</v>
      </c>
      <c r="H444" s="13"/>
      <c r="I444" s="15"/>
      <c r="J444" s="19">
        <v>2</v>
      </c>
      <c r="K444" s="2" t="s">
        <v>899</v>
      </c>
      <c r="L444" s="11" t="str">
        <f t="shared" si="7"/>
        <v>Ver Imagen</v>
      </c>
      <c r="M444" t="s">
        <v>15</v>
      </c>
    </row>
    <row r="445" spans="1:13" x14ac:dyDescent="0.25">
      <c r="A445">
        <v>444</v>
      </c>
      <c r="B445" t="s">
        <v>900</v>
      </c>
      <c r="C445" s="1">
        <v>37.255541477400001</v>
      </c>
      <c r="D445" s="1">
        <v>-7.1266177918000002</v>
      </c>
      <c r="E445" s="3">
        <v>2</v>
      </c>
      <c r="F445" s="2">
        <v>2</v>
      </c>
      <c r="G445" s="4">
        <v>2</v>
      </c>
      <c r="H445" s="13"/>
      <c r="I445" s="15"/>
      <c r="J445" s="19">
        <v>2</v>
      </c>
      <c r="K445" s="2" t="s">
        <v>901</v>
      </c>
      <c r="L445" s="11" t="str">
        <f t="shared" si="7"/>
        <v>Ver Imagen</v>
      </c>
      <c r="M445" t="s">
        <v>15</v>
      </c>
    </row>
    <row r="446" spans="1:13" x14ac:dyDescent="0.25">
      <c r="A446">
        <v>445</v>
      </c>
      <c r="B446" t="s">
        <v>902</v>
      </c>
      <c r="C446" s="1">
        <v>37.255374324800002</v>
      </c>
      <c r="D446" s="1">
        <v>-7.1265950020400002</v>
      </c>
      <c r="E446" s="3">
        <v>2</v>
      </c>
      <c r="F446" s="2">
        <v>2</v>
      </c>
      <c r="G446" s="4">
        <v>2</v>
      </c>
      <c r="H446" s="13"/>
      <c r="I446" s="15"/>
      <c r="J446" s="19">
        <v>2</v>
      </c>
      <c r="K446" s="2" t="s">
        <v>903</v>
      </c>
      <c r="L446" s="11" t="str">
        <f t="shared" si="7"/>
        <v>Ver Imagen</v>
      </c>
      <c r="M446" t="s">
        <v>15</v>
      </c>
    </row>
    <row r="447" spans="1:13" x14ac:dyDescent="0.25">
      <c r="A447">
        <v>446</v>
      </c>
      <c r="B447" t="s">
        <v>904</v>
      </c>
      <c r="C447" s="1">
        <v>37.255159515400003</v>
      </c>
      <c r="D447" s="1">
        <v>-7.1265778286200003</v>
      </c>
      <c r="E447" s="3">
        <v>2</v>
      </c>
      <c r="F447" s="2">
        <v>2</v>
      </c>
      <c r="G447" s="4">
        <v>2</v>
      </c>
      <c r="H447" s="13"/>
      <c r="I447" s="15"/>
      <c r="J447" s="19">
        <v>2</v>
      </c>
      <c r="K447" s="2" t="s">
        <v>905</v>
      </c>
      <c r="L447" s="11" t="str">
        <f t="shared" si="7"/>
        <v>Ver Imagen</v>
      </c>
      <c r="M447" t="s">
        <v>15</v>
      </c>
    </row>
    <row r="448" spans="1:13" x14ac:dyDescent="0.25">
      <c r="A448">
        <v>447</v>
      </c>
      <c r="B448" t="s">
        <v>906</v>
      </c>
      <c r="C448" s="1">
        <v>37.254935168999999</v>
      </c>
      <c r="D448" s="1">
        <v>-7.1265747493999996</v>
      </c>
      <c r="E448" s="3">
        <v>2</v>
      </c>
      <c r="F448" s="2">
        <v>2</v>
      </c>
      <c r="G448" s="4">
        <v>2</v>
      </c>
      <c r="H448" s="13"/>
      <c r="I448" s="15"/>
      <c r="J448" s="19">
        <v>2</v>
      </c>
      <c r="K448" s="2" t="s">
        <v>907</v>
      </c>
      <c r="L448" s="11" t="str">
        <f t="shared" si="7"/>
        <v>Ver Imagen</v>
      </c>
      <c r="M448" t="s">
        <v>15</v>
      </c>
    </row>
    <row r="449" spans="1:13" x14ac:dyDescent="0.25">
      <c r="A449">
        <v>448</v>
      </c>
      <c r="B449" t="s">
        <v>908</v>
      </c>
      <c r="C449" s="1">
        <v>37.254754630999997</v>
      </c>
      <c r="D449" s="1">
        <v>-7.1265835597400002</v>
      </c>
      <c r="E449" s="3">
        <v>2</v>
      </c>
      <c r="F449" s="2">
        <v>2</v>
      </c>
      <c r="G449" s="4">
        <v>2</v>
      </c>
      <c r="H449" s="13"/>
      <c r="I449" s="15"/>
      <c r="J449" s="19">
        <v>2</v>
      </c>
      <c r="K449" s="2" t="s">
        <v>909</v>
      </c>
      <c r="L449" s="11" t="str">
        <f t="shared" si="7"/>
        <v>Ver Imagen</v>
      </c>
      <c r="M449" t="s">
        <v>15</v>
      </c>
    </row>
    <row r="450" spans="1:13" x14ac:dyDescent="0.25">
      <c r="A450">
        <v>449</v>
      </c>
      <c r="B450" t="s">
        <v>910</v>
      </c>
      <c r="C450" s="1">
        <v>37.254549179100003</v>
      </c>
      <c r="D450" s="1">
        <v>-7.1266029398299997</v>
      </c>
      <c r="E450" s="3">
        <v>2</v>
      </c>
      <c r="F450" s="2">
        <v>2</v>
      </c>
      <c r="G450" s="4">
        <v>2</v>
      </c>
      <c r="H450" s="13"/>
      <c r="I450" s="15"/>
      <c r="J450" s="19">
        <v>2</v>
      </c>
      <c r="K450" s="2" t="s">
        <v>911</v>
      </c>
      <c r="L450" s="11" t="str">
        <f t="shared" si="7"/>
        <v>Ver Imagen</v>
      </c>
      <c r="M450" t="s">
        <v>15</v>
      </c>
    </row>
    <row r="451" spans="1:13" x14ac:dyDescent="0.25">
      <c r="A451">
        <v>450</v>
      </c>
      <c r="B451" t="s">
        <v>912</v>
      </c>
      <c r="C451" s="1">
        <v>37.254113373400003</v>
      </c>
      <c r="D451" s="1">
        <v>-7.1266596097199999</v>
      </c>
      <c r="E451" s="3">
        <v>2</v>
      </c>
      <c r="F451" s="2">
        <v>2</v>
      </c>
      <c r="G451" s="4">
        <v>2</v>
      </c>
      <c r="H451" s="13"/>
      <c r="I451" s="15"/>
      <c r="J451" s="19">
        <v>2</v>
      </c>
      <c r="K451" s="2" t="s">
        <v>913</v>
      </c>
      <c r="L451" s="11" t="str">
        <f t="shared" si="7"/>
        <v>Ver Imagen</v>
      </c>
      <c r="M451" t="s">
        <v>15</v>
      </c>
    </row>
    <row r="452" spans="1:13" x14ac:dyDescent="0.25">
      <c r="A452">
        <v>451</v>
      </c>
      <c r="B452" t="s">
        <v>914</v>
      </c>
      <c r="C452" s="1">
        <v>37.253922476</v>
      </c>
      <c r="D452" s="1">
        <v>-7.1266872083699999</v>
      </c>
      <c r="E452" s="3">
        <v>2</v>
      </c>
      <c r="F452" s="2">
        <v>2</v>
      </c>
      <c r="G452" s="4">
        <v>2</v>
      </c>
      <c r="H452" s="13"/>
      <c r="I452" s="15"/>
      <c r="J452" s="19">
        <v>2</v>
      </c>
      <c r="K452" s="2" t="s">
        <v>915</v>
      </c>
      <c r="L452" s="11" t="str">
        <f t="shared" si="7"/>
        <v>Ver Imagen</v>
      </c>
      <c r="M452" t="s">
        <v>15</v>
      </c>
    </row>
    <row r="453" spans="1:13" x14ac:dyDescent="0.25">
      <c r="A453">
        <v>452</v>
      </c>
      <c r="B453" t="s">
        <v>916</v>
      </c>
      <c r="C453" s="1">
        <v>37.253758571600002</v>
      </c>
      <c r="D453" s="1">
        <v>-7.1267111742100004</v>
      </c>
      <c r="E453" s="3">
        <v>2</v>
      </c>
      <c r="F453" s="2">
        <v>2</v>
      </c>
      <c r="G453" s="4">
        <v>2</v>
      </c>
      <c r="H453" s="13"/>
      <c r="I453" s="15"/>
      <c r="J453" s="19">
        <v>2</v>
      </c>
      <c r="K453" s="2" t="s">
        <v>917</v>
      </c>
      <c r="L453" s="11" t="str">
        <f t="shared" si="7"/>
        <v>Ver Imagen</v>
      </c>
      <c r="M453" t="s">
        <v>15</v>
      </c>
    </row>
    <row r="454" spans="1:13" x14ac:dyDescent="0.25">
      <c r="A454">
        <v>453</v>
      </c>
      <c r="B454" t="s">
        <v>918</v>
      </c>
      <c r="C454" s="1">
        <v>37.253339343</v>
      </c>
      <c r="D454" s="1">
        <v>-7.1267734298700001</v>
      </c>
      <c r="E454" s="3">
        <v>2</v>
      </c>
      <c r="F454" s="2">
        <v>2</v>
      </c>
      <c r="G454" s="4">
        <v>2</v>
      </c>
      <c r="H454" s="13"/>
      <c r="I454" s="15"/>
      <c r="J454" s="19">
        <v>2</v>
      </c>
      <c r="K454" s="2" t="s">
        <v>919</v>
      </c>
      <c r="L454" s="11" t="str">
        <f t="shared" si="7"/>
        <v>Ver Imagen</v>
      </c>
      <c r="M454" t="s">
        <v>15</v>
      </c>
    </row>
    <row r="455" spans="1:13" x14ac:dyDescent="0.25">
      <c r="A455">
        <v>454</v>
      </c>
      <c r="B455" t="s">
        <v>920</v>
      </c>
      <c r="C455" s="1">
        <v>37.253121651999997</v>
      </c>
      <c r="D455" s="1">
        <v>-7.1268072364200004</v>
      </c>
      <c r="E455" s="3">
        <v>2</v>
      </c>
      <c r="F455" s="2">
        <v>2</v>
      </c>
      <c r="G455" s="4">
        <v>2</v>
      </c>
      <c r="H455" s="13"/>
      <c r="I455" s="15"/>
      <c r="J455" s="19">
        <v>2</v>
      </c>
      <c r="K455" s="2" t="s">
        <v>921</v>
      </c>
      <c r="L455" s="11" t="str">
        <f t="shared" si="7"/>
        <v>Ver Imagen</v>
      </c>
      <c r="M455" t="s">
        <v>15</v>
      </c>
    </row>
    <row r="456" spans="1:13" x14ac:dyDescent="0.25">
      <c r="A456">
        <v>455</v>
      </c>
      <c r="B456" t="s">
        <v>922</v>
      </c>
      <c r="C456" s="1">
        <v>37.252904602900003</v>
      </c>
      <c r="D456" s="1">
        <v>-7.1268418021000004</v>
      </c>
      <c r="E456" s="3">
        <v>2</v>
      </c>
      <c r="F456" s="2">
        <v>2</v>
      </c>
      <c r="G456" s="4">
        <v>2</v>
      </c>
      <c r="H456" s="13"/>
      <c r="I456" s="15"/>
      <c r="J456" s="19">
        <v>2</v>
      </c>
      <c r="K456" s="2" t="s">
        <v>923</v>
      </c>
      <c r="L456" s="11" t="str">
        <f t="shared" si="7"/>
        <v>Ver Imagen</v>
      </c>
      <c r="M456" t="s">
        <v>15</v>
      </c>
    </row>
    <row r="457" spans="1:13" x14ac:dyDescent="0.25">
      <c r="A457">
        <v>456</v>
      </c>
      <c r="B457" t="s">
        <v>924</v>
      </c>
      <c r="C457" s="1">
        <v>37.252728963300001</v>
      </c>
      <c r="D457" s="1">
        <v>-7.1268694294300001</v>
      </c>
      <c r="E457" s="3">
        <v>2</v>
      </c>
      <c r="F457" s="2">
        <v>2</v>
      </c>
      <c r="G457" s="4">
        <v>2</v>
      </c>
      <c r="H457" s="13"/>
      <c r="I457" s="15"/>
      <c r="J457" s="19">
        <v>2</v>
      </c>
      <c r="K457" s="2" t="s">
        <v>925</v>
      </c>
      <c r="L457" s="11" t="str">
        <f t="shared" ref="L457:L520" si="8">HYPERLINK("2\0\" &amp; K457, "Ver Imagen")</f>
        <v>Ver Imagen</v>
      </c>
      <c r="M457" t="s">
        <v>15</v>
      </c>
    </row>
    <row r="458" spans="1:13" x14ac:dyDescent="0.25">
      <c r="A458">
        <v>457</v>
      </c>
      <c r="B458" t="s">
        <v>926</v>
      </c>
      <c r="C458" s="1">
        <v>37.252558878800002</v>
      </c>
      <c r="D458" s="1">
        <v>-7.1268953422900001</v>
      </c>
      <c r="E458" s="3">
        <v>2</v>
      </c>
      <c r="F458" s="2">
        <v>2</v>
      </c>
      <c r="G458" s="4">
        <v>2</v>
      </c>
      <c r="H458" s="13"/>
      <c r="I458" s="15"/>
      <c r="J458" s="19">
        <v>2</v>
      </c>
      <c r="K458" s="2" t="s">
        <v>927</v>
      </c>
      <c r="L458" s="11" t="str">
        <f t="shared" si="8"/>
        <v>Ver Imagen</v>
      </c>
      <c r="M458" t="s">
        <v>15</v>
      </c>
    </row>
    <row r="459" spans="1:13" x14ac:dyDescent="0.25">
      <c r="A459">
        <v>458</v>
      </c>
      <c r="B459" t="s">
        <v>928</v>
      </c>
      <c r="C459" s="1">
        <v>37.252333421899998</v>
      </c>
      <c r="D459" s="1">
        <v>-7.1269289923199999</v>
      </c>
      <c r="E459" s="3">
        <v>2</v>
      </c>
      <c r="F459" s="2">
        <v>2</v>
      </c>
      <c r="G459" s="4">
        <v>2</v>
      </c>
      <c r="H459" s="13"/>
      <c r="I459" s="15"/>
      <c r="J459" s="19">
        <v>2</v>
      </c>
      <c r="K459" s="2" t="s">
        <v>929</v>
      </c>
      <c r="L459" s="11" t="str">
        <f t="shared" si="8"/>
        <v>Ver Imagen</v>
      </c>
      <c r="M459" t="s">
        <v>15</v>
      </c>
    </row>
    <row r="460" spans="1:13" x14ac:dyDescent="0.25">
      <c r="A460">
        <v>459</v>
      </c>
      <c r="B460" t="s">
        <v>930</v>
      </c>
      <c r="C460" s="1">
        <v>37.2521218754</v>
      </c>
      <c r="D460" s="1">
        <v>-7.1269601510099996</v>
      </c>
      <c r="E460" s="3">
        <v>2</v>
      </c>
      <c r="F460" s="2">
        <v>2</v>
      </c>
      <c r="G460" s="4">
        <v>2</v>
      </c>
      <c r="H460" s="13"/>
      <c r="I460" s="15"/>
      <c r="J460" s="19">
        <v>2</v>
      </c>
      <c r="K460" s="2" t="s">
        <v>931</v>
      </c>
      <c r="L460" s="11" t="str">
        <f t="shared" si="8"/>
        <v>Ver Imagen</v>
      </c>
      <c r="M460" t="s">
        <v>15</v>
      </c>
    </row>
    <row r="461" spans="1:13" x14ac:dyDescent="0.25">
      <c r="A461">
        <v>460</v>
      </c>
      <c r="B461" t="s">
        <v>932</v>
      </c>
      <c r="C461" s="1">
        <v>37.251907059700002</v>
      </c>
      <c r="D461" s="1">
        <v>-7.1269919988100003</v>
      </c>
      <c r="E461" s="3">
        <v>2</v>
      </c>
      <c r="F461" s="2">
        <v>2</v>
      </c>
      <c r="G461" s="4">
        <v>2</v>
      </c>
      <c r="H461" s="13"/>
      <c r="I461" s="15"/>
      <c r="J461" s="19">
        <v>2</v>
      </c>
      <c r="K461" s="2" t="s">
        <v>933</v>
      </c>
      <c r="L461" s="11" t="str">
        <f t="shared" si="8"/>
        <v>Ver Imagen</v>
      </c>
      <c r="M461" t="s">
        <v>15</v>
      </c>
    </row>
    <row r="462" spans="1:13" x14ac:dyDescent="0.25">
      <c r="A462">
        <v>461</v>
      </c>
      <c r="B462" t="s">
        <v>934</v>
      </c>
      <c r="C462" s="1">
        <v>37.251557965300002</v>
      </c>
      <c r="D462" s="1">
        <v>-7.1270456191799996</v>
      </c>
      <c r="E462" s="3">
        <v>2</v>
      </c>
      <c r="F462" s="2">
        <v>2</v>
      </c>
      <c r="G462" s="4">
        <v>2</v>
      </c>
      <c r="H462" s="13"/>
      <c r="I462" s="15"/>
      <c r="J462" s="19">
        <v>2</v>
      </c>
      <c r="K462" s="2" t="s">
        <v>935</v>
      </c>
      <c r="L462" s="11" t="str">
        <f t="shared" si="8"/>
        <v>Ver Imagen</v>
      </c>
      <c r="M462" t="s">
        <v>15</v>
      </c>
    </row>
    <row r="463" spans="1:13" x14ac:dyDescent="0.25">
      <c r="A463">
        <v>462</v>
      </c>
      <c r="B463" t="s">
        <v>936</v>
      </c>
      <c r="C463" s="1">
        <v>37.251338312599998</v>
      </c>
      <c r="D463" s="1">
        <v>-7.1270788139699999</v>
      </c>
      <c r="E463" s="3">
        <v>2</v>
      </c>
      <c r="F463" s="2">
        <v>2</v>
      </c>
      <c r="G463" s="4">
        <v>2</v>
      </c>
      <c r="H463" s="13"/>
      <c r="I463" s="15"/>
      <c r="J463" s="19">
        <v>2</v>
      </c>
      <c r="K463" s="2" t="s">
        <v>937</v>
      </c>
      <c r="L463" s="11" t="str">
        <f t="shared" si="8"/>
        <v>Ver Imagen</v>
      </c>
      <c r="M463" t="s">
        <v>15</v>
      </c>
    </row>
    <row r="464" spans="1:13" x14ac:dyDescent="0.25">
      <c r="A464">
        <v>463</v>
      </c>
      <c r="B464" t="s">
        <v>938</v>
      </c>
      <c r="C464" s="1">
        <v>37.251121384299999</v>
      </c>
      <c r="D464" s="1">
        <v>-7.1271107553500004</v>
      </c>
      <c r="E464" s="3">
        <v>2</v>
      </c>
      <c r="F464" s="2">
        <v>2</v>
      </c>
      <c r="G464" s="4">
        <v>2</v>
      </c>
      <c r="H464" s="13"/>
      <c r="I464" s="15"/>
      <c r="J464" s="19">
        <v>2</v>
      </c>
      <c r="K464" s="2" t="s">
        <v>939</v>
      </c>
      <c r="L464" s="11" t="str">
        <f t="shared" si="8"/>
        <v>Ver Imagen</v>
      </c>
      <c r="M464" t="s">
        <v>15</v>
      </c>
    </row>
    <row r="465" spans="1:13" x14ac:dyDescent="0.25">
      <c r="A465">
        <v>464</v>
      </c>
      <c r="B465" t="s">
        <v>940</v>
      </c>
      <c r="C465" s="1">
        <v>37.250901947899997</v>
      </c>
      <c r="D465" s="1">
        <v>-7.1271430323600002</v>
      </c>
      <c r="E465" s="3">
        <v>2</v>
      </c>
      <c r="F465" s="2">
        <v>2</v>
      </c>
      <c r="G465" s="4">
        <v>2</v>
      </c>
      <c r="H465" s="13"/>
      <c r="I465" s="15"/>
      <c r="J465" s="19">
        <v>2</v>
      </c>
      <c r="K465" s="2" t="s">
        <v>941</v>
      </c>
      <c r="L465" s="11" t="str">
        <f t="shared" si="8"/>
        <v>Ver Imagen</v>
      </c>
      <c r="M465" t="s">
        <v>15</v>
      </c>
    </row>
    <row r="466" spans="1:13" x14ac:dyDescent="0.25">
      <c r="A466">
        <v>465</v>
      </c>
      <c r="B466" t="s">
        <v>942</v>
      </c>
      <c r="C466" s="1">
        <v>37.250697782899998</v>
      </c>
      <c r="D466" s="1">
        <v>-7.1271735518500003</v>
      </c>
      <c r="E466" s="3">
        <v>2</v>
      </c>
      <c r="F466" s="2">
        <v>2</v>
      </c>
      <c r="G466" s="4">
        <v>2</v>
      </c>
      <c r="H466" s="13"/>
      <c r="I466" s="15"/>
      <c r="J466" s="19">
        <v>2</v>
      </c>
      <c r="K466" s="2" t="s">
        <v>943</v>
      </c>
      <c r="L466" s="11" t="str">
        <f t="shared" si="8"/>
        <v>Ver Imagen</v>
      </c>
      <c r="M466" t="s">
        <v>15</v>
      </c>
    </row>
    <row r="467" spans="1:13" x14ac:dyDescent="0.25">
      <c r="A467">
        <v>466</v>
      </c>
      <c r="B467" t="s">
        <v>944</v>
      </c>
      <c r="C467" s="1">
        <v>37.250290497500004</v>
      </c>
      <c r="D467" s="1">
        <v>-7.1272347060900003</v>
      </c>
      <c r="E467" s="3">
        <v>2</v>
      </c>
      <c r="F467" s="2">
        <v>2</v>
      </c>
      <c r="G467" s="4">
        <v>2</v>
      </c>
      <c r="H467" s="13"/>
      <c r="I467" s="15"/>
      <c r="J467" s="19">
        <v>2</v>
      </c>
      <c r="K467" s="2" t="s">
        <v>945</v>
      </c>
      <c r="L467" s="11" t="str">
        <f t="shared" si="8"/>
        <v>Ver Imagen</v>
      </c>
      <c r="M467" t="s">
        <v>15</v>
      </c>
    </row>
    <row r="468" spans="1:13" x14ac:dyDescent="0.25">
      <c r="A468">
        <v>467</v>
      </c>
      <c r="B468" t="s">
        <v>946</v>
      </c>
      <c r="C468" s="1">
        <v>37.249701153399997</v>
      </c>
      <c r="D468" s="1">
        <v>-7.1273258303700002</v>
      </c>
      <c r="E468" s="3">
        <v>2</v>
      </c>
      <c r="F468" s="2">
        <v>2</v>
      </c>
      <c r="G468" s="4">
        <v>2</v>
      </c>
      <c r="H468" s="13"/>
      <c r="I468" s="15"/>
      <c r="J468" s="19">
        <v>2</v>
      </c>
      <c r="K468" s="2" t="s">
        <v>947</v>
      </c>
      <c r="L468" s="11" t="str">
        <f t="shared" si="8"/>
        <v>Ver Imagen</v>
      </c>
      <c r="M468" t="s">
        <v>15</v>
      </c>
    </row>
    <row r="469" spans="1:13" x14ac:dyDescent="0.25">
      <c r="A469">
        <v>468</v>
      </c>
      <c r="B469" t="s">
        <v>948</v>
      </c>
      <c r="C469" s="1">
        <v>37.248893998500002</v>
      </c>
      <c r="D469" s="1">
        <v>-7.1274485483900003</v>
      </c>
      <c r="E469" s="3">
        <v>2</v>
      </c>
      <c r="F469" s="2">
        <v>2</v>
      </c>
      <c r="G469" s="4">
        <v>2</v>
      </c>
      <c r="H469" s="13"/>
      <c r="I469" s="15"/>
      <c r="J469" s="19">
        <v>2</v>
      </c>
      <c r="K469" s="2" t="s">
        <v>949</v>
      </c>
      <c r="L469" s="11" t="str">
        <f t="shared" si="8"/>
        <v>Ver Imagen</v>
      </c>
      <c r="M469" t="s">
        <v>15</v>
      </c>
    </row>
    <row r="470" spans="1:13" x14ac:dyDescent="0.25">
      <c r="A470">
        <v>469</v>
      </c>
      <c r="B470" t="s">
        <v>950</v>
      </c>
      <c r="C470" s="1">
        <v>37.248712176600002</v>
      </c>
      <c r="D470" s="1">
        <v>-7.1274754077700004</v>
      </c>
      <c r="E470" s="3">
        <v>2</v>
      </c>
      <c r="F470" s="2">
        <v>2</v>
      </c>
      <c r="G470" s="4">
        <v>2</v>
      </c>
      <c r="H470" s="13"/>
      <c r="I470" s="15"/>
      <c r="J470" s="19">
        <v>2</v>
      </c>
      <c r="K470" s="2" t="s">
        <v>951</v>
      </c>
      <c r="L470" s="11" t="str">
        <f t="shared" si="8"/>
        <v>Ver Imagen</v>
      </c>
      <c r="M470" t="s">
        <v>15</v>
      </c>
    </row>
    <row r="471" spans="1:13" x14ac:dyDescent="0.25">
      <c r="A471">
        <v>470</v>
      </c>
      <c r="B471" t="s">
        <v>952</v>
      </c>
      <c r="C471" s="1">
        <v>37.2460949938</v>
      </c>
      <c r="D471" s="1">
        <v>-7.1278609674500002</v>
      </c>
      <c r="E471" s="3">
        <v>2</v>
      </c>
      <c r="F471" s="2">
        <v>2</v>
      </c>
      <c r="G471" s="4">
        <v>2</v>
      </c>
      <c r="H471" s="13"/>
      <c r="I471" s="15"/>
      <c r="J471" s="19">
        <v>2</v>
      </c>
      <c r="K471" s="2" t="s">
        <v>953</v>
      </c>
      <c r="L471" s="11" t="str">
        <f t="shared" si="8"/>
        <v>Ver Imagen</v>
      </c>
      <c r="M471" t="s">
        <v>15</v>
      </c>
    </row>
    <row r="472" spans="1:13" x14ac:dyDescent="0.25">
      <c r="A472">
        <v>471</v>
      </c>
      <c r="B472" t="s">
        <v>954</v>
      </c>
      <c r="C472" s="1">
        <v>37.245898712299997</v>
      </c>
      <c r="D472" s="1">
        <v>-7.1278895783499996</v>
      </c>
      <c r="E472" s="3">
        <v>2</v>
      </c>
      <c r="F472" s="2">
        <v>2</v>
      </c>
      <c r="G472" s="4">
        <v>2</v>
      </c>
      <c r="H472" s="13"/>
      <c r="I472" s="15"/>
      <c r="J472" s="19">
        <v>2</v>
      </c>
      <c r="K472" s="2" t="s">
        <v>955</v>
      </c>
      <c r="L472" s="11" t="str">
        <f t="shared" si="8"/>
        <v>Ver Imagen</v>
      </c>
      <c r="M472" t="s">
        <v>15</v>
      </c>
    </row>
    <row r="473" spans="1:13" x14ac:dyDescent="0.25">
      <c r="A473">
        <v>472</v>
      </c>
      <c r="B473" t="s">
        <v>956</v>
      </c>
      <c r="C473" s="1">
        <v>37.245674923199999</v>
      </c>
      <c r="D473" s="1">
        <v>-7.1279223242600001</v>
      </c>
      <c r="E473" s="3">
        <v>2</v>
      </c>
      <c r="F473" s="2">
        <v>2</v>
      </c>
      <c r="G473" s="4">
        <v>2</v>
      </c>
      <c r="H473" s="13"/>
      <c r="I473" s="15"/>
      <c r="J473" s="19">
        <v>2</v>
      </c>
      <c r="K473" s="2" t="s">
        <v>957</v>
      </c>
      <c r="L473" s="11" t="str">
        <f t="shared" si="8"/>
        <v>Ver Imagen</v>
      </c>
      <c r="M473" t="s">
        <v>15</v>
      </c>
    </row>
    <row r="474" spans="1:13" x14ac:dyDescent="0.25">
      <c r="A474">
        <v>473</v>
      </c>
      <c r="B474" t="s">
        <v>958</v>
      </c>
      <c r="C474" s="1">
        <v>37.245291196300002</v>
      </c>
      <c r="D474" s="1">
        <v>-7.1279790795200002</v>
      </c>
      <c r="E474" s="3">
        <v>2</v>
      </c>
      <c r="F474" s="2">
        <v>2</v>
      </c>
      <c r="G474" s="4">
        <v>2</v>
      </c>
      <c r="H474" s="13"/>
      <c r="I474" s="15"/>
      <c r="J474" s="19">
        <v>2</v>
      </c>
      <c r="K474" s="2" t="s">
        <v>959</v>
      </c>
      <c r="L474" s="11" t="str">
        <f t="shared" si="8"/>
        <v>Ver Imagen</v>
      </c>
      <c r="M474" t="s">
        <v>15</v>
      </c>
    </row>
    <row r="475" spans="1:13" x14ac:dyDescent="0.25">
      <c r="A475">
        <v>474</v>
      </c>
      <c r="B475" t="s">
        <v>960</v>
      </c>
      <c r="C475" s="1">
        <v>37.245058037299998</v>
      </c>
      <c r="D475" s="1">
        <v>-7.1280134258699999</v>
      </c>
      <c r="E475" s="3">
        <v>2</v>
      </c>
      <c r="F475" s="2">
        <v>2</v>
      </c>
      <c r="G475" s="4">
        <v>2</v>
      </c>
      <c r="H475" s="13"/>
      <c r="I475" s="15"/>
      <c r="J475" s="19">
        <v>2</v>
      </c>
      <c r="K475" s="2" t="s">
        <v>961</v>
      </c>
      <c r="L475" s="11" t="str">
        <f t="shared" si="8"/>
        <v>Ver Imagen</v>
      </c>
      <c r="M475" t="s">
        <v>15</v>
      </c>
    </row>
    <row r="476" spans="1:13" x14ac:dyDescent="0.25">
      <c r="A476">
        <v>475</v>
      </c>
      <c r="B476" t="s">
        <v>962</v>
      </c>
      <c r="C476" s="1">
        <v>37.244890759599997</v>
      </c>
      <c r="D476" s="1">
        <v>-7.12803802033</v>
      </c>
      <c r="E476" s="3">
        <v>2</v>
      </c>
      <c r="F476" s="2">
        <v>2</v>
      </c>
      <c r="G476" s="4">
        <v>2</v>
      </c>
      <c r="H476" s="13"/>
      <c r="I476" s="15"/>
      <c r="J476" s="19">
        <v>2</v>
      </c>
      <c r="K476" s="2" t="s">
        <v>963</v>
      </c>
      <c r="L476" s="11" t="str">
        <f t="shared" si="8"/>
        <v>Ver Imagen</v>
      </c>
      <c r="M476" t="s">
        <v>15</v>
      </c>
    </row>
    <row r="477" spans="1:13" x14ac:dyDescent="0.25">
      <c r="A477">
        <v>476</v>
      </c>
      <c r="B477" t="s">
        <v>964</v>
      </c>
      <c r="C477" s="1">
        <v>37.244076831599997</v>
      </c>
      <c r="D477" s="1">
        <v>-7.1281533925999998</v>
      </c>
      <c r="E477" s="3">
        <v>2</v>
      </c>
      <c r="F477" s="2">
        <v>2</v>
      </c>
      <c r="G477" s="4">
        <v>2</v>
      </c>
      <c r="H477" s="13"/>
      <c r="I477" s="15"/>
      <c r="J477" s="19">
        <v>2</v>
      </c>
      <c r="K477" s="2" t="s">
        <v>965</v>
      </c>
      <c r="L477" s="11" t="str">
        <f t="shared" si="8"/>
        <v>Ver Imagen</v>
      </c>
      <c r="M477" t="s">
        <v>15</v>
      </c>
    </row>
    <row r="478" spans="1:13" x14ac:dyDescent="0.25">
      <c r="A478">
        <v>477</v>
      </c>
      <c r="B478" t="s">
        <v>966</v>
      </c>
      <c r="C478" s="1">
        <v>37.243870777200001</v>
      </c>
      <c r="D478" s="1">
        <v>-7.12818350503</v>
      </c>
      <c r="E478" s="3">
        <v>2</v>
      </c>
      <c r="F478" s="2">
        <v>2</v>
      </c>
      <c r="G478" s="4">
        <v>2</v>
      </c>
      <c r="H478" s="13"/>
      <c r="I478" s="15"/>
      <c r="J478" s="19">
        <v>2</v>
      </c>
      <c r="K478" s="2" t="s">
        <v>967</v>
      </c>
      <c r="L478" s="11" t="str">
        <f t="shared" si="8"/>
        <v>Ver Imagen</v>
      </c>
      <c r="M478" t="s">
        <v>15</v>
      </c>
    </row>
    <row r="479" spans="1:13" x14ac:dyDescent="0.25">
      <c r="A479">
        <v>478</v>
      </c>
      <c r="B479" t="s">
        <v>968</v>
      </c>
      <c r="C479" s="1">
        <v>37.2436626832</v>
      </c>
      <c r="D479" s="1">
        <v>-7.1282148967500003</v>
      </c>
      <c r="E479" s="3">
        <v>2</v>
      </c>
      <c r="F479" s="2">
        <v>2</v>
      </c>
      <c r="G479" s="4">
        <v>2</v>
      </c>
      <c r="H479" s="13"/>
      <c r="I479" s="15"/>
      <c r="J479" s="19">
        <v>2</v>
      </c>
      <c r="K479" s="2" t="s">
        <v>969</v>
      </c>
      <c r="L479" s="11" t="str">
        <f t="shared" si="8"/>
        <v>Ver Imagen</v>
      </c>
      <c r="M479" t="s">
        <v>15</v>
      </c>
    </row>
    <row r="480" spans="1:13" x14ac:dyDescent="0.25">
      <c r="A480">
        <v>479</v>
      </c>
      <c r="B480" t="s">
        <v>970</v>
      </c>
      <c r="C480" s="1">
        <v>37.242450076899999</v>
      </c>
      <c r="D480" s="1">
        <v>-7.1283989743899996</v>
      </c>
      <c r="E480" s="3">
        <v>2</v>
      </c>
      <c r="F480" s="2">
        <v>2</v>
      </c>
      <c r="G480" s="4">
        <v>2</v>
      </c>
      <c r="H480" s="13"/>
      <c r="I480" s="15"/>
      <c r="J480" s="19">
        <v>2</v>
      </c>
      <c r="K480" s="2" t="s">
        <v>971</v>
      </c>
      <c r="L480" s="11" t="str">
        <f t="shared" si="8"/>
        <v>Ver Imagen</v>
      </c>
      <c r="M480" t="s">
        <v>15</v>
      </c>
    </row>
    <row r="481" spans="1:13" x14ac:dyDescent="0.25">
      <c r="A481">
        <v>480</v>
      </c>
      <c r="B481" t="s">
        <v>972</v>
      </c>
      <c r="C481" s="1">
        <v>37.2418773805</v>
      </c>
      <c r="D481" s="1">
        <v>-7.1284873436099998</v>
      </c>
      <c r="E481" s="3">
        <v>2</v>
      </c>
      <c r="F481" s="2">
        <v>2</v>
      </c>
      <c r="G481" s="4">
        <v>2</v>
      </c>
      <c r="H481" s="13"/>
      <c r="I481" s="15"/>
      <c r="J481" s="19">
        <v>2</v>
      </c>
      <c r="K481" s="2" t="s">
        <v>973</v>
      </c>
      <c r="L481" s="11" t="str">
        <f t="shared" si="8"/>
        <v>Ver Imagen</v>
      </c>
      <c r="M481" t="s">
        <v>15</v>
      </c>
    </row>
    <row r="482" spans="1:13" x14ac:dyDescent="0.25">
      <c r="A482">
        <v>481</v>
      </c>
      <c r="B482" t="s">
        <v>974</v>
      </c>
      <c r="C482" s="1">
        <v>37.241668603699999</v>
      </c>
      <c r="D482" s="1">
        <v>-7.1285178700599996</v>
      </c>
      <c r="E482" s="3">
        <v>2</v>
      </c>
      <c r="F482" s="2">
        <v>2</v>
      </c>
      <c r="G482" s="4">
        <v>2</v>
      </c>
      <c r="H482" s="13"/>
      <c r="I482" s="15"/>
      <c r="J482" s="19">
        <v>2</v>
      </c>
      <c r="K482" s="2" t="s">
        <v>975</v>
      </c>
      <c r="L482" s="11" t="str">
        <f t="shared" si="8"/>
        <v>Ver Imagen</v>
      </c>
      <c r="M482" t="s">
        <v>15</v>
      </c>
    </row>
    <row r="483" spans="1:13" x14ac:dyDescent="0.25">
      <c r="A483">
        <v>482</v>
      </c>
      <c r="B483" t="s">
        <v>976</v>
      </c>
      <c r="C483" s="1">
        <v>37.2414802511</v>
      </c>
      <c r="D483" s="1">
        <v>-7.1285433779299998</v>
      </c>
      <c r="E483" s="3">
        <v>2</v>
      </c>
      <c r="F483" s="2">
        <v>2</v>
      </c>
      <c r="G483" s="4">
        <v>2</v>
      </c>
      <c r="H483" s="13"/>
      <c r="I483" s="15"/>
      <c r="J483" s="19">
        <v>2</v>
      </c>
      <c r="K483" s="2" t="s">
        <v>977</v>
      </c>
      <c r="L483" s="11" t="str">
        <f t="shared" si="8"/>
        <v>Ver Imagen</v>
      </c>
      <c r="M483" t="s">
        <v>15</v>
      </c>
    </row>
    <row r="484" spans="1:13" x14ac:dyDescent="0.25">
      <c r="A484">
        <v>483</v>
      </c>
      <c r="B484" t="s">
        <v>978</v>
      </c>
      <c r="C484" s="1">
        <v>37.240031319499998</v>
      </c>
      <c r="D484" s="1">
        <v>-7.1285689695899999</v>
      </c>
      <c r="E484" s="3">
        <v>2</v>
      </c>
      <c r="F484" s="2">
        <v>2</v>
      </c>
      <c r="G484" s="4">
        <v>2</v>
      </c>
      <c r="H484" s="13"/>
      <c r="I484" s="15"/>
      <c r="J484" s="19">
        <v>2</v>
      </c>
      <c r="K484" s="2" t="s">
        <v>979</v>
      </c>
      <c r="L484" s="11" t="str">
        <f t="shared" si="8"/>
        <v>Ver Imagen</v>
      </c>
      <c r="M484" t="s">
        <v>15</v>
      </c>
    </row>
    <row r="485" spans="1:13" x14ac:dyDescent="0.25">
      <c r="A485">
        <v>484</v>
      </c>
      <c r="B485" t="s">
        <v>980</v>
      </c>
      <c r="C485" s="1">
        <v>37.239849724999999</v>
      </c>
      <c r="D485" s="1">
        <v>-7.1285542826099997</v>
      </c>
      <c r="E485" s="3">
        <v>2</v>
      </c>
      <c r="F485" s="2">
        <v>2</v>
      </c>
      <c r="G485" s="4">
        <v>2</v>
      </c>
      <c r="H485" s="13"/>
      <c r="I485" s="15"/>
      <c r="J485" s="19">
        <v>2</v>
      </c>
      <c r="K485" s="2" t="s">
        <v>981</v>
      </c>
      <c r="L485" s="11" t="str">
        <f t="shared" si="8"/>
        <v>Ver Imagen</v>
      </c>
      <c r="M485" t="s">
        <v>15</v>
      </c>
    </row>
    <row r="486" spans="1:13" x14ac:dyDescent="0.25">
      <c r="A486">
        <v>485</v>
      </c>
      <c r="B486" t="s">
        <v>982</v>
      </c>
      <c r="C486" s="1">
        <v>37.239444470800002</v>
      </c>
      <c r="D486" s="1">
        <v>-7.1285198222900004</v>
      </c>
      <c r="E486" s="3">
        <v>2</v>
      </c>
      <c r="F486" s="2">
        <v>2</v>
      </c>
      <c r="G486" s="4">
        <v>2</v>
      </c>
      <c r="H486" s="13"/>
      <c r="I486" s="15"/>
      <c r="J486" s="19">
        <v>2</v>
      </c>
      <c r="K486" s="2" t="s">
        <v>983</v>
      </c>
      <c r="L486" s="11" t="str">
        <f t="shared" si="8"/>
        <v>Ver Imagen</v>
      </c>
      <c r="M486" t="s">
        <v>15</v>
      </c>
    </row>
    <row r="487" spans="1:13" x14ac:dyDescent="0.25">
      <c r="A487">
        <v>486</v>
      </c>
      <c r="B487" t="s">
        <v>984</v>
      </c>
      <c r="C487" s="1">
        <v>37.239270606600002</v>
      </c>
      <c r="D487" s="1">
        <v>-7.1285033321600002</v>
      </c>
      <c r="E487" s="3">
        <v>2</v>
      </c>
      <c r="F487" s="2">
        <v>2</v>
      </c>
      <c r="G487" s="4">
        <v>2</v>
      </c>
      <c r="H487" s="13"/>
      <c r="I487" s="15"/>
      <c r="J487" s="19">
        <v>2</v>
      </c>
      <c r="K487" s="2" t="s">
        <v>985</v>
      </c>
      <c r="L487" s="11" t="str">
        <f t="shared" si="8"/>
        <v>Ver Imagen</v>
      </c>
      <c r="M487" t="s">
        <v>15</v>
      </c>
    </row>
    <row r="488" spans="1:13" x14ac:dyDescent="0.25">
      <c r="A488">
        <v>487</v>
      </c>
      <c r="B488" t="s">
        <v>986</v>
      </c>
      <c r="C488" s="1">
        <v>37.239037025999998</v>
      </c>
      <c r="D488" s="1">
        <v>-7.12847911291</v>
      </c>
      <c r="E488" s="3">
        <v>2</v>
      </c>
      <c r="F488" s="2">
        <v>2</v>
      </c>
      <c r="G488" s="4">
        <v>2</v>
      </c>
      <c r="H488" s="13"/>
      <c r="I488" s="15"/>
      <c r="J488" s="19">
        <v>2</v>
      </c>
      <c r="K488" s="2" t="s">
        <v>987</v>
      </c>
      <c r="L488" s="11" t="str">
        <f t="shared" si="8"/>
        <v>Ver Imagen</v>
      </c>
      <c r="M488" t="s">
        <v>15</v>
      </c>
    </row>
    <row r="489" spans="1:13" x14ac:dyDescent="0.25">
      <c r="A489">
        <v>488</v>
      </c>
      <c r="B489" t="s">
        <v>988</v>
      </c>
      <c r="C489" s="1">
        <v>37.2388544517</v>
      </c>
      <c r="D489" s="1">
        <v>-7.1284597161600001</v>
      </c>
      <c r="E489" s="3">
        <v>2</v>
      </c>
      <c r="F489" s="2">
        <v>2</v>
      </c>
      <c r="G489" s="4">
        <v>2</v>
      </c>
      <c r="H489" s="13"/>
      <c r="I489" s="15"/>
      <c r="J489" s="19">
        <v>2</v>
      </c>
      <c r="K489" s="2" t="s">
        <v>989</v>
      </c>
      <c r="L489" s="11" t="str">
        <f t="shared" si="8"/>
        <v>Ver Imagen</v>
      </c>
      <c r="M489" t="s">
        <v>15</v>
      </c>
    </row>
    <row r="490" spans="1:13" x14ac:dyDescent="0.25">
      <c r="A490">
        <v>489</v>
      </c>
      <c r="B490" t="s">
        <v>990</v>
      </c>
      <c r="C490" s="1">
        <v>37.237005673399999</v>
      </c>
      <c r="D490" s="1">
        <v>-7.1282790658000001</v>
      </c>
      <c r="E490" s="3">
        <v>2</v>
      </c>
      <c r="F490" s="2">
        <v>2</v>
      </c>
      <c r="G490" s="4">
        <v>2</v>
      </c>
      <c r="H490" s="13"/>
      <c r="I490" s="15"/>
      <c r="J490" s="19">
        <v>2</v>
      </c>
      <c r="K490" s="2" t="s">
        <v>991</v>
      </c>
      <c r="L490" s="11" t="str">
        <f t="shared" si="8"/>
        <v>Ver Imagen</v>
      </c>
      <c r="M490" t="s">
        <v>15</v>
      </c>
    </row>
    <row r="491" spans="1:13" x14ac:dyDescent="0.25">
      <c r="A491">
        <v>490</v>
      </c>
      <c r="B491" t="s">
        <v>992</v>
      </c>
      <c r="C491" s="1">
        <v>37.236817737999999</v>
      </c>
      <c r="D491" s="1">
        <v>-7.1282619305899999</v>
      </c>
      <c r="E491" s="3">
        <v>2</v>
      </c>
      <c r="F491" s="2">
        <v>2</v>
      </c>
      <c r="G491" s="4">
        <v>2</v>
      </c>
      <c r="H491" s="13"/>
      <c r="I491" s="15"/>
      <c r="J491" s="19">
        <v>2</v>
      </c>
      <c r="K491" s="2" t="s">
        <v>993</v>
      </c>
      <c r="L491" s="11" t="str">
        <f t="shared" si="8"/>
        <v>Ver Imagen</v>
      </c>
      <c r="M491" t="s">
        <v>15</v>
      </c>
    </row>
    <row r="492" spans="1:13" x14ac:dyDescent="0.25">
      <c r="A492">
        <v>491</v>
      </c>
      <c r="B492" t="s">
        <v>994</v>
      </c>
      <c r="C492" s="1">
        <v>37.236003557899998</v>
      </c>
      <c r="D492" s="1">
        <v>-7.1281852411699997</v>
      </c>
      <c r="E492" s="3">
        <v>2</v>
      </c>
      <c r="F492" s="2">
        <v>2</v>
      </c>
      <c r="G492" s="4">
        <v>2</v>
      </c>
      <c r="H492" s="13"/>
      <c r="I492" s="15"/>
      <c r="J492" s="19">
        <v>2</v>
      </c>
      <c r="K492" s="2" t="s">
        <v>995</v>
      </c>
      <c r="L492" s="11" t="str">
        <f t="shared" si="8"/>
        <v>Ver Imagen</v>
      </c>
      <c r="M492" t="s">
        <v>15</v>
      </c>
    </row>
    <row r="493" spans="1:13" x14ac:dyDescent="0.25">
      <c r="A493">
        <v>492</v>
      </c>
      <c r="B493" t="s">
        <v>996</v>
      </c>
      <c r="C493" s="1">
        <v>37.235800427299999</v>
      </c>
      <c r="D493" s="1">
        <v>-7.1281613723100001</v>
      </c>
      <c r="E493" s="3">
        <v>2</v>
      </c>
      <c r="F493" s="2">
        <v>2</v>
      </c>
      <c r="G493" s="4">
        <v>2</v>
      </c>
      <c r="H493" s="13"/>
      <c r="I493" s="15"/>
      <c r="J493" s="19">
        <v>2</v>
      </c>
      <c r="K493" s="2" t="s">
        <v>997</v>
      </c>
      <c r="L493" s="11" t="str">
        <f t="shared" si="8"/>
        <v>Ver Imagen</v>
      </c>
      <c r="M493" t="s">
        <v>15</v>
      </c>
    </row>
    <row r="494" spans="1:13" x14ac:dyDescent="0.25">
      <c r="A494">
        <v>493</v>
      </c>
      <c r="B494" t="s">
        <v>998</v>
      </c>
      <c r="C494" s="1">
        <v>37.235627440499997</v>
      </c>
      <c r="D494" s="1">
        <v>-7.12813649885</v>
      </c>
      <c r="E494" s="3">
        <v>2</v>
      </c>
      <c r="F494" s="2">
        <v>2</v>
      </c>
      <c r="G494" s="4">
        <v>2</v>
      </c>
      <c r="H494" s="13"/>
      <c r="I494" s="15"/>
      <c r="J494" s="19">
        <v>2</v>
      </c>
      <c r="K494" s="2" t="s">
        <v>999</v>
      </c>
      <c r="L494" s="11" t="str">
        <f t="shared" si="8"/>
        <v>Ver Imagen</v>
      </c>
      <c r="M494" t="s">
        <v>15</v>
      </c>
    </row>
    <row r="495" spans="1:13" x14ac:dyDescent="0.25">
      <c r="A495">
        <v>494</v>
      </c>
      <c r="B495" t="s">
        <v>1000</v>
      </c>
      <c r="C495" s="1">
        <v>37.235218913700002</v>
      </c>
      <c r="D495" s="1">
        <v>-7.1280424193999998</v>
      </c>
      <c r="E495" s="3">
        <v>2</v>
      </c>
      <c r="F495" s="2">
        <v>2</v>
      </c>
      <c r="G495" s="4">
        <v>2</v>
      </c>
      <c r="H495" s="13"/>
      <c r="I495" s="15"/>
      <c r="J495" s="19">
        <v>2</v>
      </c>
      <c r="K495" s="2" t="s">
        <v>1001</v>
      </c>
      <c r="L495" s="11" t="str">
        <f t="shared" si="8"/>
        <v>Ver Imagen</v>
      </c>
      <c r="M495" t="s">
        <v>15</v>
      </c>
    </row>
    <row r="496" spans="1:13" x14ac:dyDescent="0.25">
      <c r="A496">
        <v>495</v>
      </c>
      <c r="B496" t="s">
        <v>1002</v>
      </c>
      <c r="C496" s="1">
        <v>37.235006968199997</v>
      </c>
      <c r="D496" s="1">
        <v>-7.1279666306199996</v>
      </c>
      <c r="E496" s="3">
        <v>2</v>
      </c>
      <c r="F496" s="2">
        <v>2</v>
      </c>
      <c r="G496" s="4">
        <v>2</v>
      </c>
      <c r="H496" s="13"/>
      <c r="I496" s="15"/>
      <c r="J496" s="19">
        <v>2</v>
      </c>
      <c r="K496" s="2" t="s">
        <v>1003</v>
      </c>
      <c r="L496" s="11" t="str">
        <f t="shared" si="8"/>
        <v>Ver Imagen</v>
      </c>
      <c r="M496" t="s">
        <v>15</v>
      </c>
    </row>
    <row r="497" spans="1:13" x14ac:dyDescent="0.25">
      <c r="A497">
        <v>496</v>
      </c>
      <c r="B497" t="s">
        <v>1004</v>
      </c>
      <c r="C497" s="1">
        <v>37.234430269999997</v>
      </c>
      <c r="D497" s="1">
        <v>-7.1277081355299998</v>
      </c>
      <c r="E497" s="3">
        <v>2</v>
      </c>
      <c r="F497" s="2">
        <v>2</v>
      </c>
      <c r="G497" s="4">
        <v>2</v>
      </c>
      <c r="H497" s="13"/>
      <c r="I497" s="15"/>
      <c r="J497" s="19">
        <v>2</v>
      </c>
      <c r="K497" s="2" t="s">
        <v>1005</v>
      </c>
      <c r="L497" s="11" t="str">
        <f t="shared" si="8"/>
        <v>Ver Imagen</v>
      </c>
      <c r="M497" t="s">
        <v>15</v>
      </c>
    </row>
    <row r="498" spans="1:13" x14ac:dyDescent="0.25">
      <c r="A498">
        <v>497</v>
      </c>
      <c r="B498" t="s">
        <v>1006</v>
      </c>
      <c r="C498" s="1">
        <v>37.234261660199998</v>
      </c>
      <c r="D498" s="1">
        <v>-7.1276292273799999</v>
      </c>
      <c r="E498" s="3">
        <v>2</v>
      </c>
      <c r="F498" s="2">
        <v>2</v>
      </c>
      <c r="G498" s="4">
        <v>2</v>
      </c>
      <c r="H498" s="13"/>
      <c r="I498" s="15"/>
      <c r="J498" s="19">
        <v>2</v>
      </c>
      <c r="K498" s="2" t="s">
        <v>1007</v>
      </c>
      <c r="L498" s="11" t="str">
        <f t="shared" si="8"/>
        <v>Ver Imagen</v>
      </c>
      <c r="M498" t="s">
        <v>15</v>
      </c>
    </row>
    <row r="499" spans="1:13" x14ac:dyDescent="0.25">
      <c r="A499">
        <v>498</v>
      </c>
      <c r="B499" t="s">
        <v>1008</v>
      </c>
      <c r="C499" s="1">
        <v>37.234059845399997</v>
      </c>
      <c r="D499" s="1">
        <v>-7.12753814612</v>
      </c>
      <c r="E499" s="3">
        <v>2</v>
      </c>
      <c r="F499" s="2">
        <v>2</v>
      </c>
      <c r="G499" s="4">
        <v>2</v>
      </c>
      <c r="H499" s="13"/>
      <c r="I499" s="15"/>
      <c r="J499" s="19">
        <v>2</v>
      </c>
      <c r="K499" s="2" t="s">
        <v>1009</v>
      </c>
      <c r="L499" s="11" t="str">
        <f t="shared" si="8"/>
        <v>Ver Imagen</v>
      </c>
      <c r="M499" t="s">
        <v>15</v>
      </c>
    </row>
    <row r="500" spans="1:13" x14ac:dyDescent="0.25">
      <c r="A500">
        <v>499</v>
      </c>
      <c r="B500" t="s">
        <v>1010</v>
      </c>
      <c r="C500" s="1">
        <v>37.233849446800001</v>
      </c>
      <c r="D500" s="1">
        <v>-7.1274524461400004</v>
      </c>
      <c r="E500" s="3">
        <v>2</v>
      </c>
      <c r="F500" s="2">
        <v>2</v>
      </c>
      <c r="G500" s="4">
        <v>2</v>
      </c>
      <c r="H500" s="13"/>
      <c r="I500" s="15"/>
      <c r="J500" s="19">
        <v>2</v>
      </c>
      <c r="K500" s="2" t="s">
        <v>1011</v>
      </c>
      <c r="L500" s="11" t="str">
        <f t="shared" si="8"/>
        <v>Ver Imagen</v>
      </c>
      <c r="M500" t="s">
        <v>15</v>
      </c>
    </row>
    <row r="501" spans="1:13" x14ac:dyDescent="0.25">
      <c r="A501">
        <v>500</v>
      </c>
      <c r="B501" t="s">
        <v>1012</v>
      </c>
      <c r="C501" s="1">
        <v>37.2337044386</v>
      </c>
      <c r="D501" s="1">
        <v>-7.12740180636</v>
      </c>
      <c r="E501" s="3">
        <v>2</v>
      </c>
      <c r="F501" s="2">
        <v>2</v>
      </c>
      <c r="G501" s="4">
        <v>2</v>
      </c>
      <c r="H501" s="13"/>
      <c r="I501" s="15"/>
      <c r="J501" s="19">
        <v>2</v>
      </c>
      <c r="K501" s="2" t="s">
        <v>1013</v>
      </c>
      <c r="L501" s="11" t="str">
        <f t="shared" si="8"/>
        <v>Ver Imagen</v>
      </c>
      <c r="M501" t="s">
        <v>15</v>
      </c>
    </row>
    <row r="502" spans="1:13" x14ac:dyDescent="0.25">
      <c r="A502">
        <v>501</v>
      </c>
      <c r="B502" t="s">
        <v>1014</v>
      </c>
      <c r="C502" s="1">
        <v>37.233485663400003</v>
      </c>
      <c r="D502" s="1">
        <v>-7.1273383430699999</v>
      </c>
      <c r="E502" s="3">
        <v>2</v>
      </c>
      <c r="F502" s="2">
        <v>2</v>
      </c>
      <c r="G502" s="4">
        <v>2</v>
      </c>
      <c r="H502" s="13"/>
      <c r="I502" s="15"/>
      <c r="J502" s="19">
        <v>2</v>
      </c>
      <c r="K502" s="2" t="s">
        <v>1015</v>
      </c>
      <c r="L502" s="11" t="str">
        <f t="shared" si="8"/>
        <v>Ver Imagen</v>
      </c>
      <c r="M502" t="s">
        <v>15</v>
      </c>
    </row>
    <row r="503" spans="1:13" x14ac:dyDescent="0.25">
      <c r="A503">
        <v>502</v>
      </c>
      <c r="B503" t="s">
        <v>1016</v>
      </c>
      <c r="C503" s="1">
        <v>37.2332892417</v>
      </c>
      <c r="D503" s="1">
        <v>-7.1272926937900003</v>
      </c>
      <c r="E503" s="3">
        <v>2</v>
      </c>
      <c r="F503" s="2">
        <v>2</v>
      </c>
      <c r="G503" s="4">
        <v>2</v>
      </c>
      <c r="H503" s="13"/>
      <c r="I503" s="15"/>
      <c r="J503" s="19">
        <v>2</v>
      </c>
      <c r="K503" s="2" t="s">
        <v>1017</v>
      </c>
      <c r="L503" s="11" t="str">
        <f t="shared" si="8"/>
        <v>Ver Imagen</v>
      </c>
      <c r="M503" t="s">
        <v>15</v>
      </c>
    </row>
    <row r="504" spans="1:13" x14ac:dyDescent="0.25">
      <c r="A504">
        <v>503</v>
      </c>
      <c r="B504" t="s">
        <v>1018</v>
      </c>
      <c r="C504" s="1">
        <v>37.233115831799999</v>
      </c>
      <c r="D504" s="1">
        <v>-7.1272602335800004</v>
      </c>
      <c r="E504" s="3">
        <v>2</v>
      </c>
      <c r="F504" s="2">
        <v>2</v>
      </c>
      <c r="G504" s="4">
        <v>2</v>
      </c>
      <c r="H504" s="13"/>
      <c r="I504" s="15"/>
      <c r="J504" s="19">
        <v>2</v>
      </c>
      <c r="K504" s="2" t="s">
        <v>1019</v>
      </c>
      <c r="L504" s="11" t="str">
        <f t="shared" si="8"/>
        <v>Ver Imagen</v>
      </c>
      <c r="M504" t="s">
        <v>15</v>
      </c>
    </row>
    <row r="505" spans="1:13" x14ac:dyDescent="0.25">
      <c r="A505">
        <v>504</v>
      </c>
      <c r="B505" t="s">
        <v>1020</v>
      </c>
      <c r="C505" s="1">
        <v>37.232679712100001</v>
      </c>
      <c r="D505" s="1">
        <v>-7.1272015601799996</v>
      </c>
      <c r="E505" s="3">
        <v>2</v>
      </c>
      <c r="F505" s="2">
        <v>2</v>
      </c>
      <c r="G505" s="4">
        <v>2</v>
      </c>
      <c r="H505" s="13"/>
      <c r="I505" s="15"/>
      <c r="J505" s="19">
        <v>2</v>
      </c>
      <c r="K505" s="2" t="s">
        <v>1021</v>
      </c>
      <c r="L505" s="11" t="str">
        <f t="shared" si="8"/>
        <v>Ver Imagen</v>
      </c>
      <c r="M505" t="s">
        <v>15</v>
      </c>
    </row>
    <row r="506" spans="1:13" x14ac:dyDescent="0.25">
      <c r="A506">
        <v>505</v>
      </c>
      <c r="B506" t="s">
        <v>1022</v>
      </c>
      <c r="C506" s="1">
        <v>37.232498563299998</v>
      </c>
      <c r="D506" s="1">
        <v>-7.1271826058099998</v>
      </c>
      <c r="E506" s="3">
        <v>2</v>
      </c>
      <c r="F506" s="2">
        <v>2</v>
      </c>
      <c r="G506" s="4">
        <v>2</v>
      </c>
      <c r="H506" s="13"/>
      <c r="I506" s="15"/>
      <c r="J506" s="19">
        <v>2</v>
      </c>
      <c r="K506" s="2" t="s">
        <v>1023</v>
      </c>
      <c r="L506" s="11" t="str">
        <f t="shared" si="8"/>
        <v>Ver Imagen</v>
      </c>
      <c r="M506" t="s">
        <v>15</v>
      </c>
    </row>
    <row r="507" spans="1:13" x14ac:dyDescent="0.25">
      <c r="A507">
        <v>506</v>
      </c>
      <c r="B507" t="s">
        <v>1024</v>
      </c>
      <c r="C507" s="1">
        <v>37.232290195499999</v>
      </c>
      <c r="D507" s="1">
        <v>-7.12716383246</v>
      </c>
      <c r="E507" s="3">
        <v>2</v>
      </c>
      <c r="F507" s="2">
        <v>2</v>
      </c>
      <c r="G507" s="4">
        <v>2</v>
      </c>
      <c r="H507" s="13"/>
      <c r="I507" s="15"/>
      <c r="J507" s="19">
        <v>2</v>
      </c>
      <c r="K507" s="2" t="s">
        <v>1025</v>
      </c>
      <c r="L507" s="11" t="str">
        <f t="shared" si="8"/>
        <v>Ver Imagen</v>
      </c>
      <c r="M507" t="s">
        <v>15</v>
      </c>
    </row>
    <row r="508" spans="1:13" x14ac:dyDescent="0.25">
      <c r="A508">
        <v>507</v>
      </c>
      <c r="B508" t="s">
        <v>1026</v>
      </c>
      <c r="C508" s="1">
        <v>37.232047198499998</v>
      </c>
      <c r="D508" s="1">
        <v>-7.1271433326500002</v>
      </c>
      <c r="E508" s="3">
        <v>2</v>
      </c>
      <c r="F508" s="2">
        <v>2</v>
      </c>
      <c r="G508" s="4">
        <v>2</v>
      </c>
      <c r="H508" s="13"/>
      <c r="I508" s="15"/>
      <c r="J508" s="19">
        <v>2</v>
      </c>
      <c r="K508" s="2" t="s">
        <v>1027</v>
      </c>
      <c r="L508" s="11" t="str">
        <f t="shared" si="8"/>
        <v>Ver Imagen</v>
      </c>
      <c r="M508" t="s">
        <v>15</v>
      </c>
    </row>
    <row r="509" spans="1:13" x14ac:dyDescent="0.25">
      <c r="A509">
        <v>508</v>
      </c>
      <c r="B509" t="s">
        <v>1028</v>
      </c>
      <c r="C509" s="1">
        <v>37.2318654786</v>
      </c>
      <c r="D509" s="1">
        <v>-7.1271281701999998</v>
      </c>
      <c r="E509" s="3">
        <v>2</v>
      </c>
      <c r="F509" s="2">
        <v>2</v>
      </c>
      <c r="G509" s="4">
        <v>2</v>
      </c>
      <c r="H509" s="13"/>
      <c r="I509" s="15"/>
      <c r="J509" s="19">
        <v>2</v>
      </c>
      <c r="K509" s="2" t="s">
        <v>1029</v>
      </c>
      <c r="L509" s="11" t="str">
        <f t="shared" si="8"/>
        <v>Ver Imagen</v>
      </c>
      <c r="M509" t="s">
        <v>15</v>
      </c>
    </row>
    <row r="510" spans="1:13" x14ac:dyDescent="0.25">
      <c r="A510">
        <v>509</v>
      </c>
      <c r="B510" t="s">
        <v>1030</v>
      </c>
      <c r="C510" s="1">
        <v>37.230214129499998</v>
      </c>
      <c r="D510" s="1">
        <v>-7.1269812000700004</v>
      </c>
      <c r="E510" s="3">
        <v>2</v>
      </c>
      <c r="F510" s="2">
        <v>2</v>
      </c>
      <c r="G510" s="4">
        <v>2</v>
      </c>
      <c r="H510" s="13"/>
      <c r="I510" s="15"/>
      <c r="J510" s="19">
        <v>2</v>
      </c>
      <c r="K510" s="2" t="s">
        <v>1031</v>
      </c>
      <c r="L510" s="11" t="str">
        <f t="shared" si="8"/>
        <v>Ver Imagen</v>
      </c>
      <c r="M510" t="s">
        <v>15</v>
      </c>
    </row>
    <row r="511" spans="1:13" x14ac:dyDescent="0.25">
      <c r="A511">
        <v>510</v>
      </c>
      <c r="B511" t="s">
        <v>1032</v>
      </c>
      <c r="C511" s="1">
        <v>37.230042247299998</v>
      </c>
      <c r="D511" s="1">
        <v>-7.1269649388299996</v>
      </c>
      <c r="E511" s="3">
        <v>2</v>
      </c>
      <c r="F511" s="2">
        <v>2</v>
      </c>
      <c r="G511" s="4">
        <v>2</v>
      </c>
      <c r="H511" s="13"/>
      <c r="I511" s="15"/>
      <c r="J511" s="19">
        <v>2</v>
      </c>
      <c r="K511" s="2" t="s">
        <v>1033</v>
      </c>
      <c r="L511" s="11" t="str">
        <f t="shared" si="8"/>
        <v>Ver Imagen</v>
      </c>
      <c r="M511" t="s">
        <v>15</v>
      </c>
    </row>
    <row r="512" spans="1:13" x14ac:dyDescent="0.25">
      <c r="A512">
        <v>511</v>
      </c>
      <c r="B512" t="s">
        <v>1034</v>
      </c>
      <c r="C512" s="1">
        <v>37.222991116300001</v>
      </c>
      <c r="D512" s="1">
        <v>-7.1250117829099997</v>
      </c>
      <c r="E512" s="3">
        <v>2</v>
      </c>
      <c r="F512" s="2">
        <v>2</v>
      </c>
      <c r="G512" s="4">
        <v>2</v>
      </c>
      <c r="H512" s="13"/>
      <c r="I512" s="15"/>
      <c r="J512" s="19">
        <v>2</v>
      </c>
      <c r="K512" s="2" t="s">
        <v>1035</v>
      </c>
      <c r="L512" s="11" t="str">
        <f t="shared" si="8"/>
        <v>Ver Imagen</v>
      </c>
      <c r="M512" t="s">
        <v>15</v>
      </c>
    </row>
    <row r="513" spans="1:13" x14ac:dyDescent="0.25">
      <c r="A513">
        <v>512</v>
      </c>
      <c r="B513" t="s">
        <v>1036</v>
      </c>
      <c r="C513" s="1">
        <v>37.222367905900001</v>
      </c>
      <c r="D513" s="1">
        <v>-7.1250660343399996</v>
      </c>
      <c r="E513" s="3">
        <v>2</v>
      </c>
      <c r="F513" s="2">
        <v>2</v>
      </c>
      <c r="G513" s="4">
        <v>2</v>
      </c>
      <c r="H513" s="13"/>
      <c r="I513" s="15"/>
      <c r="J513" s="19">
        <v>2</v>
      </c>
      <c r="K513" s="2" t="s">
        <v>1037</v>
      </c>
      <c r="L513" s="11" t="str">
        <f t="shared" si="8"/>
        <v>Ver Imagen</v>
      </c>
      <c r="M513" t="s">
        <v>15</v>
      </c>
    </row>
    <row r="514" spans="1:13" x14ac:dyDescent="0.25">
      <c r="A514">
        <v>513</v>
      </c>
      <c r="B514" t="s">
        <v>1038</v>
      </c>
      <c r="C514" s="1">
        <v>37.222168398100003</v>
      </c>
      <c r="D514" s="1">
        <v>-7.1251072002000004</v>
      </c>
      <c r="E514" s="3">
        <v>2</v>
      </c>
      <c r="F514" s="2">
        <v>2</v>
      </c>
      <c r="G514" s="4">
        <v>2</v>
      </c>
      <c r="H514" s="13"/>
      <c r="I514" s="15"/>
      <c r="J514" s="19">
        <v>2</v>
      </c>
      <c r="K514" s="2" t="s">
        <v>1039</v>
      </c>
      <c r="L514" s="11" t="str">
        <f t="shared" si="8"/>
        <v>Ver Imagen</v>
      </c>
      <c r="M514" t="s">
        <v>15</v>
      </c>
    </row>
    <row r="515" spans="1:13" x14ac:dyDescent="0.25">
      <c r="A515">
        <v>514</v>
      </c>
      <c r="B515" t="s">
        <v>1040</v>
      </c>
      <c r="C515" s="1">
        <v>37.443823414400001</v>
      </c>
      <c r="D515" s="1">
        <v>-7.0966979756599997</v>
      </c>
      <c r="E515" s="3">
        <v>2</v>
      </c>
      <c r="F515" s="2">
        <v>2</v>
      </c>
      <c r="G515" s="4">
        <v>2</v>
      </c>
      <c r="H515" s="13"/>
      <c r="I515" s="15"/>
      <c r="J515" s="19">
        <v>2</v>
      </c>
      <c r="K515" s="2" t="s">
        <v>1041</v>
      </c>
      <c r="L515" s="11" t="str">
        <f t="shared" si="8"/>
        <v>Ver Imagen</v>
      </c>
      <c r="M515" t="s">
        <v>15</v>
      </c>
    </row>
    <row r="516" spans="1:13" x14ac:dyDescent="0.25">
      <c r="A516">
        <v>515</v>
      </c>
      <c r="B516" t="s">
        <v>1042</v>
      </c>
      <c r="C516" s="1">
        <v>37.443150302799999</v>
      </c>
      <c r="D516" s="1">
        <v>-7.09484888193</v>
      </c>
      <c r="E516" s="3">
        <v>2</v>
      </c>
      <c r="F516" s="2">
        <v>2</v>
      </c>
      <c r="G516" s="4">
        <v>2</v>
      </c>
      <c r="H516" s="13"/>
      <c r="I516" s="15"/>
      <c r="J516" s="19">
        <v>2</v>
      </c>
      <c r="K516" s="2" t="s">
        <v>1043</v>
      </c>
      <c r="L516" s="11" t="str">
        <f t="shared" si="8"/>
        <v>Ver Imagen</v>
      </c>
      <c r="M516" t="s">
        <v>15</v>
      </c>
    </row>
    <row r="517" spans="1:13" x14ac:dyDescent="0.25">
      <c r="A517">
        <v>516</v>
      </c>
      <c r="B517" t="s">
        <v>1044</v>
      </c>
      <c r="C517" s="1">
        <v>37.442538292899997</v>
      </c>
      <c r="D517" s="1">
        <v>-7.0932537736399999</v>
      </c>
      <c r="E517" s="3">
        <v>2</v>
      </c>
      <c r="F517" s="2">
        <v>2</v>
      </c>
      <c r="G517" s="4">
        <v>2</v>
      </c>
      <c r="H517" s="13"/>
      <c r="I517" s="15"/>
      <c r="J517" s="19">
        <v>2</v>
      </c>
      <c r="K517" s="2" t="s">
        <v>1045</v>
      </c>
      <c r="L517" s="11" t="str">
        <f t="shared" si="8"/>
        <v>Ver Imagen</v>
      </c>
      <c r="M517" t="s">
        <v>15</v>
      </c>
    </row>
    <row r="518" spans="1:13" x14ac:dyDescent="0.25">
      <c r="A518">
        <v>517</v>
      </c>
      <c r="B518" t="s">
        <v>1046</v>
      </c>
      <c r="C518" s="1">
        <v>37.442279521400003</v>
      </c>
      <c r="D518" s="1">
        <v>-7.09259031694</v>
      </c>
      <c r="E518" s="3">
        <v>2</v>
      </c>
      <c r="F518" s="2">
        <v>2</v>
      </c>
      <c r="G518" s="4">
        <v>2</v>
      </c>
      <c r="H518" s="13"/>
      <c r="I518" s="15"/>
      <c r="J518" s="19">
        <v>2</v>
      </c>
      <c r="K518" s="2" t="s">
        <v>1047</v>
      </c>
      <c r="L518" s="11" t="str">
        <f t="shared" si="8"/>
        <v>Ver Imagen</v>
      </c>
      <c r="M518" t="s">
        <v>15</v>
      </c>
    </row>
    <row r="519" spans="1:13" x14ac:dyDescent="0.25">
      <c r="A519">
        <v>518</v>
      </c>
      <c r="B519" t="s">
        <v>1048</v>
      </c>
      <c r="C519" s="1">
        <v>37.436433871200002</v>
      </c>
      <c r="D519" s="1">
        <v>-7.0782327668300002</v>
      </c>
      <c r="E519" s="3">
        <v>2</v>
      </c>
      <c r="F519" s="2">
        <v>2</v>
      </c>
      <c r="G519" s="4">
        <v>2</v>
      </c>
      <c r="H519" s="13"/>
      <c r="I519" s="15"/>
      <c r="J519" s="19">
        <v>2</v>
      </c>
      <c r="K519" s="2" t="s">
        <v>1049</v>
      </c>
      <c r="L519" s="11" t="str">
        <f t="shared" si="8"/>
        <v>Ver Imagen</v>
      </c>
      <c r="M519" t="s">
        <v>15</v>
      </c>
    </row>
    <row r="520" spans="1:13" x14ac:dyDescent="0.25">
      <c r="A520">
        <v>519</v>
      </c>
      <c r="B520" t="s">
        <v>1050</v>
      </c>
      <c r="C520" s="1">
        <v>37.436277896299998</v>
      </c>
      <c r="D520" s="1">
        <v>-7.0777901296800003</v>
      </c>
      <c r="E520" s="3">
        <v>2</v>
      </c>
      <c r="F520" s="2">
        <v>2</v>
      </c>
      <c r="G520" s="4">
        <v>2</v>
      </c>
      <c r="H520" s="13"/>
      <c r="I520" s="15"/>
      <c r="J520" s="19">
        <v>2</v>
      </c>
      <c r="K520" s="2" t="s">
        <v>1051</v>
      </c>
      <c r="L520" s="11" t="str">
        <f t="shared" si="8"/>
        <v>Ver Imagen</v>
      </c>
      <c r="M520" t="s">
        <v>15</v>
      </c>
    </row>
    <row r="521" spans="1:13" x14ac:dyDescent="0.25">
      <c r="A521">
        <v>520</v>
      </c>
      <c r="B521" t="s">
        <v>1052</v>
      </c>
      <c r="C521" s="1">
        <v>37.436200732099998</v>
      </c>
      <c r="D521" s="1">
        <v>-7.07756880101</v>
      </c>
      <c r="E521" s="3">
        <v>2</v>
      </c>
      <c r="F521" s="2">
        <v>2</v>
      </c>
      <c r="G521" s="4">
        <v>2</v>
      </c>
      <c r="H521" s="13"/>
      <c r="I521" s="15"/>
      <c r="J521" s="19">
        <v>2</v>
      </c>
      <c r="K521" s="2" t="s">
        <v>1053</v>
      </c>
      <c r="L521" s="11" t="str">
        <f t="shared" ref="L521:L584" si="9">HYPERLINK("2\0\" &amp; K521, "Ver Imagen")</f>
        <v>Ver Imagen</v>
      </c>
      <c r="M521" t="s">
        <v>15</v>
      </c>
    </row>
    <row r="522" spans="1:13" x14ac:dyDescent="0.25">
      <c r="A522">
        <v>521</v>
      </c>
      <c r="B522" t="s">
        <v>1054</v>
      </c>
      <c r="C522" s="1">
        <v>37.221804818099997</v>
      </c>
      <c r="D522" s="1">
        <v>-7.05494013698</v>
      </c>
      <c r="E522" s="3">
        <v>2</v>
      </c>
      <c r="F522" s="2">
        <v>2</v>
      </c>
      <c r="G522" s="4">
        <v>2</v>
      </c>
      <c r="H522" s="13"/>
      <c r="I522" s="15"/>
      <c r="J522" s="19">
        <v>2</v>
      </c>
      <c r="K522" s="2" t="s">
        <v>1055</v>
      </c>
      <c r="L522" s="11" t="str">
        <f t="shared" si="9"/>
        <v>Ver Imagen</v>
      </c>
      <c r="M522" t="s">
        <v>15</v>
      </c>
    </row>
    <row r="523" spans="1:13" x14ac:dyDescent="0.25">
      <c r="A523">
        <v>522</v>
      </c>
      <c r="B523" t="s">
        <v>1056</v>
      </c>
      <c r="C523" s="1">
        <v>37.222098662400001</v>
      </c>
      <c r="D523" s="1">
        <v>-7.055281388</v>
      </c>
      <c r="E523" s="3">
        <v>2</v>
      </c>
      <c r="F523" s="2">
        <v>2</v>
      </c>
      <c r="G523" s="4">
        <v>2</v>
      </c>
      <c r="H523" s="13"/>
      <c r="I523" s="15"/>
      <c r="J523" s="19">
        <v>2</v>
      </c>
      <c r="K523" s="2" t="s">
        <v>1057</v>
      </c>
      <c r="L523" s="11" t="str">
        <f t="shared" si="9"/>
        <v>Ver Imagen</v>
      </c>
      <c r="M523" t="s">
        <v>15</v>
      </c>
    </row>
    <row r="524" spans="1:13" x14ac:dyDescent="0.25">
      <c r="A524">
        <v>523</v>
      </c>
      <c r="B524" t="s">
        <v>1058</v>
      </c>
      <c r="C524" s="1">
        <v>37.223211224400004</v>
      </c>
      <c r="D524" s="1">
        <v>-7.0558947869099997</v>
      </c>
      <c r="E524" s="3">
        <v>2</v>
      </c>
      <c r="F524" s="2">
        <v>2</v>
      </c>
      <c r="G524" s="4">
        <v>2</v>
      </c>
      <c r="H524" s="13"/>
      <c r="I524" s="15"/>
      <c r="J524" s="19">
        <v>2</v>
      </c>
      <c r="K524" s="2" t="s">
        <v>1059</v>
      </c>
      <c r="L524" s="11" t="str">
        <f t="shared" si="9"/>
        <v>Ver Imagen</v>
      </c>
      <c r="M524" t="s">
        <v>15</v>
      </c>
    </row>
    <row r="525" spans="1:13" x14ac:dyDescent="0.25">
      <c r="A525">
        <v>524</v>
      </c>
      <c r="B525" t="s">
        <v>1060</v>
      </c>
      <c r="C525" s="1">
        <v>37.2237814203</v>
      </c>
      <c r="D525" s="1">
        <v>-7.05615941728</v>
      </c>
      <c r="E525" s="3">
        <v>2</v>
      </c>
      <c r="F525" s="2">
        <v>2</v>
      </c>
      <c r="G525" s="4">
        <v>2</v>
      </c>
      <c r="H525" s="13"/>
      <c r="I525" s="15"/>
      <c r="J525" s="19">
        <v>2</v>
      </c>
      <c r="K525" s="2" t="s">
        <v>1061</v>
      </c>
      <c r="L525" s="11" t="str">
        <f t="shared" si="9"/>
        <v>Ver Imagen</v>
      </c>
      <c r="M525" t="s">
        <v>15</v>
      </c>
    </row>
    <row r="526" spans="1:13" x14ac:dyDescent="0.25">
      <c r="A526">
        <v>525</v>
      </c>
      <c r="B526" t="s">
        <v>1062</v>
      </c>
      <c r="C526" s="1">
        <v>37.224792331899998</v>
      </c>
      <c r="D526" s="1">
        <v>-7.05735756225</v>
      </c>
      <c r="E526" s="3">
        <v>2</v>
      </c>
      <c r="F526" s="2">
        <v>2</v>
      </c>
      <c r="G526" s="4">
        <v>2</v>
      </c>
      <c r="H526" s="13"/>
      <c r="I526" s="15"/>
      <c r="J526" s="19">
        <v>2</v>
      </c>
      <c r="K526" s="2" t="s">
        <v>1063</v>
      </c>
      <c r="L526" s="11" t="str">
        <f t="shared" si="9"/>
        <v>Ver Imagen</v>
      </c>
      <c r="M526" t="s">
        <v>15</v>
      </c>
    </row>
    <row r="527" spans="1:13" x14ac:dyDescent="0.25">
      <c r="A527">
        <v>526</v>
      </c>
      <c r="B527" t="s">
        <v>1064</v>
      </c>
      <c r="C527" s="1">
        <v>37.224908730599999</v>
      </c>
      <c r="D527" s="1">
        <v>-7.0575530727800002</v>
      </c>
      <c r="E527" s="3">
        <v>2</v>
      </c>
      <c r="F527" s="2">
        <v>2</v>
      </c>
      <c r="G527" s="4">
        <v>2</v>
      </c>
      <c r="H527" s="13"/>
      <c r="I527" s="15"/>
      <c r="J527" s="19">
        <v>2</v>
      </c>
      <c r="K527" s="2" t="s">
        <v>1065</v>
      </c>
      <c r="L527" s="11" t="str">
        <f t="shared" si="9"/>
        <v>Ver Imagen</v>
      </c>
      <c r="M527" t="s">
        <v>15</v>
      </c>
    </row>
    <row r="528" spans="1:13" x14ac:dyDescent="0.25">
      <c r="A528">
        <v>527</v>
      </c>
      <c r="B528" t="s">
        <v>1066</v>
      </c>
      <c r="C528" s="1">
        <v>37.225398986199998</v>
      </c>
      <c r="D528" s="1">
        <v>-7.0583812761900004</v>
      </c>
      <c r="E528" s="3">
        <v>2</v>
      </c>
      <c r="F528" s="2">
        <v>2</v>
      </c>
      <c r="G528" s="4">
        <v>2</v>
      </c>
      <c r="H528" s="13"/>
      <c r="I528" s="15"/>
      <c r="J528" s="19">
        <v>2</v>
      </c>
      <c r="K528" s="2" t="s">
        <v>1067</v>
      </c>
      <c r="L528" s="11" t="str">
        <f t="shared" si="9"/>
        <v>Ver Imagen</v>
      </c>
      <c r="M528" t="s">
        <v>15</v>
      </c>
    </row>
    <row r="529" spans="1:13" x14ac:dyDescent="0.25">
      <c r="A529">
        <v>528</v>
      </c>
      <c r="B529" t="s">
        <v>1068</v>
      </c>
      <c r="C529" s="1">
        <v>37.225518012599998</v>
      </c>
      <c r="D529" s="1">
        <v>-7.0585824376500002</v>
      </c>
      <c r="E529" s="3">
        <v>2</v>
      </c>
      <c r="F529" s="2">
        <v>2</v>
      </c>
      <c r="G529" s="4">
        <v>2</v>
      </c>
      <c r="H529" s="13"/>
      <c r="I529" s="15"/>
      <c r="J529" s="19">
        <v>2</v>
      </c>
      <c r="K529" s="2" t="s">
        <v>1069</v>
      </c>
      <c r="L529" s="11" t="str">
        <f t="shared" si="9"/>
        <v>Ver Imagen</v>
      </c>
      <c r="M529" t="s">
        <v>15</v>
      </c>
    </row>
    <row r="530" spans="1:13" x14ac:dyDescent="0.25">
      <c r="A530">
        <v>529</v>
      </c>
      <c r="B530" t="s">
        <v>1070</v>
      </c>
      <c r="C530" s="1">
        <v>37.2256360867</v>
      </c>
      <c r="D530" s="1">
        <v>-7.0587824124800003</v>
      </c>
      <c r="E530" s="3">
        <v>2</v>
      </c>
      <c r="F530" s="2">
        <v>2</v>
      </c>
      <c r="G530" s="4">
        <v>2</v>
      </c>
      <c r="H530" s="13"/>
      <c r="I530" s="15"/>
      <c r="J530" s="19">
        <v>2</v>
      </c>
      <c r="K530" s="2" t="s">
        <v>1071</v>
      </c>
      <c r="L530" s="11" t="str">
        <f t="shared" si="9"/>
        <v>Ver Imagen</v>
      </c>
      <c r="M530" t="s">
        <v>15</v>
      </c>
    </row>
    <row r="531" spans="1:13" x14ac:dyDescent="0.25">
      <c r="A531">
        <v>530</v>
      </c>
      <c r="B531" t="s">
        <v>1072</v>
      </c>
      <c r="C531" s="1">
        <v>37.225760054699997</v>
      </c>
      <c r="D531" s="1">
        <v>-7.0589930421</v>
      </c>
      <c r="E531" s="3">
        <v>2</v>
      </c>
      <c r="F531" s="2">
        <v>2</v>
      </c>
      <c r="G531" s="4">
        <v>2</v>
      </c>
      <c r="H531" s="13"/>
      <c r="I531" s="15"/>
      <c r="J531" s="19">
        <v>2</v>
      </c>
      <c r="K531" s="2" t="s">
        <v>1073</v>
      </c>
      <c r="L531" s="11" t="str">
        <f t="shared" si="9"/>
        <v>Ver Imagen</v>
      </c>
      <c r="M531" t="s">
        <v>15</v>
      </c>
    </row>
    <row r="532" spans="1:13" x14ac:dyDescent="0.25">
      <c r="A532">
        <v>531</v>
      </c>
      <c r="B532" t="s">
        <v>1074</v>
      </c>
      <c r="C532" s="1">
        <v>37.226120634700003</v>
      </c>
      <c r="D532" s="1">
        <v>-7.0596052661200002</v>
      </c>
      <c r="E532" s="3">
        <v>2</v>
      </c>
      <c r="F532" s="2">
        <v>2</v>
      </c>
      <c r="G532" s="4">
        <v>2</v>
      </c>
      <c r="H532" s="13"/>
      <c r="I532" s="15"/>
      <c r="J532" s="19">
        <v>2</v>
      </c>
      <c r="K532" s="2" t="s">
        <v>1075</v>
      </c>
      <c r="L532" s="11" t="str">
        <f t="shared" si="9"/>
        <v>Ver Imagen</v>
      </c>
      <c r="M532" t="s">
        <v>15</v>
      </c>
    </row>
    <row r="533" spans="1:13" x14ac:dyDescent="0.25">
      <c r="A533">
        <v>532</v>
      </c>
      <c r="B533" t="s">
        <v>1076</v>
      </c>
      <c r="C533" s="1">
        <v>37.226240216599997</v>
      </c>
      <c r="D533" s="1">
        <v>-7.0598096011799996</v>
      </c>
      <c r="E533" s="3">
        <v>2</v>
      </c>
      <c r="F533" s="2">
        <v>2</v>
      </c>
      <c r="G533" s="4">
        <v>2</v>
      </c>
      <c r="H533" s="13"/>
      <c r="I533" s="15"/>
      <c r="J533" s="19">
        <v>2</v>
      </c>
      <c r="K533" s="2" t="s">
        <v>1077</v>
      </c>
      <c r="L533" s="11" t="str">
        <f t="shared" si="9"/>
        <v>Ver Imagen</v>
      </c>
      <c r="M533" t="s">
        <v>15</v>
      </c>
    </row>
    <row r="534" spans="1:13" x14ac:dyDescent="0.25">
      <c r="A534">
        <v>533</v>
      </c>
      <c r="B534" t="s">
        <v>1078</v>
      </c>
      <c r="C534" s="1">
        <v>37.434510843200002</v>
      </c>
      <c r="D534" s="1">
        <v>-7.0683622070699998</v>
      </c>
      <c r="E534" s="3">
        <v>2</v>
      </c>
      <c r="F534" s="2">
        <v>2</v>
      </c>
      <c r="G534" s="4">
        <v>2</v>
      </c>
      <c r="H534" s="13"/>
      <c r="I534" s="15"/>
      <c r="J534" s="19">
        <v>2</v>
      </c>
      <c r="K534" s="2" t="s">
        <v>1079</v>
      </c>
      <c r="L534" s="11" t="str">
        <f t="shared" si="9"/>
        <v>Ver Imagen</v>
      </c>
      <c r="M534" t="s">
        <v>15</v>
      </c>
    </row>
    <row r="535" spans="1:13" x14ac:dyDescent="0.25">
      <c r="A535">
        <v>534</v>
      </c>
      <c r="B535" t="s">
        <v>1080</v>
      </c>
      <c r="C535" s="1">
        <v>37.227875052100003</v>
      </c>
      <c r="D535" s="1">
        <v>-7.0611687774899998</v>
      </c>
      <c r="E535" s="3">
        <v>2</v>
      </c>
      <c r="F535" s="2">
        <v>2</v>
      </c>
      <c r="G535" s="4">
        <v>2</v>
      </c>
      <c r="H535" s="13"/>
      <c r="I535" s="15"/>
      <c r="J535" s="19">
        <v>2</v>
      </c>
      <c r="K535" s="2" t="s">
        <v>1081</v>
      </c>
      <c r="L535" s="11" t="str">
        <f t="shared" si="9"/>
        <v>Ver Imagen</v>
      </c>
      <c r="M535" t="s">
        <v>15</v>
      </c>
    </row>
    <row r="536" spans="1:13" x14ac:dyDescent="0.25">
      <c r="A536">
        <v>535</v>
      </c>
      <c r="B536" t="s">
        <v>1082</v>
      </c>
      <c r="C536" s="1">
        <v>37.228041105700001</v>
      </c>
      <c r="D536" s="1">
        <v>-7.0612999716999996</v>
      </c>
      <c r="E536" s="3">
        <v>2</v>
      </c>
      <c r="F536" s="2">
        <v>2</v>
      </c>
      <c r="G536" s="4">
        <v>2</v>
      </c>
      <c r="H536" s="13"/>
      <c r="I536" s="15"/>
      <c r="J536" s="19">
        <v>2</v>
      </c>
      <c r="K536" s="2" t="s">
        <v>1083</v>
      </c>
      <c r="L536" s="11" t="str">
        <f t="shared" si="9"/>
        <v>Ver Imagen</v>
      </c>
      <c r="M536" t="s">
        <v>15</v>
      </c>
    </row>
    <row r="537" spans="1:13" x14ac:dyDescent="0.25">
      <c r="A537">
        <v>536</v>
      </c>
      <c r="B537" t="s">
        <v>1084</v>
      </c>
      <c r="C537" s="1">
        <v>37.2286454674</v>
      </c>
      <c r="D537" s="1">
        <v>-7.0619772892099997</v>
      </c>
      <c r="E537" s="3">
        <v>2</v>
      </c>
      <c r="F537" s="2">
        <v>2</v>
      </c>
      <c r="G537" s="4">
        <v>2</v>
      </c>
      <c r="H537" s="13"/>
      <c r="I537" s="15"/>
      <c r="J537" s="19">
        <v>2</v>
      </c>
      <c r="K537" s="2" t="s">
        <v>1085</v>
      </c>
      <c r="L537" s="11" t="str">
        <f t="shared" si="9"/>
        <v>Ver Imagen</v>
      </c>
      <c r="M537" t="s">
        <v>15</v>
      </c>
    </row>
    <row r="538" spans="1:13" x14ac:dyDescent="0.25">
      <c r="A538">
        <v>537</v>
      </c>
      <c r="B538" t="s">
        <v>1086</v>
      </c>
      <c r="C538" s="1">
        <v>37.228791815599998</v>
      </c>
      <c r="D538" s="1">
        <v>-7.0621526433800001</v>
      </c>
      <c r="E538" s="3">
        <v>2</v>
      </c>
      <c r="F538" s="2">
        <v>2</v>
      </c>
      <c r="G538" s="4">
        <v>2</v>
      </c>
      <c r="H538" s="13"/>
      <c r="I538" s="15"/>
      <c r="J538" s="19">
        <v>2</v>
      </c>
      <c r="K538" s="2" t="s">
        <v>1087</v>
      </c>
      <c r="L538" s="11" t="str">
        <f t="shared" si="9"/>
        <v>Ver Imagen</v>
      </c>
      <c r="M538" t="s">
        <v>15</v>
      </c>
    </row>
    <row r="539" spans="1:13" x14ac:dyDescent="0.25">
      <c r="A539">
        <v>538</v>
      </c>
      <c r="B539" t="s">
        <v>1088</v>
      </c>
      <c r="C539" s="1">
        <v>37.433823116600003</v>
      </c>
      <c r="D539" s="1">
        <v>-7.06682025858</v>
      </c>
      <c r="E539" s="3">
        <v>2</v>
      </c>
      <c r="F539" s="2">
        <v>2</v>
      </c>
      <c r="G539" s="4">
        <v>2</v>
      </c>
      <c r="H539" s="13"/>
      <c r="I539" s="15"/>
      <c r="J539" s="19">
        <v>2</v>
      </c>
      <c r="K539" s="2" t="s">
        <v>1089</v>
      </c>
      <c r="L539" s="11" t="str">
        <f t="shared" si="9"/>
        <v>Ver Imagen</v>
      </c>
      <c r="M539" t="s">
        <v>15</v>
      </c>
    </row>
    <row r="540" spans="1:13" x14ac:dyDescent="0.25">
      <c r="A540">
        <v>539</v>
      </c>
      <c r="B540" t="s">
        <v>1090</v>
      </c>
      <c r="C540" s="1">
        <v>37.432899641900001</v>
      </c>
      <c r="D540" s="1">
        <v>-7.0648051830199998</v>
      </c>
      <c r="E540" s="3">
        <v>2</v>
      </c>
      <c r="F540" s="2">
        <v>2</v>
      </c>
      <c r="G540" s="4">
        <v>2</v>
      </c>
      <c r="H540" s="13"/>
      <c r="I540" s="15"/>
      <c r="J540" s="19">
        <v>2</v>
      </c>
      <c r="K540" s="2" t="s">
        <v>1091</v>
      </c>
      <c r="L540" s="11" t="str">
        <f t="shared" si="9"/>
        <v>Ver Imagen</v>
      </c>
      <c r="M540" t="s">
        <v>15</v>
      </c>
    </row>
    <row r="541" spans="1:13" x14ac:dyDescent="0.25">
      <c r="A541">
        <v>540</v>
      </c>
      <c r="B541" t="s">
        <v>1092</v>
      </c>
      <c r="C541" s="1">
        <v>37.225248030300001</v>
      </c>
      <c r="D541" s="1">
        <v>-7.0277473524999996</v>
      </c>
      <c r="E541" s="3">
        <v>2</v>
      </c>
      <c r="F541" s="2">
        <v>2</v>
      </c>
      <c r="G541" s="4">
        <v>2</v>
      </c>
      <c r="H541" s="13"/>
      <c r="I541" s="15"/>
      <c r="J541" s="19">
        <v>2</v>
      </c>
      <c r="K541" s="2" t="s">
        <v>1093</v>
      </c>
      <c r="L541" s="11" t="str">
        <f t="shared" si="9"/>
        <v>Ver Imagen</v>
      </c>
      <c r="M541" t="s">
        <v>15</v>
      </c>
    </row>
    <row r="542" spans="1:13" x14ac:dyDescent="0.25">
      <c r="A542">
        <v>541</v>
      </c>
      <c r="B542" t="s">
        <v>1094</v>
      </c>
      <c r="C542" s="1">
        <v>37.225291075599998</v>
      </c>
      <c r="D542" s="1">
        <v>-7.0285056530999999</v>
      </c>
      <c r="E542" s="3">
        <v>2</v>
      </c>
      <c r="F542" s="2">
        <v>2</v>
      </c>
      <c r="G542" s="4">
        <v>2</v>
      </c>
      <c r="H542" s="13"/>
      <c r="I542" s="15"/>
      <c r="J542" s="19">
        <v>2</v>
      </c>
      <c r="K542" s="2" t="s">
        <v>1095</v>
      </c>
      <c r="L542" s="11" t="str">
        <f t="shared" si="9"/>
        <v>Ver Imagen</v>
      </c>
      <c r="M542" t="s">
        <v>15</v>
      </c>
    </row>
    <row r="543" spans="1:13" x14ac:dyDescent="0.25">
      <c r="A543">
        <v>542</v>
      </c>
      <c r="B543" t="s">
        <v>1096</v>
      </c>
      <c r="C543" s="1">
        <v>37.225307819999998</v>
      </c>
      <c r="D543" s="1">
        <v>-7.0287823178600002</v>
      </c>
      <c r="E543" s="3">
        <v>2</v>
      </c>
      <c r="F543" s="2">
        <v>2</v>
      </c>
      <c r="G543" s="4">
        <v>2</v>
      </c>
      <c r="H543" s="13"/>
      <c r="I543" s="15"/>
      <c r="J543" s="19">
        <v>2</v>
      </c>
      <c r="K543" s="2" t="s">
        <v>1097</v>
      </c>
      <c r="L543" s="11" t="str">
        <f t="shared" si="9"/>
        <v>Ver Imagen</v>
      </c>
      <c r="M543" t="s">
        <v>15</v>
      </c>
    </row>
    <row r="544" spans="1:13" x14ac:dyDescent="0.25">
      <c r="A544">
        <v>543</v>
      </c>
      <c r="B544" t="s">
        <v>1098</v>
      </c>
      <c r="C544" s="1">
        <v>37.224830671799999</v>
      </c>
      <c r="D544" s="1">
        <v>-7.0337385879900003</v>
      </c>
      <c r="E544" s="3">
        <v>2</v>
      </c>
      <c r="F544" s="2">
        <v>2</v>
      </c>
      <c r="G544" s="4">
        <v>2</v>
      </c>
      <c r="H544" s="13"/>
      <c r="I544" s="15"/>
      <c r="J544" s="19">
        <v>2</v>
      </c>
      <c r="K544" s="2" t="s">
        <v>1099</v>
      </c>
      <c r="L544" s="11" t="str">
        <f t="shared" si="9"/>
        <v>Ver Imagen</v>
      </c>
      <c r="M544" t="s">
        <v>15</v>
      </c>
    </row>
    <row r="545" spans="1:13" x14ac:dyDescent="0.25">
      <c r="A545">
        <v>544</v>
      </c>
      <c r="B545" t="s">
        <v>1100</v>
      </c>
      <c r="C545" s="1">
        <v>37.432103725700003</v>
      </c>
      <c r="D545" s="1">
        <v>-7.0630826940200002</v>
      </c>
      <c r="E545" s="3">
        <v>2</v>
      </c>
      <c r="F545" s="2">
        <v>2</v>
      </c>
      <c r="G545" s="4">
        <v>2</v>
      </c>
      <c r="H545" s="13"/>
      <c r="I545" s="15"/>
      <c r="J545" s="19">
        <v>2</v>
      </c>
      <c r="K545" s="2" t="s">
        <v>1101</v>
      </c>
      <c r="L545" s="11" t="str">
        <f t="shared" si="9"/>
        <v>Ver Imagen</v>
      </c>
      <c r="M545" t="s">
        <v>15</v>
      </c>
    </row>
    <row r="546" spans="1:13" x14ac:dyDescent="0.25">
      <c r="A546">
        <v>545</v>
      </c>
      <c r="B546" t="s">
        <v>1102</v>
      </c>
      <c r="C546" s="1">
        <v>37.224615584799999</v>
      </c>
      <c r="D546" s="1">
        <v>-7.0344472045200002</v>
      </c>
      <c r="E546" s="3">
        <v>2</v>
      </c>
      <c r="F546" s="2">
        <v>2</v>
      </c>
      <c r="G546" s="4">
        <v>2</v>
      </c>
      <c r="H546" s="13"/>
      <c r="I546" s="15"/>
      <c r="J546" s="19">
        <v>2</v>
      </c>
      <c r="K546" s="2" t="s">
        <v>1103</v>
      </c>
      <c r="L546" s="11" t="str">
        <f t="shared" si="9"/>
        <v>Ver Imagen</v>
      </c>
      <c r="M546" t="s">
        <v>15</v>
      </c>
    </row>
    <row r="547" spans="1:13" x14ac:dyDescent="0.25">
      <c r="A547">
        <v>546</v>
      </c>
      <c r="B547" t="s">
        <v>1104</v>
      </c>
      <c r="C547" s="1">
        <v>37.224575942999998</v>
      </c>
      <c r="D547" s="1">
        <v>-7.0364899768300004</v>
      </c>
      <c r="E547" s="3">
        <v>2</v>
      </c>
      <c r="F547" s="2">
        <v>2</v>
      </c>
      <c r="G547" s="4">
        <v>2</v>
      </c>
      <c r="H547" s="13"/>
      <c r="I547" s="15"/>
      <c r="J547" s="19">
        <v>2</v>
      </c>
      <c r="K547" s="2" t="s">
        <v>1105</v>
      </c>
      <c r="L547" s="11" t="str">
        <f t="shared" si="9"/>
        <v>Ver Imagen</v>
      </c>
      <c r="M547" t="s">
        <v>15</v>
      </c>
    </row>
    <row r="548" spans="1:13" x14ac:dyDescent="0.25">
      <c r="A548">
        <v>547</v>
      </c>
      <c r="B548" t="s">
        <v>1106</v>
      </c>
      <c r="C548" s="1">
        <v>37.2245866652</v>
      </c>
      <c r="D548" s="1">
        <v>-7.0367292533499999</v>
      </c>
      <c r="E548" s="3">
        <v>2</v>
      </c>
      <c r="F548" s="2">
        <v>2</v>
      </c>
      <c r="G548" s="4">
        <v>2</v>
      </c>
      <c r="H548" s="13"/>
      <c r="I548" s="15"/>
      <c r="J548" s="19">
        <v>2</v>
      </c>
      <c r="K548" s="2" t="s">
        <v>1107</v>
      </c>
      <c r="L548" s="11" t="str">
        <f t="shared" si="9"/>
        <v>Ver Imagen</v>
      </c>
      <c r="M548" t="s">
        <v>15</v>
      </c>
    </row>
    <row r="549" spans="1:13" x14ac:dyDescent="0.25">
      <c r="A549">
        <v>548</v>
      </c>
      <c r="B549" t="s">
        <v>1108</v>
      </c>
      <c r="C549" s="1">
        <v>37.224599408300001</v>
      </c>
      <c r="D549" s="1">
        <v>-7.0369982587799997</v>
      </c>
      <c r="E549" s="3">
        <v>2</v>
      </c>
      <c r="F549" s="2">
        <v>2</v>
      </c>
      <c r="G549" s="4">
        <v>2</v>
      </c>
      <c r="H549" s="13"/>
      <c r="I549" s="15"/>
      <c r="J549" s="19">
        <v>2</v>
      </c>
      <c r="K549" s="2" t="s">
        <v>1109</v>
      </c>
      <c r="L549" s="11" t="str">
        <f t="shared" si="9"/>
        <v>Ver Imagen</v>
      </c>
      <c r="M549" t="s">
        <v>15</v>
      </c>
    </row>
    <row r="550" spans="1:13" x14ac:dyDescent="0.25">
      <c r="A550">
        <v>549</v>
      </c>
      <c r="B550" t="s">
        <v>1110</v>
      </c>
      <c r="C550" s="1">
        <v>37.431381934400001</v>
      </c>
      <c r="D550" s="1">
        <v>-7.0615142669199997</v>
      </c>
      <c r="E550" s="3">
        <v>2</v>
      </c>
      <c r="F550" s="2">
        <v>2</v>
      </c>
      <c r="G550" s="4">
        <v>2</v>
      </c>
      <c r="H550" s="13"/>
      <c r="I550" s="15"/>
      <c r="J550" s="19">
        <v>2</v>
      </c>
      <c r="K550" s="2" t="s">
        <v>1111</v>
      </c>
      <c r="L550" s="11" t="str">
        <f t="shared" si="9"/>
        <v>Ver Imagen</v>
      </c>
      <c r="M550" t="s">
        <v>15</v>
      </c>
    </row>
    <row r="551" spans="1:13" x14ac:dyDescent="0.25">
      <c r="A551">
        <v>550</v>
      </c>
      <c r="B551" t="s">
        <v>1112</v>
      </c>
      <c r="C551" s="1">
        <v>37.224668418299999</v>
      </c>
      <c r="D551" s="1">
        <v>-7.0382712313100004</v>
      </c>
      <c r="E551" s="3">
        <v>2</v>
      </c>
      <c r="F551" s="2">
        <v>2</v>
      </c>
      <c r="G551" s="4">
        <v>2</v>
      </c>
      <c r="H551" s="13"/>
      <c r="I551" s="15"/>
      <c r="J551" s="19">
        <v>2</v>
      </c>
      <c r="K551" s="2" t="s">
        <v>1113</v>
      </c>
      <c r="L551" s="11" t="str">
        <f t="shared" si="9"/>
        <v>Ver Imagen</v>
      </c>
      <c r="M551" t="s">
        <v>15</v>
      </c>
    </row>
    <row r="552" spans="1:13" x14ac:dyDescent="0.25">
      <c r="A552">
        <v>551</v>
      </c>
      <c r="B552" t="s">
        <v>1114</v>
      </c>
      <c r="C552" s="1">
        <v>37.224690285000001</v>
      </c>
      <c r="D552" s="1">
        <v>-7.0385170400700003</v>
      </c>
      <c r="E552" s="3">
        <v>2</v>
      </c>
      <c r="F552" s="2">
        <v>2</v>
      </c>
      <c r="G552" s="4">
        <v>2</v>
      </c>
      <c r="H552" s="13"/>
      <c r="I552" s="15"/>
      <c r="J552" s="19">
        <v>2</v>
      </c>
      <c r="K552" s="2" t="s">
        <v>1115</v>
      </c>
      <c r="L552" s="11" t="str">
        <f t="shared" si="9"/>
        <v>Ver Imagen</v>
      </c>
      <c r="M552" t="s">
        <v>15</v>
      </c>
    </row>
    <row r="553" spans="1:13" x14ac:dyDescent="0.25">
      <c r="A553">
        <v>552</v>
      </c>
      <c r="B553" t="s">
        <v>1116</v>
      </c>
      <c r="C553" s="1">
        <v>37.224906478900003</v>
      </c>
      <c r="D553" s="1">
        <v>-7.0397525165600001</v>
      </c>
      <c r="E553" s="3">
        <v>2</v>
      </c>
      <c r="F553" s="2">
        <v>2</v>
      </c>
      <c r="G553" s="4">
        <v>2</v>
      </c>
      <c r="H553" s="13"/>
      <c r="I553" s="15"/>
      <c r="J553" s="19">
        <v>2</v>
      </c>
      <c r="K553" s="2" t="s">
        <v>1117</v>
      </c>
      <c r="L553" s="11" t="str">
        <f t="shared" si="9"/>
        <v>Ver Imagen</v>
      </c>
      <c r="M553" t="s">
        <v>15</v>
      </c>
    </row>
    <row r="554" spans="1:13" x14ac:dyDescent="0.25">
      <c r="A554">
        <v>553</v>
      </c>
      <c r="B554" t="s">
        <v>1118</v>
      </c>
      <c r="C554" s="1">
        <v>37.225028770999998</v>
      </c>
      <c r="D554" s="1">
        <v>-7.0402540185699998</v>
      </c>
      <c r="E554" s="3">
        <v>2</v>
      </c>
      <c r="F554" s="2">
        <v>2</v>
      </c>
      <c r="G554" s="4">
        <v>2</v>
      </c>
      <c r="H554" s="13"/>
      <c r="I554" s="15"/>
      <c r="J554" s="19">
        <v>2</v>
      </c>
      <c r="K554" s="2" t="s">
        <v>1119</v>
      </c>
      <c r="L554" s="11" t="str">
        <f t="shared" si="9"/>
        <v>Ver Imagen</v>
      </c>
      <c r="M554" t="s">
        <v>15</v>
      </c>
    </row>
    <row r="555" spans="1:13" x14ac:dyDescent="0.25">
      <c r="A555">
        <v>554</v>
      </c>
      <c r="B555" t="s">
        <v>1120</v>
      </c>
      <c r="C555" s="1">
        <v>37.22508697</v>
      </c>
      <c r="D555" s="1">
        <v>-7.0404769208799998</v>
      </c>
      <c r="E555" s="3">
        <v>2</v>
      </c>
      <c r="F555" s="2">
        <v>2</v>
      </c>
      <c r="G555" s="4">
        <v>2</v>
      </c>
      <c r="H555" s="13"/>
      <c r="I555" s="15"/>
      <c r="J555" s="19">
        <v>2</v>
      </c>
      <c r="K555" s="2" t="s">
        <v>1121</v>
      </c>
      <c r="L555" s="11" t="str">
        <f t="shared" si="9"/>
        <v>Ver Imagen</v>
      </c>
      <c r="M555" t="s">
        <v>15</v>
      </c>
    </row>
    <row r="556" spans="1:13" x14ac:dyDescent="0.25">
      <c r="A556">
        <v>555</v>
      </c>
      <c r="B556" t="s">
        <v>1122</v>
      </c>
      <c r="C556" s="1">
        <v>37.225147768799999</v>
      </c>
      <c r="D556" s="1">
        <v>-7.0406939308599998</v>
      </c>
      <c r="E556" s="3">
        <v>2</v>
      </c>
      <c r="F556" s="2">
        <v>2</v>
      </c>
      <c r="G556" s="4">
        <v>2</v>
      </c>
      <c r="H556" s="13"/>
      <c r="I556" s="15"/>
      <c r="J556" s="19">
        <v>2</v>
      </c>
      <c r="K556" s="2" t="s">
        <v>1123</v>
      </c>
      <c r="L556" s="11" t="str">
        <f t="shared" si="9"/>
        <v>Ver Imagen</v>
      </c>
      <c r="M556" t="s">
        <v>15</v>
      </c>
    </row>
    <row r="557" spans="1:13" x14ac:dyDescent="0.25">
      <c r="A557">
        <v>556</v>
      </c>
      <c r="B557" t="s">
        <v>1124</v>
      </c>
      <c r="C557" s="1">
        <v>37.234074205500001</v>
      </c>
      <c r="D557" s="1">
        <v>-7.0625625548500004</v>
      </c>
      <c r="E557" s="3">
        <v>2</v>
      </c>
      <c r="F557" s="2">
        <v>2</v>
      </c>
      <c r="G557" s="4">
        <v>2</v>
      </c>
      <c r="H557" s="13"/>
      <c r="I557" s="15"/>
      <c r="J557" s="19">
        <v>2</v>
      </c>
      <c r="K557" s="2" t="s">
        <v>1125</v>
      </c>
      <c r="L557" s="11" t="str">
        <f t="shared" si="9"/>
        <v>Ver Imagen</v>
      </c>
      <c r="M557" t="s">
        <v>15</v>
      </c>
    </row>
    <row r="558" spans="1:13" x14ac:dyDescent="0.25">
      <c r="A558">
        <v>557</v>
      </c>
      <c r="B558" t="s">
        <v>1126</v>
      </c>
      <c r="C558" s="1">
        <v>37.234174416899997</v>
      </c>
      <c r="D558" s="1">
        <v>-7.0702943754999996</v>
      </c>
      <c r="E558" s="3">
        <v>2</v>
      </c>
      <c r="F558" s="2">
        <v>2</v>
      </c>
      <c r="G558" s="4">
        <v>2</v>
      </c>
      <c r="H558" s="13"/>
      <c r="I558" s="15"/>
      <c r="J558" s="19">
        <v>2</v>
      </c>
      <c r="K558" s="2" t="s">
        <v>1127</v>
      </c>
      <c r="L558" s="11" t="str">
        <f t="shared" si="9"/>
        <v>Ver Imagen</v>
      </c>
      <c r="M558" t="s">
        <v>15</v>
      </c>
    </row>
    <row r="559" spans="1:13" x14ac:dyDescent="0.25">
      <c r="A559">
        <v>558</v>
      </c>
      <c r="B559" t="s">
        <v>1128</v>
      </c>
      <c r="C559" s="1">
        <v>37.252324203999997</v>
      </c>
      <c r="D559" s="1">
        <v>-7.1044833014200002</v>
      </c>
      <c r="E559" s="3">
        <v>2</v>
      </c>
      <c r="F559" s="2">
        <v>2</v>
      </c>
      <c r="G559" s="4">
        <v>2</v>
      </c>
      <c r="H559" s="13"/>
      <c r="I559" s="15"/>
      <c r="J559" s="19">
        <v>2</v>
      </c>
      <c r="K559" s="2" t="s">
        <v>1129</v>
      </c>
      <c r="L559" s="11" t="str">
        <f t="shared" si="9"/>
        <v>Ver Imagen</v>
      </c>
      <c r="M559" t="s">
        <v>15</v>
      </c>
    </row>
    <row r="560" spans="1:13" x14ac:dyDescent="0.25">
      <c r="A560">
        <v>559</v>
      </c>
      <c r="B560" t="s">
        <v>1130</v>
      </c>
      <c r="C560" s="1">
        <v>37.483754931199996</v>
      </c>
      <c r="D560" s="1">
        <v>-7.1296677871699998</v>
      </c>
      <c r="E560" s="3">
        <v>2</v>
      </c>
      <c r="F560" s="2">
        <v>2</v>
      </c>
      <c r="G560" s="4">
        <v>2</v>
      </c>
      <c r="H560" s="13"/>
      <c r="I560" s="15"/>
      <c r="J560" s="19">
        <v>2</v>
      </c>
      <c r="K560" s="2" t="s">
        <v>1131</v>
      </c>
      <c r="L560" s="11" t="str">
        <f t="shared" si="9"/>
        <v>Ver Imagen</v>
      </c>
      <c r="M560" t="s">
        <v>15</v>
      </c>
    </row>
    <row r="561" spans="1:13" x14ac:dyDescent="0.25">
      <c r="A561">
        <v>560</v>
      </c>
      <c r="B561" t="s">
        <v>1132</v>
      </c>
      <c r="C561" s="1">
        <v>37.482981652100001</v>
      </c>
      <c r="D561" s="1">
        <v>-7.1289132139299998</v>
      </c>
      <c r="E561" s="3">
        <v>2</v>
      </c>
      <c r="F561" s="2">
        <v>2</v>
      </c>
      <c r="G561" s="4">
        <v>2</v>
      </c>
      <c r="H561" s="13"/>
      <c r="I561" s="15"/>
      <c r="J561" s="19">
        <v>2</v>
      </c>
      <c r="K561" s="2" t="s">
        <v>1133</v>
      </c>
      <c r="L561" s="11" t="str">
        <f t="shared" si="9"/>
        <v>Ver Imagen</v>
      </c>
      <c r="M561" t="s">
        <v>15</v>
      </c>
    </row>
    <row r="562" spans="1:13" x14ac:dyDescent="0.25">
      <c r="A562">
        <v>561</v>
      </c>
      <c r="B562" t="s">
        <v>1134</v>
      </c>
      <c r="C562" s="1">
        <v>37.482258325300002</v>
      </c>
      <c r="D562" s="1">
        <v>-7.12842244541</v>
      </c>
      <c r="E562" s="3">
        <v>2</v>
      </c>
      <c r="F562" s="2">
        <v>2</v>
      </c>
      <c r="G562" s="4">
        <v>2</v>
      </c>
      <c r="H562" s="13"/>
      <c r="I562" s="15"/>
      <c r="J562" s="19">
        <v>2</v>
      </c>
      <c r="K562" s="2" t="s">
        <v>1135</v>
      </c>
      <c r="L562" s="11" t="str">
        <f t="shared" si="9"/>
        <v>Ver Imagen</v>
      </c>
      <c r="M562" t="s">
        <v>15</v>
      </c>
    </row>
    <row r="563" spans="1:13" x14ac:dyDescent="0.25">
      <c r="A563">
        <v>562</v>
      </c>
      <c r="B563" t="s">
        <v>1136</v>
      </c>
      <c r="C563" s="1">
        <v>37.481325789800003</v>
      </c>
      <c r="D563" s="1">
        <v>-7.1279156824700003</v>
      </c>
      <c r="E563" s="3">
        <v>2</v>
      </c>
      <c r="F563" s="2">
        <v>2</v>
      </c>
      <c r="G563" s="4">
        <v>2</v>
      </c>
      <c r="H563" s="13"/>
      <c r="I563" s="15"/>
      <c r="J563" s="19">
        <v>2</v>
      </c>
      <c r="K563" s="2" t="s">
        <v>1137</v>
      </c>
      <c r="L563" s="11" t="str">
        <f t="shared" si="9"/>
        <v>Ver Imagen</v>
      </c>
      <c r="M563" t="s">
        <v>15</v>
      </c>
    </row>
    <row r="564" spans="1:13" x14ac:dyDescent="0.25">
      <c r="A564">
        <v>563</v>
      </c>
      <c r="B564" t="s">
        <v>1138</v>
      </c>
      <c r="C564" s="1">
        <v>37.480936026599998</v>
      </c>
      <c r="D564" s="1">
        <v>-7.1277995644100001</v>
      </c>
      <c r="E564" s="3">
        <v>2</v>
      </c>
      <c r="F564" s="2">
        <v>2</v>
      </c>
      <c r="G564" s="4">
        <v>2</v>
      </c>
      <c r="H564" s="13"/>
      <c r="I564" s="15"/>
      <c r="J564" s="19">
        <v>2</v>
      </c>
      <c r="K564" s="2" t="s">
        <v>1139</v>
      </c>
      <c r="L564" s="11" t="str">
        <f t="shared" si="9"/>
        <v>Ver Imagen</v>
      </c>
      <c r="M564" t="s">
        <v>15</v>
      </c>
    </row>
    <row r="565" spans="1:13" x14ac:dyDescent="0.25">
      <c r="A565">
        <v>564</v>
      </c>
      <c r="B565" t="s">
        <v>1140</v>
      </c>
      <c r="C565" s="1">
        <v>37.464698898400002</v>
      </c>
      <c r="D565" s="1">
        <v>-7.1234194189200002</v>
      </c>
      <c r="E565" s="3">
        <v>2</v>
      </c>
      <c r="F565" s="2">
        <v>2</v>
      </c>
      <c r="G565" s="4">
        <v>2</v>
      </c>
      <c r="H565" s="13"/>
      <c r="I565" s="15"/>
      <c r="J565" s="19">
        <v>2</v>
      </c>
      <c r="K565" s="2" t="s">
        <v>1141</v>
      </c>
      <c r="L565" s="11" t="str">
        <f t="shared" si="9"/>
        <v>Ver Imagen</v>
      </c>
      <c r="M565" t="s">
        <v>15</v>
      </c>
    </row>
    <row r="566" spans="1:13" x14ac:dyDescent="0.25">
      <c r="A566">
        <v>565</v>
      </c>
      <c r="B566" t="s">
        <v>1142</v>
      </c>
      <c r="C566" s="1">
        <v>37.462190792900003</v>
      </c>
      <c r="D566" s="1">
        <v>-7.1243069922000002</v>
      </c>
      <c r="E566" s="3">
        <v>2</v>
      </c>
      <c r="F566" s="2">
        <v>2</v>
      </c>
      <c r="G566" s="4">
        <v>2</v>
      </c>
      <c r="H566" s="13"/>
      <c r="I566" s="15"/>
      <c r="J566" s="19">
        <v>2</v>
      </c>
      <c r="K566" s="2" t="s">
        <v>1143</v>
      </c>
      <c r="L566" s="11" t="str">
        <f t="shared" si="9"/>
        <v>Ver Imagen</v>
      </c>
      <c r="M566" t="s">
        <v>15</v>
      </c>
    </row>
    <row r="567" spans="1:13" x14ac:dyDescent="0.25">
      <c r="A567">
        <v>566</v>
      </c>
      <c r="B567" t="s">
        <v>1144</v>
      </c>
      <c r="C567" s="1">
        <v>37.4608015763</v>
      </c>
      <c r="D567" s="1">
        <v>-7.1246447661400003</v>
      </c>
      <c r="E567" s="3">
        <v>2</v>
      </c>
      <c r="F567" s="2">
        <v>2</v>
      </c>
      <c r="G567" s="4">
        <v>2</v>
      </c>
      <c r="H567" s="13"/>
      <c r="I567" s="15"/>
      <c r="J567" s="19">
        <v>2</v>
      </c>
      <c r="K567" s="2" t="s">
        <v>1145</v>
      </c>
      <c r="L567" s="11" t="str">
        <f t="shared" si="9"/>
        <v>Ver Imagen</v>
      </c>
      <c r="M567" t="s">
        <v>15</v>
      </c>
    </row>
    <row r="568" spans="1:13" x14ac:dyDescent="0.25">
      <c r="A568">
        <v>567</v>
      </c>
      <c r="B568" t="s">
        <v>1146</v>
      </c>
      <c r="C568" s="1">
        <v>37.460572503999998</v>
      </c>
      <c r="D568" s="1">
        <v>-7.1247125968500002</v>
      </c>
      <c r="E568" s="3">
        <v>2</v>
      </c>
      <c r="F568" s="2">
        <v>2</v>
      </c>
      <c r="G568" s="4">
        <v>2</v>
      </c>
      <c r="H568" s="13"/>
      <c r="I568" s="15"/>
      <c r="J568" s="19">
        <v>2</v>
      </c>
      <c r="K568" s="2" t="s">
        <v>1147</v>
      </c>
      <c r="L568" s="11" t="str">
        <f t="shared" si="9"/>
        <v>Ver Imagen</v>
      </c>
      <c r="M568" t="s">
        <v>15</v>
      </c>
    </row>
    <row r="569" spans="1:13" x14ac:dyDescent="0.25">
      <c r="A569">
        <v>568</v>
      </c>
      <c r="B569" t="s">
        <v>1148</v>
      </c>
      <c r="C569" s="1">
        <v>37.460346171200001</v>
      </c>
      <c r="D569" s="1">
        <v>-7.1247833531399998</v>
      </c>
      <c r="E569" s="3">
        <v>2</v>
      </c>
      <c r="F569" s="2">
        <v>2</v>
      </c>
      <c r="G569" s="4">
        <v>2</v>
      </c>
      <c r="H569" s="13"/>
      <c r="I569" s="15"/>
      <c r="J569" s="19">
        <v>2</v>
      </c>
      <c r="K569" s="2" t="s">
        <v>1149</v>
      </c>
      <c r="L569" s="11" t="str">
        <f t="shared" si="9"/>
        <v>Ver Imagen</v>
      </c>
      <c r="M569" t="s">
        <v>15</v>
      </c>
    </row>
    <row r="570" spans="1:13" x14ac:dyDescent="0.25">
      <c r="A570">
        <v>569</v>
      </c>
      <c r="B570" t="s">
        <v>1150</v>
      </c>
      <c r="C570" s="1">
        <v>37.459176706500003</v>
      </c>
      <c r="D570" s="1">
        <v>-7.1251966531299997</v>
      </c>
      <c r="E570" s="3">
        <v>2</v>
      </c>
      <c r="F570" s="2">
        <v>2</v>
      </c>
      <c r="G570" s="4">
        <v>2</v>
      </c>
      <c r="H570" s="13"/>
      <c r="I570" s="15"/>
      <c r="J570" s="19">
        <v>2</v>
      </c>
      <c r="K570" s="2" t="s">
        <v>1151</v>
      </c>
      <c r="L570" s="11" t="str">
        <f t="shared" si="9"/>
        <v>Ver Imagen</v>
      </c>
      <c r="M570" t="s">
        <v>15</v>
      </c>
    </row>
    <row r="571" spans="1:13" x14ac:dyDescent="0.25">
      <c r="A571">
        <v>570</v>
      </c>
      <c r="B571" t="s">
        <v>1152</v>
      </c>
      <c r="C571" s="1">
        <v>37.458974140199999</v>
      </c>
      <c r="D571" s="1">
        <v>-7.12527034953</v>
      </c>
      <c r="E571" s="3">
        <v>2</v>
      </c>
      <c r="F571" s="2">
        <v>2</v>
      </c>
      <c r="G571" s="4">
        <v>2</v>
      </c>
      <c r="H571" s="13"/>
      <c r="I571" s="15"/>
      <c r="J571" s="19">
        <v>2</v>
      </c>
      <c r="K571" s="2" t="s">
        <v>1153</v>
      </c>
      <c r="L571" s="11" t="str">
        <f t="shared" si="9"/>
        <v>Ver Imagen</v>
      </c>
      <c r="M571" t="s">
        <v>15</v>
      </c>
    </row>
    <row r="572" spans="1:13" x14ac:dyDescent="0.25">
      <c r="A572">
        <v>571</v>
      </c>
      <c r="B572" t="s">
        <v>1154</v>
      </c>
      <c r="C572" s="1">
        <v>37.4586526525</v>
      </c>
      <c r="D572" s="1">
        <v>-7.1253859559999997</v>
      </c>
      <c r="E572" s="3">
        <v>2</v>
      </c>
      <c r="F572" s="2">
        <v>2</v>
      </c>
      <c r="G572" s="4">
        <v>2</v>
      </c>
      <c r="H572" s="13"/>
      <c r="I572" s="15"/>
      <c r="J572" s="19">
        <v>2</v>
      </c>
      <c r="K572" s="2" t="s">
        <v>1155</v>
      </c>
      <c r="L572" s="11" t="str">
        <f t="shared" si="9"/>
        <v>Ver Imagen</v>
      </c>
      <c r="M572" t="s">
        <v>15</v>
      </c>
    </row>
    <row r="573" spans="1:13" x14ac:dyDescent="0.25">
      <c r="A573">
        <v>572</v>
      </c>
      <c r="B573" t="s">
        <v>1156</v>
      </c>
      <c r="C573" s="1">
        <v>37.457853999000001</v>
      </c>
      <c r="D573" s="1">
        <v>-7.1256781254700003</v>
      </c>
      <c r="E573" s="3">
        <v>2</v>
      </c>
      <c r="F573" s="2">
        <v>2</v>
      </c>
      <c r="G573" s="4">
        <v>2</v>
      </c>
      <c r="H573" s="13"/>
      <c r="I573" s="15"/>
      <c r="J573" s="19">
        <v>2</v>
      </c>
      <c r="K573" s="2" t="s">
        <v>1157</v>
      </c>
      <c r="L573" s="11" t="str">
        <f t="shared" si="9"/>
        <v>Ver Imagen</v>
      </c>
      <c r="M573" t="s">
        <v>15</v>
      </c>
    </row>
    <row r="574" spans="1:13" x14ac:dyDescent="0.25">
      <c r="A574">
        <v>573</v>
      </c>
      <c r="B574" t="s">
        <v>1158</v>
      </c>
      <c r="C574" s="1">
        <v>37.4574552001</v>
      </c>
      <c r="D574" s="1">
        <v>-7.1258191961800001</v>
      </c>
      <c r="E574" s="3">
        <v>2</v>
      </c>
      <c r="F574" s="2">
        <v>2</v>
      </c>
      <c r="G574" s="4">
        <v>2</v>
      </c>
      <c r="H574" s="13"/>
      <c r="I574" s="15"/>
      <c r="J574" s="19">
        <v>2</v>
      </c>
      <c r="K574" s="2" t="s">
        <v>1159</v>
      </c>
      <c r="L574" s="11" t="str">
        <f t="shared" si="9"/>
        <v>Ver Imagen</v>
      </c>
      <c r="M574" t="s">
        <v>15</v>
      </c>
    </row>
    <row r="575" spans="1:13" x14ac:dyDescent="0.25">
      <c r="A575">
        <v>574</v>
      </c>
      <c r="B575" t="s">
        <v>1160</v>
      </c>
      <c r="C575" s="1">
        <v>37.457287263399998</v>
      </c>
      <c r="D575" s="1">
        <v>-7.1258801727299996</v>
      </c>
      <c r="E575" s="3">
        <v>2</v>
      </c>
      <c r="F575" s="2">
        <v>2</v>
      </c>
      <c r="G575" s="4">
        <v>2</v>
      </c>
      <c r="H575" s="13"/>
      <c r="I575" s="15"/>
      <c r="J575" s="19">
        <v>2</v>
      </c>
      <c r="K575" s="2" t="s">
        <v>1161</v>
      </c>
      <c r="L575" s="11" t="str">
        <f t="shared" si="9"/>
        <v>Ver Imagen</v>
      </c>
      <c r="M575" t="s">
        <v>15</v>
      </c>
    </row>
    <row r="576" spans="1:13" x14ac:dyDescent="0.25">
      <c r="A576">
        <v>575</v>
      </c>
      <c r="B576" t="s">
        <v>1162</v>
      </c>
      <c r="C576" s="1">
        <v>37.455712431000002</v>
      </c>
      <c r="D576" s="1">
        <v>-7.1264644669399999</v>
      </c>
      <c r="E576" s="3">
        <v>2</v>
      </c>
      <c r="F576" s="2">
        <v>2</v>
      </c>
      <c r="G576" s="4">
        <v>2</v>
      </c>
      <c r="H576" s="13"/>
      <c r="I576" s="15"/>
      <c r="J576" s="19">
        <v>2</v>
      </c>
      <c r="K576" s="2" t="s">
        <v>1163</v>
      </c>
      <c r="L576" s="11" t="str">
        <f t="shared" si="9"/>
        <v>Ver Imagen</v>
      </c>
      <c r="M576" t="s">
        <v>15</v>
      </c>
    </row>
    <row r="577" spans="1:13" x14ac:dyDescent="0.25">
      <c r="A577">
        <v>576</v>
      </c>
      <c r="B577" t="s">
        <v>1164</v>
      </c>
      <c r="C577" s="1">
        <v>37.455164754599998</v>
      </c>
      <c r="D577" s="1">
        <v>-7.1266661101600004</v>
      </c>
      <c r="E577" s="3">
        <v>2</v>
      </c>
      <c r="F577" s="2">
        <v>2</v>
      </c>
      <c r="G577" s="4">
        <v>2</v>
      </c>
      <c r="H577" s="13"/>
      <c r="I577" s="15"/>
      <c r="J577" s="19">
        <v>2</v>
      </c>
      <c r="K577" s="2" t="s">
        <v>1165</v>
      </c>
      <c r="L577" s="11" t="str">
        <f t="shared" si="9"/>
        <v>Ver Imagen</v>
      </c>
      <c r="M577" t="s">
        <v>15</v>
      </c>
    </row>
    <row r="578" spans="1:13" x14ac:dyDescent="0.25">
      <c r="A578">
        <v>577</v>
      </c>
      <c r="B578" t="s">
        <v>1166</v>
      </c>
      <c r="C578" s="1">
        <v>37.454149359299997</v>
      </c>
      <c r="D578" s="1">
        <v>-7.1270351088400004</v>
      </c>
      <c r="E578" s="3">
        <v>2</v>
      </c>
      <c r="F578" s="2">
        <v>2</v>
      </c>
      <c r="G578" s="4">
        <v>2</v>
      </c>
      <c r="H578" s="13"/>
      <c r="I578" s="15"/>
      <c r="J578" s="19">
        <v>2</v>
      </c>
      <c r="K578" s="2" t="s">
        <v>1167</v>
      </c>
      <c r="L578" s="11" t="str">
        <f t="shared" si="9"/>
        <v>Ver Imagen</v>
      </c>
      <c r="M578" t="s">
        <v>15</v>
      </c>
    </row>
    <row r="579" spans="1:13" x14ac:dyDescent="0.25">
      <c r="A579">
        <v>578</v>
      </c>
      <c r="B579" t="s">
        <v>1168</v>
      </c>
      <c r="C579" s="1">
        <v>37.453397486599997</v>
      </c>
      <c r="D579" s="1">
        <v>-7.1272650498000001</v>
      </c>
      <c r="E579" s="3">
        <v>2</v>
      </c>
      <c r="F579" s="2">
        <v>2</v>
      </c>
      <c r="G579" s="4">
        <v>2</v>
      </c>
      <c r="H579" s="13"/>
      <c r="I579" s="15"/>
      <c r="J579" s="19">
        <v>2</v>
      </c>
      <c r="K579" s="2" t="s">
        <v>1169</v>
      </c>
      <c r="L579" s="11" t="str">
        <f t="shared" si="9"/>
        <v>Ver Imagen</v>
      </c>
      <c r="M579" t="s">
        <v>15</v>
      </c>
    </row>
    <row r="580" spans="1:13" x14ac:dyDescent="0.25">
      <c r="A580">
        <v>579</v>
      </c>
      <c r="B580" t="s">
        <v>1170</v>
      </c>
      <c r="C580" s="1">
        <v>37.4518016038</v>
      </c>
      <c r="D580" s="1">
        <v>-7.1274672611899996</v>
      </c>
      <c r="E580" s="3">
        <v>2</v>
      </c>
      <c r="F580" s="2">
        <v>2</v>
      </c>
      <c r="G580" s="4">
        <v>2</v>
      </c>
      <c r="H580" s="13"/>
      <c r="I580" s="15"/>
      <c r="J580" s="19">
        <v>2</v>
      </c>
      <c r="K580" s="2" t="s">
        <v>1171</v>
      </c>
      <c r="L580" s="11" t="str">
        <f t="shared" si="9"/>
        <v>Ver Imagen</v>
      </c>
      <c r="M580" t="s">
        <v>15</v>
      </c>
    </row>
    <row r="581" spans="1:13" x14ac:dyDescent="0.25">
      <c r="A581">
        <v>580</v>
      </c>
      <c r="B581" t="s">
        <v>1172</v>
      </c>
      <c r="C581" s="1">
        <v>37.451572593800002</v>
      </c>
      <c r="D581" s="1">
        <v>-7.1274636210200004</v>
      </c>
      <c r="E581" s="3">
        <v>2</v>
      </c>
      <c r="F581" s="2">
        <v>2</v>
      </c>
      <c r="G581" s="4">
        <v>2</v>
      </c>
      <c r="H581" s="13"/>
      <c r="I581" s="15"/>
      <c r="J581" s="19">
        <v>2</v>
      </c>
      <c r="K581" s="2" t="s">
        <v>1173</v>
      </c>
      <c r="L581" s="11" t="str">
        <f t="shared" si="9"/>
        <v>Ver Imagen</v>
      </c>
      <c r="M581" t="s">
        <v>15</v>
      </c>
    </row>
    <row r="582" spans="1:13" x14ac:dyDescent="0.25">
      <c r="A582">
        <v>581</v>
      </c>
      <c r="B582" t="s">
        <v>1174</v>
      </c>
      <c r="C582" s="1">
        <v>37.486964896700002</v>
      </c>
      <c r="D582" s="1">
        <v>-7.2802041724800004</v>
      </c>
      <c r="E582" s="3">
        <v>2</v>
      </c>
      <c r="F582" s="2">
        <v>2</v>
      </c>
      <c r="G582" s="4">
        <v>2</v>
      </c>
      <c r="H582" s="13"/>
      <c r="I582" s="15"/>
      <c r="J582" s="19">
        <v>2</v>
      </c>
      <c r="K582" s="2" t="s">
        <v>1175</v>
      </c>
      <c r="L582" s="11" t="str">
        <f t="shared" si="9"/>
        <v>Ver Imagen</v>
      </c>
      <c r="M582" t="s">
        <v>15</v>
      </c>
    </row>
    <row r="583" spans="1:13" x14ac:dyDescent="0.25">
      <c r="A583">
        <v>582</v>
      </c>
      <c r="B583" t="s">
        <v>1176</v>
      </c>
      <c r="C583" s="1">
        <v>37.487142181199999</v>
      </c>
      <c r="D583" s="1">
        <v>-7.2801107081599996</v>
      </c>
      <c r="E583" s="3">
        <v>2</v>
      </c>
      <c r="F583" s="2">
        <v>2</v>
      </c>
      <c r="G583" s="4">
        <v>2</v>
      </c>
      <c r="H583" s="13"/>
      <c r="I583" s="15"/>
      <c r="J583" s="19">
        <v>2</v>
      </c>
      <c r="K583" s="2" t="s">
        <v>1177</v>
      </c>
      <c r="L583" s="11" t="str">
        <f t="shared" si="9"/>
        <v>Ver Imagen</v>
      </c>
      <c r="M583" t="s">
        <v>15</v>
      </c>
    </row>
    <row r="584" spans="1:13" x14ac:dyDescent="0.25">
      <c r="A584">
        <v>583</v>
      </c>
      <c r="B584" t="s">
        <v>1178</v>
      </c>
      <c r="C584" s="1">
        <v>37.487743353699997</v>
      </c>
      <c r="D584" s="1">
        <v>-7.2797984394500004</v>
      </c>
      <c r="E584" s="3">
        <v>2</v>
      </c>
      <c r="F584" s="2">
        <v>2</v>
      </c>
      <c r="G584" s="4">
        <v>2</v>
      </c>
      <c r="H584" s="13"/>
      <c r="I584" s="15"/>
      <c r="J584" s="19">
        <v>2</v>
      </c>
      <c r="K584" s="2" t="s">
        <v>1179</v>
      </c>
      <c r="L584" s="11" t="str">
        <f t="shared" si="9"/>
        <v>Ver Imagen</v>
      </c>
      <c r="M584" t="s">
        <v>15</v>
      </c>
    </row>
    <row r="585" spans="1:13" x14ac:dyDescent="0.25">
      <c r="A585">
        <v>584</v>
      </c>
      <c r="B585" t="s">
        <v>1180</v>
      </c>
      <c r="C585" s="1">
        <v>37.487917555599999</v>
      </c>
      <c r="D585" s="1">
        <v>-7.2797079276799996</v>
      </c>
      <c r="E585" s="3">
        <v>2</v>
      </c>
      <c r="F585" s="2">
        <v>2</v>
      </c>
      <c r="G585" s="4">
        <v>2</v>
      </c>
      <c r="H585" s="13"/>
      <c r="I585" s="15"/>
      <c r="J585" s="19">
        <v>2</v>
      </c>
      <c r="K585" s="2" t="s">
        <v>1181</v>
      </c>
      <c r="L585" s="11" t="str">
        <f t="shared" ref="L585:L648" si="10">HYPERLINK("2\0\" &amp; K585, "Ver Imagen")</f>
        <v>Ver Imagen</v>
      </c>
      <c r="M585" t="s">
        <v>15</v>
      </c>
    </row>
    <row r="586" spans="1:13" x14ac:dyDescent="0.25">
      <c r="A586">
        <v>585</v>
      </c>
      <c r="B586" t="s">
        <v>1182</v>
      </c>
      <c r="C586" s="1">
        <v>37.488297386399999</v>
      </c>
      <c r="D586" s="1">
        <v>-7.27950911768</v>
      </c>
      <c r="E586" s="3">
        <v>2</v>
      </c>
      <c r="F586" s="2">
        <v>2</v>
      </c>
      <c r="G586" s="4">
        <v>2</v>
      </c>
      <c r="H586" s="13"/>
      <c r="I586" s="15"/>
      <c r="J586" s="19">
        <v>2</v>
      </c>
      <c r="K586" s="2" t="s">
        <v>1183</v>
      </c>
      <c r="L586" s="11" t="str">
        <f t="shared" si="10"/>
        <v>Ver Imagen</v>
      </c>
      <c r="M586" t="s">
        <v>15</v>
      </c>
    </row>
    <row r="587" spans="1:13" x14ac:dyDescent="0.25">
      <c r="A587">
        <v>586</v>
      </c>
      <c r="B587" t="s">
        <v>1184</v>
      </c>
      <c r="C587" s="1">
        <v>37.488487685499997</v>
      </c>
      <c r="D587" s="1">
        <v>-7.2794098321299998</v>
      </c>
      <c r="E587" s="3">
        <v>2</v>
      </c>
      <c r="F587" s="2">
        <v>2</v>
      </c>
      <c r="G587" s="4">
        <v>2</v>
      </c>
      <c r="H587" s="13"/>
      <c r="I587" s="15"/>
      <c r="J587" s="19">
        <v>2</v>
      </c>
      <c r="K587" s="2" t="s">
        <v>1185</v>
      </c>
      <c r="L587" s="11" t="str">
        <f t="shared" si="10"/>
        <v>Ver Imagen</v>
      </c>
      <c r="M587" t="s">
        <v>15</v>
      </c>
    </row>
    <row r="588" spans="1:13" x14ac:dyDescent="0.25">
      <c r="A588">
        <v>587</v>
      </c>
      <c r="B588" t="s">
        <v>1186</v>
      </c>
      <c r="C588" s="1">
        <v>37.489200255199997</v>
      </c>
      <c r="D588" s="1">
        <v>-7.2790403025600003</v>
      </c>
      <c r="E588" s="3">
        <v>2</v>
      </c>
      <c r="F588" s="2">
        <v>2</v>
      </c>
      <c r="G588" s="4">
        <v>2</v>
      </c>
      <c r="H588" s="13"/>
      <c r="I588" s="15"/>
      <c r="J588" s="19">
        <v>2</v>
      </c>
      <c r="K588" s="2" t="s">
        <v>1187</v>
      </c>
      <c r="L588" s="11" t="str">
        <f t="shared" si="10"/>
        <v>Ver Imagen</v>
      </c>
      <c r="M588" t="s">
        <v>15</v>
      </c>
    </row>
    <row r="589" spans="1:13" x14ac:dyDescent="0.25">
      <c r="A589">
        <v>588</v>
      </c>
      <c r="B589" t="s">
        <v>1188</v>
      </c>
      <c r="C589" s="1">
        <v>37.489392279199997</v>
      </c>
      <c r="D589" s="1">
        <v>-7.2789390953900002</v>
      </c>
      <c r="E589" s="3">
        <v>2</v>
      </c>
      <c r="F589" s="2">
        <v>2</v>
      </c>
      <c r="G589" s="4">
        <v>2</v>
      </c>
      <c r="H589" s="13"/>
      <c r="I589" s="15"/>
      <c r="J589" s="19">
        <v>2</v>
      </c>
      <c r="K589" s="2" t="s">
        <v>1189</v>
      </c>
      <c r="L589" s="11" t="str">
        <f t="shared" si="10"/>
        <v>Ver Imagen</v>
      </c>
      <c r="M589" t="s">
        <v>15</v>
      </c>
    </row>
    <row r="590" spans="1:13" x14ac:dyDescent="0.25">
      <c r="A590">
        <v>589</v>
      </c>
      <c r="B590" t="s">
        <v>1190</v>
      </c>
      <c r="C590" s="1">
        <v>37.489567597499999</v>
      </c>
      <c r="D590" s="1">
        <v>-7.2788462569499996</v>
      </c>
      <c r="E590" s="3">
        <v>2</v>
      </c>
      <c r="F590" s="2">
        <v>2</v>
      </c>
      <c r="G590" s="4">
        <v>2</v>
      </c>
      <c r="H590" s="13"/>
      <c r="I590" s="15"/>
      <c r="J590" s="19">
        <v>2</v>
      </c>
      <c r="K590" s="2" t="s">
        <v>1191</v>
      </c>
      <c r="L590" s="11" t="str">
        <f t="shared" si="10"/>
        <v>Ver Imagen</v>
      </c>
      <c r="M590" t="s">
        <v>15</v>
      </c>
    </row>
    <row r="591" spans="1:13" x14ac:dyDescent="0.25">
      <c r="A591">
        <v>590</v>
      </c>
      <c r="B591" t="s">
        <v>1192</v>
      </c>
      <c r="C591" s="1">
        <v>37.489804213799999</v>
      </c>
      <c r="D591" s="1">
        <v>-7.2787219349100001</v>
      </c>
      <c r="E591" s="3">
        <v>2</v>
      </c>
      <c r="F591" s="2">
        <v>2</v>
      </c>
      <c r="G591" s="4">
        <v>2</v>
      </c>
      <c r="H591" s="13"/>
      <c r="I591" s="15"/>
      <c r="J591" s="19">
        <v>2</v>
      </c>
      <c r="K591" s="2" t="s">
        <v>1193</v>
      </c>
      <c r="L591" s="11" t="str">
        <f t="shared" si="10"/>
        <v>Ver Imagen</v>
      </c>
      <c r="M591" t="s">
        <v>15</v>
      </c>
    </row>
    <row r="592" spans="1:13" x14ac:dyDescent="0.25">
      <c r="A592">
        <v>591</v>
      </c>
      <c r="B592" t="s">
        <v>1194</v>
      </c>
      <c r="C592" s="1">
        <v>37.489974659799998</v>
      </c>
      <c r="D592" s="1">
        <v>-7.2786322407700004</v>
      </c>
      <c r="E592" s="3">
        <v>2</v>
      </c>
      <c r="F592" s="2">
        <v>2</v>
      </c>
      <c r="G592" s="4">
        <v>2</v>
      </c>
      <c r="H592" s="13"/>
      <c r="I592" s="15"/>
      <c r="J592" s="19">
        <v>2</v>
      </c>
      <c r="K592" s="2" t="s">
        <v>1195</v>
      </c>
      <c r="L592" s="11" t="str">
        <f t="shared" si="10"/>
        <v>Ver Imagen</v>
      </c>
      <c r="M592" t="s">
        <v>15</v>
      </c>
    </row>
    <row r="593" spans="1:13" x14ac:dyDescent="0.25">
      <c r="A593">
        <v>592</v>
      </c>
      <c r="B593" t="s">
        <v>1196</v>
      </c>
      <c r="C593" s="1">
        <v>37.490144200800003</v>
      </c>
      <c r="D593" s="1">
        <v>-7.2785429746199997</v>
      </c>
      <c r="E593" s="3">
        <v>2</v>
      </c>
      <c r="F593" s="2">
        <v>2</v>
      </c>
      <c r="G593" s="4">
        <v>2</v>
      </c>
      <c r="H593" s="13"/>
      <c r="I593" s="15"/>
      <c r="J593" s="19">
        <v>2</v>
      </c>
      <c r="K593" s="2" t="s">
        <v>1197</v>
      </c>
      <c r="L593" s="11" t="str">
        <f t="shared" si="10"/>
        <v>Ver Imagen</v>
      </c>
      <c r="M593" t="s">
        <v>15</v>
      </c>
    </row>
    <row r="594" spans="1:13" x14ac:dyDescent="0.25">
      <c r="A594">
        <v>593</v>
      </c>
      <c r="B594" t="s">
        <v>1198</v>
      </c>
      <c r="C594" s="1">
        <v>37.490314813700003</v>
      </c>
      <c r="D594" s="1">
        <v>-7.2784538187000001</v>
      </c>
      <c r="E594" s="3">
        <v>2</v>
      </c>
      <c r="F594" s="2">
        <v>2</v>
      </c>
      <c r="G594" s="4">
        <v>2</v>
      </c>
      <c r="H594" s="13"/>
      <c r="I594" s="15"/>
      <c r="J594" s="19">
        <v>2</v>
      </c>
      <c r="K594" s="2" t="s">
        <v>1199</v>
      </c>
      <c r="L594" s="11" t="str">
        <f t="shared" si="10"/>
        <v>Ver Imagen</v>
      </c>
      <c r="M594" t="s">
        <v>15</v>
      </c>
    </row>
    <row r="595" spans="1:13" x14ac:dyDescent="0.25">
      <c r="A595">
        <v>594</v>
      </c>
      <c r="B595" t="s">
        <v>1200</v>
      </c>
      <c r="C595" s="1">
        <v>37.4905229019</v>
      </c>
      <c r="D595" s="1">
        <v>-7.27834664421</v>
      </c>
      <c r="E595" s="3">
        <v>2</v>
      </c>
      <c r="F595" s="2">
        <v>2</v>
      </c>
      <c r="G595" s="4">
        <v>2</v>
      </c>
      <c r="H595" s="13"/>
      <c r="I595" s="15"/>
      <c r="J595" s="19">
        <v>2</v>
      </c>
      <c r="K595" s="2" t="s">
        <v>1201</v>
      </c>
      <c r="L595" s="11" t="str">
        <f t="shared" si="10"/>
        <v>Ver Imagen</v>
      </c>
      <c r="M595" t="s">
        <v>15</v>
      </c>
    </row>
    <row r="596" spans="1:13" x14ac:dyDescent="0.25">
      <c r="A596">
        <v>595</v>
      </c>
      <c r="B596" t="s">
        <v>1202</v>
      </c>
      <c r="C596" s="1">
        <v>37.490726288600001</v>
      </c>
      <c r="D596" s="1">
        <v>-7.27824520355</v>
      </c>
      <c r="E596" s="3">
        <v>2</v>
      </c>
      <c r="F596" s="2">
        <v>2</v>
      </c>
      <c r="G596" s="4">
        <v>2</v>
      </c>
      <c r="H596" s="13"/>
      <c r="I596" s="15"/>
      <c r="J596" s="19">
        <v>2</v>
      </c>
      <c r="K596" s="2" t="s">
        <v>1203</v>
      </c>
      <c r="L596" s="11" t="str">
        <f t="shared" si="10"/>
        <v>Ver Imagen</v>
      </c>
      <c r="M596" t="s">
        <v>15</v>
      </c>
    </row>
    <row r="597" spans="1:13" x14ac:dyDescent="0.25">
      <c r="A597">
        <v>596</v>
      </c>
      <c r="B597" t="s">
        <v>1204</v>
      </c>
      <c r="C597" s="1">
        <v>37.490894048100003</v>
      </c>
      <c r="D597" s="1">
        <v>-7.2781646928999999</v>
      </c>
      <c r="E597" s="3">
        <v>2</v>
      </c>
      <c r="F597" s="2">
        <v>2</v>
      </c>
      <c r="G597" s="4">
        <v>2</v>
      </c>
      <c r="H597" s="13"/>
      <c r="I597" s="15"/>
      <c r="J597" s="19">
        <v>2</v>
      </c>
      <c r="K597" s="2" t="s">
        <v>1205</v>
      </c>
      <c r="L597" s="11" t="str">
        <f t="shared" si="10"/>
        <v>Ver Imagen</v>
      </c>
      <c r="M597" t="s">
        <v>15</v>
      </c>
    </row>
    <row r="598" spans="1:13" x14ac:dyDescent="0.25">
      <c r="A598">
        <v>597</v>
      </c>
      <c r="B598" t="s">
        <v>1206</v>
      </c>
      <c r="C598" s="1">
        <v>37.491090898099998</v>
      </c>
      <c r="D598" s="1">
        <v>-7.2780739283000004</v>
      </c>
      <c r="E598" s="3">
        <v>2</v>
      </c>
      <c r="F598" s="2">
        <v>2</v>
      </c>
      <c r="G598" s="4">
        <v>2</v>
      </c>
      <c r="H598" s="13"/>
      <c r="I598" s="15"/>
      <c r="J598" s="19">
        <v>2</v>
      </c>
      <c r="K598" s="2" t="s">
        <v>1207</v>
      </c>
      <c r="L598" s="11" t="str">
        <f t="shared" si="10"/>
        <v>Ver Imagen</v>
      </c>
      <c r="M598" t="s">
        <v>15</v>
      </c>
    </row>
    <row r="599" spans="1:13" x14ac:dyDescent="0.25">
      <c r="A599">
        <v>598</v>
      </c>
      <c r="B599" t="s">
        <v>1208</v>
      </c>
      <c r="C599" s="1">
        <v>37.491299261499996</v>
      </c>
      <c r="D599" s="1">
        <v>-7.2779811399899996</v>
      </c>
      <c r="E599" s="3">
        <v>2</v>
      </c>
      <c r="F599" s="2">
        <v>2</v>
      </c>
      <c r="G599" s="4">
        <v>2</v>
      </c>
      <c r="H599" s="13"/>
      <c r="I599" s="15"/>
      <c r="J599" s="19">
        <v>2</v>
      </c>
      <c r="K599" s="2" t="s">
        <v>1209</v>
      </c>
      <c r="L599" s="11" t="str">
        <f t="shared" si="10"/>
        <v>Ver Imagen</v>
      </c>
      <c r="M599" t="s">
        <v>15</v>
      </c>
    </row>
    <row r="600" spans="1:13" x14ac:dyDescent="0.25">
      <c r="A600">
        <v>599</v>
      </c>
      <c r="B600" t="s">
        <v>1210</v>
      </c>
      <c r="C600" s="1">
        <v>37.491680941200002</v>
      </c>
      <c r="D600" s="1">
        <v>-7.2778156567599996</v>
      </c>
      <c r="E600" s="3">
        <v>2</v>
      </c>
      <c r="F600" s="2">
        <v>2</v>
      </c>
      <c r="G600" s="4">
        <v>2</v>
      </c>
      <c r="H600" s="13"/>
      <c r="I600" s="15"/>
      <c r="J600" s="19">
        <v>2</v>
      </c>
      <c r="K600" s="2" t="s">
        <v>1211</v>
      </c>
      <c r="L600" s="11" t="str">
        <f t="shared" si="10"/>
        <v>Ver Imagen</v>
      </c>
      <c r="M600" t="s">
        <v>15</v>
      </c>
    </row>
    <row r="601" spans="1:13" x14ac:dyDescent="0.25">
      <c r="A601">
        <v>600</v>
      </c>
      <c r="B601" t="s">
        <v>1212</v>
      </c>
      <c r="C601" s="1">
        <v>37.491870466999998</v>
      </c>
      <c r="D601" s="1">
        <v>-7.2777357557900002</v>
      </c>
      <c r="E601" s="3">
        <v>2</v>
      </c>
      <c r="F601" s="2">
        <v>2</v>
      </c>
      <c r="G601" s="4">
        <v>2</v>
      </c>
      <c r="H601" s="13"/>
      <c r="I601" s="15"/>
      <c r="J601" s="19">
        <v>2</v>
      </c>
      <c r="K601" s="2" t="s">
        <v>1213</v>
      </c>
      <c r="L601" s="11" t="str">
        <f t="shared" si="10"/>
        <v>Ver Imagen</v>
      </c>
      <c r="M601" t="s">
        <v>15</v>
      </c>
    </row>
    <row r="602" spans="1:13" x14ac:dyDescent="0.25">
      <c r="A602">
        <v>601</v>
      </c>
      <c r="B602" t="s">
        <v>1214</v>
      </c>
      <c r="C602" s="1">
        <v>37.492228894299998</v>
      </c>
      <c r="D602" s="1">
        <v>-7.2775893254600001</v>
      </c>
      <c r="E602" s="3">
        <v>2</v>
      </c>
      <c r="F602" s="2">
        <v>2</v>
      </c>
      <c r="G602" s="4">
        <v>2</v>
      </c>
      <c r="H602" s="13"/>
      <c r="I602" s="15"/>
      <c r="J602" s="19">
        <v>2</v>
      </c>
      <c r="K602" s="2" t="s">
        <v>1215</v>
      </c>
      <c r="L602" s="11" t="str">
        <f t="shared" si="10"/>
        <v>Ver Imagen</v>
      </c>
      <c r="M602" t="s">
        <v>15</v>
      </c>
    </row>
    <row r="603" spans="1:13" x14ac:dyDescent="0.25">
      <c r="A603">
        <v>602</v>
      </c>
      <c r="B603" t="s">
        <v>1216</v>
      </c>
      <c r="C603" s="1">
        <v>37.492420259799999</v>
      </c>
      <c r="D603" s="1">
        <v>-7.2775144063599999</v>
      </c>
      <c r="E603" s="3">
        <v>2</v>
      </c>
      <c r="F603" s="2">
        <v>2</v>
      </c>
      <c r="G603" s="4">
        <v>2</v>
      </c>
      <c r="H603" s="13"/>
      <c r="I603" s="15"/>
      <c r="J603" s="19">
        <v>2</v>
      </c>
      <c r="K603" s="2" t="s">
        <v>1217</v>
      </c>
      <c r="L603" s="11" t="str">
        <f t="shared" si="10"/>
        <v>Ver Imagen</v>
      </c>
      <c r="M603" t="s">
        <v>15</v>
      </c>
    </row>
    <row r="604" spans="1:13" x14ac:dyDescent="0.25">
      <c r="A604">
        <v>603</v>
      </c>
      <c r="B604" t="s">
        <v>1218</v>
      </c>
      <c r="C604" s="1">
        <v>37.493218637799998</v>
      </c>
      <c r="D604" s="1">
        <v>-7.2772369968300001</v>
      </c>
      <c r="E604" s="3">
        <v>2</v>
      </c>
      <c r="F604" s="2">
        <v>2</v>
      </c>
      <c r="G604" s="4">
        <v>2</v>
      </c>
      <c r="H604" s="13"/>
      <c r="I604" s="15"/>
      <c r="J604" s="19">
        <v>2</v>
      </c>
      <c r="K604" s="2" t="s">
        <v>1219</v>
      </c>
      <c r="L604" s="11" t="str">
        <f t="shared" si="10"/>
        <v>Ver Imagen</v>
      </c>
      <c r="M604" t="s">
        <v>15</v>
      </c>
    </row>
    <row r="605" spans="1:13" x14ac:dyDescent="0.25">
      <c r="A605">
        <v>604</v>
      </c>
      <c r="B605" t="s">
        <v>1220</v>
      </c>
      <c r="C605" s="1">
        <v>37.494002237700002</v>
      </c>
      <c r="D605" s="1">
        <v>-7.2769737337700002</v>
      </c>
      <c r="E605" s="3">
        <v>2</v>
      </c>
      <c r="F605" s="2">
        <v>2</v>
      </c>
      <c r="G605" s="4">
        <v>2</v>
      </c>
      <c r="H605" s="13"/>
      <c r="I605" s="15"/>
      <c r="J605" s="19">
        <v>2</v>
      </c>
      <c r="K605" s="2" t="s">
        <v>1221</v>
      </c>
      <c r="L605" s="11" t="str">
        <f t="shared" si="10"/>
        <v>Ver Imagen</v>
      </c>
      <c r="M605" t="s">
        <v>15</v>
      </c>
    </row>
    <row r="606" spans="1:13" x14ac:dyDescent="0.25">
      <c r="A606">
        <v>605</v>
      </c>
      <c r="B606" t="s">
        <v>1222</v>
      </c>
      <c r="C606" s="1">
        <v>37.494174429300003</v>
      </c>
      <c r="D606" s="1">
        <v>-7.2769169807100003</v>
      </c>
      <c r="E606" s="3">
        <v>2</v>
      </c>
      <c r="F606" s="2">
        <v>2</v>
      </c>
      <c r="G606" s="4">
        <v>2</v>
      </c>
      <c r="H606" s="13"/>
      <c r="I606" s="15"/>
      <c r="J606" s="19">
        <v>2</v>
      </c>
      <c r="K606" s="2" t="s">
        <v>1223</v>
      </c>
      <c r="L606" s="11" t="str">
        <f t="shared" si="10"/>
        <v>Ver Imagen</v>
      </c>
      <c r="M606" t="s">
        <v>15</v>
      </c>
    </row>
    <row r="607" spans="1:13" x14ac:dyDescent="0.25">
      <c r="A607">
        <v>606</v>
      </c>
      <c r="B607" t="s">
        <v>1224</v>
      </c>
      <c r="C607" s="1">
        <v>37.494580207799999</v>
      </c>
      <c r="D607" s="1">
        <v>-7.2767847517300002</v>
      </c>
      <c r="E607" s="3">
        <v>2</v>
      </c>
      <c r="F607" s="2">
        <v>2</v>
      </c>
      <c r="G607" s="4">
        <v>2</v>
      </c>
      <c r="H607" s="13"/>
      <c r="I607" s="15"/>
      <c r="J607" s="19">
        <v>2</v>
      </c>
      <c r="K607" s="2" t="s">
        <v>1225</v>
      </c>
      <c r="L607" s="11" t="str">
        <f t="shared" si="10"/>
        <v>Ver Imagen</v>
      </c>
      <c r="M607" t="s">
        <v>15</v>
      </c>
    </row>
    <row r="608" spans="1:13" x14ac:dyDescent="0.25">
      <c r="A608">
        <v>607</v>
      </c>
      <c r="B608" t="s">
        <v>1226</v>
      </c>
      <c r="C608" s="1">
        <v>37.495584025699998</v>
      </c>
      <c r="D608" s="1">
        <v>-7.2757746104700001</v>
      </c>
      <c r="E608" s="3">
        <v>2</v>
      </c>
      <c r="F608" s="2">
        <v>2</v>
      </c>
      <c r="G608" s="4">
        <v>2</v>
      </c>
      <c r="H608" s="13"/>
      <c r="I608" s="15"/>
      <c r="J608" s="19">
        <v>2</v>
      </c>
      <c r="K608" s="2" t="s">
        <v>1227</v>
      </c>
      <c r="L608" s="11" t="str">
        <f t="shared" si="10"/>
        <v>Ver Imagen</v>
      </c>
      <c r="M608" t="s">
        <v>15</v>
      </c>
    </row>
    <row r="609" spans="1:13" x14ac:dyDescent="0.25">
      <c r="A609">
        <v>608</v>
      </c>
      <c r="B609" t="s">
        <v>1228</v>
      </c>
      <c r="C609" s="1">
        <v>37.495701835399998</v>
      </c>
      <c r="D609" s="1">
        <v>-7.2740061949300001</v>
      </c>
      <c r="E609" s="3">
        <v>2</v>
      </c>
      <c r="F609" s="2">
        <v>2</v>
      </c>
      <c r="G609" s="4">
        <v>2</v>
      </c>
      <c r="H609" s="13"/>
      <c r="I609" s="15"/>
      <c r="J609" s="19">
        <v>2</v>
      </c>
      <c r="K609" s="2" t="s">
        <v>1229</v>
      </c>
      <c r="L609" s="11" t="str">
        <f t="shared" si="10"/>
        <v>Ver Imagen</v>
      </c>
      <c r="M609" t="s">
        <v>15</v>
      </c>
    </row>
    <row r="610" spans="1:13" x14ac:dyDescent="0.25">
      <c r="A610">
        <v>609</v>
      </c>
      <c r="B610" t="s">
        <v>1230</v>
      </c>
      <c r="C610" s="1">
        <v>37.495429935600001</v>
      </c>
      <c r="D610" s="1">
        <v>-7.2722659393600004</v>
      </c>
      <c r="E610" s="3">
        <v>2</v>
      </c>
      <c r="F610" s="2">
        <v>2</v>
      </c>
      <c r="G610" s="4">
        <v>2</v>
      </c>
      <c r="H610" s="13"/>
      <c r="I610" s="15"/>
      <c r="J610" s="19">
        <v>2</v>
      </c>
      <c r="K610" s="2" t="s">
        <v>1231</v>
      </c>
      <c r="L610" s="11" t="str">
        <f t="shared" si="10"/>
        <v>Ver Imagen</v>
      </c>
      <c r="M610" t="s">
        <v>15</v>
      </c>
    </row>
    <row r="611" spans="1:13" x14ac:dyDescent="0.25">
      <c r="A611">
        <v>610</v>
      </c>
      <c r="B611" t="s">
        <v>1232</v>
      </c>
      <c r="C611" s="1">
        <v>37.495393265499999</v>
      </c>
      <c r="D611" s="1">
        <v>-7.2720194308700004</v>
      </c>
      <c r="E611" s="3">
        <v>2</v>
      </c>
      <c r="F611" s="2">
        <v>2</v>
      </c>
      <c r="G611" s="4">
        <v>2</v>
      </c>
      <c r="H611" s="13"/>
      <c r="I611" s="15"/>
      <c r="J611" s="19">
        <v>2</v>
      </c>
      <c r="K611" s="2" t="s">
        <v>1233</v>
      </c>
      <c r="L611" s="11" t="str">
        <f t="shared" si="10"/>
        <v>Ver Imagen</v>
      </c>
      <c r="M611" t="s">
        <v>15</v>
      </c>
    </row>
    <row r="612" spans="1:13" x14ac:dyDescent="0.25">
      <c r="A612">
        <v>611</v>
      </c>
      <c r="B612" t="s">
        <v>1234</v>
      </c>
      <c r="C612" s="1">
        <v>37.495354194500003</v>
      </c>
      <c r="D612" s="1">
        <v>-7.2717148440699999</v>
      </c>
      <c r="E612" s="3">
        <v>2</v>
      </c>
      <c r="F612" s="2">
        <v>2</v>
      </c>
      <c r="G612" s="4">
        <v>2</v>
      </c>
      <c r="H612" s="13"/>
      <c r="I612" s="15"/>
      <c r="J612" s="19">
        <v>2</v>
      </c>
      <c r="K612" s="2" t="s">
        <v>1235</v>
      </c>
      <c r="L612" s="11" t="str">
        <f t="shared" si="10"/>
        <v>Ver Imagen</v>
      </c>
      <c r="M612" t="s">
        <v>15</v>
      </c>
    </row>
    <row r="613" spans="1:13" x14ac:dyDescent="0.25">
      <c r="A613">
        <v>612</v>
      </c>
      <c r="B613" t="s">
        <v>1236</v>
      </c>
      <c r="C613" s="1">
        <v>37.498215201000001</v>
      </c>
      <c r="D613" s="1">
        <v>-7.2677137217999999</v>
      </c>
      <c r="E613" s="3">
        <v>2</v>
      </c>
      <c r="F613" s="2">
        <v>2</v>
      </c>
      <c r="G613" s="4">
        <v>2</v>
      </c>
      <c r="H613" s="13"/>
      <c r="I613" s="15"/>
      <c r="J613" s="19">
        <v>2</v>
      </c>
      <c r="K613" s="2" t="s">
        <v>1237</v>
      </c>
      <c r="L613" s="11" t="str">
        <f t="shared" si="10"/>
        <v>Ver Imagen</v>
      </c>
      <c r="M613" t="s">
        <v>15</v>
      </c>
    </row>
    <row r="614" spans="1:13" x14ac:dyDescent="0.25">
      <c r="A614">
        <v>613</v>
      </c>
      <c r="B614" t="s">
        <v>1238</v>
      </c>
      <c r="C614" s="1">
        <v>37.498405799799997</v>
      </c>
      <c r="D614" s="1">
        <v>-7.2676484637699996</v>
      </c>
      <c r="E614" s="3">
        <v>2</v>
      </c>
      <c r="F614" s="2">
        <v>2</v>
      </c>
      <c r="G614" s="4">
        <v>2</v>
      </c>
      <c r="H614" s="13"/>
      <c r="I614" s="15"/>
      <c r="J614" s="19">
        <v>2</v>
      </c>
      <c r="K614" s="2" t="s">
        <v>1239</v>
      </c>
      <c r="L614" s="11" t="str">
        <f t="shared" si="10"/>
        <v>Ver Imagen</v>
      </c>
      <c r="M614" t="s">
        <v>15</v>
      </c>
    </row>
    <row r="615" spans="1:13" x14ac:dyDescent="0.25">
      <c r="A615">
        <v>614</v>
      </c>
      <c r="B615" t="s">
        <v>1240</v>
      </c>
      <c r="C615" s="1">
        <v>37.499181397500003</v>
      </c>
      <c r="D615" s="1">
        <v>-7.2673804090200003</v>
      </c>
      <c r="E615" s="3">
        <v>2</v>
      </c>
      <c r="F615" s="2">
        <v>2</v>
      </c>
      <c r="G615" s="4">
        <v>2</v>
      </c>
      <c r="H615" s="13"/>
      <c r="I615" s="15"/>
      <c r="J615" s="19">
        <v>2</v>
      </c>
      <c r="K615" s="2" t="s">
        <v>1241</v>
      </c>
      <c r="L615" s="11" t="str">
        <f t="shared" si="10"/>
        <v>Ver Imagen</v>
      </c>
      <c r="M615" t="s">
        <v>15</v>
      </c>
    </row>
    <row r="616" spans="1:13" x14ac:dyDescent="0.25">
      <c r="A616">
        <v>615</v>
      </c>
      <c r="B616" t="s">
        <v>1242</v>
      </c>
      <c r="C616" s="1">
        <v>37.499399637400003</v>
      </c>
      <c r="D616" s="1">
        <v>-7.2673058956499998</v>
      </c>
      <c r="E616" s="3">
        <v>2</v>
      </c>
      <c r="F616" s="2">
        <v>2</v>
      </c>
      <c r="G616" s="4">
        <v>2</v>
      </c>
      <c r="H616" s="13"/>
      <c r="I616" s="15"/>
      <c r="J616" s="19">
        <v>2</v>
      </c>
      <c r="K616" s="2" t="s">
        <v>1243</v>
      </c>
      <c r="L616" s="11" t="str">
        <f t="shared" si="10"/>
        <v>Ver Imagen</v>
      </c>
      <c r="M616" t="s">
        <v>15</v>
      </c>
    </row>
    <row r="617" spans="1:13" x14ac:dyDescent="0.25">
      <c r="A617">
        <v>616</v>
      </c>
      <c r="B617" t="s">
        <v>1244</v>
      </c>
      <c r="C617" s="1">
        <v>37.499775731200003</v>
      </c>
      <c r="D617" s="1">
        <v>-7.2671772393699996</v>
      </c>
      <c r="E617" s="3">
        <v>2</v>
      </c>
      <c r="F617" s="2">
        <v>2</v>
      </c>
      <c r="G617" s="4">
        <v>2</v>
      </c>
      <c r="H617" s="13"/>
      <c r="I617" s="15"/>
      <c r="J617" s="19">
        <v>2</v>
      </c>
      <c r="K617" s="2" t="s">
        <v>1245</v>
      </c>
      <c r="L617" s="11" t="str">
        <f t="shared" si="10"/>
        <v>Ver Imagen</v>
      </c>
      <c r="M617" t="s">
        <v>15</v>
      </c>
    </row>
    <row r="618" spans="1:13" x14ac:dyDescent="0.25">
      <c r="A618">
        <v>617</v>
      </c>
      <c r="B618" t="s">
        <v>1246</v>
      </c>
      <c r="C618" s="1">
        <v>37.499986066399998</v>
      </c>
      <c r="D618" s="1">
        <v>-7.2671050643499999</v>
      </c>
      <c r="E618" s="3">
        <v>2</v>
      </c>
      <c r="F618" s="2">
        <v>2</v>
      </c>
      <c r="G618" s="4">
        <v>2</v>
      </c>
      <c r="H618" s="13"/>
      <c r="I618" s="15"/>
      <c r="J618" s="19">
        <v>2</v>
      </c>
      <c r="K618" s="2" t="s">
        <v>1247</v>
      </c>
      <c r="L618" s="11" t="str">
        <f t="shared" si="10"/>
        <v>Ver Imagen</v>
      </c>
      <c r="M618" t="s">
        <v>15</v>
      </c>
    </row>
    <row r="619" spans="1:13" x14ac:dyDescent="0.25">
      <c r="A619">
        <v>618</v>
      </c>
      <c r="B619" t="s">
        <v>1248</v>
      </c>
      <c r="C619" s="1">
        <v>37.199550548600001</v>
      </c>
      <c r="D619" s="1">
        <v>-6.9846825061600004</v>
      </c>
      <c r="E619" s="3">
        <v>2</v>
      </c>
      <c r="F619" s="2">
        <v>2</v>
      </c>
      <c r="G619" s="4">
        <v>2</v>
      </c>
      <c r="H619" s="13"/>
      <c r="I619" s="15"/>
      <c r="J619" s="19">
        <v>2</v>
      </c>
      <c r="K619" s="2" t="s">
        <v>1249</v>
      </c>
      <c r="L619" s="11" t="str">
        <f t="shared" si="10"/>
        <v>Ver Imagen</v>
      </c>
      <c r="M619" t="s">
        <v>15</v>
      </c>
    </row>
    <row r="620" spans="1:13" x14ac:dyDescent="0.25">
      <c r="A620">
        <v>619</v>
      </c>
      <c r="B620" t="s">
        <v>1250</v>
      </c>
      <c r="C620" s="1">
        <v>37.199483657099996</v>
      </c>
      <c r="D620" s="1">
        <v>-6.9844348655499999</v>
      </c>
      <c r="E620" s="3">
        <v>2</v>
      </c>
      <c r="F620" s="2">
        <v>2</v>
      </c>
      <c r="G620" s="4">
        <v>2</v>
      </c>
      <c r="H620" s="13"/>
      <c r="I620" s="15"/>
      <c r="J620" s="19">
        <v>2</v>
      </c>
      <c r="K620" s="2" t="s">
        <v>1251</v>
      </c>
      <c r="L620" s="11" t="str">
        <f t="shared" si="10"/>
        <v>Ver Imagen</v>
      </c>
      <c r="M620" t="s">
        <v>15</v>
      </c>
    </row>
    <row r="621" spans="1:13" x14ac:dyDescent="0.25">
      <c r="A621">
        <v>620</v>
      </c>
      <c r="B621" t="s">
        <v>1252</v>
      </c>
      <c r="C621" s="1">
        <v>37.199416783899999</v>
      </c>
      <c r="D621" s="1">
        <v>-6.9841922960199998</v>
      </c>
      <c r="E621" s="3">
        <v>2</v>
      </c>
      <c r="F621" s="2">
        <v>2</v>
      </c>
      <c r="G621" s="4">
        <v>2</v>
      </c>
      <c r="H621" s="13"/>
      <c r="I621" s="15"/>
      <c r="J621" s="19">
        <v>2</v>
      </c>
      <c r="K621" s="2" t="s">
        <v>1253</v>
      </c>
      <c r="L621" s="11" t="str">
        <f t="shared" si="10"/>
        <v>Ver Imagen</v>
      </c>
      <c r="M621" t="s">
        <v>15</v>
      </c>
    </row>
    <row r="622" spans="1:13" x14ac:dyDescent="0.25">
      <c r="A622">
        <v>621</v>
      </c>
      <c r="B622" t="s">
        <v>1254</v>
      </c>
      <c r="C622" s="1">
        <v>37.199059087800002</v>
      </c>
      <c r="D622" s="1">
        <v>-6.9830255324500001</v>
      </c>
      <c r="E622" s="3">
        <v>2</v>
      </c>
      <c r="F622" s="2">
        <v>2</v>
      </c>
      <c r="G622" s="4">
        <v>2</v>
      </c>
      <c r="H622" s="13"/>
      <c r="I622" s="15"/>
      <c r="J622" s="19">
        <v>2</v>
      </c>
      <c r="K622" s="2" t="s">
        <v>1255</v>
      </c>
      <c r="L622" s="11" t="str">
        <f t="shared" si="10"/>
        <v>Ver Imagen</v>
      </c>
      <c r="M622" t="s">
        <v>15</v>
      </c>
    </row>
    <row r="623" spans="1:13" x14ac:dyDescent="0.25">
      <c r="A623">
        <v>622</v>
      </c>
      <c r="B623" t="s">
        <v>1256</v>
      </c>
      <c r="C623" s="1">
        <v>37.188119040300002</v>
      </c>
      <c r="D623" s="1">
        <v>-6.9789640987599997</v>
      </c>
      <c r="E623" s="3">
        <v>2</v>
      </c>
      <c r="F623" s="2">
        <v>2</v>
      </c>
      <c r="G623" s="4">
        <v>2</v>
      </c>
      <c r="H623" s="13"/>
      <c r="I623" s="15"/>
      <c r="J623" s="19">
        <v>2</v>
      </c>
      <c r="K623" s="2" t="s">
        <v>1257</v>
      </c>
      <c r="L623" s="11" t="str">
        <f t="shared" si="10"/>
        <v>Ver Imagen</v>
      </c>
      <c r="M623" t="s">
        <v>15</v>
      </c>
    </row>
    <row r="624" spans="1:13" x14ac:dyDescent="0.25">
      <c r="A624">
        <v>623</v>
      </c>
      <c r="B624" t="s">
        <v>1258</v>
      </c>
      <c r="C624" s="1">
        <v>37.187968173000002</v>
      </c>
      <c r="D624" s="1">
        <v>-6.9790709148000003</v>
      </c>
      <c r="E624" s="3">
        <v>2</v>
      </c>
      <c r="F624" s="2">
        <v>2</v>
      </c>
      <c r="G624" s="4">
        <v>2</v>
      </c>
      <c r="H624" s="13"/>
      <c r="I624" s="15"/>
      <c r="J624" s="19">
        <v>2</v>
      </c>
      <c r="K624" s="2" t="s">
        <v>1259</v>
      </c>
      <c r="L624" s="11" t="str">
        <f t="shared" si="10"/>
        <v>Ver Imagen</v>
      </c>
      <c r="M624" t="s">
        <v>15</v>
      </c>
    </row>
    <row r="625" spans="1:13" x14ac:dyDescent="0.25">
      <c r="A625">
        <v>624</v>
      </c>
      <c r="B625" t="s">
        <v>1260</v>
      </c>
      <c r="C625" s="1">
        <v>37.500364291899999</v>
      </c>
      <c r="D625" s="1">
        <v>-7.2669737034799997</v>
      </c>
      <c r="E625" s="3">
        <v>2</v>
      </c>
      <c r="F625" s="2">
        <v>2</v>
      </c>
      <c r="G625" s="4">
        <v>2</v>
      </c>
      <c r="H625" s="13"/>
      <c r="I625" s="15"/>
      <c r="J625" s="19">
        <v>2</v>
      </c>
      <c r="K625" s="2" t="s">
        <v>1261</v>
      </c>
      <c r="L625" s="11" t="str">
        <f t="shared" si="10"/>
        <v>Ver Imagen</v>
      </c>
      <c r="M625" t="s">
        <v>15</v>
      </c>
    </row>
    <row r="626" spans="1:13" x14ac:dyDescent="0.25">
      <c r="A626">
        <v>625</v>
      </c>
      <c r="B626" t="s">
        <v>1262</v>
      </c>
      <c r="C626" s="1">
        <v>37.500565088199998</v>
      </c>
      <c r="D626" s="1">
        <v>-7.2669043451600004</v>
      </c>
      <c r="E626" s="3">
        <v>2</v>
      </c>
      <c r="F626" s="2">
        <v>2</v>
      </c>
      <c r="G626" s="4">
        <v>2</v>
      </c>
      <c r="H626" s="13"/>
      <c r="I626" s="15"/>
      <c r="J626" s="19">
        <v>2</v>
      </c>
      <c r="K626" s="2" t="s">
        <v>1263</v>
      </c>
      <c r="L626" s="11" t="str">
        <f t="shared" si="10"/>
        <v>Ver Imagen</v>
      </c>
      <c r="M626" t="s">
        <v>15</v>
      </c>
    </row>
    <row r="627" spans="1:13" x14ac:dyDescent="0.25">
      <c r="A627">
        <v>626</v>
      </c>
      <c r="B627" t="s">
        <v>1264</v>
      </c>
      <c r="C627" s="1">
        <v>37.5007825227</v>
      </c>
      <c r="D627" s="1">
        <v>-7.2668308176799998</v>
      </c>
      <c r="E627" s="3">
        <v>2</v>
      </c>
      <c r="F627" s="2">
        <v>2</v>
      </c>
      <c r="G627" s="4">
        <v>2</v>
      </c>
      <c r="H627" s="13"/>
      <c r="I627" s="15"/>
      <c r="J627" s="19">
        <v>2</v>
      </c>
      <c r="K627" s="2" t="s">
        <v>1265</v>
      </c>
      <c r="L627" s="11" t="str">
        <f t="shared" si="10"/>
        <v>Ver Imagen</v>
      </c>
      <c r="M627" t="s">
        <v>15</v>
      </c>
    </row>
    <row r="628" spans="1:13" x14ac:dyDescent="0.25">
      <c r="A628">
        <v>627</v>
      </c>
      <c r="B628" t="s">
        <v>1266</v>
      </c>
      <c r="C628" s="1">
        <v>37.267437983800001</v>
      </c>
      <c r="D628" s="1">
        <v>-6.9595045572499998</v>
      </c>
      <c r="E628" s="3">
        <v>2</v>
      </c>
      <c r="F628" s="2">
        <v>2</v>
      </c>
      <c r="G628" s="4">
        <v>2</v>
      </c>
      <c r="H628" s="13"/>
      <c r="I628" s="15"/>
      <c r="J628" s="19">
        <v>2</v>
      </c>
      <c r="K628" s="2" t="s">
        <v>1267</v>
      </c>
      <c r="L628" s="11" t="str">
        <f t="shared" si="10"/>
        <v>Ver Imagen</v>
      </c>
      <c r="M628" t="s">
        <v>15</v>
      </c>
    </row>
    <row r="629" spans="1:13" x14ac:dyDescent="0.25">
      <c r="A629">
        <v>628</v>
      </c>
      <c r="B629" t="s">
        <v>1268</v>
      </c>
      <c r="C629" s="1">
        <v>37.503481090699999</v>
      </c>
      <c r="D629" s="1">
        <v>-7.2659131098899996</v>
      </c>
      <c r="E629" s="3">
        <v>2</v>
      </c>
      <c r="F629" s="2">
        <v>2</v>
      </c>
      <c r="G629" s="4">
        <v>2</v>
      </c>
      <c r="H629" s="13"/>
      <c r="I629" s="15"/>
      <c r="J629" s="19">
        <v>2</v>
      </c>
      <c r="K629" s="2" t="s">
        <v>1269</v>
      </c>
      <c r="L629" s="11" t="str">
        <f t="shared" si="10"/>
        <v>Ver Imagen</v>
      </c>
      <c r="M629" t="s">
        <v>15</v>
      </c>
    </row>
    <row r="630" spans="1:13" x14ac:dyDescent="0.25">
      <c r="A630">
        <v>629</v>
      </c>
      <c r="B630" t="s">
        <v>1270</v>
      </c>
      <c r="C630" s="1">
        <v>37.503688110699997</v>
      </c>
      <c r="D630" s="1">
        <v>-7.2658425770199999</v>
      </c>
      <c r="E630" s="3">
        <v>2</v>
      </c>
      <c r="F630" s="2">
        <v>2</v>
      </c>
      <c r="G630" s="4">
        <v>2</v>
      </c>
      <c r="H630" s="13"/>
      <c r="I630" s="15"/>
      <c r="J630" s="19">
        <v>2</v>
      </c>
      <c r="K630" s="2" t="s">
        <v>1271</v>
      </c>
      <c r="L630" s="11" t="str">
        <f t="shared" si="10"/>
        <v>Ver Imagen</v>
      </c>
      <c r="M630" t="s">
        <v>15</v>
      </c>
    </row>
    <row r="631" spans="1:13" x14ac:dyDescent="0.25">
      <c r="A631">
        <v>630</v>
      </c>
      <c r="B631" t="s">
        <v>1272</v>
      </c>
      <c r="C631" s="1">
        <v>37.503867468499998</v>
      </c>
      <c r="D631" s="1">
        <v>-7.2657818215500001</v>
      </c>
      <c r="E631" s="3">
        <v>2</v>
      </c>
      <c r="F631" s="2">
        <v>2</v>
      </c>
      <c r="G631" s="4">
        <v>2</v>
      </c>
      <c r="H631" s="13"/>
      <c r="I631" s="15"/>
      <c r="J631" s="19">
        <v>2</v>
      </c>
      <c r="K631" s="2" t="s">
        <v>1273</v>
      </c>
      <c r="L631" s="11" t="str">
        <f t="shared" si="10"/>
        <v>Ver Imagen</v>
      </c>
      <c r="M631" t="s">
        <v>15</v>
      </c>
    </row>
    <row r="632" spans="1:13" x14ac:dyDescent="0.25">
      <c r="A632">
        <v>631</v>
      </c>
      <c r="B632" t="s">
        <v>1274</v>
      </c>
      <c r="C632" s="1">
        <v>37.504058018999999</v>
      </c>
      <c r="D632" s="1">
        <v>-7.2657176394</v>
      </c>
      <c r="E632" s="3">
        <v>2</v>
      </c>
      <c r="F632" s="2">
        <v>2</v>
      </c>
      <c r="G632" s="4">
        <v>2</v>
      </c>
      <c r="H632" s="13"/>
      <c r="I632" s="15"/>
      <c r="J632" s="19">
        <v>2</v>
      </c>
      <c r="K632" s="2" t="s">
        <v>1275</v>
      </c>
      <c r="L632" s="11" t="str">
        <f t="shared" si="10"/>
        <v>Ver Imagen</v>
      </c>
      <c r="M632" t="s">
        <v>15</v>
      </c>
    </row>
    <row r="633" spans="1:13" x14ac:dyDescent="0.25">
      <c r="A633">
        <v>632</v>
      </c>
      <c r="B633" t="s">
        <v>1276</v>
      </c>
      <c r="C633" s="1">
        <v>37.505250669399999</v>
      </c>
      <c r="D633" s="1">
        <v>-7.2653238185799998</v>
      </c>
      <c r="E633" s="3">
        <v>2</v>
      </c>
      <c r="F633" s="2">
        <v>2</v>
      </c>
      <c r="G633" s="4">
        <v>2</v>
      </c>
      <c r="H633" s="13"/>
      <c r="I633" s="15"/>
      <c r="J633" s="19">
        <v>2</v>
      </c>
      <c r="K633" s="2" t="s">
        <v>1277</v>
      </c>
      <c r="L633" s="11" t="str">
        <f t="shared" si="10"/>
        <v>Ver Imagen</v>
      </c>
      <c r="M633" t="s">
        <v>15</v>
      </c>
    </row>
    <row r="634" spans="1:13" x14ac:dyDescent="0.25">
      <c r="A634">
        <v>633</v>
      </c>
      <c r="B634" t="s">
        <v>1278</v>
      </c>
      <c r="C634" s="1">
        <v>37.505438882500002</v>
      </c>
      <c r="D634" s="1">
        <v>-7.2652850656299997</v>
      </c>
      <c r="E634" s="3">
        <v>2</v>
      </c>
      <c r="F634" s="2">
        <v>2</v>
      </c>
      <c r="G634" s="4">
        <v>2</v>
      </c>
      <c r="H634" s="13"/>
      <c r="I634" s="15"/>
      <c r="J634" s="19">
        <v>2</v>
      </c>
      <c r="K634" s="2" t="s">
        <v>1279</v>
      </c>
      <c r="L634" s="11" t="str">
        <f t="shared" si="10"/>
        <v>Ver Imagen</v>
      </c>
      <c r="M634" t="s">
        <v>15</v>
      </c>
    </row>
    <row r="635" spans="1:13" x14ac:dyDescent="0.25">
      <c r="A635">
        <v>634</v>
      </c>
      <c r="B635" t="s">
        <v>1280</v>
      </c>
      <c r="C635" s="1">
        <v>37.505654012699999</v>
      </c>
      <c r="D635" s="1">
        <v>-7.2652592967</v>
      </c>
      <c r="E635" s="3">
        <v>2</v>
      </c>
      <c r="F635" s="2">
        <v>2</v>
      </c>
      <c r="G635" s="4">
        <v>2</v>
      </c>
      <c r="H635" s="13"/>
      <c r="I635" s="15"/>
      <c r="J635" s="19">
        <v>2</v>
      </c>
      <c r="K635" s="2" t="s">
        <v>1281</v>
      </c>
      <c r="L635" s="11" t="str">
        <f t="shared" si="10"/>
        <v>Ver Imagen</v>
      </c>
      <c r="M635" t="s">
        <v>15</v>
      </c>
    </row>
    <row r="636" spans="1:13" x14ac:dyDescent="0.25">
      <c r="A636">
        <v>635</v>
      </c>
      <c r="B636" t="s">
        <v>1282</v>
      </c>
      <c r="C636" s="1">
        <v>37.505862195500001</v>
      </c>
      <c r="D636" s="1">
        <v>-7.2652538619399998</v>
      </c>
      <c r="E636" s="3">
        <v>2</v>
      </c>
      <c r="F636" s="2">
        <v>2</v>
      </c>
      <c r="G636" s="4">
        <v>2</v>
      </c>
      <c r="H636" s="13"/>
      <c r="I636" s="15"/>
      <c r="J636" s="19">
        <v>2</v>
      </c>
      <c r="K636" s="2" t="s">
        <v>1283</v>
      </c>
      <c r="L636" s="11" t="str">
        <f t="shared" si="10"/>
        <v>Ver Imagen</v>
      </c>
      <c r="M636" t="s">
        <v>15</v>
      </c>
    </row>
    <row r="637" spans="1:13" x14ac:dyDescent="0.25">
      <c r="A637">
        <v>636</v>
      </c>
      <c r="B637" t="s">
        <v>1284</v>
      </c>
      <c r="C637" s="1">
        <v>37.506234359600001</v>
      </c>
      <c r="D637" s="1">
        <v>-7.2652946396400004</v>
      </c>
      <c r="E637" s="3">
        <v>2</v>
      </c>
      <c r="F637" s="2">
        <v>2</v>
      </c>
      <c r="G637" s="4">
        <v>2</v>
      </c>
      <c r="H637" s="13"/>
      <c r="I637" s="15"/>
      <c r="J637" s="19">
        <v>2</v>
      </c>
      <c r="K637" s="2" t="s">
        <v>1285</v>
      </c>
      <c r="L637" s="11" t="str">
        <f t="shared" si="10"/>
        <v>Ver Imagen</v>
      </c>
      <c r="M637" t="s">
        <v>15</v>
      </c>
    </row>
    <row r="638" spans="1:13" x14ac:dyDescent="0.25">
      <c r="A638">
        <v>637</v>
      </c>
      <c r="B638" t="s">
        <v>1286</v>
      </c>
      <c r="C638" s="1">
        <v>37.506847427099999</v>
      </c>
      <c r="D638" s="1">
        <v>-7.2655074878799999</v>
      </c>
      <c r="E638" s="3">
        <v>2</v>
      </c>
      <c r="F638" s="2">
        <v>2</v>
      </c>
      <c r="G638" s="4">
        <v>2</v>
      </c>
      <c r="H638" s="13"/>
      <c r="I638" s="15"/>
      <c r="J638" s="19">
        <v>2</v>
      </c>
      <c r="K638" s="2" t="s">
        <v>1287</v>
      </c>
      <c r="L638" s="11" t="str">
        <f t="shared" si="10"/>
        <v>Ver Imagen</v>
      </c>
      <c r="M638" t="s">
        <v>15</v>
      </c>
    </row>
    <row r="639" spans="1:13" x14ac:dyDescent="0.25">
      <c r="A639">
        <v>638</v>
      </c>
      <c r="B639" t="s">
        <v>1288</v>
      </c>
      <c r="C639" s="1">
        <v>37.507207549</v>
      </c>
      <c r="D639" s="1">
        <v>-7.26572957571</v>
      </c>
      <c r="E639" s="3">
        <v>2</v>
      </c>
      <c r="F639" s="2">
        <v>2</v>
      </c>
      <c r="G639" s="4">
        <v>2</v>
      </c>
      <c r="H639" s="13"/>
      <c r="I639" s="15"/>
      <c r="J639" s="19">
        <v>2</v>
      </c>
      <c r="K639" s="2" t="s">
        <v>1289</v>
      </c>
      <c r="L639" s="11" t="str">
        <f t="shared" si="10"/>
        <v>Ver Imagen</v>
      </c>
      <c r="M639" t="s">
        <v>15</v>
      </c>
    </row>
    <row r="640" spans="1:13" x14ac:dyDescent="0.25">
      <c r="A640">
        <v>639</v>
      </c>
      <c r="B640" t="s">
        <v>1290</v>
      </c>
      <c r="C640" s="1">
        <v>37.508396085500003</v>
      </c>
      <c r="D640" s="1">
        <v>-7.2666777659799999</v>
      </c>
      <c r="E640" s="3">
        <v>2</v>
      </c>
      <c r="F640" s="2">
        <v>2</v>
      </c>
      <c r="G640" s="4">
        <v>2</v>
      </c>
      <c r="H640" s="13"/>
      <c r="I640" s="15"/>
      <c r="J640" s="19">
        <v>2</v>
      </c>
      <c r="K640" s="2" t="s">
        <v>1291</v>
      </c>
      <c r="L640" s="11" t="str">
        <f t="shared" si="10"/>
        <v>Ver Imagen</v>
      </c>
      <c r="M640" t="s">
        <v>15</v>
      </c>
    </row>
    <row r="641" spans="1:13" x14ac:dyDescent="0.25">
      <c r="A641">
        <v>640</v>
      </c>
      <c r="B641" t="s">
        <v>1292</v>
      </c>
      <c r="C641" s="1">
        <v>37.508572486200002</v>
      </c>
      <c r="D641" s="1">
        <v>-7.26681210939</v>
      </c>
      <c r="E641" s="3">
        <v>2</v>
      </c>
      <c r="F641" s="2">
        <v>2</v>
      </c>
      <c r="G641" s="4">
        <v>2</v>
      </c>
      <c r="H641" s="13"/>
      <c r="I641" s="15"/>
      <c r="J641" s="19">
        <v>2</v>
      </c>
      <c r="K641" s="2" t="s">
        <v>1293</v>
      </c>
      <c r="L641" s="11" t="str">
        <f t="shared" si="10"/>
        <v>Ver Imagen</v>
      </c>
      <c r="M641" t="s">
        <v>15</v>
      </c>
    </row>
    <row r="642" spans="1:13" x14ac:dyDescent="0.25">
      <c r="A642">
        <v>641</v>
      </c>
      <c r="B642" t="s">
        <v>1294</v>
      </c>
      <c r="C642" s="1">
        <v>37.508736904499997</v>
      </c>
      <c r="D642" s="1">
        <v>-7.2669314788400001</v>
      </c>
      <c r="E642" s="3">
        <v>2</v>
      </c>
      <c r="F642" s="2">
        <v>2</v>
      </c>
      <c r="G642" s="4">
        <v>2</v>
      </c>
      <c r="H642" s="13"/>
      <c r="I642" s="15"/>
      <c r="J642" s="19">
        <v>2</v>
      </c>
      <c r="K642" s="2" t="s">
        <v>1295</v>
      </c>
      <c r="L642" s="11" t="str">
        <f t="shared" si="10"/>
        <v>Ver Imagen</v>
      </c>
      <c r="M642" t="s">
        <v>15</v>
      </c>
    </row>
    <row r="643" spans="1:13" x14ac:dyDescent="0.25">
      <c r="A643">
        <v>642</v>
      </c>
      <c r="B643" t="s">
        <v>1296</v>
      </c>
      <c r="C643" s="1">
        <v>37.509667653100003</v>
      </c>
      <c r="D643" s="1">
        <v>-7.2674529037199997</v>
      </c>
      <c r="E643" s="3">
        <v>2</v>
      </c>
      <c r="F643" s="2">
        <v>2</v>
      </c>
      <c r="G643" s="4">
        <v>2</v>
      </c>
      <c r="H643" s="13"/>
      <c r="I643" s="15"/>
      <c r="J643" s="19">
        <v>2</v>
      </c>
      <c r="K643" s="2" t="s">
        <v>1297</v>
      </c>
      <c r="L643" s="11" t="str">
        <f t="shared" si="10"/>
        <v>Ver Imagen</v>
      </c>
      <c r="M643" t="s">
        <v>15</v>
      </c>
    </row>
    <row r="644" spans="1:13" x14ac:dyDescent="0.25">
      <c r="A644">
        <v>643</v>
      </c>
      <c r="B644" t="s">
        <v>1298</v>
      </c>
      <c r="C644" s="1">
        <v>37.511608316</v>
      </c>
      <c r="D644" s="1">
        <v>-7.2682102176400001</v>
      </c>
      <c r="E644" s="3">
        <v>2</v>
      </c>
      <c r="F644" s="2">
        <v>2</v>
      </c>
      <c r="G644" s="4">
        <v>2</v>
      </c>
      <c r="H644" s="13"/>
      <c r="I644" s="15"/>
      <c r="J644" s="19">
        <v>2</v>
      </c>
      <c r="K644" s="2" t="s">
        <v>1299</v>
      </c>
      <c r="L644" s="11" t="str">
        <f t="shared" si="10"/>
        <v>Ver Imagen</v>
      </c>
      <c r="M644" t="s">
        <v>15</v>
      </c>
    </row>
    <row r="645" spans="1:13" x14ac:dyDescent="0.25">
      <c r="A645">
        <v>644</v>
      </c>
      <c r="B645" t="s">
        <v>1300</v>
      </c>
      <c r="C645" s="1">
        <v>37.511991749099998</v>
      </c>
      <c r="D645" s="1">
        <v>-7.2683711928600001</v>
      </c>
      <c r="E645" s="3">
        <v>2</v>
      </c>
      <c r="F645" s="2">
        <v>2</v>
      </c>
      <c r="G645" s="4">
        <v>2</v>
      </c>
      <c r="H645" s="13"/>
      <c r="I645" s="15"/>
      <c r="J645" s="19">
        <v>2</v>
      </c>
      <c r="K645" s="2" t="s">
        <v>1301</v>
      </c>
      <c r="L645" s="11" t="str">
        <f t="shared" si="10"/>
        <v>Ver Imagen</v>
      </c>
      <c r="M645" t="s">
        <v>15</v>
      </c>
    </row>
    <row r="646" spans="1:13" x14ac:dyDescent="0.25">
      <c r="A646">
        <v>645</v>
      </c>
      <c r="B646" t="s">
        <v>1302</v>
      </c>
      <c r="C646" s="1">
        <v>37.5121795457</v>
      </c>
      <c r="D646" s="1">
        <v>-7.2684477087900001</v>
      </c>
      <c r="E646" s="3">
        <v>2</v>
      </c>
      <c r="F646" s="2">
        <v>2</v>
      </c>
      <c r="G646" s="4">
        <v>2</v>
      </c>
      <c r="H646" s="13"/>
      <c r="I646" s="15"/>
      <c r="J646" s="19">
        <v>2</v>
      </c>
      <c r="K646" s="2" t="s">
        <v>1303</v>
      </c>
      <c r="L646" s="11" t="str">
        <f t="shared" si="10"/>
        <v>Ver Imagen</v>
      </c>
      <c r="M646" t="s">
        <v>15</v>
      </c>
    </row>
    <row r="647" spans="1:13" x14ac:dyDescent="0.25">
      <c r="A647">
        <v>646</v>
      </c>
      <c r="B647" t="s">
        <v>1304</v>
      </c>
      <c r="C647" s="1">
        <v>37.512420091999999</v>
      </c>
      <c r="D647" s="1">
        <v>-7.2685458928299997</v>
      </c>
      <c r="E647" s="3">
        <v>2</v>
      </c>
      <c r="F647" s="2">
        <v>2</v>
      </c>
      <c r="G647" s="4">
        <v>2</v>
      </c>
      <c r="H647" s="13"/>
      <c r="I647" s="15"/>
      <c r="J647" s="19">
        <v>2</v>
      </c>
      <c r="K647" s="2" t="s">
        <v>1305</v>
      </c>
      <c r="L647" s="11" t="str">
        <f t="shared" si="10"/>
        <v>Ver Imagen</v>
      </c>
      <c r="M647" t="s">
        <v>15</v>
      </c>
    </row>
    <row r="648" spans="1:13" x14ac:dyDescent="0.25">
      <c r="A648">
        <v>647</v>
      </c>
      <c r="B648" t="s">
        <v>1306</v>
      </c>
      <c r="C648" s="1">
        <v>37.512575550900003</v>
      </c>
      <c r="D648" s="1">
        <v>-7.2686095749000001</v>
      </c>
      <c r="E648" s="3">
        <v>2</v>
      </c>
      <c r="F648" s="2">
        <v>2</v>
      </c>
      <c r="G648" s="4">
        <v>2</v>
      </c>
      <c r="H648" s="13"/>
      <c r="I648" s="15"/>
      <c r="J648" s="19">
        <v>2</v>
      </c>
      <c r="K648" s="2" t="s">
        <v>1307</v>
      </c>
      <c r="L648" s="11" t="str">
        <f t="shared" si="10"/>
        <v>Ver Imagen</v>
      </c>
      <c r="M648" t="s">
        <v>15</v>
      </c>
    </row>
    <row r="649" spans="1:13" x14ac:dyDescent="0.25">
      <c r="A649">
        <v>648</v>
      </c>
      <c r="B649" t="s">
        <v>1308</v>
      </c>
      <c r="C649" s="1">
        <v>37.5127809293</v>
      </c>
      <c r="D649" s="1">
        <v>-7.2686917714800003</v>
      </c>
      <c r="E649" s="3">
        <v>2</v>
      </c>
      <c r="F649" s="2">
        <v>2</v>
      </c>
      <c r="G649" s="4">
        <v>2</v>
      </c>
      <c r="H649" s="13"/>
      <c r="I649" s="15"/>
      <c r="J649" s="19">
        <v>2</v>
      </c>
      <c r="K649" s="2" t="s">
        <v>1309</v>
      </c>
      <c r="L649" s="11" t="str">
        <f t="shared" ref="L649:L712" si="11">HYPERLINK("2\0\" &amp; K649, "Ver Imagen")</f>
        <v>Ver Imagen</v>
      </c>
      <c r="M649" t="s">
        <v>15</v>
      </c>
    </row>
    <row r="650" spans="1:13" x14ac:dyDescent="0.25">
      <c r="A650">
        <v>649</v>
      </c>
      <c r="B650" t="s">
        <v>1310</v>
      </c>
      <c r="C650" s="1">
        <v>37.514340004799998</v>
      </c>
      <c r="D650" s="1">
        <v>-7.2689562436899999</v>
      </c>
      <c r="E650" s="3">
        <v>2</v>
      </c>
      <c r="F650" s="2">
        <v>2</v>
      </c>
      <c r="G650" s="4">
        <v>2</v>
      </c>
      <c r="H650" s="13"/>
      <c r="I650" s="15"/>
      <c r="J650" s="19">
        <v>2</v>
      </c>
      <c r="K650" s="2" t="s">
        <v>1311</v>
      </c>
      <c r="L650" s="11" t="str">
        <f t="shared" si="11"/>
        <v>Ver Imagen</v>
      </c>
      <c r="M650" t="s">
        <v>15</v>
      </c>
    </row>
    <row r="651" spans="1:13" x14ac:dyDescent="0.25">
      <c r="A651">
        <v>650</v>
      </c>
      <c r="B651" t="s">
        <v>1312</v>
      </c>
      <c r="C651" s="1">
        <v>37.514545406800003</v>
      </c>
      <c r="D651" s="1">
        <v>-7.2689035780799998</v>
      </c>
      <c r="E651" s="3">
        <v>2</v>
      </c>
      <c r="F651" s="2">
        <v>2</v>
      </c>
      <c r="G651" s="4">
        <v>2</v>
      </c>
      <c r="H651" s="13"/>
      <c r="I651" s="15"/>
      <c r="J651" s="19">
        <v>2</v>
      </c>
      <c r="K651" s="2" t="s">
        <v>1313</v>
      </c>
      <c r="L651" s="11" t="str">
        <f t="shared" si="11"/>
        <v>Ver Imagen</v>
      </c>
      <c r="M651" t="s">
        <v>15</v>
      </c>
    </row>
    <row r="652" spans="1:13" x14ac:dyDescent="0.25">
      <c r="A652">
        <v>651</v>
      </c>
      <c r="B652" t="s">
        <v>1314</v>
      </c>
      <c r="C652" s="1">
        <v>37.514916667999998</v>
      </c>
      <c r="D652" s="1">
        <v>-7.2687572213699996</v>
      </c>
      <c r="E652" s="3">
        <v>2</v>
      </c>
      <c r="F652" s="2">
        <v>2</v>
      </c>
      <c r="G652" s="4">
        <v>2</v>
      </c>
      <c r="H652" s="13"/>
      <c r="I652" s="15"/>
      <c r="J652" s="19">
        <v>2</v>
      </c>
      <c r="K652" s="2" t="s">
        <v>1315</v>
      </c>
      <c r="L652" s="11" t="str">
        <f t="shared" si="11"/>
        <v>Ver Imagen</v>
      </c>
      <c r="M652" t="s">
        <v>15</v>
      </c>
    </row>
    <row r="653" spans="1:13" x14ac:dyDescent="0.25">
      <c r="A653">
        <v>652</v>
      </c>
      <c r="B653" t="s">
        <v>1316</v>
      </c>
      <c r="C653" s="1">
        <v>37.515113349099998</v>
      </c>
      <c r="D653" s="1">
        <v>-7.2686477004399999</v>
      </c>
      <c r="E653" s="3">
        <v>2</v>
      </c>
      <c r="F653" s="2">
        <v>2</v>
      </c>
      <c r="G653" s="4">
        <v>2</v>
      </c>
      <c r="H653" s="13"/>
      <c r="I653" s="15"/>
      <c r="J653" s="19">
        <v>2</v>
      </c>
      <c r="K653" s="2" t="s">
        <v>1317</v>
      </c>
      <c r="L653" s="11" t="str">
        <f t="shared" si="11"/>
        <v>Ver Imagen</v>
      </c>
      <c r="M653" t="s">
        <v>15</v>
      </c>
    </row>
    <row r="654" spans="1:13" x14ac:dyDescent="0.25">
      <c r="A654">
        <v>653</v>
      </c>
      <c r="B654" t="s">
        <v>1318</v>
      </c>
      <c r="C654" s="1">
        <v>37.515760226099999</v>
      </c>
      <c r="D654" s="1">
        <v>-7.2680716509199996</v>
      </c>
      <c r="E654" s="3">
        <v>2</v>
      </c>
      <c r="F654" s="2">
        <v>2</v>
      </c>
      <c r="G654" s="4">
        <v>2</v>
      </c>
      <c r="H654" s="13"/>
      <c r="I654" s="15"/>
      <c r="J654" s="19">
        <v>2</v>
      </c>
      <c r="K654" s="2" t="s">
        <v>1319</v>
      </c>
      <c r="L654" s="11" t="str">
        <f t="shared" si="11"/>
        <v>Ver Imagen</v>
      </c>
      <c r="M654" t="s">
        <v>15</v>
      </c>
    </row>
    <row r="655" spans="1:13" x14ac:dyDescent="0.25">
      <c r="A655">
        <v>654</v>
      </c>
      <c r="B655" t="s">
        <v>1320</v>
      </c>
      <c r="C655" s="1">
        <v>37.516376911999998</v>
      </c>
      <c r="D655" s="1">
        <v>-7.2670784158500004</v>
      </c>
      <c r="E655" s="3">
        <v>2</v>
      </c>
      <c r="F655" s="2">
        <v>2</v>
      </c>
      <c r="G655" s="4">
        <v>2</v>
      </c>
      <c r="H655" s="13"/>
      <c r="I655" s="15"/>
      <c r="J655" s="19">
        <v>2</v>
      </c>
      <c r="K655" s="2" t="s">
        <v>1321</v>
      </c>
      <c r="L655" s="11" t="str">
        <f t="shared" si="11"/>
        <v>Ver Imagen</v>
      </c>
      <c r="M655" t="s">
        <v>15</v>
      </c>
    </row>
    <row r="656" spans="1:13" x14ac:dyDescent="0.25">
      <c r="A656">
        <v>655</v>
      </c>
      <c r="B656" t="s">
        <v>1322</v>
      </c>
      <c r="C656" s="1">
        <v>37.5164866211</v>
      </c>
      <c r="D656" s="1">
        <v>-7.2668644558700004</v>
      </c>
      <c r="E656" s="3">
        <v>2</v>
      </c>
      <c r="F656" s="2">
        <v>2</v>
      </c>
      <c r="G656" s="4">
        <v>2</v>
      </c>
      <c r="H656" s="13"/>
      <c r="I656" s="15"/>
      <c r="J656" s="19">
        <v>2</v>
      </c>
      <c r="K656" s="2" t="s">
        <v>1323</v>
      </c>
      <c r="L656" s="11" t="str">
        <f t="shared" si="11"/>
        <v>Ver Imagen</v>
      </c>
      <c r="M656" t="s">
        <v>15</v>
      </c>
    </row>
    <row r="657" spans="1:13" x14ac:dyDescent="0.25">
      <c r="A657">
        <v>656</v>
      </c>
      <c r="B657" t="s">
        <v>1324</v>
      </c>
      <c r="C657" s="1">
        <v>37.516921137700002</v>
      </c>
      <c r="D657" s="1">
        <v>-7.2660185845600003</v>
      </c>
      <c r="E657" s="3">
        <v>2</v>
      </c>
      <c r="F657" s="2">
        <v>2</v>
      </c>
      <c r="G657" s="4">
        <v>2</v>
      </c>
      <c r="H657" s="13"/>
      <c r="I657" s="15"/>
      <c r="J657" s="19">
        <v>2</v>
      </c>
      <c r="K657" s="2" t="s">
        <v>1325</v>
      </c>
      <c r="L657" s="11" t="str">
        <f t="shared" si="11"/>
        <v>Ver Imagen</v>
      </c>
      <c r="M657" t="s">
        <v>15</v>
      </c>
    </row>
    <row r="658" spans="1:13" x14ac:dyDescent="0.25">
      <c r="A658">
        <v>657</v>
      </c>
      <c r="B658" t="s">
        <v>1326</v>
      </c>
      <c r="C658" s="1">
        <v>37.517044576799996</v>
      </c>
      <c r="D658" s="1">
        <v>-7.2657765334800004</v>
      </c>
      <c r="E658" s="3">
        <v>2</v>
      </c>
      <c r="F658" s="2">
        <v>2</v>
      </c>
      <c r="G658" s="4">
        <v>2</v>
      </c>
      <c r="H658" s="13"/>
      <c r="I658" s="15"/>
      <c r="J658" s="19">
        <v>2</v>
      </c>
      <c r="K658" s="2" t="s">
        <v>1327</v>
      </c>
      <c r="L658" s="11" t="str">
        <f t="shared" si="11"/>
        <v>Ver Imagen</v>
      </c>
      <c r="M658" t="s">
        <v>15</v>
      </c>
    </row>
    <row r="659" spans="1:13" x14ac:dyDescent="0.25">
      <c r="A659">
        <v>658</v>
      </c>
      <c r="B659" t="s">
        <v>1328</v>
      </c>
      <c r="C659" s="1">
        <v>37.517799643099998</v>
      </c>
      <c r="D659" s="1">
        <v>-7.2642946372699999</v>
      </c>
      <c r="E659" s="3">
        <v>2</v>
      </c>
      <c r="F659" s="2">
        <v>2</v>
      </c>
      <c r="G659" s="4">
        <v>2</v>
      </c>
      <c r="H659" s="13"/>
      <c r="I659" s="15"/>
      <c r="J659" s="19">
        <v>2</v>
      </c>
      <c r="K659" s="2" t="s">
        <v>1329</v>
      </c>
      <c r="L659" s="11" t="str">
        <f t="shared" si="11"/>
        <v>Ver Imagen</v>
      </c>
      <c r="M659" t="s">
        <v>15</v>
      </c>
    </row>
    <row r="660" spans="1:13" x14ac:dyDescent="0.25">
      <c r="A660">
        <v>659</v>
      </c>
      <c r="B660" t="s">
        <v>1330</v>
      </c>
      <c r="C660" s="1">
        <v>37.517916662799998</v>
      </c>
      <c r="D660" s="1">
        <v>-7.2640653004800004</v>
      </c>
      <c r="E660" s="3">
        <v>2</v>
      </c>
      <c r="F660" s="2">
        <v>2</v>
      </c>
      <c r="G660" s="4">
        <v>2</v>
      </c>
      <c r="H660" s="13"/>
      <c r="I660" s="15"/>
      <c r="J660" s="19">
        <v>2</v>
      </c>
      <c r="K660" s="2" t="s">
        <v>1331</v>
      </c>
      <c r="L660" s="11" t="str">
        <f t="shared" si="11"/>
        <v>Ver Imagen</v>
      </c>
      <c r="M660" t="s">
        <v>15</v>
      </c>
    </row>
    <row r="661" spans="1:13" x14ac:dyDescent="0.25">
      <c r="A661">
        <v>660</v>
      </c>
      <c r="B661" t="s">
        <v>1332</v>
      </c>
      <c r="C661" s="1">
        <v>37.518120906299998</v>
      </c>
      <c r="D661" s="1">
        <v>-7.2636649632500001</v>
      </c>
      <c r="E661" s="3">
        <v>2</v>
      </c>
      <c r="F661" s="2">
        <v>2</v>
      </c>
      <c r="G661" s="4">
        <v>2</v>
      </c>
      <c r="H661" s="13"/>
      <c r="I661" s="15"/>
      <c r="J661" s="19">
        <v>2</v>
      </c>
      <c r="K661" s="2" t="s">
        <v>1333</v>
      </c>
      <c r="L661" s="11" t="str">
        <f t="shared" si="11"/>
        <v>Ver Imagen</v>
      </c>
      <c r="M661" t="s">
        <v>15</v>
      </c>
    </row>
    <row r="662" spans="1:13" x14ac:dyDescent="0.25">
      <c r="A662">
        <v>661</v>
      </c>
      <c r="B662" t="s">
        <v>1334</v>
      </c>
      <c r="C662" s="1">
        <v>37.518236623699998</v>
      </c>
      <c r="D662" s="1">
        <v>-7.2634380954199997</v>
      </c>
      <c r="E662" s="3">
        <v>2</v>
      </c>
      <c r="F662" s="2">
        <v>2</v>
      </c>
      <c r="G662" s="4">
        <v>2</v>
      </c>
      <c r="H662" s="13"/>
      <c r="I662" s="15"/>
      <c r="J662" s="19">
        <v>2</v>
      </c>
      <c r="K662" s="2" t="s">
        <v>1335</v>
      </c>
      <c r="L662" s="11" t="str">
        <f t="shared" si="11"/>
        <v>Ver Imagen</v>
      </c>
      <c r="M662" t="s">
        <v>15</v>
      </c>
    </row>
    <row r="663" spans="1:13" x14ac:dyDescent="0.25">
      <c r="A663">
        <v>662</v>
      </c>
      <c r="B663" t="s">
        <v>1336</v>
      </c>
      <c r="C663" s="1">
        <v>37.518343961500001</v>
      </c>
      <c r="D663" s="1">
        <v>-7.2632280650199998</v>
      </c>
      <c r="E663" s="3">
        <v>2</v>
      </c>
      <c r="F663" s="2">
        <v>2</v>
      </c>
      <c r="G663" s="4">
        <v>2</v>
      </c>
      <c r="H663" s="13"/>
      <c r="I663" s="15"/>
      <c r="J663" s="19">
        <v>2</v>
      </c>
      <c r="K663" s="2" t="s">
        <v>1337</v>
      </c>
      <c r="L663" s="11" t="str">
        <f t="shared" si="11"/>
        <v>Ver Imagen</v>
      </c>
      <c r="M663" t="s">
        <v>15</v>
      </c>
    </row>
    <row r="664" spans="1:13" x14ac:dyDescent="0.25">
      <c r="A664">
        <v>663</v>
      </c>
      <c r="B664" t="s">
        <v>1338</v>
      </c>
      <c r="C664" s="1">
        <v>37.518728689</v>
      </c>
      <c r="D664" s="1">
        <v>-7.2625645455300001</v>
      </c>
      <c r="E664" s="3">
        <v>2</v>
      </c>
      <c r="F664" s="2">
        <v>2</v>
      </c>
      <c r="G664" s="4">
        <v>2</v>
      </c>
      <c r="H664" s="13"/>
      <c r="I664" s="15"/>
      <c r="J664" s="19">
        <v>2</v>
      </c>
      <c r="K664" s="2" t="s">
        <v>1339</v>
      </c>
      <c r="L664" s="11" t="str">
        <f t="shared" si="11"/>
        <v>Ver Imagen</v>
      </c>
      <c r="M664" t="s">
        <v>15</v>
      </c>
    </row>
    <row r="665" spans="1:13" x14ac:dyDescent="0.25">
      <c r="A665">
        <v>664</v>
      </c>
      <c r="B665" t="s">
        <v>1340</v>
      </c>
      <c r="C665" s="1">
        <v>37.518975154700001</v>
      </c>
      <c r="D665" s="1">
        <v>-7.2622507751600001</v>
      </c>
      <c r="E665" s="3">
        <v>2</v>
      </c>
      <c r="F665" s="2">
        <v>2</v>
      </c>
      <c r="G665" s="4">
        <v>2</v>
      </c>
      <c r="H665" s="13"/>
      <c r="I665" s="15"/>
      <c r="J665" s="19">
        <v>2</v>
      </c>
      <c r="K665" s="2" t="s">
        <v>1341</v>
      </c>
      <c r="L665" s="11" t="str">
        <f t="shared" si="11"/>
        <v>Ver Imagen</v>
      </c>
      <c r="M665" t="s">
        <v>15</v>
      </c>
    </row>
    <row r="666" spans="1:13" x14ac:dyDescent="0.25">
      <c r="A666">
        <v>665</v>
      </c>
      <c r="B666" t="s">
        <v>1342</v>
      </c>
      <c r="C666" s="1">
        <v>37.5192731976</v>
      </c>
      <c r="D666" s="1">
        <v>-7.2619387083899998</v>
      </c>
      <c r="E666" s="3">
        <v>2</v>
      </c>
      <c r="F666" s="2">
        <v>2</v>
      </c>
      <c r="G666" s="4">
        <v>2</v>
      </c>
      <c r="H666" s="13"/>
      <c r="I666" s="15"/>
      <c r="J666" s="19">
        <v>2</v>
      </c>
      <c r="K666" s="2" t="s">
        <v>1343</v>
      </c>
      <c r="L666" s="11" t="str">
        <f t="shared" si="11"/>
        <v>Ver Imagen</v>
      </c>
      <c r="M666" t="s">
        <v>15</v>
      </c>
    </row>
    <row r="667" spans="1:13" x14ac:dyDescent="0.25">
      <c r="A667">
        <v>666</v>
      </c>
      <c r="B667" t="s">
        <v>1344</v>
      </c>
      <c r="C667" s="1">
        <v>37.519607658600002</v>
      </c>
      <c r="D667" s="1">
        <v>-7.2616207766500001</v>
      </c>
      <c r="E667" s="3">
        <v>2</v>
      </c>
      <c r="F667" s="2">
        <v>2</v>
      </c>
      <c r="G667" s="4">
        <v>2</v>
      </c>
      <c r="H667" s="13"/>
      <c r="I667" s="15"/>
      <c r="J667" s="19">
        <v>2</v>
      </c>
      <c r="K667" s="2" t="s">
        <v>1345</v>
      </c>
      <c r="L667" s="11" t="str">
        <f t="shared" si="11"/>
        <v>Ver Imagen</v>
      </c>
      <c r="M667" t="s">
        <v>15</v>
      </c>
    </row>
    <row r="668" spans="1:13" x14ac:dyDescent="0.25">
      <c r="A668">
        <v>667</v>
      </c>
      <c r="B668" t="s">
        <v>1346</v>
      </c>
      <c r="C668" s="1">
        <v>37.519770470399997</v>
      </c>
      <c r="D668" s="1">
        <v>-7.2614685481299999</v>
      </c>
      <c r="E668" s="3">
        <v>2</v>
      </c>
      <c r="F668" s="2">
        <v>2</v>
      </c>
      <c r="G668" s="4">
        <v>2</v>
      </c>
      <c r="H668" s="13"/>
      <c r="I668" s="15"/>
      <c r="J668" s="19">
        <v>2</v>
      </c>
      <c r="K668" s="2" t="s">
        <v>1347</v>
      </c>
      <c r="L668" s="11" t="str">
        <f t="shared" si="11"/>
        <v>Ver Imagen</v>
      </c>
      <c r="M668" t="s">
        <v>15</v>
      </c>
    </row>
    <row r="669" spans="1:13" x14ac:dyDescent="0.25">
      <c r="A669">
        <v>668</v>
      </c>
      <c r="B669" t="s">
        <v>1348</v>
      </c>
      <c r="C669" s="1">
        <v>37.519932577100001</v>
      </c>
      <c r="D669" s="1">
        <v>-7.26131770848</v>
      </c>
      <c r="E669" s="3">
        <v>2</v>
      </c>
      <c r="F669" s="2">
        <v>2</v>
      </c>
      <c r="G669" s="4">
        <v>2</v>
      </c>
      <c r="H669" s="13"/>
      <c r="I669" s="15"/>
      <c r="J669" s="19">
        <v>2</v>
      </c>
      <c r="K669" s="2" t="s">
        <v>1349</v>
      </c>
      <c r="L669" s="11" t="str">
        <f t="shared" si="11"/>
        <v>Ver Imagen</v>
      </c>
      <c r="M669" t="s">
        <v>15</v>
      </c>
    </row>
    <row r="670" spans="1:13" x14ac:dyDescent="0.25">
      <c r="A670">
        <v>669</v>
      </c>
      <c r="B670" t="s">
        <v>1350</v>
      </c>
      <c r="C670" s="1">
        <v>37.520579078700003</v>
      </c>
      <c r="D670" s="1">
        <v>-7.26071161544</v>
      </c>
      <c r="E670" s="3">
        <v>2</v>
      </c>
      <c r="F670" s="2">
        <v>2</v>
      </c>
      <c r="G670" s="4">
        <v>2</v>
      </c>
      <c r="H670" s="13"/>
      <c r="I670" s="15"/>
      <c r="J670" s="19">
        <v>2</v>
      </c>
      <c r="K670" s="2" t="s">
        <v>1351</v>
      </c>
      <c r="L670" s="11" t="str">
        <f t="shared" si="11"/>
        <v>Ver Imagen</v>
      </c>
      <c r="M670" t="s">
        <v>15</v>
      </c>
    </row>
    <row r="671" spans="1:13" x14ac:dyDescent="0.25">
      <c r="A671">
        <v>670</v>
      </c>
      <c r="B671" t="s">
        <v>1352</v>
      </c>
      <c r="C671" s="1">
        <v>37.520898331799998</v>
      </c>
      <c r="D671" s="1">
        <v>-7.2604108349800001</v>
      </c>
      <c r="E671" s="3">
        <v>2</v>
      </c>
      <c r="F671" s="2">
        <v>2</v>
      </c>
      <c r="G671" s="4">
        <v>2</v>
      </c>
      <c r="H671" s="13"/>
      <c r="I671" s="15"/>
      <c r="J671" s="19">
        <v>2</v>
      </c>
      <c r="K671" s="2" t="s">
        <v>1353</v>
      </c>
      <c r="L671" s="11" t="str">
        <f t="shared" si="11"/>
        <v>Ver Imagen</v>
      </c>
      <c r="M671" t="s">
        <v>15</v>
      </c>
    </row>
    <row r="672" spans="1:13" x14ac:dyDescent="0.25">
      <c r="A672">
        <v>671</v>
      </c>
      <c r="B672" t="s">
        <v>1354</v>
      </c>
      <c r="C672" s="1">
        <v>37.521749675999999</v>
      </c>
      <c r="D672" s="1">
        <v>-7.2597066272099999</v>
      </c>
      <c r="E672" s="3">
        <v>2</v>
      </c>
      <c r="F672" s="2">
        <v>2</v>
      </c>
      <c r="G672" s="4">
        <v>2</v>
      </c>
      <c r="H672" s="13"/>
      <c r="I672" s="15"/>
      <c r="J672" s="19">
        <v>2</v>
      </c>
      <c r="K672" s="2" t="s">
        <v>1355</v>
      </c>
      <c r="L672" s="11" t="str">
        <f t="shared" si="11"/>
        <v>Ver Imagen</v>
      </c>
      <c r="M672" t="s">
        <v>15</v>
      </c>
    </row>
    <row r="673" spans="1:13" x14ac:dyDescent="0.25">
      <c r="A673">
        <v>672</v>
      </c>
      <c r="B673" t="s">
        <v>1356</v>
      </c>
      <c r="C673" s="1">
        <v>37.522711128600001</v>
      </c>
      <c r="D673" s="1">
        <v>-7.2592666594699997</v>
      </c>
      <c r="E673" s="3">
        <v>2</v>
      </c>
      <c r="F673" s="2">
        <v>2</v>
      </c>
      <c r="G673" s="4">
        <v>2</v>
      </c>
      <c r="H673" s="13"/>
      <c r="I673" s="15"/>
      <c r="J673" s="19">
        <v>2</v>
      </c>
      <c r="K673" s="2" t="s">
        <v>1357</v>
      </c>
      <c r="L673" s="11" t="str">
        <f t="shared" si="11"/>
        <v>Ver Imagen</v>
      </c>
      <c r="M673" t="s">
        <v>15</v>
      </c>
    </row>
    <row r="674" spans="1:13" x14ac:dyDescent="0.25">
      <c r="A674">
        <v>673</v>
      </c>
      <c r="B674" t="s">
        <v>1358</v>
      </c>
      <c r="C674" s="1">
        <v>37.523661444299997</v>
      </c>
      <c r="D674" s="1">
        <v>-7.25882385258</v>
      </c>
      <c r="E674" s="3">
        <v>2</v>
      </c>
      <c r="F674" s="2">
        <v>2</v>
      </c>
      <c r="G674" s="4">
        <v>2</v>
      </c>
      <c r="H674" s="13"/>
      <c r="I674" s="15"/>
      <c r="J674" s="19">
        <v>2</v>
      </c>
      <c r="K674" s="2" t="s">
        <v>1359</v>
      </c>
      <c r="L674" s="11" t="str">
        <f t="shared" si="11"/>
        <v>Ver Imagen</v>
      </c>
      <c r="M674" t="s">
        <v>15</v>
      </c>
    </row>
    <row r="675" spans="1:13" x14ac:dyDescent="0.25">
      <c r="A675">
        <v>674</v>
      </c>
      <c r="B675" t="s">
        <v>1360</v>
      </c>
      <c r="C675" s="1">
        <v>37.267983959699997</v>
      </c>
      <c r="D675" s="1">
        <v>-6.96963073551</v>
      </c>
      <c r="E675" s="3">
        <v>2</v>
      </c>
      <c r="F675" s="2">
        <v>2</v>
      </c>
      <c r="G675" s="4">
        <v>2</v>
      </c>
      <c r="H675" s="13"/>
      <c r="I675" s="15"/>
      <c r="J675" s="19">
        <v>2</v>
      </c>
      <c r="K675" s="2" t="s">
        <v>1361</v>
      </c>
      <c r="L675" s="11" t="str">
        <f t="shared" si="11"/>
        <v>Ver Imagen</v>
      </c>
      <c r="M675" t="s">
        <v>15</v>
      </c>
    </row>
    <row r="676" spans="1:13" x14ac:dyDescent="0.25">
      <c r="A676">
        <v>675</v>
      </c>
      <c r="B676" t="s">
        <v>1362</v>
      </c>
      <c r="C676" s="1">
        <v>37.268073758200003</v>
      </c>
      <c r="D676" s="1">
        <v>-6.9703891643400002</v>
      </c>
      <c r="E676" s="3">
        <v>2</v>
      </c>
      <c r="F676" s="2">
        <v>2</v>
      </c>
      <c r="G676" s="4">
        <v>2</v>
      </c>
      <c r="H676" s="13"/>
      <c r="I676" s="15"/>
      <c r="J676" s="19">
        <v>2</v>
      </c>
      <c r="K676" s="2" t="s">
        <v>1363</v>
      </c>
      <c r="L676" s="11" t="str">
        <f t="shared" si="11"/>
        <v>Ver Imagen</v>
      </c>
      <c r="M676" t="s">
        <v>15</v>
      </c>
    </row>
    <row r="677" spans="1:13" x14ac:dyDescent="0.25">
      <c r="A677">
        <v>676</v>
      </c>
      <c r="B677" t="s">
        <v>1364</v>
      </c>
      <c r="C677" s="1">
        <v>37.524300849799999</v>
      </c>
      <c r="D677" s="1">
        <v>-7.2582380451599997</v>
      </c>
      <c r="E677" s="3">
        <v>2</v>
      </c>
      <c r="F677" s="2">
        <v>2</v>
      </c>
      <c r="G677" s="4">
        <v>2</v>
      </c>
      <c r="H677" s="13"/>
      <c r="I677" s="15"/>
      <c r="J677" s="19">
        <v>2</v>
      </c>
      <c r="K677" s="2" t="s">
        <v>1365</v>
      </c>
      <c r="L677" s="11" t="str">
        <f t="shared" si="11"/>
        <v>Ver Imagen</v>
      </c>
      <c r="M677" t="s">
        <v>15</v>
      </c>
    </row>
    <row r="678" spans="1:13" x14ac:dyDescent="0.25">
      <c r="A678">
        <v>677</v>
      </c>
      <c r="B678" t="s">
        <v>1366</v>
      </c>
      <c r="C678" s="1">
        <v>37.524434641799999</v>
      </c>
      <c r="D678" s="1">
        <v>-7.2580696170100003</v>
      </c>
      <c r="E678" s="3">
        <v>2</v>
      </c>
      <c r="F678" s="2">
        <v>2</v>
      </c>
      <c r="G678" s="4">
        <v>2</v>
      </c>
      <c r="H678" s="13"/>
      <c r="I678" s="15"/>
      <c r="J678" s="19">
        <v>2</v>
      </c>
      <c r="K678" s="2" t="s">
        <v>1367</v>
      </c>
      <c r="L678" s="11" t="str">
        <f t="shared" si="11"/>
        <v>Ver Imagen</v>
      </c>
      <c r="M678" t="s">
        <v>15</v>
      </c>
    </row>
    <row r="679" spans="1:13" x14ac:dyDescent="0.25">
      <c r="A679">
        <v>678</v>
      </c>
      <c r="B679" t="s">
        <v>1368</v>
      </c>
      <c r="C679" s="1">
        <v>37.524581406499998</v>
      </c>
      <c r="D679" s="1">
        <v>-7.2578647843599997</v>
      </c>
      <c r="E679" s="3">
        <v>2</v>
      </c>
      <c r="F679" s="2">
        <v>2</v>
      </c>
      <c r="G679" s="4">
        <v>2</v>
      </c>
      <c r="H679" s="13"/>
      <c r="I679" s="15"/>
      <c r="J679" s="19">
        <v>2</v>
      </c>
      <c r="K679" s="2" t="s">
        <v>1369</v>
      </c>
      <c r="L679" s="11" t="str">
        <f t="shared" si="11"/>
        <v>Ver Imagen</v>
      </c>
      <c r="M679" t="s">
        <v>15</v>
      </c>
    </row>
    <row r="680" spans="1:13" x14ac:dyDescent="0.25">
      <c r="A680">
        <v>679</v>
      </c>
      <c r="B680" t="s">
        <v>1370</v>
      </c>
      <c r="C680" s="1">
        <v>37.524713527300001</v>
      </c>
      <c r="D680" s="1">
        <v>-7.2576658178500004</v>
      </c>
      <c r="E680" s="3">
        <v>2</v>
      </c>
      <c r="F680" s="2">
        <v>2</v>
      </c>
      <c r="G680" s="4">
        <v>2</v>
      </c>
      <c r="H680" s="13"/>
      <c r="I680" s="15"/>
      <c r="J680" s="19">
        <v>2</v>
      </c>
      <c r="K680" s="2" t="s">
        <v>1371</v>
      </c>
      <c r="L680" s="11" t="str">
        <f t="shared" si="11"/>
        <v>Ver Imagen</v>
      </c>
      <c r="M680" t="s">
        <v>15</v>
      </c>
    </row>
    <row r="681" spans="1:13" x14ac:dyDescent="0.25">
      <c r="A681">
        <v>680</v>
      </c>
      <c r="B681" t="s">
        <v>1372</v>
      </c>
      <c r="C681" s="1">
        <v>37.524966635799998</v>
      </c>
      <c r="D681" s="1">
        <v>-7.25726746492</v>
      </c>
      <c r="E681" s="3">
        <v>2</v>
      </c>
      <c r="F681" s="2">
        <v>2</v>
      </c>
      <c r="G681" s="4">
        <v>2</v>
      </c>
      <c r="H681" s="13"/>
      <c r="I681" s="15"/>
      <c r="J681" s="19">
        <v>2</v>
      </c>
      <c r="K681" s="2" t="s">
        <v>1373</v>
      </c>
      <c r="L681" s="11" t="str">
        <f t="shared" si="11"/>
        <v>Ver Imagen</v>
      </c>
      <c r="M681" t="s">
        <v>15</v>
      </c>
    </row>
    <row r="682" spans="1:13" x14ac:dyDescent="0.25">
      <c r="A682">
        <v>681</v>
      </c>
      <c r="B682" t="s">
        <v>1374</v>
      </c>
      <c r="C682" s="1">
        <v>37.5250835577</v>
      </c>
      <c r="D682" s="1">
        <v>-7.25708062021</v>
      </c>
      <c r="E682" s="3">
        <v>2</v>
      </c>
      <c r="F682" s="2">
        <v>2</v>
      </c>
      <c r="G682" s="4">
        <v>2</v>
      </c>
      <c r="H682" s="13"/>
      <c r="I682" s="15"/>
      <c r="J682" s="19">
        <v>2</v>
      </c>
      <c r="K682" s="2" t="s">
        <v>1375</v>
      </c>
      <c r="L682" s="11" t="str">
        <f t="shared" si="11"/>
        <v>Ver Imagen</v>
      </c>
      <c r="M682" t="s">
        <v>15</v>
      </c>
    </row>
    <row r="683" spans="1:13" x14ac:dyDescent="0.25">
      <c r="A683">
        <v>682</v>
      </c>
      <c r="B683" t="s">
        <v>1376</v>
      </c>
      <c r="C683" s="1">
        <v>37.525212679200003</v>
      </c>
      <c r="D683" s="1">
        <v>-7.2568742042599998</v>
      </c>
      <c r="E683" s="3">
        <v>2</v>
      </c>
      <c r="F683" s="2">
        <v>2</v>
      </c>
      <c r="G683" s="4">
        <v>2</v>
      </c>
      <c r="H683" s="13"/>
      <c r="I683" s="15"/>
      <c r="J683" s="19">
        <v>2</v>
      </c>
      <c r="K683" s="2" t="s">
        <v>1377</v>
      </c>
      <c r="L683" s="11" t="str">
        <f t="shared" si="11"/>
        <v>Ver Imagen</v>
      </c>
      <c r="M683" t="s">
        <v>15</v>
      </c>
    </row>
    <row r="684" spans="1:13" x14ac:dyDescent="0.25">
      <c r="A684">
        <v>683</v>
      </c>
      <c r="B684" t="s">
        <v>1378</v>
      </c>
      <c r="C684" s="1">
        <v>37.525459712200004</v>
      </c>
      <c r="D684" s="1">
        <v>-7.25647849977</v>
      </c>
      <c r="E684" s="3">
        <v>2</v>
      </c>
      <c r="F684" s="2">
        <v>2</v>
      </c>
      <c r="G684" s="4">
        <v>2</v>
      </c>
      <c r="H684" s="13"/>
      <c r="I684" s="15"/>
      <c r="J684" s="19">
        <v>2</v>
      </c>
      <c r="K684" s="2" t="s">
        <v>1379</v>
      </c>
      <c r="L684" s="11" t="str">
        <f t="shared" si="11"/>
        <v>Ver Imagen</v>
      </c>
      <c r="M684" t="s">
        <v>15</v>
      </c>
    </row>
    <row r="685" spans="1:13" x14ac:dyDescent="0.25">
      <c r="A685">
        <v>684</v>
      </c>
      <c r="B685" t="s">
        <v>1380</v>
      </c>
      <c r="C685" s="1">
        <v>37.525601180700001</v>
      </c>
      <c r="D685" s="1">
        <v>-7.2562535585100001</v>
      </c>
      <c r="E685" s="3">
        <v>2</v>
      </c>
      <c r="F685" s="2">
        <v>2</v>
      </c>
      <c r="G685" s="4">
        <v>2</v>
      </c>
      <c r="H685" s="13"/>
      <c r="I685" s="15"/>
      <c r="J685" s="19">
        <v>2</v>
      </c>
      <c r="K685" s="2" t="s">
        <v>1381</v>
      </c>
      <c r="L685" s="11" t="str">
        <f t="shared" si="11"/>
        <v>Ver Imagen</v>
      </c>
      <c r="M685" t="s">
        <v>15</v>
      </c>
    </row>
    <row r="686" spans="1:13" x14ac:dyDescent="0.25">
      <c r="A686">
        <v>685</v>
      </c>
      <c r="B686" t="s">
        <v>1382</v>
      </c>
      <c r="C686" s="1">
        <v>37.525854062900002</v>
      </c>
      <c r="D686" s="1">
        <v>-7.25588463278</v>
      </c>
      <c r="E686" s="3">
        <v>2</v>
      </c>
      <c r="F686" s="2">
        <v>2</v>
      </c>
      <c r="G686" s="4">
        <v>2</v>
      </c>
      <c r="H686" s="13"/>
      <c r="I686" s="15"/>
      <c r="J686" s="19">
        <v>2</v>
      </c>
      <c r="K686" s="2" t="s">
        <v>1383</v>
      </c>
      <c r="L686" s="11" t="str">
        <f t="shared" si="11"/>
        <v>Ver Imagen</v>
      </c>
      <c r="M686" t="s">
        <v>15</v>
      </c>
    </row>
    <row r="687" spans="1:13" x14ac:dyDescent="0.25">
      <c r="A687">
        <v>686</v>
      </c>
      <c r="B687" t="s">
        <v>1384</v>
      </c>
      <c r="C687" s="1">
        <v>37.526159847000002</v>
      </c>
      <c r="D687" s="1">
        <v>-7.2555401336500003</v>
      </c>
      <c r="E687" s="3">
        <v>2</v>
      </c>
      <c r="F687" s="2">
        <v>2</v>
      </c>
      <c r="G687" s="4">
        <v>2</v>
      </c>
      <c r="H687" s="13"/>
      <c r="I687" s="15"/>
      <c r="J687" s="19">
        <v>2</v>
      </c>
      <c r="K687" s="2" t="s">
        <v>1385</v>
      </c>
      <c r="L687" s="11" t="str">
        <f t="shared" si="11"/>
        <v>Ver Imagen</v>
      </c>
      <c r="M687" t="s">
        <v>15</v>
      </c>
    </row>
    <row r="688" spans="1:13" x14ac:dyDescent="0.25">
      <c r="A688">
        <v>687</v>
      </c>
      <c r="B688" t="s">
        <v>1386</v>
      </c>
      <c r="C688" s="1">
        <v>37.526351346399998</v>
      </c>
      <c r="D688" s="1">
        <v>-7.2553790033399999</v>
      </c>
      <c r="E688" s="3">
        <v>2</v>
      </c>
      <c r="F688" s="2">
        <v>2</v>
      </c>
      <c r="G688" s="4">
        <v>2</v>
      </c>
      <c r="H688" s="13"/>
      <c r="I688" s="15"/>
      <c r="J688" s="19">
        <v>2</v>
      </c>
      <c r="K688" s="2" t="s">
        <v>1387</v>
      </c>
      <c r="L688" s="11" t="str">
        <f t="shared" si="11"/>
        <v>Ver Imagen</v>
      </c>
      <c r="M688" t="s">
        <v>15</v>
      </c>
    </row>
    <row r="689" spans="1:13" x14ac:dyDescent="0.25">
      <c r="A689">
        <v>688</v>
      </c>
      <c r="B689" t="s">
        <v>1388</v>
      </c>
      <c r="C689" s="1">
        <v>37.526495608899999</v>
      </c>
      <c r="D689" s="1">
        <v>-7.2552758160000002</v>
      </c>
      <c r="E689" s="3">
        <v>2</v>
      </c>
      <c r="F689" s="2">
        <v>2</v>
      </c>
      <c r="G689" s="4">
        <v>2</v>
      </c>
      <c r="H689" s="13"/>
      <c r="I689" s="15"/>
      <c r="J689" s="19">
        <v>2</v>
      </c>
      <c r="K689" s="2" t="s">
        <v>1389</v>
      </c>
      <c r="L689" s="11" t="str">
        <f t="shared" si="11"/>
        <v>Ver Imagen</v>
      </c>
      <c r="M689" t="s">
        <v>15</v>
      </c>
    </row>
    <row r="690" spans="1:13" x14ac:dyDescent="0.25">
      <c r="A690">
        <v>689</v>
      </c>
      <c r="B690" t="s">
        <v>1390</v>
      </c>
      <c r="C690" s="1">
        <v>37.526701056</v>
      </c>
      <c r="D690" s="1">
        <v>-7.2551446028499997</v>
      </c>
      <c r="E690" s="3">
        <v>2</v>
      </c>
      <c r="F690" s="2">
        <v>2</v>
      </c>
      <c r="G690" s="4">
        <v>2</v>
      </c>
      <c r="H690" s="13"/>
      <c r="I690" s="15"/>
      <c r="J690" s="19">
        <v>2</v>
      </c>
      <c r="K690" s="2" t="s">
        <v>1391</v>
      </c>
      <c r="L690" s="11" t="str">
        <f t="shared" si="11"/>
        <v>Ver Imagen</v>
      </c>
      <c r="M690" t="s">
        <v>15</v>
      </c>
    </row>
    <row r="691" spans="1:13" x14ac:dyDescent="0.25">
      <c r="A691">
        <v>690</v>
      </c>
      <c r="B691" t="s">
        <v>1392</v>
      </c>
      <c r="C691" s="1">
        <v>37.527049061900001</v>
      </c>
      <c r="D691" s="1">
        <v>-7.2549415778400004</v>
      </c>
      <c r="E691" s="3">
        <v>2</v>
      </c>
      <c r="F691" s="2">
        <v>2</v>
      </c>
      <c r="G691" s="4">
        <v>2</v>
      </c>
      <c r="H691" s="13"/>
      <c r="I691" s="15"/>
      <c r="J691" s="19">
        <v>2</v>
      </c>
      <c r="K691" s="2" t="s">
        <v>1393</v>
      </c>
      <c r="L691" s="11" t="str">
        <f t="shared" si="11"/>
        <v>Ver Imagen</v>
      </c>
      <c r="M691" t="s">
        <v>15</v>
      </c>
    </row>
    <row r="692" spans="1:13" x14ac:dyDescent="0.25">
      <c r="A692">
        <v>691</v>
      </c>
      <c r="B692" t="s">
        <v>1394</v>
      </c>
      <c r="C692" s="1">
        <v>37.527228081600001</v>
      </c>
      <c r="D692" s="1">
        <v>-7.2548393444699997</v>
      </c>
      <c r="E692" s="3">
        <v>2</v>
      </c>
      <c r="F692" s="2">
        <v>2</v>
      </c>
      <c r="G692" s="4">
        <v>2</v>
      </c>
      <c r="H692" s="13"/>
      <c r="I692" s="15"/>
      <c r="J692" s="19">
        <v>2</v>
      </c>
      <c r="K692" s="2" t="s">
        <v>1395</v>
      </c>
      <c r="L692" s="11" t="str">
        <f t="shared" si="11"/>
        <v>Ver Imagen</v>
      </c>
      <c r="M692" t="s">
        <v>15</v>
      </c>
    </row>
    <row r="693" spans="1:13" x14ac:dyDescent="0.25">
      <c r="A693">
        <v>692</v>
      </c>
      <c r="B693" t="s">
        <v>1396</v>
      </c>
      <c r="C693" s="1">
        <v>37.271832182600001</v>
      </c>
      <c r="D693" s="1">
        <v>-6.9859085369900003</v>
      </c>
      <c r="E693" s="3">
        <v>2</v>
      </c>
      <c r="F693" s="2">
        <v>2</v>
      </c>
      <c r="G693" s="4">
        <v>2</v>
      </c>
      <c r="H693" s="13"/>
      <c r="I693" s="15"/>
      <c r="J693" s="19">
        <v>2</v>
      </c>
      <c r="K693" s="2" t="s">
        <v>1397</v>
      </c>
      <c r="L693" s="11" t="str">
        <f t="shared" si="11"/>
        <v>Ver Imagen</v>
      </c>
      <c r="M693" t="s">
        <v>15</v>
      </c>
    </row>
    <row r="694" spans="1:13" x14ac:dyDescent="0.25">
      <c r="A694">
        <v>693</v>
      </c>
      <c r="B694" t="s">
        <v>1398</v>
      </c>
      <c r="C694" s="1">
        <v>37.271855909099997</v>
      </c>
      <c r="D694" s="1">
        <v>-6.9863887584800004</v>
      </c>
      <c r="E694" s="3">
        <v>2</v>
      </c>
      <c r="F694" s="2">
        <v>2</v>
      </c>
      <c r="G694" s="4">
        <v>2</v>
      </c>
      <c r="H694" s="13"/>
      <c r="I694" s="15"/>
      <c r="J694" s="19">
        <v>2</v>
      </c>
      <c r="K694" s="2" t="s">
        <v>1399</v>
      </c>
      <c r="L694" s="11" t="str">
        <f t="shared" si="11"/>
        <v>Ver Imagen</v>
      </c>
      <c r="M694" t="s">
        <v>15</v>
      </c>
    </row>
    <row r="695" spans="1:13" x14ac:dyDescent="0.25">
      <c r="A695">
        <v>694</v>
      </c>
      <c r="B695" t="s">
        <v>1400</v>
      </c>
      <c r="C695" s="1">
        <v>37.271748212600002</v>
      </c>
      <c r="D695" s="1">
        <v>-6.9873954014399997</v>
      </c>
      <c r="E695" s="3">
        <v>2</v>
      </c>
      <c r="F695" s="2">
        <v>2</v>
      </c>
      <c r="G695" s="4">
        <v>2</v>
      </c>
      <c r="H695" s="13"/>
      <c r="I695" s="15"/>
      <c r="J695" s="19">
        <v>2</v>
      </c>
      <c r="K695" s="2" t="s">
        <v>1401</v>
      </c>
      <c r="L695" s="11" t="str">
        <f t="shared" si="11"/>
        <v>Ver Imagen</v>
      </c>
      <c r="M695" t="s">
        <v>15</v>
      </c>
    </row>
    <row r="696" spans="1:13" x14ac:dyDescent="0.25">
      <c r="A696">
        <v>695</v>
      </c>
      <c r="B696" t="s">
        <v>1402</v>
      </c>
      <c r="C696" s="1">
        <v>37.271688722100002</v>
      </c>
      <c r="D696" s="1">
        <v>-6.9876366676400004</v>
      </c>
      <c r="E696" s="3">
        <v>2</v>
      </c>
      <c r="F696" s="2">
        <v>2</v>
      </c>
      <c r="G696" s="4">
        <v>2</v>
      </c>
      <c r="H696" s="13"/>
      <c r="I696" s="15"/>
      <c r="J696" s="19">
        <v>2</v>
      </c>
      <c r="K696" s="2" t="s">
        <v>1403</v>
      </c>
      <c r="L696" s="11" t="str">
        <f t="shared" si="11"/>
        <v>Ver Imagen</v>
      </c>
      <c r="M696" t="s">
        <v>15</v>
      </c>
    </row>
    <row r="697" spans="1:13" x14ac:dyDescent="0.25">
      <c r="A697">
        <v>696</v>
      </c>
      <c r="B697" t="s">
        <v>1404</v>
      </c>
      <c r="C697" s="1">
        <v>37.2712667395</v>
      </c>
      <c r="D697" s="1">
        <v>-6.9885419855500004</v>
      </c>
      <c r="E697" s="3">
        <v>2</v>
      </c>
      <c r="F697" s="2">
        <v>2</v>
      </c>
      <c r="G697" s="4">
        <v>2</v>
      </c>
      <c r="H697" s="13"/>
      <c r="I697" s="15"/>
      <c r="J697" s="19">
        <v>2</v>
      </c>
      <c r="K697" s="2" t="s">
        <v>1405</v>
      </c>
      <c r="L697" s="11" t="str">
        <f t="shared" si="11"/>
        <v>Ver Imagen</v>
      </c>
      <c r="M697" t="s">
        <v>15</v>
      </c>
    </row>
    <row r="698" spans="1:13" x14ac:dyDescent="0.25">
      <c r="A698">
        <v>697</v>
      </c>
      <c r="B698" t="s">
        <v>1406</v>
      </c>
      <c r="C698" s="1">
        <v>37.271140955</v>
      </c>
      <c r="D698" s="1">
        <v>-6.9887122577399996</v>
      </c>
      <c r="E698" s="3">
        <v>2</v>
      </c>
      <c r="F698" s="2">
        <v>2</v>
      </c>
      <c r="G698" s="4">
        <v>2</v>
      </c>
      <c r="H698" s="13"/>
      <c r="I698" s="15"/>
      <c r="J698" s="19">
        <v>2</v>
      </c>
      <c r="K698" s="2" t="s">
        <v>1407</v>
      </c>
      <c r="L698" s="11" t="str">
        <f t="shared" si="11"/>
        <v>Ver Imagen</v>
      </c>
      <c r="M698" t="s">
        <v>15</v>
      </c>
    </row>
    <row r="699" spans="1:13" x14ac:dyDescent="0.25">
      <c r="A699">
        <v>698</v>
      </c>
      <c r="B699" t="s">
        <v>1408</v>
      </c>
      <c r="C699" s="1">
        <v>37.270825598199998</v>
      </c>
      <c r="D699" s="1">
        <v>-6.9890378628600001</v>
      </c>
      <c r="E699" s="3">
        <v>2</v>
      </c>
      <c r="F699" s="2">
        <v>2</v>
      </c>
      <c r="G699" s="4">
        <v>2</v>
      </c>
      <c r="H699" s="13"/>
      <c r="I699" s="15"/>
      <c r="J699" s="19">
        <v>2</v>
      </c>
      <c r="K699" s="2" t="s">
        <v>1409</v>
      </c>
      <c r="L699" s="11" t="str">
        <f t="shared" si="11"/>
        <v>Ver Imagen</v>
      </c>
      <c r="M699" t="s">
        <v>15</v>
      </c>
    </row>
    <row r="700" spans="1:13" x14ac:dyDescent="0.25">
      <c r="A700">
        <v>699</v>
      </c>
      <c r="B700" t="s">
        <v>1410</v>
      </c>
      <c r="C700" s="1">
        <v>37.270653998699999</v>
      </c>
      <c r="D700" s="1">
        <v>-6.98918188699</v>
      </c>
      <c r="E700" s="3">
        <v>2</v>
      </c>
      <c r="F700" s="2">
        <v>2</v>
      </c>
      <c r="G700" s="4">
        <v>2</v>
      </c>
      <c r="H700" s="13"/>
      <c r="I700" s="15"/>
      <c r="J700" s="19">
        <v>2</v>
      </c>
      <c r="K700" s="2" t="s">
        <v>1411</v>
      </c>
      <c r="L700" s="11" t="str">
        <f t="shared" si="11"/>
        <v>Ver Imagen</v>
      </c>
      <c r="M700" t="s">
        <v>15</v>
      </c>
    </row>
    <row r="701" spans="1:13" x14ac:dyDescent="0.25">
      <c r="A701">
        <v>700</v>
      </c>
      <c r="B701" t="s">
        <v>1412</v>
      </c>
      <c r="C701" s="1">
        <v>37.268381109099998</v>
      </c>
      <c r="D701" s="1">
        <v>-6.9907850066300004</v>
      </c>
      <c r="E701" s="3">
        <v>2</v>
      </c>
      <c r="F701" s="2">
        <v>2</v>
      </c>
      <c r="G701" s="4">
        <v>2</v>
      </c>
      <c r="H701" s="13"/>
      <c r="I701" s="15"/>
      <c r="J701" s="19">
        <v>2</v>
      </c>
      <c r="K701" s="2" t="s">
        <v>1413</v>
      </c>
      <c r="L701" s="11" t="str">
        <f t="shared" si="11"/>
        <v>Ver Imagen</v>
      </c>
      <c r="M701" t="s">
        <v>15</v>
      </c>
    </row>
    <row r="702" spans="1:13" x14ac:dyDescent="0.25">
      <c r="A702">
        <v>701</v>
      </c>
      <c r="B702" t="s">
        <v>1414</v>
      </c>
      <c r="C702" s="1">
        <v>37.188190074200001</v>
      </c>
      <c r="D702" s="1">
        <v>-6.97834103832</v>
      </c>
      <c r="E702" s="3">
        <v>2</v>
      </c>
      <c r="F702" s="2">
        <v>2</v>
      </c>
      <c r="G702" s="4">
        <v>2</v>
      </c>
      <c r="H702" s="13"/>
      <c r="I702" s="15"/>
      <c r="J702" s="19">
        <v>2</v>
      </c>
      <c r="K702" s="2" t="s">
        <v>1415</v>
      </c>
      <c r="L702" s="11" t="str">
        <f t="shared" si="11"/>
        <v>Ver Imagen</v>
      </c>
      <c r="M702" t="s">
        <v>15</v>
      </c>
    </row>
    <row r="703" spans="1:13" x14ac:dyDescent="0.25">
      <c r="A703">
        <v>702</v>
      </c>
      <c r="B703" t="s">
        <v>1416</v>
      </c>
      <c r="C703" s="1">
        <v>37.1883649058</v>
      </c>
      <c r="D703" s="1">
        <v>-6.9783559655799996</v>
      </c>
      <c r="E703" s="3">
        <v>2</v>
      </c>
      <c r="F703" s="2">
        <v>2</v>
      </c>
      <c r="G703" s="4">
        <v>2</v>
      </c>
      <c r="H703" s="13"/>
      <c r="I703" s="15"/>
      <c r="J703" s="19">
        <v>2</v>
      </c>
      <c r="K703" s="2" t="s">
        <v>1417</v>
      </c>
      <c r="L703" s="11" t="str">
        <f t="shared" si="11"/>
        <v>Ver Imagen</v>
      </c>
      <c r="M703" t="s">
        <v>15</v>
      </c>
    </row>
    <row r="704" spans="1:13" x14ac:dyDescent="0.25">
      <c r="A704">
        <v>703</v>
      </c>
      <c r="B704" t="s">
        <v>1418</v>
      </c>
      <c r="C704" s="1">
        <v>37.266159401700001</v>
      </c>
      <c r="D704" s="1">
        <v>-6.9932686507900002</v>
      </c>
      <c r="E704" s="3">
        <v>2</v>
      </c>
      <c r="F704" s="2">
        <v>2</v>
      </c>
      <c r="G704" s="4">
        <v>2</v>
      </c>
      <c r="H704" s="13"/>
      <c r="I704" s="15"/>
      <c r="J704" s="19">
        <v>2</v>
      </c>
      <c r="K704" s="2" t="s">
        <v>1419</v>
      </c>
      <c r="L704" s="11" t="str">
        <f t="shared" si="11"/>
        <v>Ver Imagen</v>
      </c>
      <c r="M704" t="s">
        <v>15</v>
      </c>
    </row>
    <row r="705" spans="1:13" x14ac:dyDescent="0.25">
      <c r="A705">
        <v>704</v>
      </c>
      <c r="B705" t="s">
        <v>1420</v>
      </c>
      <c r="C705" s="1">
        <v>37.191358747099997</v>
      </c>
      <c r="D705" s="1">
        <v>-6.9776311288399997</v>
      </c>
      <c r="E705" s="3">
        <v>2</v>
      </c>
      <c r="F705" s="2">
        <v>2</v>
      </c>
      <c r="G705" s="4">
        <v>2</v>
      </c>
      <c r="H705" s="13"/>
      <c r="I705" s="15"/>
      <c r="J705" s="19">
        <v>2</v>
      </c>
      <c r="K705" s="2" t="s">
        <v>1421</v>
      </c>
      <c r="L705" s="11" t="str">
        <f t="shared" si="11"/>
        <v>Ver Imagen</v>
      </c>
      <c r="M705" t="s">
        <v>15</v>
      </c>
    </row>
    <row r="706" spans="1:13" x14ac:dyDescent="0.25">
      <c r="A706">
        <v>705</v>
      </c>
      <c r="B706" t="s">
        <v>1422</v>
      </c>
      <c r="C706" s="1">
        <v>37.264513688000001</v>
      </c>
      <c r="D706" s="1">
        <v>-7.0016448804099998</v>
      </c>
      <c r="E706" s="3">
        <v>2</v>
      </c>
      <c r="F706" s="2">
        <v>2</v>
      </c>
      <c r="G706" s="4">
        <v>2</v>
      </c>
      <c r="H706" s="13"/>
      <c r="I706" s="15"/>
      <c r="J706" s="19">
        <v>2</v>
      </c>
      <c r="K706" s="2" t="s">
        <v>1423</v>
      </c>
      <c r="L706" s="11" t="str">
        <f t="shared" si="11"/>
        <v>Ver Imagen</v>
      </c>
      <c r="M706" t="s">
        <v>15</v>
      </c>
    </row>
    <row r="707" spans="1:13" x14ac:dyDescent="0.25">
      <c r="A707">
        <v>706</v>
      </c>
      <c r="B707" t="s">
        <v>1424</v>
      </c>
      <c r="C707" s="1">
        <v>37.2644175816</v>
      </c>
      <c r="D707" s="1">
        <v>-7.0021796490900003</v>
      </c>
      <c r="E707" s="3">
        <v>2</v>
      </c>
      <c r="F707" s="2">
        <v>2</v>
      </c>
      <c r="G707" s="4">
        <v>2</v>
      </c>
      <c r="H707" s="13"/>
      <c r="I707" s="15"/>
      <c r="J707" s="19">
        <v>2</v>
      </c>
      <c r="K707" s="2" t="s">
        <v>1425</v>
      </c>
      <c r="L707" s="11" t="str">
        <f t="shared" si="11"/>
        <v>Ver Imagen</v>
      </c>
      <c r="M707" t="s">
        <v>15</v>
      </c>
    </row>
    <row r="708" spans="1:13" x14ac:dyDescent="0.25">
      <c r="A708">
        <v>707</v>
      </c>
      <c r="B708" t="s">
        <v>1426</v>
      </c>
      <c r="C708" s="1">
        <v>37.198196355599997</v>
      </c>
      <c r="D708" s="1">
        <v>-6.9807350683399996</v>
      </c>
      <c r="E708" s="3">
        <v>2</v>
      </c>
      <c r="F708" s="2">
        <v>2</v>
      </c>
      <c r="G708" s="4">
        <v>2</v>
      </c>
      <c r="H708" s="13"/>
      <c r="I708" s="15"/>
      <c r="J708" s="19">
        <v>2</v>
      </c>
      <c r="K708" s="2" t="s">
        <v>1427</v>
      </c>
      <c r="L708" s="11" t="str">
        <f t="shared" si="11"/>
        <v>Ver Imagen</v>
      </c>
      <c r="M708" t="s">
        <v>15</v>
      </c>
    </row>
    <row r="709" spans="1:13" x14ac:dyDescent="0.25">
      <c r="A709">
        <v>708</v>
      </c>
      <c r="B709" t="s">
        <v>1428</v>
      </c>
      <c r="C709" s="1">
        <v>37.199040550900001</v>
      </c>
      <c r="D709" s="1">
        <v>-6.9825089438700001</v>
      </c>
      <c r="E709" s="3">
        <v>2</v>
      </c>
      <c r="F709" s="2">
        <v>2</v>
      </c>
      <c r="G709" s="4">
        <v>2</v>
      </c>
      <c r="H709" s="13"/>
      <c r="I709" s="15"/>
      <c r="J709" s="19">
        <v>2</v>
      </c>
      <c r="K709" s="2" t="s">
        <v>1429</v>
      </c>
      <c r="L709" s="11" t="str">
        <f t="shared" si="11"/>
        <v>Ver Imagen</v>
      </c>
      <c r="M709" t="s">
        <v>15</v>
      </c>
    </row>
    <row r="710" spans="1:13" x14ac:dyDescent="0.25">
      <c r="A710">
        <v>709</v>
      </c>
      <c r="B710" t="s">
        <v>1430</v>
      </c>
      <c r="C710" s="1">
        <v>37.199763100600002</v>
      </c>
      <c r="D710" s="1">
        <v>-6.9849155729800003</v>
      </c>
      <c r="E710" s="3">
        <v>2</v>
      </c>
      <c r="F710" s="2">
        <v>2</v>
      </c>
      <c r="G710" s="4">
        <v>2</v>
      </c>
      <c r="H710" s="13"/>
      <c r="I710" s="15"/>
      <c r="J710" s="19">
        <v>2</v>
      </c>
      <c r="K710" s="2" t="s">
        <v>1431</v>
      </c>
      <c r="L710" s="11" t="str">
        <f t="shared" si="11"/>
        <v>Ver Imagen</v>
      </c>
      <c r="M710" t="s">
        <v>15</v>
      </c>
    </row>
    <row r="711" spans="1:13" x14ac:dyDescent="0.25">
      <c r="A711">
        <v>710</v>
      </c>
      <c r="B711" t="s">
        <v>1432</v>
      </c>
      <c r="C711" s="1">
        <v>37.199827313199997</v>
      </c>
      <c r="D711" s="1">
        <v>-6.98516588688</v>
      </c>
      <c r="E711" s="3">
        <v>2</v>
      </c>
      <c r="F711" s="2">
        <v>2</v>
      </c>
      <c r="G711" s="4">
        <v>2</v>
      </c>
      <c r="H711" s="13"/>
      <c r="I711" s="15"/>
      <c r="J711" s="19">
        <v>2</v>
      </c>
      <c r="K711" s="2" t="s">
        <v>1433</v>
      </c>
      <c r="L711" s="11" t="str">
        <f t="shared" si="11"/>
        <v>Ver Imagen</v>
      </c>
      <c r="M711" t="s">
        <v>15</v>
      </c>
    </row>
    <row r="712" spans="1:13" x14ac:dyDescent="0.25">
      <c r="A712">
        <v>711</v>
      </c>
      <c r="B712" t="s">
        <v>1434</v>
      </c>
      <c r="C712" s="1">
        <v>37.261500928399997</v>
      </c>
      <c r="D712" s="1">
        <v>-7.01071707915</v>
      </c>
      <c r="E712" s="3">
        <v>2</v>
      </c>
      <c r="F712" s="2">
        <v>2</v>
      </c>
      <c r="G712" s="4">
        <v>2</v>
      </c>
      <c r="H712" s="13"/>
      <c r="I712" s="15"/>
      <c r="J712" s="19">
        <v>2</v>
      </c>
      <c r="K712" s="2" t="s">
        <v>1435</v>
      </c>
      <c r="L712" s="11" t="str">
        <f t="shared" si="11"/>
        <v>Ver Imagen</v>
      </c>
      <c r="M712" t="s">
        <v>15</v>
      </c>
    </row>
    <row r="713" spans="1:13" x14ac:dyDescent="0.25">
      <c r="A713">
        <v>712</v>
      </c>
      <c r="B713" t="s">
        <v>1436</v>
      </c>
      <c r="C713" s="1">
        <v>37.260981466399997</v>
      </c>
      <c r="D713" s="1">
        <v>-7.0110837715600001</v>
      </c>
      <c r="E713" s="3">
        <v>2</v>
      </c>
      <c r="F713" s="2">
        <v>2</v>
      </c>
      <c r="G713" s="4">
        <v>2</v>
      </c>
      <c r="H713" s="13"/>
      <c r="I713" s="15"/>
      <c r="J713" s="19">
        <v>2</v>
      </c>
      <c r="K713" s="2" t="s">
        <v>1437</v>
      </c>
      <c r="L713" s="11" t="str">
        <f t="shared" ref="L713:L776" si="12">HYPERLINK("2\0\" &amp; K713, "Ver Imagen")</f>
        <v>Ver Imagen</v>
      </c>
      <c r="M713" t="s">
        <v>15</v>
      </c>
    </row>
    <row r="714" spans="1:13" x14ac:dyDescent="0.25">
      <c r="A714">
        <v>713</v>
      </c>
      <c r="B714" t="s">
        <v>1438</v>
      </c>
      <c r="C714" s="1">
        <v>37.259693278100002</v>
      </c>
      <c r="D714" s="1">
        <v>-7.0119040047599999</v>
      </c>
      <c r="E714" s="3">
        <v>2</v>
      </c>
      <c r="F714" s="2">
        <v>2</v>
      </c>
      <c r="G714" s="4">
        <v>2</v>
      </c>
      <c r="H714" s="13"/>
      <c r="I714" s="15"/>
      <c r="J714" s="19">
        <v>2</v>
      </c>
      <c r="K714" s="2" t="s">
        <v>1439</v>
      </c>
      <c r="L714" s="11" t="str">
        <f t="shared" si="12"/>
        <v>Ver Imagen</v>
      </c>
      <c r="M714" t="s">
        <v>15</v>
      </c>
    </row>
    <row r="715" spans="1:13" x14ac:dyDescent="0.25">
      <c r="A715">
        <v>714</v>
      </c>
      <c r="B715" t="s">
        <v>1440</v>
      </c>
      <c r="C715" s="1">
        <v>37.259507946100001</v>
      </c>
      <c r="D715" s="1">
        <v>-7.0120236186599998</v>
      </c>
      <c r="E715" s="3">
        <v>2</v>
      </c>
      <c r="F715" s="2">
        <v>2</v>
      </c>
      <c r="G715" s="4">
        <v>2</v>
      </c>
      <c r="H715" s="13"/>
      <c r="I715" s="15"/>
      <c r="J715" s="19">
        <v>2</v>
      </c>
      <c r="K715" s="2" t="s">
        <v>1441</v>
      </c>
      <c r="L715" s="11" t="str">
        <f t="shared" si="12"/>
        <v>Ver Imagen</v>
      </c>
      <c r="M715" t="s">
        <v>15</v>
      </c>
    </row>
    <row r="716" spans="1:13" x14ac:dyDescent="0.25">
      <c r="A716">
        <v>715</v>
      </c>
      <c r="B716" t="s">
        <v>1442</v>
      </c>
      <c r="C716" s="1">
        <v>37.259368197100002</v>
      </c>
      <c r="D716" s="1">
        <v>-7.0121131983799998</v>
      </c>
      <c r="E716" s="3">
        <v>2</v>
      </c>
      <c r="F716" s="2">
        <v>2</v>
      </c>
      <c r="G716" s="4">
        <v>2</v>
      </c>
      <c r="H716" s="13"/>
      <c r="I716" s="15"/>
      <c r="J716" s="19">
        <v>2</v>
      </c>
      <c r="K716" s="2" t="s">
        <v>1443</v>
      </c>
      <c r="L716" s="11" t="str">
        <f t="shared" si="12"/>
        <v>Ver Imagen</v>
      </c>
      <c r="M716" t="s">
        <v>15</v>
      </c>
    </row>
    <row r="717" spans="1:13" x14ac:dyDescent="0.25">
      <c r="A717">
        <v>716</v>
      </c>
      <c r="B717" t="s">
        <v>1444</v>
      </c>
      <c r="C717" s="1">
        <v>37.259180891100002</v>
      </c>
      <c r="D717" s="1">
        <v>-7.0122321136099997</v>
      </c>
      <c r="E717" s="3">
        <v>2</v>
      </c>
      <c r="F717" s="2">
        <v>2</v>
      </c>
      <c r="G717" s="4">
        <v>2</v>
      </c>
      <c r="H717" s="13"/>
      <c r="I717" s="15"/>
      <c r="J717" s="19">
        <v>2</v>
      </c>
      <c r="K717" s="2" t="s">
        <v>1445</v>
      </c>
      <c r="L717" s="11" t="str">
        <f t="shared" si="12"/>
        <v>Ver Imagen</v>
      </c>
      <c r="M717" t="s">
        <v>15</v>
      </c>
    </row>
    <row r="718" spans="1:13" x14ac:dyDescent="0.25">
      <c r="A718">
        <v>717</v>
      </c>
      <c r="B718" t="s">
        <v>1446</v>
      </c>
      <c r="C718" s="1">
        <v>37.258984818800002</v>
      </c>
      <c r="D718" s="1">
        <v>-7.0123559913199998</v>
      </c>
      <c r="E718" s="3">
        <v>2</v>
      </c>
      <c r="F718" s="2">
        <v>2</v>
      </c>
      <c r="G718" s="4">
        <v>2</v>
      </c>
      <c r="H718" s="13"/>
      <c r="I718" s="15"/>
      <c r="J718" s="19">
        <v>2</v>
      </c>
      <c r="K718" s="2" t="s">
        <v>1447</v>
      </c>
      <c r="L718" s="11" t="str">
        <f t="shared" si="12"/>
        <v>Ver Imagen</v>
      </c>
      <c r="M718" t="s">
        <v>15</v>
      </c>
    </row>
    <row r="719" spans="1:13" x14ac:dyDescent="0.25">
      <c r="A719">
        <v>718</v>
      </c>
      <c r="B719" t="s">
        <v>1448</v>
      </c>
      <c r="C719" s="1">
        <v>37.2018602379</v>
      </c>
      <c r="D719" s="1">
        <v>-6.9946663401600002</v>
      </c>
      <c r="E719" s="3">
        <v>2</v>
      </c>
      <c r="F719" s="2">
        <v>2</v>
      </c>
      <c r="G719" s="4">
        <v>2</v>
      </c>
      <c r="H719" s="13"/>
      <c r="I719" s="15"/>
      <c r="J719" s="19">
        <v>2</v>
      </c>
      <c r="K719" s="2" t="s">
        <v>1449</v>
      </c>
      <c r="L719" s="11" t="str">
        <f t="shared" si="12"/>
        <v>Ver Imagen</v>
      </c>
      <c r="M719" t="s">
        <v>15</v>
      </c>
    </row>
    <row r="720" spans="1:13" x14ac:dyDescent="0.25">
      <c r="A720">
        <v>719</v>
      </c>
      <c r="B720" t="s">
        <v>1450</v>
      </c>
      <c r="C720" s="1">
        <v>37.204229688700003</v>
      </c>
      <c r="D720" s="1">
        <v>-7.0115915402600004</v>
      </c>
      <c r="E720" s="3">
        <v>2</v>
      </c>
      <c r="F720" s="2">
        <v>2</v>
      </c>
      <c r="G720" s="4">
        <v>2</v>
      </c>
      <c r="H720" s="13"/>
      <c r="I720" s="15"/>
      <c r="J720" s="19">
        <v>2</v>
      </c>
      <c r="K720" s="2" t="s">
        <v>1451</v>
      </c>
      <c r="L720" s="11" t="str">
        <f t="shared" si="12"/>
        <v>Ver Imagen</v>
      </c>
      <c r="M720" t="s">
        <v>15</v>
      </c>
    </row>
    <row r="721" spans="1:13" x14ac:dyDescent="0.25">
      <c r="A721">
        <v>720</v>
      </c>
      <c r="B721" t="s">
        <v>1452</v>
      </c>
      <c r="C721" s="1">
        <v>37.249724906399997</v>
      </c>
      <c r="D721" s="1">
        <v>-7.0181242369300003</v>
      </c>
      <c r="E721" s="3">
        <v>2</v>
      </c>
      <c r="F721" s="2">
        <v>2</v>
      </c>
      <c r="G721" s="4">
        <v>2</v>
      </c>
      <c r="H721" s="13"/>
      <c r="I721" s="15"/>
      <c r="J721" s="19">
        <v>2</v>
      </c>
      <c r="K721" s="2" t="s">
        <v>1453</v>
      </c>
      <c r="L721" s="11" t="str">
        <f t="shared" si="12"/>
        <v>Ver Imagen</v>
      </c>
      <c r="M721" t="s">
        <v>15</v>
      </c>
    </row>
    <row r="722" spans="1:13" x14ac:dyDescent="0.25">
      <c r="A722">
        <v>721</v>
      </c>
      <c r="B722" t="s">
        <v>1454</v>
      </c>
      <c r="C722" s="1">
        <v>37.249551115400003</v>
      </c>
      <c r="D722" s="1">
        <v>-7.0181796293199996</v>
      </c>
      <c r="E722" s="3">
        <v>2</v>
      </c>
      <c r="F722" s="2">
        <v>2</v>
      </c>
      <c r="G722" s="4">
        <v>2</v>
      </c>
      <c r="H722" s="13"/>
      <c r="I722" s="15"/>
      <c r="J722" s="19">
        <v>2</v>
      </c>
      <c r="K722" s="2" t="s">
        <v>1455</v>
      </c>
      <c r="L722" s="11" t="str">
        <f t="shared" si="12"/>
        <v>Ver Imagen</v>
      </c>
      <c r="M722" t="s">
        <v>15</v>
      </c>
    </row>
    <row r="723" spans="1:13" x14ac:dyDescent="0.25">
      <c r="A723">
        <v>722</v>
      </c>
      <c r="B723" t="s">
        <v>1456</v>
      </c>
      <c r="C723" s="1">
        <v>37.2492940765</v>
      </c>
      <c r="D723" s="1">
        <v>-7.0182465885700003</v>
      </c>
      <c r="E723" s="3">
        <v>2</v>
      </c>
      <c r="F723" s="2">
        <v>2</v>
      </c>
      <c r="G723" s="4">
        <v>2</v>
      </c>
      <c r="H723" s="13"/>
      <c r="I723" s="15"/>
      <c r="J723" s="19">
        <v>2</v>
      </c>
      <c r="K723" s="2" t="s">
        <v>1457</v>
      </c>
      <c r="L723" s="11" t="str">
        <f t="shared" si="12"/>
        <v>Ver Imagen</v>
      </c>
      <c r="M723" t="s">
        <v>15</v>
      </c>
    </row>
    <row r="724" spans="1:13" x14ac:dyDescent="0.25">
      <c r="A724">
        <v>723</v>
      </c>
      <c r="B724" t="s">
        <v>1458</v>
      </c>
      <c r="C724" s="1">
        <v>37.249118420599999</v>
      </c>
      <c r="D724" s="1">
        <v>-7.0182821454399997</v>
      </c>
      <c r="E724" s="3">
        <v>2</v>
      </c>
      <c r="F724" s="2">
        <v>2</v>
      </c>
      <c r="G724" s="4">
        <v>2</v>
      </c>
      <c r="H724" s="13"/>
      <c r="I724" s="15"/>
      <c r="J724" s="19">
        <v>2</v>
      </c>
      <c r="K724" s="2" t="s">
        <v>1459</v>
      </c>
      <c r="L724" s="11" t="str">
        <f t="shared" si="12"/>
        <v>Ver Imagen</v>
      </c>
      <c r="M724" t="s">
        <v>15</v>
      </c>
    </row>
    <row r="725" spans="1:13" x14ac:dyDescent="0.25">
      <c r="A725">
        <v>724</v>
      </c>
      <c r="B725" t="s">
        <v>1460</v>
      </c>
      <c r="C725" s="1">
        <v>37.204591954599998</v>
      </c>
      <c r="D725" s="1">
        <v>-7.0135790622199998</v>
      </c>
      <c r="E725" s="3">
        <v>2</v>
      </c>
      <c r="F725" s="2">
        <v>2</v>
      </c>
      <c r="G725" s="4">
        <v>2</v>
      </c>
      <c r="H725" s="13"/>
      <c r="I725" s="15"/>
      <c r="J725" s="19">
        <v>2</v>
      </c>
      <c r="K725" s="2" t="s">
        <v>1461</v>
      </c>
      <c r="L725" s="11" t="str">
        <f t="shared" si="12"/>
        <v>Ver Imagen</v>
      </c>
      <c r="M725" t="s">
        <v>15</v>
      </c>
    </row>
    <row r="726" spans="1:13" x14ac:dyDescent="0.25">
      <c r="A726">
        <v>725</v>
      </c>
      <c r="B726" t="s">
        <v>1462</v>
      </c>
      <c r="C726" s="1">
        <v>37.204982120300002</v>
      </c>
      <c r="D726" s="1">
        <v>-7.0155447184900002</v>
      </c>
      <c r="E726" s="3">
        <v>2</v>
      </c>
      <c r="F726" s="2">
        <v>2</v>
      </c>
      <c r="G726" s="4">
        <v>2</v>
      </c>
      <c r="H726" s="13"/>
      <c r="I726" s="15"/>
      <c r="J726" s="19">
        <v>2</v>
      </c>
      <c r="K726" s="2" t="s">
        <v>1463</v>
      </c>
      <c r="L726" s="11" t="str">
        <f t="shared" si="12"/>
        <v>Ver Imagen</v>
      </c>
      <c r="M726" t="s">
        <v>15</v>
      </c>
    </row>
    <row r="727" spans="1:13" x14ac:dyDescent="0.25">
      <c r="A727">
        <v>726</v>
      </c>
      <c r="B727" t="s">
        <v>1464</v>
      </c>
      <c r="C727" s="1">
        <v>37.228080606100001</v>
      </c>
      <c r="D727" s="1">
        <v>-7.0219191996600001</v>
      </c>
      <c r="E727" s="3">
        <v>2</v>
      </c>
      <c r="F727" s="2">
        <v>2</v>
      </c>
      <c r="G727" s="4">
        <v>2</v>
      </c>
      <c r="H727" s="13"/>
      <c r="I727" s="15"/>
      <c r="J727" s="19">
        <v>2</v>
      </c>
      <c r="K727" s="2" t="s">
        <v>1465</v>
      </c>
      <c r="L727" s="11" t="str">
        <f t="shared" si="12"/>
        <v>Ver Imagen</v>
      </c>
      <c r="M727" t="s">
        <v>15</v>
      </c>
    </row>
    <row r="728" spans="1:13" x14ac:dyDescent="0.25">
      <c r="A728">
        <v>727</v>
      </c>
      <c r="B728" t="s">
        <v>1466</v>
      </c>
      <c r="C728" s="1">
        <v>37.227737481600002</v>
      </c>
      <c r="D728" s="1">
        <v>-7.0221817704099996</v>
      </c>
      <c r="E728" s="3">
        <v>2</v>
      </c>
      <c r="F728" s="2">
        <v>2</v>
      </c>
      <c r="G728" s="4">
        <v>2</v>
      </c>
      <c r="H728" s="13"/>
      <c r="I728" s="15"/>
      <c r="J728" s="19">
        <v>2</v>
      </c>
      <c r="K728" s="2" t="s">
        <v>1467</v>
      </c>
      <c r="L728" s="11" t="str">
        <f t="shared" si="12"/>
        <v>Ver Imagen</v>
      </c>
      <c r="M728" t="s">
        <v>15</v>
      </c>
    </row>
    <row r="729" spans="1:13" x14ac:dyDescent="0.25">
      <c r="A729">
        <v>728</v>
      </c>
      <c r="B729" t="s">
        <v>1468</v>
      </c>
      <c r="C729" s="1">
        <v>37.227381965799999</v>
      </c>
      <c r="D729" s="1">
        <v>-7.0224484837699999</v>
      </c>
      <c r="E729" s="3">
        <v>2</v>
      </c>
      <c r="F729" s="2">
        <v>2</v>
      </c>
      <c r="G729" s="4">
        <v>2</v>
      </c>
      <c r="H729" s="13"/>
      <c r="I729" s="15"/>
      <c r="J729" s="19">
        <v>2</v>
      </c>
      <c r="K729" s="2" t="s">
        <v>1469</v>
      </c>
      <c r="L729" s="11" t="str">
        <f t="shared" si="12"/>
        <v>Ver Imagen</v>
      </c>
      <c r="M729" t="s">
        <v>15</v>
      </c>
    </row>
    <row r="730" spans="1:13" x14ac:dyDescent="0.25">
      <c r="A730">
        <v>729</v>
      </c>
      <c r="B730" t="s">
        <v>1470</v>
      </c>
      <c r="C730" s="1">
        <v>37.227221905</v>
      </c>
      <c r="D730" s="1">
        <v>-7.0225643926899997</v>
      </c>
      <c r="E730" s="3">
        <v>2</v>
      </c>
      <c r="F730" s="2">
        <v>2</v>
      </c>
      <c r="G730" s="4">
        <v>2</v>
      </c>
      <c r="H730" s="13"/>
      <c r="I730" s="15"/>
      <c r="J730" s="19">
        <v>2</v>
      </c>
      <c r="K730" s="2" t="s">
        <v>1471</v>
      </c>
      <c r="L730" s="11" t="str">
        <f t="shared" si="12"/>
        <v>Ver Imagen</v>
      </c>
      <c r="M730" t="s">
        <v>15</v>
      </c>
    </row>
    <row r="731" spans="1:13" x14ac:dyDescent="0.25">
      <c r="A731">
        <v>730</v>
      </c>
      <c r="B731" t="s">
        <v>1472</v>
      </c>
      <c r="C731" s="1">
        <v>37.226833429000003</v>
      </c>
      <c r="D731" s="1">
        <v>-7.0228176812300003</v>
      </c>
      <c r="E731" s="3">
        <v>2</v>
      </c>
      <c r="F731" s="2">
        <v>2</v>
      </c>
      <c r="G731" s="4">
        <v>2</v>
      </c>
      <c r="H731" s="13"/>
      <c r="I731" s="15"/>
      <c r="J731" s="19">
        <v>2</v>
      </c>
      <c r="K731" s="2" t="s">
        <v>1473</v>
      </c>
      <c r="L731" s="11" t="str">
        <f t="shared" si="12"/>
        <v>Ver Imagen</v>
      </c>
      <c r="M731" t="s">
        <v>15</v>
      </c>
    </row>
    <row r="732" spans="1:13" x14ac:dyDescent="0.25">
      <c r="A732">
        <v>731</v>
      </c>
      <c r="B732" t="s">
        <v>1474</v>
      </c>
      <c r="C732" s="1">
        <v>37.226278187299997</v>
      </c>
      <c r="D732" s="1">
        <v>-7.0230917121800003</v>
      </c>
      <c r="E732" s="3">
        <v>2</v>
      </c>
      <c r="F732" s="2">
        <v>2</v>
      </c>
      <c r="G732" s="4">
        <v>2</v>
      </c>
      <c r="H732" s="13"/>
      <c r="I732" s="15"/>
      <c r="J732" s="19">
        <v>2</v>
      </c>
      <c r="K732" s="2" t="s">
        <v>1475</v>
      </c>
      <c r="L732" s="11" t="str">
        <f t="shared" si="12"/>
        <v>Ver Imagen</v>
      </c>
      <c r="M732" t="s">
        <v>15</v>
      </c>
    </row>
    <row r="733" spans="1:13" x14ac:dyDescent="0.25">
      <c r="A733">
        <v>732</v>
      </c>
      <c r="B733" t="s">
        <v>1476</v>
      </c>
      <c r="C733" s="1">
        <v>37.214779391699999</v>
      </c>
      <c r="D733" s="1">
        <v>-7.0234509033399997</v>
      </c>
      <c r="E733" s="3">
        <v>2</v>
      </c>
      <c r="F733" s="2">
        <v>2</v>
      </c>
      <c r="G733" s="4">
        <v>2</v>
      </c>
      <c r="H733" s="13"/>
      <c r="I733" s="15"/>
      <c r="J733" s="19">
        <v>2</v>
      </c>
      <c r="K733" s="2" t="s">
        <v>1477</v>
      </c>
      <c r="L733" s="11" t="str">
        <f t="shared" si="12"/>
        <v>Ver Imagen</v>
      </c>
      <c r="M733" t="s">
        <v>15</v>
      </c>
    </row>
    <row r="734" spans="1:13" x14ac:dyDescent="0.25">
      <c r="A734">
        <v>733</v>
      </c>
      <c r="B734" t="s">
        <v>1478</v>
      </c>
      <c r="C734" s="1">
        <v>37.225463966</v>
      </c>
      <c r="D734" s="1">
        <v>-7.0233332433399998</v>
      </c>
      <c r="E734" s="3">
        <v>2</v>
      </c>
      <c r="F734" s="2">
        <v>2</v>
      </c>
      <c r="G734" s="4">
        <v>2</v>
      </c>
      <c r="H734" s="13"/>
      <c r="I734" s="15"/>
      <c r="J734" s="19">
        <v>2</v>
      </c>
      <c r="K734" s="2" t="s">
        <v>1479</v>
      </c>
      <c r="L734" s="11" t="str">
        <f t="shared" si="12"/>
        <v>Ver Imagen</v>
      </c>
      <c r="M734" t="s">
        <v>15</v>
      </c>
    </row>
    <row r="735" spans="1:13" x14ac:dyDescent="0.25">
      <c r="A735">
        <v>734</v>
      </c>
      <c r="B735" t="s">
        <v>1480</v>
      </c>
      <c r="C735" s="1">
        <v>37.2157416497</v>
      </c>
      <c r="D735" s="1">
        <v>-7.0232772365700002</v>
      </c>
      <c r="E735" s="3">
        <v>2</v>
      </c>
      <c r="F735" s="2">
        <v>2</v>
      </c>
      <c r="G735" s="4">
        <v>2</v>
      </c>
      <c r="H735" s="13"/>
      <c r="I735" s="15"/>
      <c r="J735" s="19">
        <v>2</v>
      </c>
      <c r="K735" s="2" t="s">
        <v>1481</v>
      </c>
      <c r="L735" s="11" t="str">
        <f t="shared" si="12"/>
        <v>Ver Imagen</v>
      </c>
      <c r="M735" t="s">
        <v>15</v>
      </c>
    </row>
    <row r="736" spans="1:13" x14ac:dyDescent="0.25">
      <c r="A736">
        <v>735</v>
      </c>
      <c r="B736" t="s">
        <v>1482</v>
      </c>
      <c r="C736" s="1">
        <v>37.223693546500002</v>
      </c>
      <c r="D736" s="1">
        <v>-7.0233127185299997</v>
      </c>
      <c r="E736" s="3">
        <v>2</v>
      </c>
      <c r="F736" s="2">
        <v>2</v>
      </c>
      <c r="G736" s="4">
        <v>2</v>
      </c>
      <c r="H736" s="13"/>
      <c r="I736" s="15"/>
      <c r="J736" s="19">
        <v>2</v>
      </c>
      <c r="K736" s="2" t="s">
        <v>1483</v>
      </c>
      <c r="L736" s="11" t="str">
        <f t="shared" si="12"/>
        <v>Ver Imagen</v>
      </c>
      <c r="M736" t="s">
        <v>15</v>
      </c>
    </row>
    <row r="737" spans="1:13" x14ac:dyDescent="0.25">
      <c r="A737">
        <v>736</v>
      </c>
      <c r="B737" t="s">
        <v>1484</v>
      </c>
      <c r="C737" s="1">
        <v>37.2234922353</v>
      </c>
      <c r="D737" s="1">
        <v>-7.0232936776899999</v>
      </c>
      <c r="E737" s="3">
        <v>2</v>
      </c>
      <c r="F737" s="2">
        <v>2</v>
      </c>
      <c r="G737" s="4">
        <v>2</v>
      </c>
      <c r="H737" s="13"/>
      <c r="I737" s="15"/>
      <c r="J737" s="19">
        <v>2</v>
      </c>
      <c r="K737" s="2" t="s">
        <v>1485</v>
      </c>
      <c r="L737" s="11" t="str">
        <f t="shared" si="12"/>
        <v>Ver Imagen</v>
      </c>
      <c r="M737" t="s">
        <v>15</v>
      </c>
    </row>
    <row r="738" spans="1:13" x14ac:dyDescent="0.25">
      <c r="A738">
        <v>737</v>
      </c>
      <c r="B738" t="s">
        <v>1486</v>
      </c>
      <c r="C738" s="1">
        <v>37.218362234600001</v>
      </c>
      <c r="D738" s="1">
        <v>-7.0228307964700001</v>
      </c>
      <c r="E738" s="3">
        <v>2</v>
      </c>
      <c r="F738" s="2">
        <v>2</v>
      </c>
      <c r="G738" s="4">
        <v>2</v>
      </c>
      <c r="H738" s="13"/>
      <c r="I738" s="15"/>
      <c r="J738" s="19">
        <v>2</v>
      </c>
      <c r="K738" s="2" t="s">
        <v>1487</v>
      </c>
      <c r="L738" s="11" t="str">
        <f t="shared" si="12"/>
        <v>Ver Imagen</v>
      </c>
      <c r="M738" t="s">
        <v>15</v>
      </c>
    </row>
    <row r="739" spans="1:13" x14ac:dyDescent="0.25">
      <c r="A739">
        <v>738</v>
      </c>
      <c r="B739" t="s">
        <v>1488</v>
      </c>
      <c r="C739" s="1">
        <v>37.218569537199997</v>
      </c>
      <c r="D739" s="1">
        <v>-7.0228084448999999</v>
      </c>
      <c r="E739" s="3">
        <v>2</v>
      </c>
      <c r="F739" s="2">
        <v>2</v>
      </c>
      <c r="G739" s="4">
        <v>2</v>
      </c>
      <c r="H739" s="13"/>
      <c r="I739" s="15"/>
      <c r="J739" s="19">
        <v>2</v>
      </c>
      <c r="K739" s="2" t="s">
        <v>1489</v>
      </c>
      <c r="L739" s="11" t="str">
        <f t="shared" si="12"/>
        <v>Ver Imagen</v>
      </c>
      <c r="M739" t="s">
        <v>15</v>
      </c>
    </row>
    <row r="740" spans="1:13" x14ac:dyDescent="0.25">
      <c r="A740">
        <v>739</v>
      </c>
      <c r="B740" t="s">
        <v>1490</v>
      </c>
      <c r="C740" s="1">
        <v>37.218764876400002</v>
      </c>
      <c r="D740" s="1">
        <v>-7.0227909707</v>
      </c>
      <c r="E740" s="3">
        <v>2</v>
      </c>
      <c r="F740" s="2">
        <v>2</v>
      </c>
      <c r="G740" s="4">
        <v>2</v>
      </c>
      <c r="H740" s="13"/>
      <c r="I740" s="15"/>
      <c r="J740" s="19">
        <v>2</v>
      </c>
      <c r="K740" s="2" t="s">
        <v>1491</v>
      </c>
      <c r="L740" s="11" t="str">
        <f t="shared" si="12"/>
        <v>Ver Imagen</v>
      </c>
      <c r="M740" t="s">
        <v>15</v>
      </c>
    </row>
    <row r="741" spans="1:13" x14ac:dyDescent="0.25">
      <c r="A741">
        <v>740</v>
      </c>
      <c r="B741" t="s">
        <v>1492</v>
      </c>
      <c r="C741" s="1">
        <v>37.2191421092</v>
      </c>
      <c r="D741" s="1">
        <v>-7.0227699766100002</v>
      </c>
      <c r="E741" s="3">
        <v>2</v>
      </c>
      <c r="F741" s="2">
        <v>2</v>
      </c>
      <c r="G741" s="4">
        <v>2</v>
      </c>
      <c r="H741" s="13"/>
      <c r="I741" s="15"/>
      <c r="J741" s="19">
        <v>2</v>
      </c>
      <c r="K741" s="2" t="s">
        <v>1493</v>
      </c>
      <c r="L741" s="11" t="str">
        <f t="shared" si="12"/>
        <v>Ver Imagen</v>
      </c>
      <c r="M741" t="s">
        <v>15</v>
      </c>
    </row>
    <row r="742" spans="1:13" x14ac:dyDescent="0.25">
      <c r="A742">
        <v>741</v>
      </c>
      <c r="B742" t="s">
        <v>1494</v>
      </c>
      <c r="C742" s="1">
        <v>37.219384109499998</v>
      </c>
      <c r="D742" s="1">
        <v>-7.0227655551300003</v>
      </c>
      <c r="E742" s="3">
        <v>2</v>
      </c>
      <c r="F742" s="2">
        <v>2</v>
      </c>
      <c r="G742" s="4">
        <v>2</v>
      </c>
      <c r="H742" s="13"/>
      <c r="I742" s="15"/>
      <c r="J742" s="19">
        <v>2</v>
      </c>
      <c r="K742" s="2" t="s">
        <v>1495</v>
      </c>
      <c r="L742" s="11" t="str">
        <f t="shared" si="12"/>
        <v>Ver Imagen</v>
      </c>
      <c r="M742" t="s">
        <v>15</v>
      </c>
    </row>
    <row r="743" spans="1:13" x14ac:dyDescent="0.25">
      <c r="A743">
        <v>742</v>
      </c>
      <c r="B743" t="s">
        <v>1496</v>
      </c>
      <c r="C743" s="1">
        <v>37.2101946007</v>
      </c>
      <c r="D743" s="1">
        <v>-7.0237858321599997</v>
      </c>
      <c r="E743" s="3">
        <v>2</v>
      </c>
      <c r="F743" s="2">
        <v>2</v>
      </c>
      <c r="G743" s="4">
        <v>2</v>
      </c>
      <c r="H743" s="13"/>
      <c r="I743" s="15"/>
      <c r="J743" s="19">
        <v>2</v>
      </c>
      <c r="K743" s="2" t="s">
        <v>1497</v>
      </c>
      <c r="L743" s="11" t="str">
        <f t="shared" si="12"/>
        <v>Ver Imagen</v>
      </c>
      <c r="M743" t="s">
        <v>15</v>
      </c>
    </row>
    <row r="744" spans="1:13" x14ac:dyDescent="0.25">
      <c r="A744">
        <v>743</v>
      </c>
      <c r="B744" t="s">
        <v>1498</v>
      </c>
      <c r="C744" s="1">
        <v>37.220611689800002</v>
      </c>
      <c r="D744" s="1">
        <v>-7.0228332067399997</v>
      </c>
      <c r="E744" s="3">
        <v>2</v>
      </c>
      <c r="F744" s="2">
        <v>2</v>
      </c>
      <c r="G744" s="4">
        <v>2</v>
      </c>
      <c r="H744" s="13"/>
      <c r="I744" s="15"/>
      <c r="J744" s="19">
        <v>2</v>
      </c>
      <c r="K744" s="2" t="s">
        <v>1499</v>
      </c>
      <c r="L744" s="11" t="str">
        <f t="shared" si="12"/>
        <v>Ver Imagen</v>
      </c>
      <c r="M744" t="s">
        <v>15</v>
      </c>
    </row>
    <row r="745" spans="1:13" x14ac:dyDescent="0.25">
      <c r="A745">
        <v>744</v>
      </c>
      <c r="B745" t="s">
        <v>1500</v>
      </c>
      <c r="C745" s="1">
        <v>37.208704508499999</v>
      </c>
      <c r="D745" s="1">
        <v>-7.02305545801</v>
      </c>
      <c r="E745" s="3">
        <v>2</v>
      </c>
      <c r="F745" s="2">
        <v>2</v>
      </c>
      <c r="G745" s="4">
        <v>2</v>
      </c>
      <c r="H745" s="13"/>
      <c r="I745" s="15"/>
      <c r="J745" s="19">
        <v>2</v>
      </c>
      <c r="K745" s="2" t="s">
        <v>1501</v>
      </c>
      <c r="L745" s="11" t="str">
        <f t="shared" si="12"/>
        <v>Ver Imagen</v>
      </c>
      <c r="M745" t="s">
        <v>15</v>
      </c>
    </row>
    <row r="746" spans="1:13" x14ac:dyDescent="0.25">
      <c r="A746">
        <v>745</v>
      </c>
      <c r="B746" t="s">
        <v>1502</v>
      </c>
      <c r="C746" s="1">
        <v>37.2066713444</v>
      </c>
      <c r="D746" s="1">
        <v>-7.0209422468499998</v>
      </c>
      <c r="E746" s="3">
        <v>2</v>
      </c>
      <c r="F746" s="2">
        <v>2</v>
      </c>
      <c r="G746" s="4">
        <v>2</v>
      </c>
      <c r="H746" s="13"/>
      <c r="I746" s="15"/>
      <c r="J746" s="19">
        <v>2</v>
      </c>
      <c r="K746" s="2" t="s">
        <v>1503</v>
      </c>
      <c r="L746" s="11" t="str">
        <f t="shared" si="12"/>
        <v>Ver Imagen</v>
      </c>
      <c r="M746" t="s">
        <v>15</v>
      </c>
    </row>
    <row r="747" spans="1:13" x14ac:dyDescent="0.25">
      <c r="A747">
        <v>746</v>
      </c>
      <c r="B747" t="s">
        <v>1504</v>
      </c>
      <c r="C747" s="1">
        <v>37.206190221699998</v>
      </c>
      <c r="D747" s="1">
        <v>-7.0200890094000004</v>
      </c>
      <c r="E747" s="3">
        <v>2</v>
      </c>
      <c r="F747" s="2">
        <v>2</v>
      </c>
      <c r="G747" s="4">
        <v>2</v>
      </c>
      <c r="H747" s="13"/>
      <c r="I747" s="15"/>
      <c r="J747" s="19">
        <v>2</v>
      </c>
      <c r="K747" s="2" t="s">
        <v>1505</v>
      </c>
      <c r="L747" s="11" t="str">
        <f t="shared" si="12"/>
        <v>Ver Imagen</v>
      </c>
      <c r="M747" t="s">
        <v>15</v>
      </c>
    </row>
    <row r="748" spans="1:13" x14ac:dyDescent="0.25">
      <c r="A748">
        <v>747</v>
      </c>
      <c r="B748" t="s">
        <v>1506</v>
      </c>
      <c r="C748" s="1">
        <v>37.206089222800003</v>
      </c>
      <c r="D748" s="1">
        <v>-7.0198779659800001</v>
      </c>
      <c r="E748" s="3">
        <v>2</v>
      </c>
      <c r="F748" s="2">
        <v>2</v>
      </c>
      <c r="G748" s="4">
        <v>2</v>
      </c>
      <c r="H748" s="13"/>
      <c r="I748" s="15"/>
      <c r="J748" s="19">
        <v>2</v>
      </c>
      <c r="K748" s="2" t="s">
        <v>1507</v>
      </c>
      <c r="L748" s="11" t="str">
        <f t="shared" si="12"/>
        <v>Ver Imagen</v>
      </c>
      <c r="M748" t="s">
        <v>15</v>
      </c>
    </row>
    <row r="749" spans="1:13" x14ac:dyDescent="0.25">
      <c r="A749">
        <v>748</v>
      </c>
      <c r="B749" t="s">
        <v>1508</v>
      </c>
      <c r="C749" s="1">
        <v>37.205908801200003</v>
      </c>
      <c r="D749" s="1">
        <v>-7.0194618430200002</v>
      </c>
      <c r="E749" s="3">
        <v>2</v>
      </c>
      <c r="F749" s="2">
        <v>2</v>
      </c>
      <c r="G749" s="4">
        <v>2</v>
      </c>
      <c r="H749" s="13"/>
      <c r="I749" s="15"/>
      <c r="J749" s="19">
        <v>2</v>
      </c>
      <c r="K749" s="2" t="s">
        <v>1509</v>
      </c>
      <c r="L749" s="11" t="str">
        <f t="shared" si="12"/>
        <v>Ver Imagen</v>
      </c>
      <c r="M749" t="s">
        <v>15</v>
      </c>
    </row>
    <row r="750" spans="1:13" x14ac:dyDescent="0.25">
      <c r="A750">
        <v>749</v>
      </c>
      <c r="B750" t="s">
        <v>1510</v>
      </c>
      <c r="C750" s="1">
        <v>37.205825917299997</v>
      </c>
      <c r="D750" s="1">
        <v>-7.0192525665199996</v>
      </c>
      <c r="E750" s="3">
        <v>2</v>
      </c>
      <c r="F750" s="2">
        <v>2</v>
      </c>
      <c r="G750" s="4">
        <v>2</v>
      </c>
      <c r="H750" s="13"/>
      <c r="I750" s="15"/>
      <c r="J750" s="19">
        <v>2</v>
      </c>
      <c r="K750" s="2" t="s">
        <v>1511</v>
      </c>
      <c r="L750" s="11" t="str">
        <f t="shared" si="12"/>
        <v>Ver Imagen</v>
      </c>
      <c r="M750" t="s">
        <v>15</v>
      </c>
    </row>
    <row r="751" spans="1:13" x14ac:dyDescent="0.25">
      <c r="A751">
        <v>750</v>
      </c>
      <c r="B751" t="s">
        <v>1512</v>
      </c>
      <c r="C751" s="1">
        <v>37.205567137800003</v>
      </c>
      <c r="D751" s="1">
        <v>-7.0185110586999997</v>
      </c>
      <c r="E751" s="3">
        <v>2</v>
      </c>
      <c r="F751" s="2">
        <v>2</v>
      </c>
      <c r="G751" s="4">
        <v>2</v>
      </c>
      <c r="H751" s="13"/>
      <c r="I751" s="15"/>
      <c r="J751" s="19">
        <v>2</v>
      </c>
      <c r="K751" s="2" t="s">
        <v>1513</v>
      </c>
      <c r="L751" s="11" t="str">
        <f t="shared" si="12"/>
        <v>Ver Imagen</v>
      </c>
      <c r="M751" t="s">
        <v>15</v>
      </c>
    </row>
    <row r="752" spans="1:13" x14ac:dyDescent="0.25">
      <c r="A752">
        <v>751</v>
      </c>
      <c r="B752" t="s">
        <v>1514</v>
      </c>
      <c r="C752" s="1">
        <v>37.205483017200002</v>
      </c>
      <c r="D752" s="1">
        <v>-7.0182418072299999</v>
      </c>
      <c r="E752" s="3">
        <v>2</v>
      </c>
      <c r="F752" s="2">
        <v>2</v>
      </c>
      <c r="G752" s="4">
        <v>2</v>
      </c>
      <c r="H752" s="13"/>
      <c r="I752" s="15"/>
      <c r="J752" s="19">
        <v>2</v>
      </c>
      <c r="K752" s="2" t="s">
        <v>1515</v>
      </c>
      <c r="L752" s="11" t="str">
        <f t="shared" si="12"/>
        <v>Ver Imagen</v>
      </c>
      <c r="M752" t="s">
        <v>15</v>
      </c>
    </row>
    <row r="753" spans="1:13" x14ac:dyDescent="0.25">
      <c r="A753">
        <v>752</v>
      </c>
      <c r="B753" t="s">
        <v>1516</v>
      </c>
      <c r="C753" s="1">
        <v>37.201816340500002</v>
      </c>
      <c r="D753" s="1">
        <v>-6.9953353541299998</v>
      </c>
      <c r="E753" s="3">
        <v>2</v>
      </c>
      <c r="F753" s="2">
        <v>2</v>
      </c>
      <c r="G753" s="4">
        <v>2</v>
      </c>
      <c r="H753" s="13"/>
      <c r="I753" s="15"/>
      <c r="J753" s="19">
        <v>2</v>
      </c>
      <c r="K753" s="2" t="s">
        <v>1517</v>
      </c>
      <c r="L753" s="11" t="str">
        <f t="shared" si="12"/>
        <v>Ver Imagen</v>
      </c>
      <c r="M753" t="s">
        <v>15</v>
      </c>
    </row>
    <row r="754" spans="1:13" x14ac:dyDescent="0.25">
      <c r="A754">
        <v>753</v>
      </c>
      <c r="B754" t="s">
        <v>1518</v>
      </c>
      <c r="C754" s="1">
        <v>37.2017781021</v>
      </c>
      <c r="D754" s="1">
        <v>-6.99510254535</v>
      </c>
      <c r="E754" s="3">
        <v>2</v>
      </c>
      <c r="F754" s="2">
        <v>2</v>
      </c>
      <c r="G754" s="4">
        <v>2</v>
      </c>
      <c r="H754" s="13"/>
      <c r="I754" s="15"/>
      <c r="J754" s="19">
        <v>2</v>
      </c>
      <c r="K754" s="2" t="s">
        <v>1519</v>
      </c>
      <c r="L754" s="11" t="str">
        <f t="shared" si="12"/>
        <v>Ver Imagen</v>
      </c>
      <c r="M754" t="s">
        <v>15</v>
      </c>
    </row>
    <row r="755" spans="1:13" x14ac:dyDescent="0.25">
      <c r="A755">
        <v>754</v>
      </c>
      <c r="B755" t="s">
        <v>1520</v>
      </c>
      <c r="C755" s="1">
        <v>37.201735275799997</v>
      </c>
      <c r="D755" s="1">
        <v>-6.9948488264000002</v>
      </c>
      <c r="E755" s="3">
        <v>2</v>
      </c>
      <c r="F755" s="2">
        <v>2</v>
      </c>
      <c r="G755" s="4">
        <v>2</v>
      </c>
      <c r="H755" s="13"/>
      <c r="I755" s="15"/>
      <c r="J755" s="19">
        <v>2</v>
      </c>
      <c r="K755" s="2" t="s">
        <v>1521</v>
      </c>
      <c r="L755" s="11" t="str">
        <f t="shared" si="12"/>
        <v>Ver Imagen</v>
      </c>
      <c r="M755" t="s">
        <v>15</v>
      </c>
    </row>
    <row r="756" spans="1:13" x14ac:dyDescent="0.25">
      <c r="A756">
        <v>755</v>
      </c>
      <c r="B756" t="s">
        <v>1522</v>
      </c>
      <c r="C756" s="1">
        <v>37.201692795600003</v>
      </c>
      <c r="D756" s="1">
        <v>-6.9946042007400004</v>
      </c>
      <c r="E756" s="3">
        <v>2</v>
      </c>
      <c r="F756" s="2">
        <v>2</v>
      </c>
      <c r="G756" s="4">
        <v>2</v>
      </c>
      <c r="H756" s="13"/>
      <c r="I756" s="15"/>
      <c r="J756" s="19">
        <v>2</v>
      </c>
      <c r="K756" s="2" t="s">
        <v>1523</v>
      </c>
      <c r="L756" s="11" t="str">
        <f t="shared" si="12"/>
        <v>Ver Imagen</v>
      </c>
      <c r="M756" t="s">
        <v>15</v>
      </c>
    </row>
    <row r="757" spans="1:13" x14ac:dyDescent="0.25">
      <c r="A757">
        <v>756</v>
      </c>
      <c r="B757" t="s">
        <v>1524</v>
      </c>
      <c r="C757" s="1">
        <v>37.201650326200003</v>
      </c>
      <c r="D757" s="1">
        <v>-6.9943657744900003</v>
      </c>
      <c r="E757" s="3">
        <v>2</v>
      </c>
      <c r="F757" s="2">
        <v>2</v>
      </c>
      <c r="G757" s="4">
        <v>2</v>
      </c>
      <c r="H757" s="13"/>
      <c r="I757" s="15"/>
      <c r="J757" s="19">
        <v>2</v>
      </c>
      <c r="K757" s="2" t="s">
        <v>1525</v>
      </c>
      <c r="L757" s="11" t="str">
        <f t="shared" si="12"/>
        <v>Ver Imagen</v>
      </c>
      <c r="M757" t="s">
        <v>15</v>
      </c>
    </row>
    <row r="758" spans="1:13" x14ac:dyDescent="0.25">
      <c r="A758">
        <v>757</v>
      </c>
      <c r="B758" t="s">
        <v>1526</v>
      </c>
      <c r="C758" s="1">
        <v>37.201604042200003</v>
      </c>
      <c r="D758" s="1">
        <v>-6.9941025396200001</v>
      </c>
      <c r="E758" s="3">
        <v>2</v>
      </c>
      <c r="F758" s="2">
        <v>2</v>
      </c>
      <c r="G758" s="4">
        <v>2</v>
      </c>
      <c r="H758" s="13"/>
      <c r="I758" s="15"/>
      <c r="J758" s="19">
        <v>2</v>
      </c>
      <c r="K758" s="2" t="s">
        <v>1527</v>
      </c>
      <c r="L758" s="11" t="str">
        <f t="shared" si="12"/>
        <v>Ver Imagen</v>
      </c>
      <c r="M758" t="s">
        <v>15</v>
      </c>
    </row>
    <row r="759" spans="1:13" x14ac:dyDescent="0.25">
      <c r="A759">
        <v>758</v>
      </c>
      <c r="B759" t="s">
        <v>1528</v>
      </c>
      <c r="C759" s="1">
        <v>37.201561800900002</v>
      </c>
      <c r="D759" s="1">
        <v>-6.9938573975900002</v>
      </c>
      <c r="E759" s="3">
        <v>2</v>
      </c>
      <c r="F759" s="2">
        <v>2</v>
      </c>
      <c r="G759" s="4">
        <v>2</v>
      </c>
      <c r="H759" s="13"/>
      <c r="I759" s="15"/>
      <c r="J759" s="19">
        <v>2</v>
      </c>
      <c r="K759" s="2" t="s">
        <v>1529</v>
      </c>
      <c r="L759" s="11" t="str">
        <f t="shared" si="12"/>
        <v>Ver Imagen</v>
      </c>
      <c r="M759" t="s">
        <v>15</v>
      </c>
    </row>
    <row r="760" spans="1:13" x14ac:dyDescent="0.25">
      <c r="A760">
        <v>759</v>
      </c>
      <c r="B760" t="s">
        <v>1530</v>
      </c>
      <c r="C760" s="1">
        <v>37.201523152699998</v>
      </c>
      <c r="D760" s="1">
        <v>-6.9936359508099999</v>
      </c>
      <c r="E760" s="3">
        <v>2</v>
      </c>
      <c r="F760" s="2">
        <v>2</v>
      </c>
      <c r="G760" s="4">
        <v>2</v>
      </c>
      <c r="H760" s="13"/>
      <c r="I760" s="15"/>
      <c r="J760" s="19">
        <v>2</v>
      </c>
      <c r="K760" s="2" t="s">
        <v>1531</v>
      </c>
      <c r="L760" s="11" t="str">
        <f t="shared" si="12"/>
        <v>Ver Imagen</v>
      </c>
      <c r="M760" t="s">
        <v>15</v>
      </c>
    </row>
    <row r="761" spans="1:13" x14ac:dyDescent="0.25">
      <c r="A761">
        <v>760</v>
      </c>
      <c r="B761" t="s">
        <v>1532</v>
      </c>
      <c r="C761" s="1">
        <v>37.201470475800001</v>
      </c>
      <c r="D761" s="1">
        <v>-6.9933419881100001</v>
      </c>
      <c r="E761" s="3">
        <v>2</v>
      </c>
      <c r="F761" s="2">
        <v>2</v>
      </c>
      <c r="G761" s="4">
        <v>2</v>
      </c>
      <c r="H761" s="13"/>
      <c r="I761" s="15"/>
      <c r="J761" s="19">
        <v>2</v>
      </c>
      <c r="K761" s="2" t="s">
        <v>1533</v>
      </c>
      <c r="L761" s="11" t="str">
        <f t="shared" si="12"/>
        <v>Ver Imagen</v>
      </c>
      <c r="M761" t="s">
        <v>15</v>
      </c>
    </row>
    <row r="762" spans="1:13" x14ac:dyDescent="0.25">
      <c r="A762">
        <v>761</v>
      </c>
      <c r="B762" t="s">
        <v>1534</v>
      </c>
      <c r="C762" s="1">
        <v>37.201296215799999</v>
      </c>
      <c r="D762" s="1">
        <v>-6.9924210699599998</v>
      </c>
      <c r="E762" s="3">
        <v>2</v>
      </c>
      <c r="F762" s="2">
        <v>2</v>
      </c>
      <c r="G762" s="4">
        <v>2</v>
      </c>
      <c r="H762" s="13"/>
      <c r="I762" s="15"/>
      <c r="J762" s="19">
        <v>2</v>
      </c>
      <c r="K762" s="2" t="s">
        <v>1535</v>
      </c>
      <c r="L762" s="11" t="str">
        <f t="shared" si="12"/>
        <v>Ver Imagen</v>
      </c>
      <c r="M762" t="s">
        <v>15</v>
      </c>
    </row>
    <row r="763" spans="1:13" x14ac:dyDescent="0.25">
      <c r="A763">
        <v>762</v>
      </c>
      <c r="B763" t="s">
        <v>1536</v>
      </c>
      <c r="C763" s="1">
        <v>37.201187695900003</v>
      </c>
      <c r="D763" s="1">
        <v>-6.9918607141700004</v>
      </c>
      <c r="E763" s="3">
        <v>2</v>
      </c>
      <c r="F763" s="2">
        <v>2</v>
      </c>
      <c r="G763" s="4">
        <v>2</v>
      </c>
      <c r="H763" s="13"/>
      <c r="I763" s="15"/>
      <c r="J763" s="19">
        <v>2</v>
      </c>
      <c r="K763" s="2" t="s">
        <v>1537</v>
      </c>
      <c r="L763" s="11" t="str">
        <f t="shared" si="12"/>
        <v>Ver Imagen</v>
      </c>
      <c r="M763" t="s">
        <v>15</v>
      </c>
    </row>
    <row r="764" spans="1:13" x14ac:dyDescent="0.25">
      <c r="A764">
        <v>763</v>
      </c>
      <c r="B764" t="s">
        <v>1538</v>
      </c>
      <c r="C764" s="1">
        <v>37.201144558499998</v>
      </c>
      <c r="D764" s="1">
        <v>-6.99163972818</v>
      </c>
      <c r="E764" s="3">
        <v>2</v>
      </c>
      <c r="F764" s="2">
        <v>2</v>
      </c>
      <c r="G764" s="4">
        <v>2</v>
      </c>
      <c r="H764" s="13"/>
      <c r="I764" s="15"/>
      <c r="J764" s="19">
        <v>2</v>
      </c>
      <c r="K764" s="2" t="s">
        <v>1539</v>
      </c>
      <c r="L764" s="11" t="str">
        <f t="shared" si="12"/>
        <v>Ver Imagen</v>
      </c>
      <c r="M764" t="s">
        <v>15</v>
      </c>
    </row>
    <row r="765" spans="1:13" x14ac:dyDescent="0.25">
      <c r="A765">
        <v>764</v>
      </c>
      <c r="B765" t="s">
        <v>1540</v>
      </c>
      <c r="C765" s="1">
        <v>37.2010877405</v>
      </c>
      <c r="D765" s="1">
        <v>-6.9913485514099998</v>
      </c>
      <c r="E765" s="3">
        <v>2</v>
      </c>
      <c r="F765" s="2">
        <v>2</v>
      </c>
      <c r="G765" s="4">
        <v>2</v>
      </c>
      <c r="H765" s="13"/>
      <c r="I765" s="15"/>
      <c r="J765" s="19">
        <v>2</v>
      </c>
      <c r="K765" s="2" t="s">
        <v>1541</v>
      </c>
      <c r="L765" s="11" t="str">
        <f t="shared" si="12"/>
        <v>Ver Imagen</v>
      </c>
      <c r="M765" t="s">
        <v>15</v>
      </c>
    </row>
    <row r="766" spans="1:13" x14ac:dyDescent="0.25">
      <c r="A766">
        <v>765</v>
      </c>
      <c r="B766" t="s">
        <v>1542</v>
      </c>
      <c r="C766" s="1">
        <v>37.2010532149</v>
      </c>
      <c r="D766" s="1">
        <v>-6.9911712777000004</v>
      </c>
      <c r="E766" s="3">
        <v>2</v>
      </c>
      <c r="F766" s="2">
        <v>2</v>
      </c>
      <c r="G766" s="4">
        <v>2</v>
      </c>
      <c r="H766" s="13"/>
      <c r="I766" s="15"/>
      <c r="J766" s="19">
        <v>2</v>
      </c>
      <c r="K766" s="2" t="s">
        <v>1543</v>
      </c>
      <c r="L766" s="11" t="str">
        <f t="shared" si="12"/>
        <v>Ver Imagen</v>
      </c>
      <c r="M766" t="s">
        <v>15</v>
      </c>
    </row>
    <row r="767" spans="1:13" x14ac:dyDescent="0.25">
      <c r="A767">
        <v>766</v>
      </c>
      <c r="B767" t="s">
        <v>1544</v>
      </c>
      <c r="C767" s="1">
        <v>37.201000920799999</v>
      </c>
      <c r="D767" s="1">
        <v>-6.9909068360499997</v>
      </c>
      <c r="E767" s="3">
        <v>2</v>
      </c>
      <c r="F767" s="2">
        <v>2</v>
      </c>
      <c r="G767" s="4">
        <v>2</v>
      </c>
      <c r="H767" s="13"/>
      <c r="I767" s="15"/>
      <c r="J767" s="19">
        <v>2</v>
      </c>
      <c r="K767" s="2" t="s">
        <v>1545</v>
      </c>
      <c r="L767" s="11" t="str">
        <f t="shared" si="12"/>
        <v>Ver Imagen</v>
      </c>
      <c r="M767" t="s">
        <v>15</v>
      </c>
    </row>
    <row r="768" spans="1:13" x14ac:dyDescent="0.25">
      <c r="A768">
        <v>767</v>
      </c>
      <c r="B768" t="s">
        <v>1546</v>
      </c>
      <c r="C768" s="1">
        <v>37.200894263999999</v>
      </c>
      <c r="D768" s="1">
        <v>-6.99039195777</v>
      </c>
      <c r="E768" s="3">
        <v>2</v>
      </c>
      <c r="F768" s="2">
        <v>2</v>
      </c>
      <c r="G768" s="4">
        <v>2</v>
      </c>
      <c r="H768" s="13"/>
      <c r="I768" s="15"/>
      <c r="J768" s="19">
        <v>2</v>
      </c>
      <c r="K768" s="2" t="s">
        <v>1547</v>
      </c>
      <c r="L768" s="11" t="str">
        <f t="shared" si="12"/>
        <v>Ver Imagen</v>
      </c>
      <c r="M768" t="s">
        <v>15</v>
      </c>
    </row>
    <row r="769" spans="1:13" x14ac:dyDescent="0.25">
      <c r="A769">
        <v>768</v>
      </c>
      <c r="B769" t="s">
        <v>1548</v>
      </c>
      <c r="C769" s="1">
        <v>37.200683253599998</v>
      </c>
      <c r="D769" s="1">
        <v>-6.9894237881099999</v>
      </c>
      <c r="E769" s="3">
        <v>2</v>
      </c>
      <c r="F769" s="2">
        <v>2</v>
      </c>
      <c r="G769" s="4">
        <v>2</v>
      </c>
      <c r="H769" s="13"/>
      <c r="I769" s="15"/>
      <c r="J769" s="19">
        <v>2</v>
      </c>
      <c r="K769" s="2" t="s">
        <v>1549</v>
      </c>
      <c r="L769" s="11" t="str">
        <f t="shared" si="12"/>
        <v>Ver Imagen</v>
      </c>
      <c r="M769" t="s">
        <v>15</v>
      </c>
    </row>
    <row r="770" spans="1:13" x14ac:dyDescent="0.25">
      <c r="A770">
        <v>769</v>
      </c>
      <c r="B770" t="s">
        <v>1550</v>
      </c>
      <c r="C770" s="1">
        <v>37.200580149700002</v>
      </c>
      <c r="D770" s="1">
        <v>-6.9889540660999998</v>
      </c>
      <c r="E770" s="3">
        <v>2</v>
      </c>
      <c r="F770" s="2">
        <v>2</v>
      </c>
      <c r="G770" s="4">
        <v>2</v>
      </c>
      <c r="H770" s="13"/>
      <c r="I770" s="15"/>
      <c r="J770" s="19">
        <v>2</v>
      </c>
      <c r="K770" s="2" t="s">
        <v>1551</v>
      </c>
      <c r="L770" s="11" t="str">
        <f t="shared" si="12"/>
        <v>Ver Imagen</v>
      </c>
      <c r="M770" t="s">
        <v>15</v>
      </c>
    </row>
    <row r="771" spans="1:13" x14ac:dyDescent="0.25">
      <c r="A771">
        <v>770</v>
      </c>
      <c r="B771" t="s">
        <v>1552</v>
      </c>
      <c r="C771" s="1">
        <v>37.2005313636</v>
      </c>
      <c r="D771" s="1">
        <v>-6.9887347383699998</v>
      </c>
      <c r="E771" s="3">
        <v>2</v>
      </c>
      <c r="F771" s="2">
        <v>2</v>
      </c>
      <c r="G771" s="4">
        <v>2</v>
      </c>
      <c r="H771" s="13"/>
      <c r="I771" s="15"/>
      <c r="J771" s="19">
        <v>2</v>
      </c>
      <c r="K771" s="2" t="s">
        <v>1553</v>
      </c>
      <c r="L771" s="11" t="str">
        <f t="shared" si="12"/>
        <v>Ver Imagen</v>
      </c>
      <c r="M771" t="s">
        <v>15</v>
      </c>
    </row>
    <row r="772" spans="1:13" x14ac:dyDescent="0.25">
      <c r="A772">
        <v>771</v>
      </c>
      <c r="B772" t="s">
        <v>1554</v>
      </c>
      <c r="C772" s="1">
        <v>37.200461608700003</v>
      </c>
      <c r="D772" s="1">
        <v>-6.9884249093399999</v>
      </c>
      <c r="E772" s="3">
        <v>2</v>
      </c>
      <c r="F772" s="2">
        <v>2</v>
      </c>
      <c r="G772" s="4">
        <v>2</v>
      </c>
      <c r="H772" s="13"/>
      <c r="I772" s="15"/>
      <c r="J772" s="19">
        <v>2</v>
      </c>
      <c r="K772" s="2" t="s">
        <v>1555</v>
      </c>
      <c r="L772" s="11" t="str">
        <f t="shared" si="12"/>
        <v>Ver Imagen</v>
      </c>
      <c r="M772" t="s">
        <v>15</v>
      </c>
    </row>
    <row r="773" spans="1:13" x14ac:dyDescent="0.25">
      <c r="A773">
        <v>772</v>
      </c>
      <c r="B773" t="s">
        <v>1556</v>
      </c>
      <c r="C773" s="1">
        <v>37.200416101000002</v>
      </c>
      <c r="D773" s="1">
        <v>-6.9882246908100001</v>
      </c>
      <c r="E773" s="3">
        <v>2</v>
      </c>
      <c r="F773" s="2">
        <v>2</v>
      </c>
      <c r="G773" s="4">
        <v>2</v>
      </c>
      <c r="H773" s="13"/>
      <c r="I773" s="15"/>
      <c r="J773" s="19">
        <v>2</v>
      </c>
      <c r="K773" s="2" t="s">
        <v>1557</v>
      </c>
      <c r="L773" s="11" t="str">
        <f t="shared" si="12"/>
        <v>Ver Imagen</v>
      </c>
      <c r="M773" t="s">
        <v>15</v>
      </c>
    </row>
    <row r="774" spans="1:13" x14ac:dyDescent="0.25">
      <c r="A774">
        <v>773</v>
      </c>
      <c r="B774" t="s">
        <v>1558</v>
      </c>
      <c r="C774" s="1">
        <v>37.200362487699998</v>
      </c>
      <c r="D774" s="1">
        <v>-6.9879904747300001</v>
      </c>
      <c r="E774" s="3">
        <v>2</v>
      </c>
      <c r="F774" s="2">
        <v>2</v>
      </c>
      <c r="G774" s="4">
        <v>2</v>
      </c>
      <c r="H774" s="13"/>
      <c r="I774" s="15"/>
      <c r="J774" s="19">
        <v>2</v>
      </c>
      <c r="K774" s="2" t="s">
        <v>1559</v>
      </c>
      <c r="L774" s="11" t="str">
        <f t="shared" si="12"/>
        <v>Ver Imagen</v>
      </c>
      <c r="M774" t="s">
        <v>15</v>
      </c>
    </row>
    <row r="775" spans="1:13" x14ac:dyDescent="0.25">
      <c r="A775">
        <v>774</v>
      </c>
      <c r="B775" t="s">
        <v>1560</v>
      </c>
      <c r="C775" s="1">
        <v>37.200136857899999</v>
      </c>
      <c r="D775" s="1">
        <v>-6.9870201268500001</v>
      </c>
      <c r="E775" s="3">
        <v>2</v>
      </c>
      <c r="F775" s="2">
        <v>2</v>
      </c>
      <c r="G775" s="4">
        <v>2</v>
      </c>
      <c r="H775" s="13"/>
      <c r="I775" s="15"/>
      <c r="J775" s="19">
        <v>2</v>
      </c>
      <c r="K775" s="2" t="s">
        <v>1561</v>
      </c>
      <c r="L775" s="11" t="str">
        <f t="shared" si="12"/>
        <v>Ver Imagen</v>
      </c>
      <c r="M775" t="s">
        <v>15</v>
      </c>
    </row>
    <row r="776" spans="1:13" x14ac:dyDescent="0.25">
      <c r="A776">
        <v>775</v>
      </c>
      <c r="B776" t="s">
        <v>1562</v>
      </c>
      <c r="C776" s="1">
        <v>37.221798697200001</v>
      </c>
      <c r="D776" s="1">
        <v>-7.0229465714300003</v>
      </c>
      <c r="E776" s="3">
        <v>2</v>
      </c>
      <c r="F776" s="2">
        <v>2</v>
      </c>
      <c r="G776" s="4">
        <v>2</v>
      </c>
      <c r="H776" s="13"/>
      <c r="I776" s="15"/>
      <c r="J776" s="19">
        <v>2</v>
      </c>
      <c r="K776" s="2" t="s">
        <v>1563</v>
      </c>
      <c r="L776" s="11" t="str">
        <f t="shared" si="12"/>
        <v>Ver Imagen</v>
      </c>
      <c r="M776" t="s">
        <v>15</v>
      </c>
    </row>
    <row r="777" spans="1:13" x14ac:dyDescent="0.25">
      <c r="A777">
        <v>776</v>
      </c>
      <c r="B777" t="s">
        <v>1564</v>
      </c>
      <c r="C777" s="1">
        <v>37.2219852383</v>
      </c>
      <c r="D777" s="1">
        <v>-7.0229648500900002</v>
      </c>
      <c r="E777" s="3">
        <v>2</v>
      </c>
      <c r="F777" s="2">
        <v>2</v>
      </c>
      <c r="G777" s="4">
        <v>2</v>
      </c>
      <c r="H777" s="13"/>
      <c r="I777" s="15"/>
      <c r="J777" s="19">
        <v>2</v>
      </c>
      <c r="K777" s="2" t="s">
        <v>1565</v>
      </c>
      <c r="L777" s="11" t="str">
        <f t="shared" ref="L777:L834" si="13">HYPERLINK("2\0\" &amp; K777, "Ver Imagen")</f>
        <v>Ver Imagen</v>
      </c>
      <c r="M777" t="s">
        <v>15</v>
      </c>
    </row>
    <row r="778" spans="1:13" x14ac:dyDescent="0.25">
      <c r="A778">
        <v>777</v>
      </c>
      <c r="B778" t="s">
        <v>1566</v>
      </c>
      <c r="C778" s="1">
        <v>37.222183700000002</v>
      </c>
      <c r="D778" s="1">
        <v>-7.0229841649600004</v>
      </c>
      <c r="E778" s="3">
        <v>2</v>
      </c>
      <c r="F778" s="2">
        <v>2</v>
      </c>
      <c r="G778" s="4">
        <v>2</v>
      </c>
      <c r="H778" s="13"/>
      <c r="I778" s="15"/>
      <c r="J778" s="19">
        <v>2</v>
      </c>
      <c r="K778" s="2" t="s">
        <v>1567</v>
      </c>
      <c r="L778" s="11" t="str">
        <f t="shared" si="13"/>
        <v>Ver Imagen</v>
      </c>
      <c r="M778" t="s">
        <v>15</v>
      </c>
    </row>
    <row r="779" spans="1:13" x14ac:dyDescent="0.25">
      <c r="A779">
        <v>778</v>
      </c>
      <c r="B779" t="s">
        <v>1568</v>
      </c>
      <c r="C779" s="1">
        <v>37.222413861699998</v>
      </c>
      <c r="D779" s="1">
        <v>-7.023006187</v>
      </c>
      <c r="E779" s="3">
        <v>2</v>
      </c>
      <c r="F779" s="2">
        <v>2</v>
      </c>
      <c r="G779" s="4">
        <v>2</v>
      </c>
      <c r="H779" s="13"/>
      <c r="I779" s="15"/>
      <c r="J779" s="19">
        <v>2</v>
      </c>
      <c r="K779" s="2" t="s">
        <v>1569</v>
      </c>
      <c r="L779" s="11" t="str">
        <f t="shared" si="13"/>
        <v>Ver Imagen</v>
      </c>
      <c r="M779" t="s">
        <v>15</v>
      </c>
    </row>
    <row r="780" spans="1:13" x14ac:dyDescent="0.25">
      <c r="A780">
        <v>779</v>
      </c>
      <c r="B780" t="s">
        <v>1570</v>
      </c>
      <c r="C780" s="1">
        <v>37.222828043500002</v>
      </c>
      <c r="D780" s="1">
        <v>-7.0230454071999997</v>
      </c>
      <c r="E780" s="3">
        <v>2</v>
      </c>
      <c r="F780" s="2">
        <v>2</v>
      </c>
      <c r="G780" s="4">
        <v>2</v>
      </c>
      <c r="H780" s="13"/>
      <c r="I780" s="15"/>
      <c r="J780" s="19">
        <v>2</v>
      </c>
      <c r="K780" s="2" t="s">
        <v>1571</v>
      </c>
      <c r="L780" s="11" t="str">
        <f t="shared" si="13"/>
        <v>Ver Imagen</v>
      </c>
      <c r="M780" t="s">
        <v>15</v>
      </c>
    </row>
    <row r="781" spans="1:13" x14ac:dyDescent="0.25">
      <c r="A781">
        <v>780</v>
      </c>
      <c r="B781" t="s">
        <v>1572</v>
      </c>
      <c r="C781" s="1">
        <v>37.223212883800002</v>
      </c>
      <c r="D781" s="1">
        <v>-7.02308107047</v>
      </c>
      <c r="E781" s="3">
        <v>2</v>
      </c>
      <c r="F781" s="2">
        <v>2</v>
      </c>
      <c r="G781" s="4">
        <v>2</v>
      </c>
      <c r="H781" s="13"/>
      <c r="I781" s="15"/>
      <c r="J781" s="19">
        <v>2</v>
      </c>
      <c r="K781" s="2" t="s">
        <v>1573</v>
      </c>
      <c r="L781" s="11" t="str">
        <f t="shared" si="13"/>
        <v>Ver Imagen</v>
      </c>
      <c r="M781" t="s">
        <v>15</v>
      </c>
    </row>
    <row r="782" spans="1:13" x14ac:dyDescent="0.25">
      <c r="A782">
        <v>781</v>
      </c>
      <c r="B782" t="s">
        <v>1574</v>
      </c>
      <c r="C782" s="1">
        <v>37.223405605799996</v>
      </c>
      <c r="D782" s="1">
        <v>-7.0230996033700004</v>
      </c>
      <c r="E782" s="3">
        <v>2</v>
      </c>
      <c r="F782" s="2">
        <v>2</v>
      </c>
      <c r="G782" s="4">
        <v>2</v>
      </c>
      <c r="H782" s="13"/>
      <c r="I782" s="15"/>
      <c r="J782" s="19">
        <v>2</v>
      </c>
      <c r="K782" s="2" t="s">
        <v>1575</v>
      </c>
      <c r="L782" s="11" t="str">
        <f t="shared" si="13"/>
        <v>Ver Imagen</v>
      </c>
      <c r="M782" t="s">
        <v>15</v>
      </c>
    </row>
    <row r="783" spans="1:13" x14ac:dyDescent="0.25">
      <c r="A783">
        <v>782</v>
      </c>
      <c r="B783" t="s">
        <v>1576</v>
      </c>
      <c r="C783" s="1">
        <v>37.223605558899997</v>
      </c>
      <c r="D783" s="1">
        <v>-7.0231195618199997</v>
      </c>
      <c r="E783" s="3">
        <v>2</v>
      </c>
      <c r="F783" s="2">
        <v>2</v>
      </c>
      <c r="G783" s="4">
        <v>2</v>
      </c>
      <c r="H783" s="13"/>
      <c r="I783" s="15"/>
      <c r="J783" s="19">
        <v>2</v>
      </c>
      <c r="K783" s="2" t="s">
        <v>1577</v>
      </c>
      <c r="L783" s="11" t="str">
        <f t="shared" si="13"/>
        <v>Ver Imagen</v>
      </c>
      <c r="M783" t="s">
        <v>15</v>
      </c>
    </row>
    <row r="784" spans="1:13" x14ac:dyDescent="0.25">
      <c r="A784">
        <v>783</v>
      </c>
      <c r="B784" t="s">
        <v>1578</v>
      </c>
      <c r="C784" s="1">
        <v>37.224016889700003</v>
      </c>
      <c r="D784" s="1">
        <v>-7.0231605128399996</v>
      </c>
      <c r="E784" s="3">
        <v>2</v>
      </c>
      <c r="F784" s="2">
        <v>2</v>
      </c>
      <c r="G784" s="4">
        <v>2</v>
      </c>
      <c r="H784" s="13"/>
      <c r="I784" s="15"/>
      <c r="J784" s="19">
        <v>2</v>
      </c>
      <c r="K784" s="2" t="s">
        <v>1579</v>
      </c>
      <c r="L784" s="11" t="str">
        <f t="shared" si="13"/>
        <v>Ver Imagen</v>
      </c>
      <c r="M784" t="s">
        <v>15</v>
      </c>
    </row>
    <row r="785" spans="1:13" x14ac:dyDescent="0.25">
      <c r="A785">
        <v>784</v>
      </c>
      <c r="B785" t="s">
        <v>1580</v>
      </c>
      <c r="C785" s="1">
        <v>37.224223822699997</v>
      </c>
      <c r="D785" s="1">
        <v>-7.0231799930000003</v>
      </c>
      <c r="E785" s="3">
        <v>2</v>
      </c>
      <c r="F785" s="2">
        <v>2</v>
      </c>
      <c r="G785" s="4">
        <v>2</v>
      </c>
      <c r="H785" s="13"/>
      <c r="I785" s="15"/>
      <c r="J785" s="19">
        <v>2</v>
      </c>
      <c r="K785" s="2" t="s">
        <v>1581</v>
      </c>
      <c r="L785" s="11" t="str">
        <f t="shared" si="13"/>
        <v>Ver Imagen</v>
      </c>
      <c r="M785" t="s">
        <v>15</v>
      </c>
    </row>
    <row r="786" spans="1:13" x14ac:dyDescent="0.25">
      <c r="A786">
        <v>785</v>
      </c>
      <c r="B786" t="s">
        <v>1582</v>
      </c>
      <c r="C786" s="1">
        <v>37.224859042299997</v>
      </c>
      <c r="D786" s="1">
        <v>-7.02320904799</v>
      </c>
      <c r="E786" s="3">
        <v>2</v>
      </c>
      <c r="F786" s="2">
        <v>2</v>
      </c>
      <c r="G786" s="4">
        <v>2</v>
      </c>
      <c r="H786" s="13"/>
      <c r="I786" s="15"/>
      <c r="J786" s="19">
        <v>2</v>
      </c>
      <c r="K786" s="2" t="s">
        <v>1583</v>
      </c>
      <c r="L786" s="11" t="str">
        <f t="shared" si="13"/>
        <v>Ver Imagen</v>
      </c>
      <c r="M786" t="s">
        <v>15</v>
      </c>
    </row>
    <row r="787" spans="1:13" x14ac:dyDescent="0.25">
      <c r="A787">
        <v>786</v>
      </c>
      <c r="B787" t="s">
        <v>1584</v>
      </c>
      <c r="C787" s="1">
        <v>37.2250485864</v>
      </c>
      <c r="D787" s="1">
        <v>-7.0232022160699996</v>
      </c>
      <c r="E787" s="3">
        <v>2</v>
      </c>
      <c r="F787" s="2">
        <v>2</v>
      </c>
      <c r="G787" s="4">
        <v>2</v>
      </c>
      <c r="H787" s="13"/>
      <c r="I787" s="15"/>
      <c r="J787" s="19">
        <v>2</v>
      </c>
      <c r="K787" s="2" t="s">
        <v>1585</v>
      </c>
      <c r="L787" s="11" t="str">
        <f t="shared" si="13"/>
        <v>Ver Imagen</v>
      </c>
      <c r="M787" t="s">
        <v>15</v>
      </c>
    </row>
    <row r="788" spans="1:13" x14ac:dyDescent="0.25">
      <c r="A788">
        <v>787</v>
      </c>
      <c r="B788" t="s">
        <v>1586</v>
      </c>
      <c r="C788" s="1">
        <v>37.225248295999997</v>
      </c>
      <c r="D788" s="1">
        <v>-7.0231843736700004</v>
      </c>
      <c r="E788" s="3">
        <v>2</v>
      </c>
      <c r="F788" s="2">
        <v>2</v>
      </c>
      <c r="G788" s="4">
        <v>2</v>
      </c>
      <c r="H788" s="13"/>
      <c r="I788" s="15"/>
      <c r="J788" s="19">
        <v>2</v>
      </c>
      <c r="K788" s="2" t="s">
        <v>1587</v>
      </c>
      <c r="L788" s="11" t="str">
        <f t="shared" si="13"/>
        <v>Ver Imagen</v>
      </c>
      <c r="M788" t="s">
        <v>15</v>
      </c>
    </row>
    <row r="789" spans="1:13" x14ac:dyDescent="0.25">
      <c r="A789">
        <v>788</v>
      </c>
      <c r="B789" t="s">
        <v>1588</v>
      </c>
      <c r="C789" s="1">
        <v>37.2256490527</v>
      </c>
      <c r="D789" s="1">
        <v>-7.0231156508500003</v>
      </c>
      <c r="E789" s="3">
        <v>2</v>
      </c>
      <c r="F789" s="2">
        <v>2</v>
      </c>
      <c r="G789" s="4">
        <v>2</v>
      </c>
      <c r="H789" s="13"/>
      <c r="I789" s="15"/>
      <c r="J789" s="19">
        <v>2</v>
      </c>
      <c r="K789" s="2" t="s">
        <v>1589</v>
      </c>
      <c r="L789" s="11" t="str">
        <f t="shared" si="13"/>
        <v>Ver Imagen</v>
      </c>
      <c r="M789" t="s">
        <v>15</v>
      </c>
    </row>
    <row r="790" spans="1:13" x14ac:dyDescent="0.25">
      <c r="A790">
        <v>789</v>
      </c>
      <c r="B790" t="s">
        <v>1590</v>
      </c>
      <c r="C790" s="1">
        <v>37.226011082299998</v>
      </c>
      <c r="D790" s="1">
        <v>-7.0230139757499996</v>
      </c>
      <c r="E790" s="3">
        <v>2</v>
      </c>
      <c r="F790" s="2">
        <v>2</v>
      </c>
      <c r="G790" s="4">
        <v>2</v>
      </c>
      <c r="H790" s="13"/>
      <c r="I790" s="15"/>
      <c r="J790" s="19">
        <v>2</v>
      </c>
      <c r="K790" s="2" t="s">
        <v>1591</v>
      </c>
      <c r="L790" s="11" t="str">
        <f t="shared" si="13"/>
        <v>Ver Imagen</v>
      </c>
      <c r="M790" t="s">
        <v>15</v>
      </c>
    </row>
    <row r="791" spans="1:13" x14ac:dyDescent="0.25">
      <c r="A791">
        <v>790</v>
      </c>
      <c r="B791" t="s">
        <v>1592</v>
      </c>
      <c r="C791" s="1">
        <v>37.226215163699997</v>
      </c>
      <c r="D791" s="1">
        <v>-7.02293831221</v>
      </c>
      <c r="E791" s="3">
        <v>2</v>
      </c>
      <c r="F791" s="2">
        <v>2</v>
      </c>
      <c r="G791" s="4">
        <v>2</v>
      </c>
      <c r="H791" s="13"/>
      <c r="I791" s="15"/>
      <c r="J791" s="19">
        <v>2</v>
      </c>
      <c r="K791" s="2" t="s">
        <v>1593</v>
      </c>
      <c r="L791" s="11" t="str">
        <f t="shared" si="13"/>
        <v>Ver Imagen</v>
      </c>
      <c r="M791" t="s">
        <v>15</v>
      </c>
    </row>
    <row r="792" spans="1:13" x14ac:dyDescent="0.25">
      <c r="A792">
        <v>791</v>
      </c>
      <c r="B792" t="s">
        <v>1594</v>
      </c>
      <c r="C792" s="1">
        <v>37.226599854900002</v>
      </c>
      <c r="D792" s="1">
        <v>-7.0227572599199997</v>
      </c>
      <c r="E792" s="3">
        <v>2</v>
      </c>
      <c r="F792" s="2">
        <v>2</v>
      </c>
      <c r="G792" s="4">
        <v>2</v>
      </c>
      <c r="H792" s="13"/>
      <c r="I792" s="15"/>
      <c r="J792" s="19">
        <v>2</v>
      </c>
      <c r="K792" s="2" t="s">
        <v>1595</v>
      </c>
      <c r="L792" s="11" t="str">
        <f t="shared" si="13"/>
        <v>Ver Imagen</v>
      </c>
      <c r="M792" t="s">
        <v>15</v>
      </c>
    </row>
    <row r="793" spans="1:13" x14ac:dyDescent="0.25">
      <c r="A793">
        <v>792</v>
      </c>
      <c r="B793" t="s">
        <v>1596</v>
      </c>
      <c r="C793" s="1">
        <v>37.226779596</v>
      </c>
      <c r="D793" s="1">
        <v>-7.0226544780499998</v>
      </c>
      <c r="E793" s="3">
        <v>2</v>
      </c>
      <c r="F793" s="2">
        <v>2</v>
      </c>
      <c r="G793" s="4">
        <v>2</v>
      </c>
      <c r="H793" s="13"/>
      <c r="I793" s="15"/>
      <c r="J793" s="19">
        <v>2</v>
      </c>
      <c r="K793" s="2" t="s">
        <v>1597</v>
      </c>
      <c r="L793" s="11" t="str">
        <f t="shared" si="13"/>
        <v>Ver Imagen</v>
      </c>
      <c r="M793" t="s">
        <v>15</v>
      </c>
    </row>
    <row r="794" spans="1:13" x14ac:dyDescent="0.25">
      <c r="A794">
        <v>793</v>
      </c>
      <c r="B794" t="s">
        <v>1598</v>
      </c>
      <c r="C794" s="1">
        <v>37.2269799607</v>
      </c>
      <c r="D794" s="1">
        <v>-7.0225260824199998</v>
      </c>
      <c r="E794" s="3">
        <v>2</v>
      </c>
      <c r="F794" s="2">
        <v>2</v>
      </c>
      <c r="G794" s="4">
        <v>2</v>
      </c>
      <c r="H794" s="13"/>
      <c r="I794" s="15"/>
      <c r="J794" s="19">
        <v>2</v>
      </c>
      <c r="K794" s="2" t="s">
        <v>1599</v>
      </c>
      <c r="L794" s="11" t="str">
        <f t="shared" si="13"/>
        <v>Ver Imagen</v>
      </c>
      <c r="M794" t="s">
        <v>15</v>
      </c>
    </row>
    <row r="795" spans="1:13" x14ac:dyDescent="0.25">
      <c r="A795">
        <v>794</v>
      </c>
      <c r="B795" t="s">
        <v>1600</v>
      </c>
      <c r="C795" s="1">
        <v>37.227495439800002</v>
      </c>
      <c r="D795" s="1">
        <v>-7.0221559919400001</v>
      </c>
      <c r="E795" s="3">
        <v>2</v>
      </c>
      <c r="F795" s="2">
        <v>2</v>
      </c>
      <c r="G795" s="4">
        <v>2</v>
      </c>
      <c r="H795" s="13"/>
      <c r="I795" s="15"/>
      <c r="J795" s="19">
        <v>2</v>
      </c>
      <c r="K795" s="2" t="s">
        <v>1601</v>
      </c>
      <c r="L795" s="11" t="str">
        <f t="shared" si="13"/>
        <v>Ver Imagen</v>
      </c>
      <c r="M795" t="s">
        <v>15</v>
      </c>
    </row>
    <row r="796" spans="1:13" x14ac:dyDescent="0.25">
      <c r="A796">
        <v>795</v>
      </c>
      <c r="B796" t="s">
        <v>1602</v>
      </c>
      <c r="C796" s="1">
        <v>37.233284675199997</v>
      </c>
      <c r="D796" s="1">
        <v>-7.0181051480000001</v>
      </c>
      <c r="E796" s="3">
        <v>2</v>
      </c>
      <c r="F796" s="2">
        <v>2</v>
      </c>
      <c r="G796" s="4">
        <v>2</v>
      </c>
      <c r="H796" s="13"/>
      <c r="I796" s="15"/>
      <c r="J796" s="19">
        <v>2</v>
      </c>
      <c r="K796" s="2" t="s">
        <v>1603</v>
      </c>
      <c r="L796" s="11" t="str">
        <f t="shared" si="13"/>
        <v>Ver Imagen</v>
      </c>
      <c r="M796" t="s">
        <v>15</v>
      </c>
    </row>
    <row r="797" spans="1:13" x14ac:dyDescent="0.25">
      <c r="A797">
        <v>796</v>
      </c>
      <c r="B797" t="s">
        <v>1604</v>
      </c>
      <c r="C797" s="1">
        <v>37.233483303600003</v>
      </c>
      <c r="D797" s="1">
        <v>-7.0180590016400002</v>
      </c>
      <c r="E797" s="3">
        <v>2</v>
      </c>
      <c r="F797" s="2">
        <v>2</v>
      </c>
      <c r="G797" s="4">
        <v>2</v>
      </c>
      <c r="H797" s="13"/>
      <c r="I797" s="15"/>
      <c r="J797" s="19">
        <v>2</v>
      </c>
      <c r="K797" s="2" t="s">
        <v>1605</v>
      </c>
      <c r="L797" s="11" t="str">
        <f t="shared" si="13"/>
        <v>Ver Imagen</v>
      </c>
      <c r="M797" t="s">
        <v>15</v>
      </c>
    </row>
    <row r="798" spans="1:13" x14ac:dyDescent="0.25">
      <c r="A798">
        <v>797</v>
      </c>
      <c r="B798" t="s">
        <v>1606</v>
      </c>
      <c r="C798" s="1">
        <v>37.233690187000001</v>
      </c>
      <c r="D798" s="1">
        <v>-7.0180244086199997</v>
      </c>
      <c r="E798" s="3">
        <v>2</v>
      </c>
      <c r="F798" s="2">
        <v>2</v>
      </c>
      <c r="G798" s="4">
        <v>2</v>
      </c>
      <c r="H798" s="13"/>
      <c r="I798" s="15"/>
      <c r="J798" s="19">
        <v>2</v>
      </c>
      <c r="K798" s="2" t="s">
        <v>1607</v>
      </c>
      <c r="L798" s="11" t="str">
        <f t="shared" si="13"/>
        <v>Ver Imagen</v>
      </c>
      <c r="M798" t="s">
        <v>15</v>
      </c>
    </row>
    <row r="799" spans="1:13" x14ac:dyDescent="0.25">
      <c r="A799">
        <v>798</v>
      </c>
      <c r="B799" t="s">
        <v>1608</v>
      </c>
      <c r="C799" s="1">
        <v>37.233895222199997</v>
      </c>
      <c r="D799" s="1">
        <v>-7.0180034615600002</v>
      </c>
      <c r="E799" s="3">
        <v>2</v>
      </c>
      <c r="F799" s="2">
        <v>2</v>
      </c>
      <c r="G799" s="4">
        <v>2</v>
      </c>
      <c r="H799" s="13"/>
      <c r="I799" s="15"/>
      <c r="J799" s="19">
        <v>2</v>
      </c>
      <c r="K799" s="2" t="s">
        <v>1609</v>
      </c>
      <c r="L799" s="11" t="str">
        <f t="shared" si="13"/>
        <v>Ver Imagen</v>
      </c>
      <c r="M799" t="s">
        <v>15</v>
      </c>
    </row>
    <row r="800" spans="1:13" x14ac:dyDescent="0.25">
      <c r="A800">
        <v>799</v>
      </c>
      <c r="B800" t="s">
        <v>1610</v>
      </c>
      <c r="C800" s="1">
        <v>37.234503056000001</v>
      </c>
      <c r="D800" s="1">
        <v>-7.0180180500200002</v>
      </c>
      <c r="E800" s="3">
        <v>2</v>
      </c>
      <c r="F800" s="2">
        <v>2</v>
      </c>
      <c r="G800" s="4">
        <v>2</v>
      </c>
      <c r="H800" s="13"/>
      <c r="I800" s="15"/>
      <c r="J800" s="19">
        <v>2</v>
      </c>
      <c r="K800" s="2" t="s">
        <v>1611</v>
      </c>
      <c r="L800" s="11" t="str">
        <f t="shared" si="13"/>
        <v>Ver Imagen</v>
      </c>
      <c r="M800" t="s">
        <v>15</v>
      </c>
    </row>
    <row r="801" spans="1:13" x14ac:dyDescent="0.25">
      <c r="A801">
        <v>800</v>
      </c>
      <c r="B801" t="s">
        <v>1612</v>
      </c>
      <c r="C801" s="1">
        <v>37.234687568600002</v>
      </c>
      <c r="D801" s="1">
        <v>-7.0180449732800003</v>
      </c>
      <c r="E801" s="3">
        <v>2</v>
      </c>
      <c r="F801" s="2">
        <v>2</v>
      </c>
      <c r="G801" s="4">
        <v>2</v>
      </c>
      <c r="H801" s="13"/>
      <c r="I801" s="15"/>
      <c r="J801" s="19">
        <v>2</v>
      </c>
      <c r="K801" s="2" t="s">
        <v>1613</v>
      </c>
      <c r="L801" s="11" t="str">
        <f t="shared" si="13"/>
        <v>Ver Imagen</v>
      </c>
      <c r="M801" t="s">
        <v>15</v>
      </c>
    </row>
    <row r="802" spans="1:13" x14ac:dyDescent="0.25">
      <c r="A802">
        <v>801</v>
      </c>
      <c r="B802" t="s">
        <v>1614</v>
      </c>
      <c r="C802" s="1">
        <v>37.234890495999998</v>
      </c>
      <c r="D802" s="1">
        <v>-7.0180842214499997</v>
      </c>
      <c r="E802" s="3">
        <v>2</v>
      </c>
      <c r="F802" s="2">
        <v>2</v>
      </c>
      <c r="G802" s="4">
        <v>2</v>
      </c>
      <c r="H802" s="13"/>
      <c r="I802" s="15"/>
      <c r="J802" s="19">
        <v>2</v>
      </c>
      <c r="K802" s="2" t="s">
        <v>1615</v>
      </c>
      <c r="L802" s="11" t="str">
        <f t="shared" si="13"/>
        <v>Ver Imagen</v>
      </c>
      <c r="M802" t="s">
        <v>15</v>
      </c>
    </row>
    <row r="803" spans="1:13" x14ac:dyDescent="0.25">
      <c r="A803">
        <v>802</v>
      </c>
      <c r="B803" t="s">
        <v>1616</v>
      </c>
      <c r="C803" s="1">
        <v>37.235316741699997</v>
      </c>
      <c r="D803" s="1">
        <v>-7.0181878295600004</v>
      </c>
      <c r="E803" s="3">
        <v>2</v>
      </c>
      <c r="F803" s="2">
        <v>2</v>
      </c>
      <c r="G803" s="4">
        <v>2</v>
      </c>
      <c r="H803" s="13"/>
      <c r="I803" s="15"/>
      <c r="J803" s="19">
        <v>2</v>
      </c>
      <c r="K803" s="2" t="s">
        <v>1617</v>
      </c>
      <c r="L803" s="11" t="str">
        <f t="shared" si="13"/>
        <v>Ver Imagen</v>
      </c>
      <c r="M803" t="s">
        <v>15</v>
      </c>
    </row>
    <row r="804" spans="1:13" x14ac:dyDescent="0.25">
      <c r="A804">
        <v>803</v>
      </c>
      <c r="B804" t="s">
        <v>1618</v>
      </c>
      <c r="C804" s="1">
        <v>37.235882085500002</v>
      </c>
      <c r="D804" s="1">
        <v>-7.01833592849</v>
      </c>
      <c r="E804" s="3">
        <v>2</v>
      </c>
      <c r="F804" s="2">
        <v>2</v>
      </c>
      <c r="G804" s="4">
        <v>2</v>
      </c>
      <c r="H804" s="13"/>
      <c r="I804" s="15"/>
      <c r="J804" s="19">
        <v>2</v>
      </c>
      <c r="K804" s="2" t="s">
        <v>1619</v>
      </c>
      <c r="L804" s="11" t="str">
        <f t="shared" si="13"/>
        <v>Ver Imagen</v>
      </c>
      <c r="M804" t="s">
        <v>15</v>
      </c>
    </row>
    <row r="805" spans="1:13" x14ac:dyDescent="0.25">
      <c r="A805">
        <v>804</v>
      </c>
      <c r="B805" t="s">
        <v>1620</v>
      </c>
      <c r="C805" s="1">
        <v>37.236105023</v>
      </c>
      <c r="D805" s="1">
        <v>-7.0183927917000002</v>
      </c>
      <c r="E805" s="3">
        <v>2</v>
      </c>
      <c r="F805" s="2">
        <v>2</v>
      </c>
      <c r="G805" s="4">
        <v>2</v>
      </c>
      <c r="H805" s="13"/>
      <c r="I805" s="15"/>
      <c r="J805" s="19">
        <v>2</v>
      </c>
      <c r="K805" s="2" t="s">
        <v>1621</v>
      </c>
      <c r="L805" s="11" t="str">
        <f t="shared" si="13"/>
        <v>Ver Imagen</v>
      </c>
      <c r="M805" t="s">
        <v>15</v>
      </c>
    </row>
    <row r="806" spans="1:13" x14ac:dyDescent="0.25">
      <c r="A806">
        <v>805</v>
      </c>
      <c r="B806" t="s">
        <v>1622</v>
      </c>
      <c r="C806" s="1">
        <v>37.237099866000001</v>
      </c>
      <c r="D806" s="1">
        <v>-7.0185481483499998</v>
      </c>
      <c r="E806" s="3">
        <v>2</v>
      </c>
      <c r="F806" s="2">
        <v>2</v>
      </c>
      <c r="G806" s="4">
        <v>2</v>
      </c>
      <c r="H806" s="13"/>
      <c r="I806" s="15"/>
      <c r="J806" s="19">
        <v>2</v>
      </c>
      <c r="K806" s="2" t="s">
        <v>1623</v>
      </c>
      <c r="L806" s="11" t="str">
        <f t="shared" si="13"/>
        <v>Ver Imagen</v>
      </c>
      <c r="M806" t="s">
        <v>15</v>
      </c>
    </row>
    <row r="807" spans="1:13" x14ac:dyDescent="0.25">
      <c r="A807">
        <v>806</v>
      </c>
      <c r="B807" t="s">
        <v>1624</v>
      </c>
      <c r="C807" s="1">
        <v>37.237288501800002</v>
      </c>
      <c r="D807" s="1">
        <v>-7.0185607561000003</v>
      </c>
      <c r="E807" s="3">
        <v>2</v>
      </c>
      <c r="F807" s="2">
        <v>2</v>
      </c>
      <c r="G807" s="4">
        <v>2</v>
      </c>
      <c r="H807" s="13"/>
      <c r="I807" s="15"/>
      <c r="J807" s="19">
        <v>2</v>
      </c>
      <c r="K807" s="2" t="s">
        <v>1625</v>
      </c>
      <c r="L807" s="11" t="str">
        <f t="shared" si="13"/>
        <v>Ver Imagen</v>
      </c>
      <c r="M807" t="s">
        <v>15</v>
      </c>
    </row>
    <row r="808" spans="1:13" x14ac:dyDescent="0.25">
      <c r="A808">
        <v>807</v>
      </c>
      <c r="B808" t="s">
        <v>1626</v>
      </c>
      <c r="C808" s="1">
        <v>37.238104978099997</v>
      </c>
      <c r="D808" s="1">
        <v>-7.0185640249899999</v>
      </c>
      <c r="E808" s="3">
        <v>2</v>
      </c>
      <c r="F808" s="2">
        <v>2</v>
      </c>
      <c r="G808" s="4">
        <v>2</v>
      </c>
      <c r="H808" s="13"/>
      <c r="I808" s="15"/>
      <c r="J808" s="19">
        <v>2</v>
      </c>
      <c r="K808" s="2" t="s">
        <v>1627</v>
      </c>
      <c r="L808" s="11" t="str">
        <f t="shared" si="13"/>
        <v>Ver Imagen</v>
      </c>
      <c r="M808" t="s">
        <v>15</v>
      </c>
    </row>
    <row r="809" spans="1:13" x14ac:dyDescent="0.25">
      <c r="A809">
        <v>808</v>
      </c>
      <c r="B809" t="s">
        <v>1628</v>
      </c>
      <c r="C809" s="1">
        <v>37.238319713599999</v>
      </c>
      <c r="D809" s="1">
        <v>-7.0185555372400001</v>
      </c>
      <c r="E809" s="3">
        <v>2</v>
      </c>
      <c r="F809" s="2">
        <v>2</v>
      </c>
      <c r="G809" s="4">
        <v>2</v>
      </c>
      <c r="H809" s="13"/>
      <c r="I809" s="15"/>
      <c r="J809" s="19">
        <v>2</v>
      </c>
      <c r="K809" s="2" t="s">
        <v>1629</v>
      </c>
      <c r="L809" s="11" t="str">
        <f t="shared" si="13"/>
        <v>Ver Imagen</v>
      </c>
      <c r="M809" t="s">
        <v>15</v>
      </c>
    </row>
    <row r="810" spans="1:13" x14ac:dyDescent="0.25">
      <c r="A810">
        <v>809</v>
      </c>
      <c r="B810" t="s">
        <v>1630</v>
      </c>
      <c r="C810" s="1">
        <v>37.238503525900001</v>
      </c>
      <c r="D810" s="1">
        <v>-7.0185475318000003</v>
      </c>
      <c r="E810" s="3">
        <v>2</v>
      </c>
      <c r="F810" s="2">
        <v>2</v>
      </c>
      <c r="G810" s="4">
        <v>2</v>
      </c>
      <c r="H810" s="13"/>
      <c r="I810" s="15"/>
      <c r="J810" s="19">
        <v>2</v>
      </c>
      <c r="K810" s="2" t="s">
        <v>1631</v>
      </c>
      <c r="L810" s="11" t="str">
        <f t="shared" si="13"/>
        <v>Ver Imagen</v>
      </c>
      <c r="M810" t="s">
        <v>15</v>
      </c>
    </row>
    <row r="811" spans="1:13" x14ac:dyDescent="0.25">
      <c r="A811">
        <v>810</v>
      </c>
      <c r="B811" t="s">
        <v>1632</v>
      </c>
      <c r="C811" s="1">
        <v>37.238707747900001</v>
      </c>
      <c r="D811" s="1">
        <v>-7.0185390283200002</v>
      </c>
      <c r="E811" s="3">
        <v>2</v>
      </c>
      <c r="F811" s="2">
        <v>2</v>
      </c>
      <c r="G811" s="4">
        <v>2</v>
      </c>
      <c r="H811" s="13"/>
      <c r="I811" s="15"/>
      <c r="J811" s="19">
        <v>2</v>
      </c>
      <c r="K811" s="2" t="s">
        <v>1633</v>
      </c>
      <c r="L811" s="11" t="str">
        <f t="shared" si="13"/>
        <v>Ver Imagen</v>
      </c>
      <c r="M811" t="s">
        <v>15</v>
      </c>
    </row>
    <row r="812" spans="1:13" x14ac:dyDescent="0.25">
      <c r="A812">
        <v>811</v>
      </c>
      <c r="B812" t="s">
        <v>1634</v>
      </c>
      <c r="C812" s="1">
        <v>37.238940221299998</v>
      </c>
      <c r="D812" s="1">
        <v>-7.0185297522800001</v>
      </c>
      <c r="E812" s="3">
        <v>2</v>
      </c>
      <c r="F812" s="2">
        <v>2</v>
      </c>
      <c r="G812" s="4">
        <v>2</v>
      </c>
      <c r="H812" s="13"/>
      <c r="I812" s="15"/>
      <c r="J812" s="19">
        <v>2</v>
      </c>
      <c r="K812" s="2" t="s">
        <v>1635</v>
      </c>
      <c r="L812" s="11" t="str">
        <f t="shared" si="13"/>
        <v>Ver Imagen</v>
      </c>
      <c r="M812" t="s">
        <v>15</v>
      </c>
    </row>
    <row r="813" spans="1:13" x14ac:dyDescent="0.25">
      <c r="A813">
        <v>812</v>
      </c>
      <c r="B813" t="s">
        <v>1636</v>
      </c>
      <c r="C813" s="1">
        <v>37.239131659400002</v>
      </c>
      <c r="D813" s="1">
        <v>-7.0185222920300001</v>
      </c>
      <c r="E813" s="3">
        <v>2</v>
      </c>
      <c r="F813" s="2">
        <v>2</v>
      </c>
      <c r="G813" s="4">
        <v>2</v>
      </c>
      <c r="H813" s="13"/>
      <c r="I813" s="15"/>
      <c r="J813" s="19">
        <v>2</v>
      </c>
      <c r="K813" s="2" t="s">
        <v>1637</v>
      </c>
      <c r="L813" s="11" t="str">
        <f t="shared" si="13"/>
        <v>Ver Imagen</v>
      </c>
      <c r="M813" t="s">
        <v>15</v>
      </c>
    </row>
    <row r="814" spans="1:13" x14ac:dyDescent="0.25">
      <c r="A814">
        <v>813</v>
      </c>
      <c r="B814" t="s">
        <v>1638</v>
      </c>
      <c r="C814" s="1">
        <v>37.2393059877</v>
      </c>
      <c r="D814" s="1">
        <v>-7.0185149791199999</v>
      </c>
      <c r="E814" s="3">
        <v>2</v>
      </c>
      <c r="F814" s="2">
        <v>2</v>
      </c>
      <c r="G814" s="4">
        <v>2</v>
      </c>
      <c r="H814" s="13"/>
      <c r="I814" s="15"/>
      <c r="J814" s="19">
        <v>2</v>
      </c>
      <c r="K814" s="2" t="s">
        <v>1639</v>
      </c>
      <c r="L814" s="11" t="str">
        <f t="shared" si="13"/>
        <v>Ver Imagen</v>
      </c>
      <c r="M814" t="s">
        <v>15</v>
      </c>
    </row>
    <row r="815" spans="1:13" x14ac:dyDescent="0.25">
      <c r="A815">
        <v>814</v>
      </c>
      <c r="B815" t="s">
        <v>1640</v>
      </c>
      <c r="C815" s="1">
        <v>37.239531141999997</v>
      </c>
      <c r="D815" s="1">
        <v>-7.0185047423700002</v>
      </c>
      <c r="E815" s="3">
        <v>2</v>
      </c>
      <c r="F815" s="2">
        <v>2</v>
      </c>
      <c r="G815" s="4">
        <v>2</v>
      </c>
      <c r="H815" s="13"/>
      <c r="I815" s="15"/>
      <c r="J815" s="19">
        <v>2</v>
      </c>
      <c r="K815" s="2" t="s">
        <v>1641</v>
      </c>
      <c r="L815" s="11" t="str">
        <f t="shared" si="13"/>
        <v>Ver Imagen</v>
      </c>
      <c r="M815" t="s">
        <v>15</v>
      </c>
    </row>
    <row r="816" spans="1:13" x14ac:dyDescent="0.25">
      <c r="A816">
        <v>815</v>
      </c>
      <c r="B816" t="s">
        <v>1642</v>
      </c>
      <c r="C816" s="1">
        <v>37.239724730799999</v>
      </c>
      <c r="D816" s="1">
        <v>-7.01849534729</v>
      </c>
      <c r="E816" s="3">
        <v>2</v>
      </c>
      <c r="F816" s="2">
        <v>2</v>
      </c>
      <c r="G816" s="4">
        <v>2</v>
      </c>
      <c r="H816" s="13"/>
      <c r="I816" s="15"/>
      <c r="J816" s="19">
        <v>2</v>
      </c>
      <c r="K816" s="2" t="s">
        <v>1643</v>
      </c>
      <c r="L816" s="11" t="str">
        <f t="shared" si="13"/>
        <v>Ver Imagen</v>
      </c>
      <c r="M816" t="s">
        <v>15</v>
      </c>
    </row>
    <row r="817" spans="1:13" x14ac:dyDescent="0.25">
      <c r="A817">
        <v>816</v>
      </c>
      <c r="B817" t="s">
        <v>1644</v>
      </c>
      <c r="C817" s="1">
        <v>37.239918751099999</v>
      </c>
      <c r="D817" s="1">
        <v>-7.0184861567799999</v>
      </c>
      <c r="E817" s="3">
        <v>2</v>
      </c>
      <c r="F817" s="2">
        <v>2</v>
      </c>
      <c r="G817" s="4">
        <v>2</v>
      </c>
      <c r="H817" s="13"/>
      <c r="I817" s="15"/>
      <c r="J817" s="19">
        <v>2</v>
      </c>
      <c r="K817" s="2" t="s">
        <v>1645</v>
      </c>
      <c r="L817" s="11" t="str">
        <f t="shared" si="13"/>
        <v>Ver Imagen</v>
      </c>
      <c r="M817" t="s">
        <v>15</v>
      </c>
    </row>
    <row r="818" spans="1:13" x14ac:dyDescent="0.25">
      <c r="A818">
        <v>817</v>
      </c>
      <c r="B818" t="s">
        <v>1646</v>
      </c>
      <c r="C818" s="1">
        <v>37.240112357199997</v>
      </c>
      <c r="D818" s="1">
        <v>-7.0184778661399996</v>
      </c>
      <c r="E818" s="3">
        <v>2</v>
      </c>
      <c r="F818" s="2">
        <v>2</v>
      </c>
      <c r="G818" s="4">
        <v>2</v>
      </c>
      <c r="H818" s="13"/>
      <c r="I818" s="15"/>
      <c r="J818" s="19">
        <v>2</v>
      </c>
      <c r="K818" s="2" t="s">
        <v>1647</v>
      </c>
      <c r="L818" s="11" t="str">
        <f t="shared" si="13"/>
        <v>Ver Imagen</v>
      </c>
      <c r="M818" t="s">
        <v>15</v>
      </c>
    </row>
    <row r="819" spans="1:13" x14ac:dyDescent="0.25">
      <c r="A819">
        <v>818</v>
      </c>
      <c r="B819" t="s">
        <v>1648</v>
      </c>
      <c r="C819" s="1">
        <v>37.240345096600002</v>
      </c>
      <c r="D819" s="1">
        <v>-7.0184686726300001</v>
      </c>
      <c r="E819" s="3">
        <v>2</v>
      </c>
      <c r="F819" s="2">
        <v>2</v>
      </c>
      <c r="G819" s="4">
        <v>2</v>
      </c>
      <c r="H819" s="13"/>
      <c r="I819" s="15"/>
      <c r="J819" s="19">
        <v>2</v>
      </c>
      <c r="K819" s="2" t="s">
        <v>1649</v>
      </c>
      <c r="L819" s="11" t="str">
        <f t="shared" si="13"/>
        <v>Ver Imagen</v>
      </c>
      <c r="M819" t="s">
        <v>15</v>
      </c>
    </row>
    <row r="820" spans="1:13" x14ac:dyDescent="0.25">
      <c r="A820">
        <v>819</v>
      </c>
      <c r="B820" t="s">
        <v>1650</v>
      </c>
      <c r="C820" s="1">
        <v>37.240553055500001</v>
      </c>
      <c r="D820" s="1">
        <v>-7.0184607548100004</v>
      </c>
      <c r="E820" s="3">
        <v>2</v>
      </c>
      <c r="F820" s="2">
        <v>2</v>
      </c>
      <c r="G820" s="4">
        <v>2</v>
      </c>
      <c r="H820" s="13"/>
      <c r="I820" s="15"/>
      <c r="J820" s="19">
        <v>2</v>
      </c>
      <c r="K820" s="2" t="s">
        <v>1651</v>
      </c>
      <c r="L820" s="11" t="str">
        <f t="shared" si="13"/>
        <v>Ver Imagen</v>
      </c>
      <c r="M820" t="s">
        <v>15</v>
      </c>
    </row>
    <row r="821" spans="1:13" x14ac:dyDescent="0.25">
      <c r="A821">
        <v>820</v>
      </c>
      <c r="B821" t="s">
        <v>1652</v>
      </c>
      <c r="C821" s="1">
        <v>37.247006648300001</v>
      </c>
      <c r="D821" s="1">
        <v>-7.0182254255799998</v>
      </c>
      <c r="E821" s="3">
        <v>2</v>
      </c>
      <c r="F821" s="2">
        <v>2</v>
      </c>
      <c r="G821" s="4">
        <v>2</v>
      </c>
      <c r="H821" s="13"/>
      <c r="I821" s="15"/>
      <c r="J821" s="19">
        <v>2</v>
      </c>
      <c r="K821" s="2" t="s">
        <v>1653</v>
      </c>
      <c r="L821" s="11" t="str">
        <f t="shared" si="13"/>
        <v>Ver Imagen</v>
      </c>
      <c r="M821" t="s">
        <v>15</v>
      </c>
    </row>
    <row r="822" spans="1:13" x14ac:dyDescent="0.25">
      <c r="A822">
        <v>821</v>
      </c>
      <c r="B822" t="s">
        <v>1654</v>
      </c>
      <c r="C822" s="1">
        <v>37.247609987499999</v>
      </c>
      <c r="D822" s="1">
        <v>-7.01820315372</v>
      </c>
      <c r="E822" s="3">
        <v>2</v>
      </c>
      <c r="F822" s="2">
        <v>2</v>
      </c>
      <c r="G822" s="4">
        <v>2</v>
      </c>
      <c r="H822" s="13"/>
      <c r="I822" s="15"/>
      <c r="J822" s="19">
        <v>2</v>
      </c>
      <c r="K822" s="2" t="s">
        <v>1655</v>
      </c>
      <c r="L822" s="11" t="str">
        <f t="shared" si="13"/>
        <v>Ver Imagen</v>
      </c>
      <c r="M822" t="s">
        <v>15</v>
      </c>
    </row>
    <row r="823" spans="1:13" x14ac:dyDescent="0.25">
      <c r="A823">
        <v>822</v>
      </c>
      <c r="B823" t="s">
        <v>1656</v>
      </c>
      <c r="C823" s="1">
        <v>37.248250148099999</v>
      </c>
      <c r="D823" s="1">
        <v>-7.0181724779900003</v>
      </c>
      <c r="E823" s="3">
        <v>2</v>
      </c>
      <c r="F823" s="2">
        <v>2</v>
      </c>
      <c r="G823" s="4">
        <v>2</v>
      </c>
      <c r="H823" s="13"/>
      <c r="I823" s="15"/>
      <c r="J823" s="19">
        <v>2</v>
      </c>
      <c r="K823" s="2" t="s">
        <v>1657</v>
      </c>
      <c r="L823" s="11" t="str">
        <f t="shared" si="13"/>
        <v>Ver Imagen</v>
      </c>
      <c r="M823" t="s">
        <v>15</v>
      </c>
    </row>
    <row r="824" spans="1:13" x14ac:dyDescent="0.25">
      <c r="A824">
        <v>823</v>
      </c>
      <c r="B824" t="s">
        <v>1658</v>
      </c>
      <c r="C824" s="1">
        <v>37.249235646800003</v>
      </c>
      <c r="D824" s="1">
        <v>-7.0180665523499997</v>
      </c>
      <c r="E824" s="3">
        <v>2</v>
      </c>
      <c r="F824" s="2">
        <v>2</v>
      </c>
      <c r="G824" s="4">
        <v>2</v>
      </c>
      <c r="H824" s="13"/>
      <c r="I824" s="15"/>
      <c r="J824" s="19">
        <v>2</v>
      </c>
      <c r="K824" s="2" t="s">
        <v>1659</v>
      </c>
      <c r="L824" s="11" t="str">
        <f t="shared" si="13"/>
        <v>Ver Imagen</v>
      </c>
      <c r="M824" t="s">
        <v>15</v>
      </c>
    </row>
    <row r="825" spans="1:13" x14ac:dyDescent="0.25">
      <c r="A825">
        <v>824</v>
      </c>
      <c r="B825" t="s">
        <v>1660</v>
      </c>
      <c r="C825" s="1">
        <v>37.2502176124</v>
      </c>
      <c r="D825" s="1">
        <v>-7.0177096504999996</v>
      </c>
      <c r="E825" s="3">
        <v>2</v>
      </c>
      <c r="F825" s="2">
        <v>2</v>
      </c>
      <c r="G825" s="4">
        <v>2</v>
      </c>
      <c r="H825" s="13"/>
      <c r="I825" s="15"/>
      <c r="J825" s="19">
        <v>2</v>
      </c>
      <c r="K825" s="2" t="s">
        <v>1661</v>
      </c>
      <c r="L825" s="11" t="str">
        <f t="shared" si="13"/>
        <v>Ver Imagen</v>
      </c>
      <c r="M825" t="s">
        <v>15</v>
      </c>
    </row>
    <row r="826" spans="1:13" x14ac:dyDescent="0.25">
      <c r="A826">
        <v>825</v>
      </c>
      <c r="B826" t="s">
        <v>1662</v>
      </c>
      <c r="C826" s="1">
        <v>37.250559688800003</v>
      </c>
      <c r="D826" s="1">
        <v>-7.0175148192999997</v>
      </c>
      <c r="E826" s="3">
        <v>2</v>
      </c>
      <c r="F826" s="2">
        <v>2</v>
      </c>
      <c r="G826" s="4">
        <v>2</v>
      </c>
      <c r="H826" s="13"/>
      <c r="I826" s="15"/>
      <c r="J826" s="19">
        <v>2</v>
      </c>
      <c r="K826" s="2" t="s">
        <v>1663</v>
      </c>
      <c r="L826" s="11" t="str">
        <f t="shared" si="13"/>
        <v>Ver Imagen</v>
      </c>
      <c r="M826" t="s">
        <v>15</v>
      </c>
    </row>
    <row r="827" spans="1:13" x14ac:dyDescent="0.25">
      <c r="A827">
        <v>826</v>
      </c>
      <c r="B827" t="s">
        <v>1664</v>
      </c>
      <c r="C827" s="1">
        <v>37.250744093199998</v>
      </c>
      <c r="D827" s="1">
        <v>-7.0174008363900002</v>
      </c>
      <c r="E827" s="3">
        <v>2</v>
      </c>
      <c r="F827" s="2">
        <v>2</v>
      </c>
      <c r="G827" s="4">
        <v>2</v>
      </c>
      <c r="H827" s="13"/>
      <c r="I827" s="15"/>
      <c r="J827" s="19">
        <v>2</v>
      </c>
      <c r="K827" s="2" t="s">
        <v>1665</v>
      </c>
      <c r="L827" s="11" t="str">
        <f t="shared" si="13"/>
        <v>Ver Imagen</v>
      </c>
      <c r="M827" t="s">
        <v>15</v>
      </c>
    </row>
    <row r="828" spans="1:13" x14ac:dyDescent="0.25">
      <c r="A828">
        <v>827</v>
      </c>
      <c r="B828" t="s">
        <v>1666</v>
      </c>
      <c r="C828" s="1">
        <v>37.250913581100001</v>
      </c>
      <c r="D828" s="1">
        <v>-7.0172938690300004</v>
      </c>
      <c r="E828" s="3">
        <v>2</v>
      </c>
      <c r="F828" s="2">
        <v>2</v>
      </c>
      <c r="G828" s="4">
        <v>2</v>
      </c>
      <c r="H828" s="13"/>
      <c r="I828" s="15"/>
      <c r="J828" s="19">
        <v>2</v>
      </c>
      <c r="K828" s="2" t="s">
        <v>1667</v>
      </c>
      <c r="L828" s="11" t="str">
        <f t="shared" si="13"/>
        <v>Ver Imagen</v>
      </c>
      <c r="M828" t="s">
        <v>15</v>
      </c>
    </row>
    <row r="829" spans="1:13" x14ac:dyDescent="0.25">
      <c r="A829">
        <v>828</v>
      </c>
      <c r="B829" t="s">
        <v>1668</v>
      </c>
      <c r="C829" s="1">
        <v>37.251104192500001</v>
      </c>
      <c r="D829" s="1">
        <v>-7.0171721962099998</v>
      </c>
      <c r="E829" s="3">
        <v>2</v>
      </c>
      <c r="F829" s="2">
        <v>2</v>
      </c>
      <c r="G829" s="4">
        <v>2</v>
      </c>
      <c r="H829" s="13"/>
      <c r="I829" s="15"/>
      <c r="J829" s="19">
        <v>2</v>
      </c>
      <c r="K829" s="2" t="s">
        <v>1669</v>
      </c>
      <c r="L829" s="11" t="str">
        <f t="shared" si="13"/>
        <v>Ver Imagen</v>
      </c>
      <c r="M829" t="s">
        <v>15</v>
      </c>
    </row>
    <row r="830" spans="1:13" x14ac:dyDescent="0.25">
      <c r="A830">
        <v>829</v>
      </c>
      <c r="B830" t="s">
        <v>1670</v>
      </c>
      <c r="C830" s="1">
        <v>37.251308428900003</v>
      </c>
      <c r="D830" s="1">
        <v>-7.01704193533</v>
      </c>
      <c r="E830" s="3">
        <v>2</v>
      </c>
      <c r="F830" s="2">
        <v>2</v>
      </c>
      <c r="G830" s="4">
        <v>2</v>
      </c>
      <c r="H830" s="13"/>
      <c r="I830" s="15"/>
      <c r="J830" s="19">
        <v>2</v>
      </c>
      <c r="K830" s="2" t="s">
        <v>1671</v>
      </c>
      <c r="L830" s="11" t="str">
        <f t="shared" si="13"/>
        <v>Ver Imagen</v>
      </c>
      <c r="M830" t="s">
        <v>15</v>
      </c>
    </row>
    <row r="831" spans="1:13" x14ac:dyDescent="0.25">
      <c r="A831">
        <v>830</v>
      </c>
      <c r="B831" t="s">
        <v>1672</v>
      </c>
      <c r="C831" s="1">
        <v>37.252581403100002</v>
      </c>
      <c r="D831" s="1">
        <v>-7.0162345294800001</v>
      </c>
      <c r="E831" s="3">
        <v>2</v>
      </c>
      <c r="F831" s="2">
        <v>2</v>
      </c>
      <c r="G831" s="4">
        <v>2</v>
      </c>
      <c r="H831" s="13"/>
      <c r="I831" s="15"/>
      <c r="J831" s="19">
        <v>2</v>
      </c>
      <c r="K831" s="2" t="s">
        <v>1673</v>
      </c>
      <c r="L831" s="11" t="str">
        <f t="shared" si="13"/>
        <v>Ver Imagen</v>
      </c>
      <c r="M831" t="s">
        <v>15</v>
      </c>
    </row>
    <row r="832" spans="1:13" x14ac:dyDescent="0.25">
      <c r="A832">
        <v>831</v>
      </c>
      <c r="B832" t="s">
        <v>1674</v>
      </c>
      <c r="C832" s="1">
        <v>37.253443800100001</v>
      </c>
      <c r="D832" s="1">
        <v>-7.0156870628299997</v>
      </c>
      <c r="E832" s="3">
        <v>2</v>
      </c>
      <c r="F832" s="2">
        <v>2</v>
      </c>
      <c r="G832" s="4">
        <v>2</v>
      </c>
      <c r="H832" s="13"/>
      <c r="I832" s="15"/>
      <c r="J832" s="19">
        <v>2</v>
      </c>
      <c r="K832" s="2" t="s">
        <v>1675</v>
      </c>
      <c r="L832" s="11" t="str">
        <f t="shared" si="13"/>
        <v>Ver Imagen</v>
      </c>
      <c r="M832" t="s">
        <v>15</v>
      </c>
    </row>
    <row r="833" spans="1:13" x14ac:dyDescent="0.25">
      <c r="A833">
        <v>832</v>
      </c>
      <c r="B833" t="s">
        <v>1676</v>
      </c>
      <c r="C833" s="1">
        <v>37.254700123600003</v>
      </c>
      <c r="D833" s="1">
        <v>-7.0148817391199998</v>
      </c>
      <c r="E833" s="3">
        <v>2</v>
      </c>
      <c r="F833" s="2">
        <v>2</v>
      </c>
      <c r="G833" s="4">
        <v>2</v>
      </c>
      <c r="H833" s="13"/>
      <c r="I833" s="15"/>
      <c r="J833" s="19">
        <v>2</v>
      </c>
      <c r="K833" s="2" t="s">
        <v>1677</v>
      </c>
      <c r="L833" s="11" t="str">
        <f t="shared" si="13"/>
        <v>Ver Imagen</v>
      </c>
      <c r="M833" t="s">
        <v>15</v>
      </c>
    </row>
    <row r="834" spans="1:13" x14ac:dyDescent="0.25">
      <c r="A834">
        <v>833</v>
      </c>
      <c r="B834" t="s">
        <v>1678</v>
      </c>
      <c r="C834" s="1">
        <v>37.258514654400003</v>
      </c>
      <c r="D834" s="1">
        <v>-7.0124553423</v>
      </c>
      <c r="E834" s="3">
        <v>2</v>
      </c>
      <c r="F834" s="2">
        <v>2</v>
      </c>
      <c r="G834" s="4">
        <v>2</v>
      </c>
      <c r="H834" s="13"/>
      <c r="I834" s="15"/>
      <c r="J834" s="19">
        <v>2</v>
      </c>
      <c r="K834" s="2" t="s">
        <v>1679</v>
      </c>
      <c r="L834" s="11" t="str">
        <f t="shared" si="13"/>
        <v>Ver Imagen</v>
      </c>
      <c r="M834" t="s">
        <v>15</v>
      </c>
    </row>
    <row r="835" spans="1:13" x14ac:dyDescent="0.25">
      <c r="A835">
        <v>834</v>
      </c>
      <c r="B835" t="s">
        <v>1680</v>
      </c>
      <c r="C835" s="1">
        <v>37.278690583299998</v>
      </c>
      <c r="D835" s="1">
        <v>-6.9936946184300002</v>
      </c>
      <c r="E835" s="3">
        <v>1</v>
      </c>
      <c r="F835" s="2">
        <v>2</v>
      </c>
      <c r="G835" s="4">
        <v>2</v>
      </c>
      <c r="H835" s="13"/>
      <c r="I835" s="15"/>
      <c r="J835" s="19">
        <v>2</v>
      </c>
      <c r="K835" s="2" t="s">
        <v>1681</v>
      </c>
      <c r="L835" s="11" t="str">
        <f t="shared" ref="L835:L898" si="14">HYPERLINK("2\1\" &amp; K835, "Ver Imagen")</f>
        <v>Ver Imagen</v>
      </c>
      <c r="M835" t="s">
        <v>15</v>
      </c>
    </row>
    <row r="836" spans="1:13" x14ac:dyDescent="0.25">
      <c r="A836">
        <v>835</v>
      </c>
      <c r="B836" t="s">
        <v>1682</v>
      </c>
      <c r="C836" s="1">
        <v>37.2788052326</v>
      </c>
      <c r="D836" s="1">
        <v>-6.9939354837399996</v>
      </c>
      <c r="E836" s="3">
        <v>1</v>
      </c>
      <c r="F836" s="2">
        <v>2</v>
      </c>
      <c r="G836" s="4">
        <v>2</v>
      </c>
      <c r="H836" s="13"/>
      <c r="I836" s="15"/>
      <c r="J836" s="19">
        <v>2</v>
      </c>
      <c r="K836" s="2" t="s">
        <v>1683</v>
      </c>
      <c r="L836" s="11" t="str">
        <f t="shared" si="14"/>
        <v>Ver Imagen</v>
      </c>
      <c r="M836" t="s">
        <v>15</v>
      </c>
    </row>
    <row r="837" spans="1:13" x14ac:dyDescent="0.25">
      <c r="A837">
        <v>836</v>
      </c>
      <c r="B837" t="s">
        <v>1684</v>
      </c>
      <c r="C837" s="1">
        <v>37.278887130500003</v>
      </c>
      <c r="D837" s="1">
        <v>-6.9941380154999999</v>
      </c>
      <c r="E837" s="3">
        <v>1</v>
      </c>
      <c r="F837" s="2">
        <v>2</v>
      </c>
      <c r="G837" s="4">
        <v>2</v>
      </c>
      <c r="H837" s="13"/>
      <c r="I837" s="15"/>
      <c r="J837" s="19">
        <v>2</v>
      </c>
      <c r="K837" s="2" t="s">
        <v>1685</v>
      </c>
      <c r="L837" s="11" t="str">
        <f t="shared" si="14"/>
        <v>Ver Imagen</v>
      </c>
      <c r="M837" t="s">
        <v>15</v>
      </c>
    </row>
    <row r="838" spans="1:13" x14ac:dyDescent="0.25">
      <c r="A838">
        <v>837</v>
      </c>
      <c r="B838" t="s">
        <v>1686</v>
      </c>
      <c r="C838" s="1">
        <v>37.279459705199997</v>
      </c>
      <c r="D838" s="1">
        <v>-6.9963001405599998</v>
      </c>
      <c r="E838" s="3">
        <v>1</v>
      </c>
      <c r="F838" s="2">
        <v>2</v>
      </c>
      <c r="G838" s="4">
        <v>2</v>
      </c>
      <c r="H838" s="13"/>
      <c r="I838" s="15"/>
      <c r="J838" s="19">
        <v>2</v>
      </c>
      <c r="K838" s="2" t="s">
        <v>1687</v>
      </c>
      <c r="L838" s="11" t="str">
        <f t="shared" si="14"/>
        <v>Ver Imagen</v>
      </c>
      <c r="M838" t="s">
        <v>15</v>
      </c>
    </row>
    <row r="839" spans="1:13" x14ac:dyDescent="0.25">
      <c r="A839">
        <v>838</v>
      </c>
      <c r="B839" t="s">
        <v>1688</v>
      </c>
      <c r="C839" s="1">
        <v>37.279718213700001</v>
      </c>
      <c r="D839" s="1">
        <v>-6.9975567774899998</v>
      </c>
      <c r="E839" s="3">
        <v>1</v>
      </c>
      <c r="F839" s="2">
        <v>2</v>
      </c>
      <c r="G839" s="4">
        <v>2</v>
      </c>
      <c r="H839" s="13"/>
      <c r="I839" s="15"/>
      <c r="J839" s="19">
        <v>2</v>
      </c>
      <c r="K839" s="2" t="s">
        <v>1689</v>
      </c>
      <c r="L839" s="11" t="str">
        <f t="shared" si="14"/>
        <v>Ver Imagen</v>
      </c>
      <c r="M839" t="s">
        <v>15</v>
      </c>
    </row>
    <row r="840" spans="1:13" x14ac:dyDescent="0.25">
      <c r="A840">
        <v>839</v>
      </c>
      <c r="B840" t="s">
        <v>1690</v>
      </c>
      <c r="C840" s="1">
        <v>37.279763173900001</v>
      </c>
      <c r="D840" s="1">
        <v>-6.9977948491199999</v>
      </c>
      <c r="E840" s="3">
        <v>1</v>
      </c>
      <c r="F840" s="2">
        <v>2</v>
      </c>
      <c r="G840" s="4">
        <v>2</v>
      </c>
      <c r="H840" s="13"/>
      <c r="I840" s="15"/>
      <c r="J840" s="19">
        <v>2</v>
      </c>
      <c r="K840" s="2" t="s">
        <v>1691</v>
      </c>
      <c r="L840" s="11" t="str">
        <f t="shared" si="14"/>
        <v>Ver Imagen</v>
      </c>
      <c r="M840" t="s">
        <v>15</v>
      </c>
    </row>
    <row r="841" spans="1:13" x14ac:dyDescent="0.25">
      <c r="A841">
        <v>840</v>
      </c>
      <c r="B841" t="s">
        <v>1692</v>
      </c>
      <c r="C841" s="1">
        <v>37.293269327399997</v>
      </c>
      <c r="D841" s="1">
        <v>-7.0463164872700004</v>
      </c>
      <c r="E841" s="3">
        <v>1</v>
      </c>
      <c r="F841" s="2">
        <v>2</v>
      </c>
      <c r="G841" s="4">
        <v>2</v>
      </c>
      <c r="H841" s="13"/>
      <c r="I841" s="15"/>
      <c r="J841" s="19">
        <v>2</v>
      </c>
      <c r="K841" s="2" t="s">
        <v>1693</v>
      </c>
      <c r="L841" s="11" t="str">
        <f t="shared" si="14"/>
        <v>Ver Imagen</v>
      </c>
      <c r="M841" t="s">
        <v>15</v>
      </c>
    </row>
    <row r="842" spans="1:13" x14ac:dyDescent="0.25">
      <c r="A842">
        <v>841</v>
      </c>
      <c r="B842" t="s">
        <v>1694</v>
      </c>
      <c r="C842" s="1">
        <v>37.463945422499997</v>
      </c>
      <c r="D842" s="1">
        <v>-7.1186096631</v>
      </c>
      <c r="E842" s="3">
        <v>1</v>
      </c>
      <c r="F842" s="2">
        <v>2</v>
      </c>
      <c r="G842" s="4">
        <v>2</v>
      </c>
      <c r="H842" s="13"/>
      <c r="I842" s="15"/>
      <c r="J842" s="19">
        <v>2</v>
      </c>
      <c r="K842" s="2" t="s">
        <v>1695</v>
      </c>
      <c r="L842" s="11" t="str">
        <f t="shared" si="14"/>
        <v>Ver Imagen</v>
      </c>
      <c r="M842" t="s">
        <v>15</v>
      </c>
    </row>
    <row r="843" spans="1:13" x14ac:dyDescent="0.25">
      <c r="A843">
        <v>842</v>
      </c>
      <c r="B843" t="s">
        <v>1696</v>
      </c>
      <c r="C843" s="1">
        <v>37.463655576299999</v>
      </c>
      <c r="D843" s="1">
        <v>-7.1182990427800004</v>
      </c>
      <c r="E843" s="3">
        <v>1</v>
      </c>
      <c r="F843" s="2">
        <v>2</v>
      </c>
      <c r="G843" s="4">
        <v>2</v>
      </c>
      <c r="H843" s="13"/>
      <c r="I843" s="15"/>
      <c r="J843" s="19">
        <v>2</v>
      </c>
      <c r="K843" s="2" t="s">
        <v>1697</v>
      </c>
      <c r="L843" s="11" t="str">
        <f t="shared" si="14"/>
        <v>Ver Imagen</v>
      </c>
      <c r="M843" t="s">
        <v>15</v>
      </c>
    </row>
    <row r="844" spans="1:13" x14ac:dyDescent="0.25">
      <c r="A844">
        <v>843</v>
      </c>
      <c r="B844" t="s">
        <v>1698</v>
      </c>
      <c r="C844" s="1">
        <v>37.462954033099997</v>
      </c>
      <c r="D844" s="1">
        <v>-7.1177360116299999</v>
      </c>
      <c r="E844" s="3">
        <v>1</v>
      </c>
      <c r="F844" s="2">
        <v>2</v>
      </c>
      <c r="G844" s="4">
        <v>2</v>
      </c>
      <c r="H844" s="13"/>
      <c r="I844" s="15"/>
      <c r="J844" s="19">
        <v>2</v>
      </c>
      <c r="K844" s="2" t="s">
        <v>1699</v>
      </c>
      <c r="L844" s="11" t="str">
        <f t="shared" si="14"/>
        <v>Ver Imagen</v>
      </c>
      <c r="M844" t="s">
        <v>15</v>
      </c>
    </row>
    <row r="845" spans="1:13" x14ac:dyDescent="0.25">
      <c r="A845">
        <v>844</v>
      </c>
      <c r="B845" t="s">
        <v>1700</v>
      </c>
      <c r="C845" s="1">
        <v>37.4625984905</v>
      </c>
      <c r="D845" s="1">
        <v>-7.1175123998899998</v>
      </c>
      <c r="E845" s="3">
        <v>1</v>
      </c>
      <c r="F845" s="2">
        <v>2</v>
      </c>
      <c r="G845" s="4">
        <v>2</v>
      </c>
      <c r="H845" s="13"/>
      <c r="I845" s="15"/>
      <c r="J845" s="19">
        <v>2</v>
      </c>
      <c r="K845" s="2" t="s">
        <v>1701</v>
      </c>
      <c r="L845" s="11" t="str">
        <f t="shared" si="14"/>
        <v>Ver Imagen</v>
      </c>
      <c r="M845" t="s">
        <v>15</v>
      </c>
    </row>
    <row r="846" spans="1:13" x14ac:dyDescent="0.25">
      <c r="A846">
        <v>845</v>
      </c>
      <c r="B846" t="s">
        <v>1702</v>
      </c>
      <c r="C846" s="1">
        <v>37.461489547500001</v>
      </c>
      <c r="D846" s="1">
        <v>-7.1164663039100002</v>
      </c>
      <c r="E846" s="3">
        <v>1</v>
      </c>
      <c r="F846" s="2">
        <v>2</v>
      </c>
      <c r="G846" s="4">
        <v>2</v>
      </c>
      <c r="H846" s="13"/>
      <c r="I846" s="15"/>
      <c r="J846" s="19">
        <v>2</v>
      </c>
      <c r="K846" s="2" t="s">
        <v>1703</v>
      </c>
      <c r="L846" s="11" t="str">
        <f t="shared" si="14"/>
        <v>Ver Imagen</v>
      </c>
      <c r="M846" t="s">
        <v>15</v>
      </c>
    </row>
    <row r="847" spans="1:13" x14ac:dyDescent="0.25">
      <c r="A847">
        <v>846</v>
      </c>
      <c r="B847" t="s">
        <v>1704</v>
      </c>
      <c r="C847" s="1">
        <v>37.461060303099998</v>
      </c>
      <c r="D847" s="1">
        <v>-7.1159471334999997</v>
      </c>
      <c r="E847" s="3">
        <v>1</v>
      </c>
      <c r="F847" s="2">
        <v>2</v>
      </c>
      <c r="G847" s="4">
        <v>2</v>
      </c>
      <c r="H847" s="13"/>
      <c r="I847" s="15"/>
      <c r="J847" s="19">
        <v>2</v>
      </c>
      <c r="K847" s="2" t="s">
        <v>1705</v>
      </c>
      <c r="L847" s="11" t="str">
        <f t="shared" si="14"/>
        <v>Ver Imagen</v>
      </c>
      <c r="M847" t="s">
        <v>15</v>
      </c>
    </row>
    <row r="848" spans="1:13" x14ac:dyDescent="0.25">
      <c r="A848">
        <v>847</v>
      </c>
      <c r="B848" t="s">
        <v>1706</v>
      </c>
      <c r="C848" s="1">
        <v>37.460906127100003</v>
      </c>
      <c r="D848" s="1">
        <v>-7.11577916334</v>
      </c>
      <c r="E848" s="3">
        <v>1</v>
      </c>
      <c r="F848" s="2">
        <v>2</v>
      </c>
      <c r="G848" s="4">
        <v>2</v>
      </c>
      <c r="H848" s="13"/>
      <c r="I848" s="15"/>
      <c r="J848" s="19">
        <v>2</v>
      </c>
      <c r="K848" s="2" t="s">
        <v>1707</v>
      </c>
      <c r="L848" s="11" t="str">
        <f t="shared" si="14"/>
        <v>Ver Imagen</v>
      </c>
      <c r="M848" t="s">
        <v>15</v>
      </c>
    </row>
    <row r="849" spans="1:13" x14ac:dyDescent="0.25">
      <c r="A849">
        <v>848</v>
      </c>
      <c r="B849" t="s">
        <v>1708</v>
      </c>
      <c r="C849" s="1">
        <v>37.4607113219</v>
      </c>
      <c r="D849" s="1">
        <v>-7.1155864381400002</v>
      </c>
      <c r="E849" s="3">
        <v>1</v>
      </c>
      <c r="F849" s="2">
        <v>2</v>
      </c>
      <c r="G849" s="4">
        <v>2</v>
      </c>
      <c r="H849" s="13"/>
      <c r="I849" s="15"/>
      <c r="J849" s="19">
        <v>2</v>
      </c>
      <c r="K849" s="2" t="s">
        <v>1709</v>
      </c>
      <c r="L849" s="11" t="str">
        <f t="shared" si="14"/>
        <v>Ver Imagen</v>
      </c>
      <c r="M849" t="s">
        <v>15</v>
      </c>
    </row>
    <row r="850" spans="1:13" x14ac:dyDescent="0.25">
      <c r="A850">
        <v>849</v>
      </c>
      <c r="B850" t="s">
        <v>1710</v>
      </c>
      <c r="C850" s="1">
        <v>37.460554192099998</v>
      </c>
      <c r="D850" s="1">
        <v>-7.1154538592099996</v>
      </c>
      <c r="E850" s="3">
        <v>1</v>
      </c>
      <c r="F850" s="2">
        <v>2</v>
      </c>
      <c r="G850" s="4">
        <v>2</v>
      </c>
      <c r="H850" s="13"/>
      <c r="I850" s="15"/>
      <c r="J850" s="19">
        <v>2</v>
      </c>
      <c r="K850" s="2" t="s">
        <v>1711</v>
      </c>
      <c r="L850" s="11" t="str">
        <f t="shared" si="14"/>
        <v>Ver Imagen</v>
      </c>
      <c r="M850" t="s">
        <v>15</v>
      </c>
    </row>
    <row r="851" spans="1:13" x14ac:dyDescent="0.25">
      <c r="A851">
        <v>850</v>
      </c>
      <c r="B851" t="s">
        <v>1712</v>
      </c>
      <c r="C851" s="1">
        <v>37.460386176900002</v>
      </c>
      <c r="D851" s="1">
        <v>-7.1153362093799997</v>
      </c>
      <c r="E851" s="3">
        <v>1</v>
      </c>
      <c r="F851" s="2">
        <v>2</v>
      </c>
      <c r="G851" s="4">
        <v>2</v>
      </c>
      <c r="H851" s="13"/>
      <c r="I851" s="15"/>
      <c r="J851" s="19">
        <v>2</v>
      </c>
      <c r="K851" s="2" t="s">
        <v>1713</v>
      </c>
      <c r="L851" s="11" t="str">
        <f t="shared" si="14"/>
        <v>Ver Imagen</v>
      </c>
      <c r="M851" t="s">
        <v>15</v>
      </c>
    </row>
    <row r="852" spans="1:13" x14ac:dyDescent="0.25">
      <c r="A852">
        <v>851</v>
      </c>
      <c r="B852" t="s">
        <v>1714</v>
      </c>
      <c r="C852" s="1">
        <v>37.4602001226</v>
      </c>
      <c r="D852" s="1">
        <v>-7.1152239470099996</v>
      </c>
      <c r="E852" s="3">
        <v>1</v>
      </c>
      <c r="F852" s="2">
        <v>2</v>
      </c>
      <c r="G852" s="4">
        <v>2</v>
      </c>
      <c r="H852" s="13"/>
      <c r="I852" s="15"/>
      <c r="J852" s="19">
        <v>2</v>
      </c>
      <c r="K852" s="2" t="s">
        <v>1715</v>
      </c>
      <c r="L852" s="11" t="str">
        <f t="shared" si="14"/>
        <v>Ver Imagen</v>
      </c>
      <c r="M852" t="s">
        <v>15</v>
      </c>
    </row>
    <row r="853" spans="1:13" x14ac:dyDescent="0.25">
      <c r="A853">
        <v>852</v>
      </c>
      <c r="B853" t="s">
        <v>1716</v>
      </c>
      <c r="C853" s="1">
        <v>37.459617800799997</v>
      </c>
      <c r="D853" s="1">
        <v>-7.1149808262200001</v>
      </c>
      <c r="E853" s="3">
        <v>1</v>
      </c>
      <c r="F853" s="2">
        <v>2</v>
      </c>
      <c r="G853" s="4">
        <v>2</v>
      </c>
      <c r="H853" s="13"/>
      <c r="I853" s="15"/>
      <c r="J853" s="19">
        <v>2</v>
      </c>
      <c r="K853" s="2" t="s">
        <v>1717</v>
      </c>
      <c r="L853" s="11" t="str">
        <f t="shared" si="14"/>
        <v>Ver Imagen</v>
      </c>
      <c r="M853" t="s">
        <v>15</v>
      </c>
    </row>
    <row r="854" spans="1:13" x14ac:dyDescent="0.25">
      <c r="A854">
        <v>853</v>
      </c>
      <c r="B854" t="s">
        <v>1718</v>
      </c>
      <c r="C854" s="1">
        <v>37.458847674600001</v>
      </c>
      <c r="D854" s="1">
        <v>-7.1147492187900001</v>
      </c>
      <c r="E854" s="3">
        <v>1</v>
      </c>
      <c r="F854" s="2">
        <v>2</v>
      </c>
      <c r="G854" s="4">
        <v>2</v>
      </c>
      <c r="H854" s="13"/>
      <c r="I854" s="15"/>
      <c r="J854" s="19">
        <v>2</v>
      </c>
      <c r="K854" s="2" t="s">
        <v>1719</v>
      </c>
      <c r="L854" s="11" t="str">
        <f t="shared" si="14"/>
        <v>Ver Imagen</v>
      </c>
      <c r="M854" t="s">
        <v>15</v>
      </c>
    </row>
    <row r="855" spans="1:13" x14ac:dyDescent="0.25">
      <c r="A855">
        <v>854</v>
      </c>
      <c r="B855" t="s">
        <v>1720</v>
      </c>
      <c r="C855" s="1">
        <v>37.458681743299998</v>
      </c>
      <c r="D855" s="1">
        <v>-7.1146735045199998</v>
      </c>
      <c r="E855" s="3">
        <v>1</v>
      </c>
      <c r="F855" s="2">
        <v>2</v>
      </c>
      <c r="G855" s="4">
        <v>2</v>
      </c>
      <c r="H855" s="13"/>
      <c r="I855" s="15"/>
      <c r="J855" s="19">
        <v>2</v>
      </c>
      <c r="K855" s="2" t="s">
        <v>1721</v>
      </c>
      <c r="L855" s="11" t="str">
        <f t="shared" si="14"/>
        <v>Ver Imagen</v>
      </c>
      <c r="M855" t="s">
        <v>15</v>
      </c>
    </row>
    <row r="856" spans="1:13" x14ac:dyDescent="0.25">
      <c r="A856">
        <v>855</v>
      </c>
      <c r="B856" t="s">
        <v>1722</v>
      </c>
      <c r="C856" s="1">
        <v>37.192929090699998</v>
      </c>
      <c r="D856" s="1">
        <v>-6.9951238774000002</v>
      </c>
      <c r="E856" s="3">
        <v>1</v>
      </c>
      <c r="F856" s="2">
        <v>2</v>
      </c>
      <c r="G856" s="4">
        <v>2</v>
      </c>
      <c r="H856" s="13"/>
      <c r="I856" s="15"/>
      <c r="J856" s="19">
        <v>2</v>
      </c>
      <c r="K856" s="2" t="s">
        <v>1723</v>
      </c>
      <c r="L856" s="11" t="str">
        <f t="shared" si="14"/>
        <v>Ver Imagen</v>
      </c>
      <c r="M856" t="s">
        <v>15</v>
      </c>
    </row>
    <row r="857" spans="1:13" x14ac:dyDescent="0.25">
      <c r="A857">
        <v>856</v>
      </c>
      <c r="B857" t="s">
        <v>1724</v>
      </c>
      <c r="C857" s="1">
        <v>37.194785580599998</v>
      </c>
      <c r="D857" s="1">
        <v>-6.9996149323700001</v>
      </c>
      <c r="E857" s="3">
        <v>1</v>
      </c>
      <c r="F857" s="2">
        <v>2</v>
      </c>
      <c r="G857" s="4">
        <v>2</v>
      </c>
      <c r="H857" s="13"/>
      <c r="I857" s="15"/>
      <c r="J857" s="19">
        <v>2</v>
      </c>
      <c r="K857" s="2" t="s">
        <v>1725</v>
      </c>
      <c r="L857" s="11" t="str">
        <f t="shared" si="14"/>
        <v>Ver Imagen</v>
      </c>
      <c r="M857" t="s">
        <v>15</v>
      </c>
    </row>
    <row r="858" spans="1:13" x14ac:dyDescent="0.25">
      <c r="A858">
        <v>857</v>
      </c>
      <c r="B858" t="s">
        <v>1726</v>
      </c>
      <c r="C858" s="1">
        <v>37.218440774400001</v>
      </c>
      <c r="D858" s="1">
        <v>-7.1249658419699999</v>
      </c>
      <c r="E858" s="3">
        <v>1</v>
      </c>
      <c r="F858" s="2">
        <v>2</v>
      </c>
      <c r="G858" s="4">
        <v>2</v>
      </c>
      <c r="H858" s="13"/>
      <c r="I858" s="15"/>
      <c r="J858" s="19">
        <v>2</v>
      </c>
      <c r="K858" s="2" t="s">
        <v>1727</v>
      </c>
      <c r="L858" s="11" t="str">
        <f t="shared" si="14"/>
        <v>Ver Imagen</v>
      </c>
      <c r="M858" t="s">
        <v>15</v>
      </c>
    </row>
    <row r="859" spans="1:13" x14ac:dyDescent="0.25">
      <c r="A859">
        <v>858</v>
      </c>
      <c r="B859" t="s">
        <v>1728</v>
      </c>
      <c r="C859" s="1">
        <v>37.218403694499997</v>
      </c>
      <c r="D859" s="1">
        <v>-7.1247209317799998</v>
      </c>
      <c r="E859" s="3">
        <v>1</v>
      </c>
      <c r="F859" s="2">
        <v>2</v>
      </c>
      <c r="G859" s="4">
        <v>2</v>
      </c>
      <c r="H859" s="13"/>
      <c r="I859" s="15"/>
      <c r="J859" s="19">
        <v>2</v>
      </c>
      <c r="K859" s="2" t="s">
        <v>1729</v>
      </c>
      <c r="L859" s="11" t="str">
        <f t="shared" si="14"/>
        <v>Ver Imagen</v>
      </c>
      <c r="M859" t="s">
        <v>15</v>
      </c>
    </row>
    <row r="860" spans="1:13" x14ac:dyDescent="0.25">
      <c r="A860">
        <v>859</v>
      </c>
      <c r="B860" t="s">
        <v>1730</v>
      </c>
      <c r="C860" s="1">
        <v>37.218370678600003</v>
      </c>
      <c r="D860" s="1">
        <v>-7.1241998203900003</v>
      </c>
      <c r="E860" s="3">
        <v>1</v>
      </c>
      <c r="F860" s="2">
        <v>2</v>
      </c>
      <c r="G860" s="4">
        <v>2</v>
      </c>
      <c r="H860" s="13"/>
      <c r="I860" s="15"/>
      <c r="J860" s="19">
        <v>2</v>
      </c>
      <c r="K860" s="2" t="s">
        <v>1731</v>
      </c>
      <c r="L860" s="11" t="str">
        <f t="shared" si="14"/>
        <v>Ver Imagen</v>
      </c>
      <c r="M860" t="s">
        <v>15</v>
      </c>
    </row>
    <row r="861" spans="1:13" x14ac:dyDescent="0.25">
      <c r="A861">
        <v>860</v>
      </c>
      <c r="B861" t="s">
        <v>1732</v>
      </c>
      <c r="C861" s="1">
        <v>37.218129223399998</v>
      </c>
      <c r="D861" s="1">
        <v>-7.1227160464599999</v>
      </c>
      <c r="E861" s="3">
        <v>1</v>
      </c>
      <c r="F861" s="2">
        <v>2</v>
      </c>
      <c r="G861" s="4">
        <v>2</v>
      </c>
      <c r="H861" s="13"/>
      <c r="I861" s="15"/>
      <c r="J861" s="19">
        <v>2</v>
      </c>
      <c r="K861" s="2" t="s">
        <v>1733</v>
      </c>
      <c r="L861" s="11" t="str">
        <f t="shared" si="14"/>
        <v>Ver Imagen</v>
      </c>
      <c r="M861" t="s">
        <v>15</v>
      </c>
    </row>
    <row r="862" spans="1:13" x14ac:dyDescent="0.25">
      <c r="A862">
        <v>861</v>
      </c>
      <c r="B862" t="s">
        <v>1734</v>
      </c>
      <c r="C862" s="1">
        <v>37.218033820899997</v>
      </c>
      <c r="D862" s="1">
        <v>-7.12052209373</v>
      </c>
      <c r="E862" s="3">
        <v>1</v>
      </c>
      <c r="F862" s="2">
        <v>2</v>
      </c>
      <c r="G862" s="4">
        <v>2</v>
      </c>
      <c r="H862" s="13"/>
      <c r="I862" s="15"/>
      <c r="J862" s="19">
        <v>2</v>
      </c>
      <c r="K862" s="2" t="s">
        <v>1735</v>
      </c>
      <c r="L862" s="11" t="str">
        <f t="shared" si="14"/>
        <v>Ver Imagen</v>
      </c>
      <c r="M862" t="s">
        <v>15</v>
      </c>
    </row>
    <row r="863" spans="1:13" x14ac:dyDescent="0.25">
      <c r="A863">
        <v>862</v>
      </c>
      <c r="B863" t="s">
        <v>1736</v>
      </c>
      <c r="C863" s="1">
        <v>37.218123278</v>
      </c>
      <c r="D863" s="1">
        <v>-7.1192430098699999</v>
      </c>
      <c r="E863" s="3">
        <v>1</v>
      </c>
      <c r="F863" s="2">
        <v>2</v>
      </c>
      <c r="G863" s="4">
        <v>2</v>
      </c>
      <c r="H863" s="13"/>
      <c r="I863" s="15"/>
      <c r="J863" s="19">
        <v>2</v>
      </c>
      <c r="K863" s="2" t="s">
        <v>1737</v>
      </c>
      <c r="L863" s="11" t="str">
        <f t="shared" si="14"/>
        <v>Ver Imagen</v>
      </c>
      <c r="M863" t="s">
        <v>15</v>
      </c>
    </row>
    <row r="864" spans="1:13" x14ac:dyDescent="0.25">
      <c r="A864">
        <v>863</v>
      </c>
      <c r="B864" t="s">
        <v>1738</v>
      </c>
      <c r="C864" s="1">
        <v>37.217965743699999</v>
      </c>
      <c r="D864" s="1">
        <v>-7.1174465506000004</v>
      </c>
      <c r="E864" s="3">
        <v>1</v>
      </c>
      <c r="F864" s="2">
        <v>2</v>
      </c>
      <c r="G864" s="4">
        <v>2</v>
      </c>
      <c r="H864" s="13"/>
      <c r="I864" s="15"/>
      <c r="J864" s="19">
        <v>2</v>
      </c>
      <c r="K864" s="2" t="s">
        <v>1739</v>
      </c>
      <c r="L864" s="11" t="str">
        <f t="shared" si="14"/>
        <v>Ver Imagen</v>
      </c>
      <c r="M864" t="s">
        <v>15</v>
      </c>
    </row>
    <row r="865" spans="1:13" x14ac:dyDescent="0.25">
      <c r="A865">
        <v>864</v>
      </c>
      <c r="B865" t="s">
        <v>1740</v>
      </c>
      <c r="C865" s="1">
        <v>37.217662902599997</v>
      </c>
      <c r="D865" s="1">
        <v>-7.1152308655100001</v>
      </c>
      <c r="E865" s="3">
        <v>1</v>
      </c>
      <c r="F865" s="2">
        <v>2</v>
      </c>
      <c r="G865" s="4">
        <v>2</v>
      </c>
      <c r="H865" s="13"/>
      <c r="I865" s="15"/>
      <c r="J865" s="19">
        <v>2</v>
      </c>
      <c r="K865" s="2" t="s">
        <v>1741</v>
      </c>
      <c r="L865" s="11" t="str">
        <f t="shared" si="14"/>
        <v>Ver Imagen</v>
      </c>
      <c r="M865" t="s">
        <v>15</v>
      </c>
    </row>
    <row r="866" spans="1:13" x14ac:dyDescent="0.25">
      <c r="A866">
        <v>865</v>
      </c>
      <c r="B866" t="s">
        <v>1742</v>
      </c>
      <c r="C866" s="1">
        <v>37.217631330000003</v>
      </c>
      <c r="D866" s="1">
        <v>-7.1149995823600003</v>
      </c>
      <c r="E866" s="3">
        <v>1</v>
      </c>
      <c r="F866" s="2">
        <v>2</v>
      </c>
      <c r="G866" s="4">
        <v>2</v>
      </c>
      <c r="H866" s="13"/>
      <c r="I866" s="15"/>
      <c r="J866" s="19">
        <v>2</v>
      </c>
      <c r="K866" s="2" t="s">
        <v>1743</v>
      </c>
      <c r="L866" s="11" t="str">
        <f t="shared" si="14"/>
        <v>Ver Imagen</v>
      </c>
      <c r="M866" t="s">
        <v>15</v>
      </c>
    </row>
    <row r="867" spans="1:13" x14ac:dyDescent="0.25">
      <c r="A867">
        <v>866</v>
      </c>
      <c r="B867" t="s">
        <v>1744</v>
      </c>
      <c r="C867" s="1">
        <v>37.217568434199997</v>
      </c>
      <c r="D867" s="1">
        <v>-7.1145055916700004</v>
      </c>
      <c r="E867" s="3">
        <v>1</v>
      </c>
      <c r="F867" s="2">
        <v>2</v>
      </c>
      <c r="G867" s="4">
        <v>2</v>
      </c>
      <c r="H867" s="13"/>
      <c r="I867" s="15"/>
      <c r="J867" s="19">
        <v>2</v>
      </c>
      <c r="K867" s="2" t="s">
        <v>1745</v>
      </c>
      <c r="L867" s="11" t="str">
        <f t="shared" si="14"/>
        <v>Ver Imagen</v>
      </c>
      <c r="M867" t="s">
        <v>15</v>
      </c>
    </row>
    <row r="868" spans="1:13" x14ac:dyDescent="0.25">
      <c r="A868">
        <v>867</v>
      </c>
      <c r="B868" t="s">
        <v>1746</v>
      </c>
      <c r="C868" s="1">
        <v>37.217536661099999</v>
      </c>
      <c r="D868" s="1">
        <v>-7.1142181901699999</v>
      </c>
      <c r="E868" s="3">
        <v>1</v>
      </c>
      <c r="F868" s="2">
        <v>2</v>
      </c>
      <c r="G868" s="4">
        <v>2</v>
      </c>
      <c r="H868" s="13"/>
      <c r="I868" s="15"/>
      <c r="J868" s="19">
        <v>2</v>
      </c>
      <c r="K868" s="2" t="s">
        <v>1747</v>
      </c>
      <c r="L868" s="11" t="str">
        <f t="shared" si="14"/>
        <v>Ver Imagen</v>
      </c>
      <c r="M868" t="s">
        <v>15</v>
      </c>
    </row>
    <row r="869" spans="1:13" x14ac:dyDescent="0.25">
      <c r="A869">
        <v>868</v>
      </c>
      <c r="B869" t="s">
        <v>1748</v>
      </c>
      <c r="C869" s="1">
        <v>37.217571334299997</v>
      </c>
      <c r="D869" s="1">
        <v>-7.1119877089700001</v>
      </c>
      <c r="E869" s="3">
        <v>1</v>
      </c>
      <c r="F869" s="2">
        <v>2</v>
      </c>
      <c r="G869" s="4">
        <v>2</v>
      </c>
      <c r="H869" s="13"/>
      <c r="I869" s="15"/>
      <c r="J869" s="19">
        <v>2</v>
      </c>
      <c r="K869" s="2" t="s">
        <v>1749</v>
      </c>
      <c r="L869" s="11" t="str">
        <f t="shared" si="14"/>
        <v>Ver Imagen</v>
      </c>
      <c r="M869" t="s">
        <v>15</v>
      </c>
    </row>
    <row r="870" spans="1:13" x14ac:dyDescent="0.25">
      <c r="A870">
        <v>869</v>
      </c>
      <c r="B870" t="s">
        <v>1750</v>
      </c>
      <c r="C870" s="1">
        <v>37.217628805700002</v>
      </c>
      <c r="D870" s="1">
        <v>-7.1107175697000002</v>
      </c>
      <c r="E870" s="3">
        <v>1</v>
      </c>
      <c r="F870" s="2">
        <v>2</v>
      </c>
      <c r="G870" s="4">
        <v>2</v>
      </c>
      <c r="H870" s="13"/>
      <c r="I870" s="15"/>
      <c r="J870" s="19">
        <v>2</v>
      </c>
      <c r="K870" s="2" t="s">
        <v>1751</v>
      </c>
      <c r="L870" s="11" t="str">
        <f t="shared" si="14"/>
        <v>Ver Imagen</v>
      </c>
      <c r="M870" t="s">
        <v>15</v>
      </c>
    </row>
    <row r="871" spans="1:13" x14ac:dyDescent="0.25">
      <c r="A871">
        <v>870</v>
      </c>
      <c r="B871" t="s">
        <v>1752</v>
      </c>
      <c r="C871" s="1">
        <v>37.217654695500002</v>
      </c>
      <c r="D871" s="1">
        <v>-7.1099498724099996</v>
      </c>
      <c r="E871" s="3">
        <v>1</v>
      </c>
      <c r="F871" s="2">
        <v>2</v>
      </c>
      <c r="G871" s="4">
        <v>2</v>
      </c>
      <c r="H871" s="13"/>
      <c r="I871" s="15"/>
      <c r="J871" s="19">
        <v>2</v>
      </c>
      <c r="K871" s="2" t="s">
        <v>1753</v>
      </c>
      <c r="L871" s="11" t="str">
        <f t="shared" si="14"/>
        <v>Ver Imagen</v>
      </c>
      <c r="M871" t="s">
        <v>15</v>
      </c>
    </row>
    <row r="872" spans="1:13" x14ac:dyDescent="0.25">
      <c r="A872">
        <v>871</v>
      </c>
      <c r="B872" t="s">
        <v>1754</v>
      </c>
      <c r="C872" s="1">
        <v>37.2176532581</v>
      </c>
      <c r="D872" s="1">
        <v>-7.1096820949600001</v>
      </c>
      <c r="E872" s="3">
        <v>1</v>
      </c>
      <c r="F872" s="2">
        <v>2</v>
      </c>
      <c r="G872" s="4">
        <v>2</v>
      </c>
      <c r="H872" s="13"/>
      <c r="I872" s="15"/>
      <c r="J872" s="19">
        <v>2</v>
      </c>
      <c r="K872" s="2" t="s">
        <v>1755</v>
      </c>
      <c r="L872" s="11" t="str">
        <f t="shared" si="14"/>
        <v>Ver Imagen</v>
      </c>
      <c r="M872" t="s">
        <v>15</v>
      </c>
    </row>
    <row r="873" spans="1:13" x14ac:dyDescent="0.25">
      <c r="A873">
        <v>872</v>
      </c>
      <c r="B873" t="s">
        <v>1756</v>
      </c>
      <c r="C873" s="1">
        <v>37.217597098100001</v>
      </c>
      <c r="D873" s="1">
        <v>-7.1089546803300001</v>
      </c>
      <c r="E873" s="3">
        <v>1</v>
      </c>
      <c r="F873" s="2">
        <v>2</v>
      </c>
      <c r="G873" s="4">
        <v>2</v>
      </c>
      <c r="H873" s="13"/>
      <c r="I873" s="15"/>
      <c r="J873" s="19">
        <v>2</v>
      </c>
      <c r="K873" s="2" t="s">
        <v>1757</v>
      </c>
      <c r="L873" s="11" t="str">
        <f t="shared" si="14"/>
        <v>Ver Imagen</v>
      </c>
      <c r="M873" t="s">
        <v>15</v>
      </c>
    </row>
    <row r="874" spans="1:13" x14ac:dyDescent="0.25">
      <c r="A874">
        <v>873</v>
      </c>
      <c r="B874" t="s">
        <v>1758</v>
      </c>
      <c r="C874" s="1">
        <v>37.2175286684</v>
      </c>
      <c r="D874" s="1">
        <v>-7.1084601883999996</v>
      </c>
      <c r="E874" s="3">
        <v>1</v>
      </c>
      <c r="F874" s="2">
        <v>2</v>
      </c>
      <c r="G874" s="4">
        <v>2</v>
      </c>
      <c r="H874" s="13"/>
      <c r="I874" s="15"/>
      <c r="J874" s="19">
        <v>2</v>
      </c>
      <c r="K874" s="2" t="s">
        <v>1759</v>
      </c>
      <c r="L874" s="11" t="str">
        <f t="shared" si="14"/>
        <v>Ver Imagen</v>
      </c>
      <c r="M874" t="s">
        <v>15</v>
      </c>
    </row>
    <row r="875" spans="1:13" x14ac:dyDescent="0.25">
      <c r="A875">
        <v>874</v>
      </c>
      <c r="B875" t="s">
        <v>1760</v>
      </c>
      <c r="C875" s="1">
        <v>37.217416203100001</v>
      </c>
      <c r="D875" s="1">
        <v>-7.1077097266999996</v>
      </c>
      <c r="E875" s="3">
        <v>1</v>
      </c>
      <c r="F875" s="2">
        <v>2</v>
      </c>
      <c r="G875" s="4">
        <v>2</v>
      </c>
      <c r="H875" s="13"/>
      <c r="I875" s="15"/>
      <c r="J875" s="19">
        <v>2</v>
      </c>
      <c r="K875" s="2" t="s">
        <v>1761</v>
      </c>
      <c r="L875" s="11" t="str">
        <f t="shared" si="14"/>
        <v>Ver Imagen</v>
      </c>
      <c r="M875" t="s">
        <v>15</v>
      </c>
    </row>
    <row r="876" spans="1:13" x14ac:dyDescent="0.25">
      <c r="A876">
        <v>875</v>
      </c>
      <c r="B876" t="s">
        <v>1762</v>
      </c>
      <c r="C876" s="1">
        <v>37.217378334300001</v>
      </c>
      <c r="D876" s="1">
        <v>-7.1074569004199999</v>
      </c>
      <c r="E876" s="3">
        <v>1</v>
      </c>
      <c r="F876" s="2">
        <v>2</v>
      </c>
      <c r="G876" s="4">
        <v>2</v>
      </c>
      <c r="H876" s="13"/>
      <c r="I876" s="15"/>
      <c r="J876" s="19">
        <v>2</v>
      </c>
      <c r="K876" s="2" t="s">
        <v>1763</v>
      </c>
      <c r="L876" s="11" t="str">
        <f t="shared" si="14"/>
        <v>Ver Imagen</v>
      </c>
      <c r="M876" t="s">
        <v>15</v>
      </c>
    </row>
    <row r="877" spans="1:13" x14ac:dyDescent="0.25">
      <c r="A877">
        <v>876</v>
      </c>
      <c r="B877" t="s">
        <v>1764</v>
      </c>
      <c r="C877" s="1">
        <v>37.217346823699998</v>
      </c>
      <c r="D877" s="1">
        <v>-7.1072404280499999</v>
      </c>
      <c r="E877" s="3">
        <v>1</v>
      </c>
      <c r="F877" s="2">
        <v>2</v>
      </c>
      <c r="G877" s="4">
        <v>2</v>
      </c>
      <c r="H877" s="13"/>
      <c r="I877" s="15"/>
      <c r="J877" s="19">
        <v>2</v>
      </c>
      <c r="K877" s="2" t="s">
        <v>1765</v>
      </c>
      <c r="L877" s="11" t="str">
        <f t="shared" si="14"/>
        <v>Ver Imagen</v>
      </c>
      <c r="M877" t="s">
        <v>15</v>
      </c>
    </row>
    <row r="878" spans="1:13" x14ac:dyDescent="0.25">
      <c r="A878">
        <v>877</v>
      </c>
      <c r="B878" t="s">
        <v>1766</v>
      </c>
      <c r="C878" s="1">
        <v>37.217013741999999</v>
      </c>
      <c r="D878" s="1">
        <v>-7.1044525390300004</v>
      </c>
      <c r="E878" s="3">
        <v>1</v>
      </c>
      <c r="F878" s="2">
        <v>2</v>
      </c>
      <c r="G878" s="4">
        <v>2</v>
      </c>
      <c r="H878" s="13"/>
      <c r="I878" s="15"/>
      <c r="J878" s="19">
        <v>2</v>
      </c>
      <c r="K878" s="2" t="s">
        <v>1767</v>
      </c>
      <c r="L878" s="11" t="str">
        <f t="shared" si="14"/>
        <v>Ver Imagen</v>
      </c>
      <c r="M878" t="s">
        <v>15</v>
      </c>
    </row>
    <row r="879" spans="1:13" x14ac:dyDescent="0.25">
      <c r="A879">
        <v>878</v>
      </c>
      <c r="B879" t="s">
        <v>1768</v>
      </c>
      <c r="C879" s="1">
        <v>37.2169908949</v>
      </c>
      <c r="D879" s="1">
        <v>-7.1041874463300001</v>
      </c>
      <c r="E879" s="3">
        <v>1</v>
      </c>
      <c r="F879" s="2">
        <v>2</v>
      </c>
      <c r="G879" s="4">
        <v>2</v>
      </c>
      <c r="H879" s="13"/>
      <c r="I879" s="15"/>
      <c r="J879" s="19">
        <v>2</v>
      </c>
      <c r="K879" s="2" t="s">
        <v>1769</v>
      </c>
      <c r="L879" s="11" t="str">
        <f t="shared" si="14"/>
        <v>Ver Imagen</v>
      </c>
      <c r="M879" t="s">
        <v>15</v>
      </c>
    </row>
    <row r="880" spans="1:13" x14ac:dyDescent="0.25">
      <c r="A880">
        <v>879</v>
      </c>
      <c r="B880" t="s">
        <v>1770</v>
      </c>
      <c r="C880" s="1">
        <v>37.216970600800003</v>
      </c>
      <c r="D880" s="1">
        <v>-7.1039695836499996</v>
      </c>
      <c r="E880" s="3">
        <v>1</v>
      </c>
      <c r="F880" s="2">
        <v>2</v>
      </c>
      <c r="G880" s="4">
        <v>2</v>
      </c>
      <c r="H880" s="13"/>
      <c r="I880" s="15"/>
      <c r="J880" s="19">
        <v>2</v>
      </c>
      <c r="K880" s="2" t="s">
        <v>1771</v>
      </c>
      <c r="L880" s="11" t="str">
        <f t="shared" si="14"/>
        <v>Ver Imagen</v>
      </c>
      <c r="M880" t="s">
        <v>15</v>
      </c>
    </row>
    <row r="881" spans="1:13" x14ac:dyDescent="0.25">
      <c r="A881">
        <v>880</v>
      </c>
      <c r="B881" t="s">
        <v>1772</v>
      </c>
      <c r="C881" s="1">
        <v>37.216864647400001</v>
      </c>
      <c r="D881" s="1">
        <v>-7.1027120650000004</v>
      </c>
      <c r="E881" s="3">
        <v>1</v>
      </c>
      <c r="F881" s="2">
        <v>2</v>
      </c>
      <c r="G881" s="4">
        <v>2</v>
      </c>
      <c r="H881" s="13"/>
      <c r="I881" s="15"/>
      <c r="J881" s="19">
        <v>2</v>
      </c>
      <c r="K881" s="2" t="s">
        <v>1773</v>
      </c>
      <c r="L881" s="11" t="str">
        <f t="shared" si="14"/>
        <v>Ver Imagen</v>
      </c>
      <c r="M881" t="s">
        <v>15</v>
      </c>
    </row>
    <row r="882" spans="1:13" x14ac:dyDescent="0.25">
      <c r="A882">
        <v>881</v>
      </c>
      <c r="B882" t="s">
        <v>1774</v>
      </c>
      <c r="C882" s="1">
        <v>37.216817804900003</v>
      </c>
      <c r="D882" s="1">
        <v>-7.1022066214299997</v>
      </c>
      <c r="E882" s="3">
        <v>1</v>
      </c>
      <c r="F882" s="2">
        <v>2</v>
      </c>
      <c r="G882" s="4">
        <v>2</v>
      </c>
      <c r="H882" s="13"/>
      <c r="I882" s="15"/>
      <c r="J882" s="19">
        <v>2</v>
      </c>
      <c r="K882" s="2" t="s">
        <v>1775</v>
      </c>
      <c r="L882" s="11" t="str">
        <f t="shared" si="14"/>
        <v>Ver Imagen</v>
      </c>
      <c r="M882" t="s">
        <v>15</v>
      </c>
    </row>
    <row r="883" spans="1:13" x14ac:dyDescent="0.25">
      <c r="A883">
        <v>882</v>
      </c>
      <c r="B883" t="s">
        <v>1776</v>
      </c>
      <c r="C883" s="1">
        <v>37.2167792511</v>
      </c>
      <c r="D883" s="1">
        <v>-7.1016791743400001</v>
      </c>
      <c r="E883" s="3">
        <v>1</v>
      </c>
      <c r="F883" s="2">
        <v>2</v>
      </c>
      <c r="G883" s="4">
        <v>2</v>
      </c>
      <c r="H883" s="13"/>
      <c r="I883" s="15"/>
      <c r="J883" s="19">
        <v>2</v>
      </c>
      <c r="K883" s="2" t="s">
        <v>1777</v>
      </c>
      <c r="L883" s="11" t="str">
        <f t="shared" si="14"/>
        <v>Ver Imagen</v>
      </c>
      <c r="M883" t="s">
        <v>15</v>
      </c>
    </row>
    <row r="884" spans="1:13" x14ac:dyDescent="0.25">
      <c r="A884">
        <v>883</v>
      </c>
      <c r="B884" t="s">
        <v>1778</v>
      </c>
      <c r="C884" s="1">
        <v>37.216867725</v>
      </c>
      <c r="D884" s="1">
        <v>-7.1009316068699997</v>
      </c>
      <c r="E884" s="3">
        <v>1</v>
      </c>
      <c r="F884" s="2">
        <v>2</v>
      </c>
      <c r="G884" s="4">
        <v>2</v>
      </c>
      <c r="H884" s="13"/>
      <c r="I884" s="15"/>
      <c r="J884" s="19">
        <v>2</v>
      </c>
      <c r="K884" s="2" t="s">
        <v>1779</v>
      </c>
      <c r="L884" s="11" t="str">
        <f t="shared" si="14"/>
        <v>Ver Imagen</v>
      </c>
      <c r="M884" t="s">
        <v>15</v>
      </c>
    </row>
    <row r="885" spans="1:13" x14ac:dyDescent="0.25">
      <c r="A885">
        <v>884</v>
      </c>
      <c r="B885" t="s">
        <v>1780</v>
      </c>
      <c r="C885" s="1">
        <v>37.217005262199997</v>
      </c>
      <c r="D885" s="1">
        <v>-7.0991570999300002</v>
      </c>
      <c r="E885" s="3">
        <v>1</v>
      </c>
      <c r="F885" s="2">
        <v>2</v>
      </c>
      <c r="G885" s="4">
        <v>2</v>
      </c>
      <c r="H885" s="13"/>
      <c r="I885" s="15"/>
      <c r="J885" s="19">
        <v>2</v>
      </c>
      <c r="K885" s="2" t="s">
        <v>1781</v>
      </c>
      <c r="L885" s="11" t="str">
        <f t="shared" si="14"/>
        <v>Ver Imagen</v>
      </c>
      <c r="M885" t="s">
        <v>15</v>
      </c>
    </row>
    <row r="886" spans="1:13" x14ac:dyDescent="0.25">
      <c r="A886">
        <v>885</v>
      </c>
      <c r="B886" t="s">
        <v>1782</v>
      </c>
      <c r="C886" s="1">
        <v>37.216957080999997</v>
      </c>
      <c r="D886" s="1">
        <v>-7.0986775611299997</v>
      </c>
      <c r="E886" s="3">
        <v>1</v>
      </c>
      <c r="F886" s="2">
        <v>2</v>
      </c>
      <c r="G886" s="4">
        <v>2</v>
      </c>
      <c r="H886" s="13"/>
      <c r="I886" s="15"/>
      <c r="J886" s="19">
        <v>2</v>
      </c>
      <c r="K886" s="2" t="s">
        <v>1783</v>
      </c>
      <c r="L886" s="11" t="str">
        <f t="shared" si="14"/>
        <v>Ver Imagen</v>
      </c>
      <c r="M886" t="s">
        <v>15</v>
      </c>
    </row>
    <row r="887" spans="1:13" x14ac:dyDescent="0.25">
      <c r="A887">
        <v>886</v>
      </c>
      <c r="B887" t="s">
        <v>1784</v>
      </c>
      <c r="C887" s="1">
        <v>37.216928539199998</v>
      </c>
      <c r="D887" s="1">
        <v>-7.0983858877300001</v>
      </c>
      <c r="E887" s="3">
        <v>1</v>
      </c>
      <c r="F887" s="2">
        <v>2</v>
      </c>
      <c r="G887" s="4">
        <v>2</v>
      </c>
      <c r="H887" s="13"/>
      <c r="I887" s="15"/>
      <c r="J887" s="19">
        <v>2</v>
      </c>
      <c r="K887" s="2" t="s">
        <v>1785</v>
      </c>
      <c r="L887" s="11" t="str">
        <f t="shared" si="14"/>
        <v>Ver Imagen</v>
      </c>
      <c r="M887" t="s">
        <v>15</v>
      </c>
    </row>
    <row r="888" spans="1:13" x14ac:dyDescent="0.25">
      <c r="A888">
        <v>887</v>
      </c>
      <c r="B888" t="s">
        <v>1786</v>
      </c>
      <c r="C888" s="1">
        <v>37.216903589399998</v>
      </c>
      <c r="D888" s="1">
        <v>-7.0981368711700004</v>
      </c>
      <c r="E888" s="3">
        <v>1</v>
      </c>
      <c r="F888" s="2">
        <v>2</v>
      </c>
      <c r="G888" s="4">
        <v>2</v>
      </c>
      <c r="H888" s="13"/>
      <c r="I888" s="15"/>
      <c r="J888" s="19">
        <v>2</v>
      </c>
      <c r="K888" s="2" t="s">
        <v>1787</v>
      </c>
      <c r="L888" s="11" t="str">
        <f t="shared" si="14"/>
        <v>Ver Imagen</v>
      </c>
      <c r="M888" t="s">
        <v>15</v>
      </c>
    </row>
    <row r="889" spans="1:13" x14ac:dyDescent="0.25">
      <c r="A889">
        <v>888</v>
      </c>
      <c r="B889" t="s">
        <v>1788</v>
      </c>
      <c r="C889" s="1">
        <v>37.2168533758</v>
      </c>
      <c r="D889" s="1">
        <v>-7.0976585724500003</v>
      </c>
      <c r="E889" s="3">
        <v>1</v>
      </c>
      <c r="F889" s="2">
        <v>2</v>
      </c>
      <c r="G889" s="4">
        <v>2</v>
      </c>
      <c r="H889" s="13"/>
      <c r="I889" s="15"/>
      <c r="J889" s="19">
        <v>2</v>
      </c>
      <c r="K889" s="2" t="s">
        <v>1789</v>
      </c>
      <c r="L889" s="11" t="str">
        <f t="shared" si="14"/>
        <v>Ver Imagen</v>
      </c>
      <c r="M889" t="s">
        <v>15</v>
      </c>
    </row>
    <row r="890" spans="1:13" x14ac:dyDescent="0.25">
      <c r="A890">
        <v>889</v>
      </c>
      <c r="B890" t="s">
        <v>1790</v>
      </c>
      <c r="C890" s="1">
        <v>37.216825625699997</v>
      </c>
      <c r="D890" s="1">
        <v>-7.09739327506</v>
      </c>
      <c r="E890" s="3">
        <v>1</v>
      </c>
      <c r="F890" s="2">
        <v>2</v>
      </c>
      <c r="G890" s="4">
        <v>2</v>
      </c>
      <c r="H890" s="13"/>
      <c r="I890" s="15"/>
      <c r="J890" s="19">
        <v>2</v>
      </c>
      <c r="K890" s="2" t="s">
        <v>1791</v>
      </c>
      <c r="L890" s="11" t="str">
        <f t="shared" si="14"/>
        <v>Ver Imagen</v>
      </c>
      <c r="M890" t="s">
        <v>15</v>
      </c>
    </row>
    <row r="891" spans="1:13" x14ac:dyDescent="0.25">
      <c r="A891">
        <v>890</v>
      </c>
      <c r="B891" t="s">
        <v>1792</v>
      </c>
      <c r="C891" s="1">
        <v>37.216734219899998</v>
      </c>
      <c r="D891" s="1">
        <v>-7.0964057678400003</v>
      </c>
      <c r="E891" s="3">
        <v>1</v>
      </c>
      <c r="F891" s="2">
        <v>2</v>
      </c>
      <c r="G891" s="4">
        <v>2</v>
      </c>
      <c r="H891" s="13"/>
      <c r="I891" s="15"/>
      <c r="J891" s="19">
        <v>2</v>
      </c>
      <c r="K891" s="2" t="s">
        <v>1793</v>
      </c>
      <c r="L891" s="11" t="str">
        <f t="shared" si="14"/>
        <v>Ver Imagen</v>
      </c>
      <c r="M891" t="s">
        <v>15</v>
      </c>
    </row>
    <row r="892" spans="1:13" x14ac:dyDescent="0.25">
      <c r="A892">
        <v>891</v>
      </c>
      <c r="B892" t="s">
        <v>1794</v>
      </c>
      <c r="C892" s="1">
        <v>37.2166172413</v>
      </c>
      <c r="D892" s="1">
        <v>-7.0949539474099996</v>
      </c>
      <c r="E892" s="3">
        <v>1</v>
      </c>
      <c r="F892" s="2">
        <v>2</v>
      </c>
      <c r="G892" s="4">
        <v>2</v>
      </c>
      <c r="H892" s="13"/>
      <c r="I892" s="15"/>
      <c r="J892" s="19">
        <v>2</v>
      </c>
      <c r="K892" s="2" t="s">
        <v>1795</v>
      </c>
      <c r="L892" s="11" t="str">
        <f t="shared" si="14"/>
        <v>Ver Imagen</v>
      </c>
      <c r="M892" t="s">
        <v>15</v>
      </c>
    </row>
    <row r="893" spans="1:13" x14ac:dyDescent="0.25">
      <c r="A893">
        <v>892</v>
      </c>
      <c r="B893" t="s">
        <v>1796</v>
      </c>
      <c r="C893" s="1">
        <v>37.2166219478</v>
      </c>
      <c r="D893" s="1">
        <v>-7.0946670861900003</v>
      </c>
      <c r="E893" s="3">
        <v>1</v>
      </c>
      <c r="F893" s="2">
        <v>2</v>
      </c>
      <c r="G893" s="4">
        <v>2</v>
      </c>
      <c r="H893" s="13"/>
      <c r="I893" s="15"/>
      <c r="J893" s="19">
        <v>2</v>
      </c>
      <c r="K893" s="2" t="s">
        <v>1797</v>
      </c>
      <c r="L893" s="11" t="str">
        <f t="shared" si="14"/>
        <v>Ver Imagen</v>
      </c>
      <c r="M893" t="s">
        <v>15</v>
      </c>
    </row>
    <row r="894" spans="1:13" x14ac:dyDescent="0.25">
      <c r="A894">
        <v>893</v>
      </c>
      <c r="B894" t="s">
        <v>1798</v>
      </c>
      <c r="C894" s="1">
        <v>37.216180904200002</v>
      </c>
      <c r="D894" s="1">
        <v>-7.09064243117</v>
      </c>
      <c r="E894" s="3">
        <v>1</v>
      </c>
      <c r="F894" s="2">
        <v>2</v>
      </c>
      <c r="G894" s="4">
        <v>2</v>
      </c>
      <c r="H894" s="13"/>
      <c r="I894" s="15"/>
      <c r="J894" s="19">
        <v>2</v>
      </c>
      <c r="K894" s="2" t="s">
        <v>1799</v>
      </c>
      <c r="L894" s="11" t="str">
        <f t="shared" si="14"/>
        <v>Ver Imagen</v>
      </c>
      <c r="M894" t="s">
        <v>15</v>
      </c>
    </row>
    <row r="895" spans="1:13" x14ac:dyDescent="0.25">
      <c r="A895">
        <v>894</v>
      </c>
      <c r="B895" t="s">
        <v>1800</v>
      </c>
      <c r="C895" s="1">
        <v>37.216154169299998</v>
      </c>
      <c r="D895" s="1">
        <v>-7.0904205775999998</v>
      </c>
      <c r="E895" s="3">
        <v>1</v>
      </c>
      <c r="F895" s="2">
        <v>2</v>
      </c>
      <c r="G895" s="4">
        <v>2</v>
      </c>
      <c r="H895" s="13"/>
      <c r="I895" s="15"/>
      <c r="J895" s="19">
        <v>2</v>
      </c>
      <c r="K895" s="2" t="s">
        <v>1801</v>
      </c>
      <c r="L895" s="11" t="str">
        <f t="shared" si="14"/>
        <v>Ver Imagen</v>
      </c>
      <c r="M895" t="s">
        <v>15</v>
      </c>
    </row>
    <row r="896" spans="1:13" x14ac:dyDescent="0.25">
      <c r="A896">
        <v>895</v>
      </c>
      <c r="B896" t="s">
        <v>1802</v>
      </c>
      <c r="C896" s="1">
        <v>37.216064506000002</v>
      </c>
      <c r="D896" s="1">
        <v>-7.0893630847200004</v>
      </c>
      <c r="E896" s="3">
        <v>1</v>
      </c>
      <c r="F896" s="2">
        <v>2</v>
      </c>
      <c r="G896" s="4">
        <v>2</v>
      </c>
      <c r="H896" s="13"/>
      <c r="I896" s="15"/>
      <c r="J896" s="19">
        <v>2</v>
      </c>
      <c r="K896" s="2" t="s">
        <v>1803</v>
      </c>
      <c r="L896" s="11" t="str">
        <f t="shared" si="14"/>
        <v>Ver Imagen</v>
      </c>
      <c r="M896" t="s">
        <v>15</v>
      </c>
    </row>
    <row r="897" spans="1:13" x14ac:dyDescent="0.25">
      <c r="A897">
        <v>896</v>
      </c>
      <c r="B897" t="s">
        <v>1804</v>
      </c>
      <c r="C897" s="1">
        <v>37.2160544316</v>
      </c>
      <c r="D897" s="1">
        <v>-7.0891554661000002</v>
      </c>
      <c r="E897" s="3">
        <v>1</v>
      </c>
      <c r="F897" s="2">
        <v>2</v>
      </c>
      <c r="G897" s="4">
        <v>2</v>
      </c>
      <c r="H897" s="13"/>
      <c r="I897" s="15"/>
      <c r="J897" s="19">
        <v>2</v>
      </c>
      <c r="K897" s="2" t="s">
        <v>1805</v>
      </c>
      <c r="L897" s="11" t="str">
        <f t="shared" si="14"/>
        <v>Ver Imagen</v>
      </c>
      <c r="M897" t="s">
        <v>15</v>
      </c>
    </row>
    <row r="898" spans="1:13" x14ac:dyDescent="0.25">
      <c r="A898">
        <v>897</v>
      </c>
      <c r="B898" t="s">
        <v>1806</v>
      </c>
      <c r="C898" s="1">
        <v>37.216037315900003</v>
      </c>
      <c r="D898" s="1">
        <v>-7.0886864565599996</v>
      </c>
      <c r="E898" s="3">
        <v>1</v>
      </c>
      <c r="F898" s="2">
        <v>2</v>
      </c>
      <c r="G898" s="4">
        <v>2</v>
      </c>
      <c r="H898" s="13"/>
      <c r="I898" s="15"/>
      <c r="J898" s="19">
        <v>2</v>
      </c>
      <c r="K898" s="2" t="s">
        <v>1807</v>
      </c>
      <c r="L898" s="11" t="str">
        <f t="shared" si="14"/>
        <v>Ver Imagen</v>
      </c>
      <c r="M898" t="s">
        <v>15</v>
      </c>
    </row>
    <row r="899" spans="1:13" x14ac:dyDescent="0.25">
      <c r="A899">
        <v>898</v>
      </c>
      <c r="B899" t="s">
        <v>1808</v>
      </c>
      <c r="C899" s="1">
        <v>37.216030989499998</v>
      </c>
      <c r="D899" s="1">
        <v>-7.0883868255799998</v>
      </c>
      <c r="E899" s="3">
        <v>1</v>
      </c>
      <c r="F899" s="2">
        <v>2</v>
      </c>
      <c r="G899" s="4">
        <v>2</v>
      </c>
      <c r="H899" s="13"/>
      <c r="I899" s="15"/>
      <c r="J899" s="19">
        <v>2</v>
      </c>
      <c r="K899" s="2" t="s">
        <v>1809</v>
      </c>
      <c r="L899" s="11" t="str">
        <f t="shared" ref="L899:L962" si="15">HYPERLINK("2\1\" &amp; K899, "Ver Imagen")</f>
        <v>Ver Imagen</v>
      </c>
      <c r="M899" t="s">
        <v>15</v>
      </c>
    </row>
    <row r="900" spans="1:13" x14ac:dyDescent="0.25">
      <c r="A900">
        <v>899</v>
      </c>
      <c r="B900" t="s">
        <v>1810</v>
      </c>
      <c r="C900" s="1">
        <v>37.216027439800001</v>
      </c>
      <c r="D900" s="1">
        <v>-7.0881095943199997</v>
      </c>
      <c r="E900" s="3">
        <v>1</v>
      </c>
      <c r="F900" s="2">
        <v>2</v>
      </c>
      <c r="G900" s="4">
        <v>2</v>
      </c>
      <c r="H900" s="13"/>
      <c r="I900" s="15"/>
      <c r="J900" s="19">
        <v>2</v>
      </c>
      <c r="K900" s="2" t="s">
        <v>1811</v>
      </c>
      <c r="L900" s="11" t="str">
        <f t="shared" si="15"/>
        <v>Ver Imagen</v>
      </c>
      <c r="M900" t="s">
        <v>15</v>
      </c>
    </row>
    <row r="901" spans="1:13" x14ac:dyDescent="0.25">
      <c r="A901">
        <v>900</v>
      </c>
      <c r="B901" t="s">
        <v>1812</v>
      </c>
      <c r="C901" s="1">
        <v>37.216024191300001</v>
      </c>
      <c r="D901" s="1">
        <v>-7.0878540600799997</v>
      </c>
      <c r="E901" s="3">
        <v>1</v>
      </c>
      <c r="F901" s="2">
        <v>2</v>
      </c>
      <c r="G901" s="4">
        <v>2</v>
      </c>
      <c r="H901" s="13"/>
      <c r="I901" s="15"/>
      <c r="J901" s="19">
        <v>2</v>
      </c>
      <c r="K901" s="2" t="s">
        <v>1813</v>
      </c>
      <c r="L901" s="11" t="str">
        <f t="shared" si="15"/>
        <v>Ver Imagen</v>
      </c>
      <c r="M901" t="s">
        <v>15</v>
      </c>
    </row>
    <row r="902" spans="1:13" x14ac:dyDescent="0.25">
      <c r="A902">
        <v>901</v>
      </c>
      <c r="B902" t="s">
        <v>1814</v>
      </c>
      <c r="C902" s="1">
        <v>37.216019642600003</v>
      </c>
      <c r="D902" s="1">
        <v>-7.0873641320800003</v>
      </c>
      <c r="E902" s="3">
        <v>1</v>
      </c>
      <c r="F902" s="2">
        <v>2</v>
      </c>
      <c r="G902" s="4">
        <v>2</v>
      </c>
      <c r="H902" s="13"/>
      <c r="I902" s="15"/>
      <c r="J902" s="19">
        <v>2</v>
      </c>
      <c r="K902" s="2" t="s">
        <v>1815</v>
      </c>
      <c r="L902" s="11" t="str">
        <f t="shared" si="15"/>
        <v>Ver Imagen</v>
      </c>
      <c r="M902" t="s">
        <v>15</v>
      </c>
    </row>
    <row r="903" spans="1:13" x14ac:dyDescent="0.25">
      <c r="A903">
        <v>902</v>
      </c>
      <c r="B903" t="s">
        <v>1816</v>
      </c>
      <c r="C903" s="1">
        <v>37.216078682099997</v>
      </c>
      <c r="D903" s="1">
        <v>-7.0858668679700001</v>
      </c>
      <c r="E903" s="3">
        <v>1</v>
      </c>
      <c r="F903" s="2">
        <v>2</v>
      </c>
      <c r="G903" s="4">
        <v>2</v>
      </c>
      <c r="H903" s="13"/>
      <c r="I903" s="15"/>
      <c r="J903" s="19">
        <v>2</v>
      </c>
      <c r="K903" s="2" t="s">
        <v>1817</v>
      </c>
      <c r="L903" s="11" t="str">
        <f t="shared" si="15"/>
        <v>Ver Imagen</v>
      </c>
      <c r="M903" t="s">
        <v>15</v>
      </c>
    </row>
    <row r="904" spans="1:13" x14ac:dyDescent="0.25">
      <c r="A904">
        <v>903</v>
      </c>
      <c r="B904" t="s">
        <v>1818</v>
      </c>
      <c r="C904" s="1">
        <v>37.216107016700001</v>
      </c>
      <c r="D904" s="1">
        <v>-7.0856468670000003</v>
      </c>
      <c r="E904" s="3">
        <v>1</v>
      </c>
      <c r="F904" s="2">
        <v>2</v>
      </c>
      <c r="G904" s="4">
        <v>2</v>
      </c>
      <c r="H904" s="13"/>
      <c r="I904" s="15"/>
      <c r="J904" s="19">
        <v>2</v>
      </c>
      <c r="K904" s="2" t="s">
        <v>1819</v>
      </c>
      <c r="L904" s="11" t="str">
        <f t="shared" si="15"/>
        <v>Ver Imagen</v>
      </c>
      <c r="M904" t="s">
        <v>15</v>
      </c>
    </row>
    <row r="905" spans="1:13" x14ac:dyDescent="0.25">
      <c r="A905">
        <v>904</v>
      </c>
      <c r="B905" t="s">
        <v>1820</v>
      </c>
      <c r="C905" s="1">
        <v>37.216207537199999</v>
      </c>
      <c r="D905" s="1">
        <v>-7.0848703438999996</v>
      </c>
      <c r="E905" s="3">
        <v>1</v>
      </c>
      <c r="F905" s="2">
        <v>2</v>
      </c>
      <c r="G905" s="4">
        <v>2</v>
      </c>
      <c r="H905" s="13"/>
      <c r="I905" s="15"/>
      <c r="J905" s="19">
        <v>2</v>
      </c>
      <c r="K905" s="2" t="s">
        <v>1821</v>
      </c>
      <c r="L905" s="11" t="str">
        <f t="shared" si="15"/>
        <v>Ver Imagen</v>
      </c>
      <c r="M905" t="s">
        <v>15</v>
      </c>
    </row>
    <row r="906" spans="1:13" x14ac:dyDescent="0.25">
      <c r="A906">
        <v>905</v>
      </c>
      <c r="B906" t="s">
        <v>1822</v>
      </c>
      <c r="C906" s="1">
        <v>37.216228162699998</v>
      </c>
      <c r="D906" s="1">
        <v>-7.0846039271799999</v>
      </c>
      <c r="E906" s="3">
        <v>1</v>
      </c>
      <c r="F906" s="2">
        <v>2</v>
      </c>
      <c r="G906" s="4">
        <v>2</v>
      </c>
      <c r="H906" s="13"/>
      <c r="I906" s="15"/>
      <c r="J906" s="19">
        <v>2</v>
      </c>
      <c r="K906" s="2" t="s">
        <v>1823</v>
      </c>
      <c r="L906" s="11" t="str">
        <f t="shared" si="15"/>
        <v>Ver Imagen</v>
      </c>
      <c r="M906" t="s">
        <v>15</v>
      </c>
    </row>
    <row r="907" spans="1:13" x14ac:dyDescent="0.25">
      <c r="A907">
        <v>906</v>
      </c>
      <c r="B907" t="s">
        <v>1824</v>
      </c>
      <c r="C907" s="1">
        <v>37.215710803900002</v>
      </c>
      <c r="D907" s="1">
        <v>-7.0821882566000003</v>
      </c>
      <c r="E907" s="3">
        <v>1</v>
      </c>
      <c r="F907" s="2">
        <v>2</v>
      </c>
      <c r="G907" s="4">
        <v>2</v>
      </c>
      <c r="H907" s="13"/>
      <c r="I907" s="15"/>
      <c r="J907" s="19">
        <v>2</v>
      </c>
      <c r="K907" s="2" t="s">
        <v>1825</v>
      </c>
      <c r="L907" s="11" t="str">
        <f t="shared" si="15"/>
        <v>Ver Imagen</v>
      </c>
      <c r="M907" t="s">
        <v>15</v>
      </c>
    </row>
    <row r="908" spans="1:13" x14ac:dyDescent="0.25">
      <c r="A908">
        <v>907</v>
      </c>
      <c r="B908" t="s">
        <v>1826</v>
      </c>
      <c r="C908" s="1">
        <v>37.214841423400003</v>
      </c>
      <c r="D908" s="1">
        <v>-7.0788205614999997</v>
      </c>
      <c r="E908" s="3">
        <v>1</v>
      </c>
      <c r="F908" s="2">
        <v>2</v>
      </c>
      <c r="G908" s="4">
        <v>2</v>
      </c>
      <c r="H908" s="13"/>
      <c r="I908" s="15"/>
      <c r="J908" s="19">
        <v>2</v>
      </c>
      <c r="K908" s="2" t="s">
        <v>1827</v>
      </c>
      <c r="L908" s="11" t="str">
        <f t="shared" si="15"/>
        <v>Ver Imagen</v>
      </c>
      <c r="M908" t="s">
        <v>15</v>
      </c>
    </row>
    <row r="909" spans="1:13" x14ac:dyDescent="0.25">
      <c r="A909">
        <v>908</v>
      </c>
      <c r="B909" t="s">
        <v>1828</v>
      </c>
      <c r="C909" s="1">
        <v>37.214793091399997</v>
      </c>
      <c r="D909" s="1">
        <v>-7.0785729676300004</v>
      </c>
      <c r="E909" s="3">
        <v>1</v>
      </c>
      <c r="F909" s="2">
        <v>2</v>
      </c>
      <c r="G909" s="4">
        <v>2</v>
      </c>
      <c r="H909" s="13"/>
      <c r="I909" s="15"/>
      <c r="J909" s="19">
        <v>2</v>
      </c>
      <c r="K909" s="2" t="s">
        <v>1829</v>
      </c>
      <c r="L909" s="11" t="str">
        <f t="shared" si="15"/>
        <v>Ver Imagen</v>
      </c>
      <c r="M909" t="s">
        <v>15</v>
      </c>
    </row>
    <row r="910" spans="1:13" x14ac:dyDescent="0.25">
      <c r="A910">
        <v>909</v>
      </c>
      <c r="B910" t="s">
        <v>1830</v>
      </c>
      <c r="C910" s="1">
        <v>37.214696699999998</v>
      </c>
      <c r="D910" s="1">
        <v>-7.0780679966899998</v>
      </c>
      <c r="E910" s="3">
        <v>1</v>
      </c>
      <c r="F910" s="2">
        <v>2</v>
      </c>
      <c r="G910" s="4">
        <v>2</v>
      </c>
      <c r="H910" s="13"/>
      <c r="I910" s="15"/>
      <c r="J910" s="19">
        <v>2</v>
      </c>
      <c r="K910" s="2" t="s">
        <v>1831</v>
      </c>
      <c r="L910" s="11" t="str">
        <f t="shared" si="15"/>
        <v>Ver Imagen</v>
      </c>
      <c r="M910" t="s">
        <v>15</v>
      </c>
    </row>
    <row r="911" spans="1:13" x14ac:dyDescent="0.25">
      <c r="A911">
        <v>910</v>
      </c>
      <c r="B911" t="s">
        <v>1832</v>
      </c>
      <c r="C911" s="1">
        <v>37.214091681900001</v>
      </c>
      <c r="D911" s="1">
        <v>-7.0748750810800001</v>
      </c>
      <c r="E911" s="3">
        <v>1</v>
      </c>
      <c r="F911" s="2">
        <v>2</v>
      </c>
      <c r="G911" s="4">
        <v>2</v>
      </c>
      <c r="H911" s="13"/>
      <c r="I911" s="15"/>
      <c r="J911" s="19">
        <v>2</v>
      </c>
      <c r="K911" s="2" t="s">
        <v>1833</v>
      </c>
      <c r="L911" s="11" t="str">
        <f t="shared" si="15"/>
        <v>Ver Imagen</v>
      </c>
      <c r="M911" t="s">
        <v>15</v>
      </c>
    </row>
    <row r="912" spans="1:13" x14ac:dyDescent="0.25">
      <c r="A912">
        <v>911</v>
      </c>
      <c r="B912" t="s">
        <v>1834</v>
      </c>
      <c r="C912" s="1">
        <v>37.214048502799997</v>
      </c>
      <c r="D912" s="1">
        <v>-7.0746308482</v>
      </c>
      <c r="E912" s="3">
        <v>1</v>
      </c>
      <c r="F912" s="2">
        <v>2</v>
      </c>
      <c r="G912" s="4">
        <v>2</v>
      </c>
      <c r="H912" s="13"/>
      <c r="I912" s="15"/>
      <c r="J912" s="19">
        <v>2</v>
      </c>
      <c r="K912" s="2" t="s">
        <v>1835</v>
      </c>
      <c r="L912" s="11" t="str">
        <f t="shared" si="15"/>
        <v>Ver Imagen</v>
      </c>
      <c r="M912" t="s">
        <v>15</v>
      </c>
    </row>
    <row r="913" spans="1:13" x14ac:dyDescent="0.25">
      <c r="A913">
        <v>912</v>
      </c>
      <c r="B913" t="s">
        <v>1836</v>
      </c>
      <c r="C913" s="1">
        <v>37.213927566099997</v>
      </c>
      <c r="D913" s="1">
        <v>-7.0739074421000003</v>
      </c>
      <c r="E913" s="3">
        <v>1</v>
      </c>
      <c r="F913" s="2">
        <v>2</v>
      </c>
      <c r="G913" s="4">
        <v>2</v>
      </c>
      <c r="H913" s="13"/>
      <c r="I913" s="15"/>
      <c r="J913" s="19">
        <v>2</v>
      </c>
      <c r="K913" s="2" t="s">
        <v>1837</v>
      </c>
      <c r="L913" s="11" t="str">
        <f t="shared" si="15"/>
        <v>Ver Imagen</v>
      </c>
      <c r="M913" t="s">
        <v>15</v>
      </c>
    </row>
    <row r="914" spans="1:13" x14ac:dyDescent="0.25">
      <c r="A914">
        <v>913</v>
      </c>
      <c r="B914" t="s">
        <v>1838</v>
      </c>
      <c r="C914" s="1">
        <v>37.213894554100001</v>
      </c>
      <c r="D914" s="1">
        <v>-7.0736672714799997</v>
      </c>
      <c r="E914" s="3">
        <v>1</v>
      </c>
      <c r="F914" s="2">
        <v>2</v>
      </c>
      <c r="G914" s="4">
        <v>2</v>
      </c>
      <c r="H914" s="13"/>
      <c r="I914" s="15"/>
      <c r="J914" s="19">
        <v>2</v>
      </c>
      <c r="K914" s="2" t="s">
        <v>1839</v>
      </c>
      <c r="L914" s="11" t="str">
        <f t="shared" si="15"/>
        <v>Ver Imagen</v>
      </c>
      <c r="M914" t="s">
        <v>15</v>
      </c>
    </row>
    <row r="915" spans="1:13" x14ac:dyDescent="0.25">
      <c r="A915">
        <v>914</v>
      </c>
      <c r="B915" t="s">
        <v>1840</v>
      </c>
      <c r="C915" s="1">
        <v>37.2138578932</v>
      </c>
      <c r="D915" s="1">
        <v>-7.0733785330099996</v>
      </c>
      <c r="E915" s="3">
        <v>1</v>
      </c>
      <c r="F915" s="2">
        <v>2</v>
      </c>
      <c r="G915" s="4">
        <v>2</v>
      </c>
      <c r="H915" s="13"/>
      <c r="I915" s="15"/>
      <c r="J915" s="19">
        <v>2</v>
      </c>
      <c r="K915" s="2" t="s">
        <v>1841</v>
      </c>
      <c r="L915" s="11" t="str">
        <f t="shared" si="15"/>
        <v>Ver Imagen</v>
      </c>
      <c r="M915" t="s">
        <v>15</v>
      </c>
    </row>
    <row r="916" spans="1:13" x14ac:dyDescent="0.25">
      <c r="A916">
        <v>915</v>
      </c>
      <c r="B916" t="s">
        <v>1842</v>
      </c>
      <c r="C916" s="1">
        <v>37.213639221900003</v>
      </c>
      <c r="D916" s="1">
        <v>-7.0713674187600004</v>
      </c>
      <c r="E916" s="3">
        <v>1</v>
      </c>
      <c r="F916" s="2">
        <v>2</v>
      </c>
      <c r="G916" s="4">
        <v>2</v>
      </c>
      <c r="H916" s="13"/>
      <c r="I916" s="15"/>
      <c r="J916" s="19">
        <v>2</v>
      </c>
      <c r="K916" s="2" t="s">
        <v>1843</v>
      </c>
      <c r="L916" s="11" t="str">
        <f t="shared" si="15"/>
        <v>Ver Imagen</v>
      </c>
      <c r="M916" t="s">
        <v>15</v>
      </c>
    </row>
    <row r="917" spans="1:13" x14ac:dyDescent="0.25">
      <c r="A917">
        <v>916</v>
      </c>
      <c r="B917" t="s">
        <v>1844</v>
      </c>
      <c r="C917" s="1">
        <v>37.213583560399996</v>
      </c>
      <c r="D917" s="1">
        <v>-7.07085437914</v>
      </c>
      <c r="E917" s="3">
        <v>1</v>
      </c>
      <c r="F917" s="2">
        <v>2</v>
      </c>
      <c r="G917" s="4">
        <v>2</v>
      </c>
      <c r="H917" s="13"/>
      <c r="I917" s="15"/>
      <c r="J917" s="19">
        <v>2</v>
      </c>
      <c r="K917" s="2" t="s">
        <v>1845</v>
      </c>
      <c r="L917" s="11" t="str">
        <f t="shared" si="15"/>
        <v>Ver Imagen</v>
      </c>
      <c r="M917" t="s">
        <v>15</v>
      </c>
    </row>
    <row r="918" spans="1:13" x14ac:dyDescent="0.25">
      <c r="A918">
        <v>917</v>
      </c>
      <c r="B918" t="s">
        <v>1846</v>
      </c>
      <c r="C918" s="1">
        <v>37.213467055400002</v>
      </c>
      <c r="D918" s="1">
        <v>-7.0693931059499997</v>
      </c>
      <c r="E918" s="3">
        <v>1</v>
      </c>
      <c r="F918" s="2">
        <v>2</v>
      </c>
      <c r="G918" s="4">
        <v>2</v>
      </c>
      <c r="H918" s="13"/>
      <c r="I918" s="15"/>
      <c r="J918" s="19">
        <v>2</v>
      </c>
      <c r="K918" s="2" t="s">
        <v>1847</v>
      </c>
      <c r="L918" s="11" t="str">
        <f t="shared" si="15"/>
        <v>Ver Imagen</v>
      </c>
      <c r="M918" t="s">
        <v>15</v>
      </c>
    </row>
    <row r="919" spans="1:13" x14ac:dyDescent="0.25">
      <c r="A919">
        <v>918</v>
      </c>
      <c r="B919" t="s">
        <v>1848</v>
      </c>
      <c r="C919" s="1">
        <v>37.213446159599997</v>
      </c>
      <c r="D919" s="1">
        <v>-7.0688256941300001</v>
      </c>
      <c r="E919" s="3">
        <v>1</v>
      </c>
      <c r="F919" s="2">
        <v>2</v>
      </c>
      <c r="G919" s="4">
        <v>2</v>
      </c>
      <c r="H919" s="13"/>
      <c r="I919" s="15"/>
      <c r="J919" s="19">
        <v>2</v>
      </c>
      <c r="K919" s="2" t="s">
        <v>1849</v>
      </c>
      <c r="L919" s="11" t="str">
        <f t="shared" si="15"/>
        <v>Ver Imagen</v>
      </c>
      <c r="M919" t="s">
        <v>15</v>
      </c>
    </row>
    <row r="920" spans="1:13" x14ac:dyDescent="0.25">
      <c r="A920">
        <v>919</v>
      </c>
      <c r="B920" t="s">
        <v>1850</v>
      </c>
      <c r="C920" s="1">
        <v>37.213436689300003</v>
      </c>
      <c r="D920" s="1">
        <v>-7.0685800699800003</v>
      </c>
      <c r="E920" s="3">
        <v>1</v>
      </c>
      <c r="F920" s="2">
        <v>2</v>
      </c>
      <c r="G920" s="4">
        <v>2</v>
      </c>
      <c r="H920" s="13"/>
      <c r="I920" s="15"/>
      <c r="J920" s="19">
        <v>2</v>
      </c>
      <c r="K920" s="2" t="s">
        <v>1851</v>
      </c>
      <c r="L920" s="11" t="str">
        <f t="shared" si="15"/>
        <v>Ver Imagen</v>
      </c>
      <c r="M920" t="s">
        <v>15</v>
      </c>
    </row>
    <row r="921" spans="1:13" x14ac:dyDescent="0.25">
      <c r="A921">
        <v>920</v>
      </c>
      <c r="B921" t="s">
        <v>1852</v>
      </c>
      <c r="C921" s="1">
        <v>37.2134155886</v>
      </c>
      <c r="D921" s="1">
        <v>-7.0681316409299999</v>
      </c>
      <c r="E921" s="3">
        <v>1</v>
      </c>
      <c r="F921" s="2">
        <v>2</v>
      </c>
      <c r="G921" s="4">
        <v>2</v>
      </c>
      <c r="H921" s="13"/>
      <c r="I921" s="15"/>
      <c r="J921" s="19">
        <v>2</v>
      </c>
      <c r="K921" s="2" t="s">
        <v>1853</v>
      </c>
      <c r="L921" s="11" t="str">
        <f t="shared" si="15"/>
        <v>Ver Imagen</v>
      </c>
      <c r="M921" t="s">
        <v>15</v>
      </c>
    </row>
    <row r="922" spans="1:13" x14ac:dyDescent="0.25">
      <c r="A922">
        <v>921</v>
      </c>
      <c r="B922" t="s">
        <v>1854</v>
      </c>
      <c r="C922" s="1">
        <v>37.213388007900001</v>
      </c>
      <c r="D922" s="1">
        <v>-7.0675920094500002</v>
      </c>
      <c r="E922" s="3">
        <v>1</v>
      </c>
      <c r="F922" s="2">
        <v>2</v>
      </c>
      <c r="G922" s="4">
        <v>2</v>
      </c>
      <c r="H922" s="13"/>
      <c r="I922" s="15"/>
      <c r="J922" s="19">
        <v>2</v>
      </c>
      <c r="K922" s="2" t="s">
        <v>1855</v>
      </c>
      <c r="L922" s="11" t="str">
        <f t="shared" si="15"/>
        <v>Ver Imagen</v>
      </c>
      <c r="M922" t="s">
        <v>15</v>
      </c>
    </row>
    <row r="923" spans="1:13" x14ac:dyDescent="0.25">
      <c r="A923">
        <v>922</v>
      </c>
      <c r="B923" t="s">
        <v>1856</v>
      </c>
      <c r="C923" s="1">
        <v>37.213311796399999</v>
      </c>
      <c r="D923" s="1">
        <v>-7.0656018522800004</v>
      </c>
      <c r="E923" s="3">
        <v>1</v>
      </c>
      <c r="F923" s="2">
        <v>2</v>
      </c>
      <c r="G923" s="4">
        <v>2</v>
      </c>
      <c r="H923" s="13"/>
      <c r="I923" s="15"/>
      <c r="J923" s="19">
        <v>2</v>
      </c>
      <c r="K923" s="2" t="s">
        <v>1857</v>
      </c>
      <c r="L923" s="11" t="str">
        <f t="shared" si="15"/>
        <v>Ver Imagen</v>
      </c>
      <c r="M923" t="s">
        <v>15</v>
      </c>
    </row>
    <row r="924" spans="1:13" x14ac:dyDescent="0.25">
      <c r="A924">
        <v>923</v>
      </c>
      <c r="B924" t="s">
        <v>1858</v>
      </c>
      <c r="C924" s="1">
        <v>37.2120423</v>
      </c>
      <c r="D924" s="1">
        <v>-7.05915699095</v>
      </c>
      <c r="E924" s="3">
        <v>1</v>
      </c>
      <c r="F924" s="2">
        <v>2</v>
      </c>
      <c r="G924" s="4">
        <v>2</v>
      </c>
      <c r="H924" s="13"/>
      <c r="I924" s="15"/>
      <c r="J924" s="19">
        <v>2</v>
      </c>
      <c r="K924" s="2" t="s">
        <v>1859</v>
      </c>
      <c r="L924" s="11" t="str">
        <f t="shared" si="15"/>
        <v>Ver Imagen</v>
      </c>
      <c r="M924" t="s">
        <v>15</v>
      </c>
    </row>
    <row r="925" spans="1:13" x14ac:dyDescent="0.25">
      <c r="A925">
        <v>924</v>
      </c>
      <c r="B925" t="s">
        <v>1860</v>
      </c>
      <c r="C925" s="1">
        <v>37.209942929100002</v>
      </c>
      <c r="D925" s="1">
        <v>-7.0415798907699996</v>
      </c>
      <c r="E925" s="3">
        <v>2</v>
      </c>
      <c r="F925" s="2">
        <v>2</v>
      </c>
      <c r="G925" s="4">
        <v>1</v>
      </c>
      <c r="H925" s="13"/>
      <c r="I925" s="15"/>
      <c r="J925" s="19">
        <v>2</v>
      </c>
      <c r="K925" s="2" t="s">
        <v>1861</v>
      </c>
      <c r="L925" s="11" t="str">
        <f t="shared" si="15"/>
        <v>Ver Imagen</v>
      </c>
      <c r="M925" t="s">
        <v>15</v>
      </c>
    </row>
    <row r="926" spans="1:13" x14ac:dyDescent="0.25">
      <c r="A926">
        <v>925</v>
      </c>
      <c r="B926" t="s">
        <v>1862</v>
      </c>
      <c r="C926" s="1">
        <v>37.209574632100001</v>
      </c>
      <c r="D926" s="1">
        <v>-7.0406090719399996</v>
      </c>
      <c r="E926" s="3">
        <v>2</v>
      </c>
      <c r="F926" s="2">
        <v>2</v>
      </c>
      <c r="G926" s="4">
        <v>1</v>
      </c>
      <c r="H926" s="13"/>
      <c r="I926" s="15"/>
      <c r="J926" s="19">
        <v>2</v>
      </c>
      <c r="K926" s="2" t="s">
        <v>1863</v>
      </c>
      <c r="L926" s="11" t="str">
        <f t="shared" si="15"/>
        <v>Ver Imagen</v>
      </c>
      <c r="M926" t="s">
        <v>15</v>
      </c>
    </row>
    <row r="927" spans="1:13" x14ac:dyDescent="0.25">
      <c r="A927">
        <v>926</v>
      </c>
      <c r="B927" t="s">
        <v>1864</v>
      </c>
      <c r="C927" s="1">
        <v>37.203735338900003</v>
      </c>
      <c r="D927" s="1">
        <v>-7.0254118297200003</v>
      </c>
      <c r="E927" s="3">
        <v>1</v>
      </c>
      <c r="F927" s="2">
        <v>2</v>
      </c>
      <c r="G927" s="4">
        <v>2</v>
      </c>
      <c r="H927" s="13"/>
      <c r="I927" s="15"/>
      <c r="J927" s="19">
        <v>2</v>
      </c>
      <c r="K927" s="2" t="s">
        <v>1865</v>
      </c>
      <c r="L927" s="11" t="str">
        <f t="shared" si="15"/>
        <v>Ver Imagen</v>
      </c>
      <c r="M927" t="s">
        <v>15</v>
      </c>
    </row>
    <row r="928" spans="1:13" x14ac:dyDescent="0.25">
      <c r="A928">
        <v>927</v>
      </c>
      <c r="B928" t="s">
        <v>1866</v>
      </c>
      <c r="C928" s="1">
        <v>37.203633285599999</v>
      </c>
      <c r="D928" s="1">
        <v>-7.02514779992</v>
      </c>
      <c r="E928" s="3">
        <v>1</v>
      </c>
      <c r="F928" s="2">
        <v>2</v>
      </c>
      <c r="G928" s="4">
        <v>2</v>
      </c>
      <c r="H928" s="13"/>
      <c r="I928" s="15"/>
      <c r="J928" s="19">
        <v>2</v>
      </c>
      <c r="K928" s="2" t="s">
        <v>1867</v>
      </c>
      <c r="L928" s="11" t="str">
        <f t="shared" si="15"/>
        <v>Ver Imagen</v>
      </c>
      <c r="M928" t="s">
        <v>15</v>
      </c>
    </row>
    <row r="929" spans="1:13" x14ac:dyDescent="0.25">
      <c r="A929">
        <v>928</v>
      </c>
      <c r="B929" t="s">
        <v>1868</v>
      </c>
      <c r="C929" s="1">
        <v>37.2035556294</v>
      </c>
      <c r="D929" s="1">
        <v>-7.0249483875600003</v>
      </c>
      <c r="E929" s="3">
        <v>1</v>
      </c>
      <c r="F929" s="2">
        <v>2</v>
      </c>
      <c r="G929" s="4">
        <v>2</v>
      </c>
      <c r="H929" s="13"/>
      <c r="I929" s="15"/>
      <c r="J929" s="19">
        <v>2</v>
      </c>
      <c r="K929" s="2" t="s">
        <v>1869</v>
      </c>
      <c r="L929" s="11" t="str">
        <f t="shared" si="15"/>
        <v>Ver Imagen</v>
      </c>
      <c r="M929" t="s">
        <v>15</v>
      </c>
    </row>
    <row r="930" spans="1:13" x14ac:dyDescent="0.25">
      <c r="A930">
        <v>929</v>
      </c>
      <c r="B930" t="s">
        <v>1870</v>
      </c>
      <c r="C930" s="1">
        <v>37.203375146799999</v>
      </c>
      <c r="D930" s="1">
        <v>-7.0244816588600001</v>
      </c>
      <c r="E930" s="3">
        <v>1</v>
      </c>
      <c r="F930" s="2">
        <v>2</v>
      </c>
      <c r="G930" s="4">
        <v>2</v>
      </c>
      <c r="H930" s="13"/>
      <c r="I930" s="15"/>
      <c r="J930" s="19">
        <v>2</v>
      </c>
      <c r="K930" s="2" t="s">
        <v>1871</v>
      </c>
      <c r="L930" s="11" t="str">
        <f t="shared" si="15"/>
        <v>Ver Imagen</v>
      </c>
      <c r="M930" t="s">
        <v>15</v>
      </c>
    </row>
    <row r="931" spans="1:13" x14ac:dyDescent="0.25">
      <c r="A931">
        <v>930</v>
      </c>
      <c r="B931" t="s">
        <v>1872</v>
      </c>
      <c r="C931" s="1">
        <v>37.2032014965</v>
      </c>
      <c r="D931" s="1">
        <v>-7.0240388706500001</v>
      </c>
      <c r="E931" s="3">
        <v>1</v>
      </c>
      <c r="F931" s="2">
        <v>2</v>
      </c>
      <c r="G931" s="4">
        <v>2</v>
      </c>
      <c r="H931" s="13"/>
      <c r="I931" s="15"/>
      <c r="J931" s="19">
        <v>2</v>
      </c>
      <c r="K931" s="2" t="s">
        <v>1873</v>
      </c>
      <c r="L931" s="11" t="str">
        <f t="shared" si="15"/>
        <v>Ver Imagen</v>
      </c>
      <c r="M931" t="s">
        <v>15</v>
      </c>
    </row>
    <row r="932" spans="1:13" x14ac:dyDescent="0.25">
      <c r="A932">
        <v>931</v>
      </c>
      <c r="B932" t="s">
        <v>1874</v>
      </c>
      <c r="C932" s="1">
        <v>37.201899034199997</v>
      </c>
      <c r="D932" s="1">
        <v>-7.0206404647799996</v>
      </c>
      <c r="E932" s="3">
        <v>1</v>
      </c>
      <c r="F932" s="2">
        <v>2</v>
      </c>
      <c r="G932" s="4">
        <v>2</v>
      </c>
      <c r="H932" s="13"/>
      <c r="I932" s="15"/>
      <c r="J932" s="19">
        <v>2</v>
      </c>
      <c r="K932" s="2" t="s">
        <v>1875</v>
      </c>
      <c r="L932" s="11" t="str">
        <f t="shared" si="15"/>
        <v>Ver Imagen</v>
      </c>
      <c r="M932" t="s">
        <v>15</v>
      </c>
    </row>
    <row r="933" spans="1:13" x14ac:dyDescent="0.25">
      <c r="A933">
        <v>932</v>
      </c>
      <c r="B933" t="s">
        <v>1876</v>
      </c>
      <c r="C933" s="1">
        <v>37.2016226995</v>
      </c>
      <c r="D933" s="1">
        <v>-7.0199209051100002</v>
      </c>
      <c r="E933" s="3">
        <v>1</v>
      </c>
      <c r="F933" s="2">
        <v>2</v>
      </c>
      <c r="G933" s="4">
        <v>2</v>
      </c>
      <c r="H933" s="13"/>
      <c r="I933" s="15"/>
      <c r="J933" s="19">
        <v>2</v>
      </c>
      <c r="K933" s="2" t="s">
        <v>1877</v>
      </c>
      <c r="L933" s="11" t="str">
        <f t="shared" si="15"/>
        <v>Ver Imagen</v>
      </c>
      <c r="M933" t="s">
        <v>15</v>
      </c>
    </row>
    <row r="934" spans="1:13" x14ac:dyDescent="0.25">
      <c r="A934">
        <v>933</v>
      </c>
      <c r="B934" t="s">
        <v>1878</v>
      </c>
      <c r="C934" s="1">
        <v>37.2014453424</v>
      </c>
      <c r="D934" s="1">
        <v>-7.0194540185500003</v>
      </c>
      <c r="E934" s="3">
        <v>1</v>
      </c>
      <c r="F934" s="2">
        <v>2</v>
      </c>
      <c r="G934" s="4">
        <v>2</v>
      </c>
      <c r="H934" s="13"/>
      <c r="I934" s="15"/>
      <c r="J934" s="19">
        <v>2</v>
      </c>
      <c r="K934" s="2" t="s">
        <v>1879</v>
      </c>
      <c r="L934" s="11" t="str">
        <f t="shared" si="15"/>
        <v>Ver Imagen</v>
      </c>
      <c r="M934" t="s">
        <v>15</v>
      </c>
    </row>
    <row r="935" spans="1:13" x14ac:dyDescent="0.25">
      <c r="A935">
        <v>934</v>
      </c>
      <c r="B935" t="s">
        <v>1880</v>
      </c>
      <c r="C935" s="1">
        <v>37.201286254000003</v>
      </c>
      <c r="D935" s="1">
        <v>-7.0190337232099997</v>
      </c>
      <c r="E935" s="3">
        <v>1</v>
      </c>
      <c r="F935" s="2">
        <v>2</v>
      </c>
      <c r="G935" s="4">
        <v>2</v>
      </c>
      <c r="H935" s="13"/>
      <c r="I935" s="15"/>
      <c r="J935" s="19">
        <v>2</v>
      </c>
      <c r="K935" s="2" t="s">
        <v>1881</v>
      </c>
      <c r="L935" s="11" t="str">
        <f t="shared" si="15"/>
        <v>Ver Imagen</v>
      </c>
      <c r="M935" t="s">
        <v>15</v>
      </c>
    </row>
    <row r="936" spans="1:13" x14ac:dyDescent="0.25">
      <c r="A936">
        <v>935</v>
      </c>
      <c r="B936" t="s">
        <v>1882</v>
      </c>
      <c r="C936" s="1">
        <v>37.201187577600002</v>
      </c>
      <c r="D936" s="1">
        <v>-7.0187805908299996</v>
      </c>
      <c r="E936" s="3">
        <v>1</v>
      </c>
      <c r="F936" s="2">
        <v>2</v>
      </c>
      <c r="G936" s="4">
        <v>2</v>
      </c>
      <c r="H936" s="13"/>
      <c r="I936" s="15"/>
      <c r="J936" s="19">
        <v>2</v>
      </c>
      <c r="K936" s="2" t="s">
        <v>1883</v>
      </c>
      <c r="L936" s="11" t="str">
        <f t="shared" si="15"/>
        <v>Ver Imagen</v>
      </c>
      <c r="M936" t="s">
        <v>15</v>
      </c>
    </row>
    <row r="937" spans="1:13" x14ac:dyDescent="0.25">
      <c r="A937">
        <v>936</v>
      </c>
      <c r="B937" t="s">
        <v>1884</v>
      </c>
      <c r="C937" s="1">
        <v>37.201103175</v>
      </c>
      <c r="D937" s="1">
        <v>-7.0185639015900003</v>
      </c>
      <c r="E937" s="3">
        <v>1</v>
      </c>
      <c r="F937" s="2">
        <v>2</v>
      </c>
      <c r="G937" s="4">
        <v>2</v>
      </c>
      <c r="H937" s="13"/>
      <c r="I937" s="15"/>
      <c r="J937" s="19">
        <v>2</v>
      </c>
      <c r="K937" s="2" t="s">
        <v>1885</v>
      </c>
      <c r="L937" s="11" t="str">
        <f t="shared" si="15"/>
        <v>Ver Imagen</v>
      </c>
      <c r="M937" t="s">
        <v>15</v>
      </c>
    </row>
    <row r="938" spans="1:13" x14ac:dyDescent="0.25">
      <c r="A938">
        <v>937</v>
      </c>
      <c r="B938" t="s">
        <v>1886</v>
      </c>
      <c r="C938" s="1">
        <v>37.2005817334</v>
      </c>
      <c r="D938" s="1">
        <v>-7.0172115889000004</v>
      </c>
      <c r="E938" s="3">
        <v>1</v>
      </c>
      <c r="F938" s="2">
        <v>2</v>
      </c>
      <c r="G938" s="4">
        <v>2</v>
      </c>
      <c r="H938" s="13"/>
      <c r="I938" s="15"/>
      <c r="J938" s="19">
        <v>2</v>
      </c>
      <c r="K938" s="2" t="s">
        <v>1887</v>
      </c>
      <c r="L938" s="11" t="str">
        <f t="shared" si="15"/>
        <v>Ver Imagen</v>
      </c>
      <c r="M938" t="s">
        <v>15</v>
      </c>
    </row>
    <row r="939" spans="1:13" x14ac:dyDescent="0.25">
      <c r="A939">
        <v>938</v>
      </c>
      <c r="B939" t="s">
        <v>1888</v>
      </c>
      <c r="C939" s="1">
        <v>37.1999578649</v>
      </c>
      <c r="D939" s="1">
        <v>-7.0155802544499997</v>
      </c>
      <c r="E939" s="3">
        <v>1</v>
      </c>
      <c r="F939" s="2">
        <v>2</v>
      </c>
      <c r="G939" s="4">
        <v>2</v>
      </c>
      <c r="H939" s="13"/>
      <c r="I939" s="15"/>
      <c r="J939" s="19">
        <v>2</v>
      </c>
      <c r="K939" s="2" t="s">
        <v>1889</v>
      </c>
      <c r="L939" s="11" t="str">
        <f t="shared" si="15"/>
        <v>Ver Imagen</v>
      </c>
      <c r="M939" t="s">
        <v>15</v>
      </c>
    </row>
    <row r="940" spans="1:13" x14ac:dyDescent="0.25">
      <c r="A940">
        <v>939</v>
      </c>
      <c r="B940" t="s">
        <v>1890</v>
      </c>
      <c r="C940" s="1">
        <v>37.286322060499998</v>
      </c>
      <c r="D940" s="1">
        <v>-7.1416142862900003</v>
      </c>
      <c r="E940" s="3">
        <v>1</v>
      </c>
      <c r="F940" s="2">
        <v>2</v>
      </c>
      <c r="G940" s="4">
        <v>2</v>
      </c>
      <c r="H940" s="13"/>
      <c r="I940" s="15"/>
      <c r="J940" s="19">
        <v>2</v>
      </c>
      <c r="K940" s="2" t="s">
        <v>1891</v>
      </c>
      <c r="L940" s="11" t="str">
        <f t="shared" si="15"/>
        <v>Ver Imagen</v>
      </c>
      <c r="M940" t="s">
        <v>15</v>
      </c>
    </row>
    <row r="941" spans="1:13" x14ac:dyDescent="0.25">
      <c r="A941">
        <v>940</v>
      </c>
      <c r="B941" t="s">
        <v>1892</v>
      </c>
      <c r="C941" s="1">
        <v>37.2859547479</v>
      </c>
      <c r="D941" s="1">
        <v>-7.1419144475399996</v>
      </c>
      <c r="E941" s="3">
        <v>1</v>
      </c>
      <c r="F941" s="2">
        <v>2</v>
      </c>
      <c r="G941" s="4">
        <v>2</v>
      </c>
      <c r="H941" s="13"/>
      <c r="I941" s="15"/>
      <c r="J941" s="19">
        <v>2</v>
      </c>
      <c r="K941" s="2" t="s">
        <v>1893</v>
      </c>
      <c r="L941" s="11" t="str">
        <f t="shared" si="15"/>
        <v>Ver Imagen</v>
      </c>
      <c r="M941" t="s">
        <v>15</v>
      </c>
    </row>
    <row r="942" spans="1:13" x14ac:dyDescent="0.25">
      <c r="A942">
        <v>941</v>
      </c>
      <c r="B942" t="s">
        <v>1894</v>
      </c>
      <c r="C942" s="1">
        <v>37.285820161499998</v>
      </c>
      <c r="D942" s="1">
        <v>-7.1420314753499996</v>
      </c>
      <c r="E942" s="3">
        <v>1</v>
      </c>
      <c r="F942" s="2">
        <v>2</v>
      </c>
      <c r="G942" s="4">
        <v>2</v>
      </c>
      <c r="H942" s="13"/>
      <c r="I942" s="15"/>
      <c r="J942" s="19">
        <v>2</v>
      </c>
      <c r="K942" s="2" t="s">
        <v>1895</v>
      </c>
      <c r="L942" s="11" t="str">
        <f t="shared" si="15"/>
        <v>Ver Imagen</v>
      </c>
      <c r="M942" t="s">
        <v>15</v>
      </c>
    </row>
    <row r="943" spans="1:13" x14ac:dyDescent="0.25">
      <c r="A943">
        <v>942</v>
      </c>
      <c r="B943" t="s">
        <v>1896</v>
      </c>
      <c r="C943" s="1">
        <v>37.285624333999998</v>
      </c>
      <c r="D943" s="1">
        <v>-7.1422024343499997</v>
      </c>
      <c r="E943" s="3">
        <v>1</v>
      </c>
      <c r="F943" s="2">
        <v>2</v>
      </c>
      <c r="G943" s="4">
        <v>2</v>
      </c>
      <c r="H943" s="13"/>
      <c r="I943" s="15"/>
      <c r="J943" s="19">
        <v>2</v>
      </c>
      <c r="K943" s="2" t="s">
        <v>1897</v>
      </c>
      <c r="L943" s="11" t="str">
        <f t="shared" si="15"/>
        <v>Ver Imagen</v>
      </c>
      <c r="M943" t="s">
        <v>15</v>
      </c>
    </row>
    <row r="944" spans="1:13" x14ac:dyDescent="0.25">
      <c r="A944">
        <v>943</v>
      </c>
      <c r="B944" t="s">
        <v>1898</v>
      </c>
      <c r="C944" s="1">
        <v>37.284572744899997</v>
      </c>
      <c r="D944" s="1">
        <v>-7.1431006465299998</v>
      </c>
      <c r="E944" s="3">
        <v>1</v>
      </c>
      <c r="F944" s="2">
        <v>2</v>
      </c>
      <c r="G944" s="4">
        <v>2</v>
      </c>
      <c r="H944" s="13"/>
      <c r="I944" s="15"/>
      <c r="J944" s="19">
        <v>2</v>
      </c>
      <c r="K944" s="2" t="s">
        <v>1899</v>
      </c>
      <c r="L944" s="11" t="str">
        <f t="shared" si="15"/>
        <v>Ver Imagen</v>
      </c>
      <c r="M944" t="s">
        <v>15</v>
      </c>
    </row>
    <row r="945" spans="1:13" x14ac:dyDescent="0.25">
      <c r="A945">
        <v>944</v>
      </c>
      <c r="B945" t="s">
        <v>1900</v>
      </c>
      <c r="C945" s="1">
        <v>37.283833279100001</v>
      </c>
      <c r="D945" s="1">
        <v>-7.1435347349300002</v>
      </c>
      <c r="E945" s="3">
        <v>1</v>
      </c>
      <c r="F945" s="2">
        <v>2</v>
      </c>
      <c r="G945" s="4">
        <v>2</v>
      </c>
      <c r="H945" s="13"/>
      <c r="I945" s="15"/>
      <c r="J945" s="19">
        <v>2</v>
      </c>
      <c r="K945" s="2" t="s">
        <v>1901</v>
      </c>
      <c r="L945" s="11" t="str">
        <f t="shared" si="15"/>
        <v>Ver Imagen</v>
      </c>
      <c r="M945" t="s">
        <v>15</v>
      </c>
    </row>
    <row r="946" spans="1:13" x14ac:dyDescent="0.25">
      <c r="A946">
        <v>945</v>
      </c>
      <c r="B946" t="s">
        <v>1902</v>
      </c>
      <c r="C946" s="1">
        <v>37.283264013699998</v>
      </c>
      <c r="D946" s="1">
        <v>-7.1438194882100001</v>
      </c>
      <c r="E946" s="3">
        <v>1</v>
      </c>
      <c r="F946" s="2">
        <v>2</v>
      </c>
      <c r="G946" s="4">
        <v>2</v>
      </c>
      <c r="H946" s="13"/>
      <c r="I946" s="15"/>
      <c r="J946" s="19">
        <v>2</v>
      </c>
      <c r="K946" s="2" t="s">
        <v>1903</v>
      </c>
      <c r="L946" s="11" t="str">
        <f t="shared" si="15"/>
        <v>Ver Imagen</v>
      </c>
      <c r="M946" t="s">
        <v>15</v>
      </c>
    </row>
    <row r="947" spans="1:13" x14ac:dyDescent="0.25">
      <c r="A947">
        <v>946</v>
      </c>
      <c r="B947" t="s">
        <v>1904</v>
      </c>
      <c r="C947" s="1">
        <v>37.282685751899997</v>
      </c>
      <c r="D947" s="1">
        <v>-7.1440591280200003</v>
      </c>
      <c r="E947" s="3">
        <v>1</v>
      </c>
      <c r="F947" s="2">
        <v>2</v>
      </c>
      <c r="G947" s="4">
        <v>2</v>
      </c>
      <c r="H947" s="13"/>
      <c r="I947" s="15"/>
      <c r="J947" s="19">
        <v>2</v>
      </c>
      <c r="K947" s="2" t="s">
        <v>1905</v>
      </c>
      <c r="L947" s="11" t="str">
        <f t="shared" si="15"/>
        <v>Ver Imagen</v>
      </c>
      <c r="M947" t="s">
        <v>15</v>
      </c>
    </row>
    <row r="948" spans="1:13" x14ac:dyDescent="0.25">
      <c r="A948">
        <v>947</v>
      </c>
      <c r="B948" t="s">
        <v>1906</v>
      </c>
      <c r="C948" s="1">
        <v>37.281912388199999</v>
      </c>
      <c r="D948" s="1">
        <v>-7.1443777001199997</v>
      </c>
      <c r="E948" s="3">
        <v>1</v>
      </c>
      <c r="F948" s="2">
        <v>2</v>
      </c>
      <c r="G948" s="4">
        <v>2</v>
      </c>
      <c r="H948" s="13"/>
      <c r="I948" s="15"/>
      <c r="J948" s="19">
        <v>2</v>
      </c>
      <c r="K948" s="2" t="s">
        <v>1907</v>
      </c>
      <c r="L948" s="11" t="str">
        <f t="shared" si="15"/>
        <v>Ver Imagen</v>
      </c>
      <c r="M948" t="s">
        <v>15</v>
      </c>
    </row>
    <row r="949" spans="1:13" x14ac:dyDescent="0.25">
      <c r="A949">
        <v>948</v>
      </c>
      <c r="B949" t="s">
        <v>1908</v>
      </c>
      <c r="C949" s="1">
        <v>37.281352365099998</v>
      </c>
      <c r="D949" s="1">
        <v>-7.1446630773299997</v>
      </c>
      <c r="E949" s="3">
        <v>1</v>
      </c>
      <c r="F949" s="2">
        <v>2</v>
      </c>
      <c r="G949" s="4">
        <v>2</v>
      </c>
      <c r="H949" s="13"/>
      <c r="I949" s="15"/>
      <c r="J949" s="19">
        <v>2</v>
      </c>
      <c r="K949" s="2" t="s">
        <v>1909</v>
      </c>
      <c r="L949" s="11" t="str">
        <f t="shared" si="15"/>
        <v>Ver Imagen</v>
      </c>
      <c r="M949" t="s">
        <v>15</v>
      </c>
    </row>
    <row r="950" spans="1:13" x14ac:dyDescent="0.25">
      <c r="A950">
        <v>949</v>
      </c>
      <c r="B950" t="s">
        <v>1910</v>
      </c>
      <c r="C950" s="1">
        <v>37.276797180199999</v>
      </c>
      <c r="D950" s="1">
        <v>-7.1431561239899999</v>
      </c>
      <c r="E950" s="3">
        <v>1</v>
      </c>
      <c r="F950" s="2">
        <v>2</v>
      </c>
      <c r="G950" s="4">
        <v>2</v>
      </c>
      <c r="H950" s="13"/>
      <c r="I950" s="15"/>
      <c r="J950" s="19">
        <v>2</v>
      </c>
      <c r="K950" s="2" t="s">
        <v>1911</v>
      </c>
      <c r="L950" s="11" t="str">
        <f t="shared" si="15"/>
        <v>Ver Imagen</v>
      </c>
      <c r="M950" t="s">
        <v>15</v>
      </c>
    </row>
    <row r="951" spans="1:13" x14ac:dyDescent="0.25">
      <c r="A951">
        <v>950</v>
      </c>
      <c r="B951" t="s">
        <v>1912</v>
      </c>
      <c r="C951" s="1">
        <v>37.2501027104</v>
      </c>
      <c r="D951" s="1">
        <v>-7.1272631080400002</v>
      </c>
      <c r="E951" s="3">
        <v>1</v>
      </c>
      <c r="F951" s="2">
        <v>2</v>
      </c>
      <c r="G951" s="4">
        <v>2</v>
      </c>
      <c r="H951" s="13"/>
      <c r="I951" s="15"/>
      <c r="J951" s="19">
        <v>2</v>
      </c>
      <c r="K951" s="2" t="s">
        <v>1913</v>
      </c>
      <c r="L951" s="11" t="str">
        <f t="shared" si="15"/>
        <v>Ver Imagen</v>
      </c>
      <c r="M951" t="s">
        <v>15</v>
      </c>
    </row>
    <row r="952" spans="1:13" x14ac:dyDescent="0.25">
      <c r="A952">
        <v>951</v>
      </c>
      <c r="B952" t="s">
        <v>1914</v>
      </c>
      <c r="C952" s="1">
        <v>37.249944158700004</v>
      </c>
      <c r="D952" s="1">
        <v>-7.1272878837900002</v>
      </c>
      <c r="E952" s="3">
        <v>1</v>
      </c>
      <c r="F952" s="2">
        <v>2</v>
      </c>
      <c r="G952" s="4">
        <v>2</v>
      </c>
      <c r="H952" s="13"/>
      <c r="I952" s="15"/>
      <c r="J952" s="19">
        <v>2</v>
      </c>
      <c r="K952" s="2" t="s">
        <v>1915</v>
      </c>
      <c r="L952" s="11" t="str">
        <f t="shared" si="15"/>
        <v>Ver Imagen</v>
      </c>
      <c r="M952" t="s">
        <v>15</v>
      </c>
    </row>
    <row r="953" spans="1:13" x14ac:dyDescent="0.25">
      <c r="A953">
        <v>952</v>
      </c>
      <c r="B953" t="s">
        <v>1916</v>
      </c>
      <c r="C953" s="1">
        <v>37.244457744199998</v>
      </c>
      <c r="D953" s="1">
        <v>-7.1280998095200001</v>
      </c>
      <c r="E953" s="3">
        <v>1</v>
      </c>
      <c r="F953" s="2">
        <v>2</v>
      </c>
      <c r="G953" s="4">
        <v>2</v>
      </c>
      <c r="H953" s="13"/>
      <c r="I953" s="15"/>
      <c r="J953" s="19">
        <v>2</v>
      </c>
      <c r="K953" s="2" t="s">
        <v>1917</v>
      </c>
      <c r="L953" s="11" t="str">
        <f t="shared" si="15"/>
        <v>Ver Imagen</v>
      </c>
      <c r="M953" t="s">
        <v>15</v>
      </c>
    </row>
    <row r="954" spans="1:13" x14ac:dyDescent="0.25">
      <c r="A954">
        <v>953</v>
      </c>
      <c r="B954" t="s">
        <v>1918</v>
      </c>
      <c r="C954" s="1">
        <v>37.242673832100003</v>
      </c>
      <c r="D954" s="1">
        <v>-7.12836437108</v>
      </c>
      <c r="E954" s="3">
        <v>1</v>
      </c>
      <c r="F954" s="2">
        <v>2</v>
      </c>
      <c r="G954" s="4">
        <v>2</v>
      </c>
      <c r="H954" s="13"/>
      <c r="I954" s="15"/>
      <c r="J954" s="19">
        <v>2</v>
      </c>
      <c r="K954" s="2" t="s">
        <v>1919</v>
      </c>
      <c r="L954" s="11" t="str">
        <f t="shared" si="15"/>
        <v>Ver Imagen</v>
      </c>
      <c r="M954" t="s">
        <v>15</v>
      </c>
    </row>
    <row r="955" spans="1:13" x14ac:dyDescent="0.25">
      <c r="A955">
        <v>954</v>
      </c>
      <c r="B955" t="s">
        <v>1920</v>
      </c>
      <c r="C955" s="1">
        <v>37.242249512599997</v>
      </c>
      <c r="D955" s="1">
        <v>-7.1284303263900002</v>
      </c>
      <c r="E955" s="3">
        <v>1</v>
      </c>
      <c r="F955" s="2">
        <v>2</v>
      </c>
      <c r="G955" s="4">
        <v>2</v>
      </c>
      <c r="H955" s="13"/>
      <c r="I955" s="15"/>
      <c r="J955" s="19">
        <v>2</v>
      </c>
      <c r="K955" s="2" t="s">
        <v>1921</v>
      </c>
      <c r="L955" s="11" t="str">
        <f t="shared" si="15"/>
        <v>Ver Imagen</v>
      </c>
      <c r="M955" t="s">
        <v>15</v>
      </c>
    </row>
    <row r="956" spans="1:13" x14ac:dyDescent="0.25">
      <c r="A956">
        <v>955</v>
      </c>
      <c r="B956" t="s">
        <v>1922</v>
      </c>
      <c r="C956" s="1">
        <v>37.242094838699998</v>
      </c>
      <c r="D956" s="1">
        <v>-7.1284543326999996</v>
      </c>
      <c r="E956" s="3">
        <v>1</v>
      </c>
      <c r="F956" s="2">
        <v>2</v>
      </c>
      <c r="G956" s="4">
        <v>2</v>
      </c>
      <c r="H956" s="13"/>
      <c r="I956" s="15"/>
      <c r="J956" s="19">
        <v>2</v>
      </c>
      <c r="K956" s="2" t="s">
        <v>1923</v>
      </c>
      <c r="L956" s="11" t="str">
        <f t="shared" si="15"/>
        <v>Ver Imagen</v>
      </c>
      <c r="M956" t="s">
        <v>15</v>
      </c>
    </row>
    <row r="957" spans="1:13" x14ac:dyDescent="0.25">
      <c r="A957">
        <v>956</v>
      </c>
      <c r="B957" t="s">
        <v>1924</v>
      </c>
      <c r="C957" s="1">
        <v>37.231071344100002</v>
      </c>
      <c r="D957" s="1">
        <v>-7.1270633910700001</v>
      </c>
      <c r="E957" s="3">
        <v>1</v>
      </c>
      <c r="F957" s="2">
        <v>2</v>
      </c>
      <c r="G957" s="4">
        <v>2</v>
      </c>
      <c r="H957" s="13"/>
      <c r="I957" s="15"/>
      <c r="J957" s="19">
        <v>2</v>
      </c>
      <c r="K957" s="2" t="s">
        <v>1925</v>
      </c>
      <c r="L957" s="11" t="str">
        <f t="shared" si="15"/>
        <v>Ver Imagen</v>
      </c>
      <c r="M957" t="s">
        <v>15</v>
      </c>
    </row>
    <row r="958" spans="1:13" x14ac:dyDescent="0.25">
      <c r="A958">
        <v>957</v>
      </c>
      <c r="B958" t="s">
        <v>1926</v>
      </c>
      <c r="C958" s="1">
        <v>37.443913627000001</v>
      </c>
      <c r="D958" s="1">
        <v>-7.0971681070599999</v>
      </c>
      <c r="E958" s="3">
        <v>2</v>
      </c>
      <c r="F958" s="2">
        <v>2</v>
      </c>
      <c r="G958" s="4">
        <v>1</v>
      </c>
      <c r="H958" s="13"/>
      <c r="I958" s="15"/>
      <c r="J958" s="19">
        <v>2</v>
      </c>
      <c r="K958" s="2" t="s">
        <v>1927</v>
      </c>
      <c r="L958" s="11" t="str">
        <f t="shared" si="15"/>
        <v>Ver Imagen</v>
      </c>
      <c r="M958" t="s">
        <v>15</v>
      </c>
    </row>
    <row r="959" spans="1:13" x14ac:dyDescent="0.25">
      <c r="A959">
        <v>958</v>
      </c>
      <c r="B959" t="s">
        <v>1928</v>
      </c>
      <c r="C959" s="1">
        <v>37.436363500100001</v>
      </c>
      <c r="D959" s="1">
        <v>-7.0780328830999997</v>
      </c>
      <c r="E959" s="3">
        <v>2</v>
      </c>
      <c r="F959" s="2">
        <v>2</v>
      </c>
      <c r="G959" s="4">
        <v>1</v>
      </c>
      <c r="H959" s="13"/>
      <c r="I959" s="15"/>
      <c r="J959" s="19">
        <v>2</v>
      </c>
      <c r="K959" s="2" t="s">
        <v>1929</v>
      </c>
      <c r="L959" s="11" t="str">
        <f t="shared" si="15"/>
        <v>Ver Imagen</v>
      </c>
      <c r="M959" t="s">
        <v>15</v>
      </c>
    </row>
    <row r="960" spans="1:13" x14ac:dyDescent="0.25">
      <c r="A960">
        <v>959</v>
      </c>
      <c r="B960" t="s">
        <v>1930</v>
      </c>
      <c r="C960" s="1">
        <v>37.435696196800002</v>
      </c>
      <c r="D960" s="1">
        <v>-7.0768477561500003</v>
      </c>
      <c r="E960" s="3">
        <v>2</v>
      </c>
      <c r="F960" s="2">
        <v>2</v>
      </c>
      <c r="G960" s="4">
        <v>1</v>
      </c>
      <c r="H960" s="13"/>
      <c r="I960" s="15"/>
      <c r="J960" s="19">
        <v>2</v>
      </c>
      <c r="K960" s="2" t="s">
        <v>1931</v>
      </c>
      <c r="L960" s="11" t="str">
        <f t="shared" si="15"/>
        <v>Ver Imagen</v>
      </c>
      <c r="M960" t="s">
        <v>15</v>
      </c>
    </row>
    <row r="961" spans="1:13" x14ac:dyDescent="0.25">
      <c r="A961">
        <v>960</v>
      </c>
      <c r="B961" t="s">
        <v>1932</v>
      </c>
      <c r="C961" s="1">
        <v>37.435495605600003</v>
      </c>
      <c r="D961" s="1">
        <v>-7.0758173386100003</v>
      </c>
      <c r="E961" s="3">
        <v>2</v>
      </c>
      <c r="F961" s="2">
        <v>2</v>
      </c>
      <c r="G961" s="4">
        <v>1</v>
      </c>
      <c r="H961" s="13"/>
      <c r="I961" s="15"/>
      <c r="J961" s="19">
        <v>2</v>
      </c>
      <c r="K961" s="2" t="s">
        <v>1933</v>
      </c>
      <c r="L961" s="11" t="str">
        <f t="shared" si="15"/>
        <v>Ver Imagen</v>
      </c>
      <c r="M961" t="s">
        <v>15</v>
      </c>
    </row>
    <row r="962" spans="1:13" x14ac:dyDescent="0.25">
      <c r="A962">
        <v>961</v>
      </c>
      <c r="B962" t="s">
        <v>1934</v>
      </c>
      <c r="C962" s="1">
        <v>37.434974728500002</v>
      </c>
      <c r="D962" s="1">
        <v>-7.06979634149</v>
      </c>
      <c r="E962" s="3">
        <v>2</v>
      </c>
      <c r="F962" s="2">
        <v>2</v>
      </c>
      <c r="G962" s="4">
        <v>1</v>
      </c>
      <c r="H962" s="13"/>
      <c r="I962" s="15"/>
      <c r="J962" s="19">
        <v>2</v>
      </c>
      <c r="K962" s="2" t="s">
        <v>1935</v>
      </c>
      <c r="L962" s="11" t="str">
        <f t="shared" si="15"/>
        <v>Ver Imagen</v>
      </c>
      <c r="M962" t="s">
        <v>15</v>
      </c>
    </row>
    <row r="963" spans="1:13" x14ac:dyDescent="0.25">
      <c r="A963">
        <v>962</v>
      </c>
      <c r="B963" t="s">
        <v>1936</v>
      </c>
      <c r="C963" s="1">
        <v>37.433228485400001</v>
      </c>
      <c r="D963" s="1">
        <v>-7.0655163858899996</v>
      </c>
      <c r="E963" s="3">
        <v>2</v>
      </c>
      <c r="F963" s="2">
        <v>2</v>
      </c>
      <c r="G963" s="4">
        <v>1</v>
      </c>
      <c r="H963" s="13"/>
      <c r="I963" s="15"/>
      <c r="J963" s="19">
        <v>2</v>
      </c>
      <c r="K963" s="2" t="s">
        <v>1937</v>
      </c>
      <c r="L963" s="11" t="str">
        <f t="shared" ref="L963:L1026" si="16">HYPERLINK("2\1\" &amp; K963, "Ver Imagen")</f>
        <v>Ver Imagen</v>
      </c>
      <c r="M963" t="s">
        <v>15</v>
      </c>
    </row>
    <row r="964" spans="1:13" x14ac:dyDescent="0.25">
      <c r="A964">
        <v>963</v>
      </c>
      <c r="B964" t="s">
        <v>1938</v>
      </c>
      <c r="C964" s="1">
        <v>37.431507015100003</v>
      </c>
      <c r="D964" s="1">
        <v>-7.0617865275899998</v>
      </c>
      <c r="E964" s="3">
        <v>2</v>
      </c>
      <c r="F964" s="2">
        <v>2</v>
      </c>
      <c r="G964" s="4">
        <v>1</v>
      </c>
      <c r="H964" s="13"/>
      <c r="I964" s="15"/>
      <c r="J964" s="19">
        <v>2</v>
      </c>
      <c r="K964" s="2" t="s">
        <v>1939</v>
      </c>
      <c r="L964" s="11" t="str">
        <f t="shared" si="16"/>
        <v>Ver Imagen</v>
      </c>
      <c r="M964" t="s">
        <v>15</v>
      </c>
    </row>
    <row r="965" spans="1:13" x14ac:dyDescent="0.25">
      <c r="A965">
        <v>964</v>
      </c>
      <c r="B965" t="s">
        <v>1940</v>
      </c>
      <c r="C965" s="1">
        <v>37.470953522099997</v>
      </c>
      <c r="D965" s="1">
        <v>-7.12536677727</v>
      </c>
      <c r="E965" s="3">
        <v>2</v>
      </c>
      <c r="F965" s="2">
        <v>2</v>
      </c>
      <c r="G965" s="4">
        <v>1</v>
      </c>
      <c r="H965" s="13"/>
      <c r="I965" s="15"/>
      <c r="J965" s="19">
        <v>2</v>
      </c>
      <c r="K965" s="2" t="s">
        <v>1941</v>
      </c>
      <c r="L965" s="11" t="str">
        <f t="shared" si="16"/>
        <v>Ver Imagen</v>
      </c>
      <c r="M965" t="s">
        <v>15</v>
      </c>
    </row>
    <row r="966" spans="1:13" x14ac:dyDescent="0.25">
      <c r="A966">
        <v>965</v>
      </c>
      <c r="B966" t="s">
        <v>1942</v>
      </c>
      <c r="C966" s="1">
        <v>37.466590929200002</v>
      </c>
      <c r="D966" s="1">
        <v>-7.1227277882899998</v>
      </c>
      <c r="E966" s="3">
        <v>2</v>
      </c>
      <c r="F966" s="2">
        <v>2</v>
      </c>
      <c r="G966" s="4">
        <v>1</v>
      </c>
      <c r="H966" s="13"/>
      <c r="I966" s="15"/>
      <c r="J966" s="19">
        <v>2</v>
      </c>
      <c r="K966" s="2" t="s">
        <v>1943</v>
      </c>
      <c r="L966" s="11" t="str">
        <f t="shared" si="16"/>
        <v>Ver Imagen</v>
      </c>
      <c r="M966" t="s">
        <v>15</v>
      </c>
    </row>
    <row r="967" spans="1:13" x14ac:dyDescent="0.25">
      <c r="A967">
        <v>966</v>
      </c>
      <c r="B967" t="s">
        <v>1944</v>
      </c>
      <c r="C967" s="1">
        <v>37.466392744899998</v>
      </c>
      <c r="D967" s="1">
        <v>-7.1227199042500002</v>
      </c>
      <c r="E967" s="3">
        <v>2</v>
      </c>
      <c r="F967" s="2">
        <v>2</v>
      </c>
      <c r="G967" s="4">
        <v>1</v>
      </c>
      <c r="H967" s="13"/>
      <c r="I967" s="15"/>
      <c r="J967" s="19">
        <v>2</v>
      </c>
      <c r="K967" s="2" t="s">
        <v>1945</v>
      </c>
      <c r="L967" s="11" t="str">
        <f t="shared" si="16"/>
        <v>Ver Imagen</v>
      </c>
      <c r="M967" t="s">
        <v>15</v>
      </c>
    </row>
    <row r="968" spans="1:13" x14ac:dyDescent="0.25">
      <c r="A968">
        <v>967</v>
      </c>
      <c r="B968" t="s">
        <v>1946</v>
      </c>
      <c r="C968" s="1">
        <v>37.466154998299999</v>
      </c>
      <c r="D968" s="1">
        <v>-7.1227343171699999</v>
      </c>
      <c r="E968" s="3">
        <v>2</v>
      </c>
      <c r="F968" s="2">
        <v>2</v>
      </c>
      <c r="G968" s="4">
        <v>1</v>
      </c>
      <c r="H968" s="13"/>
      <c r="I968" s="15"/>
      <c r="J968" s="19">
        <v>2</v>
      </c>
      <c r="K968" s="2" t="s">
        <v>1947</v>
      </c>
      <c r="L968" s="11" t="str">
        <f t="shared" si="16"/>
        <v>Ver Imagen</v>
      </c>
      <c r="M968" t="s">
        <v>15</v>
      </c>
    </row>
    <row r="969" spans="1:13" x14ac:dyDescent="0.25">
      <c r="A969">
        <v>968</v>
      </c>
      <c r="B969" t="s">
        <v>1948</v>
      </c>
      <c r="C969" s="1">
        <v>37.465025672700001</v>
      </c>
      <c r="D969" s="1">
        <v>-7.1231970584899997</v>
      </c>
      <c r="E969" s="3">
        <v>1</v>
      </c>
      <c r="F969" s="2">
        <v>2</v>
      </c>
      <c r="G969" s="4">
        <v>2</v>
      </c>
      <c r="H969" s="13"/>
      <c r="I969" s="15"/>
      <c r="J969" s="19">
        <v>2</v>
      </c>
      <c r="K969" s="2" t="s">
        <v>1949</v>
      </c>
      <c r="L969" s="11" t="str">
        <f t="shared" si="16"/>
        <v>Ver Imagen</v>
      </c>
      <c r="M969" t="s">
        <v>15</v>
      </c>
    </row>
    <row r="970" spans="1:13" x14ac:dyDescent="0.25">
      <c r="A970">
        <v>969</v>
      </c>
      <c r="B970" t="s">
        <v>1950</v>
      </c>
      <c r="C970" s="1">
        <v>37.464864535499999</v>
      </c>
      <c r="D970" s="1">
        <v>-7.1233059590699996</v>
      </c>
      <c r="E970" s="3">
        <v>1</v>
      </c>
      <c r="F970" s="2">
        <v>2</v>
      </c>
      <c r="G970" s="4">
        <v>2</v>
      </c>
      <c r="H970" s="13"/>
      <c r="I970" s="15"/>
      <c r="J970" s="19">
        <v>2</v>
      </c>
      <c r="K970" s="2" t="s">
        <v>1951</v>
      </c>
      <c r="L970" s="11" t="str">
        <f t="shared" si="16"/>
        <v>Ver Imagen</v>
      </c>
      <c r="M970" t="s">
        <v>15</v>
      </c>
    </row>
    <row r="971" spans="1:13" x14ac:dyDescent="0.25">
      <c r="A971">
        <v>970</v>
      </c>
      <c r="B971" t="s">
        <v>1952</v>
      </c>
      <c r="C971" s="1">
        <v>37.464345316500001</v>
      </c>
      <c r="D971" s="1">
        <v>-7.12365302177</v>
      </c>
      <c r="E971" s="3">
        <v>1</v>
      </c>
      <c r="F971" s="2">
        <v>2</v>
      </c>
      <c r="G971" s="4">
        <v>2</v>
      </c>
      <c r="H971" s="13"/>
      <c r="I971" s="15"/>
      <c r="J971" s="19">
        <v>2</v>
      </c>
      <c r="K971" s="2" t="s">
        <v>1953</v>
      </c>
      <c r="L971" s="11" t="str">
        <f t="shared" si="16"/>
        <v>Ver Imagen</v>
      </c>
      <c r="M971" t="s">
        <v>15</v>
      </c>
    </row>
    <row r="972" spans="1:13" x14ac:dyDescent="0.25">
      <c r="A972">
        <v>971</v>
      </c>
      <c r="B972" t="s">
        <v>1954</v>
      </c>
      <c r="C972" s="1">
        <v>37.4639684769</v>
      </c>
      <c r="D972" s="1">
        <v>-7.1238579255000003</v>
      </c>
      <c r="E972" s="3">
        <v>1</v>
      </c>
      <c r="F972" s="2">
        <v>2</v>
      </c>
      <c r="G972" s="4">
        <v>2</v>
      </c>
      <c r="H972" s="13"/>
      <c r="I972" s="15"/>
      <c r="J972" s="19">
        <v>2</v>
      </c>
      <c r="K972" s="2" t="s">
        <v>1955</v>
      </c>
      <c r="L972" s="11" t="str">
        <f t="shared" si="16"/>
        <v>Ver Imagen</v>
      </c>
      <c r="M972" t="s">
        <v>15</v>
      </c>
    </row>
    <row r="973" spans="1:13" x14ac:dyDescent="0.25">
      <c r="A973">
        <v>972</v>
      </c>
      <c r="B973" t="s">
        <v>1956</v>
      </c>
      <c r="C973" s="1">
        <v>37.463753538699997</v>
      </c>
      <c r="D973" s="1">
        <v>-7.1239537851400003</v>
      </c>
      <c r="E973" s="3">
        <v>1</v>
      </c>
      <c r="F973" s="2">
        <v>2</v>
      </c>
      <c r="G973" s="4">
        <v>2</v>
      </c>
      <c r="H973" s="13"/>
      <c r="I973" s="15"/>
      <c r="J973" s="19">
        <v>2</v>
      </c>
      <c r="K973" s="2" t="s">
        <v>1957</v>
      </c>
      <c r="L973" s="11" t="str">
        <f t="shared" si="16"/>
        <v>Ver Imagen</v>
      </c>
      <c r="M973" t="s">
        <v>15</v>
      </c>
    </row>
    <row r="974" spans="1:13" x14ac:dyDescent="0.25">
      <c r="A974">
        <v>973</v>
      </c>
      <c r="B974" t="s">
        <v>1958</v>
      </c>
      <c r="C974" s="1">
        <v>37.463387346799998</v>
      </c>
      <c r="D974" s="1">
        <v>-7.1240806170399997</v>
      </c>
      <c r="E974" s="3">
        <v>1</v>
      </c>
      <c r="F974" s="2">
        <v>2</v>
      </c>
      <c r="G974" s="4">
        <v>2</v>
      </c>
      <c r="H974" s="13"/>
      <c r="I974" s="15"/>
      <c r="J974" s="19">
        <v>2</v>
      </c>
      <c r="K974" s="2" t="s">
        <v>1959</v>
      </c>
      <c r="L974" s="11" t="str">
        <f t="shared" si="16"/>
        <v>Ver Imagen</v>
      </c>
      <c r="M974" t="s">
        <v>15</v>
      </c>
    </row>
    <row r="975" spans="1:13" x14ac:dyDescent="0.25">
      <c r="A975">
        <v>974</v>
      </c>
      <c r="B975" t="s">
        <v>1960</v>
      </c>
      <c r="C975" s="1">
        <v>37.461755357500003</v>
      </c>
      <c r="D975" s="1">
        <v>-7.12439755708</v>
      </c>
      <c r="E975" s="3">
        <v>1</v>
      </c>
      <c r="F975" s="2">
        <v>2</v>
      </c>
      <c r="G975" s="4">
        <v>2</v>
      </c>
      <c r="H975" s="13"/>
      <c r="I975" s="15"/>
      <c r="J975" s="19">
        <v>2</v>
      </c>
      <c r="K975" s="2" t="s">
        <v>1961</v>
      </c>
      <c r="L975" s="11" t="str">
        <f t="shared" si="16"/>
        <v>Ver Imagen</v>
      </c>
      <c r="M975" t="s">
        <v>15</v>
      </c>
    </row>
    <row r="976" spans="1:13" x14ac:dyDescent="0.25">
      <c r="A976">
        <v>975</v>
      </c>
      <c r="B976" t="s">
        <v>1962</v>
      </c>
      <c r="C976" s="1">
        <v>37.461568341300001</v>
      </c>
      <c r="D976" s="1">
        <v>-7.1244422335099999</v>
      </c>
      <c r="E976" s="3">
        <v>1</v>
      </c>
      <c r="F976" s="2">
        <v>2</v>
      </c>
      <c r="G976" s="4">
        <v>2</v>
      </c>
      <c r="H976" s="13"/>
      <c r="I976" s="15"/>
      <c r="J976" s="19">
        <v>2</v>
      </c>
      <c r="K976" s="2" t="s">
        <v>1963</v>
      </c>
      <c r="L976" s="11" t="str">
        <f t="shared" si="16"/>
        <v>Ver Imagen</v>
      </c>
      <c r="M976" t="s">
        <v>15</v>
      </c>
    </row>
    <row r="977" spans="1:13" x14ac:dyDescent="0.25">
      <c r="A977">
        <v>976</v>
      </c>
      <c r="B977" t="s">
        <v>1964</v>
      </c>
      <c r="C977" s="1">
        <v>37.461375435100003</v>
      </c>
      <c r="D977" s="1">
        <v>-7.1244905548400004</v>
      </c>
      <c r="E977" s="3">
        <v>1</v>
      </c>
      <c r="F977" s="2">
        <v>2</v>
      </c>
      <c r="G977" s="4">
        <v>2</v>
      </c>
      <c r="H977" s="13"/>
      <c r="I977" s="15"/>
      <c r="J977" s="19">
        <v>2</v>
      </c>
      <c r="K977" s="2" t="s">
        <v>1965</v>
      </c>
      <c r="L977" s="11" t="str">
        <f t="shared" si="16"/>
        <v>Ver Imagen</v>
      </c>
      <c r="M977" t="s">
        <v>15</v>
      </c>
    </row>
    <row r="978" spans="1:13" x14ac:dyDescent="0.25">
      <c r="A978">
        <v>977</v>
      </c>
      <c r="B978" t="s">
        <v>1966</v>
      </c>
      <c r="C978" s="1">
        <v>37.461181322199998</v>
      </c>
      <c r="D978" s="1">
        <v>-7.1245407248000001</v>
      </c>
      <c r="E978" s="3">
        <v>1</v>
      </c>
      <c r="F978" s="2">
        <v>2</v>
      </c>
      <c r="G978" s="4">
        <v>2</v>
      </c>
      <c r="H978" s="13"/>
      <c r="I978" s="15"/>
      <c r="J978" s="19">
        <v>2</v>
      </c>
      <c r="K978" s="2" t="s">
        <v>1967</v>
      </c>
      <c r="L978" s="11" t="str">
        <f t="shared" si="16"/>
        <v>Ver Imagen</v>
      </c>
      <c r="M978" t="s">
        <v>15</v>
      </c>
    </row>
    <row r="979" spans="1:13" x14ac:dyDescent="0.25">
      <c r="A979">
        <v>978</v>
      </c>
      <c r="B979" t="s">
        <v>1968</v>
      </c>
      <c r="C979" s="1">
        <v>37.460983808999998</v>
      </c>
      <c r="D979" s="1">
        <v>-7.1245937170499998</v>
      </c>
      <c r="E979" s="3">
        <v>1</v>
      </c>
      <c r="F979" s="2">
        <v>2</v>
      </c>
      <c r="G979" s="4">
        <v>2</v>
      </c>
      <c r="H979" s="13"/>
      <c r="I979" s="15"/>
      <c r="J979" s="19">
        <v>2</v>
      </c>
      <c r="K979" s="2" t="s">
        <v>1969</v>
      </c>
      <c r="L979" s="11" t="str">
        <f t="shared" si="16"/>
        <v>Ver Imagen</v>
      </c>
      <c r="M979" t="s">
        <v>15</v>
      </c>
    </row>
    <row r="980" spans="1:13" x14ac:dyDescent="0.25">
      <c r="A980">
        <v>979</v>
      </c>
      <c r="B980" t="s">
        <v>1970</v>
      </c>
      <c r="C980" s="1">
        <v>37.460186934399999</v>
      </c>
      <c r="D980" s="1">
        <v>-7.1248348366099998</v>
      </c>
      <c r="E980" s="3">
        <v>2</v>
      </c>
      <c r="F980" s="2">
        <v>2</v>
      </c>
      <c r="G980" s="4">
        <v>1</v>
      </c>
      <c r="H980" s="13"/>
      <c r="I980" s="15"/>
      <c r="J980" s="19">
        <v>2</v>
      </c>
      <c r="K980" s="2" t="s">
        <v>1971</v>
      </c>
      <c r="L980" s="11" t="str">
        <f t="shared" si="16"/>
        <v>Ver Imagen</v>
      </c>
      <c r="M980" t="s">
        <v>15</v>
      </c>
    </row>
    <row r="981" spans="1:13" x14ac:dyDescent="0.25">
      <c r="A981">
        <v>980</v>
      </c>
      <c r="B981" t="s">
        <v>1972</v>
      </c>
      <c r="C981" s="1">
        <v>37.459809036499998</v>
      </c>
      <c r="D981" s="1">
        <v>-7.1249633130500003</v>
      </c>
      <c r="E981" s="3">
        <v>1</v>
      </c>
      <c r="F981" s="2">
        <v>2</v>
      </c>
      <c r="G981" s="4">
        <v>2</v>
      </c>
      <c r="H981" s="13"/>
      <c r="I981" s="15"/>
      <c r="J981" s="19">
        <v>2</v>
      </c>
      <c r="K981" s="2" t="s">
        <v>1973</v>
      </c>
      <c r="L981" s="11" t="str">
        <f t="shared" si="16"/>
        <v>Ver Imagen</v>
      </c>
      <c r="M981" t="s">
        <v>15</v>
      </c>
    </row>
    <row r="982" spans="1:13" x14ac:dyDescent="0.25">
      <c r="A982">
        <v>981</v>
      </c>
      <c r="B982" t="s">
        <v>1974</v>
      </c>
      <c r="C982" s="1">
        <v>37.454755151100002</v>
      </c>
      <c r="D982" s="1">
        <v>-7.1268172388800002</v>
      </c>
      <c r="E982" s="3">
        <v>1</v>
      </c>
      <c r="F982" s="2">
        <v>2</v>
      </c>
      <c r="G982" s="4">
        <v>2</v>
      </c>
      <c r="H982" s="13"/>
      <c r="I982" s="15"/>
      <c r="J982" s="19">
        <v>2</v>
      </c>
      <c r="K982" s="2" t="s">
        <v>1975</v>
      </c>
      <c r="L982" s="11" t="str">
        <f t="shared" si="16"/>
        <v>Ver Imagen</v>
      </c>
      <c r="M982" t="s">
        <v>15</v>
      </c>
    </row>
    <row r="983" spans="1:13" x14ac:dyDescent="0.25">
      <c r="A983">
        <v>982</v>
      </c>
      <c r="B983" t="s">
        <v>1976</v>
      </c>
      <c r="C983" s="1">
        <v>37.4539750454</v>
      </c>
      <c r="D983" s="1">
        <v>-7.1270942678300004</v>
      </c>
      <c r="E983" s="3">
        <v>2</v>
      </c>
      <c r="F983" s="2">
        <v>2</v>
      </c>
      <c r="G983" s="4">
        <v>1</v>
      </c>
      <c r="H983" s="13"/>
      <c r="I983" s="15"/>
      <c r="J983" s="19">
        <v>2</v>
      </c>
      <c r="K983" s="2" t="s">
        <v>1977</v>
      </c>
      <c r="L983" s="11" t="str">
        <f t="shared" si="16"/>
        <v>Ver Imagen</v>
      </c>
      <c r="M983" t="s">
        <v>15</v>
      </c>
    </row>
    <row r="984" spans="1:13" x14ac:dyDescent="0.25">
      <c r="A984">
        <v>983</v>
      </c>
      <c r="B984" t="s">
        <v>1978</v>
      </c>
      <c r="C984" s="1">
        <v>37.452572802799999</v>
      </c>
      <c r="D984" s="1">
        <v>-7.12741987315</v>
      </c>
      <c r="E984" s="3">
        <v>1</v>
      </c>
      <c r="F984" s="2">
        <v>2</v>
      </c>
      <c r="G984" s="4">
        <v>2</v>
      </c>
      <c r="H984" s="13"/>
      <c r="I984" s="15"/>
      <c r="J984" s="19">
        <v>2</v>
      </c>
      <c r="K984" s="2" t="s">
        <v>1979</v>
      </c>
      <c r="L984" s="11" t="str">
        <f t="shared" si="16"/>
        <v>Ver Imagen</v>
      </c>
      <c r="M984" t="s">
        <v>15</v>
      </c>
    </row>
    <row r="985" spans="1:13" x14ac:dyDescent="0.25">
      <c r="A985">
        <v>984</v>
      </c>
      <c r="B985" t="s">
        <v>1980</v>
      </c>
      <c r="C985" s="1">
        <v>37.200068449600003</v>
      </c>
      <c r="D985" s="1">
        <v>-6.9867313074400004</v>
      </c>
      <c r="E985" s="3">
        <v>1</v>
      </c>
      <c r="F985" s="2">
        <v>2</v>
      </c>
      <c r="G985" s="4">
        <v>2</v>
      </c>
      <c r="H985" s="13"/>
      <c r="I985" s="15"/>
      <c r="J985" s="19">
        <v>2</v>
      </c>
      <c r="K985" s="2" t="s">
        <v>1981</v>
      </c>
      <c r="L985" s="11" t="str">
        <f t="shared" si="16"/>
        <v>Ver Imagen</v>
      </c>
      <c r="M985" t="s">
        <v>15</v>
      </c>
    </row>
    <row r="986" spans="1:13" x14ac:dyDescent="0.25">
      <c r="A986">
        <v>985</v>
      </c>
      <c r="B986" t="s">
        <v>1982</v>
      </c>
      <c r="C986" s="1">
        <v>37.199994808900001</v>
      </c>
      <c r="D986" s="1">
        <v>-6.9864250986299998</v>
      </c>
      <c r="E986" s="3">
        <v>1</v>
      </c>
      <c r="F986" s="2">
        <v>2</v>
      </c>
      <c r="G986" s="4">
        <v>2</v>
      </c>
      <c r="H986" s="13"/>
      <c r="I986" s="15"/>
      <c r="J986" s="19">
        <v>2</v>
      </c>
      <c r="K986" s="2" t="s">
        <v>1983</v>
      </c>
      <c r="L986" s="11" t="str">
        <f t="shared" si="16"/>
        <v>Ver Imagen</v>
      </c>
      <c r="M986" t="s">
        <v>15</v>
      </c>
    </row>
    <row r="987" spans="1:13" x14ac:dyDescent="0.25">
      <c r="A987">
        <v>986</v>
      </c>
      <c r="B987" t="s">
        <v>1984</v>
      </c>
      <c r="C987" s="1">
        <v>37.199915176399998</v>
      </c>
      <c r="D987" s="1">
        <v>-6.9861007690300001</v>
      </c>
      <c r="E987" s="3">
        <v>1</v>
      </c>
      <c r="F987" s="2">
        <v>2</v>
      </c>
      <c r="G987" s="4">
        <v>2</v>
      </c>
      <c r="H987" s="13"/>
      <c r="I987" s="15"/>
      <c r="J987" s="19">
        <v>2</v>
      </c>
      <c r="K987" s="2" t="s">
        <v>1985</v>
      </c>
      <c r="L987" s="11" t="str">
        <f t="shared" si="16"/>
        <v>Ver Imagen</v>
      </c>
      <c r="M987" t="s">
        <v>15</v>
      </c>
    </row>
    <row r="988" spans="1:13" x14ac:dyDescent="0.25">
      <c r="A988">
        <v>987</v>
      </c>
      <c r="B988" t="s">
        <v>1986</v>
      </c>
      <c r="C988" s="1">
        <v>37.199864749699998</v>
      </c>
      <c r="D988" s="1">
        <v>-6.9858973125299997</v>
      </c>
      <c r="E988" s="3">
        <v>1</v>
      </c>
      <c r="F988" s="2">
        <v>2</v>
      </c>
      <c r="G988" s="4">
        <v>2</v>
      </c>
      <c r="H988" s="13"/>
      <c r="I988" s="15"/>
      <c r="J988" s="19">
        <v>2</v>
      </c>
      <c r="K988" s="2" t="s">
        <v>1987</v>
      </c>
      <c r="L988" s="11" t="str">
        <f t="shared" si="16"/>
        <v>Ver Imagen</v>
      </c>
      <c r="M988" t="s">
        <v>15</v>
      </c>
    </row>
    <row r="989" spans="1:13" x14ac:dyDescent="0.25">
      <c r="A989">
        <v>988</v>
      </c>
      <c r="B989" t="s">
        <v>1988</v>
      </c>
      <c r="C989" s="1">
        <v>37.199820908200003</v>
      </c>
      <c r="D989" s="1">
        <v>-6.9857213946399996</v>
      </c>
      <c r="E989" s="3">
        <v>1</v>
      </c>
      <c r="F989" s="2">
        <v>2</v>
      </c>
      <c r="G989" s="4">
        <v>2</v>
      </c>
      <c r="H989" s="13"/>
      <c r="I989" s="15"/>
      <c r="J989" s="19">
        <v>2</v>
      </c>
      <c r="K989" s="2" t="s">
        <v>1989</v>
      </c>
      <c r="L989" s="11" t="str">
        <f t="shared" si="16"/>
        <v>Ver Imagen</v>
      </c>
      <c r="M989" t="s">
        <v>15</v>
      </c>
    </row>
    <row r="990" spans="1:13" x14ac:dyDescent="0.25">
      <c r="A990">
        <v>989</v>
      </c>
      <c r="B990" t="s">
        <v>1990</v>
      </c>
      <c r="C990" s="1">
        <v>37.199746941299999</v>
      </c>
      <c r="D990" s="1">
        <v>-6.9854297583699996</v>
      </c>
      <c r="E990" s="3">
        <v>1</v>
      </c>
      <c r="F990" s="2">
        <v>2</v>
      </c>
      <c r="G990" s="4">
        <v>2</v>
      </c>
      <c r="H990" s="13"/>
      <c r="I990" s="15"/>
      <c r="J990" s="19">
        <v>2</v>
      </c>
      <c r="K990" s="2" t="s">
        <v>1991</v>
      </c>
      <c r="L990" s="11" t="str">
        <f t="shared" si="16"/>
        <v>Ver Imagen</v>
      </c>
      <c r="M990" t="s">
        <v>15</v>
      </c>
    </row>
    <row r="991" spans="1:13" x14ac:dyDescent="0.25">
      <c r="A991">
        <v>990</v>
      </c>
      <c r="B991" t="s">
        <v>1992</v>
      </c>
      <c r="C991" s="1">
        <v>37.199687294900002</v>
      </c>
      <c r="D991" s="1">
        <v>-6.98519962575</v>
      </c>
      <c r="E991" s="3">
        <v>1</v>
      </c>
      <c r="F991" s="2">
        <v>2</v>
      </c>
      <c r="G991" s="4">
        <v>2</v>
      </c>
      <c r="H991" s="13"/>
      <c r="I991" s="15"/>
      <c r="J991" s="19">
        <v>2</v>
      </c>
      <c r="K991" s="2" t="s">
        <v>1993</v>
      </c>
      <c r="L991" s="11" t="str">
        <f t="shared" si="16"/>
        <v>Ver Imagen</v>
      </c>
      <c r="M991" t="s">
        <v>15</v>
      </c>
    </row>
    <row r="992" spans="1:13" x14ac:dyDescent="0.25">
      <c r="A992">
        <v>991</v>
      </c>
      <c r="B992" t="s">
        <v>1994</v>
      </c>
      <c r="C992" s="1">
        <v>37.199351390799997</v>
      </c>
      <c r="D992" s="1">
        <v>-6.9839618860200003</v>
      </c>
      <c r="E992" s="3">
        <v>1</v>
      </c>
      <c r="F992" s="2">
        <v>2</v>
      </c>
      <c r="G992" s="4">
        <v>2</v>
      </c>
      <c r="H992" s="13"/>
      <c r="I992" s="15"/>
      <c r="J992" s="19">
        <v>2</v>
      </c>
      <c r="K992" s="2" t="s">
        <v>1995</v>
      </c>
      <c r="L992" s="11" t="str">
        <f t="shared" si="16"/>
        <v>Ver Imagen</v>
      </c>
      <c r="M992" t="s">
        <v>15</v>
      </c>
    </row>
    <row r="993" spans="1:13" x14ac:dyDescent="0.25">
      <c r="A993">
        <v>992</v>
      </c>
      <c r="B993" t="s">
        <v>1996</v>
      </c>
      <c r="C993" s="1">
        <v>37.199283083700003</v>
      </c>
      <c r="D993" s="1">
        <v>-6.9837301168600003</v>
      </c>
      <c r="E993" s="3">
        <v>1</v>
      </c>
      <c r="F993" s="2">
        <v>2</v>
      </c>
      <c r="G993" s="4">
        <v>2</v>
      </c>
      <c r="H993" s="13"/>
      <c r="I993" s="15"/>
      <c r="J993" s="19">
        <v>2</v>
      </c>
      <c r="K993" s="2" t="s">
        <v>1997</v>
      </c>
      <c r="L993" s="11" t="str">
        <f t="shared" si="16"/>
        <v>Ver Imagen</v>
      </c>
      <c r="M993" t="s">
        <v>15</v>
      </c>
    </row>
    <row r="994" spans="1:13" x14ac:dyDescent="0.25">
      <c r="A994">
        <v>993</v>
      </c>
      <c r="B994" t="s">
        <v>1998</v>
      </c>
      <c r="C994" s="1">
        <v>37.199211634599997</v>
      </c>
      <c r="D994" s="1">
        <v>-6.9834969786599999</v>
      </c>
      <c r="E994" s="3">
        <v>1</v>
      </c>
      <c r="F994" s="2">
        <v>2</v>
      </c>
      <c r="G994" s="4">
        <v>2</v>
      </c>
      <c r="H994" s="13"/>
      <c r="I994" s="15"/>
      <c r="J994" s="19">
        <v>2</v>
      </c>
      <c r="K994" s="2" t="s">
        <v>1999</v>
      </c>
      <c r="L994" s="11" t="str">
        <f t="shared" si="16"/>
        <v>Ver Imagen</v>
      </c>
      <c r="M994" t="s">
        <v>15</v>
      </c>
    </row>
    <row r="995" spans="1:13" x14ac:dyDescent="0.25">
      <c r="A995">
        <v>994</v>
      </c>
      <c r="B995" t="s">
        <v>2000</v>
      </c>
      <c r="C995" s="1">
        <v>37.199150097699999</v>
      </c>
      <c r="D995" s="1">
        <v>-6.9833024099900003</v>
      </c>
      <c r="E995" s="3">
        <v>1</v>
      </c>
      <c r="F995" s="2">
        <v>2</v>
      </c>
      <c r="G995" s="4">
        <v>2</v>
      </c>
      <c r="H995" s="13"/>
      <c r="I995" s="15"/>
      <c r="J995" s="19">
        <v>2</v>
      </c>
      <c r="K995" s="2" t="s">
        <v>2001</v>
      </c>
      <c r="L995" s="11" t="str">
        <f t="shared" si="16"/>
        <v>Ver Imagen</v>
      </c>
      <c r="M995" t="s">
        <v>15</v>
      </c>
    </row>
    <row r="996" spans="1:13" x14ac:dyDescent="0.25">
      <c r="A996">
        <v>995</v>
      </c>
      <c r="B996" t="s">
        <v>2002</v>
      </c>
      <c r="C996" s="1">
        <v>37.267379224300001</v>
      </c>
      <c r="D996" s="1">
        <v>-6.95897718337</v>
      </c>
      <c r="E996" s="3">
        <v>1</v>
      </c>
      <c r="F996" s="2">
        <v>2</v>
      </c>
      <c r="G996" s="4">
        <v>2</v>
      </c>
      <c r="H996" s="13"/>
      <c r="I996" s="15"/>
      <c r="J996" s="19">
        <v>2</v>
      </c>
      <c r="K996" s="2" t="s">
        <v>2003</v>
      </c>
      <c r="L996" s="11" t="str">
        <f t="shared" si="16"/>
        <v>Ver Imagen</v>
      </c>
      <c r="M996" t="s">
        <v>15</v>
      </c>
    </row>
    <row r="997" spans="1:13" x14ac:dyDescent="0.25">
      <c r="A997">
        <v>996</v>
      </c>
      <c r="B997" t="s">
        <v>2004</v>
      </c>
      <c r="C997" s="1">
        <v>37.267408044900002</v>
      </c>
      <c r="D997" s="1">
        <v>-6.9592451206000003</v>
      </c>
      <c r="E997" s="3">
        <v>1</v>
      </c>
      <c r="F997" s="2">
        <v>2</v>
      </c>
      <c r="G997" s="4">
        <v>2</v>
      </c>
      <c r="H997" s="13"/>
      <c r="I997" s="15"/>
      <c r="J997" s="19">
        <v>2</v>
      </c>
      <c r="K997" s="2" t="s">
        <v>2005</v>
      </c>
      <c r="L997" s="11" t="str">
        <f t="shared" si="16"/>
        <v>Ver Imagen</v>
      </c>
      <c r="M997" t="s">
        <v>15</v>
      </c>
    </row>
    <row r="998" spans="1:13" x14ac:dyDescent="0.25">
      <c r="A998">
        <v>997</v>
      </c>
      <c r="B998" t="s">
        <v>2006</v>
      </c>
      <c r="C998" s="1">
        <v>37.267496792800003</v>
      </c>
      <c r="D998" s="1">
        <v>-6.9600120463000001</v>
      </c>
      <c r="E998" s="3">
        <v>1</v>
      </c>
      <c r="F998" s="2">
        <v>2</v>
      </c>
      <c r="G998" s="4">
        <v>2</v>
      </c>
      <c r="H998" s="13"/>
      <c r="I998" s="15"/>
      <c r="J998" s="19">
        <v>2</v>
      </c>
      <c r="K998" s="2" t="s">
        <v>2007</v>
      </c>
      <c r="L998" s="11" t="str">
        <f t="shared" si="16"/>
        <v>Ver Imagen</v>
      </c>
      <c r="M998" t="s">
        <v>15</v>
      </c>
    </row>
    <row r="999" spans="1:13" x14ac:dyDescent="0.25">
      <c r="A999">
        <v>998</v>
      </c>
      <c r="B999" t="s">
        <v>2008</v>
      </c>
      <c r="C999" s="1">
        <v>37.2675217022</v>
      </c>
      <c r="D999" s="1">
        <v>-6.9602834109299998</v>
      </c>
      <c r="E999" s="3">
        <v>1</v>
      </c>
      <c r="F999" s="2">
        <v>2</v>
      </c>
      <c r="G999" s="4">
        <v>2</v>
      </c>
      <c r="H999" s="13"/>
      <c r="I999" s="15"/>
      <c r="J999" s="19">
        <v>2</v>
      </c>
      <c r="K999" s="2" t="s">
        <v>2009</v>
      </c>
      <c r="L999" s="11" t="str">
        <f t="shared" si="16"/>
        <v>Ver Imagen</v>
      </c>
      <c r="M999" t="s">
        <v>15</v>
      </c>
    </row>
    <row r="1000" spans="1:13" x14ac:dyDescent="0.25">
      <c r="A1000">
        <v>999</v>
      </c>
      <c r="B1000" t="s">
        <v>2010</v>
      </c>
      <c r="C1000" s="1">
        <v>37.2675379537</v>
      </c>
      <c r="D1000" s="1">
        <v>-6.9605118313499998</v>
      </c>
      <c r="E1000" s="3">
        <v>1</v>
      </c>
      <c r="F1000" s="2">
        <v>2</v>
      </c>
      <c r="G1000" s="4">
        <v>2</v>
      </c>
      <c r="H1000" s="13"/>
      <c r="I1000" s="15"/>
      <c r="J1000" s="19">
        <v>2</v>
      </c>
      <c r="K1000" s="2" t="s">
        <v>2011</v>
      </c>
      <c r="L1000" s="11" t="str">
        <f t="shared" si="16"/>
        <v>Ver Imagen</v>
      </c>
      <c r="M1000" t="s">
        <v>15</v>
      </c>
    </row>
    <row r="1001" spans="1:13" x14ac:dyDescent="0.25">
      <c r="A1001">
        <v>1000</v>
      </c>
      <c r="B1001" t="s">
        <v>2012</v>
      </c>
      <c r="C1001" s="1">
        <v>37.267553214800003</v>
      </c>
      <c r="D1001" s="1">
        <v>-6.9607884808199998</v>
      </c>
      <c r="E1001" s="3">
        <v>1</v>
      </c>
      <c r="F1001" s="2">
        <v>2</v>
      </c>
      <c r="G1001" s="4">
        <v>2</v>
      </c>
      <c r="H1001" s="13"/>
      <c r="I1001" s="15"/>
      <c r="J1001" s="19">
        <v>2</v>
      </c>
      <c r="K1001" s="2" t="s">
        <v>2013</v>
      </c>
      <c r="L1001" s="11" t="str">
        <f t="shared" si="16"/>
        <v>Ver Imagen</v>
      </c>
      <c r="M1001" t="s">
        <v>15</v>
      </c>
    </row>
    <row r="1002" spans="1:13" x14ac:dyDescent="0.25">
      <c r="A1002">
        <v>1001</v>
      </c>
      <c r="B1002" t="s">
        <v>2014</v>
      </c>
      <c r="C1002" s="1">
        <v>37.267564118400003</v>
      </c>
      <c r="D1002" s="1">
        <v>-6.9610344559500001</v>
      </c>
      <c r="E1002" s="3">
        <v>1</v>
      </c>
      <c r="F1002" s="2">
        <v>2</v>
      </c>
      <c r="G1002" s="4">
        <v>2</v>
      </c>
      <c r="H1002" s="13"/>
      <c r="I1002" s="15"/>
      <c r="J1002" s="19">
        <v>2</v>
      </c>
      <c r="K1002" s="2" t="s">
        <v>2015</v>
      </c>
      <c r="L1002" s="11" t="str">
        <f t="shared" si="16"/>
        <v>Ver Imagen</v>
      </c>
      <c r="M1002" t="s">
        <v>15</v>
      </c>
    </row>
    <row r="1003" spans="1:13" x14ac:dyDescent="0.25">
      <c r="A1003">
        <v>1002</v>
      </c>
      <c r="B1003" t="s">
        <v>2016</v>
      </c>
      <c r="C1003" s="1">
        <v>37.267572813000001</v>
      </c>
      <c r="D1003" s="1">
        <v>-6.9612560559399999</v>
      </c>
      <c r="E1003" s="3">
        <v>1</v>
      </c>
      <c r="F1003" s="2">
        <v>2</v>
      </c>
      <c r="G1003" s="4">
        <v>2</v>
      </c>
      <c r="H1003" s="13"/>
      <c r="I1003" s="15"/>
      <c r="J1003" s="19">
        <v>2</v>
      </c>
      <c r="K1003" s="2" t="s">
        <v>2017</v>
      </c>
      <c r="L1003" s="11" t="str">
        <f t="shared" si="16"/>
        <v>Ver Imagen</v>
      </c>
      <c r="M1003" t="s">
        <v>15</v>
      </c>
    </row>
    <row r="1004" spans="1:13" x14ac:dyDescent="0.25">
      <c r="A1004">
        <v>1003</v>
      </c>
      <c r="B1004" t="s">
        <v>2018</v>
      </c>
      <c r="C1004" s="1">
        <v>37.267580511699997</v>
      </c>
      <c r="D1004" s="1">
        <v>-6.9614844843999997</v>
      </c>
      <c r="E1004" s="3">
        <v>1</v>
      </c>
      <c r="F1004" s="2">
        <v>2</v>
      </c>
      <c r="G1004" s="4">
        <v>2</v>
      </c>
      <c r="H1004" s="13"/>
      <c r="I1004" s="15"/>
      <c r="J1004" s="19">
        <v>2</v>
      </c>
      <c r="K1004" s="2" t="s">
        <v>2019</v>
      </c>
      <c r="L1004" s="11" t="str">
        <f t="shared" si="16"/>
        <v>Ver Imagen</v>
      </c>
      <c r="M1004" t="s">
        <v>15</v>
      </c>
    </row>
    <row r="1005" spans="1:13" x14ac:dyDescent="0.25">
      <c r="A1005">
        <v>1004</v>
      </c>
      <c r="B1005" t="s">
        <v>2020</v>
      </c>
      <c r="C1005" s="1">
        <v>37.188584755699999</v>
      </c>
      <c r="D1005" s="1">
        <v>-6.9783336180399997</v>
      </c>
      <c r="E1005" s="3">
        <v>1</v>
      </c>
      <c r="F1005" s="2">
        <v>2</v>
      </c>
      <c r="G1005" s="4">
        <v>2</v>
      </c>
      <c r="H1005" s="13"/>
      <c r="I1005" s="15"/>
      <c r="J1005" s="19">
        <v>2</v>
      </c>
      <c r="K1005" s="2" t="s">
        <v>2021</v>
      </c>
      <c r="L1005" s="11" t="str">
        <f t="shared" si="16"/>
        <v>Ver Imagen</v>
      </c>
      <c r="M1005" t="s">
        <v>15</v>
      </c>
    </row>
    <row r="1006" spans="1:13" x14ac:dyDescent="0.25">
      <c r="A1006">
        <v>1005</v>
      </c>
      <c r="B1006" t="s">
        <v>2022</v>
      </c>
      <c r="C1006" s="1">
        <v>37.188786118499998</v>
      </c>
      <c r="D1006" s="1">
        <v>-6.97829079026</v>
      </c>
      <c r="E1006" s="3">
        <v>1</v>
      </c>
      <c r="F1006" s="2">
        <v>2</v>
      </c>
      <c r="G1006" s="4">
        <v>2</v>
      </c>
      <c r="H1006" s="13"/>
      <c r="I1006" s="15"/>
      <c r="J1006" s="19">
        <v>2</v>
      </c>
      <c r="K1006" s="2" t="s">
        <v>2023</v>
      </c>
      <c r="L1006" s="11" t="str">
        <f t="shared" si="16"/>
        <v>Ver Imagen</v>
      </c>
      <c r="M1006" t="s">
        <v>15</v>
      </c>
    </row>
    <row r="1007" spans="1:13" x14ac:dyDescent="0.25">
      <c r="A1007">
        <v>1006</v>
      </c>
      <c r="B1007" t="s">
        <v>2024</v>
      </c>
      <c r="C1007" s="1">
        <v>37.189012308099997</v>
      </c>
      <c r="D1007" s="1">
        <v>-6.9782329300199999</v>
      </c>
      <c r="E1007" s="3">
        <v>1</v>
      </c>
      <c r="F1007" s="2">
        <v>2</v>
      </c>
      <c r="G1007" s="4">
        <v>2</v>
      </c>
      <c r="H1007" s="13"/>
      <c r="I1007" s="15"/>
      <c r="J1007" s="19">
        <v>2</v>
      </c>
      <c r="K1007" s="2" t="s">
        <v>2025</v>
      </c>
      <c r="L1007" s="11" t="str">
        <f t="shared" si="16"/>
        <v>Ver Imagen</v>
      </c>
      <c r="M1007" t="s">
        <v>15</v>
      </c>
    </row>
    <row r="1008" spans="1:13" x14ac:dyDescent="0.25">
      <c r="A1008">
        <v>1007</v>
      </c>
      <c r="B1008" t="s">
        <v>2026</v>
      </c>
      <c r="C1008" s="1">
        <v>37.1891667895</v>
      </c>
      <c r="D1008" s="1">
        <v>-6.9781906862499996</v>
      </c>
      <c r="E1008" s="3">
        <v>1</v>
      </c>
      <c r="F1008" s="2">
        <v>2</v>
      </c>
      <c r="G1008" s="4">
        <v>2</v>
      </c>
      <c r="H1008" s="13"/>
      <c r="I1008" s="15"/>
      <c r="J1008" s="19">
        <v>2</v>
      </c>
      <c r="K1008" s="2" t="s">
        <v>2027</v>
      </c>
      <c r="L1008" s="11" t="str">
        <f t="shared" si="16"/>
        <v>Ver Imagen</v>
      </c>
      <c r="M1008" t="s">
        <v>15</v>
      </c>
    </row>
    <row r="1009" spans="1:13" x14ac:dyDescent="0.25">
      <c r="A1009">
        <v>1008</v>
      </c>
      <c r="B1009" t="s">
        <v>2028</v>
      </c>
      <c r="C1009" s="1">
        <v>37.189361601199998</v>
      </c>
      <c r="D1009" s="1">
        <v>-6.9781358986499997</v>
      </c>
      <c r="E1009" s="3">
        <v>1</v>
      </c>
      <c r="F1009" s="2">
        <v>2</v>
      </c>
      <c r="G1009" s="4">
        <v>2</v>
      </c>
      <c r="H1009" s="13"/>
      <c r="I1009" s="15"/>
      <c r="J1009" s="19">
        <v>2</v>
      </c>
      <c r="K1009" s="2" t="s">
        <v>2029</v>
      </c>
      <c r="L1009" s="11" t="str">
        <f t="shared" si="16"/>
        <v>Ver Imagen</v>
      </c>
      <c r="M1009" t="s">
        <v>15</v>
      </c>
    </row>
    <row r="1010" spans="1:13" x14ac:dyDescent="0.25">
      <c r="A1010">
        <v>1009</v>
      </c>
      <c r="B1010" t="s">
        <v>2030</v>
      </c>
      <c r="C1010" s="1">
        <v>37.189590776499998</v>
      </c>
      <c r="D1010" s="1">
        <v>-6.9780708154199997</v>
      </c>
      <c r="E1010" s="3">
        <v>1</v>
      </c>
      <c r="F1010" s="2">
        <v>2</v>
      </c>
      <c r="G1010" s="4">
        <v>2</v>
      </c>
      <c r="H1010" s="13"/>
      <c r="I1010" s="15"/>
      <c r="J1010" s="19">
        <v>2</v>
      </c>
      <c r="K1010" s="2" t="s">
        <v>2031</v>
      </c>
      <c r="L1010" s="11" t="str">
        <f t="shared" si="16"/>
        <v>Ver Imagen</v>
      </c>
      <c r="M1010" t="s">
        <v>15</v>
      </c>
    </row>
    <row r="1011" spans="1:13" x14ac:dyDescent="0.25">
      <c r="A1011">
        <v>1010</v>
      </c>
      <c r="B1011" t="s">
        <v>2032</v>
      </c>
      <c r="C1011" s="1">
        <v>37.189795941100002</v>
      </c>
      <c r="D1011" s="1">
        <v>-6.9780139740799996</v>
      </c>
      <c r="E1011" s="3">
        <v>1</v>
      </c>
      <c r="F1011" s="2">
        <v>2</v>
      </c>
      <c r="G1011" s="4">
        <v>2</v>
      </c>
      <c r="H1011" s="13"/>
      <c r="I1011" s="15"/>
      <c r="J1011" s="19">
        <v>2</v>
      </c>
      <c r="K1011" s="2" t="s">
        <v>2033</v>
      </c>
      <c r="L1011" s="11" t="str">
        <f t="shared" si="16"/>
        <v>Ver Imagen</v>
      </c>
      <c r="M1011" t="s">
        <v>15</v>
      </c>
    </row>
    <row r="1012" spans="1:13" x14ac:dyDescent="0.25">
      <c r="A1012">
        <v>1011</v>
      </c>
      <c r="B1012" t="s">
        <v>2034</v>
      </c>
      <c r="C1012" s="1">
        <v>37.1899890376</v>
      </c>
      <c r="D1012" s="1">
        <v>-6.9779613306900004</v>
      </c>
      <c r="E1012" s="3">
        <v>1</v>
      </c>
      <c r="F1012" s="2">
        <v>2</v>
      </c>
      <c r="G1012" s="4">
        <v>2</v>
      </c>
      <c r="H1012" s="13"/>
      <c r="I1012" s="15"/>
      <c r="J1012" s="19">
        <v>2</v>
      </c>
      <c r="K1012" s="2" t="s">
        <v>2035</v>
      </c>
      <c r="L1012" s="11" t="str">
        <f t="shared" si="16"/>
        <v>Ver Imagen</v>
      </c>
      <c r="M1012" t="s">
        <v>15</v>
      </c>
    </row>
    <row r="1013" spans="1:13" x14ac:dyDescent="0.25">
      <c r="A1013">
        <v>1012</v>
      </c>
      <c r="B1013" t="s">
        <v>2036</v>
      </c>
      <c r="C1013" s="1">
        <v>37.265568280700002</v>
      </c>
      <c r="D1013" s="1">
        <v>-6.9956934190500002</v>
      </c>
      <c r="E1013" s="3">
        <v>2</v>
      </c>
      <c r="F1013" s="2">
        <v>2</v>
      </c>
      <c r="G1013" s="4">
        <v>1</v>
      </c>
      <c r="H1013" s="13"/>
      <c r="I1013" s="15"/>
      <c r="J1013" s="19">
        <v>2</v>
      </c>
      <c r="K1013" s="2" t="s">
        <v>2037</v>
      </c>
      <c r="L1013" s="11" t="str">
        <f t="shared" si="16"/>
        <v>Ver Imagen</v>
      </c>
      <c r="M1013" t="s">
        <v>15</v>
      </c>
    </row>
    <row r="1014" spans="1:13" x14ac:dyDescent="0.25">
      <c r="A1014">
        <v>1013</v>
      </c>
      <c r="B1014" t="s">
        <v>2038</v>
      </c>
      <c r="C1014" s="1">
        <v>37.204647685300003</v>
      </c>
      <c r="D1014" s="1">
        <v>-7.01385566055</v>
      </c>
      <c r="E1014" s="3">
        <v>1</v>
      </c>
      <c r="F1014" s="2">
        <v>2</v>
      </c>
      <c r="G1014" s="4">
        <v>2</v>
      </c>
      <c r="H1014" s="13"/>
      <c r="I1014" s="15"/>
      <c r="J1014" s="19">
        <v>2</v>
      </c>
      <c r="K1014" s="2" t="s">
        <v>2039</v>
      </c>
      <c r="L1014" s="11" t="str">
        <f t="shared" si="16"/>
        <v>Ver Imagen</v>
      </c>
      <c r="M1014" t="s">
        <v>15</v>
      </c>
    </row>
    <row r="1015" spans="1:13" x14ac:dyDescent="0.25">
      <c r="A1015">
        <v>1014</v>
      </c>
      <c r="B1015" t="s">
        <v>2040</v>
      </c>
      <c r="C1015" s="1">
        <v>37.204701479900002</v>
      </c>
      <c r="D1015" s="1">
        <v>-7.0141207904299998</v>
      </c>
      <c r="E1015" s="3">
        <v>1</v>
      </c>
      <c r="F1015" s="2">
        <v>2</v>
      </c>
      <c r="G1015" s="4">
        <v>2</v>
      </c>
      <c r="H1015" s="13"/>
      <c r="I1015" s="15"/>
      <c r="J1015" s="19">
        <v>2</v>
      </c>
      <c r="K1015" s="2" t="s">
        <v>2041</v>
      </c>
      <c r="L1015" s="11" t="str">
        <f t="shared" si="16"/>
        <v>Ver Imagen</v>
      </c>
      <c r="M1015" t="s">
        <v>15</v>
      </c>
    </row>
    <row r="1016" spans="1:13" x14ac:dyDescent="0.25">
      <c r="A1016">
        <v>1015</v>
      </c>
      <c r="B1016" t="s">
        <v>2042</v>
      </c>
      <c r="C1016" s="1">
        <v>37.204747732599998</v>
      </c>
      <c r="D1016" s="1">
        <v>-7.0143514907200002</v>
      </c>
      <c r="E1016" s="3">
        <v>1</v>
      </c>
      <c r="F1016" s="2">
        <v>2</v>
      </c>
      <c r="G1016" s="4">
        <v>2</v>
      </c>
      <c r="H1016" s="13"/>
      <c r="I1016" s="15"/>
      <c r="J1016" s="19">
        <v>2</v>
      </c>
      <c r="K1016" s="2" t="s">
        <v>2043</v>
      </c>
      <c r="L1016" s="11" t="str">
        <f t="shared" si="16"/>
        <v>Ver Imagen</v>
      </c>
      <c r="M1016" t="s">
        <v>15</v>
      </c>
    </row>
    <row r="1017" spans="1:13" x14ac:dyDescent="0.25">
      <c r="A1017">
        <v>1016</v>
      </c>
      <c r="B1017" t="s">
        <v>2044</v>
      </c>
      <c r="C1017" s="1">
        <v>37.2048337162</v>
      </c>
      <c r="D1017" s="1">
        <v>-7.0147860819099996</v>
      </c>
      <c r="E1017" s="3">
        <v>1</v>
      </c>
      <c r="F1017" s="2">
        <v>2</v>
      </c>
      <c r="G1017" s="4">
        <v>2</v>
      </c>
      <c r="H1017" s="13"/>
      <c r="I1017" s="15"/>
      <c r="J1017" s="19">
        <v>2</v>
      </c>
      <c r="K1017" s="2" t="s">
        <v>2045</v>
      </c>
      <c r="L1017" s="11" t="str">
        <f t="shared" si="16"/>
        <v>Ver Imagen</v>
      </c>
      <c r="M1017" t="s">
        <v>15</v>
      </c>
    </row>
    <row r="1018" spans="1:13" x14ac:dyDescent="0.25">
      <c r="A1018">
        <v>1017</v>
      </c>
      <c r="B1018" t="s">
        <v>2046</v>
      </c>
      <c r="C1018" s="1">
        <v>37.204937823800002</v>
      </c>
      <c r="D1018" s="1">
        <v>-7.0153192690199999</v>
      </c>
      <c r="E1018" s="3">
        <v>1</v>
      </c>
      <c r="F1018" s="2">
        <v>2</v>
      </c>
      <c r="G1018" s="4">
        <v>2</v>
      </c>
      <c r="H1018" s="13"/>
      <c r="I1018" s="15"/>
      <c r="J1018" s="19">
        <v>2</v>
      </c>
      <c r="K1018" s="2" t="s">
        <v>2047</v>
      </c>
      <c r="L1018" s="11" t="str">
        <f t="shared" si="16"/>
        <v>Ver Imagen</v>
      </c>
      <c r="M1018" t="s">
        <v>15</v>
      </c>
    </row>
    <row r="1019" spans="1:13" x14ac:dyDescent="0.25">
      <c r="A1019">
        <v>1018</v>
      </c>
      <c r="B1019" t="s">
        <v>2048</v>
      </c>
      <c r="C1019" s="1">
        <v>37.205079038699999</v>
      </c>
      <c r="D1019" s="1">
        <v>-7.0160183084599996</v>
      </c>
      <c r="E1019" s="3">
        <v>1</v>
      </c>
      <c r="F1019" s="2">
        <v>2</v>
      </c>
      <c r="G1019" s="4">
        <v>2</v>
      </c>
      <c r="H1019" s="13"/>
      <c r="I1019" s="15"/>
      <c r="J1019" s="19">
        <v>2</v>
      </c>
      <c r="K1019" s="2" t="s">
        <v>2049</v>
      </c>
      <c r="L1019" s="11" t="str">
        <f t="shared" si="16"/>
        <v>Ver Imagen</v>
      </c>
      <c r="M1019" t="s">
        <v>15</v>
      </c>
    </row>
    <row r="1020" spans="1:13" x14ac:dyDescent="0.25">
      <c r="A1020">
        <v>1019</v>
      </c>
      <c r="B1020" t="s">
        <v>2050</v>
      </c>
      <c r="C1020" s="1">
        <v>37.205132628100003</v>
      </c>
      <c r="D1020" s="1">
        <v>-7.0162703370399999</v>
      </c>
      <c r="E1020" s="3">
        <v>1</v>
      </c>
      <c r="F1020" s="2">
        <v>2</v>
      </c>
      <c r="G1020" s="4">
        <v>2</v>
      </c>
      <c r="H1020" s="13"/>
      <c r="I1020" s="15"/>
      <c r="J1020" s="19">
        <v>2</v>
      </c>
      <c r="K1020" s="2" t="s">
        <v>2051</v>
      </c>
      <c r="L1020" s="11" t="str">
        <f t="shared" si="16"/>
        <v>Ver Imagen</v>
      </c>
      <c r="M1020" t="s">
        <v>15</v>
      </c>
    </row>
    <row r="1021" spans="1:13" x14ac:dyDescent="0.25">
      <c r="A1021">
        <v>1020</v>
      </c>
      <c r="B1021" t="s">
        <v>2052</v>
      </c>
      <c r="C1021" s="1">
        <v>37.2051823591</v>
      </c>
      <c r="D1021" s="1">
        <v>-7.0164962169800003</v>
      </c>
      <c r="E1021" s="3">
        <v>1</v>
      </c>
      <c r="F1021" s="2">
        <v>2</v>
      </c>
      <c r="G1021" s="4">
        <v>2</v>
      </c>
      <c r="H1021" s="13"/>
      <c r="I1021" s="15"/>
      <c r="J1021" s="19">
        <v>2</v>
      </c>
      <c r="K1021" s="2" t="s">
        <v>2053</v>
      </c>
      <c r="L1021" s="11" t="str">
        <f t="shared" si="16"/>
        <v>Ver Imagen</v>
      </c>
      <c r="M1021" t="s">
        <v>15</v>
      </c>
    </row>
    <row r="1022" spans="1:13" x14ac:dyDescent="0.25">
      <c r="A1022">
        <v>1021</v>
      </c>
      <c r="B1022" t="s">
        <v>2054</v>
      </c>
      <c r="C1022" s="1">
        <v>37.212145740700002</v>
      </c>
      <c r="D1022" s="1">
        <v>-7.0238499778900003</v>
      </c>
      <c r="E1022" s="3">
        <v>1</v>
      </c>
      <c r="F1022" s="2">
        <v>2</v>
      </c>
      <c r="G1022" s="4">
        <v>2</v>
      </c>
      <c r="H1022" s="13"/>
      <c r="I1022" s="15"/>
      <c r="J1022" s="19">
        <v>2</v>
      </c>
      <c r="K1022" s="2" t="s">
        <v>2055</v>
      </c>
      <c r="L1022" s="11" t="str">
        <f t="shared" si="16"/>
        <v>Ver Imagen</v>
      </c>
      <c r="M1022" t="s">
        <v>15</v>
      </c>
    </row>
    <row r="1023" spans="1:13" x14ac:dyDescent="0.25">
      <c r="A1023">
        <v>1022</v>
      </c>
      <c r="B1023" t="s">
        <v>2056</v>
      </c>
      <c r="C1023" s="1">
        <v>37.212375684900003</v>
      </c>
      <c r="D1023" s="1">
        <v>-7.0238341465899996</v>
      </c>
      <c r="E1023" s="3">
        <v>1</v>
      </c>
      <c r="F1023" s="2">
        <v>2</v>
      </c>
      <c r="G1023" s="4">
        <v>2</v>
      </c>
      <c r="H1023" s="13"/>
      <c r="I1023" s="15"/>
      <c r="J1023" s="19">
        <v>2</v>
      </c>
      <c r="K1023" s="2" t="s">
        <v>2057</v>
      </c>
      <c r="L1023" s="11" t="str">
        <f t="shared" si="16"/>
        <v>Ver Imagen</v>
      </c>
      <c r="M1023" t="s">
        <v>15</v>
      </c>
    </row>
    <row r="1024" spans="1:13" x14ac:dyDescent="0.25">
      <c r="A1024">
        <v>1023</v>
      </c>
      <c r="B1024" t="s">
        <v>2058</v>
      </c>
      <c r="C1024" s="1">
        <v>37.212584581999998</v>
      </c>
      <c r="D1024" s="1">
        <v>-7.0238133592200001</v>
      </c>
      <c r="E1024" s="3">
        <v>1</v>
      </c>
      <c r="F1024" s="2">
        <v>2</v>
      </c>
      <c r="G1024" s="4">
        <v>2</v>
      </c>
      <c r="H1024" s="13"/>
      <c r="I1024" s="15"/>
      <c r="J1024" s="19">
        <v>2</v>
      </c>
      <c r="K1024" s="2" t="s">
        <v>2059</v>
      </c>
      <c r="L1024" s="11" t="str">
        <f t="shared" si="16"/>
        <v>Ver Imagen</v>
      </c>
      <c r="M1024" t="s">
        <v>15</v>
      </c>
    </row>
    <row r="1025" spans="1:13" x14ac:dyDescent="0.25">
      <c r="A1025">
        <v>1024</v>
      </c>
      <c r="B1025" t="s">
        <v>2060</v>
      </c>
      <c r="C1025" s="1">
        <v>37.212779237200003</v>
      </c>
      <c r="D1025" s="1">
        <v>-7.0237889966399996</v>
      </c>
      <c r="E1025" s="3">
        <v>1</v>
      </c>
      <c r="F1025" s="2">
        <v>2</v>
      </c>
      <c r="G1025" s="4">
        <v>2</v>
      </c>
      <c r="H1025" s="13"/>
      <c r="I1025" s="15"/>
      <c r="J1025" s="19">
        <v>2</v>
      </c>
      <c r="K1025" s="2" t="s">
        <v>2061</v>
      </c>
      <c r="L1025" s="11" t="str">
        <f t="shared" si="16"/>
        <v>Ver Imagen</v>
      </c>
      <c r="M1025" t="s">
        <v>15</v>
      </c>
    </row>
    <row r="1026" spans="1:13" x14ac:dyDescent="0.25">
      <c r="A1026">
        <v>1025</v>
      </c>
      <c r="B1026" t="s">
        <v>2062</v>
      </c>
      <c r="C1026" s="1">
        <v>37.212962851299999</v>
      </c>
      <c r="D1026" s="1">
        <v>-7.0237630535899997</v>
      </c>
      <c r="E1026" s="3">
        <v>1</v>
      </c>
      <c r="F1026" s="2">
        <v>2</v>
      </c>
      <c r="G1026" s="4">
        <v>2</v>
      </c>
      <c r="H1026" s="13"/>
      <c r="I1026" s="15"/>
      <c r="J1026" s="19">
        <v>2</v>
      </c>
      <c r="K1026" s="2" t="s">
        <v>2063</v>
      </c>
      <c r="L1026" s="11" t="str">
        <f t="shared" si="16"/>
        <v>Ver Imagen</v>
      </c>
      <c r="M1026" t="s">
        <v>15</v>
      </c>
    </row>
    <row r="1027" spans="1:13" x14ac:dyDescent="0.25">
      <c r="A1027">
        <v>1026</v>
      </c>
      <c r="B1027" t="s">
        <v>2064</v>
      </c>
      <c r="C1027" s="1">
        <v>37.213133647100001</v>
      </c>
      <c r="D1027" s="1">
        <v>-7.0237368875900001</v>
      </c>
      <c r="E1027" s="3">
        <v>1</v>
      </c>
      <c r="F1027" s="2">
        <v>2</v>
      </c>
      <c r="G1027" s="4">
        <v>2</v>
      </c>
      <c r="H1027" s="13"/>
      <c r="I1027" s="15"/>
      <c r="J1027" s="19">
        <v>2</v>
      </c>
      <c r="K1027" s="2" t="s">
        <v>2065</v>
      </c>
      <c r="L1027" s="11" t="str">
        <f t="shared" ref="L1027:L1090" si="17">HYPERLINK("2\1\" &amp; K1027, "Ver Imagen")</f>
        <v>Ver Imagen</v>
      </c>
      <c r="M1027" t="s">
        <v>15</v>
      </c>
    </row>
    <row r="1028" spans="1:13" x14ac:dyDescent="0.25">
      <c r="A1028">
        <v>1027</v>
      </c>
      <c r="B1028" t="s">
        <v>2066</v>
      </c>
      <c r="C1028" s="1">
        <v>37.213369024800002</v>
      </c>
      <c r="D1028" s="1">
        <v>-7.0236983666799997</v>
      </c>
      <c r="E1028" s="3">
        <v>1</v>
      </c>
      <c r="F1028" s="2">
        <v>2</v>
      </c>
      <c r="G1028" s="4">
        <v>2</v>
      </c>
      <c r="H1028" s="13"/>
      <c r="I1028" s="15"/>
      <c r="J1028" s="19">
        <v>2</v>
      </c>
      <c r="K1028" s="2" t="s">
        <v>2067</v>
      </c>
      <c r="L1028" s="11" t="str">
        <f t="shared" si="17"/>
        <v>Ver Imagen</v>
      </c>
      <c r="M1028" t="s">
        <v>15</v>
      </c>
    </row>
    <row r="1029" spans="1:13" x14ac:dyDescent="0.25">
      <c r="A1029">
        <v>1028</v>
      </c>
      <c r="B1029" t="s">
        <v>2068</v>
      </c>
      <c r="C1029" s="1">
        <v>37.213775776799999</v>
      </c>
      <c r="D1029" s="1">
        <v>-7.0236288238100002</v>
      </c>
      <c r="E1029" s="3">
        <v>1</v>
      </c>
      <c r="F1029" s="2">
        <v>2</v>
      </c>
      <c r="G1029" s="4">
        <v>2</v>
      </c>
      <c r="H1029" s="13"/>
      <c r="I1029" s="15"/>
      <c r="J1029" s="19">
        <v>2</v>
      </c>
      <c r="K1029" s="2" t="s">
        <v>2069</v>
      </c>
      <c r="L1029" s="11" t="str">
        <f t="shared" si="17"/>
        <v>Ver Imagen</v>
      </c>
      <c r="M1029" t="s">
        <v>15</v>
      </c>
    </row>
    <row r="1030" spans="1:13" x14ac:dyDescent="0.25">
      <c r="A1030">
        <v>1029</v>
      </c>
      <c r="B1030" t="s">
        <v>2070</v>
      </c>
      <c r="C1030" s="1">
        <v>37.225655604899998</v>
      </c>
      <c r="D1030" s="1">
        <v>-7.0232940714799996</v>
      </c>
      <c r="E1030" s="3">
        <v>1</v>
      </c>
      <c r="F1030" s="2">
        <v>2</v>
      </c>
      <c r="G1030" s="4">
        <v>2</v>
      </c>
      <c r="H1030" s="13"/>
      <c r="I1030" s="15"/>
      <c r="J1030" s="19">
        <v>2</v>
      </c>
      <c r="K1030" s="2" t="s">
        <v>2071</v>
      </c>
      <c r="L1030" s="11" t="str">
        <f t="shared" si="17"/>
        <v>Ver Imagen</v>
      </c>
      <c r="M1030" t="s">
        <v>15</v>
      </c>
    </row>
    <row r="1031" spans="1:13" x14ac:dyDescent="0.25">
      <c r="A1031">
        <v>1030</v>
      </c>
      <c r="B1031" t="s">
        <v>2072</v>
      </c>
      <c r="C1031" s="1">
        <v>37.224861326599999</v>
      </c>
      <c r="D1031" s="1">
        <v>-7.0233927390300002</v>
      </c>
      <c r="E1031" s="3">
        <v>1</v>
      </c>
      <c r="F1031" s="2">
        <v>2</v>
      </c>
      <c r="G1031" s="4">
        <v>2</v>
      </c>
      <c r="H1031" s="13"/>
      <c r="I1031" s="15"/>
      <c r="J1031" s="19">
        <v>2</v>
      </c>
      <c r="K1031" s="2" t="s">
        <v>2073</v>
      </c>
      <c r="L1031" s="11" t="str">
        <f t="shared" si="17"/>
        <v>Ver Imagen</v>
      </c>
      <c r="M1031" t="s">
        <v>15</v>
      </c>
    </row>
    <row r="1032" spans="1:13" x14ac:dyDescent="0.25">
      <c r="A1032">
        <v>1031</v>
      </c>
      <c r="B1032" t="s">
        <v>2074</v>
      </c>
      <c r="C1032" s="1">
        <v>37.224499794499998</v>
      </c>
      <c r="D1032" s="1">
        <v>-7.0233835085900003</v>
      </c>
      <c r="E1032" s="3">
        <v>1</v>
      </c>
      <c r="F1032" s="2">
        <v>2</v>
      </c>
      <c r="G1032" s="4">
        <v>2</v>
      </c>
      <c r="H1032" s="13"/>
      <c r="I1032" s="15"/>
      <c r="J1032" s="19">
        <v>2</v>
      </c>
      <c r="K1032" s="2" t="s">
        <v>2075</v>
      </c>
      <c r="L1032" s="11" t="str">
        <f t="shared" si="17"/>
        <v>Ver Imagen</v>
      </c>
      <c r="M1032" t="s">
        <v>15</v>
      </c>
    </row>
    <row r="1033" spans="1:13" x14ac:dyDescent="0.25">
      <c r="A1033">
        <v>1032</v>
      </c>
      <c r="B1033" t="s">
        <v>2076</v>
      </c>
      <c r="C1033" s="1">
        <v>37.224302128300003</v>
      </c>
      <c r="D1033" s="1">
        <v>-7.0233686773899997</v>
      </c>
      <c r="E1033" s="3">
        <v>1</v>
      </c>
      <c r="F1033" s="2">
        <v>2</v>
      </c>
      <c r="G1033" s="4">
        <v>2</v>
      </c>
      <c r="H1033" s="13"/>
      <c r="I1033" s="15"/>
      <c r="J1033" s="19">
        <v>2</v>
      </c>
      <c r="K1033" s="2" t="s">
        <v>2077</v>
      </c>
      <c r="L1033" s="11" t="str">
        <f t="shared" si="17"/>
        <v>Ver Imagen</v>
      </c>
      <c r="M1033" t="s">
        <v>15</v>
      </c>
    </row>
    <row r="1034" spans="1:13" x14ac:dyDescent="0.25">
      <c r="A1034">
        <v>1033</v>
      </c>
      <c r="B1034" t="s">
        <v>2078</v>
      </c>
      <c r="C1034" s="1">
        <v>37.222870288800003</v>
      </c>
      <c r="D1034" s="1">
        <v>-7.0232363076100004</v>
      </c>
      <c r="E1034" s="3">
        <v>1</v>
      </c>
      <c r="F1034" s="2">
        <v>2</v>
      </c>
      <c r="G1034" s="4">
        <v>2</v>
      </c>
      <c r="H1034" s="13"/>
      <c r="I1034" s="15"/>
      <c r="J1034" s="19">
        <v>2</v>
      </c>
      <c r="K1034" s="2" t="s">
        <v>2079</v>
      </c>
      <c r="L1034" s="11" t="str">
        <f t="shared" si="17"/>
        <v>Ver Imagen</v>
      </c>
      <c r="M1034" t="s">
        <v>15</v>
      </c>
    </row>
    <row r="1035" spans="1:13" x14ac:dyDescent="0.25">
      <c r="A1035">
        <v>1034</v>
      </c>
      <c r="B1035" t="s">
        <v>2080</v>
      </c>
      <c r="C1035" s="1">
        <v>37.222279780599997</v>
      </c>
      <c r="D1035" s="1">
        <v>-7.0231762911100004</v>
      </c>
      <c r="E1035" s="3">
        <v>1</v>
      </c>
      <c r="F1035" s="2">
        <v>2</v>
      </c>
      <c r="G1035" s="4">
        <v>2</v>
      </c>
      <c r="H1035" s="13"/>
      <c r="I1035" s="15"/>
      <c r="J1035" s="19">
        <v>2</v>
      </c>
      <c r="K1035" s="2" t="s">
        <v>2081</v>
      </c>
      <c r="L1035" s="11" t="str">
        <f t="shared" si="17"/>
        <v>Ver Imagen</v>
      </c>
      <c r="M1035" t="s">
        <v>15</v>
      </c>
    </row>
    <row r="1036" spans="1:13" x14ac:dyDescent="0.25">
      <c r="A1036">
        <v>1035</v>
      </c>
      <c r="B1036" t="s">
        <v>2082</v>
      </c>
      <c r="C1036" s="1">
        <v>37.222067893999998</v>
      </c>
      <c r="D1036" s="1">
        <v>-7.0231542963100004</v>
      </c>
      <c r="E1036" s="3">
        <v>1</v>
      </c>
      <c r="F1036" s="2">
        <v>2</v>
      </c>
      <c r="G1036" s="4">
        <v>2</v>
      </c>
      <c r="H1036" s="13"/>
      <c r="I1036" s="15"/>
      <c r="J1036" s="19">
        <v>2</v>
      </c>
      <c r="K1036" s="2" t="s">
        <v>2083</v>
      </c>
      <c r="L1036" s="11" t="str">
        <f t="shared" si="17"/>
        <v>Ver Imagen</v>
      </c>
      <c r="M1036" t="s">
        <v>15</v>
      </c>
    </row>
    <row r="1037" spans="1:13" x14ac:dyDescent="0.25">
      <c r="A1037">
        <v>1036</v>
      </c>
      <c r="B1037" t="s">
        <v>2084</v>
      </c>
      <c r="C1037" s="1">
        <v>37.219800497000001</v>
      </c>
      <c r="D1037" s="1">
        <v>-7.0227766270499998</v>
      </c>
      <c r="E1037" s="3">
        <v>1</v>
      </c>
      <c r="F1037" s="2">
        <v>2</v>
      </c>
      <c r="G1037" s="4">
        <v>2</v>
      </c>
      <c r="H1037" s="13"/>
      <c r="I1037" s="15"/>
      <c r="J1037" s="19">
        <v>2</v>
      </c>
      <c r="K1037" s="2" t="s">
        <v>2085</v>
      </c>
      <c r="L1037" s="11" t="str">
        <f t="shared" si="17"/>
        <v>Ver Imagen</v>
      </c>
      <c r="M1037" t="s">
        <v>15</v>
      </c>
    </row>
    <row r="1038" spans="1:13" x14ac:dyDescent="0.25">
      <c r="A1038">
        <v>1037</v>
      </c>
      <c r="B1038" t="s">
        <v>2086</v>
      </c>
      <c r="C1038" s="1">
        <v>37.220201382200003</v>
      </c>
      <c r="D1038" s="1">
        <v>-7.0228029963700003</v>
      </c>
      <c r="E1038" s="3">
        <v>1</v>
      </c>
      <c r="F1038" s="2">
        <v>2</v>
      </c>
      <c r="G1038" s="4">
        <v>2</v>
      </c>
      <c r="H1038" s="13"/>
      <c r="I1038" s="15"/>
      <c r="J1038" s="19">
        <v>2</v>
      </c>
      <c r="K1038" s="2" t="s">
        <v>2087</v>
      </c>
      <c r="L1038" s="11" t="str">
        <f t="shared" si="17"/>
        <v>Ver Imagen</v>
      </c>
      <c r="M1038" t="s">
        <v>15</v>
      </c>
    </row>
    <row r="1039" spans="1:13" x14ac:dyDescent="0.25">
      <c r="A1039">
        <v>1038</v>
      </c>
      <c r="B1039" t="s">
        <v>2088</v>
      </c>
      <c r="C1039" s="1">
        <v>37.220393484200002</v>
      </c>
      <c r="D1039" s="1">
        <v>-7.0228166671499999</v>
      </c>
      <c r="E1039" s="3">
        <v>1</v>
      </c>
      <c r="F1039" s="2">
        <v>2</v>
      </c>
      <c r="G1039" s="4">
        <v>2</v>
      </c>
      <c r="H1039" s="13"/>
      <c r="I1039" s="15"/>
      <c r="J1039" s="19">
        <v>2</v>
      </c>
      <c r="K1039" s="2" t="s">
        <v>2089</v>
      </c>
      <c r="L1039" s="11" t="str">
        <f t="shared" si="17"/>
        <v>Ver Imagen</v>
      </c>
      <c r="M1039" t="s">
        <v>15</v>
      </c>
    </row>
    <row r="1040" spans="1:13" x14ac:dyDescent="0.25">
      <c r="A1040">
        <v>1039</v>
      </c>
      <c r="B1040" t="s">
        <v>2090</v>
      </c>
      <c r="C1040" s="1">
        <v>37.2214634511</v>
      </c>
      <c r="D1040" s="1">
        <v>-7.0229132453999998</v>
      </c>
      <c r="E1040" s="3">
        <v>1</v>
      </c>
      <c r="F1040" s="2">
        <v>2</v>
      </c>
      <c r="G1040" s="4">
        <v>2</v>
      </c>
      <c r="H1040" s="13"/>
      <c r="I1040" s="15"/>
      <c r="J1040" s="19">
        <v>2</v>
      </c>
      <c r="K1040" s="2" t="s">
        <v>2091</v>
      </c>
      <c r="L1040" s="11" t="str">
        <f t="shared" si="17"/>
        <v>Ver Imagen</v>
      </c>
      <c r="M1040" t="s">
        <v>15</v>
      </c>
    </row>
    <row r="1041" spans="1:13" x14ac:dyDescent="0.25">
      <c r="A1041">
        <v>1040</v>
      </c>
      <c r="B1041" t="s">
        <v>2092</v>
      </c>
      <c r="C1041" s="1">
        <v>37.205362883600003</v>
      </c>
      <c r="D1041" s="1">
        <v>-7.0178311465299998</v>
      </c>
      <c r="E1041" s="3">
        <v>1</v>
      </c>
      <c r="F1041" s="2">
        <v>2</v>
      </c>
      <c r="G1041" s="4">
        <v>2</v>
      </c>
      <c r="H1041" s="13"/>
      <c r="I1041" s="15"/>
      <c r="J1041" s="19">
        <v>2</v>
      </c>
      <c r="K1041" s="2" t="s">
        <v>2093</v>
      </c>
      <c r="L1041" s="11" t="str">
        <f t="shared" si="17"/>
        <v>Ver Imagen</v>
      </c>
      <c r="M1041" t="s">
        <v>15</v>
      </c>
    </row>
    <row r="1042" spans="1:13" x14ac:dyDescent="0.25">
      <c r="A1042">
        <v>1041</v>
      </c>
      <c r="B1042" t="s">
        <v>2094</v>
      </c>
      <c r="C1042" s="1">
        <v>37.201372977200002</v>
      </c>
      <c r="D1042" s="1">
        <v>-6.9928196306599997</v>
      </c>
      <c r="E1042" s="3">
        <v>1</v>
      </c>
      <c r="F1042" s="2">
        <v>2</v>
      </c>
      <c r="G1042" s="4">
        <v>2</v>
      </c>
      <c r="H1042" s="13"/>
      <c r="I1042" s="15"/>
      <c r="J1042" s="19">
        <v>2</v>
      </c>
      <c r="K1042" s="2" t="s">
        <v>2095</v>
      </c>
      <c r="L1042" s="11" t="str">
        <f t="shared" si="17"/>
        <v>Ver Imagen</v>
      </c>
      <c r="M1042" t="s">
        <v>15</v>
      </c>
    </row>
    <row r="1043" spans="1:13" x14ac:dyDescent="0.25">
      <c r="A1043">
        <v>1042</v>
      </c>
      <c r="B1043" t="s">
        <v>2096</v>
      </c>
      <c r="C1043" s="1">
        <v>37.227877315100002</v>
      </c>
      <c r="D1043" s="1">
        <v>-7.0218685991900003</v>
      </c>
      <c r="E1043" s="3">
        <v>2</v>
      </c>
      <c r="F1043" s="2">
        <v>2</v>
      </c>
      <c r="G1043" s="4">
        <v>1</v>
      </c>
      <c r="H1043" s="13"/>
      <c r="I1043" s="15"/>
      <c r="J1043" s="19">
        <v>2</v>
      </c>
      <c r="K1043" s="2" t="s">
        <v>2097</v>
      </c>
      <c r="L1043" s="11" t="str">
        <f t="shared" si="17"/>
        <v>Ver Imagen</v>
      </c>
      <c r="M1043" t="s">
        <v>15</v>
      </c>
    </row>
    <row r="1044" spans="1:13" x14ac:dyDescent="0.25">
      <c r="A1044">
        <v>1043</v>
      </c>
      <c r="B1044" t="s">
        <v>2098</v>
      </c>
      <c r="C1044" s="1">
        <v>37.265152051199998</v>
      </c>
      <c r="D1044" s="1">
        <v>-6.9973733534699996</v>
      </c>
      <c r="E1044" s="3">
        <v>1</v>
      </c>
      <c r="F1044" s="2">
        <v>2</v>
      </c>
      <c r="G1044" s="4">
        <v>2</v>
      </c>
      <c r="H1044" s="13"/>
      <c r="I1044" s="15"/>
      <c r="J1044" s="19">
        <v>2</v>
      </c>
      <c r="K1044" s="2" t="s">
        <v>2099</v>
      </c>
      <c r="L1044" s="11" t="str">
        <f t="shared" si="17"/>
        <v>Ver Imagen</v>
      </c>
      <c r="M1044" t="s">
        <v>15</v>
      </c>
    </row>
    <row r="1045" spans="1:13" x14ac:dyDescent="0.25">
      <c r="A1045">
        <v>1044</v>
      </c>
      <c r="B1045" t="s">
        <v>2100</v>
      </c>
      <c r="C1045" s="1">
        <v>37.265194511200001</v>
      </c>
      <c r="D1045" s="1">
        <v>-6.9971395582599998</v>
      </c>
      <c r="E1045" s="3">
        <v>1</v>
      </c>
      <c r="F1045" s="2">
        <v>2</v>
      </c>
      <c r="G1045" s="4">
        <v>2</v>
      </c>
      <c r="H1045" s="13"/>
      <c r="I1045" s="15"/>
      <c r="J1045" s="19">
        <v>2</v>
      </c>
      <c r="K1045" s="2" t="s">
        <v>2101</v>
      </c>
      <c r="L1045" s="11" t="str">
        <f t="shared" si="17"/>
        <v>Ver Imagen</v>
      </c>
      <c r="M1045" t="s">
        <v>15</v>
      </c>
    </row>
    <row r="1046" spans="1:13" x14ac:dyDescent="0.25">
      <c r="A1046">
        <v>1045</v>
      </c>
      <c r="B1046" t="s">
        <v>2102</v>
      </c>
      <c r="C1046" s="1">
        <v>37.265327779400003</v>
      </c>
      <c r="D1046" s="1">
        <v>-6.9964138952599999</v>
      </c>
      <c r="E1046" s="3">
        <v>2</v>
      </c>
      <c r="F1046" s="2">
        <v>2</v>
      </c>
      <c r="G1046" s="4">
        <v>1</v>
      </c>
      <c r="H1046" s="13"/>
      <c r="I1046" s="15"/>
      <c r="J1046" s="19">
        <v>2</v>
      </c>
      <c r="K1046" s="2" t="s">
        <v>2103</v>
      </c>
      <c r="L1046" s="11" t="str">
        <f t="shared" si="17"/>
        <v>Ver Imagen</v>
      </c>
      <c r="M1046" t="s">
        <v>15</v>
      </c>
    </row>
    <row r="1047" spans="1:13" x14ac:dyDescent="0.25">
      <c r="A1047">
        <v>1046</v>
      </c>
      <c r="B1047" t="s">
        <v>2104</v>
      </c>
      <c r="C1047" s="1">
        <v>37.266042755900003</v>
      </c>
      <c r="D1047" s="1">
        <v>-6.9932433185400003</v>
      </c>
      <c r="E1047" s="3">
        <v>2</v>
      </c>
      <c r="F1047" s="2">
        <v>2</v>
      </c>
      <c r="G1047" s="4">
        <v>1</v>
      </c>
      <c r="H1047" s="13"/>
      <c r="I1047" s="15"/>
      <c r="J1047" s="19">
        <v>2</v>
      </c>
      <c r="K1047" s="2" t="s">
        <v>2105</v>
      </c>
      <c r="L1047" s="11" t="str">
        <f t="shared" si="17"/>
        <v>Ver Imagen</v>
      </c>
      <c r="M1047" t="s">
        <v>15</v>
      </c>
    </row>
    <row r="1048" spans="1:13" x14ac:dyDescent="0.25">
      <c r="A1048">
        <v>1047</v>
      </c>
      <c r="B1048" t="s">
        <v>2106</v>
      </c>
      <c r="C1048" s="1">
        <v>37.266143790500003</v>
      </c>
      <c r="D1048" s="1">
        <v>-6.9930120767900004</v>
      </c>
      <c r="E1048" s="3">
        <v>2</v>
      </c>
      <c r="F1048" s="2">
        <v>2</v>
      </c>
      <c r="G1048" s="4">
        <v>1</v>
      </c>
      <c r="H1048" s="13"/>
      <c r="I1048" s="15"/>
      <c r="J1048" s="19">
        <v>2</v>
      </c>
      <c r="K1048" s="2" t="s">
        <v>2107</v>
      </c>
      <c r="L1048" s="11" t="str">
        <f t="shared" si="17"/>
        <v>Ver Imagen</v>
      </c>
      <c r="M1048" t="s">
        <v>15</v>
      </c>
    </row>
    <row r="1049" spans="1:13" x14ac:dyDescent="0.25">
      <c r="A1049">
        <v>1048</v>
      </c>
      <c r="B1049" t="s">
        <v>2108</v>
      </c>
      <c r="C1049" s="1">
        <v>37.266287990099997</v>
      </c>
      <c r="D1049" s="1">
        <v>-6.99272355025</v>
      </c>
      <c r="E1049" s="3">
        <v>2</v>
      </c>
      <c r="F1049" s="2">
        <v>2</v>
      </c>
      <c r="G1049" s="4">
        <v>1</v>
      </c>
      <c r="H1049" s="13"/>
      <c r="I1049" s="15"/>
      <c r="J1049" s="19">
        <v>2</v>
      </c>
      <c r="K1049" s="2" t="s">
        <v>2109</v>
      </c>
      <c r="L1049" s="11" t="str">
        <f t="shared" si="17"/>
        <v>Ver Imagen</v>
      </c>
      <c r="M1049" t="s">
        <v>15</v>
      </c>
    </row>
    <row r="1050" spans="1:13" x14ac:dyDescent="0.25">
      <c r="A1050">
        <v>1049</v>
      </c>
      <c r="B1050" t="s">
        <v>2110</v>
      </c>
      <c r="C1050" s="1">
        <v>37.267907039599997</v>
      </c>
      <c r="D1050" s="1">
        <v>-6.9909463552100002</v>
      </c>
      <c r="E1050" s="3">
        <v>2</v>
      </c>
      <c r="F1050" s="2">
        <v>2</v>
      </c>
      <c r="G1050" s="4">
        <v>1</v>
      </c>
      <c r="H1050" s="13"/>
      <c r="I1050" s="15"/>
      <c r="J1050" s="19">
        <v>2</v>
      </c>
      <c r="K1050" s="2" t="s">
        <v>2111</v>
      </c>
      <c r="L1050" s="11" t="str">
        <f t="shared" si="17"/>
        <v>Ver Imagen</v>
      </c>
      <c r="M1050" t="s">
        <v>15</v>
      </c>
    </row>
    <row r="1051" spans="1:13" x14ac:dyDescent="0.25">
      <c r="A1051">
        <v>1050</v>
      </c>
      <c r="B1051" t="s">
        <v>2112</v>
      </c>
      <c r="C1051" s="1">
        <v>37.446172932899998</v>
      </c>
      <c r="D1051" s="1">
        <v>-7.1354613319400002</v>
      </c>
      <c r="E1051" s="3">
        <v>2</v>
      </c>
      <c r="F1051" s="2">
        <v>2</v>
      </c>
      <c r="G1051" s="4">
        <v>3</v>
      </c>
      <c r="H1051" s="13"/>
      <c r="I1051" s="15"/>
      <c r="J1051" s="19">
        <v>2</v>
      </c>
      <c r="K1051" s="2" t="s">
        <v>2113</v>
      </c>
      <c r="L1051" s="11" t="str">
        <f t="shared" si="17"/>
        <v>Ver Imagen</v>
      </c>
      <c r="M1051" t="s">
        <v>15</v>
      </c>
    </row>
    <row r="1052" spans="1:13" x14ac:dyDescent="0.25">
      <c r="A1052">
        <v>1051</v>
      </c>
      <c r="B1052" t="s">
        <v>2114</v>
      </c>
      <c r="C1052" s="1">
        <v>37.446145800099998</v>
      </c>
      <c r="D1052" s="1">
        <v>-7.1359771447</v>
      </c>
      <c r="E1052" s="3">
        <v>2</v>
      </c>
      <c r="F1052" s="2">
        <v>3</v>
      </c>
      <c r="G1052" s="4">
        <v>2</v>
      </c>
      <c r="H1052" s="13"/>
      <c r="I1052" s="15"/>
      <c r="J1052" s="19">
        <v>2</v>
      </c>
      <c r="K1052" s="2" t="s">
        <v>2115</v>
      </c>
      <c r="L1052" s="11" t="str">
        <f t="shared" si="17"/>
        <v>Ver Imagen</v>
      </c>
      <c r="M1052" t="s">
        <v>15</v>
      </c>
    </row>
    <row r="1053" spans="1:13" x14ac:dyDescent="0.25">
      <c r="A1053">
        <v>1052</v>
      </c>
      <c r="B1053" t="s">
        <v>2116</v>
      </c>
      <c r="C1053" s="1">
        <v>37.448369655299999</v>
      </c>
      <c r="D1053" s="1">
        <v>-7.1424401212899999</v>
      </c>
      <c r="E1053" s="3">
        <v>2</v>
      </c>
      <c r="F1053" s="2">
        <v>3</v>
      </c>
      <c r="G1053" s="4">
        <v>2</v>
      </c>
      <c r="H1053" s="13"/>
      <c r="I1053" s="15"/>
      <c r="J1053" s="19">
        <v>2</v>
      </c>
      <c r="K1053" s="2" t="s">
        <v>2117</v>
      </c>
      <c r="L1053" s="11" t="str">
        <f t="shared" si="17"/>
        <v>Ver Imagen</v>
      </c>
      <c r="M1053" t="s">
        <v>15</v>
      </c>
    </row>
    <row r="1054" spans="1:13" x14ac:dyDescent="0.25">
      <c r="A1054">
        <v>1053</v>
      </c>
      <c r="B1054" t="s">
        <v>2118</v>
      </c>
      <c r="C1054" s="1">
        <v>37.451974106999998</v>
      </c>
      <c r="D1054" s="1">
        <v>-7.15817127559</v>
      </c>
      <c r="E1054" s="3">
        <v>1</v>
      </c>
      <c r="F1054" s="2">
        <v>2</v>
      </c>
      <c r="G1054" s="4">
        <v>2</v>
      </c>
      <c r="H1054" s="13"/>
      <c r="I1054" s="15"/>
      <c r="J1054" s="19">
        <v>2</v>
      </c>
      <c r="K1054" s="2" t="s">
        <v>2119</v>
      </c>
      <c r="L1054" s="11" t="str">
        <f t="shared" si="17"/>
        <v>Ver Imagen</v>
      </c>
      <c r="M1054" t="s">
        <v>15</v>
      </c>
    </row>
    <row r="1055" spans="1:13" x14ac:dyDescent="0.25">
      <c r="A1055">
        <v>1054</v>
      </c>
      <c r="B1055" t="s">
        <v>2120</v>
      </c>
      <c r="C1055" s="1">
        <v>37.452132713899999</v>
      </c>
      <c r="D1055" s="1">
        <v>-7.1589062444699998</v>
      </c>
      <c r="E1055" s="3">
        <v>2</v>
      </c>
      <c r="F1055" s="2">
        <v>3</v>
      </c>
      <c r="G1055" s="4">
        <v>2</v>
      </c>
      <c r="H1055" s="13"/>
      <c r="I1055" s="15"/>
      <c r="J1055" s="19">
        <v>2</v>
      </c>
      <c r="K1055" s="2" t="s">
        <v>2121</v>
      </c>
      <c r="L1055" s="11" t="str">
        <f t="shared" si="17"/>
        <v>Ver Imagen</v>
      </c>
      <c r="M1055" t="s">
        <v>15</v>
      </c>
    </row>
    <row r="1056" spans="1:13" x14ac:dyDescent="0.25">
      <c r="A1056">
        <v>1055</v>
      </c>
      <c r="B1056" t="s">
        <v>2122</v>
      </c>
      <c r="C1056" s="1">
        <v>37.452350455000001</v>
      </c>
      <c r="D1056" s="1">
        <v>-7.1599366584900004</v>
      </c>
      <c r="E1056" s="3">
        <v>2</v>
      </c>
      <c r="F1056" s="2">
        <v>3</v>
      </c>
      <c r="G1056" s="4">
        <v>2</v>
      </c>
      <c r="H1056" s="13"/>
      <c r="I1056" s="15"/>
      <c r="J1056" s="19">
        <v>2</v>
      </c>
      <c r="K1056" s="2" t="s">
        <v>2123</v>
      </c>
      <c r="L1056" s="11" t="str">
        <f t="shared" si="17"/>
        <v>Ver Imagen</v>
      </c>
      <c r="M1056" t="s">
        <v>15</v>
      </c>
    </row>
    <row r="1057" spans="1:13" x14ac:dyDescent="0.25">
      <c r="A1057">
        <v>1056</v>
      </c>
      <c r="B1057" t="s">
        <v>2124</v>
      </c>
      <c r="C1057" s="1">
        <v>37.452408230000003</v>
      </c>
      <c r="D1057" s="1">
        <v>-7.1602139329899996</v>
      </c>
      <c r="E1057" s="3">
        <v>2</v>
      </c>
      <c r="F1057" s="2">
        <v>3</v>
      </c>
      <c r="G1057" s="4">
        <v>2</v>
      </c>
      <c r="H1057" s="13"/>
      <c r="I1057" s="15"/>
      <c r="J1057" s="19">
        <v>2</v>
      </c>
      <c r="K1057" s="2" t="s">
        <v>2125</v>
      </c>
      <c r="L1057" s="11" t="str">
        <f t="shared" si="17"/>
        <v>Ver Imagen</v>
      </c>
      <c r="M1057" t="s">
        <v>15</v>
      </c>
    </row>
    <row r="1058" spans="1:13" x14ac:dyDescent="0.25">
      <c r="A1058">
        <v>1057</v>
      </c>
      <c r="B1058" t="s">
        <v>2126</v>
      </c>
      <c r="C1058" s="1">
        <v>37.453275153699998</v>
      </c>
      <c r="D1058" s="1">
        <v>-7.16233579881</v>
      </c>
      <c r="E1058" s="3">
        <v>2</v>
      </c>
      <c r="F1058" s="2">
        <v>2</v>
      </c>
      <c r="G1058" s="4">
        <v>3</v>
      </c>
      <c r="H1058" s="13"/>
      <c r="I1058" s="15"/>
      <c r="J1058" s="19">
        <v>2</v>
      </c>
      <c r="K1058" s="2" t="s">
        <v>2127</v>
      </c>
      <c r="L1058" s="11" t="str">
        <f t="shared" si="17"/>
        <v>Ver Imagen</v>
      </c>
      <c r="M1058" t="s">
        <v>15</v>
      </c>
    </row>
    <row r="1059" spans="1:13" x14ac:dyDescent="0.25">
      <c r="A1059">
        <v>1058</v>
      </c>
      <c r="B1059" t="s">
        <v>2128</v>
      </c>
      <c r="C1059" s="1">
        <v>37.454268821699998</v>
      </c>
      <c r="D1059" s="1">
        <v>-7.1643063283500004</v>
      </c>
      <c r="E1059" s="3">
        <v>1</v>
      </c>
      <c r="F1059" s="2">
        <v>2</v>
      </c>
      <c r="G1059" s="4">
        <v>2</v>
      </c>
      <c r="H1059" s="13"/>
      <c r="I1059" s="15"/>
      <c r="J1059" s="19">
        <v>2</v>
      </c>
      <c r="K1059" s="2" t="s">
        <v>2129</v>
      </c>
      <c r="L1059" s="11" t="str">
        <f t="shared" si="17"/>
        <v>Ver Imagen</v>
      </c>
      <c r="M1059" t="s">
        <v>15</v>
      </c>
    </row>
    <row r="1060" spans="1:13" x14ac:dyDescent="0.25">
      <c r="A1060">
        <v>1059</v>
      </c>
      <c r="B1060" t="s">
        <v>2130</v>
      </c>
      <c r="C1060" s="1">
        <v>37.454399303999999</v>
      </c>
      <c r="D1060" s="1">
        <v>-7.1645646859600003</v>
      </c>
      <c r="E1060" s="3">
        <v>1</v>
      </c>
      <c r="F1060" s="2">
        <v>2</v>
      </c>
      <c r="G1060" s="4">
        <v>2</v>
      </c>
      <c r="H1060" s="13"/>
      <c r="I1060" s="15"/>
      <c r="J1060" s="19">
        <v>2</v>
      </c>
      <c r="K1060" s="2" t="s">
        <v>2131</v>
      </c>
      <c r="L1060" s="11" t="str">
        <f t="shared" si="17"/>
        <v>Ver Imagen</v>
      </c>
      <c r="M1060" t="s">
        <v>15</v>
      </c>
    </row>
    <row r="1061" spans="1:13" x14ac:dyDescent="0.25">
      <c r="A1061">
        <v>1060</v>
      </c>
      <c r="B1061" t="s">
        <v>2132</v>
      </c>
      <c r="C1061" s="1">
        <v>37.4555439843</v>
      </c>
      <c r="D1061" s="1">
        <v>-7.1662405438599999</v>
      </c>
      <c r="E1061" s="3">
        <v>2</v>
      </c>
      <c r="F1061" s="2">
        <v>3</v>
      </c>
      <c r="G1061" s="4">
        <v>2</v>
      </c>
      <c r="H1061" s="13"/>
      <c r="I1061" s="15"/>
      <c r="J1061" s="19">
        <v>2</v>
      </c>
      <c r="K1061" s="2" t="s">
        <v>2133</v>
      </c>
      <c r="L1061" s="11" t="str">
        <f t="shared" si="17"/>
        <v>Ver Imagen</v>
      </c>
      <c r="M1061" t="s">
        <v>15</v>
      </c>
    </row>
    <row r="1062" spans="1:13" x14ac:dyDescent="0.25">
      <c r="A1062">
        <v>1061</v>
      </c>
      <c r="B1062" t="s">
        <v>2134</v>
      </c>
      <c r="C1062" s="1">
        <v>37.457107156200003</v>
      </c>
      <c r="D1062" s="1">
        <v>-7.1681713243000003</v>
      </c>
      <c r="E1062" s="3">
        <v>2</v>
      </c>
      <c r="F1062" s="2">
        <v>2</v>
      </c>
      <c r="G1062" s="4">
        <v>3</v>
      </c>
      <c r="H1062" s="13"/>
      <c r="I1062" s="15"/>
      <c r="J1062" s="19">
        <v>2</v>
      </c>
      <c r="K1062" s="2" t="s">
        <v>2135</v>
      </c>
      <c r="L1062" s="11" t="str">
        <f t="shared" si="17"/>
        <v>Ver Imagen</v>
      </c>
      <c r="M1062" t="s">
        <v>15</v>
      </c>
    </row>
    <row r="1063" spans="1:13" x14ac:dyDescent="0.25">
      <c r="A1063">
        <v>1062</v>
      </c>
      <c r="B1063" t="s">
        <v>2136</v>
      </c>
      <c r="C1063" s="1">
        <v>37.461469815599997</v>
      </c>
      <c r="D1063" s="1">
        <v>-7.1742602281899996</v>
      </c>
      <c r="E1063" s="3">
        <v>2</v>
      </c>
      <c r="F1063" s="2">
        <v>3</v>
      </c>
      <c r="G1063" s="4">
        <v>2</v>
      </c>
      <c r="H1063" s="13"/>
      <c r="I1063" s="15"/>
      <c r="J1063" s="19">
        <v>2</v>
      </c>
      <c r="K1063" s="2" t="s">
        <v>2137</v>
      </c>
      <c r="L1063" s="11" t="str">
        <f t="shared" si="17"/>
        <v>Ver Imagen</v>
      </c>
      <c r="M1063" t="s">
        <v>15</v>
      </c>
    </row>
    <row r="1064" spans="1:13" x14ac:dyDescent="0.25">
      <c r="A1064">
        <v>1063</v>
      </c>
      <c r="B1064" t="s">
        <v>2138</v>
      </c>
      <c r="C1064" s="1">
        <v>37.462329194799999</v>
      </c>
      <c r="D1064" s="1">
        <v>-7.1756699491999996</v>
      </c>
      <c r="E1064" s="3">
        <v>2</v>
      </c>
      <c r="F1064" s="2">
        <v>3</v>
      </c>
      <c r="G1064" s="4">
        <v>2</v>
      </c>
      <c r="H1064" s="13"/>
      <c r="I1064" s="15"/>
      <c r="J1064" s="19">
        <v>2</v>
      </c>
      <c r="K1064" s="2" t="s">
        <v>2139</v>
      </c>
      <c r="L1064" s="11" t="str">
        <f t="shared" si="17"/>
        <v>Ver Imagen</v>
      </c>
      <c r="M1064" t="s">
        <v>15</v>
      </c>
    </row>
    <row r="1065" spans="1:13" x14ac:dyDescent="0.25">
      <c r="A1065">
        <v>1064</v>
      </c>
      <c r="B1065" t="s">
        <v>2140</v>
      </c>
      <c r="C1065" s="1">
        <v>37.4635642139</v>
      </c>
      <c r="D1065" s="1">
        <v>-7.17770508006</v>
      </c>
      <c r="E1065" s="3">
        <v>2</v>
      </c>
      <c r="F1065" s="2">
        <v>3</v>
      </c>
      <c r="G1065" s="4">
        <v>2</v>
      </c>
      <c r="H1065" s="13"/>
      <c r="I1065" s="15"/>
      <c r="J1065" s="19">
        <v>2</v>
      </c>
      <c r="K1065" s="2" t="s">
        <v>2141</v>
      </c>
      <c r="L1065" s="11" t="str">
        <f t="shared" si="17"/>
        <v>Ver Imagen</v>
      </c>
      <c r="M1065" t="s">
        <v>15</v>
      </c>
    </row>
    <row r="1066" spans="1:13" x14ac:dyDescent="0.25">
      <c r="A1066">
        <v>1065</v>
      </c>
      <c r="B1066" t="s">
        <v>2142</v>
      </c>
      <c r="C1066" s="1">
        <v>37.447378921400002</v>
      </c>
      <c r="D1066" s="1">
        <v>-7.1402554899000004</v>
      </c>
      <c r="E1066" s="3">
        <v>2</v>
      </c>
      <c r="F1066" s="2">
        <v>2</v>
      </c>
      <c r="G1066" s="4">
        <v>3</v>
      </c>
      <c r="H1066" s="13"/>
      <c r="I1066" s="15"/>
      <c r="J1066" s="19">
        <v>2</v>
      </c>
      <c r="K1066" s="2" t="s">
        <v>2143</v>
      </c>
      <c r="L1066" s="11" t="str">
        <f t="shared" si="17"/>
        <v>Ver Imagen</v>
      </c>
      <c r="M1066" t="s">
        <v>15</v>
      </c>
    </row>
    <row r="1067" spans="1:13" x14ac:dyDescent="0.25">
      <c r="A1067">
        <v>1066</v>
      </c>
      <c r="B1067" t="s">
        <v>2144</v>
      </c>
      <c r="C1067" s="1">
        <v>37.4786322932</v>
      </c>
      <c r="D1067" s="1">
        <v>-7.2071834993800001</v>
      </c>
      <c r="E1067" s="3">
        <v>2</v>
      </c>
      <c r="F1067" s="2">
        <v>3</v>
      </c>
      <c r="G1067" s="4">
        <v>2</v>
      </c>
      <c r="H1067" s="13"/>
      <c r="I1067" s="15"/>
      <c r="J1067" s="19">
        <v>2</v>
      </c>
      <c r="K1067" s="2" t="s">
        <v>2145</v>
      </c>
      <c r="L1067" s="11" t="str">
        <f t="shared" si="17"/>
        <v>Ver Imagen</v>
      </c>
      <c r="M1067" t="s">
        <v>15</v>
      </c>
    </row>
    <row r="1068" spans="1:13" x14ac:dyDescent="0.25">
      <c r="A1068">
        <v>1067</v>
      </c>
      <c r="B1068" t="s">
        <v>2146</v>
      </c>
      <c r="C1068" s="1">
        <v>37.4826754901</v>
      </c>
      <c r="D1068" s="1">
        <v>-7.2185206148300001</v>
      </c>
      <c r="E1068" s="3">
        <v>2</v>
      </c>
      <c r="F1068" s="2">
        <v>1</v>
      </c>
      <c r="G1068" s="4">
        <v>2</v>
      </c>
      <c r="H1068" s="13"/>
      <c r="I1068" s="15"/>
      <c r="J1068" s="19">
        <v>2</v>
      </c>
      <c r="K1068" s="2" t="s">
        <v>2147</v>
      </c>
      <c r="L1068" s="11" t="str">
        <f t="shared" si="17"/>
        <v>Ver Imagen</v>
      </c>
      <c r="M1068" t="s">
        <v>15</v>
      </c>
    </row>
    <row r="1069" spans="1:13" x14ac:dyDescent="0.25">
      <c r="A1069">
        <v>1068</v>
      </c>
      <c r="B1069" t="s">
        <v>2148</v>
      </c>
      <c r="C1069" s="1">
        <v>37.483045549800003</v>
      </c>
      <c r="D1069" s="1">
        <v>-7.2204195231300003</v>
      </c>
      <c r="E1069" s="3">
        <v>2</v>
      </c>
      <c r="F1069" s="2">
        <v>1</v>
      </c>
      <c r="G1069" s="4">
        <v>2</v>
      </c>
      <c r="H1069" s="13"/>
      <c r="I1069" s="15"/>
      <c r="J1069" s="19">
        <v>2</v>
      </c>
      <c r="K1069" s="2" t="s">
        <v>2149</v>
      </c>
      <c r="L1069" s="11" t="str">
        <f t="shared" si="17"/>
        <v>Ver Imagen</v>
      </c>
      <c r="M1069" t="s">
        <v>15</v>
      </c>
    </row>
    <row r="1070" spans="1:13" x14ac:dyDescent="0.25">
      <c r="A1070">
        <v>1069</v>
      </c>
      <c r="B1070" t="s">
        <v>2150</v>
      </c>
      <c r="C1070" s="1">
        <v>37.483202342799999</v>
      </c>
      <c r="D1070" s="1">
        <v>-7.2211973815999997</v>
      </c>
      <c r="E1070" s="3">
        <v>1</v>
      </c>
      <c r="F1070" s="2">
        <v>2</v>
      </c>
      <c r="G1070" s="4">
        <v>2</v>
      </c>
      <c r="H1070" s="13"/>
      <c r="I1070" s="15"/>
      <c r="J1070" s="19">
        <v>2</v>
      </c>
      <c r="K1070" s="2" t="s">
        <v>2151</v>
      </c>
      <c r="L1070" s="11" t="str">
        <f t="shared" si="17"/>
        <v>Ver Imagen</v>
      </c>
      <c r="M1070" t="s">
        <v>15</v>
      </c>
    </row>
    <row r="1071" spans="1:13" x14ac:dyDescent="0.25">
      <c r="A1071">
        <v>1070</v>
      </c>
      <c r="B1071" t="s">
        <v>2152</v>
      </c>
      <c r="C1071" s="1">
        <v>37.483251472100001</v>
      </c>
      <c r="D1071" s="1">
        <v>-7.2214457303800001</v>
      </c>
      <c r="E1071" s="3">
        <v>2</v>
      </c>
      <c r="F1071" s="2">
        <v>2</v>
      </c>
      <c r="G1071" s="4">
        <v>1</v>
      </c>
      <c r="H1071" s="13"/>
      <c r="I1071" s="15"/>
      <c r="J1071" s="19">
        <v>2</v>
      </c>
      <c r="K1071" s="2" t="s">
        <v>2153</v>
      </c>
      <c r="L1071" s="11" t="str">
        <f t="shared" si="17"/>
        <v>Ver Imagen</v>
      </c>
      <c r="M1071" t="s">
        <v>15</v>
      </c>
    </row>
    <row r="1072" spans="1:13" x14ac:dyDescent="0.25">
      <c r="A1072">
        <v>1071</v>
      </c>
      <c r="B1072" t="s">
        <v>2154</v>
      </c>
      <c r="C1072" s="1">
        <v>37.483343553899999</v>
      </c>
      <c r="D1072" s="1">
        <v>-7.2219134070999997</v>
      </c>
      <c r="E1072" s="3">
        <v>2</v>
      </c>
      <c r="F1072" s="2">
        <v>1</v>
      </c>
      <c r="G1072" s="4">
        <v>2</v>
      </c>
      <c r="H1072" s="13"/>
      <c r="I1072" s="15"/>
      <c r="J1072" s="19">
        <v>2</v>
      </c>
      <c r="K1072" s="2" t="s">
        <v>2155</v>
      </c>
      <c r="L1072" s="11" t="str">
        <f t="shared" si="17"/>
        <v>Ver Imagen</v>
      </c>
      <c r="M1072" t="s">
        <v>15</v>
      </c>
    </row>
    <row r="1073" spans="1:13" x14ac:dyDescent="0.25">
      <c r="A1073">
        <v>1072</v>
      </c>
      <c r="B1073" t="s">
        <v>2156</v>
      </c>
      <c r="C1073" s="1">
        <v>37.483388380500003</v>
      </c>
      <c r="D1073" s="1">
        <v>-7.2221399080999999</v>
      </c>
      <c r="E1073" s="3">
        <v>2</v>
      </c>
      <c r="F1073" s="2">
        <v>1</v>
      </c>
      <c r="G1073" s="4">
        <v>2</v>
      </c>
      <c r="H1073" s="13"/>
      <c r="I1073" s="15"/>
      <c r="J1073" s="19">
        <v>2</v>
      </c>
      <c r="K1073" s="2" t="s">
        <v>2157</v>
      </c>
      <c r="L1073" s="11" t="str">
        <f t="shared" si="17"/>
        <v>Ver Imagen</v>
      </c>
      <c r="M1073" t="s">
        <v>15</v>
      </c>
    </row>
    <row r="1074" spans="1:13" x14ac:dyDescent="0.25">
      <c r="A1074">
        <v>1073</v>
      </c>
      <c r="B1074" t="s">
        <v>2158</v>
      </c>
      <c r="C1074" s="1">
        <v>37.484110803</v>
      </c>
      <c r="D1074" s="1">
        <v>-7.2258791987100004</v>
      </c>
      <c r="E1074" s="3">
        <v>1</v>
      </c>
      <c r="F1074" s="2">
        <v>2</v>
      </c>
      <c r="G1074" s="4">
        <v>2</v>
      </c>
      <c r="H1074" s="13"/>
      <c r="I1074" s="15"/>
      <c r="J1074" s="19">
        <v>2</v>
      </c>
      <c r="K1074" s="2" t="s">
        <v>2159</v>
      </c>
      <c r="L1074" s="11" t="str">
        <f t="shared" si="17"/>
        <v>Ver Imagen</v>
      </c>
      <c r="M1074" t="s">
        <v>15</v>
      </c>
    </row>
    <row r="1075" spans="1:13" x14ac:dyDescent="0.25">
      <c r="A1075">
        <v>1074</v>
      </c>
      <c r="B1075" t="s">
        <v>2160</v>
      </c>
      <c r="C1075" s="1">
        <v>37.484498677300003</v>
      </c>
      <c r="D1075" s="1">
        <v>-7.2278759711699996</v>
      </c>
      <c r="E1075" s="3">
        <v>1</v>
      </c>
      <c r="F1075" s="2">
        <v>2</v>
      </c>
      <c r="G1075" s="4">
        <v>2</v>
      </c>
      <c r="H1075" s="13"/>
      <c r="I1075" s="15"/>
      <c r="J1075" s="19">
        <v>2</v>
      </c>
      <c r="K1075" s="2" t="s">
        <v>2161</v>
      </c>
      <c r="L1075" s="11" t="str">
        <f t="shared" si="17"/>
        <v>Ver Imagen</v>
      </c>
      <c r="M1075" t="s">
        <v>15</v>
      </c>
    </row>
    <row r="1076" spans="1:13" x14ac:dyDescent="0.25">
      <c r="A1076">
        <v>1075</v>
      </c>
      <c r="B1076" t="s">
        <v>2162</v>
      </c>
      <c r="C1076" s="1">
        <v>37.484837503599998</v>
      </c>
      <c r="D1076" s="1">
        <v>-7.2296107149299997</v>
      </c>
      <c r="E1076" s="3">
        <v>2</v>
      </c>
      <c r="F1076" s="2">
        <v>2</v>
      </c>
      <c r="G1076" s="4">
        <v>1</v>
      </c>
      <c r="H1076" s="13"/>
      <c r="I1076" s="15"/>
      <c r="J1076" s="19">
        <v>2</v>
      </c>
      <c r="K1076" s="2" t="s">
        <v>2163</v>
      </c>
      <c r="L1076" s="11" t="str">
        <f t="shared" si="17"/>
        <v>Ver Imagen</v>
      </c>
      <c r="M1076" t="s">
        <v>15</v>
      </c>
    </row>
    <row r="1077" spans="1:13" x14ac:dyDescent="0.25">
      <c r="A1077">
        <v>1076</v>
      </c>
      <c r="B1077" t="s">
        <v>2164</v>
      </c>
      <c r="C1077" s="1">
        <v>37.484930216499997</v>
      </c>
      <c r="D1077" s="1">
        <v>-7.2300892319400001</v>
      </c>
      <c r="E1077" s="3">
        <v>1</v>
      </c>
      <c r="F1077" s="2">
        <v>2</v>
      </c>
      <c r="G1077" s="4">
        <v>2</v>
      </c>
      <c r="H1077" s="13"/>
      <c r="I1077" s="15"/>
      <c r="J1077" s="19">
        <v>2</v>
      </c>
      <c r="K1077" s="2" t="s">
        <v>2165</v>
      </c>
      <c r="L1077" s="11" t="str">
        <f t="shared" si="17"/>
        <v>Ver Imagen</v>
      </c>
      <c r="M1077" t="s">
        <v>15</v>
      </c>
    </row>
    <row r="1078" spans="1:13" x14ac:dyDescent="0.25">
      <c r="A1078">
        <v>1077</v>
      </c>
      <c r="B1078" t="s">
        <v>2166</v>
      </c>
      <c r="C1078" s="1">
        <v>37.485213518599998</v>
      </c>
      <c r="D1078" s="1">
        <v>-7.2315560145499997</v>
      </c>
      <c r="E1078" s="3">
        <v>1</v>
      </c>
      <c r="F1078" s="2">
        <v>2</v>
      </c>
      <c r="G1078" s="4">
        <v>2</v>
      </c>
      <c r="H1078" s="13"/>
      <c r="I1078" s="15"/>
      <c r="J1078" s="19">
        <v>2</v>
      </c>
      <c r="K1078" s="2" t="s">
        <v>2167</v>
      </c>
      <c r="L1078" s="11" t="str">
        <f t="shared" si="17"/>
        <v>Ver Imagen</v>
      </c>
      <c r="M1078" t="s">
        <v>15</v>
      </c>
    </row>
    <row r="1079" spans="1:13" x14ac:dyDescent="0.25">
      <c r="A1079">
        <v>1078</v>
      </c>
      <c r="B1079" t="s">
        <v>2168</v>
      </c>
      <c r="C1079" s="1">
        <v>37.485399066299998</v>
      </c>
      <c r="D1079" s="1">
        <v>-7.2325335578900001</v>
      </c>
      <c r="E1079" s="3">
        <v>1</v>
      </c>
      <c r="F1079" s="2">
        <v>2</v>
      </c>
      <c r="G1079" s="4">
        <v>2</v>
      </c>
      <c r="H1079" s="13"/>
      <c r="I1079" s="15"/>
      <c r="J1079" s="19">
        <v>2</v>
      </c>
      <c r="K1079" s="2" t="s">
        <v>2169</v>
      </c>
      <c r="L1079" s="11" t="str">
        <f t="shared" si="17"/>
        <v>Ver Imagen</v>
      </c>
      <c r="M1079" t="s">
        <v>15</v>
      </c>
    </row>
    <row r="1080" spans="1:13" x14ac:dyDescent="0.25">
      <c r="A1080">
        <v>1079</v>
      </c>
      <c r="B1080" t="s">
        <v>2170</v>
      </c>
      <c r="C1080" s="1">
        <v>37.486482768000002</v>
      </c>
      <c r="D1080" s="1">
        <v>-7.2381753529299999</v>
      </c>
      <c r="E1080" s="3">
        <v>1</v>
      </c>
      <c r="F1080" s="2">
        <v>2</v>
      </c>
      <c r="G1080" s="4">
        <v>2</v>
      </c>
      <c r="H1080" s="13"/>
      <c r="I1080" s="15"/>
      <c r="J1080" s="19">
        <v>2</v>
      </c>
      <c r="K1080" s="2" t="s">
        <v>2171</v>
      </c>
      <c r="L1080" s="11" t="str">
        <f t="shared" si="17"/>
        <v>Ver Imagen</v>
      </c>
      <c r="M1080" t="s">
        <v>15</v>
      </c>
    </row>
    <row r="1081" spans="1:13" x14ac:dyDescent="0.25">
      <c r="A1081">
        <v>1080</v>
      </c>
      <c r="B1081" t="s">
        <v>2172</v>
      </c>
      <c r="C1081" s="1">
        <v>37.486683657599997</v>
      </c>
      <c r="D1081" s="1">
        <v>-7.2392218968200002</v>
      </c>
      <c r="E1081" s="3">
        <v>1</v>
      </c>
      <c r="F1081" s="2">
        <v>2</v>
      </c>
      <c r="G1081" s="4">
        <v>2</v>
      </c>
      <c r="H1081" s="13"/>
      <c r="I1081" s="15"/>
      <c r="J1081" s="19">
        <v>2</v>
      </c>
      <c r="K1081" s="2" t="s">
        <v>2173</v>
      </c>
      <c r="L1081" s="11" t="str">
        <f t="shared" si="17"/>
        <v>Ver Imagen</v>
      </c>
      <c r="M1081" t="s">
        <v>15</v>
      </c>
    </row>
    <row r="1082" spans="1:13" x14ac:dyDescent="0.25">
      <c r="A1082">
        <v>1081</v>
      </c>
      <c r="B1082" t="s">
        <v>2174</v>
      </c>
      <c r="C1082" s="1">
        <v>37.486731324899999</v>
      </c>
      <c r="D1082" s="1">
        <v>-7.2394618185299997</v>
      </c>
      <c r="E1082" s="3">
        <v>1</v>
      </c>
      <c r="F1082" s="2">
        <v>2</v>
      </c>
      <c r="G1082" s="4">
        <v>2</v>
      </c>
      <c r="H1082" s="13"/>
      <c r="I1082" s="15"/>
      <c r="J1082" s="19">
        <v>2</v>
      </c>
      <c r="K1082" s="2" t="s">
        <v>2175</v>
      </c>
      <c r="L1082" s="11" t="str">
        <f t="shared" si="17"/>
        <v>Ver Imagen</v>
      </c>
      <c r="M1082" t="s">
        <v>15</v>
      </c>
    </row>
    <row r="1083" spans="1:13" x14ac:dyDescent="0.25">
      <c r="A1083">
        <v>1082</v>
      </c>
      <c r="B1083" t="s">
        <v>2176</v>
      </c>
      <c r="C1083" s="1">
        <v>37.4867795734</v>
      </c>
      <c r="D1083" s="1">
        <v>-7.2397026844500001</v>
      </c>
      <c r="E1083" s="3">
        <v>1</v>
      </c>
      <c r="F1083" s="2">
        <v>2</v>
      </c>
      <c r="G1083" s="4">
        <v>2</v>
      </c>
      <c r="H1083" s="13"/>
      <c r="I1083" s="15"/>
      <c r="J1083" s="19">
        <v>2</v>
      </c>
      <c r="K1083" s="2" t="s">
        <v>2177</v>
      </c>
      <c r="L1083" s="11" t="str">
        <f t="shared" si="17"/>
        <v>Ver Imagen</v>
      </c>
      <c r="M1083" t="s">
        <v>15</v>
      </c>
    </row>
    <row r="1084" spans="1:13" x14ac:dyDescent="0.25">
      <c r="A1084">
        <v>1083</v>
      </c>
      <c r="B1084" t="s">
        <v>2178</v>
      </c>
      <c r="C1084" s="1">
        <v>37.486928915599997</v>
      </c>
      <c r="D1084" s="1">
        <v>-7.2404904345899999</v>
      </c>
      <c r="E1084" s="3">
        <v>1</v>
      </c>
      <c r="F1084" s="2">
        <v>2</v>
      </c>
      <c r="G1084" s="4">
        <v>2</v>
      </c>
      <c r="H1084" s="13"/>
      <c r="I1084" s="15"/>
      <c r="J1084" s="19">
        <v>2</v>
      </c>
      <c r="K1084" s="2" t="s">
        <v>2179</v>
      </c>
      <c r="L1084" s="11" t="str">
        <f t="shared" si="17"/>
        <v>Ver Imagen</v>
      </c>
      <c r="M1084" t="s">
        <v>15</v>
      </c>
    </row>
    <row r="1085" spans="1:13" x14ac:dyDescent="0.25">
      <c r="A1085">
        <v>1084</v>
      </c>
      <c r="B1085" t="s">
        <v>2180</v>
      </c>
      <c r="C1085" s="1">
        <v>37.486961470300002</v>
      </c>
      <c r="D1085" s="1">
        <v>-7.2407112553499999</v>
      </c>
      <c r="E1085" s="3">
        <v>1</v>
      </c>
      <c r="F1085" s="2">
        <v>2</v>
      </c>
      <c r="G1085" s="4">
        <v>2</v>
      </c>
      <c r="H1085" s="13"/>
      <c r="I1085" s="15"/>
      <c r="J1085" s="19">
        <v>2</v>
      </c>
      <c r="K1085" s="2" t="s">
        <v>2181</v>
      </c>
      <c r="L1085" s="11" t="str">
        <f t="shared" si="17"/>
        <v>Ver Imagen</v>
      </c>
      <c r="M1085" t="s">
        <v>15</v>
      </c>
    </row>
    <row r="1086" spans="1:13" x14ac:dyDescent="0.25">
      <c r="A1086">
        <v>1085</v>
      </c>
      <c r="B1086" t="s">
        <v>2182</v>
      </c>
      <c r="C1086" s="1">
        <v>37.487077683899997</v>
      </c>
      <c r="D1086" s="1">
        <v>-7.2419504312700003</v>
      </c>
      <c r="E1086" s="3">
        <v>1</v>
      </c>
      <c r="F1086" s="2">
        <v>2</v>
      </c>
      <c r="G1086" s="4">
        <v>2</v>
      </c>
      <c r="H1086" s="13"/>
      <c r="I1086" s="15"/>
      <c r="J1086" s="19">
        <v>2</v>
      </c>
      <c r="K1086" s="2" t="s">
        <v>2183</v>
      </c>
      <c r="L1086" s="11" t="str">
        <f t="shared" si="17"/>
        <v>Ver Imagen</v>
      </c>
      <c r="M1086" t="s">
        <v>15</v>
      </c>
    </row>
    <row r="1087" spans="1:13" x14ac:dyDescent="0.25">
      <c r="A1087">
        <v>1086</v>
      </c>
      <c r="B1087" t="s">
        <v>2184</v>
      </c>
      <c r="C1087" s="1">
        <v>37.487327094599998</v>
      </c>
      <c r="D1087" s="1">
        <v>-7.2436734957300004</v>
      </c>
      <c r="E1087" s="3">
        <v>1</v>
      </c>
      <c r="F1087" s="2">
        <v>2</v>
      </c>
      <c r="G1087" s="4">
        <v>2</v>
      </c>
      <c r="H1087" s="13"/>
      <c r="I1087" s="15"/>
      <c r="J1087" s="19">
        <v>2</v>
      </c>
      <c r="K1087" s="2" t="s">
        <v>2185</v>
      </c>
      <c r="L1087" s="11" t="str">
        <f t="shared" si="17"/>
        <v>Ver Imagen</v>
      </c>
      <c r="M1087" t="s">
        <v>15</v>
      </c>
    </row>
    <row r="1088" spans="1:13" x14ac:dyDescent="0.25">
      <c r="A1088">
        <v>1087</v>
      </c>
      <c r="B1088" t="s">
        <v>2186</v>
      </c>
      <c r="C1088" s="1">
        <v>37.488699366100001</v>
      </c>
      <c r="D1088" s="1">
        <v>-7.24714521853</v>
      </c>
      <c r="E1088" s="3">
        <v>1</v>
      </c>
      <c r="F1088" s="2">
        <v>2</v>
      </c>
      <c r="G1088" s="4">
        <v>2</v>
      </c>
      <c r="H1088" s="13"/>
      <c r="I1088" s="15"/>
      <c r="J1088" s="19">
        <v>2</v>
      </c>
      <c r="K1088" s="2" t="s">
        <v>2187</v>
      </c>
      <c r="L1088" s="11" t="str">
        <f t="shared" si="17"/>
        <v>Ver Imagen</v>
      </c>
      <c r="M1088" t="s">
        <v>15</v>
      </c>
    </row>
    <row r="1089" spans="1:13" x14ac:dyDescent="0.25">
      <c r="A1089">
        <v>1088</v>
      </c>
      <c r="B1089" t="s">
        <v>2188</v>
      </c>
      <c r="C1089" s="1">
        <v>37.488784744599997</v>
      </c>
      <c r="D1089" s="1">
        <v>-7.2473074355199998</v>
      </c>
      <c r="E1089" s="3">
        <v>1</v>
      </c>
      <c r="F1089" s="2">
        <v>2</v>
      </c>
      <c r="G1089" s="4">
        <v>2</v>
      </c>
      <c r="H1089" s="13"/>
      <c r="I1089" s="15"/>
      <c r="J1089" s="19">
        <v>2</v>
      </c>
      <c r="K1089" s="2" t="s">
        <v>2189</v>
      </c>
      <c r="L1089" s="11" t="str">
        <f t="shared" si="17"/>
        <v>Ver Imagen</v>
      </c>
      <c r="M1089" t="s">
        <v>15</v>
      </c>
    </row>
    <row r="1090" spans="1:13" x14ac:dyDescent="0.25">
      <c r="A1090">
        <v>1089</v>
      </c>
      <c r="B1090" t="s">
        <v>2190</v>
      </c>
      <c r="C1090" s="1">
        <v>37.491165764800002</v>
      </c>
      <c r="D1090" s="1">
        <v>-7.26068468316</v>
      </c>
      <c r="E1090" s="3">
        <v>2</v>
      </c>
      <c r="F1090" s="2">
        <v>2</v>
      </c>
      <c r="G1090" s="4">
        <v>3</v>
      </c>
      <c r="H1090" s="13"/>
      <c r="I1090" s="15"/>
      <c r="J1090" s="19">
        <v>2</v>
      </c>
      <c r="K1090" s="2" t="s">
        <v>2191</v>
      </c>
      <c r="L1090" s="11" t="str">
        <f t="shared" si="17"/>
        <v>Ver Imagen</v>
      </c>
      <c r="M1090" t="s">
        <v>15</v>
      </c>
    </row>
    <row r="1091" spans="1:13" x14ac:dyDescent="0.25">
      <c r="A1091">
        <v>1090</v>
      </c>
      <c r="B1091" t="s">
        <v>2192</v>
      </c>
      <c r="C1091" s="1">
        <v>37.493060102900003</v>
      </c>
      <c r="D1091" s="1">
        <v>-7.2632734550800002</v>
      </c>
      <c r="E1091" s="3">
        <v>1</v>
      </c>
      <c r="F1091" s="2">
        <v>2</v>
      </c>
      <c r="G1091" s="4">
        <v>2</v>
      </c>
      <c r="H1091" s="13"/>
      <c r="I1091" s="15"/>
      <c r="J1091" s="19">
        <v>2</v>
      </c>
      <c r="K1091" s="2" t="s">
        <v>2193</v>
      </c>
      <c r="L1091" s="11" t="str">
        <f t="shared" ref="L1091:L1154" si="18">HYPERLINK("2\1\" &amp; K1091, "Ver Imagen")</f>
        <v>Ver Imagen</v>
      </c>
      <c r="M1091" t="s">
        <v>15</v>
      </c>
    </row>
    <row r="1092" spans="1:13" x14ac:dyDescent="0.25">
      <c r="A1092">
        <v>1091</v>
      </c>
      <c r="B1092" t="s">
        <v>2194</v>
      </c>
      <c r="C1092" s="1">
        <v>37.278348407499998</v>
      </c>
      <c r="D1092" s="1">
        <v>-6.99312143569</v>
      </c>
      <c r="E1092" s="3">
        <v>2</v>
      </c>
      <c r="F1092" s="2">
        <v>2</v>
      </c>
      <c r="G1092" s="4">
        <v>3</v>
      </c>
      <c r="H1092" s="13"/>
      <c r="I1092" s="15"/>
      <c r="J1092" s="19">
        <v>2</v>
      </c>
      <c r="K1092" s="2" t="s">
        <v>2195</v>
      </c>
      <c r="L1092" s="11" t="str">
        <f t="shared" si="18"/>
        <v>Ver Imagen</v>
      </c>
      <c r="M1092" t="s">
        <v>15</v>
      </c>
    </row>
    <row r="1093" spans="1:13" x14ac:dyDescent="0.25">
      <c r="A1093">
        <v>1092</v>
      </c>
      <c r="B1093" t="s">
        <v>2196</v>
      </c>
      <c r="C1093" s="1">
        <v>37.278462008200002</v>
      </c>
      <c r="D1093" s="1">
        <v>-6.9932942289</v>
      </c>
      <c r="E1093" s="3">
        <v>2</v>
      </c>
      <c r="F1093" s="2">
        <v>2</v>
      </c>
      <c r="G1093" s="4">
        <v>3</v>
      </c>
      <c r="H1093" s="13"/>
      <c r="I1093" s="15"/>
      <c r="J1093" s="19">
        <v>2</v>
      </c>
      <c r="K1093" s="2" t="s">
        <v>2197</v>
      </c>
      <c r="L1093" s="11" t="str">
        <f t="shared" si="18"/>
        <v>Ver Imagen</v>
      </c>
      <c r="M1093" t="s">
        <v>15</v>
      </c>
    </row>
    <row r="1094" spans="1:13" x14ac:dyDescent="0.25">
      <c r="A1094">
        <v>1093</v>
      </c>
      <c r="B1094" t="s">
        <v>2198</v>
      </c>
      <c r="C1094" s="1">
        <v>37.278564891400002</v>
      </c>
      <c r="D1094" s="1">
        <v>-6.9934647929700002</v>
      </c>
      <c r="E1094" s="3">
        <v>1</v>
      </c>
      <c r="F1094" s="2">
        <v>2</v>
      </c>
      <c r="G1094" s="4">
        <v>2</v>
      </c>
      <c r="H1094" s="13"/>
      <c r="I1094" s="15"/>
      <c r="J1094" s="19">
        <v>2</v>
      </c>
      <c r="K1094" s="2" t="s">
        <v>2199</v>
      </c>
      <c r="L1094" s="11" t="str">
        <f t="shared" si="18"/>
        <v>Ver Imagen</v>
      </c>
      <c r="M1094" t="s">
        <v>15</v>
      </c>
    </row>
    <row r="1095" spans="1:13" x14ac:dyDescent="0.25">
      <c r="A1095">
        <v>1094</v>
      </c>
      <c r="B1095" t="s">
        <v>2200</v>
      </c>
      <c r="C1095" s="1">
        <v>37.280624828299999</v>
      </c>
      <c r="D1095" s="1">
        <v>-7.0025073962700004</v>
      </c>
      <c r="E1095" s="3">
        <v>2</v>
      </c>
      <c r="F1095" s="2">
        <v>2</v>
      </c>
      <c r="G1095" s="4">
        <v>3</v>
      </c>
      <c r="H1095" s="13"/>
      <c r="I1095" s="15"/>
      <c r="J1095" s="19">
        <v>2</v>
      </c>
      <c r="K1095" s="2" t="s">
        <v>2201</v>
      </c>
      <c r="L1095" s="11" t="str">
        <f t="shared" si="18"/>
        <v>Ver Imagen</v>
      </c>
      <c r="M1095" t="s">
        <v>15</v>
      </c>
    </row>
    <row r="1096" spans="1:13" x14ac:dyDescent="0.25">
      <c r="A1096">
        <v>1095</v>
      </c>
      <c r="B1096" t="s">
        <v>2202</v>
      </c>
      <c r="C1096" s="1">
        <v>37.280703959100002</v>
      </c>
      <c r="D1096" s="1">
        <v>-7.0032815365700003</v>
      </c>
      <c r="E1096" s="3">
        <v>2</v>
      </c>
      <c r="F1096" s="2">
        <v>2</v>
      </c>
      <c r="G1096" s="4">
        <v>3</v>
      </c>
      <c r="H1096" s="13"/>
      <c r="I1096" s="15"/>
      <c r="J1096" s="19">
        <v>2</v>
      </c>
      <c r="K1096" s="2" t="s">
        <v>2203</v>
      </c>
      <c r="L1096" s="11" t="str">
        <f t="shared" si="18"/>
        <v>Ver Imagen</v>
      </c>
      <c r="M1096" t="s">
        <v>15</v>
      </c>
    </row>
    <row r="1097" spans="1:13" x14ac:dyDescent="0.25">
      <c r="A1097">
        <v>1096</v>
      </c>
      <c r="B1097" t="s">
        <v>2204</v>
      </c>
      <c r="C1097" s="1">
        <v>37.279068022700002</v>
      </c>
      <c r="D1097" s="1">
        <v>-7.0083858676100004</v>
      </c>
      <c r="E1097" s="3">
        <v>2</v>
      </c>
      <c r="F1097" s="2">
        <v>2</v>
      </c>
      <c r="G1097" s="4">
        <v>3</v>
      </c>
      <c r="H1097" s="13"/>
      <c r="I1097" s="15"/>
      <c r="J1097" s="19">
        <v>2</v>
      </c>
      <c r="K1097" s="2" t="s">
        <v>2205</v>
      </c>
      <c r="L1097" s="11" t="str">
        <f t="shared" si="18"/>
        <v>Ver Imagen</v>
      </c>
      <c r="M1097" t="s">
        <v>15</v>
      </c>
    </row>
    <row r="1098" spans="1:13" x14ac:dyDescent="0.25">
      <c r="A1098">
        <v>1097</v>
      </c>
      <c r="B1098" t="s">
        <v>2206</v>
      </c>
      <c r="C1098" s="1">
        <v>37.278892160799998</v>
      </c>
      <c r="D1098" s="1">
        <v>-7.0088355695000004</v>
      </c>
      <c r="E1098" s="3">
        <v>2</v>
      </c>
      <c r="F1098" s="2">
        <v>2</v>
      </c>
      <c r="G1098" s="4">
        <v>3</v>
      </c>
      <c r="H1098" s="13"/>
      <c r="I1098" s="15"/>
      <c r="J1098" s="19">
        <v>2</v>
      </c>
      <c r="K1098" s="2" t="s">
        <v>2207</v>
      </c>
      <c r="L1098" s="11" t="str">
        <f t="shared" si="18"/>
        <v>Ver Imagen</v>
      </c>
      <c r="M1098" t="s">
        <v>15</v>
      </c>
    </row>
    <row r="1099" spans="1:13" x14ac:dyDescent="0.25">
      <c r="A1099">
        <v>1098</v>
      </c>
      <c r="B1099" t="s">
        <v>2208</v>
      </c>
      <c r="C1099" s="1">
        <v>37.2786058561</v>
      </c>
      <c r="D1099" s="1">
        <v>-7.0095355537800001</v>
      </c>
      <c r="E1099" s="3">
        <v>2</v>
      </c>
      <c r="F1099" s="2">
        <v>2</v>
      </c>
      <c r="G1099" s="4">
        <v>3</v>
      </c>
      <c r="H1099" s="13"/>
      <c r="I1099" s="15"/>
      <c r="J1099" s="19">
        <v>2</v>
      </c>
      <c r="K1099" s="2" t="s">
        <v>2209</v>
      </c>
      <c r="L1099" s="11" t="str">
        <f t="shared" si="18"/>
        <v>Ver Imagen</v>
      </c>
      <c r="M1099" t="s">
        <v>15</v>
      </c>
    </row>
    <row r="1100" spans="1:13" x14ac:dyDescent="0.25">
      <c r="A1100">
        <v>1099</v>
      </c>
      <c r="B1100" t="s">
        <v>2210</v>
      </c>
      <c r="C1100" s="1">
        <v>37.2774943573</v>
      </c>
      <c r="D1100" s="1">
        <v>-7.0116490918899999</v>
      </c>
      <c r="E1100" s="3">
        <v>2</v>
      </c>
      <c r="F1100" s="2">
        <v>2</v>
      </c>
      <c r="G1100" s="4">
        <v>3</v>
      </c>
      <c r="H1100" s="13"/>
      <c r="I1100" s="15"/>
      <c r="J1100" s="19">
        <v>2</v>
      </c>
      <c r="K1100" s="2" t="s">
        <v>2211</v>
      </c>
      <c r="L1100" s="11" t="str">
        <f t="shared" si="18"/>
        <v>Ver Imagen</v>
      </c>
      <c r="M1100" t="s">
        <v>15</v>
      </c>
    </row>
    <row r="1101" spans="1:13" x14ac:dyDescent="0.25">
      <c r="A1101">
        <v>1100</v>
      </c>
      <c r="B1101" t="s">
        <v>2212</v>
      </c>
      <c r="C1101" s="1">
        <v>37.275381810100001</v>
      </c>
      <c r="D1101" s="1">
        <v>-7.0169980051699996</v>
      </c>
      <c r="E1101" s="3">
        <v>1</v>
      </c>
      <c r="F1101" s="2">
        <v>2</v>
      </c>
      <c r="G1101" s="4">
        <v>2</v>
      </c>
      <c r="H1101" s="13"/>
      <c r="I1101" s="15"/>
      <c r="J1101" s="19">
        <v>2</v>
      </c>
      <c r="K1101" s="2" t="s">
        <v>2213</v>
      </c>
      <c r="L1101" s="11" t="str">
        <f t="shared" si="18"/>
        <v>Ver Imagen</v>
      </c>
      <c r="M1101" t="s">
        <v>15</v>
      </c>
    </row>
    <row r="1102" spans="1:13" x14ac:dyDescent="0.25">
      <c r="A1102">
        <v>1101</v>
      </c>
      <c r="B1102" t="s">
        <v>2214</v>
      </c>
      <c r="C1102" s="1">
        <v>37.275478497000002</v>
      </c>
      <c r="D1102" s="1">
        <v>-7.0177737422900002</v>
      </c>
      <c r="E1102" s="3">
        <v>1</v>
      </c>
      <c r="F1102" s="2">
        <v>2</v>
      </c>
      <c r="G1102" s="4">
        <v>2</v>
      </c>
      <c r="H1102" s="13"/>
      <c r="I1102" s="15"/>
      <c r="J1102" s="19">
        <v>2</v>
      </c>
      <c r="K1102" s="2" t="s">
        <v>2215</v>
      </c>
      <c r="L1102" s="11" t="str">
        <f t="shared" si="18"/>
        <v>Ver Imagen</v>
      </c>
      <c r="M1102" t="s">
        <v>15</v>
      </c>
    </row>
    <row r="1103" spans="1:13" x14ac:dyDescent="0.25">
      <c r="A1103">
        <v>1102</v>
      </c>
      <c r="B1103" t="s">
        <v>2216</v>
      </c>
      <c r="C1103" s="1">
        <v>37.275513091400001</v>
      </c>
      <c r="D1103" s="1">
        <v>-7.0180225759099999</v>
      </c>
      <c r="E1103" s="3">
        <v>1</v>
      </c>
      <c r="F1103" s="2">
        <v>2</v>
      </c>
      <c r="G1103" s="4">
        <v>2</v>
      </c>
      <c r="H1103" s="13"/>
      <c r="I1103" s="15"/>
      <c r="J1103" s="19">
        <v>2</v>
      </c>
      <c r="K1103" s="2" t="s">
        <v>2217</v>
      </c>
      <c r="L1103" s="11" t="str">
        <f t="shared" si="18"/>
        <v>Ver Imagen</v>
      </c>
      <c r="M1103" t="s">
        <v>15</v>
      </c>
    </row>
    <row r="1104" spans="1:13" x14ac:dyDescent="0.25">
      <c r="A1104">
        <v>1103</v>
      </c>
      <c r="B1104" t="s">
        <v>2218</v>
      </c>
      <c r="C1104" s="1">
        <v>37.275579800599999</v>
      </c>
      <c r="D1104" s="1">
        <v>-7.0184888852</v>
      </c>
      <c r="E1104" s="3">
        <v>1</v>
      </c>
      <c r="F1104" s="2">
        <v>2</v>
      </c>
      <c r="G1104" s="4">
        <v>2</v>
      </c>
      <c r="H1104" s="13"/>
      <c r="I1104" s="15"/>
      <c r="J1104" s="19">
        <v>2</v>
      </c>
      <c r="K1104" s="2" t="s">
        <v>2219</v>
      </c>
      <c r="L1104" s="11" t="str">
        <f t="shared" si="18"/>
        <v>Ver Imagen</v>
      </c>
      <c r="M1104" t="s">
        <v>15</v>
      </c>
    </row>
    <row r="1105" spans="1:13" x14ac:dyDescent="0.25">
      <c r="A1105">
        <v>1104</v>
      </c>
      <c r="B1105" t="s">
        <v>2220</v>
      </c>
      <c r="C1105" s="1">
        <v>37.275890880399999</v>
      </c>
      <c r="D1105" s="1">
        <v>-7.0207924990799997</v>
      </c>
      <c r="E1105" s="3">
        <v>2</v>
      </c>
      <c r="F1105" s="2">
        <v>2</v>
      </c>
      <c r="G1105" s="4">
        <v>3</v>
      </c>
      <c r="H1105" s="13"/>
      <c r="I1105" s="15"/>
      <c r="J1105" s="19">
        <v>2</v>
      </c>
      <c r="K1105" s="2" t="s">
        <v>2221</v>
      </c>
      <c r="L1105" s="11" t="str">
        <f t="shared" si="18"/>
        <v>Ver Imagen</v>
      </c>
      <c r="M1105" t="s">
        <v>15</v>
      </c>
    </row>
    <row r="1106" spans="1:13" x14ac:dyDescent="0.25">
      <c r="A1106">
        <v>1105</v>
      </c>
      <c r="B1106" t="s">
        <v>2222</v>
      </c>
      <c r="C1106" s="1">
        <v>37.275912108</v>
      </c>
      <c r="D1106" s="1">
        <v>-7.0209519658800001</v>
      </c>
      <c r="E1106" s="3">
        <v>2</v>
      </c>
      <c r="F1106" s="2">
        <v>2</v>
      </c>
      <c r="G1106" s="4">
        <v>3</v>
      </c>
      <c r="H1106" s="13"/>
      <c r="I1106" s="15"/>
      <c r="J1106" s="19">
        <v>2</v>
      </c>
      <c r="K1106" s="2" t="s">
        <v>2223</v>
      </c>
      <c r="L1106" s="11" t="str">
        <f t="shared" si="18"/>
        <v>Ver Imagen</v>
      </c>
      <c r="M1106" t="s">
        <v>15</v>
      </c>
    </row>
    <row r="1107" spans="1:13" x14ac:dyDescent="0.25">
      <c r="A1107">
        <v>1106</v>
      </c>
      <c r="B1107" t="s">
        <v>2224</v>
      </c>
      <c r="C1107" s="1">
        <v>37.276438372699999</v>
      </c>
      <c r="D1107" s="1">
        <v>-7.02472882064</v>
      </c>
      <c r="E1107" s="3">
        <v>2</v>
      </c>
      <c r="F1107" s="2">
        <v>2</v>
      </c>
      <c r="G1107" s="4">
        <v>3</v>
      </c>
      <c r="H1107" s="13"/>
      <c r="I1107" s="15"/>
      <c r="J1107" s="19">
        <v>2</v>
      </c>
      <c r="K1107" s="2" t="s">
        <v>2225</v>
      </c>
      <c r="L1107" s="11" t="str">
        <f t="shared" si="18"/>
        <v>Ver Imagen</v>
      </c>
      <c r="M1107" t="s">
        <v>15</v>
      </c>
    </row>
    <row r="1108" spans="1:13" x14ac:dyDescent="0.25">
      <c r="A1108">
        <v>1107</v>
      </c>
      <c r="B1108" t="s">
        <v>2226</v>
      </c>
      <c r="C1108" s="1">
        <v>37.276488993400001</v>
      </c>
      <c r="D1108" s="1">
        <v>-7.0250745329499997</v>
      </c>
      <c r="E1108" s="3">
        <v>2</v>
      </c>
      <c r="F1108" s="2">
        <v>2</v>
      </c>
      <c r="G1108" s="4">
        <v>3</v>
      </c>
      <c r="H1108" s="13"/>
      <c r="I1108" s="15"/>
      <c r="J1108" s="19">
        <v>2</v>
      </c>
      <c r="K1108" s="2" t="s">
        <v>2227</v>
      </c>
      <c r="L1108" s="11" t="str">
        <f t="shared" si="18"/>
        <v>Ver Imagen</v>
      </c>
      <c r="M1108" t="s">
        <v>15</v>
      </c>
    </row>
    <row r="1109" spans="1:13" x14ac:dyDescent="0.25">
      <c r="A1109">
        <v>1108</v>
      </c>
      <c r="B1109" t="s">
        <v>2228</v>
      </c>
      <c r="C1109" s="1">
        <v>37.276516854299999</v>
      </c>
      <c r="D1109" s="1">
        <v>-7.0252700410399997</v>
      </c>
      <c r="E1109" s="3">
        <v>2</v>
      </c>
      <c r="F1109" s="2">
        <v>2</v>
      </c>
      <c r="G1109" s="4">
        <v>3</v>
      </c>
      <c r="H1109" s="13"/>
      <c r="I1109" s="15"/>
      <c r="J1109" s="19">
        <v>2</v>
      </c>
      <c r="K1109" s="2" t="s">
        <v>2229</v>
      </c>
      <c r="L1109" s="11" t="str">
        <f t="shared" si="18"/>
        <v>Ver Imagen</v>
      </c>
      <c r="M1109" t="s">
        <v>15</v>
      </c>
    </row>
    <row r="1110" spans="1:13" x14ac:dyDescent="0.25">
      <c r="A1110">
        <v>1109</v>
      </c>
      <c r="B1110" t="s">
        <v>2230</v>
      </c>
      <c r="C1110" s="1">
        <v>37.276548482199999</v>
      </c>
      <c r="D1110" s="1">
        <v>-7.02549559768</v>
      </c>
      <c r="E1110" s="3">
        <v>2</v>
      </c>
      <c r="F1110" s="2">
        <v>2</v>
      </c>
      <c r="G1110" s="4">
        <v>3</v>
      </c>
      <c r="H1110" s="13"/>
      <c r="I1110" s="15"/>
      <c r="J1110" s="19">
        <v>2</v>
      </c>
      <c r="K1110" s="2" t="s">
        <v>2231</v>
      </c>
      <c r="L1110" s="11" t="str">
        <f t="shared" si="18"/>
        <v>Ver Imagen</v>
      </c>
      <c r="M1110" t="s">
        <v>15</v>
      </c>
    </row>
    <row r="1111" spans="1:13" x14ac:dyDescent="0.25">
      <c r="A1111">
        <v>1110</v>
      </c>
      <c r="B1111" t="s">
        <v>2232</v>
      </c>
      <c r="C1111" s="1">
        <v>37.276687866000003</v>
      </c>
      <c r="D1111" s="1">
        <v>-7.0265011481000004</v>
      </c>
      <c r="E1111" s="3">
        <v>2</v>
      </c>
      <c r="F1111" s="2">
        <v>2</v>
      </c>
      <c r="G1111" s="4">
        <v>3</v>
      </c>
      <c r="H1111" s="13"/>
      <c r="I1111" s="15"/>
      <c r="J1111" s="19">
        <v>2</v>
      </c>
      <c r="K1111" s="2" t="s">
        <v>2233</v>
      </c>
      <c r="L1111" s="11" t="str">
        <f t="shared" si="18"/>
        <v>Ver Imagen</v>
      </c>
      <c r="M1111" t="s">
        <v>15</v>
      </c>
    </row>
    <row r="1112" spans="1:13" x14ac:dyDescent="0.25">
      <c r="A1112">
        <v>1111</v>
      </c>
      <c r="B1112" t="s">
        <v>2234</v>
      </c>
      <c r="C1112" s="1">
        <v>37.276730458499998</v>
      </c>
      <c r="D1112" s="1">
        <v>-7.0267590917399998</v>
      </c>
      <c r="E1112" s="3">
        <v>2</v>
      </c>
      <c r="F1112" s="2">
        <v>2</v>
      </c>
      <c r="G1112" s="4">
        <v>3</v>
      </c>
      <c r="H1112" s="13"/>
      <c r="I1112" s="15"/>
      <c r="J1112" s="19">
        <v>2</v>
      </c>
      <c r="K1112" s="2" t="s">
        <v>2235</v>
      </c>
      <c r="L1112" s="11" t="str">
        <f t="shared" si="18"/>
        <v>Ver Imagen</v>
      </c>
      <c r="M1112" t="s">
        <v>15</v>
      </c>
    </row>
    <row r="1113" spans="1:13" x14ac:dyDescent="0.25">
      <c r="A1113">
        <v>1112</v>
      </c>
      <c r="B1113" t="s">
        <v>2236</v>
      </c>
      <c r="C1113" s="1">
        <v>37.276770107499999</v>
      </c>
      <c r="D1113" s="1">
        <v>-7.0269646461299997</v>
      </c>
      <c r="E1113" s="3">
        <v>2</v>
      </c>
      <c r="F1113" s="2">
        <v>2</v>
      </c>
      <c r="G1113" s="4">
        <v>3</v>
      </c>
      <c r="H1113" s="13"/>
      <c r="I1113" s="15"/>
      <c r="J1113" s="19">
        <v>2</v>
      </c>
      <c r="K1113" s="2" t="s">
        <v>2237</v>
      </c>
      <c r="L1113" s="11" t="str">
        <f t="shared" si="18"/>
        <v>Ver Imagen</v>
      </c>
      <c r="M1113" t="s">
        <v>15</v>
      </c>
    </row>
    <row r="1114" spans="1:13" x14ac:dyDescent="0.25">
      <c r="A1114">
        <v>1113</v>
      </c>
      <c r="B1114" t="s">
        <v>2238</v>
      </c>
      <c r="C1114" s="1">
        <v>37.276821837699998</v>
      </c>
      <c r="D1114" s="1">
        <v>-7.0271961271999999</v>
      </c>
      <c r="E1114" s="3">
        <v>2</v>
      </c>
      <c r="F1114" s="2">
        <v>2</v>
      </c>
      <c r="G1114" s="4">
        <v>3</v>
      </c>
      <c r="H1114" s="13"/>
      <c r="I1114" s="15"/>
      <c r="J1114" s="19">
        <v>2</v>
      </c>
      <c r="K1114" s="2" t="s">
        <v>2239</v>
      </c>
      <c r="L1114" s="11" t="str">
        <f t="shared" si="18"/>
        <v>Ver Imagen</v>
      </c>
      <c r="M1114" t="s">
        <v>15</v>
      </c>
    </row>
    <row r="1115" spans="1:13" x14ac:dyDescent="0.25">
      <c r="A1115">
        <v>1114</v>
      </c>
      <c r="B1115" t="s">
        <v>2240</v>
      </c>
      <c r="C1115" s="1">
        <v>37.277143042399999</v>
      </c>
      <c r="D1115" s="1">
        <v>-7.0281644055800001</v>
      </c>
      <c r="E1115" s="3">
        <v>2</v>
      </c>
      <c r="F1115" s="2">
        <v>2</v>
      </c>
      <c r="G1115" s="4">
        <v>3</v>
      </c>
      <c r="H1115" s="13"/>
      <c r="I1115" s="15"/>
      <c r="J1115" s="19">
        <v>2</v>
      </c>
      <c r="K1115" s="2" t="s">
        <v>2241</v>
      </c>
      <c r="L1115" s="11" t="str">
        <f t="shared" si="18"/>
        <v>Ver Imagen</v>
      </c>
      <c r="M1115" t="s">
        <v>15</v>
      </c>
    </row>
    <row r="1116" spans="1:13" x14ac:dyDescent="0.25">
      <c r="A1116">
        <v>1115</v>
      </c>
      <c r="B1116" t="s">
        <v>2242</v>
      </c>
      <c r="C1116" s="1">
        <v>37.277467057400003</v>
      </c>
      <c r="D1116" s="1">
        <v>-7.0287807516600003</v>
      </c>
      <c r="E1116" s="3">
        <v>2</v>
      </c>
      <c r="F1116" s="2">
        <v>2</v>
      </c>
      <c r="G1116" s="4">
        <v>3</v>
      </c>
      <c r="H1116" s="13"/>
      <c r="I1116" s="15"/>
      <c r="J1116" s="19">
        <v>2</v>
      </c>
      <c r="K1116" s="2" t="s">
        <v>2243</v>
      </c>
      <c r="L1116" s="11" t="str">
        <f t="shared" si="18"/>
        <v>Ver Imagen</v>
      </c>
      <c r="M1116" t="s">
        <v>15</v>
      </c>
    </row>
    <row r="1117" spans="1:13" x14ac:dyDescent="0.25">
      <c r="A1117">
        <v>1116</v>
      </c>
      <c r="B1117" t="s">
        <v>2244</v>
      </c>
      <c r="C1117" s="1">
        <v>37.277586936399999</v>
      </c>
      <c r="D1117" s="1">
        <v>-7.0289662376399997</v>
      </c>
      <c r="E1117" s="3">
        <v>2</v>
      </c>
      <c r="F1117" s="2">
        <v>2</v>
      </c>
      <c r="G1117" s="4">
        <v>3</v>
      </c>
      <c r="H1117" s="13"/>
      <c r="I1117" s="15"/>
      <c r="J1117" s="19">
        <v>2</v>
      </c>
      <c r="K1117" s="2" t="s">
        <v>2245</v>
      </c>
      <c r="L1117" s="11" t="str">
        <f t="shared" si="18"/>
        <v>Ver Imagen</v>
      </c>
      <c r="M1117" t="s">
        <v>15</v>
      </c>
    </row>
    <row r="1118" spans="1:13" x14ac:dyDescent="0.25">
      <c r="A1118">
        <v>1117</v>
      </c>
      <c r="B1118" t="s">
        <v>2246</v>
      </c>
      <c r="C1118" s="1">
        <v>37.277734709299999</v>
      </c>
      <c r="D1118" s="1">
        <v>-7.0291729589400003</v>
      </c>
      <c r="E1118" s="3">
        <v>2</v>
      </c>
      <c r="F1118" s="2">
        <v>2</v>
      </c>
      <c r="G1118" s="4">
        <v>3</v>
      </c>
      <c r="H1118" s="13"/>
      <c r="I1118" s="15"/>
      <c r="J1118" s="19">
        <v>2</v>
      </c>
      <c r="K1118" s="2" t="s">
        <v>2247</v>
      </c>
      <c r="L1118" s="11" t="str">
        <f t="shared" si="18"/>
        <v>Ver Imagen</v>
      </c>
      <c r="M1118" t="s">
        <v>15</v>
      </c>
    </row>
    <row r="1119" spans="1:13" x14ac:dyDescent="0.25">
      <c r="A1119">
        <v>1118</v>
      </c>
      <c r="B1119" t="s">
        <v>2248</v>
      </c>
      <c r="C1119" s="1">
        <v>37.277898562600001</v>
      </c>
      <c r="D1119" s="1">
        <v>-7.02937490419</v>
      </c>
      <c r="E1119" s="3">
        <v>2</v>
      </c>
      <c r="F1119" s="2">
        <v>2</v>
      </c>
      <c r="G1119" s="4">
        <v>3</v>
      </c>
      <c r="H1119" s="13"/>
      <c r="I1119" s="15"/>
      <c r="J1119" s="19">
        <v>2</v>
      </c>
      <c r="K1119" s="2" t="s">
        <v>2249</v>
      </c>
      <c r="L1119" s="11" t="str">
        <f t="shared" si="18"/>
        <v>Ver Imagen</v>
      </c>
      <c r="M1119" t="s">
        <v>15</v>
      </c>
    </row>
    <row r="1120" spans="1:13" x14ac:dyDescent="0.25">
      <c r="A1120">
        <v>1119</v>
      </c>
      <c r="B1120" t="s">
        <v>2250</v>
      </c>
      <c r="C1120" s="1">
        <v>37.2780328789</v>
      </c>
      <c r="D1120" s="1">
        <v>-7.0295231302800003</v>
      </c>
      <c r="E1120" s="3">
        <v>2</v>
      </c>
      <c r="F1120" s="2">
        <v>2</v>
      </c>
      <c r="G1120" s="4">
        <v>3</v>
      </c>
      <c r="H1120" s="13"/>
      <c r="I1120" s="15"/>
      <c r="J1120" s="19">
        <v>2</v>
      </c>
      <c r="K1120" s="2" t="s">
        <v>2251</v>
      </c>
      <c r="L1120" s="11" t="str">
        <f t="shared" si="18"/>
        <v>Ver Imagen</v>
      </c>
      <c r="M1120" t="s">
        <v>15</v>
      </c>
    </row>
    <row r="1121" spans="1:13" x14ac:dyDescent="0.25">
      <c r="A1121">
        <v>1120</v>
      </c>
      <c r="B1121" t="s">
        <v>2252</v>
      </c>
      <c r="C1121" s="1">
        <v>37.278177513300001</v>
      </c>
      <c r="D1121" s="1">
        <v>-7.0296694006399996</v>
      </c>
      <c r="E1121" s="3">
        <v>2</v>
      </c>
      <c r="F1121" s="2">
        <v>2</v>
      </c>
      <c r="G1121" s="4">
        <v>3</v>
      </c>
      <c r="H1121" s="13"/>
      <c r="I1121" s="15"/>
      <c r="J1121" s="19">
        <v>2</v>
      </c>
      <c r="K1121" s="2" t="s">
        <v>2253</v>
      </c>
      <c r="L1121" s="11" t="str">
        <f t="shared" si="18"/>
        <v>Ver Imagen</v>
      </c>
      <c r="M1121" t="s">
        <v>15</v>
      </c>
    </row>
    <row r="1122" spans="1:13" x14ac:dyDescent="0.25">
      <c r="A1122">
        <v>1121</v>
      </c>
      <c r="B1122" t="s">
        <v>2254</v>
      </c>
      <c r="C1122" s="1">
        <v>37.278835174100003</v>
      </c>
      <c r="D1122" s="1">
        <v>-7.0302803317300002</v>
      </c>
      <c r="E1122" s="3">
        <v>2</v>
      </c>
      <c r="F1122" s="2">
        <v>2</v>
      </c>
      <c r="G1122" s="4">
        <v>3</v>
      </c>
      <c r="H1122" s="13"/>
      <c r="I1122" s="15"/>
      <c r="J1122" s="19">
        <v>2</v>
      </c>
      <c r="K1122" s="2" t="s">
        <v>2255</v>
      </c>
      <c r="L1122" s="11" t="str">
        <f t="shared" si="18"/>
        <v>Ver Imagen</v>
      </c>
      <c r="M1122" t="s">
        <v>15</v>
      </c>
    </row>
    <row r="1123" spans="1:13" x14ac:dyDescent="0.25">
      <c r="A1123">
        <v>1122</v>
      </c>
      <c r="B1123" t="s">
        <v>2256</v>
      </c>
      <c r="C1123" s="1">
        <v>37.279487215300001</v>
      </c>
      <c r="D1123" s="1">
        <v>-7.0308805213200003</v>
      </c>
      <c r="E1123" s="3">
        <v>2</v>
      </c>
      <c r="F1123" s="2">
        <v>2</v>
      </c>
      <c r="G1123" s="4">
        <v>3</v>
      </c>
      <c r="H1123" s="13"/>
      <c r="I1123" s="15"/>
      <c r="J1123" s="19">
        <v>2</v>
      </c>
      <c r="K1123" s="2" t="s">
        <v>2257</v>
      </c>
      <c r="L1123" s="11" t="str">
        <f t="shared" si="18"/>
        <v>Ver Imagen</v>
      </c>
      <c r="M1123" t="s">
        <v>15</v>
      </c>
    </row>
    <row r="1124" spans="1:13" x14ac:dyDescent="0.25">
      <c r="A1124">
        <v>1123</v>
      </c>
      <c r="B1124" t="s">
        <v>2258</v>
      </c>
      <c r="C1124" s="1">
        <v>37.279984564400003</v>
      </c>
      <c r="D1124" s="1">
        <v>-7.03131442821</v>
      </c>
      <c r="E1124" s="3">
        <v>1</v>
      </c>
      <c r="F1124" s="2">
        <v>2</v>
      </c>
      <c r="G1124" s="4">
        <v>2</v>
      </c>
      <c r="H1124" s="13"/>
      <c r="I1124" s="15"/>
      <c r="J1124" s="19">
        <v>2</v>
      </c>
      <c r="K1124" s="2" t="s">
        <v>2259</v>
      </c>
      <c r="L1124" s="11" t="str">
        <f t="shared" si="18"/>
        <v>Ver Imagen</v>
      </c>
      <c r="M1124" t="s">
        <v>15</v>
      </c>
    </row>
    <row r="1125" spans="1:13" x14ac:dyDescent="0.25">
      <c r="A1125">
        <v>1124</v>
      </c>
      <c r="B1125" t="s">
        <v>2260</v>
      </c>
      <c r="C1125" s="1">
        <v>37.2803387939</v>
      </c>
      <c r="D1125" s="1">
        <v>-7.03155440956</v>
      </c>
      <c r="E1125" s="3">
        <v>1</v>
      </c>
      <c r="F1125" s="2">
        <v>2</v>
      </c>
      <c r="G1125" s="4">
        <v>2</v>
      </c>
      <c r="H1125" s="13"/>
      <c r="I1125" s="15"/>
      <c r="J1125" s="19">
        <v>2</v>
      </c>
      <c r="K1125" s="2" t="s">
        <v>2261</v>
      </c>
      <c r="L1125" s="11" t="str">
        <f t="shared" si="18"/>
        <v>Ver Imagen</v>
      </c>
      <c r="M1125" t="s">
        <v>15</v>
      </c>
    </row>
    <row r="1126" spans="1:13" x14ac:dyDescent="0.25">
      <c r="A1126">
        <v>1125</v>
      </c>
      <c r="B1126" t="s">
        <v>2262</v>
      </c>
      <c r="C1126" s="1">
        <v>37.280526503200001</v>
      </c>
      <c r="D1126" s="1">
        <v>-7.03165805189</v>
      </c>
      <c r="E1126" s="3">
        <v>1</v>
      </c>
      <c r="F1126" s="2">
        <v>2</v>
      </c>
      <c r="G1126" s="4">
        <v>2</v>
      </c>
      <c r="H1126" s="13"/>
      <c r="I1126" s="15"/>
      <c r="J1126" s="19">
        <v>2</v>
      </c>
      <c r="K1126" s="2" t="s">
        <v>2263</v>
      </c>
      <c r="L1126" s="11" t="str">
        <f t="shared" si="18"/>
        <v>Ver Imagen</v>
      </c>
      <c r="M1126" t="s">
        <v>15</v>
      </c>
    </row>
    <row r="1127" spans="1:13" x14ac:dyDescent="0.25">
      <c r="A1127">
        <v>1126</v>
      </c>
      <c r="B1127" t="s">
        <v>2264</v>
      </c>
      <c r="C1127" s="1">
        <v>37.280693164100001</v>
      </c>
      <c r="D1127" s="1">
        <v>-7.0317418181500004</v>
      </c>
      <c r="E1127" s="3">
        <v>1</v>
      </c>
      <c r="F1127" s="2">
        <v>2</v>
      </c>
      <c r="G1127" s="4">
        <v>2</v>
      </c>
      <c r="H1127" s="13"/>
      <c r="I1127" s="15"/>
      <c r="J1127" s="19">
        <v>2</v>
      </c>
      <c r="K1127" s="2" t="s">
        <v>2265</v>
      </c>
      <c r="L1127" s="11" t="str">
        <f t="shared" si="18"/>
        <v>Ver Imagen</v>
      </c>
      <c r="M1127" t="s">
        <v>15</v>
      </c>
    </row>
    <row r="1128" spans="1:13" x14ac:dyDescent="0.25">
      <c r="A1128">
        <v>1127</v>
      </c>
      <c r="B1128" t="s">
        <v>2266</v>
      </c>
      <c r="C1128" s="1">
        <v>37.280883113500003</v>
      </c>
      <c r="D1128" s="1">
        <v>-7.0318330261200002</v>
      </c>
      <c r="E1128" s="3">
        <v>1</v>
      </c>
      <c r="F1128" s="2">
        <v>2</v>
      </c>
      <c r="G1128" s="4">
        <v>2</v>
      </c>
      <c r="H1128" s="13"/>
      <c r="I1128" s="15"/>
      <c r="J1128" s="19">
        <v>2</v>
      </c>
      <c r="K1128" s="2" t="s">
        <v>2267</v>
      </c>
      <c r="L1128" s="11" t="str">
        <f t="shared" si="18"/>
        <v>Ver Imagen</v>
      </c>
      <c r="M1128" t="s">
        <v>15</v>
      </c>
    </row>
    <row r="1129" spans="1:13" x14ac:dyDescent="0.25">
      <c r="A1129">
        <v>1128</v>
      </c>
      <c r="B1129" t="s">
        <v>2268</v>
      </c>
      <c r="C1129" s="1">
        <v>37.2814610788</v>
      </c>
      <c r="D1129" s="1">
        <v>-7.0321143007</v>
      </c>
      <c r="E1129" s="3">
        <v>1</v>
      </c>
      <c r="F1129" s="2">
        <v>2</v>
      </c>
      <c r="G1129" s="4">
        <v>2</v>
      </c>
      <c r="H1129" s="13"/>
      <c r="I1129" s="15"/>
      <c r="J1129" s="19">
        <v>2</v>
      </c>
      <c r="K1129" s="2" t="s">
        <v>2269</v>
      </c>
      <c r="L1129" s="11" t="str">
        <f t="shared" si="18"/>
        <v>Ver Imagen</v>
      </c>
      <c r="M1129" t="s">
        <v>15</v>
      </c>
    </row>
    <row r="1130" spans="1:13" x14ac:dyDescent="0.25">
      <c r="A1130">
        <v>1129</v>
      </c>
      <c r="B1130" t="s">
        <v>2270</v>
      </c>
      <c r="C1130" s="1">
        <v>37.282199358100002</v>
      </c>
      <c r="D1130" s="1">
        <v>-7.0325275415600004</v>
      </c>
      <c r="E1130" s="3">
        <v>1</v>
      </c>
      <c r="F1130" s="2">
        <v>2</v>
      </c>
      <c r="G1130" s="4">
        <v>2</v>
      </c>
      <c r="H1130" s="13"/>
      <c r="I1130" s="15"/>
      <c r="J1130" s="19">
        <v>2</v>
      </c>
      <c r="K1130" s="2" t="s">
        <v>2271</v>
      </c>
      <c r="L1130" s="11" t="str">
        <f t="shared" si="18"/>
        <v>Ver Imagen</v>
      </c>
      <c r="M1130" t="s">
        <v>15</v>
      </c>
    </row>
    <row r="1131" spans="1:13" x14ac:dyDescent="0.25">
      <c r="A1131">
        <v>1130</v>
      </c>
      <c r="B1131" t="s">
        <v>2272</v>
      </c>
      <c r="C1131" s="1">
        <v>37.282368677999997</v>
      </c>
      <c r="D1131" s="1">
        <v>-7.03263291836</v>
      </c>
      <c r="E1131" s="3">
        <v>1</v>
      </c>
      <c r="F1131" s="2">
        <v>2</v>
      </c>
      <c r="G1131" s="4">
        <v>2</v>
      </c>
      <c r="H1131" s="13"/>
      <c r="I1131" s="15"/>
      <c r="J1131" s="19">
        <v>2</v>
      </c>
      <c r="K1131" s="2" t="s">
        <v>2273</v>
      </c>
      <c r="L1131" s="11" t="str">
        <f t="shared" si="18"/>
        <v>Ver Imagen</v>
      </c>
      <c r="M1131" t="s">
        <v>15</v>
      </c>
    </row>
    <row r="1132" spans="1:13" x14ac:dyDescent="0.25">
      <c r="A1132">
        <v>1131</v>
      </c>
      <c r="B1132" t="s">
        <v>2274</v>
      </c>
      <c r="C1132" s="1">
        <v>37.282756572700002</v>
      </c>
      <c r="D1132" s="1">
        <v>-7.0328937531299998</v>
      </c>
      <c r="E1132" s="3">
        <v>1</v>
      </c>
      <c r="F1132" s="2">
        <v>2</v>
      </c>
      <c r="G1132" s="4">
        <v>2</v>
      </c>
      <c r="H1132" s="13"/>
      <c r="I1132" s="15"/>
      <c r="J1132" s="19">
        <v>2</v>
      </c>
      <c r="K1132" s="2" t="s">
        <v>2275</v>
      </c>
      <c r="L1132" s="11" t="str">
        <f t="shared" si="18"/>
        <v>Ver Imagen</v>
      </c>
      <c r="M1132" t="s">
        <v>15</v>
      </c>
    </row>
    <row r="1133" spans="1:13" x14ac:dyDescent="0.25">
      <c r="A1133">
        <v>1132</v>
      </c>
      <c r="B1133" t="s">
        <v>2276</v>
      </c>
      <c r="C1133" s="1">
        <v>37.282918379199998</v>
      </c>
      <c r="D1133" s="1">
        <v>-7.0330204465400001</v>
      </c>
      <c r="E1133" s="3">
        <v>2</v>
      </c>
      <c r="F1133" s="2">
        <v>2</v>
      </c>
      <c r="G1133" s="4">
        <v>3</v>
      </c>
      <c r="H1133" s="13"/>
      <c r="I1133" s="15"/>
      <c r="J1133" s="19">
        <v>2</v>
      </c>
      <c r="K1133" s="2" t="s">
        <v>2277</v>
      </c>
      <c r="L1133" s="11" t="str">
        <f t="shared" si="18"/>
        <v>Ver Imagen</v>
      </c>
      <c r="M1133" t="s">
        <v>15</v>
      </c>
    </row>
    <row r="1134" spans="1:13" x14ac:dyDescent="0.25">
      <c r="A1134">
        <v>1133</v>
      </c>
      <c r="B1134" t="s">
        <v>2278</v>
      </c>
      <c r="C1134" s="1">
        <v>37.2832106575</v>
      </c>
      <c r="D1134" s="1">
        <v>-7.0333028301600002</v>
      </c>
      <c r="E1134" s="3">
        <v>1</v>
      </c>
      <c r="F1134" s="2">
        <v>2</v>
      </c>
      <c r="G1134" s="4">
        <v>2</v>
      </c>
      <c r="H1134" s="13"/>
      <c r="I1134" s="15"/>
      <c r="J1134" s="19">
        <v>2</v>
      </c>
      <c r="K1134" s="2" t="s">
        <v>2279</v>
      </c>
      <c r="L1134" s="11" t="str">
        <f t="shared" si="18"/>
        <v>Ver Imagen</v>
      </c>
      <c r="M1134" t="s">
        <v>15</v>
      </c>
    </row>
    <row r="1135" spans="1:13" x14ac:dyDescent="0.25">
      <c r="A1135">
        <v>1134</v>
      </c>
      <c r="B1135" t="s">
        <v>2280</v>
      </c>
      <c r="C1135" s="1">
        <v>37.283369776299999</v>
      </c>
      <c r="D1135" s="1">
        <v>-7.0335022367000004</v>
      </c>
      <c r="E1135" s="3">
        <v>1</v>
      </c>
      <c r="F1135" s="2">
        <v>2</v>
      </c>
      <c r="G1135" s="4">
        <v>2</v>
      </c>
      <c r="H1135" s="13"/>
      <c r="I1135" s="15"/>
      <c r="J1135" s="19">
        <v>2</v>
      </c>
      <c r="K1135" s="2" t="s">
        <v>2281</v>
      </c>
      <c r="L1135" s="11" t="str">
        <f t="shared" si="18"/>
        <v>Ver Imagen</v>
      </c>
      <c r="M1135" t="s">
        <v>15</v>
      </c>
    </row>
    <row r="1136" spans="1:13" x14ac:dyDescent="0.25">
      <c r="A1136">
        <v>1135</v>
      </c>
      <c r="B1136" t="s">
        <v>2282</v>
      </c>
      <c r="C1136" s="1">
        <v>37.283515198400003</v>
      </c>
      <c r="D1136" s="1">
        <v>-7.0337255460200003</v>
      </c>
      <c r="E1136" s="3">
        <v>2</v>
      </c>
      <c r="F1136" s="2">
        <v>2</v>
      </c>
      <c r="G1136" s="4">
        <v>3</v>
      </c>
      <c r="H1136" s="13"/>
      <c r="I1136" s="15"/>
      <c r="J1136" s="19">
        <v>2</v>
      </c>
      <c r="K1136" s="2" t="s">
        <v>2283</v>
      </c>
      <c r="L1136" s="11" t="str">
        <f t="shared" si="18"/>
        <v>Ver Imagen</v>
      </c>
      <c r="M1136" t="s">
        <v>15</v>
      </c>
    </row>
    <row r="1137" spans="1:13" x14ac:dyDescent="0.25">
      <c r="A1137">
        <v>1136</v>
      </c>
      <c r="B1137" t="s">
        <v>2284</v>
      </c>
      <c r="C1137" s="1">
        <v>37.283835518499998</v>
      </c>
      <c r="D1137" s="1">
        <v>-7.0343928016500001</v>
      </c>
      <c r="E1137" s="3">
        <v>1</v>
      </c>
      <c r="F1137" s="2">
        <v>2</v>
      </c>
      <c r="G1137" s="4">
        <v>2</v>
      </c>
      <c r="H1137" s="13"/>
      <c r="I1137" s="15"/>
      <c r="J1137" s="19">
        <v>2</v>
      </c>
      <c r="K1137" s="2" t="s">
        <v>2285</v>
      </c>
      <c r="L1137" s="11" t="str">
        <f t="shared" si="18"/>
        <v>Ver Imagen</v>
      </c>
      <c r="M1137" t="s">
        <v>15</v>
      </c>
    </row>
    <row r="1138" spans="1:13" x14ac:dyDescent="0.25">
      <c r="A1138">
        <v>1137</v>
      </c>
      <c r="B1138" t="s">
        <v>2286</v>
      </c>
      <c r="C1138" s="1">
        <v>37.283912618000002</v>
      </c>
      <c r="D1138" s="1">
        <v>-7.0346086853800003</v>
      </c>
      <c r="E1138" s="3">
        <v>1</v>
      </c>
      <c r="F1138" s="2">
        <v>2</v>
      </c>
      <c r="G1138" s="4">
        <v>2</v>
      </c>
      <c r="H1138" s="13"/>
      <c r="I1138" s="15"/>
      <c r="J1138" s="19">
        <v>2</v>
      </c>
      <c r="K1138" s="2" t="s">
        <v>2287</v>
      </c>
      <c r="L1138" s="11" t="str">
        <f t="shared" si="18"/>
        <v>Ver Imagen</v>
      </c>
      <c r="M1138" t="s">
        <v>15</v>
      </c>
    </row>
    <row r="1139" spans="1:13" x14ac:dyDescent="0.25">
      <c r="A1139">
        <v>1138</v>
      </c>
      <c r="B1139" t="s">
        <v>2288</v>
      </c>
      <c r="C1139" s="1">
        <v>37.284104655</v>
      </c>
      <c r="D1139" s="1">
        <v>-7.0366152019200001</v>
      </c>
      <c r="E1139" s="3">
        <v>1</v>
      </c>
      <c r="F1139" s="2">
        <v>2</v>
      </c>
      <c r="G1139" s="4">
        <v>2</v>
      </c>
      <c r="H1139" s="13"/>
      <c r="I1139" s="15"/>
      <c r="J1139" s="19">
        <v>2</v>
      </c>
      <c r="K1139" s="2" t="s">
        <v>2289</v>
      </c>
      <c r="L1139" s="11" t="str">
        <f t="shared" si="18"/>
        <v>Ver Imagen</v>
      </c>
      <c r="M1139" t="s">
        <v>15</v>
      </c>
    </row>
    <row r="1140" spans="1:13" x14ac:dyDescent="0.25">
      <c r="A1140">
        <v>1139</v>
      </c>
      <c r="B1140" t="s">
        <v>2290</v>
      </c>
      <c r="C1140" s="1">
        <v>37.2841159695</v>
      </c>
      <c r="D1140" s="1">
        <v>-7.0368765014900001</v>
      </c>
      <c r="E1140" s="3">
        <v>1</v>
      </c>
      <c r="F1140" s="2">
        <v>2</v>
      </c>
      <c r="G1140" s="4">
        <v>2</v>
      </c>
      <c r="H1140" s="13"/>
      <c r="I1140" s="15"/>
      <c r="J1140" s="19">
        <v>2</v>
      </c>
      <c r="K1140" s="2" t="s">
        <v>2291</v>
      </c>
      <c r="L1140" s="11" t="str">
        <f t="shared" si="18"/>
        <v>Ver Imagen</v>
      </c>
      <c r="M1140" t="s">
        <v>15</v>
      </c>
    </row>
    <row r="1141" spans="1:13" x14ac:dyDescent="0.25">
      <c r="A1141">
        <v>1140</v>
      </c>
      <c r="B1141" t="s">
        <v>2292</v>
      </c>
      <c r="C1141" s="1">
        <v>37.284274567099999</v>
      </c>
      <c r="D1141" s="1">
        <v>-7.0378074532400001</v>
      </c>
      <c r="E1141" s="3">
        <v>1</v>
      </c>
      <c r="F1141" s="2">
        <v>2</v>
      </c>
      <c r="G1141" s="4">
        <v>2</v>
      </c>
      <c r="H1141" s="13"/>
      <c r="I1141" s="15"/>
      <c r="J1141" s="19">
        <v>2</v>
      </c>
      <c r="K1141" s="2" t="s">
        <v>2293</v>
      </c>
      <c r="L1141" s="11" t="str">
        <f t="shared" si="18"/>
        <v>Ver Imagen</v>
      </c>
      <c r="M1141" t="s">
        <v>15</v>
      </c>
    </row>
    <row r="1142" spans="1:13" x14ac:dyDescent="0.25">
      <c r="A1142">
        <v>1141</v>
      </c>
      <c r="B1142" t="s">
        <v>2294</v>
      </c>
      <c r="C1142" s="1">
        <v>37.284521446500001</v>
      </c>
      <c r="D1142" s="1">
        <v>-7.0387895867400001</v>
      </c>
      <c r="E1142" s="3">
        <v>1</v>
      </c>
      <c r="F1142" s="2">
        <v>2</v>
      </c>
      <c r="G1142" s="4">
        <v>2</v>
      </c>
      <c r="H1142" s="13"/>
      <c r="I1142" s="15"/>
      <c r="J1142" s="19">
        <v>2</v>
      </c>
      <c r="K1142" s="2" t="s">
        <v>2295</v>
      </c>
      <c r="L1142" s="11" t="str">
        <f t="shared" si="18"/>
        <v>Ver Imagen</v>
      </c>
      <c r="M1142" t="s">
        <v>15</v>
      </c>
    </row>
    <row r="1143" spans="1:13" x14ac:dyDescent="0.25">
      <c r="A1143">
        <v>1142</v>
      </c>
      <c r="B1143" t="s">
        <v>2296</v>
      </c>
      <c r="C1143" s="1">
        <v>37.285249076500001</v>
      </c>
      <c r="D1143" s="1">
        <v>-7.0405882474199997</v>
      </c>
      <c r="E1143" s="3">
        <v>2</v>
      </c>
      <c r="F1143" s="2">
        <v>1</v>
      </c>
      <c r="G1143" s="4">
        <v>2</v>
      </c>
      <c r="H1143" s="13"/>
      <c r="I1143" s="15"/>
      <c r="J1143" s="19">
        <v>2</v>
      </c>
      <c r="K1143" s="2" t="s">
        <v>2297</v>
      </c>
      <c r="L1143" s="11" t="str">
        <f t="shared" si="18"/>
        <v>Ver Imagen</v>
      </c>
      <c r="M1143" t="s">
        <v>15</v>
      </c>
    </row>
    <row r="1144" spans="1:13" x14ac:dyDescent="0.25">
      <c r="A1144">
        <v>1143</v>
      </c>
      <c r="B1144" t="s">
        <v>2298</v>
      </c>
      <c r="C1144" s="1">
        <v>37.285508860100002</v>
      </c>
      <c r="D1144" s="1">
        <v>-7.0409325121000004</v>
      </c>
      <c r="E1144" s="3">
        <v>2</v>
      </c>
      <c r="F1144" s="2">
        <v>2</v>
      </c>
      <c r="G1144" s="4">
        <v>3</v>
      </c>
      <c r="H1144" s="13"/>
      <c r="I1144" s="15"/>
      <c r="J1144" s="19">
        <v>2</v>
      </c>
      <c r="K1144" s="2" t="s">
        <v>2299</v>
      </c>
      <c r="L1144" s="11" t="str">
        <f t="shared" si="18"/>
        <v>Ver Imagen</v>
      </c>
      <c r="M1144" t="s">
        <v>15</v>
      </c>
    </row>
    <row r="1145" spans="1:13" x14ac:dyDescent="0.25">
      <c r="A1145">
        <v>1144</v>
      </c>
      <c r="B1145" t="s">
        <v>2300</v>
      </c>
      <c r="C1145" s="1">
        <v>37.286203664600002</v>
      </c>
      <c r="D1145" s="1">
        <v>-7.0415488367699997</v>
      </c>
      <c r="E1145" s="3">
        <v>1</v>
      </c>
      <c r="F1145" s="2">
        <v>2</v>
      </c>
      <c r="G1145" s="4">
        <v>2</v>
      </c>
      <c r="H1145" s="13"/>
      <c r="I1145" s="15"/>
      <c r="J1145" s="19">
        <v>2</v>
      </c>
      <c r="K1145" s="2" t="s">
        <v>2301</v>
      </c>
      <c r="L1145" s="11" t="str">
        <f t="shared" si="18"/>
        <v>Ver Imagen</v>
      </c>
      <c r="M1145" t="s">
        <v>15</v>
      </c>
    </row>
    <row r="1146" spans="1:13" x14ac:dyDescent="0.25">
      <c r="A1146">
        <v>1145</v>
      </c>
      <c r="B1146" t="s">
        <v>2302</v>
      </c>
      <c r="C1146" s="1">
        <v>37.288549172400003</v>
      </c>
      <c r="D1146" s="1">
        <v>-7.0428684488900002</v>
      </c>
      <c r="E1146" s="3">
        <v>2</v>
      </c>
      <c r="F1146" s="2">
        <v>2</v>
      </c>
      <c r="G1146" s="4">
        <v>3</v>
      </c>
      <c r="H1146" s="13"/>
      <c r="I1146" s="15"/>
      <c r="J1146" s="19">
        <v>2</v>
      </c>
      <c r="K1146" s="2" t="s">
        <v>2303</v>
      </c>
      <c r="L1146" s="11" t="str">
        <f t="shared" si="18"/>
        <v>Ver Imagen</v>
      </c>
      <c r="M1146" t="s">
        <v>15</v>
      </c>
    </row>
    <row r="1147" spans="1:13" x14ac:dyDescent="0.25">
      <c r="A1147">
        <v>1146</v>
      </c>
      <c r="B1147" t="s">
        <v>2304</v>
      </c>
      <c r="C1147" s="1">
        <v>37.288709133799998</v>
      </c>
      <c r="D1147" s="1">
        <v>-7.0430480450999999</v>
      </c>
      <c r="E1147" s="3">
        <v>2</v>
      </c>
      <c r="F1147" s="2">
        <v>2</v>
      </c>
      <c r="G1147" s="4">
        <v>3</v>
      </c>
      <c r="H1147" s="13"/>
      <c r="I1147" s="15"/>
      <c r="J1147" s="19">
        <v>2</v>
      </c>
      <c r="K1147" s="2" t="s">
        <v>2305</v>
      </c>
      <c r="L1147" s="11" t="str">
        <f t="shared" si="18"/>
        <v>Ver Imagen</v>
      </c>
      <c r="M1147" t="s">
        <v>15</v>
      </c>
    </row>
    <row r="1148" spans="1:13" x14ac:dyDescent="0.25">
      <c r="A1148">
        <v>1147</v>
      </c>
      <c r="B1148" t="s">
        <v>2306</v>
      </c>
      <c r="C1148" s="1">
        <v>37.2890938695</v>
      </c>
      <c r="D1148" s="1">
        <v>-7.0435902952599996</v>
      </c>
      <c r="E1148" s="3">
        <v>2</v>
      </c>
      <c r="F1148" s="2">
        <v>2</v>
      </c>
      <c r="G1148" s="4">
        <v>3</v>
      </c>
      <c r="H1148" s="13"/>
      <c r="I1148" s="15"/>
      <c r="J1148" s="19">
        <v>2</v>
      </c>
      <c r="K1148" s="2" t="s">
        <v>2307</v>
      </c>
      <c r="L1148" s="11" t="str">
        <f t="shared" si="18"/>
        <v>Ver Imagen</v>
      </c>
      <c r="M1148" t="s">
        <v>15</v>
      </c>
    </row>
    <row r="1149" spans="1:13" x14ac:dyDescent="0.25">
      <c r="A1149">
        <v>1148</v>
      </c>
      <c r="B1149" t="s">
        <v>2308</v>
      </c>
      <c r="C1149" s="1">
        <v>37.293118771499998</v>
      </c>
      <c r="D1149" s="1">
        <v>-7.0461558413200001</v>
      </c>
      <c r="E1149" s="3">
        <v>1</v>
      </c>
      <c r="F1149" s="2">
        <v>2</v>
      </c>
      <c r="G1149" s="4">
        <v>2</v>
      </c>
      <c r="H1149" s="13"/>
      <c r="I1149" s="15"/>
      <c r="J1149" s="19">
        <v>2</v>
      </c>
      <c r="K1149" s="2" t="s">
        <v>2309</v>
      </c>
      <c r="L1149" s="11" t="str">
        <f t="shared" si="18"/>
        <v>Ver Imagen</v>
      </c>
      <c r="M1149" t="s">
        <v>15</v>
      </c>
    </row>
    <row r="1150" spans="1:13" x14ac:dyDescent="0.25">
      <c r="A1150">
        <v>1149</v>
      </c>
      <c r="B1150" t="s">
        <v>2310</v>
      </c>
      <c r="C1150" s="1">
        <v>37.2947865139</v>
      </c>
      <c r="D1150" s="1">
        <v>-7.0483469907799998</v>
      </c>
      <c r="E1150" s="3">
        <v>2</v>
      </c>
      <c r="F1150" s="2">
        <v>1</v>
      </c>
      <c r="G1150" s="4">
        <v>2</v>
      </c>
      <c r="H1150" s="13"/>
      <c r="I1150" s="15"/>
      <c r="J1150" s="19">
        <v>2</v>
      </c>
      <c r="K1150" s="2" t="s">
        <v>2311</v>
      </c>
      <c r="L1150" s="11" t="str">
        <f t="shared" si="18"/>
        <v>Ver Imagen</v>
      </c>
      <c r="M1150" t="s">
        <v>15</v>
      </c>
    </row>
    <row r="1151" spans="1:13" x14ac:dyDescent="0.25">
      <c r="A1151">
        <v>1150</v>
      </c>
      <c r="B1151" t="s">
        <v>2312</v>
      </c>
      <c r="C1151" s="1">
        <v>37.294927171099999</v>
      </c>
      <c r="D1151" s="1">
        <v>-7.0485303792499998</v>
      </c>
      <c r="E1151" s="3">
        <v>1</v>
      </c>
      <c r="F1151" s="2">
        <v>2</v>
      </c>
      <c r="G1151" s="4">
        <v>2</v>
      </c>
      <c r="H1151" s="13"/>
      <c r="I1151" s="15"/>
      <c r="J1151" s="19">
        <v>2</v>
      </c>
      <c r="K1151" s="2" t="s">
        <v>2313</v>
      </c>
      <c r="L1151" s="11" t="str">
        <f t="shared" si="18"/>
        <v>Ver Imagen</v>
      </c>
      <c r="M1151" t="s">
        <v>15</v>
      </c>
    </row>
    <row r="1152" spans="1:13" x14ac:dyDescent="0.25">
      <c r="A1152">
        <v>1151</v>
      </c>
      <c r="B1152" t="s">
        <v>2314</v>
      </c>
      <c r="C1152" s="1">
        <v>37.295969532299999</v>
      </c>
      <c r="D1152" s="1">
        <v>-7.0497287475599997</v>
      </c>
      <c r="E1152" s="3">
        <v>2</v>
      </c>
      <c r="F1152" s="2">
        <v>2</v>
      </c>
      <c r="G1152" s="4">
        <v>3</v>
      </c>
      <c r="H1152" s="13"/>
      <c r="I1152" s="15"/>
      <c r="J1152" s="19">
        <v>2</v>
      </c>
      <c r="K1152" s="2" t="s">
        <v>2315</v>
      </c>
      <c r="L1152" s="11" t="str">
        <f t="shared" si="18"/>
        <v>Ver Imagen</v>
      </c>
      <c r="M1152" t="s">
        <v>15</v>
      </c>
    </row>
    <row r="1153" spans="1:13" x14ac:dyDescent="0.25">
      <c r="A1153">
        <v>1152</v>
      </c>
      <c r="B1153" t="s">
        <v>2316</v>
      </c>
      <c r="C1153" s="1">
        <v>37.296123031100002</v>
      </c>
      <c r="D1153" s="1">
        <v>-7.0499002609900003</v>
      </c>
      <c r="E1153" s="3">
        <v>2</v>
      </c>
      <c r="F1153" s="2">
        <v>2</v>
      </c>
      <c r="G1153" s="4">
        <v>3</v>
      </c>
      <c r="H1153" s="13"/>
      <c r="I1153" s="15"/>
      <c r="J1153" s="19">
        <v>2</v>
      </c>
      <c r="K1153" s="2" t="s">
        <v>2317</v>
      </c>
      <c r="L1153" s="11" t="str">
        <f t="shared" si="18"/>
        <v>Ver Imagen</v>
      </c>
      <c r="M1153" t="s">
        <v>15</v>
      </c>
    </row>
    <row r="1154" spans="1:13" x14ac:dyDescent="0.25">
      <c r="A1154">
        <v>1153</v>
      </c>
      <c r="B1154" t="s">
        <v>2318</v>
      </c>
      <c r="C1154" s="1">
        <v>37.296789109700001</v>
      </c>
      <c r="D1154" s="1">
        <v>-7.0508515733900001</v>
      </c>
      <c r="E1154" s="3">
        <v>2</v>
      </c>
      <c r="F1154" s="2">
        <v>2</v>
      </c>
      <c r="G1154" s="4">
        <v>3</v>
      </c>
      <c r="H1154" s="13"/>
      <c r="I1154" s="15"/>
      <c r="J1154" s="19">
        <v>2</v>
      </c>
      <c r="K1154" s="2" t="s">
        <v>2319</v>
      </c>
      <c r="L1154" s="11" t="str">
        <f t="shared" si="18"/>
        <v>Ver Imagen</v>
      </c>
      <c r="M1154" t="s">
        <v>15</v>
      </c>
    </row>
    <row r="1155" spans="1:13" x14ac:dyDescent="0.25">
      <c r="A1155">
        <v>1154</v>
      </c>
      <c r="B1155" t="s">
        <v>2320</v>
      </c>
      <c r="C1155" s="1">
        <v>37.2970761407</v>
      </c>
      <c r="D1155" s="1">
        <v>-7.0515065576299998</v>
      </c>
      <c r="E1155" s="3">
        <v>1</v>
      </c>
      <c r="F1155" s="2">
        <v>2</v>
      </c>
      <c r="G1155" s="4">
        <v>2</v>
      </c>
      <c r="H1155" s="13"/>
      <c r="I1155" s="15"/>
      <c r="J1155" s="19">
        <v>2</v>
      </c>
      <c r="K1155" s="2" t="s">
        <v>2321</v>
      </c>
      <c r="L1155" s="11" t="str">
        <f t="shared" ref="L1155:L1218" si="19">HYPERLINK("2\1\" &amp; K1155, "Ver Imagen")</f>
        <v>Ver Imagen</v>
      </c>
      <c r="M1155" t="s">
        <v>15</v>
      </c>
    </row>
    <row r="1156" spans="1:13" x14ac:dyDescent="0.25">
      <c r="A1156">
        <v>1155</v>
      </c>
      <c r="B1156" t="s">
        <v>2322</v>
      </c>
      <c r="C1156" s="1">
        <v>37.297321445500003</v>
      </c>
      <c r="D1156" s="1">
        <v>-7.0522611828199997</v>
      </c>
      <c r="E1156" s="3">
        <v>1</v>
      </c>
      <c r="F1156" s="2">
        <v>2</v>
      </c>
      <c r="G1156" s="4">
        <v>2</v>
      </c>
      <c r="H1156" s="13"/>
      <c r="I1156" s="15"/>
      <c r="J1156" s="19">
        <v>2</v>
      </c>
      <c r="K1156" s="2" t="s">
        <v>2323</v>
      </c>
      <c r="L1156" s="11" t="str">
        <f t="shared" si="19"/>
        <v>Ver Imagen</v>
      </c>
      <c r="M1156" t="s">
        <v>15</v>
      </c>
    </row>
    <row r="1157" spans="1:13" x14ac:dyDescent="0.25">
      <c r="A1157">
        <v>1156</v>
      </c>
      <c r="B1157" t="s">
        <v>2324</v>
      </c>
      <c r="C1157" s="1">
        <v>37.297695981499999</v>
      </c>
      <c r="D1157" s="1">
        <v>-7.0531442578999997</v>
      </c>
      <c r="E1157" s="3">
        <v>2</v>
      </c>
      <c r="F1157" s="2">
        <v>1</v>
      </c>
      <c r="G1157" s="4">
        <v>2</v>
      </c>
      <c r="H1157" s="13"/>
      <c r="I1157" s="15"/>
      <c r="J1157" s="19">
        <v>2</v>
      </c>
      <c r="K1157" s="2" t="s">
        <v>2325</v>
      </c>
      <c r="L1157" s="11" t="str">
        <f t="shared" si="19"/>
        <v>Ver Imagen</v>
      </c>
      <c r="M1157" t="s">
        <v>15</v>
      </c>
    </row>
    <row r="1158" spans="1:13" x14ac:dyDescent="0.25">
      <c r="A1158">
        <v>1157</v>
      </c>
      <c r="B1158" t="s">
        <v>2326</v>
      </c>
      <c r="C1158" s="1">
        <v>37.297810917900001</v>
      </c>
      <c r="D1158" s="1">
        <v>-7.05332230439</v>
      </c>
      <c r="E1158" s="3">
        <v>1</v>
      </c>
      <c r="F1158" s="2">
        <v>2</v>
      </c>
      <c r="G1158" s="4">
        <v>2</v>
      </c>
      <c r="H1158" s="13"/>
      <c r="I1158" s="15"/>
      <c r="J1158" s="19">
        <v>2</v>
      </c>
      <c r="K1158" s="2" t="s">
        <v>2327</v>
      </c>
      <c r="L1158" s="11" t="str">
        <f t="shared" si="19"/>
        <v>Ver Imagen</v>
      </c>
      <c r="M1158" t="s">
        <v>15</v>
      </c>
    </row>
    <row r="1159" spans="1:13" x14ac:dyDescent="0.25">
      <c r="A1159">
        <v>1158</v>
      </c>
      <c r="B1159" t="s">
        <v>2328</v>
      </c>
      <c r="C1159" s="1">
        <v>37.297943585299997</v>
      </c>
      <c r="D1159" s="1">
        <v>-7.0534938663700002</v>
      </c>
      <c r="E1159" s="3">
        <v>2</v>
      </c>
      <c r="F1159" s="2">
        <v>2</v>
      </c>
      <c r="G1159" s="4">
        <v>1</v>
      </c>
      <c r="H1159" s="13"/>
      <c r="I1159" s="15"/>
      <c r="J1159" s="19">
        <v>2</v>
      </c>
      <c r="K1159" s="2" t="s">
        <v>2329</v>
      </c>
      <c r="L1159" s="11" t="str">
        <f t="shared" si="19"/>
        <v>Ver Imagen</v>
      </c>
      <c r="M1159" t="s">
        <v>15</v>
      </c>
    </row>
    <row r="1160" spans="1:13" x14ac:dyDescent="0.25">
      <c r="A1160">
        <v>1159</v>
      </c>
      <c r="B1160" t="s">
        <v>2330</v>
      </c>
      <c r="C1160" s="1">
        <v>37.298796142199997</v>
      </c>
      <c r="D1160" s="1">
        <v>-7.0541693350100001</v>
      </c>
      <c r="E1160" s="3">
        <v>2</v>
      </c>
      <c r="F1160" s="2">
        <v>1</v>
      </c>
      <c r="G1160" s="4">
        <v>2</v>
      </c>
      <c r="H1160" s="13"/>
      <c r="I1160" s="15"/>
      <c r="J1160" s="19">
        <v>2</v>
      </c>
      <c r="K1160" s="2" t="s">
        <v>2331</v>
      </c>
      <c r="L1160" s="11" t="str">
        <f t="shared" si="19"/>
        <v>Ver Imagen</v>
      </c>
      <c r="M1160" t="s">
        <v>15</v>
      </c>
    </row>
    <row r="1161" spans="1:13" x14ac:dyDescent="0.25">
      <c r="A1161">
        <v>1160</v>
      </c>
      <c r="B1161" t="s">
        <v>2332</v>
      </c>
      <c r="C1161" s="1">
        <v>37.299833062499999</v>
      </c>
      <c r="D1161" s="1">
        <v>-7.0550272208000004</v>
      </c>
      <c r="E1161" s="3">
        <v>2</v>
      </c>
      <c r="F1161" s="2">
        <v>1</v>
      </c>
      <c r="G1161" s="4">
        <v>2</v>
      </c>
      <c r="H1161" s="13"/>
      <c r="I1161" s="15"/>
      <c r="J1161" s="19">
        <v>2</v>
      </c>
      <c r="K1161" s="2" t="s">
        <v>2333</v>
      </c>
      <c r="L1161" s="11" t="str">
        <f t="shared" si="19"/>
        <v>Ver Imagen</v>
      </c>
      <c r="M1161" t="s">
        <v>15</v>
      </c>
    </row>
    <row r="1162" spans="1:13" x14ac:dyDescent="0.25">
      <c r="A1162">
        <v>1161</v>
      </c>
      <c r="B1162" t="s">
        <v>2334</v>
      </c>
      <c r="C1162" s="1">
        <v>37.299958479899999</v>
      </c>
      <c r="D1162" s="1">
        <v>-7.0551797569400003</v>
      </c>
      <c r="E1162" s="3">
        <v>2</v>
      </c>
      <c r="F1162" s="2">
        <v>3</v>
      </c>
      <c r="G1162" s="4">
        <v>2</v>
      </c>
      <c r="H1162" s="13"/>
      <c r="I1162" s="15"/>
      <c r="J1162" s="19">
        <v>2</v>
      </c>
      <c r="K1162" s="2" t="s">
        <v>2335</v>
      </c>
      <c r="L1162" s="11" t="str">
        <f t="shared" si="19"/>
        <v>Ver Imagen</v>
      </c>
      <c r="M1162" t="s">
        <v>15</v>
      </c>
    </row>
    <row r="1163" spans="1:13" x14ac:dyDescent="0.25">
      <c r="A1163">
        <v>1162</v>
      </c>
      <c r="B1163" t="s">
        <v>2336</v>
      </c>
      <c r="C1163" s="1">
        <v>37.300235508999997</v>
      </c>
      <c r="D1163" s="1">
        <v>-7.0555149883499997</v>
      </c>
      <c r="E1163" s="3">
        <v>2</v>
      </c>
      <c r="F1163" s="2">
        <v>1</v>
      </c>
      <c r="G1163" s="4">
        <v>2</v>
      </c>
      <c r="H1163" s="13"/>
      <c r="I1163" s="15"/>
      <c r="J1163" s="19">
        <v>2</v>
      </c>
      <c r="K1163" s="2" t="s">
        <v>2337</v>
      </c>
      <c r="L1163" s="11" t="str">
        <f t="shared" si="19"/>
        <v>Ver Imagen</v>
      </c>
      <c r="M1163" t="s">
        <v>15</v>
      </c>
    </row>
    <row r="1164" spans="1:13" x14ac:dyDescent="0.25">
      <c r="A1164">
        <v>1163</v>
      </c>
      <c r="B1164" t="s">
        <v>2338</v>
      </c>
      <c r="C1164" s="1">
        <v>37.301478583399998</v>
      </c>
      <c r="D1164" s="1">
        <v>-7.0563483691800002</v>
      </c>
      <c r="E1164" s="3">
        <v>2</v>
      </c>
      <c r="F1164" s="2">
        <v>2</v>
      </c>
      <c r="G1164" s="4">
        <v>3</v>
      </c>
      <c r="H1164" s="13"/>
      <c r="I1164" s="15"/>
      <c r="J1164" s="19">
        <v>2</v>
      </c>
      <c r="K1164" s="2" t="s">
        <v>2339</v>
      </c>
      <c r="L1164" s="11" t="str">
        <f t="shared" si="19"/>
        <v>Ver Imagen</v>
      </c>
      <c r="M1164" t="s">
        <v>15</v>
      </c>
    </row>
    <row r="1165" spans="1:13" x14ac:dyDescent="0.25">
      <c r="A1165">
        <v>1164</v>
      </c>
      <c r="B1165" t="s">
        <v>2340</v>
      </c>
      <c r="C1165" s="1">
        <v>37.301714535400002</v>
      </c>
      <c r="D1165" s="1">
        <v>-7.0564099922999999</v>
      </c>
      <c r="E1165" s="3">
        <v>2</v>
      </c>
      <c r="F1165" s="2">
        <v>1</v>
      </c>
      <c r="G1165" s="4">
        <v>2</v>
      </c>
      <c r="H1165" s="13"/>
      <c r="I1165" s="15"/>
      <c r="J1165" s="19">
        <v>2</v>
      </c>
      <c r="K1165" s="2" t="s">
        <v>2341</v>
      </c>
      <c r="L1165" s="11" t="str">
        <f t="shared" si="19"/>
        <v>Ver Imagen</v>
      </c>
      <c r="M1165" t="s">
        <v>15</v>
      </c>
    </row>
    <row r="1166" spans="1:13" x14ac:dyDescent="0.25">
      <c r="A1166">
        <v>1165</v>
      </c>
      <c r="B1166" t="s">
        <v>2342</v>
      </c>
      <c r="C1166" s="1">
        <v>37.301889321700003</v>
      </c>
      <c r="D1166" s="1">
        <v>-7.0564460033299996</v>
      </c>
      <c r="E1166" s="3">
        <v>1</v>
      </c>
      <c r="F1166" s="2">
        <v>2</v>
      </c>
      <c r="G1166" s="4">
        <v>2</v>
      </c>
      <c r="H1166" s="13"/>
      <c r="I1166" s="15"/>
      <c r="J1166" s="19">
        <v>2</v>
      </c>
      <c r="K1166" s="2" t="s">
        <v>2343</v>
      </c>
      <c r="L1166" s="11" t="str">
        <f t="shared" si="19"/>
        <v>Ver Imagen</v>
      </c>
      <c r="M1166" t="s">
        <v>15</v>
      </c>
    </row>
    <row r="1167" spans="1:13" x14ac:dyDescent="0.25">
      <c r="A1167">
        <v>1166</v>
      </c>
      <c r="B1167" t="s">
        <v>2344</v>
      </c>
      <c r="C1167" s="1">
        <v>37.302289322599997</v>
      </c>
      <c r="D1167" s="1">
        <v>-7.0565177383500002</v>
      </c>
      <c r="E1167" s="3">
        <v>2</v>
      </c>
      <c r="F1167" s="2">
        <v>1</v>
      </c>
      <c r="G1167" s="4">
        <v>2</v>
      </c>
      <c r="H1167" s="13"/>
      <c r="I1167" s="15"/>
      <c r="J1167" s="19">
        <v>2</v>
      </c>
      <c r="K1167" s="2" t="s">
        <v>2345</v>
      </c>
      <c r="L1167" s="11" t="str">
        <f t="shared" si="19"/>
        <v>Ver Imagen</v>
      </c>
      <c r="M1167" t="s">
        <v>15</v>
      </c>
    </row>
    <row r="1168" spans="1:13" x14ac:dyDescent="0.25">
      <c r="A1168">
        <v>1167</v>
      </c>
      <c r="B1168" t="s">
        <v>2346</v>
      </c>
      <c r="C1168" s="1">
        <v>37.3024745321</v>
      </c>
      <c r="D1168" s="1">
        <v>-7.0565495454300002</v>
      </c>
      <c r="E1168" s="3">
        <v>2</v>
      </c>
      <c r="F1168" s="2">
        <v>1</v>
      </c>
      <c r="G1168" s="4">
        <v>2</v>
      </c>
      <c r="H1168" s="13"/>
      <c r="I1168" s="15"/>
      <c r="J1168" s="19">
        <v>2</v>
      </c>
      <c r="K1168" s="2" t="s">
        <v>2347</v>
      </c>
      <c r="L1168" s="11" t="str">
        <f t="shared" si="19"/>
        <v>Ver Imagen</v>
      </c>
      <c r="M1168" t="s">
        <v>15</v>
      </c>
    </row>
    <row r="1169" spans="1:13" x14ac:dyDescent="0.25">
      <c r="A1169">
        <v>1168</v>
      </c>
      <c r="B1169" t="s">
        <v>2348</v>
      </c>
      <c r="C1169" s="1">
        <v>37.303056155</v>
      </c>
      <c r="D1169" s="1">
        <v>-7.0566487597799998</v>
      </c>
      <c r="E1169" s="3">
        <v>1</v>
      </c>
      <c r="F1169" s="2">
        <v>2</v>
      </c>
      <c r="G1169" s="4">
        <v>2</v>
      </c>
      <c r="H1169" s="13"/>
      <c r="I1169" s="15"/>
      <c r="J1169" s="19">
        <v>2</v>
      </c>
      <c r="K1169" s="2" t="s">
        <v>2349</v>
      </c>
      <c r="L1169" s="11" t="str">
        <f t="shared" si="19"/>
        <v>Ver Imagen</v>
      </c>
      <c r="M1169" t="s">
        <v>15</v>
      </c>
    </row>
    <row r="1170" spans="1:13" x14ac:dyDescent="0.25">
      <c r="A1170">
        <v>1169</v>
      </c>
      <c r="B1170" t="s">
        <v>2350</v>
      </c>
      <c r="C1170" s="1">
        <v>37.303269528800001</v>
      </c>
      <c r="D1170" s="1">
        <v>-7.0566833974499996</v>
      </c>
      <c r="E1170" s="3">
        <v>1</v>
      </c>
      <c r="F1170" s="2">
        <v>2</v>
      </c>
      <c r="G1170" s="4">
        <v>2</v>
      </c>
      <c r="H1170" s="13"/>
      <c r="I1170" s="15"/>
      <c r="J1170" s="19">
        <v>2</v>
      </c>
      <c r="K1170" s="2" t="s">
        <v>2351</v>
      </c>
      <c r="L1170" s="11" t="str">
        <f t="shared" si="19"/>
        <v>Ver Imagen</v>
      </c>
      <c r="M1170" t="s">
        <v>15</v>
      </c>
    </row>
    <row r="1171" spans="1:13" x14ac:dyDescent="0.25">
      <c r="A1171">
        <v>1170</v>
      </c>
      <c r="B1171" t="s">
        <v>2352</v>
      </c>
      <c r="C1171" s="1">
        <v>37.3036396567</v>
      </c>
      <c r="D1171" s="1">
        <v>-7.0567321177700002</v>
      </c>
      <c r="E1171" s="3">
        <v>1</v>
      </c>
      <c r="F1171" s="2">
        <v>2</v>
      </c>
      <c r="G1171" s="4">
        <v>2</v>
      </c>
      <c r="H1171" s="13"/>
      <c r="I1171" s="15"/>
      <c r="J1171" s="19">
        <v>2</v>
      </c>
      <c r="K1171" s="2" t="s">
        <v>2353</v>
      </c>
      <c r="L1171" s="11" t="str">
        <f t="shared" si="19"/>
        <v>Ver Imagen</v>
      </c>
      <c r="M1171" t="s">
        <v>15</v>
      </c>
    </row>
    <row r="1172" spans="1:13" x14ac:dyDescent="0.25">
      <c r="A1172">
        <v>1171</v>
      </c>
      <c r="B1172" t="s">
        <v>2354</v>
      </c>
      <c r="C1172" s="1">
        <v>37.303869533300002</v>
      </c>
      <c r="D1172" s="1">
        <v>-7.0567482369999999</v>
      </c>
      <c r="E1172" s="3">
        <v>1</v>
      </c>
      <c r="F1172" s="2">
        <v>2</v>
      </c>
      <c r="G1172" s="4">
        <v>2</v>
      </c>
      <c r="H1172" s="13"/>
      <c r="I1172" s="15"/>
      <c r="J1172" s="19">
        <v>2</v>
      </c>
      <c r="K1172" s="2" t="s">
        <v>2355</v>
      </c>
      <c r="L1172" s="11" t="str">
        <f t="shared" si="19"/>
        <v>Ver Imagen</v>
      </c>
      <c r="M1172" t="s">
        <v>15</v>
      </c>
    </row>
    <row r="1173" spans="1:13" x14ac:dyDescent="0.25">
      <c r="A1173">
        <v>1172</v>
      </c>
      <c r="B1173" t="s">
        <v>2356</v>
      </c>
      <c r="C1173" s="1">
        <v>37.304090412599997</v>
      </c>
      <c r="D1173" s="1">
        <v>-7.0567548393499999</v>
      </c>
      <c r="E1173" s="3">
        <v>1</v>
      </c>
      <c r="F1173" s="2">
        <v>2</v>
      </c>
      <c r="G1173" s="4">
        <v>2</v>
      </c>
      <c r="H1173" s="13"/>
      <c r="I1173" s="15"/>
      <c r="J1173" s="19">
        <v>2</v>
      </c>
      <c r="K1173" s="2" t="s">
        <v>2357</v>
      </c>
      <c r="L1173" s="11" t="str">
        <f t="shared" si="19"/>
        <v>Ver Imagen</v>
      </c>
      <c r="M1173" t="s">
        <v>15</v>
      </c>
    </row>
    <row r="1174" spans="1:13" x14ac:dyDescent="0.25">
      <c r="A1174">
        <v>1173</v>
      </c>
      <c r="B1174" t="s">
        <v>2358</v>
      </c>
      <c r="C1174" s="1">
        <v>37.3042739423</v>
      </c>
      <c r="D1174" s="1">
        <v>-7.0567556955599997</v>
      </c>
      <c r="E1174" s="3">
        <v>1</v>
      </c>
      <c r="F1174" s="2">
        <v>2</v>
      </c>
      <c r="G1174" s="4">
        <v>2</v>
      </c>
      <c r="H1174" s="13"/>
      <c r="I1174" s="15"/>
      <c r="J1174" s="19">
        <v>2</v>
      </c>
      <c r="K1174" s="2" t="s">
        <v>2359</v>
      </c>
      <c r="L1174" s="11" t="str">
        <f t="shared" si="19"/>
        <v>Ver Imagen</v>
      </c>
      <c r="M1174" t="s">
        <v>15</v>
      </c>
    </row>
    <row r="1175" spans="1:13" x14ac:dyDescent="0.25">
      <c r="A1175">
        <v>1174</v>
      </c>
      <c r="B1175" t="s">
        <v>2360</v>
      </c>
      <c r="C1175" s="1">
        <v>37.304480249500003</v>
      </c>
      <c r="D1175" s="1">
        <v>-7.0567525983800001</v>
      </c>
      <c r="E1175" s="3">
        <v>1</v>
      </c>
      <c r="F1175" s="2">
        <v>2</v>
      </c>
      <c r="G1175" s="4">
        <v>2</v>
      </c>
      <c r="H1175" s="13"/>
      <c r="I1175" s="15"/>
      <c r="J1175" s="19">
        <v>2</v>
      </c>
      <c r="K1175" s="2" t="s">
        <v>2361</v>
      </c>
      <c r="L1175" s="11" t="str">
        <f t="shared" si="19"/>
        <v>Ver Imagen</v>
      </c>
      <c r="M1175" t="s">
        <v>15</v>
      </c>
    </row>
    <row r="1176" spans="1:13" x14ac:dyDescent="0.25">
      <c r="A1176">
        <v>1175</v>
      </c>
      <c r="B1176" t="s">
        <v>2362</v>
      </c>
      <c r="C1176" s="1">
        <v>37.304689431500002</v>
      </c>
      <c r="D1176" s="1">
        <v>-7.0567464438199998</v>
      </c>
      <c r="E1176" s="3">
        <v>1</v>
      </c>
      <c r="F1176" s="2">
        <v>2</v>
      </c>
      <c r="G1176" s="4">
        <v>2</v>
      </c>
      <c r="H1176" s="13"/>
      <c r="I1176" s="15"/>
      <c r="J1176" s="19">
        <v>2</v>
      </c>
      <c r="K1176" s="2" t="s">
        <v>2363</v>
      </c>
      <c r="L1176" s="11" t="str">
        <f t="shared" si="19"/>
        <v>Ver Imagen</v>
      </c>
      <c r="M1176" t="s">
        <v>15</v>
      </c>
    </row>
    <row r="1177" spans="1:13" x14ac:dyDescent="0.25">
      <c r="A1177">
        <v>1176</v>
      </c>
      <c r="B1177" t="s">
        <v>2364</v>
      </c>
      <c r="C1177" s="1">
        <v>37.305287680200003</v>
      </c>
      <c r="D1177" s="1">
        <v>-7.0567342897099996</v>
      </c>
      <c r="E1177" s="3">
        <v>1</v>
      </c>
      <c r="F1177" s="2">
        <v>2</v>
      </c>
      <c r="G1177" s="4">
        <v>2</v>
      </c>
      <c r="H1177" s="13"/>
      <c r="I1177" s="15"/>
      <c r="J1177" s="19">
        <v>2</v>
      </c>
      <c r="K1177" s="2" t="s">
        <v>2365</v>
      </c>
      <c r="L1177" s="11" t="str">
        <f t="shared" si="19"/>
        <v>Ver Imagen</v>
      </c>
      <c r="M1177" t="s">
        <v>15</v>
      </c>
    </row>
    <row r="1178" spans="1:13" x14ac:dyDescent="0.25">
      <c r="A1178">
        <v>1177</v>
      </c>
      <c r="B1178" t="s">
        <v>2366</v>
      </c>
      <c r="C1178" s="1">
        <v>37.308706376000004</v>
      </c>
      <c r="D1178" s="1">
        <v>-7.0573669673200001</v>
      </c>
      <c r="E1178" s="3">
        <v>2</v>
      </c>
      <c r="F1178" s="2">
        <v>2</v>
      </c>
      <c r="G1178" s="4">
        <v>3</v>
      </c>
      <c r="H1178" s="13"/>
      <c r="I1178" s="15"/>
      <c r="J1178" s="19">
        <v>2</v>
      </c>
      <c r="K1178" s="2" t="s">
        <v>2367</v>
      </c>
      <c r="L1178" s="11" t="str">
        <f t="shared" si="19"/>
        <v>Ver Imagen</v>
      </c>
      <c r="M1178" t="s">
        <v>15</v>
      </c>
    </row>
    <row r="1179" spans="1:13" x14ac:dyDescent="0.25">
      <c r="A1179">
        <v>1178</v>
      </c>
      <c r="B1179" t="s">
        <v>2368</v>
      </c>
      <c r="C1179" s="1">
        <v>37.309228566900003</v>
      </c>
      <c r="D1179" s="1">
        <v>-7.0576521312900002</v>
      </c>
      <c r="E1179" s="3">
        <v>2</v>
      </c>
      <c r="F1179" s="2">
        <v>2</v>
      </c>
      <c r="G1179" s="4">
        <v>3</v>
      </c>
      <c r="H1179" s="13"/>
      <c r="I1179" s="15"/>
      <c r="J1179" s="19">
        <v>2</v>
      </c>
      <c r="K1179" s="2" t="s">
        <v>2369</v>
      </c>
      <c r="L1179" s="11" t="str">
        <f t="shared" si="19"/>
        <v>Ver Imagen</v>
      </c>
      <c r="M1179" t="s">
        <v>15</v>
      </c>
    </row>
    <row r="1180" spans="1:13" x14ac:dyDescent="0.25">
      <c r="A1180">
        <v>1179</v>
      </c>
      <c r="B1180" t="s">
        <v>2370</v>
      </c>
      <c r="C1180" s="1">
        <v>37.309423146699999</v>
      </c>
      <c r="D1180" s="1">
        <v>-7.0577831031800002</v>
      </c>
      <c r="E1180" s="3">
        <v>2</v>
      </c>
      <c r="F1180" s="2">
        <v>1</v>
      </c>
      <c r="G1180" s="4">
        <v>2</v>
      </c>
      <c r="H1180" s="13"/>
      <c r="I1180" s="15"/>
      <c r="J1180" s="19">
        <v>2</v>
      </c>
      <c r="K1180" s="2" t="s">
        <v>2371</v>
      </c>
      <c r="L1180" s="11" t="str">
        <f t="shared" si="19"/>
        <v>Ver Imagen</v>
      </c>
      <c r="M1180" t="s">
        <v>15</v>
      </c>
    </row>
    <row r="1181" spans="1:13" x14ac:dyDescent="0.25">
      <c r="A1181">
        <v>1180</v>
      </c>
      <c r="B1181" t="s">
        <v>2372</v>
      </c>
      <c r="C1181" s="1">
        <v>37.3095860978</v>
      </c>
      <c r="D1181" s="1">
        <v>-7.05790429325</v>
      </c>
      <c r="E1181" s="3">
        <v>2</v>
      </c>
      <c r="F1181" s="2">
        <v>1</v>
      </c>
      <c r="G1181" s="4">
        <v>2</v>
      </c>
      <c r="H1181" s="13"/>
      <c r="I1181" s="15"/>
      <c r="J1181" s="19">
        <v>2</v>
      </c>
      <c r="K1181" s="2" t="s">
        <v>2373</v>
      </c>
      <c r="L1181" s="11" t="str">
        <f t="shared" si="19"/>
        <v>Ver Imagen</v>
      </c>
      <c r="M1181" t="s">
        <v>15</v>
      </c>
    </row>
    <row r="1182" spans="1:13" x14ac:dyDescent="0.25">
      <c r="A1182">
        <v>1181</v>
      </c>
      <c r="B1182" t="s">
        <v>2374</v>
      </c>
      <c r="C1182" s="1">
        <v>37.31028491</v>
      </c>
      <c r="D1182" s="1">
        <v>-7.0584747879899998</v>
      </c>
      <c r="E1182" s="3">
        <v>1</v>
      </c>
      <c r="F1182" s="2">
        <v>2</v>
      </c>
      <c r="G1182" s="4">
        <v>2</v>
      </c>
      <c r="H1182" s="13"/>
      <c r="I1182" s="15"/>
      <c r="J1182" s="19">
        <v>2</v>
      </c>
      <c r="K1182" s="2" t="s">
        <v>2375</v>
      </c>
      <c r="L1182" s="11" t="str">
        <f t="shared" si="19"/>
        <v>Ver Imagen</v>
      </c>
      <c r="M1182" t="s">
        <v>15</v>
      </c>
    </row>
    <row r="1183" spans="1:13" x14ac:dyDescent="0.25">
      <c r="A1183">
        <v>1182</v>
      </c>
      <c r="B1183" t="s">
        <v>2376</v>
      </c>
      <c r="C1183" s="1">
        <v>37.310631827100003</v>
      </c>
      <c r="D1183" s="1">
        <v>-7.0587723122300003</v>
      </c>
      <c r="E1183" s="3">
        <v>1</v>
      </c>
      <c r="F1183" s="2">
        <v>2</v>
      </c>
      <c r="G1183" s="4">
        <v>2</v>
      </c>
      <c r="H1183" s="13"/>
      <c r="I1183" s="15"/>
      <c r="J1183" s="19">
        <v>2</v>
      </c>
      <c r="K1183" s="2" t="s">
        <v>2377</v>
      </c>
      <c r="L1183" s="11" t="str">
        <f t="shared" si="19"/>
        <v>Ver Imagen</v>
      </c>
      <c r="M1183" t="s">
        <v>15</v>
      </c>
    </row>
    <row r="1184" spans="1:13" x14ac:dyDescent="0.25">
      <c r="A1184">
        <v>1183</v>
      </c>
      <c r="B1184" t="s">
        <v>2378</v>
      </c>
      <c r="C1184" s="1">
        <v>37.310765631400002</v>
      </c>
      <c r="D1184" s="1">
        <v>-7.0588856511299998</v>
      </c>
      <c r="E1184" s="3">
        <v>1</v>
      </c>
      <c r="F1184" s="2">
        <v>2</v>
      </c>
      <c r="G1184" s="4">
        <v>2</v>
      </c>
      <c r="H1184" s="13"/>
      <c r="I1184" s="15"/>
      <c r="J1184" s="19">
        <v>2</v>
      </c>
      <c r="K1184" s="2" t="s">
        <v>2379</v>
      </c>
      <c r="L1184" s="11" t="str">
        <f t="shared" si="19"/>
        <v>Ver Imagen</v>
      </c>
      <c r="M1184" t="s">
        <v>15</v>
      </c>
    </row>
    <row r="1185" spans="1:13" x14ac:dyDescent="0.25">
      <c r="A1185">
        <v>1184</v>
      </c>
      <c r="B1185" t="s">
        <v>2380</v>
      </c>
      <c r="C1185" s="1">
        <v>37.311748242999997</v>
      </c>
      <c r="D1185" s="1">
        <v>-7.0598426846700004</v>
      </c>
      <c r="E1185" s="3">
        <v>2</v>
      </c>
      <c r="F1185" s="2">
        <v>1</v>
      </c>
      <c r="G1185" s="4">
        <v>2</v>
      </c>
      <c r="H1185" s="13"/>
      <c r="I1185" s="15"/>
      <c r="J1185" s="19">
        <v>2</v>
      </c>
      <c r="K1185" s="2" t="s">
        <v>2381</v>
      </c>
      <c r="L1185" s="11" t="str">
        <f t="shared" si="19"/>
        <v>Ver Imagen</v>
      </c>
      <c r="M1185" t="s">
        <v>15</v>
      </c>
    </row>
    <row r="1186" spans="1:13" x14ac:dyDescent="0.25">
      <c r="A1186">
        <v>1185</v>
      </c>
      <c r="B1186" t="s">
        <v>2382</v>
      </c>
      <c r="C1186" s="1">
        <v>37.312018589499999</v>
      </c>
      <c r="D1186" s="1">
        <v>-7.0602148903200002</v>
      </c>
      <c r="E1186" s="3">
        <v>2</v>
      </c>
      <c r="F1186" s="2">
        <v>1</v>
      </c>
      <c r="G1186" s="4">
        <v>2</v>
      </c>
      <c r="H1186" s="13"/>
      <c r="I1186" s="15"/>
      <c r="J1186" s="19">
        <v>2</v>
      </c>
      <c r="K1186" s="2" t="s">
        <v>2383</v>
      </c>
      <c r="L1186" s="11" t="str">
        <f t="shared" si="19"/>
        <v>Ver Imagen</v>
      </c>
      <c r="M1186" t="s">
        <v>15</v>
      </c>
    </row>
    <row r="1187" spans="1:13" x14ac:dyDescent="0.25">
      <c r="A1187">
        <v>1186</v>
      </c>
      <c r="B1187" t="s">
        <v>2384</v>
      </c>
      <c r="C1187" s="1">
        <v>37.312138451000003</v>
      </c>
      <c r="D1187" s="1">
        <v>-7.0603947652899999</v>
      </c>
      <c r="E1187" s="3">
        <v>2</v>
      </c>
      <c r="F1187" s="2">
        <v>1</v>
      </c>
      <c r="G1187" s="4">
        <v>2</v>
      </c>
      <c r="H1187" s="13"/>
      <c r="I1187" s="15"/>
      <c r="J1187" s="19">
        <v>2</v>
      </c>
      <c r="K1187" s="2" t="s">
        <v>2385</v>
      </c>
      <c r="L1187" s="11" t="str">
        <f t="shared" si="19"/>
        <v>Ver Imagen</v>
      </c>
      <c r="M1187" t="s">
        <v>15</v>
      </c>
    </row>
    <row r="1188" spans="1:13" x14ac:dyDescent="0.25">
      <c r="A1188">
        <v>1187</v>
      </c>
      <c r="B1188" t="s">
        <v>2386</v>
      </c>
      <c r="C1188" s="1">
        <v>37.312650336099999</v>
      </c>
      <c r="D1188" s="1">
        <v>-7.0611899348299998</v>
      </c>
      <c r="E1188" s="3">
        <v>1</v>
      </c>
      <c r="F1188" s="2">
        <v>2</v>
      </c>
      <c r="G1188" s="4">
        <v>2</v>
      </c>
      <c r="H1188" s="13"/>
      <c r="I1188" s="15"/>
      <c r="J1188" s="19">
        <v>2</v>
      </c>
      <c r="K1188" s="2" t="s">
        <v>2387</v>
      </c>
      <c r="L1188" s="11" t="str">
        <f t="shared" si="19"/>
        <v>Ver Imagen</v>
      </c>
      <c r="M1188" t="s">
        <v>15</v>
      </c>
    </row>
    <row r="1189" spans="1:13" x14ac:dyDescent="0.25">
      <c r="A1189">
        <v>1188</v>
      </c>
      <c r="B1189" t="s">
        <v>2388</v>
      </c>
      <c r="C1189" s="1">
        <v>37.312774382100002</v>
      </c>
      <c r="D1189" s="1">
        <v>-7.0613853451399997</v>
      </c>
      <c r="E1189" s="3">
        <v>1</v>
      </c>
      <c r="F1189" s="2">
        <v>2</v>
      </c>
      <c r="G1189" s="4">
        <v>2</v>
      </c>
      <c r="H1189" s="13"/>
      <c r="I1189" s="15"/>
      <c r="J1189" s="19">
        <v>2</v>
      </c>
      <c r="K1189" s="2" t="s">
        <v>2389</v>
      </c>
      <c r="L1189" s="11" t="str">
        <f t="shared" si="19"/>
        <v>Ver Imagen</v>
      </c>
      <c r="M1189" t="s">
        <v>15</v>
      </c>
    </row>
    <row r="1190" spans="1:13" x14ac:dyDescent="0.25">
      <c r="A1190">
        <v>1189</v>
      </c>
      <c r="B1190" t="s">
        <v>2390</v>
      </c>
      <c r="C1190" s="1">
        <v>37.313018037900001</v>
      </c>
      <c r="D1190" s="1">
        <v>-7.0617834954700003</v>
      </c>
      <c r="E1190" s="3">
        <v>1</v>
      </c>
      <c r="F1190" s="2">
        <v>2</v>
      </c>
      <c r="G1190" s="4">
        <v>2</v>
      </c>
      <c r="H1190" s="13"/>
      <c r="I1190" s="15"/>
      <c r="J1190" s="19">
        <v>2</v>
      </c>
      <c r="K1190" s="2" t="s">
        <v>2391</v>
      </c>
      <c r="L1190" s="11" t="str">
        <f t="shared" si="19"/>
        <v>Ver Imagen</v>
      </c>
      <c r="M1190" t="s">
        <v>15</v>
      </c>
    </row>
    <row r="1191" spans="1:13" x14ac:dyDescent="0.25">
      <c r="A1191">
        <v>1190</v>
      </c>
      <c r="B1191" t="s">
        <v>2392</v>
      </c>
      <c r="C1191" s="1">
        <v>37.313153424299998</v>
      </c>
      <c r="D1191" s="1">
        <v>-7.0620188450299999</v>
      </c>
      <c r="E1191" s="3">
        <v>1</v>
      </c>
      <c r="F1191" s="2">
        <v>2</v>
      </c>
      <c r="G1191" s="4">
        <v>2</v>
      </c>
      <c r="H1191" s="13"/>
      <c r="I1191" s="15"/>
      <c r="J1191" s="19">
        <v>2</v>
      </c>
      <c r="K1191" s="2" t="s">
        <v>2393</v>
      </c>
      <c r="L1191" s="11" t="str">
        <f t="shared" si="19"/>
        <v>Ver Imagen</v>
      </c>
      <c r="M1191" t="s">
        <v>15</v>
      </c>
    </row>
    <row r="1192" spans="1:13" x14ac:dyDescent="0.25">
      <c r="A1192">
        <v>1191</v>
      </c>
      <c r="B1192" t="s">
        <v>2394</v>
      </c>
      <c r="C1192" s="1">
        <v>37.3132664472</v>
      </c>
      <c r="D1192" s="1">
        <v>-7.0622224260899999</v>
      </c>
      <c r="E1192" s="3">
        <v>2</v>
      </c>
      <c r="F1192" s="2">
        <v>2</v>
      </c>
      <c r="G1192" s="4">
        <v>3</v>
      </c>
      <c r="H1192" s="13"/>
      <c r="I1192" s="15"/>
      <c r="J1192" s="19">
        <v>2</v>
      </c>
      <c r="K1192" s="2" t="s">
        <v>2395</v>
      </c>
      <c r="L1192" s="11" t="str">
        <f t="shared" si="19"/>
        <v>Ver Imagen</v>
      </c>
      <c r="M1192" t="s">
        <v>15</v>
      </c>
    </row>
    <row r="1193" spans="1:13" x14ac:dyDescent="0.25">
      <c r="A1193">
        <v>1192</v>
      </c>
      <c r="B1193" t="s">
        <v>2396</v>
      </c>
      <c r="C1193" s="1">
        <v>37.313382983799997</v>
      </c>
      <c r="D1193" s="1">
        <v>-7.0624368048899999</v>
      </c>
      <c r="E1193" s="3">
        <v>2</v>
      </c>
      <c r="F1193" s="2">
        <v>1</v>
      </c>
      <c r="G1193" s="4">
        <v>2</v>
      </c>
      <c r="H1193" s="13"/>
      <c r="I1193" s="15"/>
      <c r="J1193" s="19">
        <v>2</v>
      </c>
      <c r="K1193" s="2" t="s">
        <v>2397</v>
      </c>
      <c r="L1193" s="11" t="str">
        <f t="shared" si="19"/>
        <v>Ver Imagen</v>
      </c>
      <c r="M1193" t="s">
        <v>15</v>
      </c>
    </row>
    <row r="1194" spans="1:13" x14ac:dyDescent="0.25">
      <c r="A1194">
        <v>1193</v>
      </c>
      <c r="B1194" t="s">
        <v>2398</v>
      </c>
      <c r="C1194" s="1">
        <v>37.314030132900001</v>
      </c>
      <c r="D1194" s="1">
        <v>-7.0636509703400003</v>
      </c>
      <c r="E1194" s="3">
        <v>2</v>
      </c>
      <c r="F1194" s="2">
        <v>1</v>
      </c>
      <c r="G1194" s="4">
        <v>2</v>
      </c>
      <c r="H1194" s="13"/>
      <c r="I1194" s="15"/>
      <c r="J1194" s="19">
        <v>2</v>
      </c>
      <c r="K1194" s="2" t="s">
        <v>2399</v>
      </c>
      <c r="L1194" s="11" t="str">
        <f t="shared" si="19"/>
        <v>Ver Imagen</v>
      </c>
      <c r="M1194" t="s">
        <v>15</v>
      </c>
    </row>
    <row r="1195" spans="1:13" x14ac:dyDescent="0.25">
      <c r="A1195">
        <v>1194</v>
      </c>
      <c r="B1195" t="s">
        <v>2400</v>
      </c>
      <c r="C1195" s="1">
        <v>37.314499835299998</v>
      </c>
      <c r="D1195" s="1">
        <v>-7.0645268651400004</v>
      </c>
      <c r="E1195" s="3">
        <v>1</v>
      </c>
      <c r="F1195" s="2">
        <v>2</v>
      </c>
      <c r="G1195" s="4">
        <v>2</v>
      </c>
      <c r="H1195" s="13"/>
      <c r="I1195" s="15"/>
      <c r="J1195" s="19">
        <v>2</v>
      </c>
      <c r="K1195" s="2" t="s">
        <v>2401</v>
      </c>
      <c r="L1195" s="11" t="str">
        <f t="shared" si="19"/>
        <v>Ver Imagen</v>
      </c>
      <c r="M1195" t="s">
        <v>15</v>
      </c>
    </row>
    <row r="1196" spans="1:13" x14ac:dyDescent="0.25">
      <c r="A1196">
        <v>1195</v>
      </c>
      <c r="B1196" t="s">
        <v>2402</v>
      </c>
      <c r="C1196" s="1">
        <v>37.314720628400003</v>
      </c>
      <c r="D1196" s="1">
        <v>-7.0649363780099996</v>
      </c>
      <c r="E1196" s="3">
        <v>1</v>
      </c>
      <c r="F1196" s="2">
        <v>2</v>
      </c>
      <c r="G1196" s="4">
        <v>2</v>
      </c>
      <c r="H1196" s="13"/>
      <c r="I1196" s="15"/>
      <c r="J1196" s="19">
        <v>2</v>
      </c>
      <c r="K1196" s="2" t="s">
        <v>2403</v>
      </c>
      <c r="L1196" s="11" t="str">
        <f t="shared" si="19"/>
        <v>Ver Imagen</v>
      </c>
      <c r="M1196" t="s">
        <v>15</v>
      </c>
    </row>
    <row r="1197" spans="1:13" x14ac:dyDescent="0.25">
      <c r="A1197">
        <v>1196</v>
      </c>
      <c r="B1197" t="s">
        <v>2404</v>
      </c>
      <c r="C1197" s="1">
        <v>37.314831771999998</v>
      </c>
      <c r="D1197" s="1">
        <v>-7.06514974183</v>
      </c>
      <c r="E1197" s="3">
        <v>1</v>
      </c>
      <c r="F1197" s="2">
        <v>2</v>
      </c>
      <c r="G1197" s="4">
        <v>2</v>
      </c>
      <c r="H1197" s="13"/>
      <c r="I1197" s="15"/>
      <c r="J1197" s="19">
        <v>2</v>
      </c>
      <c r="K1197" s="2" t="s">
        <v>2405</v>
      </c>
      <c r="L1197" s="11" t="str">
        <f t="shared" si="19"/>
        <v>Ver Imagen</v>
      </c>
      <c r="M1197" t="s">
        <v>15</v>
      </c>
    </row>
    <row r="1198" spans="1:13" x14ac:dyDescent="0.25">
      <c r="A1198">
        <v>1197</v>
      </c>
      <c r="B1198" t="s">
        <v>2406</v>
      </c>
      <c r="C1198" s="1">
        <v>37.315030459500001</v>
      </c>
      <c r="D1198" s="1">
        <v>-7.0655773615799999</v>
      </c>
      <c r="E1198" s="3">
        <v>1</v>
      </c>
      <c r="F1198" s="2">
        <v>2</v>
      </c>
      <c r="G1198" s="4">
        <v>2</v>
      </c>
      <c r="H1198" s="13"/>
      <c r="I1198" s="15"/>
      <c r="J1198" s="19">
        <v>2</v>
      </c>
      <c r="K1198" s="2" t="s">
        <v>2407</v>
      </c>
      <c r="L1198" s="11" t="str">
        <f t="shared" si="19"/>
        <v>Ver Imagen</v>
      </c>
      <c r="M1198" t="s">
        <v>15</v>
      </c>
    </row>
    <row r="1199" spans="1:13" x14ac:dyDescent="0.25">
      <c r="A1199">
        <v>1198</v>
      </c>
      <c r="B1199" t="s">
        <v>2408</v>
      </c>
      <c r="C1199" s="1">
        <v>37.317605654399998</v>
      </c>
      <c r="D1199" s="1">
        <v>-7.0711044704299999</v>
      </c>
      <c r="E1199" s="3">
        <v>2</v>
      </c>
      <c r="F1199" s="2">
        <v>2</v>
      </c>
      <c r="G1199" s="4">
        <v>3</v>
      </c>
      <c r="H1199" s="13"/>
      <c r="I1199" s="15"/>
      <c r="J1199" s="19">
        <v>2</v>
      </c>
      <c r="K1199" s="2" t="s">
        <v>2409</v>
      </c>
      <c r="L1199" s="11" t="str">
        <f t="shared" si="19"/>
        <v>Ver Imagen</v>
      </c>
      <c r="M1199" t="s">
        <v>15</v>
      </c>
    </row>
    <row r="1200" spans="1:13" x14ac:dyDescent="0.25">
      <c r="A1200">
        <v>1199</v>
      </c>
      <c r="B1200" t="s">
        <v>2410</v>
      </c>
      <c r="C1200" s="1">
        <v>37.3177794132</v>
      </c>
      <c r="D1200" s="1">
        <v>-7.0711756702099997</v>
      </c>
      <c r="E1200" s="3">
        <v>2</v>
      </c>
      <c r="F1200" s="2">
        <v>2</v>
      </c>
      <c r="G1200" s="4">
        <v>3</v>
      </c>
      <c r="H1200" s="13"/>
      <c r="I1200" s="15"/>
      <c r="J1200" s="19">
        <v>2</v>
      </c>
      <c r="K1200" s="2" t="s">
        <v>2411</v>
      </c>
      <c r="L1200" s="11" t="str">
        <f t="shared" si="19"/>
        <v>Ver Imagen</v>
      </c>
      <c r="M1200" t="s">
        <v>15</v>
      </c>
    </row>
    <row r="1201" spans="1:13" x14ac:dyDescent="0.25">
      <c r="A1201">
        <v>1200</v>
      </c>
      <c r="B1201" t="s">
        <v>2412</v>
      </c>
      <c r="C1201" s="1">
        <v>37.4641037946</v>
      </c>
      <c r="D1201" s="1">
        <v>-7.1187867896099997</v>
      </c>
      <c r="E1201" s="3">
        <v>1</v>
      </c>
      <c r="F1201" s="2">
        <v>2</v>
      </c>
      <c r="G1201" s="4">
        <v>2</v>
      </c>
      <c r="H1201" s="13"/>
      <c r="I1201" s="15"/>
      <c r="J1201" s="19">
        <v>2</v>
      </c>
      <c r="K1201" s="2" t="s">
        <v>2413</v>
      </c>
      <c r="L1201" s="11" t="str">
        <f t="shared" si="19"/>
        <v>Ver Imagen</v>
      </c>
      <c r="M1201" t="s">
        <v>15</v>
      </c>
    </row>
    <row r="1202" spans="1:13" x14ac:dyDescent="0.25">
      <c r="A1202">
        <v>1201</v>
      </c>
      <c r="B1202" t="s">
        <v>2414</v>
      </c>
      <c r="C1202" s="1">
        <v>37.4483401237</v>
      </c>
      <c r="D1202" s="1">
        <v>-7.1095120029199999</v>
      </c>
      <c r="E1202" s="3">
        <v>2</v>
      </c>
      <c r="F1202" s="2">
        <v>3</v>
      </c>
      <c r="G1202" s="4">
        <v>2</v>
      </c>
      <c r="H1202" s="13"/>
      <c r="I1202" s="15"/>
      <c r="J1202" s="19">
        <v>2</v>
      </c>
      <c r="K1202" s="2" t="s">
        <v>2415</v>
      </c>
      <c r="L1202" s="11" t="str">
        <f t="shared" si="19"/>
        <v>Ver Imagen</v>
      </c>
      <c r="M1202" t="s">
        <v>15</v>
      </c>
    </row>
    <row r="1203" spans="1:13" x14ac:dyDescent="0.25">
      <c r="A1203">
        <v>1202</v>
      </c>
      <c r="B1203" t="s">
        <v>2416</v>
      </c>
      <c r="C1203" s="1">
        <v>37.268476810899998</v>
      </c>
      <c r="D1203" s="1">
        <v>-6.9735743324100001</v>
      </c>
      <c r="E1203" s="3">
        <v>2</v>
      </c>
      <c r="F1203" s="2">
        <v>3</v>
      </c>
      <c r="G1203" s="4">
        <v>2</v>
      </c>
      <c r="H1203" s="13"/>
      <c r="I1203" s="15"/>
      <c r="J1203" s="19">
        <v>2</v>
      </c>
      <c r="K1203" s="2" t="s">
        <v>2417</v>
      </c>
      <c r="L1203" s="11" t="str">
        <f t="shared" si="19"/>
        <v>Ver Imagen</v>
      </c>
      <c r="M1203" t="s">
        <v>15</v>
      </c>
    </row>
    <row r="1204" spans="1:13" x14ac:dyDescent="0.25">
      <c r="A1204">
        <v>1203</v>
      </c>
      <c r="B1204" t="s">
        <v>2418</v>
      </c>
      <c r="C1204" s="1">
        <v>37.2674551124</v>
      </c>
      <c r="D1204" s="1">
        <v>-6.9612411553699998</v>
      </c>
      <c r="E1204" s="3">
        <v>2</v>
      </c>
      <c r="F1204" s="2">
        <v>2</v>
      </c>
      <c r="G1204" s="4">
        <v>1</v>
      </c>
      <c r="H1204" s="13"/>
      <c r="I1204" s="15"/>
      <c r="J1204" s="19">
        <v>2</v>
      </c>
      <c r="K1204" s="2" t="s">
        <v>2419</v>
      </c>
      <c r="L1204" s="11" t="str">
        <f t="shared" si="19"/>
        <v>Ver Imagen</v>
      </c>
      <c r="M1204" t="s">
        <v>15</v>
      </c>
    </row>
    <row r="1205" spans="1:13" x14ac:dyDescent="0.25">
      <c r="A1205">
        <v>1204</v>
      </c>
      <c r="B1205" t="s">
        <v>2420</v>
      </c>
      <c r="C1205" s="1">
        <v>37.267195572399999</v>
      </c>
      <c r="D1205" s="1">
        <v>-6.9595242211099997</v>
      </c>
      <c r="E1205" s="3">
        <v>2</v>
      </c>
      <c r="F1205" s="2">
        <v>2</v>
      </c>
      <c r="G1205" s="4">
        <v>1</v>
      </c>
      <c r="H1205" s="13"/>
      <c r="I1205" s="15"/>
      <c r="J1205" s="19">
        <v>2</v>
      </c>
      <c r="K1205" s="2" t="s">
        <v>2421</v>
      </c>
      <c r="L1205" s="11" t="str">
        <f t="shared" si="19"/>
        <v>Ver Imagen</v>
      </c>
      <c r="M1205" t="s">
        <v>15</v>
      </c>
    </row>
    <row r="1206" spans="1:13" x14ac:dyDescent="0.25">
      <c r="A1206">
        <v>1205</v>
      </c>
      <c r="B1206" t="s">
        <v>2422</v>
      </c>
      <c r="C1206" s="1">
        <v>37.267150917000002</v>
      </c>
      <c r="D1206" s="1">
        <v>-6.9592813329999998</v>
      </c>
      <c r="E1206" s="3">
        <v>2</v>
      </c>
      <c r="F1206" s="2">
        <v>2</v>
      </c>
      <c r="G1206" s="4">
        <v>1</v>
      </c>
      <c r="H1206" s="13"/>
      <c r="I1206" s="15"/>
      <c r="J1206" s="19">
        <v>2</v>
      </c>
      <c r="K1206" s="2" t="s">
        <v>2423</v>
      </c>
      <c r="L1206" s="11" t="str">
        <f t="shared" si="19"/>
        <v>Ver Imagen</v>
      </c>
      <c r="M1206" t="s">
        <v>15</v>
      </c>
    </row>
    <row r="1207" spans="1:13" x14ac:dyDescent="0.25">
      <c r="A1207">
        <v>1206</v>
      </c>
      <c r="B1207" t="s">
        <v>2424</v>
      </c>
      <c r="C1207" s="1">
        <v>37.267101990999997</v>
      </c>
      <c r="D1207" s="1">
        <v>-6.9590260472000001</v>
      </c>
      <c r="E1207" s="3">
        <v>1</v>
      </c>
      <c r="F1207" s="2">
        <v>2</v>
      </c>
      <c r="G1207" s="4">
        <v>2</v>
      </c>
      <c r="H1207" s="13"/>
      <c r="I1207" s="15"/>
      <c r="J1207" s="19">
        <v>2</v>
      </c>
      <c r="K1207" s="2" t="s">
        <v>2425</v>
      </c>
      <c r="L1207" s="11" t="str">
        <f t="shared" si="19"/>
        <v>Ver Imagen</v>
      </c>
      <c r="M1207" t="s">
        <v>15</v>
      </c>
    </row>
    <row r="1208" spans="1:13" x14ac:dyDescent="0.25">
      <c r="A1208">
        <v>1207</v>
      </c>
      <c r="B1208" t="s">
        <v>2426</v>
      </c>
      <c r="C1208" s="1">
        <v>37.267049942500002</v>
      </c>
      <c r="D1208" s="1">
        <v>-6.9587788569100004</v>
      </c>
      <c r="E1208" s="3">
        <v>1</v>
      </c>
      <c r="F1208" s="2">
        <v>2</v>
      </c>
      <c r="G1208" s="4">
        <v>2</v>
      </c>
      <c r="H1208" s="13"/>
      <c r="I1208" s="15"/>
      <c r="J1208" s="19">
        <v>2</v>
      </c>
      <c r="K1208" s="2" t="s">
        <v>2427</v>
      </c>
      <c r="L1208" s="11" t="str">
        <f t="shared" si="19"/>
        <v>Ver Imagen</v>
      </c>
      <c r="M1208" t="s">
        <v>15</v>
      </c>
    </row>
    <row r="1209" spans="1:13" x14ac:dyDescent="0.25">
      <c r="A1209">
        <v>1208</v>
      </c>
      <c r="B1209" t="s">
        <v>2428</v>
      </c>
      <c r="C1209" s="1">
        <v>37.190072902799997</v>
      </c>
      <c r="D1209" s="1">
        <v>-6.98899874599</v>
      </c>
      <c r="E1209" s="3">
        <v>2</v>
      </c>
      <c r="F1209" s="2">
        <v>3</v>
      </c>
      <c r="G1209" s="4">
        <v>2</v>
      </c>
      <c r="H1209" s="13"/>
      <c r="I1209" s="15"/>
      <c r="J1209" s="19">
        <v>2</v>
      </c>
      <c r="K1209" s="2" t="s">
        <v>2429</v>
      </c>
      <c r="L1209" s="11" t="str">
        <f t="shared" si="19"/>
        <v>Ver Imagen</v>
      </c>
      <c r="M1209" t="s">
        <v>15</v>
      </c>
    </row>
    <row r="1210" spans="1:13" x14ac:dyDescent="0.25">
      <c r="A1210">
        <v>1209</v>
      </c>
      <c r="B1210" t="s">
        <v>2430</v>
      </c>
      <c r="C1210" s="1">
        <v>37.190686650899998</v>
      </c>
      <c r="D1210" s="1">
        <v>-6.9903281485399997</v>
      </c>
      <c r="E1210" s="3">
        <v>2</v>
      </c>
      <c r="F1210" s="2">
        <v>3</v>
      </c>
      <c r="G1210" s="4">
        <v>2</v>
      </c>
      <c r="H1210" s="13"/>
      <c r="I1210" s="15"/>
      <c r="J1210" s="19">
        <v>2</v>
      </c>
      <c r="K1210" s="2" t="s">
        <v>2431</v>
      </c>
      <c r="L1210" s="11" t="str">
        <f t="shared" si="19"/>
        <v>Ver Imagen</v>
      </c>
      <c r="M1210" t="s">
        <v>15</v>
      </c>
    </row>
    <row r="1211" spans="1:13" x14ac:dyDescent="0.25">
      <c r="A1211">
        <v>1210</v>
      </c>
      <c r="B1211" t="s">
        <v>2432</v>
      </c>
      <c r="C1211" s="1">
        <v>37.193672910399997</v>
      </c>
      <c r="D1211" s="1">
        <v>-6.9969178464299997</v>
      </c>
      <c r="E1211" s="3">
        <v>2</v>
      </c>
      <c r="F1211" s="2">
        <v>2</v>
      </c>
      <c r="G1211" s="4">
        <v>3</v>
      </c>
      <c r="H1211" s="13"/>
      <c r="I1211" s="15"/>
      <c r="J1211" s="19">
        <v>2</v>
      </c>
      <c r="K1211" s="2" t="s">
        <v>2433</v>
      </c>
      <c r="L1211" s="11" t="str">
        <f t="shared" si="19"/>
        <v>Ver Imagen</v>
      </c>
      <c r="M1211" t="s">
        <v>15</v>
      </c>
    </row>
    <row r="1212" spans="1:13" x14ac:dyDescent="0.25">
      <c r="A1212">
        <v>1211</v>
      </c>
      <c r="B1212" t="s">
        <v>2434</v>
      </c>
      <c r="C1212" s="1">
        <v>37.194697206699999</v>
      </c>
      <c r="D1212" s="1">
        <v>-6.9993980641300002</v>
      </c>
      <c r="E1212" s="3">
        <v>2</v>
      </c>
      <c r="F1212" s="2">
        <v>2</v>
      </c>
      <c r="G1212" s="4">
        <v>3</v>
      </c>
      <c r="H1212" s="13"/>
      <c r="I1212" s="15"/>
      <c r="J1212" s="19">
        <v>2</v>
      </c>
      <c r="K1212" s="2" t="s">
        <v>2435</v>
      </c>
      <c r="L1212" s="11" t="str">
        <f t="shared" si="19"/>
        <v>Ver Imagen</v>
      </c>
      <c r="M1212" t="s">
        <v>15</v>
      </c>
    </row>
    <row r="1213" spans="1:13" x14ac:dyDescent="0.25">
      <c r="A1213">
        <v>1212</v>
      </c>
      <c r="B1213" t="s">
        <v>2436</v>
      </c>
      <c r="C1213" s="1">
        <v>37.194874206400002</v>
      </c>
      <c r="D1213" s="1">
        <v>-6.99983471005</v>
      </c>
      <c r="E1213" s="3">
        <v>2</v>
      </c>
      <c r="F1213" s="2">
        <v>3</v>
      </c>
      <c r="G1213" s="4">
        <v>2</v>
      </c>
      <c r="H1213" s="13"/>
      <c r="I1213" s="15"/>
      <c r="J1213" s="19">
        <v>2</v>
      </c>
      <c r="K1213" s="2" t="s">
        <v>2437</v>
      </c>
      <c r="L1213" s="11" t="str">
        <f t="shared" si="19"/>
        <v>Ver Imagen</v>
      </c>
      <c r="M1213" t="s">
        <v>15</v>
      </c>
    </row>
    <row r="1214" spans="1:13" x14ac:dyDescent="0.25">
      <c r="A1214">
        <v>1213</v>
      </c>
      <c r="B1214" t="s">
        <v>2438</v>
      </c>
      <c r="C1214" s="1">
        <v>37.195903743300001</v>
      </c>
      <c r="D1214" s="1">
        <v>-7.0023295994900003</v>
      </c>
      <c r="E1214" s="3">
        <v>2</v>
      </c>
      <c r="F1214" s="2">
        <v>3</v>
      </c>
      <c r="G1214" s="4">
        <v>2</v>
      </c>
      <c r="H1214" s="13"/>
      <c r="I1214" s="15"/>
      <c r="J1214" s="19">
        <v>2</v>
      </c>
      <c r="K1214" s="2" t="s">
        <v>2439</v>
      </c>
      <c r="L1214" s="11" t="str">
        <f t="shared" si="19"/>
        <v>Ver Imagen</v>
      </c>
      <c r="M1214" t="s">
        <v>15</v>
      </c>
    </row>
    <row r="1215" spans="1:13" x14ac:dyDescent="0.25">
      <c r="A1215">
        <v>1214</v>
      </c>
      <c r="B1215" t="s">
        <v>2440</v>
      </c>
      <c r="C1215" s="1">
        <v>37.202426315300002</v>
      </c>
      <c r="D1215" s="1">
        <v>-7.0144748691299998</v>
      </c>
      <c r="E1215" s="3">
        <v>2</v>
      </c>
      <c r="F1215" s="2">
        <v>2</v>
      </c>
      <c r="G1215" s="4">
        <v>3</v>
      </c>
      <c r="H1215" s="13"/>
      <c r="I1215" s="15"/>
      <c r="J1215" s="19">
        <v>2</v>
      </c>
      <c r="K1215" s="2" t="s">
        <v>2441</v>
      </c>
      <c r="L1215" s="11" t="str">
        <f t="shared" si="19"/>
        <v>Ver Imagen</v>
      </c>
      <c r="M1215" t="s">
        <v>15</v>
      </c>
    </row>
    <row r="1216" spans="1:13" x14ac:dyDescent="0.25">
      <c r="A1216">
        <v>1215</v>
      </c>
      <c r="B1216" t="s">
        <v>2442</v>
      </c>
      <c r="C1216" s="1">
        <v>37.203197585600002</v>
      </c>
      <c r="D1216" s="1">
        <v>-7.0156525220699999</v>
      </c>
      <c r="E1216" s="3">
        <v>2</v>
      </c>
      <c r="F1216" s="2">
        <v>3</v>
      </c>
      <c r="G1216" s="4">
        <v>2</v>
      </c>
      <c r="H1216" s="13"/>
      <c r="I1216" s="15"/>
      <c r="J1216" s="19">
        <v>2</v>
      </c>
      <c r="K1216" s="2" t="s">
        <v>2443</v>
      </c>
      <c r="L1216" s="11" t="str">
        <f t="shared" si="19"/>
        <v>Ver Imagen</v>
      </c>
      <c r="M1216" t="s">
        <v>15</v>
      </c>
    </row>
    <row r="1217" spans="1:13" x14ac:dyDescent="0.25">
      <c r="A1217">
        <v>1216</v>
      </c>
      <c r="B1217" t="s">
        <v>2444</v>
      </c>
      <c r="C1217" s="1">
        <v>37.204077904199998</v>
      </c>
      <c r="D1217" s="1">
        <v>-7.0170123289699999</v>
      </c>
      <c r="E1217" s="3">
        <v>2</v>
      </c>
      <c r="F1217" s="2">
        <v>3</v>
      </c>
      <c r="G1217" s="4">
        <v>2</v>
      </c>
      <c r="H1217" s="13"/>
      <c r="I1217" s="15"/>
      <c r="J1217" s="19">
        <v>2</v>
      </c>
      <c r="K1217" s="2" t="s">
        <v>2445</v>
      </c>
      <c r="L1217" s="11" t="str">
        <f t="shared" si="19"/>
        <v>Ver Imagen</v>
      </c>
      <c r="M1217" t="s">
        <v>15</v>
      </c>
    </row>
    <row r="1218" spans="1:13" x14ac:dyDescent="0.25">
      <c r="A1218">
        <v>1217</v>
      </c>
      <c r="B1218" t="s">
        <v>2446</v>
      </c>
      <c r="C1218" s="1">
        <v>37.204363816300003</v>
      </c>
      <c r="D1218" s="1">
        <v>-7.0174545503700001</v>
      </c>
      <c r="E1218" s="3">
        <v>2</v>
      </c>
      <c r="F1218" s="2">
        <v>3</v>
      </c>
      <c r="G1218" s="4">
        <v>2</v>
      </c>
      <c r="H1218" s="13"/>
      <c r="I1218" s="15"/>
      <c r="J1218" s="19">
        <v>2</v>
      </c>
      <c r="K1218" s="2" t="s">
        <v>2447</v>
      </c>
      <c r="L1218" s="11" t="str">
        <f t="shared" si="19"/>
        <v>Ver Imagen</v>
      </c>
      <c r="M1218" t="s">
        <v>15</v>
      </c>
    </row>
    <row r="1219" spans="1:13" x14ac:dyDescent="0.25">
      <c r="A1219">
        <v>1218</v>
      </c>
      <c r="B1219" t="s">
        <v>2448</v>
      </c>
      <c r="C1219" s="1">
        <v>37.204586126400002</v>
      </c>
      <c r="D1219" s="1">
        <v>-7.01779713113</v>
      </c>
      <c r="E1219" s="3">
        <v>2</v>
      </c>
      <c r="F1219" s="2">
        <v>3</v>
      </c>
      <c r="G1219" s="4">
        <v>2</v>
      </c>
      <c r="H1219" s="13"/>
      <c r="I1219" s="15"/>
      <c r="J1219" s="19">
        <v>2</v>
      </c>
      <c r="K1219" s="2" t="s">
        <v>2449</v>
      </c>
      <c r="L1219" s="11" t="str">
        <f t="shared" ref="L1219:L1282" si="20">HYPERLINK("2\1\" &amp; K1219, "Ver Imagen")</f>
        <v>Ver Imagen</v>
      </c>
      <c r="M1219" t="s">
        <v>15</v>
      </c>
    </row>
    <row r="1220" spans="1:13" x14ac:dyDescent="0.25">
      <c r="A1220">
        <v>1219</v>
      </c>
      <c r="B1220" t="s">
        <v>2450</v>
      </c>
      <c r="C1220" s="1">
        <v>37.2063211579</v>
      </c>
      <c r="D1220" s="1">
        <v>-7.02061451411</v>
      </c>
      <c r="E1220" s="3">
        <v>2</v>
      </c>
      <c r="F1220" s="2">
        <v>3</v>
      </c>
      <c r="G1220" s="4">
        <v>2</v>
      </c>
      <c r="H1220" s="13"/>
      <c r="I1220" s="15"/>
      <c r="J1220" s="19">
        <v>2</v>
      </c>
      <c r="K1220" s="2" t="s">
        <v>2451</v>
      </c>
      <c r="L1220" s="11" t="str">
        <f t="shared" si="20"/>
        <v>Ver Imagen</v>
      </c>
      <c r="M1220" t="s">
        <v>15</v>
      </c>
    </row>
    <row r="1221" spans="1:13" x14ac:dyDescent="0.25">
      <c r="A1221">
        <v>1220</v>
      </c>
      <c r="B1221" t="s">
        <v>2452</v>
      </c>
      <c r="C1221" s="1">
        <v>37.206573214499997</v>
      </c>
      <c r="D1221" s="1">
        <v>-7.0210217304300002</v>
      </c>
      <c r="E1221" s="3">
        <v>2</v>
      </c>
      <c r="F1221" s="2">
        <v>3</v>
      </c>
      <c r="G1221" s="4">
        <v>2</v>
      </c>
      <c r="H1221" s="13"/>
      <c r="I1221" s="15"/>
      <c r="J1221" s="19">
        <v>2</v>
      </c>
      <c r="K1221" s="2" t="s">
        <v>2453</v>
      </c>
      <c r="L1221" s="11" t="str">
        <f t="shared" si="20"/>
        <v>Ver Imagen</v>
      </c>
      <c r="M1221" t="s">
        <v>15</v>
      </c>
    </row>
    <row r="1222" spans="1:13" x14ac:dyDescent="0.25">
      <c r="A1222">
        <v>1221</v>
      </c>
      <c r="B1222" t="s">
        <v>2454</v>
      </c>
      <c r="C1222" s="1">
        <v>37.207738961099999</v>
      </c>
      <c r="D1222" s="1">
        <v>-7.02239407186</v>
      </c>
      <c r="E1222" s="3">
        <v>2</v>
      </c>
      <c r="F1222" s="2">
        <v>3</v>
      </c>
      <c r="G1222" s="4">
        <v>2</v>
      </c>
      <c r="H1222" s="13"/>
      <c r="I1222" s="15"/>
      <c r="J1222" s="19">
        <v>2</v>
      </c>
      <c r="K1222" s="2" t="s">
        <v>2455</v>
      </c>
      <c r="L1222" s="11" t="str">
        <f t="shared" si="20"/>
        <v>Ver Imagen</v>
      </c>
      <c r="M1222" t="s">
        <v>15</v>
      </c>
    </row>
    <row r="1223" spans="1:13" x14ac:dyDescent="0.25">
      <c r="A1223">
        <v>1222</v>
      </c>
      <c r="B1223" t="s">
        <v>2456</v>
      </c>
      <c r="C1223" s="1">
        <v>37.207875504999997</v>
      </c>
      <c r="D1223" s="1">
        <v>-7.0225461341199997</v>
      </c>
      <c r="E1223" s="3">
        <v>2</v>
      </c>
      <c r="F1223" s="2">
        <v>2</v>
      </c>
      <c r="G1223" s="4">
        <v>3</v>
      </c>
      <c r="H1223" s="13"/>
      <c r="I1223" s="15"/>
      <c r="J1223" s="19">
        <v>2</v>
      </c>
      <c r="K1223" s="2" t="s">
        <v>2457</v>
      </c>
      <c r="L1223" s="11" t="str">
        <f t="shared" si="20"/>
        <v>Ver Imagen</v>
      </c>
      <c r="M1223" t="s">
        <v>15</v>
      </c>
    </row>
    <row r="1224" spans="1:13" x14ac:dyDescent="0.25">
      <c r="A1224">
        <v>1223</v>
      </c>
      <c r="B1224" t="s">
        <v>2458</v>
      </c>
      <c r="C1224" s="1">
        <v>37.208637590800002</v>
      </c>
      <c r="D1224" s="1">
        <v>-7.0256763250800001</v>
      </c>
      <c r="E1224" s="3">
        <v>2</v>
      </c>
      <c r="F1224" s="2">
        <v>2</v>
      </c>
      <c r="G1224" s="4">
        <v>3</v>
      </c>
      <c r="H1224" s="13"/>
      <c r="I1224" s="15"/>
      <c r="J1224" s="19">
        <v>2</v>
      </c>
      <c r="K1224" s="2" t="s">
        <v>2459</v>
      </c>
      <c r="L1224" s="11" t="str">
        <f t="shared" si="20"/>
        <v>Ver Imagen</v>
      </c>
      <c r="M1224" t="s">
        <v>15</v>
      </c>
    </row>
    <row r="1225" spans="1:13" x14ac:dyDescent="0.25">
      <c r="A1225">
        <v>1224</v>
      </c>
      <c r="B1225" t="s">
        <v>2460</v>
      </c>
      <c r="C1225" s="1">
        <v>37.2086937077</v>
      </c>
      <c r="D1225" s="1">
        <v>-7.0258853719000003</v>
      </c>
      <c r="E1225" s="3">
        <v>2</v>
      </c>
      <c r="F1225" s="2">
        <v>3</v>
      </c>
      <c r="G1225" s="4">
        <v>2</v>
      </c>
      <c r="H1225" s="13"/>
      <c r="I1225" s="15"/>
      <c r="J1225" s="19">
        <v>2</v>
      </c>
      <c r="K1225" s="2" t="s">
        <v>2461</v>
      </c>
      <c r="L1225" s="11" t="str">
        <f t="shared" si="20"/>
        <v>Ver Imagen</v>
      </c>
      <c r="M1225" t="s">
        <v>15</v>
      </c>
    </row>
    <row r="1226" spans="1:13" x14ac:dyDescent="0.25">
      <c r="A1226">
        <v>1225</v>
      </c>
      <c r="B1226" t="s">
        <v>2462</v>
      </c>
      <c r="C1226" s="1">
        <v>37.208748309699999</v>
      </c>
      <c r="D1226" s="1">
        <v>-7.0261273057100002</v>
      </c>
      <c r="E1226" s="3">
        <v>2</v>
      </c>
      <c r="F1226" s="2">
        <v>3</v>
      </c>
      <c r="G1226" s="4">
        <v>2</v>
      </c>
      <c r="H1226" s="13"/>
      <c r="I1226" s="15"/>
      <c r="J1226" s="19">
        <v>2</v>
      </c>
      <c r="K1226" s="2" t="s">
        <v>2463</v>
      </c>
      <c r="L1226" s="11" t="str">
        <f t="shared" si="20"/>
        <v>Ver Imagen</v>
      </c>
      <c r="M1226" t="s">
        <v>15</v>
      </c>
    </row>
    <row r="1227" spans="1:13" x14ac:dyDescent="0.25">
      <c r="A1227">
        <v>1226</v>
      </c>
      <c r="B1227" t="s">
        <v>2464</v>
      </c>
      <c r="C1227" s="1">
        <v>37.218357796900001</v>
      </c>
      <c r="D1227" s="1">
        <v>-7.1239310716400004</v>
      </c>
      <c r="E1227" s="3">
        <v>1</v>
      </c>
      <c r="F1227" s="2">
        <v>2</v>
      </c>
      <c r="G1227" s="4">
        <v>2</v>
      </c>
      <c r="H1227" s="13"/>
      <c r="I1227" s="15"/>
      <c r="J1227" s="19">
        <v>2</v>
      </c>
      <c r="K1227" s="2" t="s">
        <v>2465</v>
      </c>
      <c r="L1227" s="11" t="str">
        <f t="shared" si="20"/>
        <v>Ver Imagen</v>
      </c>
      <c r="M1227" t="s">
        <v>15</v>
      </c>
    </row>
    <row r="1228" spans="1:13" x14ac:dyDescent="0.25">
      <c r="A1228">
        <v>1227</v>
      </c>
      <c r="B1228" t="s">
        <v>2466</v>
      </c>
      <c r="C1228" s="1">
        <v>37.218080637900002</v>
      </c>
      <c r="D1228" s="1">
        <v>-7.1182734711700002</v>
      </c>
      <c r="E1228" s="3">
        <v>2</v>
      </c>
      <c r="F1228" s="2">
        <v>3</v>
      </c>
      <c r="G1228" s="4">
        <v>2</v>
      </c>
      <c r="H1228" s="13"/>
      <c r="I1228" s="15"/>
      <c r="J1228" s="19">
        <v>2</v>
      </c>
      <c r="K1228" s="2" t="s">
        <v>2467</v>
      </c>
      <c r="L1228" s="11" t="str">
        <f t="shared" si="20"/>
        <v>Ver Imagen</v>
      </c>
      <c r="M1228" t="s">
        <v>15</v>
      </c>
    </row>
    <row r="1229" spans="1:13" x14ac:dyDescent="0.25">
      <c r="A1229">
        <v>1228</v>
      </c>
      <c r="B1229" t="s">
        <v>2468</v>
      </c>
      <c r="C1229" s="1">
        <v>37.218045593600003</v>
      </c>
      <c r="D1229" s="1">
        <v>-7.11801341409</v>
      </c>
      <c r="E1229" s="3">
        <v>2</v>
      </c>
      <c r="F1229" s="2">
        <v>1</v>
      </c>
      <c r="G1229" s="4">
        <v>2</v>
      </c>
      <c r="H1229" s="13"/>
      <c r="I1229" s="15"/>
      <c r="J1229" s="19">
        <v>2</v>
      </c>
      <c r="K1229" s="2" t="s">
        <v>2469</v>
      </c>
      <c r="L1229" s="11" t="str">
        <f t="shared" si="20"/>
        <v>Ver Imagen</v>
      </c>
      <c r="M1229" t="s">
        <v>15</v>
      </c>
    </row>
    <row r="1230" spans="1:13" x14ac:dyDescent="0.25">
      <c r="A1230">
        <v>1229</v>
      </c>
      <c r="B1230" t="s">
        <v>2470</v>
      </c>
      <c r="C1230" s="1">
        <v>37.2180054158</v>
      </c>
      <c r="D1230" s="1">
        <v>-7.1177333540600003</v>
      </c>
      <c r="E1230" s="3">
        <v>1</v>
      </c>
      <c r="F1230" s="2">
        <v>2</v>
      </c>
      <c r="G1230" s="4">
        <v>2</v>
      </c>
      <c r="H1230" s="13"/>
      <c r="I1230" s="15"/>
      <c r="J1230" s="19">
        <v>2</v>
      </c>
      <c r="K1230" s="2" t="s">
        <v>2471</v>
      </c>
      <c r="L1230" s="11" t="str">
        <f t="shared" si="20"/>
        <v>Ver Imagen</v>
      </c>
      <c r="M1230" t="s">
        <v>15</v>
      </c>
    </row>
    <row r="1231" spans="1:13" x14ac:dyDescent="0.25">
      <c r="A1231">
        <v>1230</v>
      </c>
      <c r="B1231" t="s">
        <v>2472</v>
      </c>
      <c r="C1231" s="1">
        <v>37.217941650100002</v>
      </c>
      <c r="D1231" s="1">
        <v>-7.1172662944200002</v>
      </c>
      <c r="E1231" s="3">
        <v>1</v>
      </c>
      <c r="F1231" s="2">
        <v>2</v>
      </c>
      <c r="G1231" s="4">
        <v>2</v>
      </c>
      <c r="H1231" s="13"/>
      <c r="I1231" s="15"/>
      <c r="J1231" s="19">
        <v>2</v>
      </c>
      <c r="K1231" s="2" t="s">
        <v>2473</v>
      </c>
      <c r="L1231" s="11" t="str">
        <f t="shared" si="20"/>
        <v>Ver Imagen</v>
      </c>
      <c r="M1231" t="s">
        <v>15</v>
      </c>
    </row>
    <row r="1232" spans="1:13" x14ac:dyDescent="0.25">
      <c r="A1232">
        <v>1231</v>
      </c>
      <c r="B1232" t="s">
        <v>2474</v>
      </c>
      <c r="C1232" s="1">
        <v>37.217605701099998</v>
      </c>
      <c r="D1232" s="1">
        <v>-7.1111980430999999</v>
      </c>
      <c r="E1232" s="3">
        <v>2</v>
      </c>
      <c r="F1232" s="2">
        <v>1</v>
      </c>
      <c r="G1232" s="4">
        <v>2</v>
      </c>
      <c r="H1232" s="13"/>
      <c r="I1232" s="15"/>
      <c r="J1232" s="19">
        <v>2</v>
      </c>
      <c r="K1232" s="2" t="s">
        <v>2475</v>
      </c>
      <c r="L1232" s="11" t="str">
        <f t="shared" si="20"/>
        <v>Ver Imagen</v>
      </c>
      <c r="M1232" t="s">
        <v>15</v>
      </c>
    </row>
    <row r="1233" spans="1:13" x14ac:dyDescent="0.25">
      <c r="A1233">
        <v>1232</v>
      </c>
      <c r="B1233" t="s">
        <v>2476</v>
      </c>
      <c r="C1233" s="1">
        <v>37.217616447499999</v>
      </c>
      <c r="D1233" s="1">
        <v>-7.1109704821899999</v>
      </c>
      <c r="E1233" s="3">
        <v>2</v>
      </c>
      <c r="F1233" s="2">
        <v>1</v>
      </c>
      <c r="G1233" s="4">
        <v>2</v>
      </c>
      <c r="H1233" s="13"/>
      <c r="I1233" s="15"/>
      <c r="J1233" s="19">
        <v>2</v>
      </c>
      <c r="K1233" s="2" t="s">
        <v>2477</v>
      </c>
      <c r="L1233" s="11" t="str">
        <f t="shared" si="20"/>
        <v>Ver Imagen</v>
      </c>
      <c r="M1233" t="s">
        <v>15</v>
      </c>
    </row>
    <row r="1234" spans="1:13" x14ac:dyDescent="0.25">
      <c r="A1234">
        <v>1233</v>
      </c>
      <c r="B1234" t="s">
        <v>2478</v>
      </c>
      <c r="C1234" s="1">
        <v>37.217133564599997</v>
      </c>
      <c r="D1234" s="1">
        <v>-7.1057048035300001</v>
      </c>
      <c r="E1234" s="3">
        <v>2</v>
      </c>
      <c r="F1234" s="2">
        <v>1</v>
      </c>
      <c r="G1234" s="4">
        <v>2</v>
      </c>
      <c r="H1234" s="13"/>
      <c r="I1234" s="15"/>
      <c r="J1234" s="19">
        <v>2</v>
      </c>
      <c r="K1234" s="2" t="s">
        <v>2479</v>
      </c>
      <c r="L1234" s="11" t="str">
        <f t="shared" si="20"/>
        <v>Ver Imagen</v>
      </c>
      <c r="M1234" t="s">
        <v>15</v>
      </c>
    </row>
    <row r="1235" spans="1:13" x14ac:dyDescent="0.25">
      <c r="A1235">
        <v>1234</v>
      </c>
      <c r="B1235" t="s">
        <v>2480</v>
      </c>
      <c r="C1235" s="1">
        <v>37.217058686000001</v>
      </c>
      <c r="D1235" s="1">
        <v>-7.1049448353600004</v>
      </c>
      <c r="E1235" s="3">
        <v>2</v>
      </c>
      <c r="F1235" s="2">
        <v>2</v>
      </c>
      <c r="G1235" s="4">
        <v>3</v>
      </c>
      <c r="H1235" s="13"/>
      <c r="I1235" s="15"/>
      <c r="J1235" s="19">
        <v>2</v>
      </c>
      <c r="K1235" s="2" t="s">
        <v>2481</v>
      </c>
      <c r="L1235" s="11" t="str">
        <f t="shared" si="20"/>
        <v>Ver Imagen</v>
      </c>
      <c r="M1235" t="s">
        <v>15</v>
      </c>
    </row>
    <row r="1236" spans="1:13" x14ac:dyDescent="0.25">
      <c r="A1236">
        <v>1235</v>
      </c>
      <c r="B1236" t="s">
        <v>2482</v>
      </c>
      <c r="C1236" s="1">
        <v>37.2170363452</v>
      </c>
      <c r="D1236" s="1">
        <v>-7.10471045222</v>
      </c>
      <c r="E1236" s="3">
        <v>2</v>
      </c>
      <c r="F1236" s="2">
        <v>2</v>
      </c>
      <c r="G1236" s="4">
        <v>3</v>
      </c>
      <c r="H1236" s="13"/>
      <c r="I1236" s="15"/>
      <c r="J1236" s="19">
        <v>2</v>
      </c>
      <c r="K1236" s="2" t="s">
        <v>2483</v>
      </c>
      <c r="L1236" s="11" t="str">
        <f t="shared" si="20"/>
        <v>Ver Imagen</v>
      </c>
      <c r="M1236" t="s">
        <v>15</v>
      </c>
    </row>
    <row r="1237" spans="1:13" x14ac:dyDescent="0.25">
      <c r="A1237">
        <v>1236</v>
      </c>
      <c r="B1237" t="s">
        <v>2484</v>
      </c>
      <c r="C1237" s="1">
        <v>37.216883556100001</v>
      </c>
      <c r="D1237" s="1">
        <v>-7.1029609439900003</v>
      </c>
      <c r="E1237" s="3">
        <v>2</v>
      </c>
      <c r="F1237" s="2">
        <v>1</v>
      </c>
      <c r="G1237" s="4">
        <v>2</v>
      </c>
      <c r="H1237" s="13"/>
      <c r="I1237" s="15"/>
      <c r="J1237" s="19">
        <v>2</v>
      </c>
      <c r="K1237" s="2" t="s">
        <v>2485</v>
      </c>
      <c r="L1237" s="11" t="str">
        <f t="shared" si="20"/>
        <v>Ver Imagen</v>
      </c>
      <c r="M1237" t="s">
        <v>15</v>
      </c>
    </row>
    <row r="1238" spans="1:13" x14ac:dyDescent="0.25">
      <c r="A1238">
        <v>1237</v>
      </c>
      <c r="B1238" t="s">
        <v>2486</v>
      </c>
      <c r="C1238" s="1">
        <v>37.216839633100001</v>
      </c>
      <c r="D1238" s="1">
        <v>-7.1024493601899996</v>
      </c>
      <c r="E1238" s="3">
        <v>2</v>
      </c>
      <c r="F1238" s="2">
        <v>2</v>
      </c>
      <c r="G1238" s="4">
        <v>3</v>
      </c>
      <c r="H1238" s="13"/>
      <c r="I1238" s="15"/>
      <c r="J1238" s="19">
        <v>2</v>
      </c>
      <c r="K1238" s="2" t="s">
        <v>2487</v>
      </c>
      <c r="L1238" s="11" t="str">
        <f t="shared" si="20"/>
        <v>Ver Imagen</v>
      </c>
      <c r="M1238" t="s">
        <v>15</v>
      </c>
    </row>
    <row r="1239" spans="1:13" x14ac:dyDescent="0.25">
      <c r="A1239">
        <v>1238</v>
      </c>
      <c r="B1239" t="s">
        <v>2488</v>
      </c>
      <c r="C1239" s="1">
        <v>37.2169178901</v>
      </c>
      <c r="D1239" s="1">
        <v>-7.1006978799000002</v>
      </c>
      <c r="E1239" s="3">
        <v>2</v>
      </c>
      <c r="F1239" s="2">
        <v>2</v>
      </c>
      <c r="G1239" s="4">
        <v>3</v>
      </c>
      <c r="H1239" s="13"/>
      <c r="I1239" s="15"/>
      <c r="J1239" s="19">
        <v>2</v>
      </c>
      <c r="K1239" s="2" t="s">
        <v>2489</v>
      </c>
      <c r="L1239" s="11" t="str">
        <f t="shared" si="20"/>
        <v>Ver Imagen</v>
      </c>
      <c r="M1239" t="s">
        <v>15</v>
      </c>
    </row>
    <row r="1240" spans="1:13" x14ac:dyDescent="0.25">
      <c r="A1240">
        <v>1239</v>
      </c>
      <c r="B1240" t="s">
        <v>2490</v>
      </c>
      <c r="C1240" s="1">
        <v>37.216805691600001</v>
      </c>
      <c r="D1240" s="1">
        <v>-7.0971974611600004</v>
      </c>
      <c r="E1240" s="3">
        <v>2</v>
      </c>
      <c r="F1240" s="2">
        <v>2</v>
      </c>
      <c r="G1240" s="4">
        <v>3</v>
      </c>
      <c r="H1240" s="13"/>
      <c r="I1240" s="15"/>
      <c r="J1240" s="19">
        <v>2</v>
      </c>
      <c r="K1240" s="2" t="s">
        <v>2491</v>
      </c>
      <c r="L1240" s="11" t="str">
        <f t="shared" si="20"/>
        <v>Ver Imagen</v>
      </c>
      <c r="M1240" t="s">
        <v>15</v>
      </c>
    </row>
    <row r="1241" spans="1:13" x14ac:dyDescent="0.25">
      <c r="A1241">
        <v>1240</v>
      </c>
      <c r="B1241" t="s">
        <v>2492</v>
      </c>
      <c r="C1241" s="1">
        <v>37.216756625099997</v>
      </c>
      <c r="D1241" s="1">
        <v>-7.0966539926500003</v>
      </c>
      <c r="E1241" s="3">
        <v>2</v>
      </c>
      <c r="F1241" s="2">
        <v>2</v>
      </c>
      <c r="G1241" s="4">
        <v>3</v>
      </c>
      <c r="H1241" s="13"/>
      <c r="I1241" s="15"/>
      <c r="J1241" s="19">
        <v>2</v>
      </c>
      <c r="K1241" s="2" t="s">
        <v>2493</v>
      </c>
      <c r="L1241" s="11" t="str">
        <f t="shared" si="20"/>
        <v>Ver Imagen</v>
      </c>
      <c r="M1241" t="s">
        <v>15</v>
      </c>
    </row>
    <row r="1242" spans="1:13" x14ac:dyDescent="0.25">
      <c r="A1242">
        <v>1241</v>
      </c>
      <c r="B1242" t="s">
        <v>2494</v>
      </c>
      <c r="C1242" s="1">
        <v>37.216681179200002</v>
      </c>
      <c r="D1242" s="1">
        <v>-7.0958849882799999</v>
      </c>
      <c r="E1242" s="3">
        <v>2</v>
      </c>
      <c r="F1242" s="2">
        <v>1</v>
      </c>
      <c r="G1242" s="4">
        <v>2</v>
      </c>
      <c r="H1242" s="13"/>
      <c r="I1242" s="15"/>
      <c r="J1242" s="19">
        <v>2</v>
      </c>
      <c r="K1242" s="2" t="s">
        <v>2495</v>
      </c>
      <c r="L1242" s="11" t="str">
        <f t="shared" si="20"/>
        <v>Ver Imagen</v>
      </c>
      <c r="M1242" t="s">
        <v>15</v>
      </c>
    </row>
    <row r="1243" spans="1:13" x14ac:dyDescent="0.25">
      <c r="A1243">
        <v>1242</v>
      </c>
      <c r="B1243" t="s">
        <v>2496</v>
      </c>
      <c r="C1243" s="1">
        <v>37.216620754399997</v>
      </c>
      <c r="D1243" s="1">
        <v>-7.0951318888200001</v>
      </c>
      <c r="E1243" s="3">
        <v>2</v>
      </c>
      <c r="F1243" s="2">
        <v>1</v>
      </c>
      <c r="G1243" s="4">
        <v>2</v>
      </c>
      <c r="H1243" s="13"/>
      <c r="I1243" s="15"/>
      <c r="J1243" s="19">
        <v>2</v>
      </c>
      <c r="K1243" s="2" t="s">
        <v>2497</v>
      </c>
      <c r="L1243" s="11" t="str">
        <f t="shared" si="20"/>
        <v>Ver Imagen</v>
      </c>
      <c r="M1243" t="s">
        <v>15</v>
      </c>
    </row>
    <row r="1244" spans="1:13" x14ac:dyDescent="0.25">
      <c r="A1244">
        <v>1243</v>
      </c>
      <c r="B1244" t="s">
        <v>2498</v>
      </c>
      <c r="C1244" s="1">
        <v>37.2166322685</v>
      </c>
      <c r="D1244" s="1">
        <v>-7.0944229078800003</v>
      </c>
      <c r="E1244" s="3">
        <v>2</v>
      </c>
      <c r="F1244" s="2">
        <v>2</v>
      </c>
      <c r="G1244" s="4">
        <v>3</v>
      </c>
      <c r="H1244" s="13"/>
      <c r="I1244" s="15"/>
      <c r="J1244" s="19">
        <v>2</v>
      </c>
      <c r="K1244" s="2" t="s">
        <v>2499</v>
      </c>
      <c r="L1244" s="11" t="str">
        <f t="shared" si="20"/>
        <v>Ver Imagen</v>
      </c>
      <c r="M1244" t="s">
        <v>15</v>
      </c>
    </row>
    <row r="1245" spans="1:13" x14ac:dyDescent="0.25">
      <c r="A1245">
        <v>1244</v>
      </c>
      <c r="B1245" t="s">
        <v>2500</v>
      </c>
      <c r="C1245" s="1">
        <v>37.216496704800001</v>
      </c>
      <c r="D1245" s="1">
        <v>-7.0926528296300004</v>
      </c>
      <c r="E1245" s="3">
        <v>2</v>
      </c>
      <c r="F1245" s="2">
        <v>1</v>
      </c>
      <c r="G1245" s="4">
        <v>2</v>
      </c>
      <c r="H1245" s="13"/>
      <c r="I1245" s="15"/>
      <c r="J1245" s="19">
        <v>2</v>
      </c>
      <c r="K1245" s="2" t="s">
        <v>2501</v>
      </c>
      <c r="L1245" s="11" t="str">
        <f t="shared" si="20"/>
        <v>Ver Imagen</v>
      </c>
      <c r="M1245" t="s">
        <v>15</v>
      </c>
    </row>
    <row r="1246" spans="1:13" x14ac:dyDescent="0.25">
      <c r="A1246">
        <v>1245</v>
      </c>
      <c r="B1246" t="s">
        <v>2502</v>
      </c>
      <c r="C1246" s="1">
        <v>37.216455204399999</v>
      </c>
      <c r="D1246" s="1">
        <v>-7.0923913691099996</v>
      </c>
      <c r="E1246" s="3">
        <v>2</v>
      </c>
      <c r="F1246" s="2">
        <v>1</v>
      </c>
      <c r="G1246" s="4">
        <v>2</v>
      </c>
      <c r="H1246" s="13"/>
      <c r="I1246" s="15"/>
      <c r="J1246" s="19">
        <v>2</v>
      </c>
      <c r="K1246" s="2" t="s">
        <v>2503</v>
      </c>
      <c r="L1246" s="11" t="str">
        <f t="shared" si="20"/>
        <v>Ver Imagen</v>
      </c>
      <c r="M1246" t="s">
        <v>15</v>
      </c>
    </row>
    <row r="1247" spans="1:13" x14ac:dyDescent="0.25">
      <c r="A1247">
        <v>1246</v>
      </c>
      <c r="B1247" t="s">
        <v>2504</v>
      </c>
      <c r="C1247" s="1">
        <v>37.2164189509</v>
      </c>
      <c r="D1247" s="1">
        <v>-7.0921628833800003</v>
      </c>
      <c r="E1247" s="3">
        <v>2</v>
      </c>
      <c r="F1247" s="2">
        <v>2</v>
      </c>
      <c r="G1247" s="4">
        <v>3</v>
      </c>
      <c r="H1247" s="13"/>
      <c r="I1247" s="15"/>
      <c r="J1247" s="19">
        <v>2</v>
      </c>
      <c r="K1247" s="2" t="s">
        <v>2505</v>
      </c>
      <c r="L1247" s="11" t="str">
        <f t="shared" si="20"/>
        <v>Ver Imagen</v>
      </c>
      <c r="M1247" t="s">
        <v>15</v>
      </c>
    </row>
    <row r="1248" spans="1:13" x14ac:dyDescent="0.25">
      <c r="A1248">
        <v>1247</v>
      </c>
      <c r="B1248" t="s">
        <v>2506</v>
      </c>
      <c r="C1248" s="1">
        <v>37.216217036700002</v>
      </c>
      <c r="D1248" s="1">
        <v>-7.0908944264500002</v>
      </c>
      <c r="E1248" s="3">
        <v>1</v>
      </c>
      <c r="F1248" s="2">
        <v>2</v>
      </c>
      <c r="G1248" s="4">
        <v>2</v>
      </c>
      <c r="H1248" s="13"/>
      <c r="I1248" s="15"/>
      <c r="J1248" s="19">
        <v>2</v>
      </c>
      <c r="K1248" s="2" t="s">
        <v>2507</v>
      </c>
      <c r="L1248" s="11" t="str">
        <f t="shared" si="20"/>
        <v>Ver Imagen</v>
      </c>
      <c r="M1248" t="s">
        <v>15</v>
      </c>
    </row>
    <row r="1249" spans="1:13" x14ac:dyDescent="0.25">
      <c r="A1249">
        <v>1248</v>
      </c>
      <c r="B1249" t="s">
        <v>2508</v>
      </c>
      <c r="C1249" s="1">
        <v>37.216129752999997</v>
      </c>
      <c r="D1249" s="1">
        <v>-7.0901821287800004</v>
      </c>
      <c r="E1249" s="3">
        <v>1</v>
      </c>
      <c r="F1249" s="2">
        <v>2</v>
      </c>
      <c r="G1249" s="4">
        <v>2</v>
      </c>
      <c r="H1249" s="13"/>
      <c r="I1249" s="15"/>
      <c r="J1249" s="19">
        <v>2</v>
      </c>
      <c r="K1249" s="2" t="s">
        <v>2509</v>
      </c>
      <c r="L1249" s="11" t="str">
        <f t="shared" si="20"/>
        <v>Ver Imagen</v>
      </c>
      <c r="M1249" t="s">
        <v>15</v>
      </c>
    </row>
    <row r="1250" spans="1:13" x14ac:dyDescent="0.25">
      <c r="A1250">
        <v>1249</v>
      </c>
      <c r="B1250" t="s">
        <v>2510</v>
      </c>
      <c r="C1250" s="1">
        <v>37.216104340900003</v>
      </c>
      <c r="D1250" s="1">
        <v>-7.08990385264</v>
      </c>
      <c r="E1250" s="3">
        <v>2</v>
      </c>
      <c r="F1250" s="2">
        <v>2</v>
      </c>
      <c r="G1250" s="4">
        <v>3</v>
      </c>
      <c r="H1250" s="13"/>
      <c r="I1250" s="15"/>
      <c r="J1250" s="19">
        <v>2</v>
      </c>
      <c r="K1250" s="2" t="s">
        <v>2511</v>
      </c>
      <c r="L1250" s="11" t="str">
        <f t="shared" si="20"/>
        <v>Ver Imagen</v>
      </c>
      <c r="M1250" t="s">
        <v>15</v>
      </c>
    </row>
    <row r="1251" spans="1:13" x14ac:dyDescent="0.25">
      <c r="A1251">
        <v>1250</v>
      </c>
      <c r="B1251" t="s">
        <v>2512</v>
      </c>
      <c r="C1251" s="1">
        <v>37.216019129899998</v>
      </c>
      <c r="D1251" s="1">
        <v>-7.0871150007699999</v>
      </c>
      <c r="E1251" s="3">
        <v>2</v>
      </c>
      <c r="F1251" s="2">
        <v>1</v>
      </c>
      <c r="G1251" s="4">
        <v>2</v>
      </c>
      <c r="H1251" s="13"/>
      <c r="I1251" s="15"/>
      <c r="J1251" s="19">
        <v>2</v>
      </c>
      <c r="K1251" s="2" t="s">
        <v>2513</v>
      </c>
      <c r="L1251" s="11" t="str">
        <f t="shared" si="20"/>
        <v>Ver Imagen</v>
      </c>
      <c r="M1251" t="s">
        <v>15</v>
      </c>
    </row>
    <row r="1252" spans="1:13" x14ac:dyDescent="0.25">
      <c r="A1252">
        <v>1251</v>
      </c>
      <c r="B1252" t="s">
        <v>2514</v>
      </c>
      <c r="C1252" s="1">
        <v>37.216143872899998</v>
      </c>
      <c r="D1252" s="1">
        <v>-7.0853776598999998</v>
      </c>
      <c r="E1252" s="3">
        <v>1</v>
      </c>
      <c r="F1252" s="2">
        <v>2</v>
      </c>
      <c r="G1252" s="4">
        <v>2</v>
      </c>
      <c r="H1252" s="13"/>
      <c r="I1252" s="15"/>
      <c r="J1252" s="19">
        <v>2</v>
      </c>
      <c r="K1252" s="2" t="s">
        <v>2515</v>
      </c>
      <c r="L1252" s="11" t="str">
        <f t="shared" si="20"/>
        <v>Ver Imagen</v>
      </c>
      <c r="M1252" t="s">
        <v>15</v>
      </c>
    </row>
    <row r="1253" spans="1:13" x14ac:dyDescent="0.25">
      <c r="A1253">
        <v>1252</v>
      </c>
      <c r="B1253" t="s">
        <v>2516</v>
      </c>
      <c r="C1253" s="1">
        <v>37.214936227599999</v>
      </c>
      <c r="D1253" s="1">
        <v>-7.0792944287399999</v>
      </c>
      <c r="E1253" s="3">
        <v>2</v>
      </c>
      <c r="F1253" s="2">
        <v>2</v>
      </c>
      <c r="G1253" s="4">
        <v>3</v>
      </c>
      <c r="H1253" s="13"/>
      <c r="I1253" s="15"/>
      <c r="J1253" s="19">
        <v>2</v>
      </c>
      <c r="K1253" s="2" t="s">
        <v>2517</v>
      </c>
      <c r="L1253" s="11" t="str">
        <f t="shared" si="20"/>
        <v>Ver Imagen</v>
      </c>
      <c r="M1253" t="s">
        <v>15</v>
      </c>
    </row>
    <row r="1254" spans="1:13" x14ac:dyDescent="0.25">
      <c r="A1254">
        <v>1253</v>
      </c>
      <c r="B1254" t="s">
        <v>2518</v>
      </c>
      <c r="C1254" s="1">
        <v>37.214893362200002</v>
      </c>
      <c r="D1254" s="1">
        <v>-7.0790827090299997</v>
      </c>
      <c r="E1254" s="3">
        <v>2</v>
      </c>
      <c r="F1254" s="2">
        <v>1</v>
      </c>
      <c r="G1254" s="4">
        <v>2</v>
      </c>
      <c r="H1254" s="13"/>
      <c r="I1254" s="15"/>
      <c r="J1254" s="19">
        <v>2</v>
      </c>
      <c r="K1254" s="2" t="s">
        <v>2519</v>
      </c>
      <c r="L1254" s="11" t="str">
        <f t="shared" si="20"/>
        <v>Ver Imagen</v>
      </c>
      <c r="M1254" t="s">
        <v>15</v>
      </c>
    </row>
    <row r="1255" spans="1:13" x14ac:dyDescent="0.25">
      <c r="A1255">
        <v>1254</v>
      </c>
      <c r="B1255" t="s">
        <v>2520</v>
      </c>
      <c r="C1255" s="1">
        <v>37.214744845200002</v>
      </c>
      <c r="D1255" s="1">
        <v>-7.0783190464099999</v>
      </c>
      <c r="E1255" s="3">
        <v>2</v>
      </c>
      <c r="F1255" s="2">
        <v>1</v>
      </c>
      <c r="G1255" s="4">
        <v>2</v>
      </c>
      <c r="H1255" s="13"/>
      <c r="I1255" s="15"/>
      <c r="J1255" s="19">
        <v>2</v>
      </c>
      <c r="K1255" s="2" t="s">
        <v>2521</v>
      </c>
      <c r="L1255" s="11" t="str">
        <f t="shared" si="20"/>
        <v>Ver Imagen</v>
      </c>
      <c r="M1255" t="s">
        <v>15</v>
      </c>
    </row>
    <row r="1256" spans="1:13" x14ac:dyDescent="0.25">
      <c r="A1256">
        <v>1255</v>
      </c>
      <c r="B1256" t="s">
        <v>2522</v>
      </c>
      <c r="C1256" s="1">
        <v>37.2146479488</v>
      </c>
      <c r="D1256" s="1">
        <v>-7.07781366627</v>
      </c>
      <c r="E1256" s="3">
        <v>2</v>
      </c>
      <c r="F1256" s="2">
        <v>1</v>
      </c>
      <c r="G1256" s="4">
        <v>2</v>
      </c>
      <c r="H1256" s="13"/>
      <c r="I1256" s="15"/>
      <c r="J1256" s="19">
        <v>2</v>
      </c>
      <c r="K1256" s="2" t="s">
        <v>2523</v>
      </c>
      <c r="L1256" s="11" t="str">
        <f t="shared" si="20"/>
        <v>Ver Imagen</v>
      </c>
      <c r="M1256" t="s">
        <v>15</v>
      </c>
    </row>
    <row r="1257" spans="1:13" x14ac:dyDescent="0.25">
      <c r="A1257">
        <v>1256</v>
      </c>
      <c r="B1257" t="s">
        <v>2524</v>
      </c>
      <c r="C1257" s="1">
        <v>37.213967054500003</v>
      </c>
      <c r="D1257" s="1">
        <v>-7.0741581774300002</v>
      </c>
      <c r="E1257" s="3">
        <v>1</v>
      </c>
      <c r="F1257" s="2">
        <v>2</v>
      </c>
      <c r="G1257" s="4">
        <v>2</v>
      </c>
      <c r="H1257" s="13"/>
      <c r="I1257" s="15"/>
      <c r="J1257" s="19">
        <v>2</v>
      </c>
      <c r="K1257" s="2" t="s">
        <v>2525</v>
      </c>
      <c r="L1257" s="11" t="str">
        <f t="shared" si="20"/>
        <v>Ver Imagen</v>
      </c>
      <c r="M1257" t="s">
        <v>15</v>
      </c>
    </row>
    <row r="1258" spans="1:13" x14ac:dyDescent="0.25">
      <c r="A1258">
        <v>1257</v>
      </c>
      <c r="B1258" t="s">
        <v>2526</v>
      </c>
      <c r="C1258" s="1">
        <v>37.2137514028</v>
      </c>
      <c r="D1258" s="1">
        <v>-7.0723811905799998</v>
      </c>
      <c r="E1258" s="3">
        <v>2</v>
      </c>
      <c r="F1258" s="2">
        <v>1</v>
      </c>
      <c r="G1258" s="4">
        <v>2</v>
      </c>
      <c r="H1258" s="13"/>
      <c r="I1258" s="15"/>
      <c r="J1258" s="19">
        <v>2</v>
      </c>
      <c r="K1258" s="2" t="s">
        <v>2527</v>
      </c>
      <c r="L1258" s="11" t="str">
        <f t="shared" si="20"/>
        <v>Ver Imagen</v>
      </c>
      <c r="M1258" t="s">
        <v>15</v>
      </c>
    </row>
    <row r="1259" spans="1:13" x14ac:dyDescent="0.25">
      <c r="A1259">
        <v>1258</v>
      </c>
      <c r="B1259" t="s">
        <v>2528</v>
      </c>
      <c r="C1259" s="1">
        <v>37.213725746900003</v>
      </c>
      <c r="D1259" s="1">
        <v>-7.0721402618799996</v>
      </c>
      <c r="E1259" s="3">
        <v>2</v>
      </c>
      <c r="F1259" s="2">
        <v>1</v>
      </c>
      <c r="G1259" s="4">
        <v>2</v>
      </c>
      <c r="H1259" s="13"/>
      <c r="I1259" s="15"/>
      <c r="J1259" s="19">
        <v>2</v>
      </c>
      <c r="K1259" s="2" t="s">
        <v>2529</v>
      </c>
      <c r="L1259" s="11" t="str">
        <f t="shared" si="20"/>
        <v>Ver Imagen</v>
      </c>
      <c r="M1259" t="s">
        <v>15</v>
      </c>
    </row>
    <row r="1260" spans="1:13" x14ac:dyDescent="0.25">
      <c r="A1260">
        <v>1259</v>
      </c>
      <c r="B1260" t="s">
        <v>2530</v>
      </c>
      <c r="C1260" s="1">
        <v>37.213670197399999</v>
      </c>
      <c r="D1260" s="1">
        <v>-7.0716525302299997</v>
      </c>
      <c r="E1260" s="3">
        <v>2</v>
      </c>
      <c r="F1260" s="2">
        <v>1</v>
      </c>
      <c r="G1260" s="4">
        <v>2</v>
      </c>
      <c r="H1260" s="13"/>
      <c r="I1260" s="15"/>
      <c r="J1260" s="19">
        <v>2</v>
      </c>
      <c r="K1260" s="2" t="s">
        <v>2531</v>
      </c>
      <c r="L1260" s="11" t="str">
        <f t="shared" si="20"/>
        <v>Ver Imagen</v>
      </c>
      <c r="M1260" t="s">
        <v>15</v>
      </c>
    </row>
    <row r="1261" spans="1:13" x14ac:dyDescent="0.25">
      <c r="A1261">
        <v>1260</v>
      </c>
      <c r="B1261" t="s">
        <v>2532</v>
      </c>
      <c r="C1261" s="1">
        <v>37.213366653900003</v>
      </c>
      <c r="D1261" s="1">
        <v>-7.0671115241400004</v>
      </c>
      <c r="E1261" s="3">
        <v>2</v>
      </c>
      <c r="F1261" s="2">
        <v>1</v>
      </c>
      <c r="G1261" s="4">
        <v>2</v>
      </c>
      <c r="H1261" s="13"/>
      <c r="I1261" s="15"/>
      <c r="J1261" s="19">
        <v>2</v>
      </c>
      <c r="K1261" s="2" t="s">
        <v>2533</v>
      </c>
      <c r="L1261" s="11" t="str">
        <f t="shared" si="20"/>
        <v>Ver Imagen</v>
      </c>
      <c r="M1261" t="s">
        <v>15</v>
      </c>
    </row>
    <row r="1262" spans="1:13" x14ac:dyDescent="0.25">
      <c r="A1262">
        <v>1261</v>
      </c>
      <c r="B1262" t="s">
        <v>2534</v>
      </c>
      <c r="C1262" s="1">
        <v>37.213338768699998</v>
      </c>
      <c r="D1262" s="1">
        <v>-7.0663780877700004</v>
      </c>
      <c r="E1262" s="3">
        <v>2</v>
      </c>
      <c r="F1262" s="2">
        <v>2</v>
      </c>
      <c r="G1262" s="4">
        <v>3</v>
      </c>
      <c r="H1262" s="13"/>
      <c r="I1262" s="15"/>
      <c r="J1262" s="19">
        <v>2</v>
      </c>
      <c r="K1262" s="2" t="s">
        <v>2535</v>
      </c>
      <c r="L1262" s="11" t="str">
        <f t="shared" si="20"/>
        <v>Ver Imagen</v>
      </c>
      <c r="M1262" t="s">
        <v>15</v>
      </c>
    </row>
    <row r="1263" spans="1:13" x14ac:dyDescent="0.25">
      <c r="A1263">
        <v>1262</v>
      </c>
      <c r="B1263" t="s">
        <v>2536</v>
      </c>
      <c r="C1263" s="1">
        <v>37.213199674000002</v>
      </c>
      <c r="D1263" s="1">
        <v>-7.0628920503200003</v>
      </c>
      <c r="E1263" s="3">
        <v>1</v>
      </c>
      <c r="F1263" s="2">
        <v>2</v>
      </c>
      <c r="G1263" s="4">
        <v>2</v>
      </c>
      <c r="H1263" s="13"/>
      <c r="I1263" s="15"/>
      <c r="J1263" s="19">
        <v>2</v>
      </c>
      <c r="K1263" s="2" t="s">
        <v>2537</v>
      </c>
      <c r="L1263" s="11" t="str">
        <f t="shared" si="20"/>
        <v>Ver Imagen</v>
      </c>
      <c r="M1263" t="s">
        <v>15</v>
      </c>
    </row>
    <row r="1264" spans="1:13" x14ac:dyDescent="0.25">
      <c r="A1264">
        <v>1263</v>
      </c>
      <c r="B1264" t="s">
        <v>2538</v>
      </c>
      <c r="C1264" s="1">
        <v>37.212964242300004</v>
      </c>
      <c r="D1264" s="1">
        <v>-7.0616754362099998</v>
      </c>
      <c r="E1264" s="3">
        <v>2</v>
      </c>
      <c r="F1264" s="2">
        <v>2</v>
      </c>
      <c r="G1264" s="4">
        <v>3</v>
      </c>
      <c r="H1264" s="13"/>
      <c r="I1264" s="15"/>
      <c r="J1264" s="19">
        <v>2</v>
      </c>
      <c r="K1264" s="2" t="s">
        <v>2539</v>
      </c>
      <c r="L1264" s="11" t="str">
        <f t="shared" si="20"/>
        <v>Ver Imagen</v>
      </c>
      <c r="M1264" t="s">
        <v>15</v>
      </c>
    </row>
    <row r="1265" spans="1:13" x14ac:dyDescent="0.25">
      <c r="A1265">
        <v>1264</v>
      </c>
      <c r="B1265" t="s">
        <v>2540</v>
      </c>
      <c r="C1265" s="1">
        <v>37.2127957147</v>
      </c>
      <c r="D1265" s="1">
        <v>-7.0611791313500003</v>
      </c>
      <c r="E1265" s="3">
        <v>1</v>
      </c>
      <c r="F1265" s="2">
        <v>2</v>
      </c>
      <c r="G1265" s="4">
        <v>2</v>
      </c>
      <c r="H1265" s="13"/>
      <c r="I1265" s="15"/>
      <c r="J1265" s="19">
        <v>2</v>
      </c>
      <c r="K1265" s="2" t="s">
        <v>2541</v>
      </c>
      <c r="L1265" s="11" t="str">
        <f t="shared" si="20"/>
        <v>Ver Imagen</v>
      </c>
      <c r="M1265" t="s">
        <v>15</v>
      </c>
    </row>
    <row r="1266" spans="1:13" x14ac:dyDescent="0.25">
      <c r="A1266">
        <v>1265</v>
      </c>
      <c r="B1266" t="s">
        <v>2542</v>
      </c>
      <c r="C1266" s="1">
        <v>37.2124622376</v>
      </c>
      <c r="D1266" s="1">
        <v>-7.0602886627599997</v>
      </c>
      <c r="E1266" s="3">
        <v>2</v>
      </c>
      <c r="F1266" s="2">
        <v>1</v>
      </c>
      <c r="G1266" s="4">
        <v>2</v>
      </c>
      <c r="H1266" s="13"/>
      <c r="I1266" s="15"/>
      <c r="J1266" s="19">
        <v>2</v>
      </c>
      <c r="K1266" s="2" t="s">
        <v>2543</v>
      </c>
      <c r="L1266" s="11" t="str">
        <f t="shared" si="20"/>
        <v>Ver Imagen</v>
      </c>
      <c r="M1266" t="s">
        <v>15</v>
      </c>
    </row>
    <row r="1267" spans="1:13" x14ac:dyDescent="0.25">
      <c r="A1267">
        <v>1266</v>
      </c>
      <c r="B1267" t="s">
        <v>2544</v>
      </c>
      <c r="C1267" s="1">
        <v>37.212196907399999</v>
      </c>
      <c r="D1267" s="1">
        <v>-7.05956956085</v>
      </c>
      <c r="E1267" s="3">
        <v>1</v>
      </c>
      <c r="F1267" s="2">
        <v>2</v>
      </c>
      <c r="G1267" s="4">
        <v>2</v>
      </c>
      <c r="H1267" s="13"/>
      <c r="I1267" s="15"/>
      <c r="J1267" s="19">
        <v>2</v>
      </c>
      <c r="K1267" s="2" t="s">
        <v>2545</v>
      </c>
      <c r="L1267" s="11" t="str">
        <f t="shared" si="20"/>
        <v>Ver Imagen</v>
      </c>
      <c r="M1267" t="s">
        <v>15</v>
      </c>
    </row>
    <row r="1268" spans="1:13" x14ac:dyDescent="0.25">
      <c r="A1268">
        <v>1267</v>
      </c>
      <c r="B1268" t="s">
        <v>2546</v>
      </c>
      <c r="C1268" s="1">
        <v>37.211283782499997</v>
      </c>
      <c r="D1268" s="1">
        <v>-7.0565389830700003</v>
      </c>
      <c r="E1268" s="3">
        <v>1</v>
      </c>
      <c r="F1268" s="2">
        <v>2</v>
      </c>
      <c r="G1268" s="4">
        <v>2</v>
      </c>
      <c r="H1268" s="13"/>
      <c r="I1268" s="15"/>
      <c r="J1268" s="19">
        <v>2</v>
      </c>
      <c r="K1268" s="2" t="s">
        <v>2547</v>
      </c>
      <c r="L1268" s="11" t="str">
        <f t="shared" si="20"/>
        <v>Ver Imagen</v>
      </c>
      <c r="M1268" t="s">
        <v>15</v>
      </c>
    </row>
    <row r="1269" spans="1:13" x14ac:dyDescent="0.25">
      <c r="A1269">
        <v>1268</v>
      </c>
      <c r="B1269" t="s">
        <v>2548</v>
      </c>
      <c r="C1269" s="1">
        <v>37.211068974900002</v>
      </c>
      <c r="D1269" s="1">
        <v>-7.05477684356</v>
      </c>
      <c r="E1269" s="3">
        <v>2</v>
      </c>
      <c r="F1269" s="2">
        <v>3</v>
      </c>
      <c r="G1269" s="4">
        <v>2</v>
      </c>
      <c r="H1269" s="13"/>
      <c r="I1269" s="15"/>
      <c r="J1269" s="19">
        <v>2</v>
      </c>
      <c r="K1269" s="2" t="s">
        <v>2549</v>
      </c>
      <c r="L1269" s="11" t="str">
        <f t="shared" si="20"/>
        <v>Ver Imagen</v>
      </c>
      <c r="M1269" t="s">
        <v>15</v>
      </c>
    </row>
    <row r="1270" spans="1:13" x14ac:dyDescent="0.25">
      <c r="A1270">
        <v>1269</v>
      </c>
      <c r="B1270" t="s">
        <v>2550</v>
      </c>
      <c r="C1270" s="1">
        <v>37.211001604499998</v>
      </c>
      <c r="D1270" s="1">
        <v>-7.0542725967799997</v>
      </c>
      <c r="E1270" s="3">
        <v>3</v>
      </c>
      <c r="F1270" s="2">
        <v>2</v>
      </c>
      <c r="G1270" s="4">
        <v>2</v>
      </c>
      <c r="H1270" s="13"/>
      <c r="I1270" s="15"/>
      <c r="J1270" s="19">
        <v>2</v>
      </c>
      <c r="K1270" s="2" t="s">
        <v>2551</v>
      </c>
      <c r="L1270" s="11" t="str">
        <f t="shared" si="20"/>
        <v>Ver Imagen</v>
      </c>
      <c r="M1270" t="s">
        <v>15</v>
      </c>
    </row>
    <row r="1271" spans="1:13" x14ac:dyDescent="0.25">
      <c r="A1271">
        <v>1270</v>
      </c>
      <c r="B1271" t="s">
        <v>2552</v>
      </c>
      <c r="C1271" s="1">
        <v>37.210906997400002</v>
      </c>
      <c r="D1271" s="1">
        <v>-7.0538094434699996</v>
      </c>
      <c r="E1271" s="3">
        <v>2</v>
      </c>
      <c r="F1271" s="2">
        <v>3</v>
      </c>
      <c r="G1271" s="4">
        <v>2</v>
      </c>
      <c r="H1271" s="13"/>
      <c r="I1271" s="15"/>
      <c r="J1271" s="19">
        <v>2</v>
      </c>
      <c r="K1271" s="2" t="s">
        <v>2553</v>
      </c>
      <c r="L1271" s="11" t="str">
        <f t="shared" si="20"/>
        <v>Ver Imagen</v>
      </c>
      <c r="M1271" t="s">
        <v>15</v>
      </c>
    </row>
    <row r="1272" spans="1:13" x14ac:dyDescent="0.25">
      <c r="A1272">
        <v>1271</v>
      </c>
      <c r="B1272" t="s">
        <v>2554</v>
      </c>
      <c r="C1272" s="1">
        <v>37.210875616800003</v>
      </c>
      <c r="D1272" s="1">
        <v>-7.0513045140899999</v>
      </c>
      <c r="E1272" s="3">
        <v>2</v>
      </c>
      <c r="F1272" s="2">
        <v>3</v>
      </c>
      <c r="G1272" s="4">
        <v>2</v>
      </c>
      <c r="H1272" s="13"/>
      <c r="I1272" s="15"/>
      <c r="J1272" s="19">
        <v>2</v>
      </c>
      <c r="K1272" s="2" t="s">
        <v>2555</v>
      </c>
      <c r="L1272" s="11" t="str">
        <f t="shared" si="20"/>
        <v>Ver Imagen</v>
      </c>
      <c r="M1272" t="s">
        <v>15</v>
      </c>
    </row>
    <row r="1273" spans="1:13" x14ac:dyDescent="0.25">
      <c r="A1273">
        <v>1272</v>
      </c>
      <c r="B1273" t="s">
        <v>2556</v>
      </c>
      <c r="C1273" s="1">
        <v>37.211734149100003</v>
      </c>
      <c r="D1273" s="1">
        <v>-7.0487558094700002</v>
      </c>
      <c r="E1273" s="3">
        <v>2</v>
      </c>
      <c r="F1273" s="2">
        <v>1</v>
      </c>
      <c r="G1273" s="4">
        <v>2</v>
      </c>
      <c r="H1273" s="13"/>
      <c r="I1273" s="15"/>
      <c r="J1273" s="19">
        <v>2</v>
      </c>
      <c r="K1273" s="2" t="s">
        <v>2557</v>
      </c>
      <c r="L1273" s="11" t="str">
        <f t="shared" si="20"/>
        <v>Ver Imagen</v>
      </c>
      <c r="M1273" t="s">
        <v>15</v>
      </c>
    </row>
    <row r="1274" spans="1:13" x14ac:dyDescent="0.25">
      <c r="A1274">
        <v>1273</v>
      </c>
      <c r="B1274" t="s">
        <v>2558</v>
      </c>
      <c r="C1274" s="1">
        <v>37.211607974099998</v>
      </c>
      <c r="D1274" s="1">
        <v>-7.0469668201299998</v>
      </c>
      <c r="E1274" s="3">
        <v>2</v>
      </c>
      <c r="F1274" s="2">
        <v>3</v>
      </c>
      <c r="G1274" s="4">
        <v>2</v>
      </c>
      <c r="H1274" s="13"/>
      <c r="I1274" s="15"/>
      <c r="J1274" s="19">
        <v>2</v>
      </c>
      <c r="K1274" s="2" t="s">
        <v>2559</v>
      </c>
      <c r="L1274" s="11" t="str">
        <f t="shared" si="20"/>
        <v>Ver Imagen</v>
      </c>
      <c r="M1274" t="s">
        <v>15</v>
      </c>
    </row>
    <row r="1275" spans="1:13" x14ac:dyDescent="0.25">
      <c r="A1275">
        <v>1274</v>
      </c>
      <c r="B1275" t="s">
        <v>2560</v>
      </c>
      <c r="C1275" s="1">
        <v>37.211421104199999</v>
      </c>
      <c r="D1275" s="1">
        <v>-7.04596185764</v>
      </c>
      <c r="E1275" s="3">
        <v>2</v>
      </c>
      <c r="F1275" s="2">
        <v>1</v>
      </c>
      <c r="G1275" s="4">
        <v>2</v>
      </c>
      <c r="H1275" s="13"/>
      <c r="I1275" s="15"/>
      <c r="J1275" s="19">
        <v>2</v>
      </c>
      <c r="K1275" s="2" t="s">
        <v>2561</v>
      </c>
      <c r="L1275" s="11" t="str">
        <f t="shared" si="20"/>
        <v>Ver Imagen</v>
      </c>
      <c r="M1275" t="s">
        <v>15</v>
      </c>
    </row>
    <row r="1276" spans="1:13" x14ac:dyDescent="0.25">
      <c r="A1276">
        <v>1275</v>
      </c>
      <c r="B1276" t="s">
        <v>2562</v>
      </c>
      <c r="C1276" s="1">
        <v>37.210682353999999</v>
      </c>
      <c r="D1276" s="1">
        <v>-7.04357545473</v>
      </c>
      <c r="E1276" s="3">
        <v>2</v>
      </c>
      <c r="F1276" s="2">
        <v>3</v>
      </c>
      <c r="G1276" s="4">
        <v>2</v>
      </c>
      <c r="H1276" s="13"/>
      <c r="I1276" s="15"/>
      <c r="J1276" s="19">
        <v>2</v>
      </c>
      <c r="K1276" s="2" t="s">
        <v>2563</v>
      </c>
      <c r="L1276" s="11" t="str">
        <f t="shared" si="20"/>
        <v>Ver Imagen</v>
      </c>
      <c r="M1276" t="s">
        <v>15</v>
      </c>
    </row>
    <row r="1277" spans="1:13" x14ac:dyDescent="0.25">
      <c r="A1277">
        <v>1276</v>
      </c>
      <c r="B1277" t="s">
        <v>2564</v>
      </c>
      <c r="C1277" s="1">
        <v>37.210111189899997</v>
      </c>
      <c r="D1277" s="1">
        <v>-7.0420344324100004</v>
      </c>
      <c r="E1277" s="3">
        <v>2</v>
      </c>
      <c r="F1277" s="2">
        <v>3</v>
      </c>
      <c r="G1277" s="4">
        <v>2</v>
      </c>
      <c r="H1277" s="13"/>
      <c r="I1277" s="15"/>
      <c r="J1277" s="19">
        <v>2</v>
      </c>
      <c r="K1277" s="2" t="s">
        <v>2565</v>
      </c>
      <c r="L1277" s="11" t="str">
        <f t="shared" si="20"/>
        <v>Ver Imagen</v>
      </c>
      <c r="M1277" t="s">
        <v>15</v>
      </c>
    </row>
    <row r="1278" spans="1:13" x14ac:dyDescent="0.25">
      <c r="A1278">
        <v>1277</v>
      </c>
      <c r="B1278" t="s">
        <v>2566</v>
      </c>
      <c r="C1278" s="1">
        <v>37.209765633700002</v>
      </c>
      <c r="D1278" s="1">
        <v>-7.0411177549600001</v>
      </c>
      <c r="E1278" s="3">
        <v>2</v>
      </c>
      <c r="F1278" s="2">
        <v>3</v>
      </c>
      <c r="G1278" s="4">
        <v>2</v>
      </c>
      <c r="H1278" s="13"/>
      <c r="I1278" s="15"/>
      <c r="J1278" s="19">
        <v>2</v>
      </c>
      <c r="K1278" s="2" t="s">
        <v>2567</v>
      </c>
      <c r="L1278" s="11" t="str">
        <f t="shared" si="20"/>
        <v>Ver Imagen</v>
      </c>
      <c r="M1278" t="s">
        <v>15</v>
      </c>
    </row>
    <row r="1279" spans="1:13" x14ac:dyDescent="0.25">
      <c r="A1279">
        <v>1278</v>
      </c>
      <c r="B1279" t="s">
        <v>2568</v>
      </c>
      <c r="C1279" s="1">
        <v>37.208814296</v>
      </c>
      <c r="D1279" s="1">
        <v>-7.0386351942100003</v>
      </c>
      <c r="E1279" s="3">
        <v>2</v>
      </c>
      <c r="F1279" s="2">
        <v>3</v>
      </c>
      <c r="G1279" s="4">
        <v>2</v>
      </c>
      <c r="H1279" s="13"/>
      <c r="I1279" s="15"/>
      <c r="J1279" s="19">
        <v>2</v>
      </c>
      <c r="K1279" s="2" t="s">
        <v>2569</v>
      </c>
      <c r="L1279" s="11" t="str">
        <f t="shared" si="20"/>
        <v>Ver Imagen</v>
      </c>
      <c r="M1279" t="s">
        <v>15</v>
      </c>
    </row>
    <row r="1280" spans="1:13" x14ac:dyDescent="0.25">
      <c r="A1280">
        <v>1279</v>
      </c>
      <c r="B1280" t="s">
        <v>2570</v>
      </c>
      <c r="C1280" s="1">
        <v>37.208103942800001</v>
      </c>
      <c r="D1280" s="1">
        <v>-7.0367953868999997</v>
      </c>
      <c r="E1280" s="3">
        <v>2</v>
      </c>
      <c r="F1280" s="2">
        <v>3</v>
      </c>
      <c r="G1280" s="4">
        <v>2</v>
      </c>
      <c r="H1280" s="13"/>
      <c r="I1280" s="15"/>
      <c r="J1280" s="19">
        <v>2</v>
      </c>
      <c r="K1280" s="2" t="s">
        <v>2571</v>
      </c>
      <c r="L1280" s="11" t="str">
        <f t="shared" si="20"/>
        <v>Ver Imagen</v>
      </c>
      <c r="M1280" t="s">
        <v>15</v>
      </c>
    </row>
    <row r="1281" spans="1:13" x14ac:dyDescent="0.25">
      <c r="A1281">
        <v>1280</v>
      </c>
      <c r="B1281" t="s">
        <v>2572</v>
      </c>
      <c r="C1281" s="1">
        <v>37.208014602900001</v>
      </c>
      <c r="D1281" s="1">
        <v>-7.0365656578199998</v>
      </c>
      <c r="E1281" s="3">
        <v>2</v>
      </c>
      <c r="F1281" s="2">
        <v>3</v>
      </c>
      <c r="G1281" s="4">
        <v>2</v>
      </c>
      <c r="H1281" s="13"/>
      <c r="I1281" s="15"/>
      <c r="J1281" s="19">
        <v>2</v>
      </c>
      <c r="K1281" s="2" t="s">
        <v>2573</v>
      </c>
      <c r="L1281" s="11" t="str">
        <f t="shared" si="20"/>
        <v>Ver Imagen</v>
      </c>
      <c r="M1281" t="s">
        <v>15</v>
      </c>
    </row>
    <row r="1282" spans="1:13" x14ac:dyDescent="0.25">
      <c r="A1282">
        <v>1281</v>
      </c>
      <c r="B1282" t="s">
        <v>2574</v>
      </c>
      <c r="C1282" s="1">
        <v>37.207832685200003</v>
      </c>
      <c r="D1282" s="1">
        <v>-7.0360955012900002</v>
      </c>
      <c r="E1282" s="3">
        <v>2</v>
      </c>
      <c r="F1282" s="2">
        <v>3</v>
      </c>
      <c r="G1282" s="4">
        <v>2</v>
      </c>
      <c r="H1282" s="13"/>
      <c r="I1282" s="15"/>
      <c r="J1282" s="19">
        <v>2</v>
      </c>
      <c r="K1282" s="2" t="s">
        <v>2575</v>
      </c>
      <c r="L1282" s="11" t="str">
        <f t="shared" si="20"/>
        <v>Ver Imagen</v>
      </c>
      <c r="M1282" t="s">
        <v>15</v>
      </c>
    </row>
    <row r="1283" spans="1:13" x14ac:dyDescent="0.25">
      <c r="A1283">
        <v>1282</v>
      </c>
      <c r="B1283" t="s">
        <v>2576</v>
      </c>
      <c r="C1283" s="1">
        <v>37.207747600200001</v>
      </c>
      <c r="D1283" s="1">
        <v>-7.0358714583799999</v>
      </c>
      <c r="E1283" s="3">
        <v>2</v>
      </c>
      <c r="F1283" s="2">
        <v>3</v>
      </c>
      <c r="G1283" s="4">
        <v>2</v>
      </c>
      <c r="H1283" s="13"/>
      <c r="I1283" s="15"/>
      <c r="J1283" s="19">
        <v>2</v>
      </c>
      <c r="K1283" s="2" t="s">
        <v>2577</v>
      </c>
      <c r="L1283" s="11" t="str">
        <f t="shared" ref="L1283:L1346" si="21">HYPERLINK("2\1\" &amp; K1283, "Ver Imagen")</f>
        <v>Ver Imagen</v>
      </c>
      <c r="M1283" t="s">
        <v>15</v>
      </c>
    </row>
    <row r="1284" spans="1:13" x14ac:dyDescent="0.25">
      <c r="A1284">
        <v>1283</v>
      </c>
      <c r="B1284" t="s">
        <v>2578</v>
      </c>
      <c r="C1284" s="1">
        <v>37.2075597264</v>
      </c>
      <c r="D1284" s="1">
        <v>-7.0353844257000002</v>
      </c>
      <c r="E1284" s="3">
        <v>2</v>
      </c>
      <c r="F1284" s="2">
        <v>3</v>
      </c>
      <c r="G1284" s="4">
        <v>2</v>
      </c>
      <c r="H1284" s="13"/>
      <c r="I1284" s="15"/>
      <c r="J1284" s="19">
        <v>2</v>
      </c>
      <c r="K1284" s="2" t="s">
        <v>2579</v>
      </c>
      <c r="L1284" s="11" t="str">
        <f t="shared" si="21"/>
        <v>Ver Imagen</v>
      </c>
      <c r="M1284" t="s">
        <v>15</v>
      </c>
    </row>
    <row r="1285" spans="1:13" x14ac:dyDescent="0.25">
      <c r="A1285">
        <v>1284</v>
      </c>
      <c r="B1285" t="s">
        <v>2580</v>
      </c>
      <c r="C1285" s="1">
        <v>37.207195379200002</v>
      </c>
      <c r="D1285" s="1">
        <v>-7.03445179718</v>
      </c>
      <c r="E1285" s="3">
        <v>2</v>
      </c>
      <c r="F1285" s="2">
        <v>3</v>
      </c>
      <c r="G1285" s="4">
        <v>2</v>
      </c>
      <c r="H1285" s="13"/>
      <c r="I1285" s="15"/>
      <c r="J1285" s="19">
        <v>2</v>
      </c>
      <c r="K1285" s="2" t="s">
        <v>2581</v>
      </c>
      <c r="L1285" s="11" t="str">
        <f t="shared" si="21"/>
        <v>Ver Imagen</v>
      </c>
      <c r="M1285" t="s">
        <v>15</v>
      </c>
    </row>
    <row r="1286" spans="1:13" x14ac:dyDescent="0.25">
      <c r="A1286">
        <v>1285</v>
      </c>
      <c r="B1286" t="s">
        <v>2582</v>
      </c>
      <c r="C1286" s="1">
        <v>37.207138327000003</v>
      </c>
      <c r="D1286" s="1">
        <v>-7.0343068528200003</v>
      </c>
      <c r="E1286" s="3">
        <v>2</v>
      </c>
      <c r="F1286" s="2">
        <v>3</v>
      </c>
      <c r="G1286" s="4">
        <v>2</v>
      </c>
      <c r="H1286" s="13"/>
      <c r="I1286" s="15"/>
      <c r="J1286" s="19">
        <v>2</v>
      </c>
      <c r="K1286" s="2" t="s">
        <v>2583</v>
      </c>
      <c r="L1286" s="11" t="str">
        <f t="shared" si="21"/>
        <v>Ver Imagen</v>
      </c>
      <c r="M1286" t="s">
        <v>15</v>
      </c>
    </row>
    <row r="1287" spans="1:13" x14ac:dyDescent="0.25">
      <c r="A1287">
        <v>1286</v>
      </c>
      <c r="B1287" t="s">
        <v>2584</v>
      </c>
      <c r="C1287" s="1">
        <v>37.207034635699998</v>
      </c>
      <c r="D1287" s="1">
        <v>-7.0340408586300001</v>
      </c>
      <c r="E1287" s="3">
        <v>2</v>
      </c>
      <c r="F1287" s="2">
        <v>3</v>
      </c>
      <c r="G1287" s="4">
        <v>2</v>
      </c>
      <c r="H1287" s="13"/>
      <c r="I1287" s="15"/>
      <c r="J1287" s="19">
        <v>2</v>
      </c>
      <c r="K1287" s="2" t="s">
        <v>2585</v>
      </c>
      <c r="L1287" s="11" t="str">
        <f t="shared" si="21"/>
        <v>Ver Imagen</v>
      </c>
      <c r="M1287" t="s">
        <v>15</v>
      </c>
    </row>
    <row r="1288" spans="1:13" x14ac:dyDescent="0.25">
      <c r="A1288">
        <v>1287</v>
      </c>
      <c r="B1288" t="s">
        <v>2586</v>
      </c>
      <c r="C1288" s="1">
        <v>37.206958524500003</v>
      </c>
      <c r="D1288" s="1">
        <v>-7.0338415680499997</v>
      </c>
      <c r="E1288" s="3">
        <v>2</v>
      </c>
      <c r="F1288" s="2">
        <v>3</v>
      </c>
      <c r="G1288" s="4">
        <v>2</v>
      </c>
      <c r="H1288" s="13"/>
      <c r="I1288" s="15"/>
      <c r="J1288" s="19">
        <v>2</v>
      </c>
      <c r="K1288" s="2" t="s">
        <v>2587</v>
      </c>
      <c r="L1288" s="11" t="str">
        <f t="shared" si="21"/>
        <v>Ver Imagen</v>
      </c>
      <c r="M1288" t="s">
        <v>15</v>
      </c>
    </row>
    <row r="1289" spans="1:13" x14ac:dyDescent="0.25">
      <c r="A1289">
        <v>1288</v>
      </c>
      <c r="B1289" t="s">
        <v>2588</v>
      </c>
      <c r="C1289" s="1">
        <v>37.206689034100002</v>
      </c>
      <c r="D1289" s="1">
        <v>-7.03312943229</v>
      </c>
      <c r="E1289" s="3">
        <v>2</v>
      </c>
      <c r="F1289" s="2">
        <v>3</v>
      </c>
      <c r="G1289" s="4">
        <v>2</v>
      </c>
      <c r="H1289" s="13"/>
      <c r="I1289" s="15"/>
      <c r="J1289" s="19">
        <v>2</v>
      </c>
      <c r="K1289" s="2" t="s">
        <v>2589</v>
      </c>
      <c r="L1289" s="11" t="str">
        <f t="shared" si="21"/>
        <v>Ver Imagen</v>
      </c>
      <c r="M1289" t="s">
        <v>15</v>
      </c>
    </row>
    <row r="1290" spans="1:13" x14ac:dyDescent="0.25">
      <c r="A1290">
        <v>1289</v>
      </c>
      <c r="B1290" t="s">
        <v>2590</v>
      </c>
      <c r="C1290" s="1">
        <v>37.206336548499998</v>
      </c>
      <c r="D1290" s="1">
        <v>-7.0322184971299997</v>
      </c>
      <c r="E1290" s="3">
        <v>2</v>
      </c>
      <c r="F1290" s="2">
        <v>3</v>
      </c>
      <c r="G1290" s="4">
        <v>2</v>
      </c>
      <c r="H1290" s="13"/>
      <c r="I1290" s="15"/>
      <c r="J1290" s="19">
        <v>2</v>
      </c>
      <c r="K1290" s="2" t="s">
        <v>2591</v>
      </c>
      <c r="L1290" s="11" t="str">
        <f t="shared" si="21"/>
        <v>Ver Imagen</v>
      </c>
      <c r="M1290" t="s">
        <v>15</v>
      </c>
    </row>
    <row r="1291" spans="1:13" x14ac:dyDescent="0.25">
      <c r="A1291">
        <v>1290</v>
      </c>
      <c r="B1291" t="s">
        <v>2592</v>
      </c>
      <c r="C1291" s="1">
        <v>37.2057129206</v>
      </c>
      <c r="D1291" s="1">
        <v>-7.0305967886499996</v>
      </c>
      <c r="E1291" s="3">
        <v>2</v>
      </c>
      <c r="F1291" s="2">
        <v>3</v>
      </c>
      <c r="G1291" s="4">
        <v>2</v>
      </c>
      <c r="H1291" s="13"/>
      <c r="I1291" s="15"/>
      <c r="J1291" s="19">
        <v>2</v>
      </c>
      <c r="K1291" s="2" t="s">
        <v>2593</v>
      </c>
      <c r="L1291" s="11" t="str">
        <f t="shared" si="21"/>
        <v>Ver Imagen</v>
      </c>
      <c r="M1291" t="s">
        <v>15</v>
      </c>
    </row>
    <row r="1292" spans="1:13" x14ac:dyDescent="0.25">
      <c r="A1292">
        <v>1291</v>
      </c>
      <c r="B1292" t="s">
        <v>2594</v>
      </c>
      <c r="C1292" s="1">
        <v>37.205547230199997</v>
      </c>
      <c r="D1292" s="1">
        <v>-7.03016932285</v>
      </c>
      <c r="E1292" s="3">
        <v>2</v>
      </c>
      <c r="F1292" s="2">
        <v>3</v>
      </c>
      <c r="G1292" s="4">
        <v>2</v>
      </c>
      <c r="H1292" s="13"/>
      <c r="I1292" s="15"/>
      <c r="J1292" s="19">
        <v>2</v>
      </c>
      <c r="K1292" s="2" t="s">
        <v>2595</v>
      </c>
      <c r="L1292" s="11" t="str">
        <f t="shared" si="21"/>
        <v>Ver Imagen</v>
      </c>
      <c r="M1292" t="s">
        <v>15</v>
      </c>
    </row>
    <row r="1293" spans="1:13" x14ac:dyDescent="0.25">
      <c r="A1293">
        <v>1292</v>
      </c>
      <c r="B1293" t="s">
        <v>2596</v>
      </c>
      <c r="C1293" s="1">
        <v>37.203990825299996</v>
      </c>
      <c r="D1293" s="1">
        <v>-7.02608276534</v>
      </c>
      <c r="E1293" s="3">
        <v>3</v>
      </c>
      <c r="F1293" s="2">
        <v>2</v>
      </c>
      <c r="G1293" s="4">
        <v>2</v>
      </c>
      <c r="H1293" s="13"/>
      <c r="I1293" s="15"/>
      <c r="J1293" s="19">
        <v>2</v>
      </c>
      <c r="K1293" s="2" t="s">
        <v>2597</v>
      </c>
      <c r="L1293" s="11" t="str">
        <f t="shared" si="21"/>
        <v>Ver Imagen</v>
      </c>
      <c r="M1293" t="s">
        <v>15</v>
      </c>
    </row>
    <row r="1294" spans="1:13" x14ac:dyDescent="0.25">
      <c r="A1294">
        <v>1293</v>
      </c>
      <c r="B1294" t="s">
        <v>2598</v>
      </c>
      <c r="C1294" s="1">
        <v>37.203463227900002</v>
      </c>
      <c r="D1294" s="1">
        <v>-7.0247100759199999</v>
      </c>
      <c r="E1294" s="3">
        <v>1</v>
      </c>
      <c r="F1294" s="2">
        <v>2</v>
      </c>
      <c r="G1294" s="4">
        <v>2</v>
      </c>
      <c r="H1294" s="13"/>
      <c r="I1294" s="15"/>
      <c r="J1294" s="19">
        <v>2</v>
      </c>
      <c r="K1294" s="2" t="s">
        <v>2599</v>
      </c>
      <c r="L1294" s="11" t="str">
        <f t="shared" si="21"/>
        <v>Ver Imagen</v>
      </c>
      <c r="M1294" t="s">
        <v>15</v>
      </c>
    </row>
    <row r="1295" spans="1:13" x14ac:dyDescent="0.25">
      <c r="A1295">
        <v>1294</v>
      </c>
      <c r="B1295" t="s">
        <v>2600</v>
      </c>
      <c r="C1295" s="1">
        <v>37.201368124799998</v>
      </c>
      <c r="D1295" s="1">
        <v>-7.0192491221599997</v>
      </c>
      <c r="E1295" s="3">
        <v>2</v>
      </c>
      <c r="F1295" s="2">
        <v>3</v>
      </c>
      <c r="G1295" s="4">
        <v>2</v>
      </c>
      <c r="H1295" s="13"/>
      <c r="I1295" s="15"/>
      <c r="J1295" s="19">
        <v>2</v>
      </c>
      <c r="K1295" s="2" t="s">
        <v>2601</v>
      </c>
      <c r="L1295" s="11" t="str">
        <f t="shared" si="21"/>
        <v>Ver Imagen</v>
      </c>
      <c r="M1295" t="s">
        <v>15</v>
      </c>
    </row>
    <row r="1296" spans="1:13" x14ac:dyDescent="0.25">
      <c r="A1296">
        <v>1295</v>
      </c>
      <c r="B1296" t="s">
        <v>2602</v>
      </c>
      <c r="C1296" s="1">
        <v>37.201017203799999</v>
      </c>
      <c r="D1296" s="1">
        <v>-7.0183422331700003</v>
      </c>
      <c r="E1296" s="3">
        <v>2</v>
      </c>
      <c r="F1296" s="2">
        <v>3</v>
      </c>
      <c r="G1296" s="4">
        <v>2</v>
      </c>
      <c r="H1296" s="13"/>
      <c r="I1296" s="15"/>
      <c r="J1296" s="19">
        <v>2</v>
      </c>
      <c r="K1296" s="2" t="s">
        <v>2603</v>
      </c>
      <c r="L1296" s="11" t="str">
        <f t="shared" si="21"/>
        <v>Ver Imagen</v>
      </c>
      <c r="M1296" t="s">
        <v>15</v>
      </c>
    </row>
    <row r="1297" spans="1:13" x14ac:dyDescent="0.25">
      <c r="A1297">
        <v>1296</v>
      </c>
      <c r="B1297" t="s">
        <v>2604</v>
      </c>
      <c r="C1297" s="1">
        <v>37.199072154600003</v>
      </c>
      <c r="D1297" s="1">
        <v>-7.01327015691</v>
      </c>
      <c r="E1297" s="3">
        <v>2</v>
      </c>
      <c r="F1297" s="2">
        <v>3</v>
      </c>
      <c r="G1297" s="4">
        <v>2</v>
      </c>
      <c r="H1297" s="13"/>
      <c r="I1297" s="15"/>
      <c r="J1297" s="19">
        <v>2</v>
      </c>
      <c r="K1297" s="2" t="s">
        <v>2605</v>
      </c>
      <c r="L1297" s="11" t="str">
        <f t="shared" si="21"/>
        <v>Ver Imagen</v>
      </c>
      <c r="M1297" t="s">
        <v>15</v>
      </c>
    </row>
    <row r="1298" spans="1:13" x14ac:dyDescent="0.25">
      <c r="A1298">
        <v>1297</v>
      </c>
      <c r="B1298" t="s">
        <v>2606</v>
      </c>
      <c r="C1298" s="1">
        <v>37.198992966600002</v>
      </c>
      <c r="D1298" s="1">
        <v>-7.0130624799800003</v>
      </c>
      <c r="E1298" s="3">
        <v>2</v>
      </c>
      <c r="F1298" s="2">
        <v>3</v>
      </c>
      <c r="G1298" s="4">
        <v>2</v>
      </c>
      <c r="H1298" s="13"/>
      <c r="I1298" s="15"/>
      <c r="J1298" s="19">
        <v>2</v>
      </c>
      <c r="K1298" s="2" t="s">
        <v>2607</v>
      </c>
      <c r="L1298" s="11" t="str">
        <f t="shared" si="21"/>
        <v>Ver Imagen</v>
      </c>
      <c r="M1298" t="s">
        <v>15</v>
      </c>
    </row>
    <row r="1299" spans="1:13" x14ac:dyDescent="0.25">
      <c r="A1299">
        <v>1298</v>
      </c>
      <c r="B1299" t="s">
        <v>2608</v>
      </c>
      <c r="C1299" s="1">
        <v>37.198296666300003</v>
      </c>
      <c r="D1299" s="1">
        <v>-7.0112692165499997</v>
      </c>
      <c r="E1299" s="3">
        <v>2</v>
      </c>
      <c r="F1299" s="2">
        <v>2</v>
      </c>
      <c r="G1299" s="4">
        <v>3</v>
      </c>
      <c r="H1299" s="13"/>
      <c r="I1299" s="15"/>
      <c r="J1299" s="19">
        <v>2</v>
      </c>
      <c r="K1299" s="2" t="s">
        <v>2609</v>
      </c>
      <c r="L1299" s="11" t="str">
        <f t="shared" si="21"/>
        <v>Ver Imagen</v>
      </c>
      <c r="M1299" t="s">
        <v>15</v>
      </c>
    </row>
    <row r="1300" spans="1:13" x14ac:dyDescent="0.25">
      <c r="A1300">
        <v>1299</v>
      </c>
      <c r="B1300" t="s">
        <v>2610</v>
      </c>
      <c r="C1300" s="1">
        <v>37.198195062000003</v>
      </c>
      <c r="D1300" s="1">
        <v>-7.0110069155900003</v>
      </c>
      <c r="E1300" s="3">
        <v>2</v>
      </c>
      <c r="F1300" s="2">
        <v>2</v>
      </c>
      <c r="G1300" s="4">
        <v>3</v>
      </c>
      <c r="H1300" s="13"/>
      <c r="I1300" s="15"/>
      <c r="J1300" s="19">
        <v>2</v>
      </c>
      <c r="K1300" s="2" t="s">
        <v>2611</v>
      </c>
      <c r="L1300" s="11" t="str">
        <f t="shared" si="21"/>
        <v>Ver Imagen</v>
      </c>
      <c r="M1300" t="s">
        <v>15</v>
      </c>
    </row>
    <row r="1301" spans="1:13" x14ac:dyDescent="0.25">
      <c r="A1301">
        <v>1300</v>
      </c>
      <c r="B1301" t="s">
        <v>2612</v>
      </c>
      <c r="C1301" s="1">
        <v>37.1977624238</v>
      </c>
      <c r="D1301" s="1">
        <v>-7.00989189511</v>
      </c>
      <c r="E1301" s="3">
        <v>2</v>
      </c>
      <c r="F1301" s="2">
        <v>2</v>
      </c>
      <c r="G1301" s="4">
        <v>3</v>
      </c>
      <c r="H1301" s="13"/>
      <c r="I1301" s="15"/>
      <c r="J1301" s="19">
        <v>2</v>
      </c>
      <c r="K1301" s="2" t="s">
        <v>2613</v>
      </c>
      <c r="L1301" s="11" t="str">
        <f t="shared" si="21"/>
        <v>Ver Imagen</v>
      </c>
      <c r="M1301" t="s">
        <v>15</v>
      </c>
    </row>
    <row r="1302" spans="1:13" x14ac:dyDescent="0.25">
      <c r="A1302">
        <v>1301</v>
      </c>
      <c r="B1302" t="s">
        <v>2614</v>
      </c>
      <c r="C1302" s="1">
        <v>37.197350017200002</v>
      </c>
      <c r="D1302" s="1">
        <v>-7.0084760799100003</v>
      </c>
      <c r="E1302" s="3">
        <v>2</v>
      </c>
      <c r="F1302" s="2">
        <v>2</v>
      </c>
      <c r="G1302" s="4">
        <v>1</v>
      </c>
      <c r="H1302" s="13"/>
      <c r="I1302" s="15"/>
      <c r="J1302" s="19">
        <v>2</v>
      </c>
      <c r="K1302" s="2" t="s">
        <v>2615</v>
      </c>
      <c r="L1302" s="11" t="str">
        <f t="shared" si="21"/>
        <v>Ver Imagen</v>
      </c>
      <c r="M1302" t="s">
        <v>15</v>
      </c>
    </row>
    <row r="1303" spans="1:13" x14ac:dyDescent="0.25">
      <c r="A1303">
        <v>1302</v>
      </c>
      <c r="B1303" t="s">
        <v>2616</v>
      </c>
      <c r="C1303" s="1">
        <v>37.1972063754</v>
      </c>
      <c r="D1303" s="1">
        <v>-7.0069559464999998</v>
      </c>
      <c r="E1303" s="3">
        <v>2</v>
      </c>
      <c r="F1303" s="2">
        <v>2</v>
      </c>
      <c r="G1303" s="4">
        <v>3</v>
      </c>
      <c r="H1303" s="13"/>
      <c r="I1303" s="15"/>
      <c r="J1303" s="19">
        <v>2</v>
      </c>
      <c r="K1303" s="2" t="s">
        <v>2617</v>
      </c>
      <c r="L1303" s="11" t="str">
        <f t="shared" si="21"/>
        <v>Ver Imagen</v>
      </c>
      <c r="M1303" t="s">
        <v>15</v>
      </c>
    </row>
    <row r="1304" spans="1:13" x14ac:dyDescent="0.25">
      <c r="A1304">
        <v>1303</v>
      </c>
      <c r="B1304" t="s">
        <v>2618</v>
      </c>
      <c r="C1304" s="1">
        <v>37.197053237399999</v>
      </c>
      <c r="D1304" s="1">
        <v>-7.0059873710499998</v>
      </c>
      <c r="E1304" s="3">
        <v>2</v>
      </c>
      <c r="F1304" s="2">
        <v>1</v>
      </c>
      <c r="G1304" s="4">
        <v>2</v>
      </c>
      <c r="H1304" s="13"/>
      <c r="I1304" s="15"/>
      <c r="J1304" s="19">
        <v>2</v>
      </c>
      <c r="K1304" s="2" t="s">
        <v>2619</v>
      </c>
      <c r="L1304" s="11" t="str">
        <f t="shared" si="21"/>
        <v>Ver Imagen</v>
      </c>
      <c r="M1304" t="s">
        <v>15</v>
      </c>
    </row>
    <row r="1305" spans="1:13" x14ac:dyDescent="0.25">
      <c r="A1305">
        <v>1304</v>
      </c>
      <c r="B1305" t="s">
        <v>2620</v>
      </c>
      <c r="C1305" s="1">
        <v>37.196913415099999</v>
      </c>
      <c r="D1305" s="1">
        <v>-7.0054433886099998</v>
      </c>
      <c r="E1305" s="3">
        <v>2</v>
      </c>
      <c r="F1305" s="2">
        <v>2</v>
      </c>
      <c r="G1305" s="4">
        <v>3</v>
      </c>
      <c r="H1305" s="13"/>
      <c r="I1305" s="15"/>
      <c r="J1305" s="19">
        <v>2</v>
      </c>
      <c r="K1305" s="2" t="s">
        <v>2621</v>
      </c>
      <c r="L1305" s="11" t="str">
        <f t="shared" si="21"/>
        <v>Ver Imagen</v>
      </c>
      <c r="M1305" t="s">
        <v>15</v>
      </c>
    </row>
    <row r="1306" spans="1:13" x14ac:dyDescent="0.25">
      <c r="A1306">
        <v>1305</v>
      </c>
      <c r="B1306" t="s">
        <v>2622</v>
      </c>
      <c r="C1306" s="1">
        <v>37.196794796500001</v>
      </c>
      <c r="D1306" s="1">
        <v>-7.0050362828899999</v>
      </c>
      <c r="E1306" s="3">
        <v>2</v>
      </c>
      <c r="F1306" s="2">
        <v>3</v>
      </c>
      <c r="G1306" s="4">
        <v>2</v>
      </c>
      <c r="H1306" s="13"/>
      <c r="I1306" s="15"/>
      <c r="J1306" s="19">
        <v>2</v>
      </c>
      <c r="K1306" s="2" t="s">
        <v>2623</v>
      </c>
      <c r="L1306" s="11" t="str">
        <f t="shared" si="21"/>
        <v>Ver Imagen</v>
      </c>
      <c r="M1306" t="s">
        <v>15</v>
      </c>
    </row>
    <row r="1307" spans="1:13" x14ac:dyDescent="0.25">
      <c r="A1307">
        <v>1306</v>
      </c>
      <c r="B1307" t="s">
        <v>2624</v>
      </c>
      <c r="C1307" s="1">
        <v>37.287816191799998</v>
      </c>
      <c r="D1307" s="1">
        <v>-7.1413530880499998</v>
      </c>
      <c r="E1307" s="3">
        <v>1</v>
      </c>
      <c r="F1307" s="2">
        <v>2</v>
      </c>
      <c r="G1307" s="4">
        <v>2</v>
      </c>
      <c r="H1307" s="13"/>
      <c r="I1307" s="15"/>
      <c r="J1307" s="19">
        <v>2</v>
      </c>
      <c r="K1307" s="2" t="s">
        <v>2625</v>
      </c>
      <c r="L1307" s="11" t="str">
        <f t="shared" si="21"/>
        <v>Ver Imagen</v>
      </c>
      <c r="M1307" t="s">
        <v>15</v>
      </c>
    </row>
    <row r="1308" spans="1:13" x14ac:dyDescent="0.25">
      <c r="A1308">
        <v>1307</v>
      </c>
      <c r="B1308" t="s">
        <v>2626</v>
      </c>
      <c r="C1308" s="1">
        <v>37.275423956200001</v>
      </c>
      <c r="D1308" s="1">
        <v>-7.1427595935500001</v>
      </c>
      <c r="E1308" s="3">
        <v>2</v>
      </c>
      <c r="F1308" s="2">
        <v>3</v>
      </c>
      <c r="G1308" s="4">
        <v>2</v>
      </c>
      <c r="H1308" s="13"/>
      <c r="I1308" s="15"/>
      <c r="J1308" s="19">
        <v>2</v>
      </c>
      <c r="K1308" s="2" t="s">
        <v>2627</v>
      </c>
      <c r="L1308" s="11" t="str">
        <f t="shared" si="21"/>
        <v>Ver Imagen</v>
      </c>
      <c r="M1308" t="s">
        <v>15</v>
      </c>
    </row>
    <row r="1309" spans="1:13" x14ac:dyDescent="0.25">
      <c r="A1309">
        <v>1308</v>
      </c>
      <c r="B1309" t="s">
        <v>2628</v>
      </c>
      <c r="C1309" s="1">
        <v>37.275236812199999</v>
      </c>
      <c r="D1309" s="1">
        <v>-7.1427118440399999</v>
      </c>
      <c r="E1309" s="3">
        <v>2</v>
      </c>
      <c r="F1309" s="2">
        <v>3</v>
      </c>
      <c r="G1309" s="4">
        <v>2</v>
      </c>
      <c r="H1309" s="13"/>
      <c r="I1309" s="15"/>
      <c r="J1309" s="19">
        <v>2</v>
      </c>
      <c r="K1309" s="2" t="s">
        <v>2629</v>
      </c>
      <c r="L1309" s="11" t="str">
        <f t="shared" si="21"/>
        <v>Ver Imagen</v>
      </c>
      <c r="M1309" t="s">
        <v>15</v>
      </c>
    </row>
    <row r="1310" spans="1:13" x14ac:dyDescent="0.25">
      <c r="A1310">
        <v>1309</v>
      </c>
      <c r="B1310" t="s">
        <v>2630</v>
      </c>
      <c r="C1310" s="1">
        <v>37.274831806999998</v>
      </c>
      <c r="D1310" s="1">
        <v>-7.14258501667</v>
      </c>
      <c r="E1310" s="3">
        <v>2</v>
      </c>
      <c r="F1310" s="2">
        <v>3</v>
      </c>
      <c r="G1310" s="4">
        <v>2</v>
      </c>
      <c r="H1310" s="13"/>
      <c r="I1310" s="15"/>
      <c r="J1310" s="19">
        <v>2</v>
      </c>
      <c r="K1310" s="2" t="s">
        <v>2631</v>
      </c>
      <c r="L1310" s="11" t="str">
        <f t="shared" si="21"/>
        <v>Ver Imagen</v>
      </c>
      <c r="M1310" t="s">
        <v>15</v>
      </c>
    </row>
    <row r="1311" spans="1:13" x14ac:dyDescent="0.25">
      <c r="A1311">
        <v>1310</v>
      </c>
      <c r="B1311" t="s">
        <v>2632</v>
      </c>
      <c r="C1311" s="1">
        <v>37.271888789800002</v>
      </c>
      <c r="D1311" s="1">
        <v>-7.1410594136799999</v>
      </c>
      <c r="E1311" s="3">
        <v>2</v>
      </c>
      <c r="F1311" s="2">
        <v>3</v>
      </c>
      <c r="G1311" s="4">
        <v>2</v>
      </c>
      <c r="H1311" s="13"/>
      <c r="I1311" s="15"/>
      <c r="J1311" s="19">
        <v>2</v>
      </c>
      <c r="K1311" s="2" t="s">
        <v>2633</v>
      </c>
      <c r="L1311" s="11" t="str">
        <f t="shared" si="21"/>
        <v>Ver Imagen</v>
      </c>
      <c r="M1311" t="s">
        <v>15</v>
      </c>
    </row>
    <row r="1312" spans="1:13" x14ac:dyDescent="0.25">
      <c r="A1312">
        <v>1311</v>
      </c>
      <c r="B1312" t="s">
        <v>2634</v>
      </c>
      <c r="C1312" s="1">
        <v>37.271714756800002</v>
      </c>
      <c r="D1312" s="1">
        <v>-7.1409063295699999</v>
      </c>
      <c r="E1312" s="3">
        <v>2</v>
      </c>
      <c r="F1312" s="2">
        <v>3</v>
      </c>
      <c r="G1312" s="4">
        <v>2</v>
      </c>
      <c r="H1312" s="13"/>
      <c r="I1312" s="15"/>
      <c r="J1312" s="19">
        <v>2</v>
      </c>
      <c r="K1312" s="2" t="s">
        <v>2635</v>
      </c>
      <c r="L1312" s="11" t="str">
        <f t="shared" si="21"/>
        <v>Ver Imagen</v>
      </c>
      <c r="M1312" t="s">
        <v>15</v>
      </c>
    </row>
    <row r="1313" spans="1:13" x14ac:dyDescent="0.25">
      <c r="A1313">
        <v>1312</v>
      </c>
      <c r="B1313" t="s">
        <v>2636</v>
      </c>
      <c r="C1313" s="1">
        <v>37.271546625699997</v>
      </c>
      <c r="D1313" s="1">
        <v>-7.1407576732600004</v>
      </c>
      <c r="E1313" s="3">
        <v>2</v>
      </c>
      <c r="F1313" s="2">
        <v>3</v>
      </c>
      <c r="G1313" s="4">
        <v>2</v>
      </c>
      <c r="H1313" s="13"/>
      <c r="I1313" s="15"/>
      <c r="J1313" s="19">
        <v>2</v>
      </c>
      <c r="K1313" s="2" t="s">
        <v>2637</v>
      </c>
      <c r="L1313" s="11" t="str">
        <f t="shared" si="21"/>
        <v>Ver Imagen</v>
      </c>
      <c r="M1313" t="s">
        <v>15</v>
      </c>
    </row>
    <row r="1314" spans="1:13" x14ac:dyDescent="0.25">
      <c r="A1314">
        <v>1313</v>
      </c>
      <c r="B1314" t="s">
        <v>2638</v>
      </c>
      <c r="C1314" s="1">
        <v>37.271372019399998</v>
      </c>
      <c r="D1314" s="1">
        <v>-7.14060742768</v>
      </c>
      <c r="E1314" s="3">
        <v>3</v>
      </c>
      <c r="F1314" s="2">
        <v>2</v>
      </c>
      <c r="G1314" s="4">
        <v>2</v>
      </c>
      <c r="H1314" s="13"/>
      <c r="I1314" s="15"/>
      <c r="J1314" s="19">
        <v>2</v>
      </c>
      <c r="K1314" s="2" t="s">
        <v>2639</v>
      </c>
      <c r="L1314" s="11" t="str">
        <f t="shared" si="21"/>
        <v>Ver Imagen</v>
      </c>
      <c r="M1314" t="s">
        <v>15</v>
      </c>
    </row>
    <row r="1315" spans="1:13" x14ac:dyDescent="0.25">
      <c r="A1315">
        <v>1314</v>
      </c>
      <c r="B1315" t="s">
        <v>2640</v>
      </c>
      <c r="C1315" s="1">
        <v>37.266307200100002</v>
      </c>
      <c r="D1315" s="1">
        <v>-7.1330472070599997</v>
      </c>
      <c r="E1315" s="3">
        <v>3</v>
      </c>
      <c r="F1315" s="2">
        <v>2</v>
      </c>
      <c r="G1315" s="4">
        <v>2</v>
      </c>
      <c r="H1315" s="13"/>
      <c r="I1315" s="15"/>
      <c r="J1315" s="19">
        <v>2</v>
      </c>
      <c r="K1315" s="2" t="s">
        <v>2641</v>
      </c>
      <c r="L1315" s="11" t="str">
        <f t="shared" si="21"/>
        <v>Ver Imagen</v>
      </c>
      <c r="M1315" t="s">
        <v>15</v>
      </c>
    </row>
    <row r="1316" spans="1:13" x14ac:dyDescent="0.25">
      <c r="A1316">
        <v>1315</v>
      </c>
      <c r="B1316" t="s">
        <v>2642</v>
      </c>
      <c r="C1316" s="1">
        <v>37.265556017500003</v>
      </c>
      <c r="D1316" s="1">
        <v>-7.1325687232300004</v>
      </c>
      <c r="E1316" s="3">
        <v>2</v>
      </c>
      <c r="F1316" s="2">
        <v>3</v>
      </c>
      <c r="G1316" s="4">
        <v>2</v>
      </c>
      <c r="H1316" s="13"/>
      <c r="I1316" s="15"/>
      <c r="J1316" s="19">
        <v>2</v>
      </c>
      <c r="K1316" s="2" t="s">
        <v>2643</v>
      </c>
      <c r="L1316" s="11" t="str">
        <f t="shared" si="21"/>
        <v>Ver Imagen</v>
      </c>
      <c r="M1316" t="s">
        <v>15</v>
      </c>
    </row>
    <row r="1317" spans="1:13" x14ac:dyDescent="0.25">
      <c r="A1317">
        <v>1316</v>
      </c>
      <c r="B1317" t="s">
        <v>2644</v>
      </c>
      <c r="C1317" s="1">
        <v>37.259799873799999</v>
      </c>
      <c r="D1317" s="1">
        <v>-7.1289614122199998</v>
      </c>
      <c r="E1317" s="3">
        <v>3</v>
      </c>
      <c r="F1317" s="2">
        <v>2</v>
      </c>
      <c r="G1317" s="4">
        <v>2</v>
      </c>
      <c r="H1317" s="13"/>
      <c r="I1317" s="15"/>
      <c r="J1317" s="19">
        <v>2</v>
      </c>
      <c r="K1317" s="2" t="s">
        <v>2645</v>
      </c>
      <c r="L1317" s="11" t="str">
        <f t="shared" si="21"/>
        <v>Ver Imagen</v>
      </c>
      <c r="M1317" t="s">
        <v>15</v>
      </c>
    </row>
    <row r="1318" spans="1:13" x14ac:dyDescent="0.25">
      <c r="A1318">
        <v>1317</v>
      </c>
      <c r="B1318" t="s">
        <v>2646</v>
      </c>
      <c r="C1318" s="1">
        <v>37.2592555469</v>
      </c>
      <c r="D1318" s="1">
        <v>-7.1286187508500003</v>
      </c>
      <c r="E1318" s="3">
        <v>2</v>
      </c>
      <c r="F1318" s="2">
        <v>3</v>
      </c>
      <c r="G1318" s="4">
        <v>2</v>
      </c>
      <c r="H1318" s="13"/>
      <c r="I1318" s="15"/>
      <c r="J1318" s="19">
        <v>2</v>
      </c>
      <c r="K1318" s="2" t="s">
        <v>2647</v>
      </c>
      <c r="L1318" s="11" t="str">
        <f t="shared" si="21"/>
        <v>Ver Imagen</v>
      </c>
      <c r="M1318" t="s">
        <v>15</v>
      </c>
    </row>
    <row r="1319" spans="1:13" x14ac:dyDescent="0.25">
      <c r="A1319">
        <v>1318</v>
      </c>
      <c r="B1319" t="s">
        <v>2648</v>
      </c>
      <c r="C1319" s="1">
        <v>37.258702472400003</v>
      </c>
      <c r="D1319" s="1">
        <v>-7.1282670440900002</v>
      </c>
      <c r="E1319" s="3">
        <v>2</v>
      </c>
      <c r="F1319" s="2">
        <v>3</v>
      </c>
      <c r="G1319" s="4">
        <v>2</v>
      </c>
      <c r="H1319" s="13"/>
      <c r="I1319" s="15"/>
      <c r="J1319" s="19">
        <v>2</v>
      </c>
      <c r="K1319" s="2" t="s">
        <v>2649</v>
      </c>
      <c r="L1319" s="11" t="str">
        <f t="shared" si="21"/>
        <v>Ver Imagen</v>
      </c>
      <c r="M1319" t="s">
        <v>15</v>
      </c>
    </row>
    <row r="1320" spans="1:13" x14ac:dyDescent="0.25">
      <c r="A1320">
        <v>1319</v>
      </c>
      <c r="B1320" t="s">
        <v>2650</v>
      </c>
      <c r="C1320" s="1">
        <v>37.2580142638</v>
      </c>
      <c r="D1320" s="1">
        <v>-7.1278281543500004</v>
      </c>
      <c r="E1320" s="3">
        <v>3</v>
      </c>
      <c r="F1320" s="2">
        <v>2</v>
      </c>
      <c r="G1320" s="4">
        <v>2</v>
      </c>
      <c r="H1320" s="13"/>
      <c r="I1320" s="15"/>
      <c r="J1320" s="19">
        <v>2</v>
      </c>
      <c r="K1320" s="2" t="s">
        <v>2651</v>
      </c>
      <c r="L1320" s="11" t="str">
        <f t="shared" si="21"/>
        <v>Ver Imagen</v>
      </c>
      <c r="M1320" t="s">
        <v>15</v>
      </c>
    </row>
    <row r="1321" spans="1:13" x14ac:dyDescent="0.25">
      <c r="A1321">
        <v>1320</v>
      </c>
      <c r="B1321" t="s">
        <v>2652</v>
      </c>
      <c r="C1321" s="1">
        <v>37.254322921399996</v>
      </c>
      <c r="D1321" s="1">
        <v>-7.1266309183000001</v>
      </c>
      <c r="E1321" s="3">
        <v>1</v>
      </c>
      <c r="F1321" s="2">
        <v>2</v>
      </c>
      <c r="G1321" s="4">
        <v>2</v>
      </c>
      <c r="H1321" s="13"/>
      <c r="I1321" s="15"/>
      <c r="J1321" s="19">
        <v>2</v>
      </c>
      <c r="K1321" s="2" t="s">
        <v>2653</v>
      </c>
      <c r="L1321" s="11" t="str">
        <f t="shared" si="21"/>
        <v>Ver Imagen</v>
      </c>
      <c r="M1321" t="s">
        <v>15</v>
      </c>
    </row>
    <row r="1322" spans="1:13" x14ac:dyDescent="0.25">
      <c r="A1322">
        <v>1321</v>
      </c>
      <c r="B1322" t="s">
        <v>2654</v>
      </c>
      <c r="C1322" s="1">
        <v>37.250551251799997</v>
      </c>
      <c r="D1322" s="1">
        <v>-7.1271955702199996</v>
      </c>
      <c r="E1322" s="3">
        <v>2</v>
      </c>
      <c r="F1322" s="2">
        <v>3</v>
      </c>
      <c r="G1322" s="4">
        <v>2</v>
      </c>
      <c r="H1322" s="13"/>
      <c r="I1322" s="15"/>
      <c r="J1322" s="19">
        <v>2</v>
      </c>
      <c r="K1322" s="2" t="s">
        <v>2655</v>
      </c>
      <c r="L1322" s="11" t="str">
        <f t="shared" si="21"/>
        <v>Ver Imagen</v>
      </c>
      <c r="M1322" t="s">
        <v>15</v>
      </c>
    </row>
    <row r="1323" spans="1:13" x14ac:dyDescent="0.25">
      <c r="A1323">
        <v>1322</v>
      </c>
      <c r="B1323" t="s">
        <v>2656</v>
      </c>
      <c r="C1323" s="1">
        <v>37.248497372999999</v>
      </c>
      <c r="D1323" s="1">
        <v>-7.1275062634499999</v>
      </c>
      <c r="E1323" s="3">
        <v>2</v>
      </c>
      <c r="F1323" s="2">
        <v>2</v>
      </c>
      <c r="G1323" s="4">
        <v>3</v>
      </c>
      <c r="H1323" s="13"/>
      <c r="I1323" s="15"/>
      <c r="J1323" s="19">
        <v>2</v>
      </c>
      <c r="K1323" s="2" t="s">
        <v>2657</v>
      </c>
      <c r="L1323" s="11" t="str">
        <f t="shared" si="21"/>
        <v>Ver Imagen</v>
      </c>
      <c r="M1323" t="s">
        <v>15</v>
      </c>
    </row>
    <row r="1324" spans="1:13" x14ac:dyDescent="0.25">
      <c r="A1324">
        <v>1323</v>
      </c>
      <c r="B1324" t="s">
        <v>2658</v>
      </c>
      <c r="C1324" s="1">
        <v>37.246690920399999</v>
      </c>
      <c r="D1324" s="1">
        <v>-7.1277718779099999</v>
      </c>
      <c r="E1324" s="3">
        <v>2</v>
      </c>
      <c r="F1324" s="2">
        <v>2</v>
      </c>
      <c r="G1324" s="4">
        <v>3</v>
      </c>
      <c r="H1324" s="13"/>
      <c r="I1324" s="15"/>
      <c r="J1324" s="19">
        <v>2</v>
      </c>
      <c r="K1324" s="2" t="s">
        <v>2659</v>
      </c>
      <c r="L1324" s="11" t="str">
        <f t="shared" si="21"/>
        <v>Ver Imagen</v>
      </c>
      <c r="M1324" t="s">
        <v>15</v>
      </c>
    </row>
    <row r="1325" spans="1:13" x14ac:dyDescent="0.25">
      <c r="A1325">
        <v>1324</v>
      </c>
      <c r="B1325" t="s">
        <v>2660</v>
      </c>
      <c r="C1325" s="1">
        <v>37.246482025399999</v>
      </c>
      <c r="D1325" s="1">
        <v>-7.1278033608499998</v>
      </c>
      <c r="E1325" s="3">
        <v>2</v>
      </c>
      <c r="F1325" s="2">
        <v>2</v>
      </c>
      <c r="G1325" s="4">
        <v>3</v>
      </c>
      <c r="H1325" s="13"/>
      <c r="I1325" s="15"/>
      <c r="J1325" s="19">
        <v>2</v>
      </c>
      <c r="K1325" s="2" t="s">
        <v>2661</v>
      </c>
      <c r="L1325" s="11" t="str">
        <f t="shared" si="21"/>
        <v>Ver Imagen</v>
      </c>
      <c r="M1325" t="s">
        <v>15</v>
      </c>
    </row>
    <row r="1326" spans="1:13" x14ac:dyDescent="0.25">
      <c r="A1326">
        <v>1325</v>
      </c>
      <c r="B1326" t="s">
        <v>2662</v>
      </c>
      <c r="C1326" s="1">
        <v>37.246299254</v>
      </c>
      <c r="D1326" s="1">
        <v>-7.1278308341900001</v>
      </c>
      <c r="E1326" s="3">
        <v>2</v>
      </c>
      <c r="F1326" s="2">
        <v>2</v>
      </c>
      <c r="G1326" s="4">
        <v>3</v>
      </c>
      <c r="H1326" s="13"/>
      <c r="I1326" s="15"/>
      <c r="J1326" s="19">
        <v>2</v>
      </c>
      <c r="K1326" s="2" t="s">
        <v>2663</v>
      </c>
      <c r="L1326" s="11" t="str">
        <f t="shared" si="21"/>
        <v>Ver Imagen</v>
      </c>
      <c r="M1326" t="s">
        <v>15</v>
      </c>
    </row>
    <row r="1327" spans="1:13" x14ac:dyDescent="0.25">
      <c r="A1327">
        <v>1326</v>
      </c>
      <c r="B1327" t="s">
        <v>2664</v>
      </c>
      <c r="C1327" s="1">
        <v>37.245491301599998</v>
      </c>
      <c r="D1327" s="1">
        <v>-7.1279494358599997</v>
      </c>
      <c r="E1327" s="3">
        <v>2</v>
      </c>
      <c r="F1327" s="2">
        <v>2</v>
      </c>
      <c r="G1327" s="4">
        <v>3</v>
      </c>
      <c r="H1327" s="13"/>
      <c r="I1327" s="15"/>
      <c r="J1327" s="19">
        <v>2</v>
      </c>
      <c r="K1327" s="2" t="s">
        <v>2665</v>
      </c>
      <c r="L1327" s="11" t="str">
        <f t="shared" si="21"/>
        <v>Ver Imagen</v>
      </c>
      <c r="M1327" t="s">
        <v>15</v>
      </c>
    </row>
    <row r="1328" spans="1:13" x14ac:dyDescent="0.25">
      <c r="A1328">
        <v>1327</v>
      </c>
      <c r="B1328" t="s">
        <v>2666</v>
      </c>
      <c r="C1328" s="1">
        <v>37.243276469199998</v>
      </c>
      <c r="D1328" s="1">
        <v>-7.1282735692300001</v>
      </c>
      <c r="E1328" s="3">
        <v>2</v>
      </c>
      <c r="F1328" s="2">
        <v>2</v>
      </c>
      <c r="G1328" s="4">
        <v>3</v>
      </c>
      <c r="H1328" s="13"/>
      <c r="I1328" s="15"/>
      <c r="J1328" s="19">
        <v>2</v>
      </c>
      <c r="K1328" s="2" t="s">
        <v>2667</v>
      </c>
      <c r="L1328" s="11" t="str">
        <f t="shared" si="21"/>
        <v>Ver Imagen</v>
      </c>
      <c r="M1328" t="s">
        <v>15</v>
      </c>
    </row>
    <row r="1329" spans="1:13" x14ac:dyDescent="0.25">
      <c r="A1329">
        <v>1328</v>
      </c>
      <c r="B1329" t="s">
        <v>2668</v>
      </c>
      <c r="C1329" s="1">
        <v>37.240654813100001</v>
      </c>
      <c r="D1329" s="1">
        <v>-7.1286041167</v>
      </c>
      <c r="E1329" s="3">
        <v>2</v>
      </c>
      <c r="F1329" s="2">
        <v>2</v>
      </c>
      <c r="G1329" s="4">
        <v>3</v>
      </c>
      <c r="H1329" s="13"/>
      <c r="I1329" s="15"/>
      <c r="J1329" s="19">
        <v>2</v>
      </c>
      <c r="K1329" s="2" t="s">
        <v>2669</v>
      </c>
      <c r="L1329" s="11" t="str">
        <f t="shared" si="21"/>
        <v>Ver Imagen</v>
      </c>
      <c r="M1329" t="s">
        <v>15</v>
      </c>
    </row>
    <row r="1330" spans="1:13" x14ac:dyDescent="0.25">
      <c r="A1330">
        <v>1329</v>
      </c>
      <c r="B1330" t="s">
        <v>2670</v>
      </c>
      <c r="C1330" s="1">
        <v>37.240446498799997</v>
      </c>
      <c r="D1330" s="1">
        <v>-7.1285981417000004</v>
      </c>
      <c r="E1330" s="3">
        <v>2</v>
      </c>
      <c r="F1330" s="2">
        <v>1</v>
      </c>
      <c r="G1330" s="4">
        <v>2</v>
      </c>
      <c r="H1330" s="13"/>
      <c r="I1330" s="15"/>
      <c r="J1330" s="19">
        <v>2</v>
      </c>
      <c r="K1330" s="2" t="s">
        <v>2671</v>
      </c>
      <c r="L1330" s="11" t="str">
        <f t="shared" si="21"/>
        <v>Ver Imagen</v>
      </c>
      <c r="M1330" t="s">
        <v>15</v>
      </c>
    </row>
    <row r="1331" spans="1:13" x14ac:dyDescent="0.25">
      <c r="A1331">
        <v>1330</v>
      </c>
      <c r="B1331" t="s">
        <v>2672</v>
      </c>
      <c r="C1331" s="1">
        <v>37.240269337000001</v>
      </c>
      <c r="D1331" s="1">
        <v>-7.1285871746899998</v>
      </c>
      <c r="E1331" s="3">
        <v>2</v>
      </c>
      <c r="F1331" s="2">
        <v>1</v>
      </c>
      <c r="G1331" s="4">
        <v>2</v>
      </c>
      <c r="H1331" s="13"/>
      <c r="I1331" s="15"/>
      <c r="J1331" s="19">
        <v>2</v>
      </c>
      <c r="K1331" s="2" t="s">
        <v>2673</v>
      </c>
      <c r="L1331" s="11" t="str">
        <f t="shared" si="21"/>
        <v>Ver Imagen</v>
      </c>
      <c r="M1331" t="s">
        <v>15</v>
      </c>
    </row>
    <row r="1332" spans="1:13" x14ac:dyDescent="0.25">
      <c r="A1332">
        <v>1331</v>
      </c>
      <c r="B1332" t="s">
        <v>2674</v>
      </c>
      <c r="C1332" s="1">
        <v>37.238229336499998</v>
      </c>
      <c r="D1332" s="1">
        <v>-7.12839815304</v>
      </c>
      <c r="E1332" s="3">
        <v>2</v>
      </c>
      <c r="F1332" s="2">
        <v>3</v>
      </c>
      <c r="G1332" s="4">
        <v>2</v>
      </c>
      <c r="H1332" s="13"/>
      <c r="I1332" s="15"/>
      <c r="J1332" s="19">
        <v>2</v>
      </c>
      <c r="K1332" s="2" t="s">
        <v>2675</v>
      </c>
      <c r="L1332" s="11" t="str">
        <f t="shared" si="21"/>
        <v>Ver Imagen</v>
      </c>
      <c r="M1332" t="s">
        <v>15</v>
      </c>
    </row>
    <row r="1333" spans="1:13" x14ac:dyDescent="0.25">
      <c r="A1333">
        <v>1332</v>
      </c>
      <c r="B1333" t="s">
        <v>2676</v>
      </c>
      <c r="C1333" s="1">
        <v>37.236593548000002</v>
      </c>
      <c r="D1333" s="1">
        <v>-7.1282417973800003</v>
      </c>
      <c r="E1333" s="3">
        <v>2</v>
      </c>
      <c r="F1333" s="2">
        <v>2</v>
      </c>
      <c r="G1333" s="4">
        <v>3</v>
      </c>
      <c r="H1333" s="13"/>
      <c r="I1333" s="15"/>
      <c r="J1333" s="19">
        <v>2</v>
      </c>
      <c r="K1333" s="2" t="s">
        <v>2677</v>
      </c>
      <c r="L1333" s="11" t="str">
        <f t="shared" si="21"/>
        <v>Ver Imagen</v>
      </c>
      <c r="M1333" t="s">
        <v>15</v>
      </c>
    </row>
    <row r="1334" spans="1:13" x14ac:dyDescent="0.25">
      <c r="A1334">
        <v>1333</v>
      </c>
      <c r="B1334" t="s">
        <v>2678</v>
      </c>
      <c r="C1334" s="1">
        <v>37.236396004600003</v>
      </c>
      <c r="D1334" s="1">
        <v>-7.1282243938700001</v>
      </c>
      <c r="E1334" s="3">
        <v>2</v>
      </c>
      <c r="F1334" s="2">
        <v>2</v>
      </c>
      <c r="G1334" s="4">
        <v>3</v>
      </c>
      <c r="H1334" s="13"/>
      <c r="I1334" s="15"/>
      <c r="J1334" s="19">
        <v>2</v>
      </c>
      <c r="K1334" s="2" t="s">
        <v>2679</v>
      </c>
      <c r="L1334" s="11" t="str">
        <f t="shared" si="21"/>
        <v>Ver Imagen</v>
      </c>
      <c r="M1334" t="s">
        <v>15</v>
      </c>
    </row>
    <row r="1335" spans="1:13" x14ac:dyDescent="0.25">
      <c r="A1335">
        <v>1334</v>
      </c>
      <c r="B1335" t="s">
        <v>2680</v>
      </c>
      <c r="C1335" s="1">
        <v>37.236220794200001</v>
      </c>
      <c r="D1335" s="1">
        <v>-7.1282078211000002</v>
      </c>
      <c r="E1335" s="3">
        <v>2</v>
      </c>
      <c r="F1335" s="2">
        <v>2</v>
      </c>
      <c r="G1335" s="4">
        <v>3</v>
      </c>
      <c r="H1335" s="13"/>
      <c r="I1335" s="15"/>
      <c r="J1335" s="19">
        <v>2</v>
      </c>
      <c r="K1335" s="2" t="s">
        <v>2681</v>
      </c>
      <c r="L1335" s="11" t="str">
        <f t="shared" si="21"/>
        <v>Ver Imagen</v>
      </c>
      <c r="M1335" t="s">
        <v>15</v>
      </c>
    </row>
    <row r="1336" spans="1:13" x14ac:dyDescent="0.25">
      <c r="A1336">
        <v>1335</v>
      </c>
      <c r="B1336" t="s">
        <v>2682</v>
      </c>
      <c r="C1336" s="1">
        <v>37.234630404900003</v>
      </c>
      <c r="D1336" s="1">
        <v>-7.1278015877299996</v>
      </c>
      <c r="E1336" s="3">
        <v>2</v>
      </c>
      <c r="F1336" s="2">
        <v>2</v>
      </c>
      <c r="G1336" s="4">
        <v>3</v>
      </c>
      <c r="H1336" s="13"/>
      <c r="I1336" s="15"/>
      <c r="J1336" s="19">
        <v>2</v>
      </c>
      <c r="K1336" s="2" t="s">
        <v>2683</v>
      </c>
      <c r="L1336" s="11" t="str">
        <f t="shared" si="21"/>
        <v>Ver Imagen</v>
      </c>
      <c r="M1336" t="s">
        <v>15</v>
      </c>
    </row>
    <row r="1337" spans="1:13" x14ac:dyDescent="0.25">
      <c r="A1337">
        <v>1336</v>
      </c>
      <c r="B1337" t="s">
        <v>2684</v>
      </c>
      <c r="C1337" s="1">
        <v>37.232857590099997</v>
      </c>
      <c r="D1337" s="1">
        <v>-7.1272229003299996</v>
      </c>
      <c r="E1337" s="3">
        <v>1</v>
      </c>
      <c r="F1337" s="2">
        <v>2</v>
      </c>
      <c r="G1337" s="4">
        <v>2</v>
      </c>
      <c r="H1337" s="13"/>
      <c r="I1337" s="15"/>
      <c r="J1337" s="19">
        <v>2</v>
      </c>
      <c r="K1337" s="2" t="s">
        <v>2685</v>
      </c>
      <c r="L1337" s="11" t="str">
        <f t="shared" si="21"/>
        <v>Ver Imagen</v>
      </c>
      <c r="M1337" t="s">
        <v>15</v>
      </c>
    </row>
    <row r="1338" spans="1:13" x14ac:dyDescent="0.25">
      <c r="A1338">
        <v>1337</v>
      </c>
      <c r="B1338" t="s">
        <v>2686</v>
      </c>
      <c r="C1338" s="1">
        <v>37.229448869400002</v>
      </c>
      <c r="D1338" s="1">
        <v>-7.1269081240699999</v>
      </c>
      <c r="E1338" s="3">
        <v>2</v>
      </c>
      <c r="F1338" s="2">
        <v>2</v>
      </c>
      <c r="G1338" s="4">
        <v>3</v>
      </c>
      <c r="H1338" s="13"/>
      <c r="I1338" s="15"/>
      <c r="J1338" s="19">
        <v>2</v>
      </c>
      <c r="K1338" s="2" t="s">
        <v>2687</v>
      </c>
      <c r="L1338" s="11" t="str">
        <f t="shared" si="21"/>
        <v>Ver Imagen</v>
      </c>
      <c r="M1338" t="s">
        <v>15</v>
      </c>
    </row>
    <row r="1339" spans="1:13" x14ac:dyDescent="0.25">
      <c r="A1339">
        <v>1338</v>
      </c>
      <c r="B1339" t="s">
        <v>2688</v>
      </c>
      <c r="C1339" s="1">
        <v>37.226098194199999</v>
      </c>
      <c r="D1339" s="1">
        <v>-7.1261101478300004</v>
      </c>
      <c r="E1339" s="3">
        <v>2</v>
      </c>
      <c r="F1339" s="2">
        <v>3</v>
      </c>
      <c r="G1339" s="4">
        <v>2</v>
      </c>
      <c r="H1339" s="13"/>
      <c r="I1339" s="15"/>
      <c r="J1339" s="19">
        <v>2</v>
      </c>
      <c r="K1339" s="2" t="s">
        <v>2689</v>
      </c>
      <c r="L1339" s="11" t="str">
        <f t="shared" si="21"/>
        <v>Ver Imagen</v>
      </c>
      <c r="M1339" t="s">
        <v>15</v>
      </c>
    </row>
    <row r="1340" spans="1:13" x14ac:dyDescent="0.25">
      <c r="A1340">
        <v>1339</v>
      </c>
      <c r="B1340" t="s">
        <v>2690</v>
      </c>
      <c r="C1340" s="1">
        <v>37.224549491600001</v>
      </c>
      <c r="D1340" s="1">
        <v>-7.1255568135000003</v>
      </c>
      <c r="E1340" s="3">
        <v>3</v>
      </c>
      <c r="F1340" s="2">
        <v>2</v>
      </c>
      <c r="G1340" s="4">
        <v>2</v>
      </c>
      <c r="H1340" s="13"/>
      <c r="I1340" s="15"/>
      <c r="J1340" s="19">
        <v>2</v>
      </c>
      <c r="K1340" s="2" t="s">
        <v>2691</v>
      </c>
      <c r="L1340" s="11" t="str">
        <f t="shared" si="21"/>
        <v>Ver Imagen</v>
      </c>
      <c r="M1340" t="s">
        <v>15</v>
      </c>
    </row>
    <row r="1341" spans="1:13" x14ac:dyDescent="0.25">
      <c r="A1341">
        <v>1340</v>
      </c>
      <c r="B1341" t="s">
        <v>2692</v>
      </c>
      <c r="C1341" s="1">
        <v>37.222578789499998</v>
      </c>
      <c r="D1341" s="1">
        <v>-7.1250316526099997</v>
      </c>
      <c r="E1341" s="3">
        <v>2</v>
      </c>
      <c r="F1341" s="2">
        <v>2</v>
      </c>
      <c r="G1341" s="4">
        <v>3</v>
      </c>
      <c r="H1341" s="13"/>
      <c r="I1341" s="15"/>
      <c r="J1341" s="19">
        <v>2</v>
      </c>
      <c r="K1341" s="2" t="s">
        <v>2693</v>
      </c>
      <c r="L1341" s="11" t="str">
        <f t="shared" si="21"/>
        <v>Ver Imagen</v>
      </c>
      <c r="M1341" t="s">
        <v>15</v>
      </c>
    </row>
    <row r="1342" spans="1:13" x14ac:dyDescent="0.25">
      <c r="A1342">
        <v>1341</v>
      </c>
      <c r="B1342" t="s">
        <v>2694</v>
      </c>
      <c r="C1342" s="1">
        <v>37.220334166500002</v>
      </c>
      <c r="D1342" s="1">
        <v>-7.1257885240199998</v>
      </c>
      <c r="E1342" s="3">
        <v>2</v>
      </c>
      <c r="F1342" s="2">
        <v>2</v>
      </c>
      <c r="G1342" s="4">
        <v>3</v>
      </c>
      <c r="H1342" s="13"/>
      <c r="I1342" s="15"/>
      <c r="J1342" s="19">
        <v>2</v>
      </c>
      <c r="K1342" s="2" t="s">
        <v>2695</v>
      </c>
      <c r="L1342" s="11" t="str">
        <f t="shared" si="21"/>
        <v>Ver Imagen</v>
      </c>
      <c r="M1342" t="s">
        <v>15</v>
      </c>
    </row>
    <row r="1343" spans="1:13" x14ac:dyDescent="0.25">
      <c r="A1343">
        <v>1342</v>
      </c>
      <c r="B1343" t="s">
        <v>2696</v>
      </c>
      <c r="C1343" s="1">
        <v>37.220107362900002</v>
      </c>
      <c r="D1343" s="1">
        <v>-7.1258171107099999</v>
      </c>
      <c r="E1343" s="3">
        <v>2</v>
      </c>
      <c r="F1343" s="2">
        <v>2</v>
      </c>
      <c r="G1343" s="4">
        <v>3</v>
      </c>
      <c r="H1343" s="13"/>
      <c r="I1343" s="15"/>
      <c r="J1343" s="19">
        <v>2</v>
      </c>
      <c r="K1343" s="2" t="s">
        <v>2697</v>
      </c>
      <c r="L1343" s="11" t="str">
        <f t="shared" si="21"/>
        <v>Ver Imagen</v>
      </c>
      <c r="M1343" t="s">
        <v>15</v>
      </c>
    </row>
    <row r="1344" spans="1:13" x14ac:dyDescent="0.25">
      <c r="A1344">
        <v>1343</v>
      </c>
      <c r="B1344" t="s">
        <v>2698</v>
      </c>
      <c r="C1344" s="1">
        <v>37.219923795600003</v>
      </c>
      <c r="D1344" s="1">
        <v>-7.1258405084899996</v>
      </c>
      <c r="E1344" s="3">
        <v>2</v>
      </c>
      <c r="F1344" s="2">
        <v>2</v>
      </c>
      <c r="G1344" s="4">
        <v>3</v>
      </c>
      <c r="H1344" s="13"/>
      <c r="I1344" s="15"/>
      <c r="J1344" s="19">
        <v>2</v>
      </c>
      <c r="K1344" s="2" t="s">
        <v>2699</v>
      </c>
      <c r="L1344" s="11" t="str">
        <f t="shared" si="21"/>
        <v>Ver Imagen</v>
      </c>
      <c r="M1344" t="s">
        <v>15</v>
      </c>
    </row>
    <row r="1345" spans="1:13" x14ac:dyDescent="0.25">
      <c r="A1345">
        <v>1344</v>
      </c>
      <c r="B1345" t="s">
        <v>2700</v>
      </c>
      <c r="C1345" s="1">
        <v>37.219730204599998</v>
      </c>
      <c r="D1345" s="1">
        <v>-7.1258656388499997</v>
      </c>
      <c r="E1345" s="3">
        <v>2</v>
      </c>
      <c r="F1345" s="2">
        <v>2</v>
      </c>
      <c r="G1345" s="4">
        <v>3</v>
      </c>
      <c r="H1345" s="13"/>
      <c r="I1345" s="15"/>
      <c r="J1345" s="19">
        <v>2</v>
      </c>
      <c r="K1345" s="2" t="s">
        <v>2701</v>
      </c>
      <c r="L1345" s="11" t="str">
        <f t="shared" si="21"/>
        <v>Ver Imagen</v>
      </c>
      <c r="M1345" t="s">
        <v>15</v>
      </c>
    </row>
    <row r="1346" spans="1:13" x14ac:dyDescent="0.25">
      <c r="A1346">
        <v>1345</v>
      </c>
      <c r="B1346" t="s">
        <v>2702</v>
      </c>
      <c r="C1346" s="1">
        <v>37.219531610099999</v>
      </c>
      <c r="D1346" s="1">
        <v>-7.1258922370600004</v>
      </c>
      <c r="E1346" s="3">
        <v>2</v>
      </c>
      <c r="F1346" s="2">
        <v>2</v>
      </c>
      <c r="G1346" s="4">
        <v>3</v>
      </c>
      <c r="H1346" s="13"/>
      <c r="I1346" s="15"/>
      <c r="J1346" s="19">
        <v>2</v>
      </c>
      <c r="K1346" s="2" t="s">
        <v>2703</v>
      </c>
      <c r="L1346" s="11" t="str">
        <f t="shared" si="21"/>
        <v>Ver Imagen</v>
      </c>
      <c r="M1346" t="s">
        <v>15</v>
      </c>
    </row>
    <row r="1347" spans="1:13" x14ac:dyDescent="0.25">
      <c r="A1347">
        <v>1346</v>
      </c>
      <c r="B1347" t="s">
        <v>2704</v>
      </c>
      <c r="C1347" s="1">
        <v>37.443057675200002</v>
      </c>
      <c r="D1347" s="1">
        <v>-7.0946079797000001</v>
      </c>
      <c r="E1347" s="3">
        <v>3</v>
      </c>
      <c r="F1347" s="2">
        <v>2</v>
      </c>
      <c r="G1347" s="4">
        <v>2</v>
      </c>
      <c r="H1347" s="13"/>
      <c r="I1347" s="15"/>
      <c r="J1347" s="19">
        <v>2</v>
      </c>
      <c r="K1347" s="2" t="s">
        <v>2705</v>
      </c>
      <c r="L1347" s="11" t="str">
        <f t="shared" ref="L1347:L1410" si="22">HYPERLINK("2\1\" &amp; K1347, "Ver Imagen")</f>
        <v>Ver Imagen</v>
      </c>
      <c r="M1347" t="s">
        <v>15</v>
      </c>
    </row>
    <row r="1348" spans="1:13" x14ac:dyDescent="0.25">
      <c r="A1348">
        <v>1347</v>
      </c>
      <c r="B1348" t="s">
        <v>2706</v>
      </c>
      <c r="C1348" s="1">
        <v>37.442972021000003</v>
      </c>
      <c r="D1348" s="1">
        <v>-7.0943835917199998</v>
      </c>
      <c r="E1348" s="3">
        <v>2</v>
      </c>
      <c r="F1348" s="2">
        <v>2</v>
      </c>
      <c r="G1348" s="4">
        <v>1</v>
      </c>
      <c r="H1348" s="13"/>
      <c r="I1348" s="15"/>
      <c r="J1348" s="19">
        <v>2</v>
      </c>
      <c r="K1348" s="2" t="s">
        <v>2707</v>
      </c>
      <c r="L1348" s="11" t="str">
        <f t="shared" si="22"/>
        <v>Ver Imagen</v>
      </c>
      <c r="M1348" t="s">
        <v>15</v>
      </c>
    </row>
    <row r="1349" spans="1:13" x14ac:dyDescent="0.25">
      <c r="A1349">
        <v>1348</v>
      </c>
      <c r="B1349" t="s">
        <v>2708</v>
      </c>
      <c r="C1349" s="1">
        <v>37.442788142399998</v>
      </c>
      <c r="D1349" s="1">
        <v>-7.0939032054000002</v>
      </c>
      <c r="E1349" s="3">
        <v>3</v>
      </c>
      <c r="F1349" s="2">
        <v>2</v>
      </c>
      <c r="G1349" s="4">
        <v>2</v>
      </c>
      <c r="H1349" s="13"/>
      <c r="I1349" s="15"/>
      <c r="J1349" s="19">
        <v>2</v>
      </c>
      <c r="K1349" s="2" t="s">
        <v>2709</v>
      </c>
      <c r="L1349" s="11" t="str">
        <f t="shared" si="22"/>
        <v>Ver Imagen</v>
      </c>
      <c r="M1349" t="s">
        <v>15</v>
      </c>
    </row>
    <row r="1350" spans="1:13" x14ac:dyDescent="0.25">
      <c r="A1350">
        <v>1349</v>
      </c>
      <c r="B1350" t="s">
        <v>2710</v>
      </c>
      <c r="C1350" s="1">
        <v>37.442180223900003</v>
      </c>
      <c r="D1350" s="1">
        <v>-7.0923454652600002</v>
      </c>
      <c r="E1350" s="3">
        <v>3</v>
      </c>
      <c r="F1350" s="2">
        <v>2</v>
      </c>
      <c r="G1350" s="4">
        <v>2</v>
      </c>
      <c r="H1350" s="13"/>
      <c r="I1350" s="15"/>
      <c r="J1350" s="19">
        <v>2</v>
      </c>
      <c r="K1350" s="2" t="s">
        <v>2711</v>
      </c>
      <c r="L1350" s="11" t="str">
        <f t="shared" si="22"/>
        <v>Ver Imagen</v>
      </c>
      <c r="M1350" t="s">
        <v>15</v>
      </c>
    </row>
    <row r="1351" spans="1:13" x14ac:dyDescent="0.25">
      <c r="A1351">
        <v>1350</v>
      </c>
      <c r="B1351" t="s">
        <v>2712</v>
      </c>
      <c r="C1351" s="1">
        <v>37.435450972399998</v>
      </c>
      <c r="D1351" s="1">
        <v>-7.0760760321499996</v>
      </c>
      <c r="E1351" s="3">
        <v>2</v>
      </c>
      <c r="F1351" s="2">
        <v>2</v>
      </c>
      <c r="G1351" s="4">
        <v>1</v>
      </c>
      <c r="H1351" s="13"/>
      <c r="I1351" s="15"/>
      <c r="J1351" s="19">
        <v>2</v>
      </c>
      <c r="K1351" s="2" t="s">
        <v>2713</v>
      </c>
      <c r="L1351" s="11" t="str">
        <f t="shared" si="22"/>
        <v>Ver Imagen</v>
      </c>
      <c r="M1351" t="s">
        <v>15</v>
      </c>
    </row>
    <row r="1352" spans="1:13" x14ac:dyDescent="0.25">
      <c r="A1352">
        <v>1351</v>
      </c>
      <c r="B1352" t="s">
        <v>2714</v>
      </c>
      <c r="C1352" s="1">
        <v>37.221665444800003</v>
      </c>
      <c r="D1352" s="1">
        <v>-7.05474681884</v>
      </c>
      <c r="E1352" s="3">
        <v>3</v>
      </c>
      <c r="F1352" s="2">
        <v>2</v>
      </c>
      <c r="G1352" s="4">
        <v>2</v>
      </c>
      <c r="H1352" s="13"/>
      <c r="I1352" s="15"/>
      <c r="J1352" s="19">
        <v>2</v>
      </c>
      <c r="K1352" s="2" t="s">
        <v>2715</v>
      </c>
      <c r="L1352" s="11" t="str">
        <f t="shared" si="22"/>
        <v>Ver Imagen</v>
      </c>
      <c r="M1352" t="s">
        <v>15</v>
      </c>
    </row>
    <row r="1353" spans="1:13" x14ac:dyDescent="0.25">
      <c r="A1353">
        <v>1352</v>
      </c>
      <c r="B1353" t="s">
        <v>2716</v>
      </c>
      <c r="C1353" s="1">
        <v>37.221943708200001</v>
      </c>
      <c r="D1353" s="1">
        <v>-7.0551166509899996</v>
      </c>
      <c r="E1353" s="3">
        <v>3</v>
      </c>
      <c r="F1353" s="2">
        <v>2</v>
      </c>
      <c r="G1353" s="4">
        <v>2</v>
      </c>
      <c r="H1353" s="13"/>
      <c r="I1353" s="15"/>
      <c r="J1353" s="19">
        <v>2</v>
      </c>
      <c r="K1353" s="2" t="s">
        <v>2717</v>
      </c>
      <c r="L1353" s="11" t="str">
        <f t="shared" si="22"/>
        <v>Ver Imagen</v>
      </c>
      <c r="M1353" t="s">
        <v>15</v>
      </c>
    </row>
    <row r="1354" spans="1:13" x14ac:dyDescent="0.25">
      <c r="A1354">
        <v>1353</v>
      </c>
      <c r="B1354" t="s">
        <v>2718</v>
      </c>
      <c r="C1354" s="1">
        <v>37.222266726299999</v>
      </c>
      <c r="D1354" s="1">
        <v>-7.0554240151199998</v>
      </c>
      <c r="E1354" s="3">
        <v>2</v>
      </c>
      <c r="F1354" s="2">
        <v>3</v>
      </c>
      <c r="G1354" s="4">
        <v>2</v>
      </c>
      <c r="H1354" s="13"/>
      <c r="I1354" s="15"/>
      <c r="J1354" s="19">
        <v>2</v>
      </c>
      <c r="K1354" s="2" t="s">
        <v>2719</v>
      </c>
      <c r="L1354" s="11" t="str">
        <f t="shared" si="22"/>
        <v>Ver Imagen</v>
      </c>
      <c r="M1354" t="s">
        <v>15</v>
      </c>
    </row>
    <row r="1355" spans="1:13" x14ac:dyDescent="0.25">
      <c r="A1355">
        <v>1354</v>
      </c>
      <c r="B1355" t="s">
        <v>2720</v>
      </c>
      <c r="C1355" s="1">
        <v>37.223592357199998</v>
      </c>
      <c r="D1355" s="1">
        <v>-7.0560665011700001</v>
      </c>
      <c r="E1355" s="3">
        <v>3</v>
      </c>
      <c r="F1355" s="2">
        <v>2</v>
      </c>
      <c r="G1355" s="4">
        <v>2</v>
      </c>
      <c r="H1355" s="13"/>
      <c r="I1355" s="15"/>
      <c r="J1355" s="19">
        <v>2</v>
      </c>
      <c r="K1355" s="2" t="s">
        <v>2721</v>
      </c>
      <c r="L1355" s="11" t="str">
        <f t="shared" si="22"/>
        <v>Ver Imagen</v>
      </c>
      <c r="M1355" t="s">
        <v>15</v>
      </c>
    </row>
    <row r="1356" spans="1:13" x14ac:dyDescent="0.25">
      <c r="A1356">
        <v>1355</v>
      </c>
      <c r="B1356" t="s">
        <v>2722</v>
      </c>
      <c r="C1356" s="1">
        <v>37.2239589729</v>
      </c>
      <c r="D1356" s="1">
        <v>-7.0562687124599996</v>
      </c>
      <c r="E1356" s="3">
        <v>3</v>
      </c>
      <c r="F1356" s="2">
        <v>2</v>
      </c>
      <c r="G1356" s="4">
        <v>2</v>
      </c>
      <c r="H1356" s="13"/>
      <c r="I1356" s="15"/>
      <c r="J1356" s="19">
        <v>2</v>
      </c>
      <c r="K1356" s="2" t="s">
        <v>2723</v>
      </c>
      <c r="L1356" s="11" t="str">
        <f t="shared" si="22"/>
        <v>Ver Imagen</v>
      </c>
      <c r="M1356" t="s">
        <v>15</v>
      </c>
    </row>
    <row r="1357" spans="1:13" x14ac:dyDescent="0.25">
      <c r="A1357">
        <v>1356</v>
      </c>
      <c r="B1357" t="s">
        <v>2724</v>
      </c>
      <c r="C1357" s="1">
        <v>37.224408737600001</v>
      </c>
      <c r="D1357" s="1">
        <v>-7.0567346944400002</v>
      </c>
      <c r="E1357" s="3">
        <v>3</v>
      </c>
      <c r="F1357" s="2">
        <v>2</v>
      </c>
      <c r="G1357" s="4">
        <v>2</v>
      </c>
      <c r="H1357" s="13"/>
      <c r="I1357" s="15"/>
      <c r="J1357" s="19">
        <v>2</v>
      </c>
      <c r="K1357" s="2" t="s">
        <v>2725</v>
      </c>
      <c r="L1357" s="11" t="str">
        <f t="shared" si="22"/>
        <v>Ver Imagen</v>
      </c>
      <c r="M1357" t="s">
        <v>15</v>
      </c>
    </row>
    <row r="1358" spans="1:13" x14ac:dyDescent="0.25">
      <c r="A1358">
        <v>1357</v>
      </c>
      <c r="B1358" t="s">
        <v>2726</v>
      </c>
      <c r="C1358" s="1">
        <v>37.224546287999999</v>
      </c>
      <c r="D1358" s="1">
        <v>-7.0569482906900003</v>
      </c>
      <c r="E1358" s="3">
        <v>3</v>
      </c>
      <c r="F1358" s="2">
        <v>2</v>
      </c>
      <c r="G1358" s="4">
        <v>2</v>
      </c>
      <c r="H1358" s="13"/>
      <c r="I1358" s="15"/>
      <c r="J1358" s="19">
        <v>2</v>
      </c>
      <c r="K1358" s="2" t="s">
        <v>2727</v>
      </c>
      <c r="L1358" s="11" t="str">
        <f t="shared" si="22"/>
        <v>Ver Imagen</v>
      </c>
      <c r="M1358" t="s">
        <v>15</v>
      </c>
    </row>
    <row r="1359" spans="1:13" x14ac:dyDescent="0.25">
      <c r="A1359">
        <v>1358</v>
      </c>
      <c r="B1359" t="s">
        <v>2728</v>
      </c>
      <c r="C1359" s="1">
        <v>37.224667842700001</v>
      </c>
      <c r="D1359" s="1">
        <v>-7.0571488658200003</v>
      </c>
      <c r="E1359" s="3">
        <v>3</v>
      </c>
      <c r="F1359" s="2">
        <v>2</v>
      </c>
      <c r="G1359" s="4">
        <v>2</v>
      </c>
      <c r="H1359" s="13"/>
      <c r="I1359" s="15"/>
      <c r="J1359" s="19">
        <v>2</v>
      </c>
      <c r="K1359" s="2" t="s">
        <v>2729</v>
      </c>
      <c r="L1359" s="11" t="str">
        <f t="shared" si="22"/>
        <v>Ver Imagen</v>
      </c>
      <c r="M1359" t="s">
        <v>15</v>
      </c>
    </row>
    <row r="1360" spans="1:13" x14ac:dyDescent="0.25">
      <c r="A1360">
        <v>1359</v>
      </c>
      <c r="B1360" t="s">
        <v>2730</v>
      </c>
      <c r="C1360" s="1">
        <v>37.225275953500002</v>
      </c>
      <c r="D1360" s="1">
        <v>-7.0581731696499999</v>
      </c>
      <c r="E1360" s="3">
        <v>3</v>
      </c>
      <c r="F1360" s="2">
        <v>2</v>
      </c>
      <c r="G1360" s="4">
        <v>2</v>
      </c>
      <c r="H1360" s="13"/>
      <c r="I1360" s="15"/>
      <c r="J1360" s="19">
        <v>2</v>
      </c>
      <c r="K1360" s="2" t="s">
        <v>2731</v>
      </c>
      <c r="L1360" s="11" t="str">
        <f t="shared" si="22"/>
        <v>Ver Imagen</v>
      </c>
      <c r="M1360" t="s">
        <v>15</v>
      </c>
    </row>
    <row r="1361" spans="1:13" x14ac:dyDescent="0.25">
      <c r="A1361">
        <v>1360</v>
      </c>
      <c r="B1361" t="s">
        <v>2732</v>
      </c>
      <c r="C1361" s="1">
        <v>37.225879739500002</v>
      </c>
      <c r="D1361" s="1">
        <v>-7.0591956485300003</v>
      </c>
      <c r="E1361" s="3">
        <v>3</v>
      </c>
      <c r="F1361" s="2">
        <v>2</v>
      </c>
      <c r="G1361" s="4">
        <v>2</v>
      </c>
      <c r="H1361" s="13"/>
      <c r="I1361" s="15"/>
      <c r="J1361" s="19">
        <v>2</v>
      </c>
      <c r="K1361" s="2" t="s">
        <v>2733</v>
      </c>
      <c r="L1361" s="11" t="str">
        <f t="shared" si="22"/>
        <v>Ver Imagen</v>
      </c>
      <c r="M1361" t="s">
        <v>15</v>
      </c>
    </row>
    <row r="1362" spans="1:13" x14ac:dyDescent="0.25">
      <c r="A1362">
        <v>1361</v>
      </c>
      <c r="B1362" t="s">
        <v>2734</v>
      </c>
      <c r="C1362" s="1">
        <v>37.2260093071</v>
      </c>
      <c r="D1362" s="1">
        <v>-7.0594149235800003</v>
      </c>
      <c r="E1362" s="3">
        <v>3</v>
      </c>
      <c r="F1362" s="2">
        <v>2</v>
      </c>
      <c r="G1362" s="4">
        <v>2</v>
      </c>
      <c r="H1362" s="13"/>
      <c r="I1362" s="15"/>
      <c r="J1362" s="19">
        <v>2</v>
      </c>
      <c r="K1362" s="2" t="s">
        <v>2735</v>
      </c>
      <c r="L1362" s="11" t="str">
        <f t="shared" si="22"/>
        <v>Ver Imagen</v>
      </c>
      <c r="M1362" t="s">
        <v>15</v>
      </c>
    </row>
    <row r="1363" spans="1:13" x14ac:dyDescent="0.25">
      <c r="A1363">
        <v>1362</v>
      </c>
      <c r="B1363" t="s">
        <v>2736</v>
      </c>
      <c r="C1363" s="1">
        <v>37.2263609237</v>
      </c>
      <c r="D1363" s="1">
        <v>-7.06001298241</v>
      </c>
      <c r="E1363" s="3">
        <v>3</v>
      </c>
      <c r="F1363" s="2">
        <v>2</v>
      </c>
      <c r="G1363" s="4">
        <v>2</v>
      </c>
      <c r="H1363" s="13"/>
      <c r="I1363" s="15"/>
      <c r="J1363" s="19">
        <v>2</v>
      </c>
      <c r="K1363" s="2" t="s">
        <v>2737</v>
      </c>
      <c r="L1363" s="11" t="str">
        <f t="shared" si="22"/>
        <v>Ver Imagen</v>
      </c>
      <c r="M1363" t="s">
        <v>15</v>
      </c>
    </row>
    <row r="1364" spans="1:13" x14ac:dyDescent="0.25">
      <c r="A1364">
        <v>1363</v>
      </c>
      <c r="B1364" t="s">
        <v>2738</v>
      </c>
      <c r="C1364" s="1">
        <v>37.435030411699998</v>
      </c>
      <c r="D1364" s="1">
        <v>-7.0700298372199999</v>
      </c>
      <c r="E1364" s="3">
        <v>2</v>
      </c>
      <c r="F1364" s="2">
        <v>2</v>
      </c>
      <c r="G1364" s="4">
        <v>1</v>
      </c>
      <c r="H1364" s="13"/>
      <c r="I1364" s="15"/>
      <c r="J1364" s="19">
        <v>2</v>
      </c>
      <c r="K1364" s="2" t="s">
        <v>2739</v>
      </c>
      <c r="L1364" s="11" t="str">
        <f t="shared" si="22"/>
        <v>Ver Imagen</v>
      </c>
      <c r="M1364" t="s">
        <v>15</v>
      </c>
    </row>
    <row r="1365" spans="1:13" x14ac:dyDescent="0.25">
      <c r="A1365">
        <v>1364</v>
      </c>
      <c r="B1365" t="s">
        <v>2740</v>
      </c>
      <c r="C1365" s="1">
        <v>37.226485690700002</v>
      </c>
      <c r="D1365" s="1">
        <v>-7.06020976818</v>
      </c>
      <c r="E1365" s="3">
        <v>3</v>
      </c>
      <c r="F1365" s="2">
        <v>2</v>
      </c>
      <c r="G1365" s="4">
        <v>2</v>
      </c>
      <c r="H1365" s="13"/>
      <c r="I1365" s="15"/>
      <c r="J1365" s="19">
        <v>2</v>
      </c>
      <c r="K1365" s="2" t="s">
        <v>2741</v>
      </c>
      <c r="L1365" s="11" t="str">
        <f t="shared" si="22"/>
        <v>Ver Imagen</v>
      </c>
      <c r="M1365" t="s">
        <v>15</v>
      </c>
    </row>
    <row r="1366" spans="1:13" x14ac:dyDescent="0.25">
      <c r="A1366">
        <v>1365</v>
      </c>
      <c r="B1366" t="s">
        <v>2742</v>
      </c>
      <c r="C1366" s="1">
        <v>37.434822004700003</v>
      </c>
      <c r="D1366" s="1">
        <v>-7.0692395227100002</v>
      </c>
      <c r="E1366" s="3">
        <v>2</v>
      </c>
      <c r="F1366" s="2">
        <v>2</v>
      </c>
      <c r="G1366" s="4">
        <v>1</v>
      </c>
      <c r="H1366" s="13"/>
      <c r="I1366" s="15"/>
      <c r="J1366" s="19">
        <v>2</v>
      </c>
      <c r="K1366" s="2" t="s">
        <v>2743</v>
      </c>
      <c r="L1366" s="11" t="str">
        <f t="shared" si="22"/>
        <v>Ver Imagen</v>
      </c>
      <c r="M1366" t="s">
        <v>15</v>
      </c>
    </row>
    <row r="1367" spans="1:13" x14ac:dyDescent="0.25">
      <c r="A1367">
        <v>1366</v>
      </c>
      <c r="B1367" t="s">
        <v>2744</v>
      </c>
      <c r="C1367" s="1">
        <v>37.226945897199997</v>
      </c>
      <c r="D1367" s="1">
        <v>-7.0606799581099997</v>
      </c>
      <c r="E1367" s="3">
        <v>3</v>
      </c>
      <c r="F1367" s="2">
        <v>2</v>
      </c>
      <c r="G1367" s="4">
        <v>2</v>
      </c>
      <c r="H1367" s="13"/>
      <c r="I1367" s="15"/>
      <c r="J1367" s="19">
        <v>2</v>
      </c>
      <c r="K1367" s="2" t="s">
        <v>2745</v>
      </c>
      <c r="L1367" s="11" t="str">
        <f t="shared" si="22"/>
        <v>Ver Imagen</v>
      </c>
      <c r="M1367" t="s">
        <v>15</v>
      </c>
    </row>
    <row r="1368" spans="1:13" x14ac:dyDescent="0.25">
      <c r="A1368">
        <v>1367</v>
      </c>
      <c r="B1368" t="s">
        <v>2746</v>
      </c>
      <c r="C1368" s="1">
        <v>37.434680125100002</v>
      </c>
      <c r="D1368" s="1">
        <v>-7.0688053004900002</v>
      </c>
      <c r="E1368" s="3">
        <v>2</v>
      </c>
      <c r="F1368" s="2">
        <v>3</v>
      </c>
      <c r="G1368" s="4">
        <v>2</v>
      </c>
      <c r="H1368" s="13"/>
      <c r="I1368" s="15"/>
      <c r="J1368" s="19">
        <v>2</v>
      </c>
      <c r="K1368" s="2" t="s">
        <v>2747</v>
      </c>
      <c r="L1368" s="11" t="str">
        <f t="shared" si="22"/>
        <v>Ver Imagen</v>
      </c>
      <c r="M1368" t="s">
        <v>15</v>
      </c>
    </row>
    <row r="1369" spans="1:13" x14ac:dyDescent="0.25">
      <c r="A1369">
        <v>1368</v>
      </c>
      <c r="B1369" t="s">
        <v>2748</v>
      </c>
      <c r="C1369" s="1">
        <v>37.434596318600001</v>
      </c>
      <c r="D1369" s="1">
        <v>-7.0685782656300002</v>
      </c>
      <c r="E1369" s="3">
        <v>2</v>
      </c>
      <c r="F1369" s="2">
        <v>3</v>
      </c>
      <c r="G1369" s="4">
        <v>2</v>
      </c>
      <c r="H1369" s="13"/>
      <c r="I1369" s="15"/>
      <c r="J1369" s="19">
        <v>2</v>
      </c>
      <c r="K1369" s="2" t="s">
        <v>2749</v>
      </c>
      <c r="L1369" s="11" t="str">
        <f t="shared" si="22"/>
        <v>Ver Imagen</v>
      </c>
      <c r="M1369" t="s">
        <v>15</v>
      </c>
    </row>
    <row r="1370" spans="1:13" x14ac:dyDescent="0.25">
      <c r="A1370">
        <v>1369</v>
      </c>
      <c r="B1370" t="s">
        <v>2750</v>
      </c>
      <c r="C1370" s="1">
        <v>37.228201966900002</v>
      </c>
      <c r="D1370" s="1">
        <v>-7.0614550957600004</v>
      </c>
      <c r="E1370" s="3">
        <v>3</v>
      </c>
      <c r="F1370" s="2">
        <v>2</v>
      </c>
      <c r="G1370" s="4">
        <v>2</v>
      </c>
      <c r="H1370" s="13"/>
      <c r="I1370" s="15"/>
      <c r="J1370" s="19">
        <v>2</v>
      </c>
      <c r="K1370" s="2" t="s">
        <v>2751</v>
      </c>
      <c r="L1370" s="11" t="str">
        <f t="shared" si="22"/>
        <v>Ver Imagen</v>
      </c>
      <c r="M1370" t="s">
        <v>15</v>
      </c>
    </row>
    <row r="1371" spans="1:13" x14ac:dyDescent="0.25">
      <c r="A1371">
        <v>1370</v>
      </c>
      <c r="B1371" t="s">
        <v>2752</v>
      </c>
      <c r="C1371" s="1">
        <v>37.228352336100002</v>
      </c>
      <c r="D1371" s="1">
        <v>-7.0616245992</v>
      </c>
      <c r="E1371" s="3">
        <v>2</v>
      </c>
      <c r="F1371" s="2">
        <v>3</v>
      </c>
      <c r="G1371" s="4">
        <v>2</v>
      </c>
      <c r="H1371" s="13"/>
      <c r="I1371" s="15"/>
      <c r="J1371" s="19">
        <v>2</v>
      </c>
      <c r="K1371" s="2" t="s">
        <v>2753</v>
      </c>
      <c r="L1371" s="11" t="str">
        <f t="shared" si="22"/>
        <v>Ver Imagen</v>
      </c>
      <c r="M1371" t="s">
        <v>15</v>
      </c>
    </row>
    <row r="1372" spans="1:13" x14ac:dyDescent="0.25">
      <c r="A1372">
        <v>1371</v>
      </c>
      <c r="B1372" t="s">
        <v>2754</v>
      </c>
      <c r="C1372" s="1">
        <v>37.228498684199998</v>
      </c>
      <c r="D1372" s="1">
        <v>-7.0618008896099997</v>
      </c>
      <c r="E1372" s="3">
        <v>2</v>
      </c>
      <c r="F1372" s="2">
        <v>3</v>
      </c>
      <c r="G1372" s="4">
        <v>2</v>
      </c>
      <c r="H1372" s="13"/>
      <c r="I1372" s="15"/>
      <c r="J1372" s="19">
        <v>2</v>
      </c>
      <c r="K1372" s="2" t="s">
        <v>2755</v>
      </c>
      <c r="L1372" s="11" t="str">
        <f t="shared" si="22"/>
        <v>Ver Imagen</v>
      </c>
      <c r="M1372" t="s">
        <v>15</v>
      </c>
    </row>
    <row r="1373" spans="1:13" x14ac:dyDescent="0.25">
      <c r="A1373">
        <v>1372</v>
      </c>
      <c r="B1373" t="s">
        <v>2756</v>
      </c>
      <c r="C1373" s="1">
        <v>37.2307104064</v>
      </c>
      <c r="D1373" s="1">
        <v>-7.0633994360600001</v>
      </c>
      <c r="E1373" s="3">
        <v>3</v>
      </c>
      <c r="F1373" s="2">
        <v>2</v>
      </c>
      <c r="G1373" s="4">
        <v>2</v>
      </c>
      <c r="H1373" s="13"/>
      <c r="I1373" s="15"/>
      <c r="J1373" s="19">
        <v>2</v>
      </c>
      <c r="K1373" s="2" t="s">
        <v>2757</v>
      </c>
      <c r="L1373" s="11" t="str">
        <f t="shared" si="22"/>
        <v>Ver Imagen</v>
      </c>
      <c r="M1373" t="s">
        <v>15</v>
      </c>
    </row>
    <row r="1374" spans="1:13" x14ac:dyDescent="0.25">
      <c r="A1374">
        <v>1373</v>
      </c>
      <c r="B1374" t="s">
        <v>2758</v>
      </c>
      <c r="C1374" s="1">
        <v>37.231302969700003</v>
      </c>
      <c r="D1374" s="1">
        <v>-7.06357155254</v>
      </c>
      <c r="E1374" s="3">
        <v>3</v>
      </c>
      <c r="F1374" s="2">
        <v>2</v>
      </c>
      <c r="G1374" s="4">
        <v>2</v>
      </c>
      <c r="H1374" s="13"/>
      <c r="I1374" s="15"/>
      <c r="J1374" s="19">
        <v>2</v>
      </c>
      <c r="K1374" s="2" t="s">
        <v>2759</v>
      </c>
      <c r="L1374" s="11" t="str">
        <f t="shared" si="22"/>
        <v>Ver Imagen</v>
      </c>
      <c r="M1374" t="s">
        <v>15</v>
      </c>
    </row>
    <row r="1375" spans="1:13" x14ac:dyDescent="0.25">
      <c r="A1375">
        <v>1374</v>
      </c>
      <c r="B1375" t="s">
        <v>2760</v>
      </c>
      <c r="C1375" s="1">
        <v>37.232525841899999</v>
      </c>
      <c r="D1375" s="1">
        <v>-7.0648316359200001</v>
      </c>
      <c r="E1375" s="3">
        <v>3</v>
      </c>
      <c r="F1375" s="2">
        <v>2</v>
      </c>
      <c r="G1375" s="4">
        <v>2</v>
      </c>
      <c r="H1375" s="13"/>
      <c r="I1375" s="15"/>
      <c r="J1375" s="19">
        <v>2</v>
      </c>
      <c r="K1375" s="2" t="s">
        <v>2761</v>
      </c>
      <c r="L1375" s="11" t="str">
        <f t="shared" si="22"/>
        <v>Ver Imagen</v>
      </c>
      <c r="M1375" t="s">
        <v>15</v>
      </c>
    </row>
    <row r="1376" spans="1:13" x14ac:dyDescent="0.25">
      <c r="A1376">
        <v>1375</v>
      </c>
      <c r="B1376" t="s">
        <v>2762</v>
      </c>
      <c r="C1376" s="1">
        <v>37.232651187899997</v>
      </c>
      <c r="D1376" s="1">
        <v>-7.0650728211200002</v>
      </c>
      <c r="E1376" s="3">
        <v>3</v>
      </c>
      <c r="F1376" s="2">
        <v>2</v>
      </c>
      <c r="G1376" s="4">
        <v>2</v>
      </c>
      <c r="H1376" s="13"/>
      <c r="I1376" s="15"/>
      <c r="J1376" s="19">
        <v>2</v>
      </c>
      <c r="K1376" s="2" t="s">
        <v>2763</v>
      </c>
      <c r="L1376" s="11" t="str">
        <f t="shared" si="22"/>
        <v>Ver Imagen</v>
      </c>
      <c r="M1376" t="s">
        <v>15</v>
      </c>
    </row>
    <row r="1377" spans="1:13" x14ac:dyDescent="0.25">
      <c r="A1377">
        <v>1376</v>
      </c>
      <c r="B1377" t="s">
        <v>2764</v>
      </c>
      <c r="C1377" s="1">
        <v>37.233429902499999</v>
      </c>
      <c r="D1377" s="1">
        <v>-7.0661545707700002</v>
      </c>
      <c r="E1377" s="3">
        <v>2</v>
      </c>
      <c r="F1377" s="2">
        <v>1</v>
      </c>
      <c r="G1377" s="4">
        <v>2</v>
      </c>
      <c r="H1377" s="13"/>
      <c r="I1377" s="15"/>
      <c r="J1377" s="19">
        <v>2</v>
      </c>
      <c r="K1377" s="2" t="s">
        <v>2765</v>
      </c>
      <c r="L1377" s="11" t="str">
        <f t="shared" si="22"/>
        <v>Ver Imagen</v>
      </c>
      <c r="M1377" t="s">
        <v>15</v>
      </c>
    </row>
    <row r="1378" spans="1:13" x14ac:dyDescent="0.25">
      <c r="A1378">
        <v>1377</v>
      </c>
      <c r="B1378" t="s">
        <v>2766</v>
      </c>
      <c r="C1378" s="1">
        <v>37.225261250800003</v>
      </c>
      <c r="D1378" s="1">
        <v>-7.0280111610800002</v>
      </c>
      <c r="E1378" s="3">
        <v>3</v>
      </c>
      <c r="F1378" s="2">
        <v>2</v>
      </c>
      <c r="G1378" s="4">
        <v>2</v>
      </c>
      <c r="H1378" s="13"/>
      <c r="I1378" s="15"/>
      <c r="J1378" s="19">
        <v>2</v>
      </c>
      <c r="K1378" s="2" t="s">
        <v>2767</v>
      </c>
      <c r="L1378" s="11" t="str">
        <f t="shared" si="22"/>
        <v>Ver Imagen</v>
      </c>
      <c r="M1378" t="s">
        <v>15</v>
      </c>
    </row>
    <row r="1379" spans="1:13" x14ac:dyDescent="0.25">
      <c r="A1379">
        <v>1378</v>
      </c>
      <c r="B1379" t="s">
        <v>2768</v>
      </c>
      <c r="C1379" s="1">
        <v>37.225277564599999</v>
      </c>
      <c r="D1379" s="1">
        <v>-7.0282828686299998</v>
      </c>
      <c r="E1379" s="3">
        <v>2</v>
      </c>
      <c r="F1379" s="2">
        <v>3</v>
      </c>
      <c r="G1379" s="4">
        <v>2</v>
      </c>
      <c r="H1379" s="13"/>
      <c r="I1379" s="15"/>
      <c r="J1379" s="19">
        <v>2</v>
      </c>
      <c r="K1379" s="2" t="s">
        <v>2769</v>
      </c>
      <c r="L1379" s="11" t="str">
        <f t="shared" si="22"/>
        <v>Ver Imagen</v>
      </c>
      <c r="M1379" t="s">
        <v>15</v>
      </c>
    </row>
    <row r="1380" spans="1:13" x14ac:dyDescent="0.25">
      <c r="A1380">
        <v>1379</v>
      </c>
      <c r="B1380" t="s">
        <v>2770</v>
      </c>
      <c r="C1380" s="1">
        <v>37.432322808999999</v>
      </c>
      <c r="D1380" s="1">
        <v>-7.0635568947999996</v>
      </c>
      <c r="E1380" s="3">
        <v>2</v>
      </c>
      <c r="F1380" s="2">
        <v>3</v>
      </c>
      <c r="G1380" s="4">
        <v>2</v>
      </c>
      <c r="H1380" s="13"/>
      <c r="I1380" s="15"/>
      <c r="J1380" s="19">
        <v>2</v>
      </c>
      <c r="K1380" s="2" t="s">
        <v>2771</v>
      </c>
      <c r="L1380" s="11" t="str">
        <f t="shared" si="22"/>
        <v>Ver Imagen</v>
      </c>
      <c r="M1380" t="s">
        <v>15</v>
      </c>
    </row>
    <row r="1381" spans="1:13" x14ac:dyDescent="0.25">
      <c r="A1381">
        <v>1380</v>
      </c>
      <c r="B1381" t="s">
        <v>2772</v>
      </c>
      <c r="C1381" s="1">
        <v>37.2253330518</v>
      </c>
      <c r="D1381" s="1">
        <v>-7.0292856172900002</v>
      </c>
      <c r="E1381" s="3">
        <v>2</v>
      </c>
      <c r="F1381" s="2">
        <v>2</v>
      </c>
      <c r="G1381" s="4">
        <v>3</v>
      </c>
      <c r="H1381" s="13"/>
      <c r="I1381" s="15"/>
      <c r="J1381" s="19">
        <v>2</v>
      </c>
      <c r="K1381" s="2" t="s">
        <v>2773</v>
      </c>
      <c r="L1381" s="11" t="str">
        <f t="shared" si="22"/>
        <v>Ver Imagen</v>
      </c>
      <c r="M1381" t="s">
        <v>15</v>
      </c>
    </row>
    <row r="1382" spans="1:13" x14ac:dyDescent="0.25">
      <c r="A1382">
        <v>1381</v>
      </c>
      <c r="B1382" t="s">
        <v>2774</v>
      </c>
      <c r="C1382" s="1">
        <v>37.2253356262</v>
      </c>
      <c r="D1382" s="1">
        <v>-7.0305647389699999</v>
      </c>
      <c r="E1382" s="3">
        <v>2</v>
      </c>
      <c r="F1382" s="2">
        <v>1</v>
      </c>
      <c r="G1382" s="4">
        <v>2</v>
      </c>
      <c r="H1382" s="13"/>
      <c r="I1382" s="15"/>
      <c r="J1382" s="19">
        <v>2</v>
      </c>
      <c r="K1382" s="2" t="s">
        <v>2775</v>
      </c>
      <c r="L1382" s="11" t="str">
        <f t="shared" si="22"/>
        <v>Ver Imagen</v>
      </c>
      <c r="M1382" t="s">
        <v>15</v>
      </c>
    </row>
    <row r="1383" spans="1:13" x14ac:dyDescent="0.25">
      <c r="A1383">
        <v>1382</v>
      </c>
      <c r="B1383" t="s">
        <v>2776</v>
      </c>
      <c r="C1383" s="1">
        <v>37.432207825200003</v>
      </c>
      <c r="D1383" s="1">
        <v>-7.0633090344599996</v>
      </c>
      <c r="E1383" s="3">
        <v>2</v>
      </c>
      <c r="F1383" s="2">
        <v>3</v>
      </c>
      <c r="G1383" s="4">
        <v>2</v>
      </c>
      <c r="H1383" s="13"/>
      <c r="I1383" s="15"/>
      <c r="J1383" s="19">
        <v>2</v>
      </c>
      <c r="K1383" s="2" t="s">
        <v>2777</v>
      </c>
      <c r="L1383" s="11" t="str">
        <f t="shared" si="22"/>
        <v>Ver Imagen</v>
      </c>
      <c r="M1383" t="s">
        <v>15</v>
      </c>
    </row>
    <row r="1384" spans="1:13" x14ac:dyDescent="0.25">
      <c r="A1384">
        <v>1383</v>
      </c>
      <c r="B1384" t="s">
        <v>2778</v>
      </c>
      <c r="C1384" s="1">
        <v>37.2253189316</v>
      </c>
      <c r="D1384" s="1">
        <v>-7.0308041013300002</v>
      </c>
      <c r="E1384" s="3">
        <v>3</v>
      </c>
      <c r="F1384" s="2">
        <v>2</v>
      </c>
      <c r="G1384" s="4">
        <v>2</v>
      </c>
      <c r="H1384" s="13"/>
      <c r="I1384" s="15"/>
      <c r="J1384" s="19">
        <v>2</v>
      </c>
      <c r="K1384" s="2" t="s">
        <v>2779</v>
      </c>
      <c r="L1384" s="11" t="str">
        <f t="shared" si="22"/>
        <v>Ver Imagen</v>
      </c>
      <c r="M1384" t="s">
        <v>15</v>
      </c>
    </row>
    <row r="1385" spans="1:13" x14ac:dyDescent="0.25">
      <c r="A1385">
        <v>1384</v>
      </c>
      <c r="B1385" t="s">
        <v>2780</v>
      </c>
      <c r="C1385" s="1">
        <v>37.225104674000001</v>
      </c>
      <c r="D1385" s="1">
        <v>-7.03279515955</v>
      </c>
      <c r="E1385" s="3">
        <v>2</v>
      </c>
      <c r="F1385" s="2">
        <v>3</v>
      </c>
      <c r="G1385" s="4">
        <v>2</v>
      </c>
      <c r="H1385" s="13"/>
      <c r="I1385" s="15"/>
      <c r="J1385" s="19">
        <v>2</v>
      </c>
      <c r="K1385" s="2" t="s">
        <v>2781</v>
      </c>
      <c r="L1385" s="11" t="str">
        <f t="shared" si="22"/>
        <v>Ver Imagen</v>
      </c>
      <c r="M1385" t="s">
        <v>15</v>
      </c>
    </row>
    <row r="1386" spans="1:13" x14ac:dyDescent="0.25">
      <c r="A1386">
        <v>1385</v>
      </c>
      <c r="B1386" t="s">
        <v>2782</v>
      </c>
      <c r="C1386" s="1">
        <v>37.4320009793</v>
      </c>
      <c r="D1386" s="1">
        <v>-7.06285799618</v>
      </c>
      <c r="E1386" s="3">
        <v>2</v>
      </c>
      <c r="F1386" s="2">
        <v>2</v>
      </c>
      <c r="G1386" s="4">
        <v>3</v>
      </c>
      <c r="H1386" s="13"/>
      <c r="I1386" s="15"/>
      <c r="J1386" s="19">
        <v>2</v>
      </c>
      <c r="K1386" s="2" t="s">
        <v>2783</v>
      </c>
      <c r="L1386" s="11" t="str">
        <f t="shared" si="22"/>
        <v>Ver Imagen</v>
      </c>
      <c r="M1386" t="s">
        <v>15</v>
      </c>
    </row>
    <row r="1387" spans="1:13" x14ac:dyDescent="0.25">
      <c r="A1387">
        <v>1386</v>
      </c>
      <c r="B1387" t="s">
        <v>2784</v>
      </c>
      <c r="C1387" s="1">
        <v>37.4318020921</v>
      </c>
      <c r="D1387" s="1">
        <v>-7.0624246554600001</v>
      </c>
      <c r="E1387" s="3">
        <v>2</v>
      </c>
      <c r="F1387" s="2">
        <v>3</v>
      </c>
      <c r="G1387" s="4">
        <v>2</v>
      </c>
      <c r="H1387" s="13"/>
      <c r="I1387" s="15"/>
      <c r="J1387" s="19">
        <v>2</v>
      </c>
      <c r="K1387" s="2" t="s">
        <v>2785</v>
      </c>
      <c r="L1387" s="11" t="str">
        <f t="shared" si="22"/>
        <v>Ver Imagen</v>
      </c>
      <c r="M1387" t="s">
        <v>15</v>
      </c>
    </row>
    <row r="1388" spans="1:13" x14ac:dyDescent="0.25">
      <c r="A1388">
        <v>1387</v>
      </c>
      <c r="B1388" t="s">
        <v>2786</v>
      </c>
      <c r="C1388" s="1">
        <v>37.4315916053</v>
      </c>
      <c r="D1388" s="1">
        <v>-7.0619696738100002</v>
      </c>
      <c r="E1388" s="3">
        <v>2</v>
      </c>
      <c r="F1388" s="2">
        <v>2</v>
      </c>
      <c r="G1388" s="4">
        <v>3</v>
      </c>
      <c r="H1388" s="13"/>
      <c r="I1388" s="15"/>
      <c r="J1388" s="19">
        <v>2</v>
      </c>
      <c r="K1388" s="2" t="s">
        <v>2787</v>
      </c>
      <c r="L1388" s="11" t="str">
        <f t="shared" si="22"/>
        <v>Ver Imagen</v>
      </c>
      <c r="M1388" t="s">
        <v>15</v>
      </c>
    </row>
    <row r="1389" spans="1:13" x14ac:dyDescent="0.25">
      <c r="A1389">
        <v>1388</v>
      </c>
      <c r="B1389" t="s">
        <v>2788</v>
      </c>
      <c r="C1389" s="1">
        <v>37.224649484799997</v>
      </c>
      <c r="D1389" s="1">
        <v>-7.0379978317200003</v>
      </c>
      <c r="E1389" s="3">
        <v>2</v>
      </c>
      <c r="F1389" s="2">
        <v>3</v>
      </c>
      <c r="G1389" s="4">
        <v>2</v>
      </c>
      <c r="H1389" s="13"/>
      <c r="I1389" s="15"/>
      <c r="J1389" s="19">
        <v>2</v>
      </c>
      <c r="K1389" s="2" t="s">
        <v>2789</v>
      </c>
      <c r="L1389" s="11" t="str">
        <f t="shared" si="22"/>
        <v>Ver Imagen</v>
      </c>
      <c r="M1389" t="s">
        <v>15</v>
      </c>
    </row>
    <row r="1390" spans="1:13" x14ac:dyDescent="0.25">
      <c r="A1390">
        <v>1389</v>
      </c>
      <c r="B1390" t="s">
        <v>2790</v>
      </c>
      <c r="C1390" s="1">
        <v>37.224800946800002</v>
      </c>
      <c r="D1390" s="1">
        <v>-7.0392674196199998</v>
      </c>
      <c r="E1390" s="3">
        <v>2</v>
      </c>
      <c r="F1390" s="2">
        <v>3</v>
      </c>
      <c r="G1390" s="4">
        <v>2</v>
      </c>
      <c r="H1390" s="13"/>
      <c r="I1390" s="15"/>
      <c r="J1390" s="19">
        <v>2</v>
      </c>
      <c r="K1390" s="2" t="s">
        <v>2791</v>
      </c>
      <c r="L1390" s="11" t="str">
        <f t="shared" si="22"/>
        <v>Ver Imagen</v>
      </c>
      <c r="M1390" t="s">
        <v>15</v>
      </c>
    </row>
    <row r="1391" spans="1:13" x14ac:dyDescent="0.25">
      <c r="A1391">
        <v>1390</v>
      </c>
      <c r="B1391" t="s">
        <v>2792</v>
      </c>
      <c r="C1391" s="1">
        <v>37.224853658699999</v>
      </c>
      <c r="D1391" s="1">
        <v>-7.0395192382399996</v>
      </c>
      <c r="E1391" s="3">
        <v>2</v>
      </c>
      <c r="F1391" s="2">
        <v>3</v>
      </c>
      <c r="G1391" s="4">
        <v>2</v>
      </c>
      <c r="H1391" s="13"/>
      <c r="I1391" s="15"/>
      <c r="J1391" s="19">
        <v>2</v>
      </c>
      <c r="K1391" s="2" t="s">
        <v>2793</v>
      </c>
      <c r="L1391" s="11" t="str">
        <f t="shared" si="22"/>
        <v>Ver Imagen</v>
      </c>
      <c r="M1391" t="s">
        <v>15</v>
      </c>
    </row>
    <row r="1392" spans="1:13" x14ac:dyDescent="0.25">
      <c r="A1392">
        <v>1391</v>
      </c>
      <c r="B1392" t="s">
        <v>2794</v>
      </c>
      <c r="C1392" s="1">
        <v>37.226376881699998</v>
      </c>
      <c r="D1392" s="1">
        <v>-7.0436239219100001</v>
      </c>
      <c r="E1392" s="3">
        <v>2</v>
      </c>
      <c r="F1392" s="2">
        <v>3</v>
      </c>
      <c r="G1392" s="4">
        <v>2</v>
      </c>
      <c r="H1392" s="13"/>
      <c r="I1392" s="15"/>
      <c r="J1392" s="19">
        <v>2</v>
      </c>
      <c r="K1392" s="2" t="s">
        <v>2795</v>
      </c>
      <c r="L1392" s="11" t="str">
        <f t="shared" si="22"/>
        <v>Ver Imagen</v>
      </c>
      <c r="M1392" t="s">
        <v>15</v>
      </c>
    </row>
    <row r="1393" spans="1:13" x14ac:dyDescent="0.25">
      <c r="A1393">
        <v>1392</v>
      </c>
      <c r="B1393" t="s">
        <v>2796</v>
      </c>
      <c r="C1393" s="1">
        <v>37.226685519900002</v>
      </c>
      <c r="D1393" s="1">
        <v>-7.0442593430700002</v>
      </c>
      <c r="E1393" s="3">
        <v>2</v>
      </c>
      <c r="F1393" s="2">
        <v>1</v>
      </c>
      <c r="G1393" s="4">
        <v>2</v>
      </c>
      <c r="H1393" s="13"/>
      <c r="I1393" s="15"/>
      <c r="J1393" s="19">
        <v>2</v>
      </c>
      <c r="K1393" s="2" t="s">
        <v>2797</v>
      </c>
      <c r="L1393" s="11" t="str">
        <f t="shared" si="22"/>
        <v>Ver Imagen</v>
      </c>
      <c r="M1393" t="s">
        <v>15</v>
      </c>
    </row>
    <row r="1394" spans="1:13" x14ac:dyDescent="0.25">
      <c r="A1394">
        <v>1393</v>
      </c>
      <c r="B1394" t="s">
        <v>2798</v>
      </c>
      <c r="C1394" s="1">
        <v>37.226805799499999</v>
      </c>
      <c r="D1394" s="1">
        <v>-7.0444641579100002</v>
      </c>
      <c r="E1394" s="3">
        <v>2</v>
      </c>
      <c r="F1394" s="2">
        <v>3</v>
      </c>
      <c r="G1394" s="4">
        <v>2</v>
      </c>
      <c r="H1394" s="13"/>
      <c r="I1394" s="15"/>
      <c r="J1394" s="19">
        <v>2</v>
      </c>
      <c r="K1394" s="2" t="s">
        <v>2799</v>
      </c>
      <c r="L1394" s="11" t="str">
        <f t="shared" si="22"/>
        <v>Ver Imagen</v>
      </c>
      <c r="M1394" t="s">
        <v>15</v>
      </c>
    </row>
    <row r="1395" spans="1:13" x14ac:dyDescent="0.25">
      <c r="A1395">
        <v>1394</v>
      </c>
      <c r="B1395" t="s">
        <v>2800</v>
      </c>
      <c r="C1395" s="1">
        <v>37.229738924999999</v>
      </c>
      <c r="D1395" s="1">
        <v>-7.0482717458600002</v>
      </c>
      <c r="E1395" s="3">
        <v>2</v>
      </c>
      <c r="F1395" s="2">
        <v>2</v>
      </c>
      <c r="G1395" s="4">
        <v>3</v>
      </c>
      <c r="H1395" s="13"/>
      <c r="I1395" s="15"/>
      <c r="J1395" s="19">
        <v>2</v>
      </c>
      <c r="K1395" s="2" t="s">
        <v>2801</v>
      </c>
      <c r="L1395" s="11" t="str">
        <f t="shared" si="22"/>
        <v>Ver Imagen</v>
      </c>
      <c r="M1395" t="s">
        <v>15</v>
      </c>
    </row>
    <row r="1396" spans="1:13" x14ac:dyDescent="0.25">
      <c r="A1396">
        <v>1395</v>
      </c>
      <c r="B1396" t="s">
        <v>2802</v>
      </c>
      <c r="C1396" s="1">
        <v>37.2302235473</v>
      </c>
      <c r="D1396" s="1">
        <v>-7.0490783594100002</v>
      </c>
      <c r="E1396" s="3">
        <v>2</v>
      </c>
      <c r="F1396" s="2">
        <v>2</v>
      </c>
      <c r="G1396" s="4">
        <v>3</v>
      </c>
      <c r="H1396" s="13"/>
      <c r="I1396" s="15"/>
      <c r="J1396" s="19">
        <v>2</v>
      </c>
      <c r="K1396" s="2" t="s">
        <v>2803</v>
      </c>
      <c r="L1396" s="11" t="str">
        <f t="shared" si="22"/>
        <v>Ver Imagen</v>
      </c>
      <c r="M1396" t="s">
        <v>15</v>
      </c>
    </row>
    <row r="1397" spans="1:13" x14ac:dyDescent="0.25">
      <c r="A1397">
        <v>1396</v>
      </c>
      <c r="B1397" t="s">
        <v>2804</v>
      </c>
      <c r="C1397" s="1">
        <v>37.230721610800003</v>
      </c>
      <c r="D1397" s="1">
        <v>-7.04992142487</v>
      </c>
      <c r="E1397" s="3">
        <v>2</v>
      </c>
      <c r="F1397" s="2">
        <v>2</v>
      </c>
      <c r="G1397" s="4">
        <v>3</v>
      </c>
      <c r="H1397" s="13"/>
      <c r="I1397" s="15"/>
      <c r="J1397" s="19">
        <v>2</v>
      </c>
      <c r="K1397" s="2" t="s">
        <v>2805</v>
      </c>
      <c r="L1397" s="11" t="str">
        <f t="shared" si="22"/>
        <v>Ver Imagen</v>
      </c>
      <c r="M1397" t="s">
        <v>15</v>
      </c>
    </row>
    <row r="1398" spans="1:13" x14ac:dyDescent="0.25">
      <c r="A1398">
        <v>1397</v>
      </c>
      <c r="B1398" t="s">
        <v>2806</v>
      </c>
      <c r="C1398" s="1">
        <v>37.234310626599999</v>
      </c>
      <c r="D1398" s="1">
        <v>-7.0707793963099999</v>
      </c>
      <c r="E1398" s="3">
        <v>2</v>
      </c>
      <c r="F1398" s="2">
        <v>1</v>
      </c>
      <c r="G1398" s="4">
        <v>2</v>
      </c>
      <c r="H1398" s="13"/>
      <c r="I1398" s="15"/>
      <c r="J1398" s="19">
        <v>2</v>
      </c>
      <c r="K1398" s="2" t="s">
        <v>2807</v>
      </c>
      <c r="L1398" s="11" t="str">
        <f t="shared" si="22"/>
        <v>Ver Imagen</v>
      </c>
      <c r="M1398" t="s">
        <v>15</v>
      </c>
    </row>
    <row r="1399" spans="1:13" x14ac:dyDescent="0.25">
      <c r="A1399">
        <v>1398</v>
      </c>
      <c r="B1399" t="s">
        <v>2808</v>
      </c>
      <c r="C1399" s="1">
        <v>37.484610388500002</v>
      </c>
      <c r="D1399" s="1">
        <v>-7.1303936888099999</v>
      </c>
      <c r="E1399" s="3">
        <v>2</v>
      </c>
      <c r="F1399" s="2">
        <v>3</v>
      </c>
      <c r="G1399" s="4">
        <v>2</v>
      </c>
      <c r="H1399" s="13"/>
      <c r="I1399" s="15"/>
      <c r="J1399" s="19">
        <v>2</v>
      </c>
      <c r="K1399" s="2" t="s">
        <v>2809</v>
      </c>
      <c r="L1399" s="11" t="str">
        <f t="shared" si="22"/>
        <v>Ver Imagen</v>
      </c>
      <c r="M1399" t="s">
        <v>15</v>
      </c>
    </row>
    <row r="1400" spans="1:13" x14ac:dyDescent="0.25">
      <c r="A1400">
        <v>1399</v>
      </c>
      <c r="B1400" t="s">
        <v>2810</v>
      </c>
      <c r="C1400" s="1">
        <v>37.483485913599999</v>
      </c>
      <c r="D1400" s="1">
        <v>-7.1293714642400001</v>
      </c>
      <c r="E1400" s="3">
        <v>2</v>
      </c>
      <c r="F1400" s="2">
        <v>3</v>
      </c>
      <c r="G1400" s="4">
        <v>2</v>
      </c>
      <c r="H1400" s="13"/>
      <c r="I1400" s="15"/>
      <c r="J1400" s="19">
        <v>2</v>
      </c>
      <c r="K1400" s="2" t="s">
        <v>2811</v>
      </c>
      <c r="L1400" s="11" t="str">
        <f t="shared" si="22"/>
        <v>Ver Imagen</v>
      </c>
      <c r="M1400" t="s">
        <v>15</v>
      </c>
    </row>
    <row r="1401" spans="1:13" x14ac:dyDescent="0.25">
      <c r="A1401">
        <v>1400</v>
      </c>
      <c r="B1401" t="s">
        <v>2812</v>
      </c>
      <c r="C1401" s="1">
        <v>37.483313144299998</v>
      </c>
      <c r="D1401" s="1">
        <v>-7.1291944521500001</v>
      </c>
      <c r="E1401" s="3">
        <v>2</v>
      </c>
      <c r="F1401" s="2">
        <v>3</v>
      </c>
      <c r="G1401" s="4">
        <v>2</v>
      </c>
      <c r="H1401" s="13"/>
      <c r="I1401" s="15"/>
      <c r="J1401" s="19">
        <v>2</v>
      </c>
      <c r="K1401" s="2" t="s">
        <v>2813</v>
      </c>
      <c r="L1401" s="11" t="str">
        <f t="shared" si="22"/>
        <v>Ver Imagen</v>
      </c>
      <c r="M1401" t="s">
        <v>15</v>
      </c>
    </row>
    <row r="1402" spans="1:13" x14ac:dyDescent="0.25">
      <c r="A1402">
        <v>1401</v>
      </c>
      <c r="B1402" t="s">
        <v>2814</v>
      </c>
      <c r="C1402" s="1">
        <v>37.471130298299997</v>
      </c>
      <c r="D1402" s="1">
        <v>-7.1255106933399999</v>
      </c>
      <c r="E1402" s="3">
        <v>3</v>
      </c>
      <c r="F1402" s="2">
        <v>2</v>
      </c>
      <c r="G1402" s="4">
        <v>2</v>
      </c>
      <c r="H1402" s="13"/>
      <c r="I1402" s="15"/>
      <c r="J1402" s="19">
        <v>2</v>
      </c>
      <c r="K1402" s="2" t="s">
        <v>2815</v>
      </c>
      <c r="L1402" s="11" t="str">
        <f t="shared" si="22"/>
        <v>Ver Imagen</v>
      </c>
      <c r="M1402" t="s">
        <v>15</v>
      </c>
    </row>
    <row r="1403" spans="1:13" x14ac:dyDescent="0.25">
      <c r="A1403">
        <v>1402</v>
      </c>
      <c r="B1403" t="s">
        <v>2816</v>
      </c>
      <c r="C1403" s="1">
        <v>37.470256953499998</v>
      </c>
      <c r="D1403" s="1">
        <v>-7.1248238203699996</v>
      </c>
      <c r="E1403" s="3">
        <v>2</v>
      </c>
      <c r="F1403" s="2">
        <v>3</v>
      </c>
      <c r="G1403" s="4">
        <v>2</v>
      </c>
      <c r="H1403" s="13"/>
      <c r="I1403" s="15"/>
      <c r="J1403" s="19">
        <v>2</v>
      </c>
      <c r="K1403" s="2" t="s">
        <v>2817</v>
      </c>
      <c r="L1403" s="11" t="str">
        <f t="shared" si="22"/>
        <v>Ver Imagen</v>
      </c>
      <c r="M1403" t="s">
        <v>15</v>
      </c>
    </row>
    <row r="1404" spans="1:13" x14ac:dyDescent="0.25">
      <c r="A1404">
        <v>1403</v>
      </c>
      <c r="B1404" t="s">
        <v>2818</v>
      </c>
      <c r="C1404" s="1">
        <v>37.469905056800002</v>
      </c>
      <c r="D1404" s="1">
        <v>-7.12456641136</v>
      </c>
      <c r="E1404" s="3">
        <v>2</v>
      </c>
      <c r="F1404" s="2">
        <v>3</v>
      </c>
      <c r="G1404" s="4">
        <v>2</v>
      </c>
      <c r="H1404" s="13"/>
      <c r="I1404" s="15"/>
      <c r="J1404" s="19">
        <v>2</v>
      </c>
      <c r="K1404" s="2" t="s">
        <v>2819</v>
      </c>
      <c r="L1404" s="11" t="str">
        <f t="shared" si="22"/>
        <v>Ver Imagen</v>
      </c>
      <c r="M1404" t="s">
        <v>15</v>
      </c>
    </row>
    <row r="1405" spans="1:13" x14ac:dyDescent="0.25">
      <c r="A1405">
        <v>1404</v>
      </c>
      <c r="B1405" t="s">
        <v>2820</v>
      </c>
      <c r="C1405" s="1">
        <v>37.466985530000002</v>
      </c>
      <c r="D1405" s="1">
        <v>-7.1227991361200003</v>
      </c>
      <c r="E1405" s="3">
        <v>2</v>
      </c>
      <c r="F1405" s="2">
        <v>3</v>
      </c>
      <c r="G1405" s="4">
        <v>2</v>
      </c>
      <c r="H1405" s="13"/>
      <c r="I1405" s="15"/>
      <c r="J1405" s="19">
        <v>2</v>
      </c>
      <c r="K1405" s="2" t="s">
        <v>2821</v>
      </c>
      <c r="L1405" s="11" t="str">
        <f t="shared" si="22"/>
        <v>Ver Imagen</v>
      </c>
      <c r="M1405" t="s">
        <v>15</v>
      </c>
    </row>
    <row r="1406" spans="1:13" x14ac:dyDescent="0.25">
      <c r="A1406">
        <v>1405</v>
      </c>
      <c r="B1406" t="s">
        <v>2822</v>
      </c>
      <c r="C1406" s="1">
        <v>37.466778433899997</v>
      </c>
      <c r="D1406" s="1">
        <v>-7.1227521786199999</v>
      </c>
      <c r="E1406" s="3">
        <v>2</v>
      </c>
      <c r="F1406" s="2">
        <v>1</v>
      </c>
      <c r="G1406" s="4">
        <v>2</v>
      </c>
      <c r="H1406" s="13"/>
      <c r="I1406" s="15"/>
      <c r="J1406" s="19">
        <v>2</v>
      </c>
      <c r="K1406" s="2" t="s">
        <v>2823</v>
      </c>
      <c r="L1406" s="11" t="str">
        <f t="shared" si="22"/>
        <v>Ver Imagen</v>
      </c>
      <c r="M1406" t="s">
        <v>15</v>
      </c>
    </row>
    <row r="1407" spans="1:13" x14ac:dyDescent="0.25">
      <c r="A1407">
        <v>1406</v>
      </c>
      <c r="B1407" t="s">
        <v>2824</v>
      </c>
      <c r="C1407" s="1">
        <v>37.465616160499998</v>
      </c>
      <c r="D1407" s="1">
        <v>-7.1228731488000001</v>
      </c>
      <c r="E1407" s="3">
        <v>2</v>
      </c>
      <c r="F1407" s="2">
        <v>3</v>
      </c>
      <c r="G1407" s="4">
        <v>2</v>
      </c>
      <c r="H1407" s="13"/>
      <c r="I1407" s="15"/>
      <c r="J1407" s="19">
        <v>2</v>
      </c>
      <c r="K1407" s="2" t="s">
        <v>2825</v>
      </c>
      <c r="L1407" s="11" t="str">
        <f t="shared" si="22"/>
        <v>Ver Imagen</v>
      </c>
      <c r="M1407" t="s">
        <v>15</v>
      </c>
    </row>
    <row r="1408" spans="1:13" x14ac:dyDescent="0.25">
      <c r="A1408">
        <v>1407</v>
      </c>
      <c r="B1408" t="s">
        <v>2826</v>
      </c>
      <c r="C1408" s="1">
        <v>37.464503981999997</v>
      </c>
      <c r="D1408" s="1">
        <v>-7.12355161277</v>
      </c>
      <c r="E1408" s="3">
        <v>2</v>
      </c>
      <c r="F1408" s="2">
        <v>3</v>
      </c>
      <c r="G1408" s="4">
        <v>2</v>
      </c>
      <c r="H1408" s="13"/>
      <c r="I1408" s="15"/>
      <c r="J1408" s="19">
        <v>2</v>
      </c>
      <c r="K1408" s="2" t="s">
        <v>2827</v>
      </c>
      <c r="L1408" s="11" t="str">
        <f t="shared" si="22"/>
        <v>Ver Imagen</v>
      </c>
      <c r="M1408" t="s">
        <v>15</v>
      </c>
    </row>
    <row r="1409" spans="1:13" x14ac:dyDescent="0.25">
      <c r="A1409">
        <v>1408</v>
      </c>
      <c r="B1409" t="s">
        <v>2828</v>
      </c>
      <c r="C1409" s="1">
        <v>37.462774080499997</v>
      </c>
      <c r="D1409" s="1">
        <v>-7.1242066593700004</v>
      </c>
      <c r="E1409" s="3">
        <v>2</v>
      </c>
      <c r="F1409" s="2">
        <v>3</v>
      </c>
      <c r="G1409" s="4">
        <v>2</v>
      </c>
      <c r="H1409" s="13"/>
      <c r="I1409" s="15"/>
      <c r="J1409" s="19">
        <v>2</v>
      </c>
      <c r="K1409" s="2" t="s">
        <v>2829</v>
      </c>
      <c r="L1409" s="11" t="str">
        <f t="shared" si="22"/>
        <v>Ver Imagen</v>
      </c>
      <c r="M1409" t="s">
        <v>15</v>
      </c>
    </row>
    <row r="1410" spans="1:13" x14ac:dyDescent="0.25">
      <c r="A1410">
        <v>1409</v>
      </c>
      <c r="B1410" t="s">
        <v>2830</v>
      </c>
      <c r="C1410" s="1">
        <v>37.4625831846</v>
      </c>
      <c r="D1410" s="1">
        <v>-7.1242377620899999</v>
      </c>
      <c r="E1410" s="3">
        <v>2</v>
      </c>
      <c r="F1410" s="2">
        <v>3</v>
      </c>
      <c r="G1410" s="4">
        <v>2</v>
      </c>
      <c r="H1410" s="13"/>
      <c r="I1410" s="15"/>
      <c r="J1410" s="19">
        <v>2</v>
      </c>
      <c r="K1410" s="2" t="s">
        <v>2831</v>
      </c>
      <c r="L1410" s="11" t="str">
        <f t="shared" si="22"/>
        <v>Ver Imagen</v>
      </c>
      <c r="M1410" t="s">
        <v>15</v>
      </c>
    </row>
    <row r="1411" spans="1:13" x14ac:dyDescent="0.25">
      <c r="A1411">
        <v>1410</v>
      </c>
      <c r="B1411" t="s">
        <v>2832</v>
      </c>
      <c r="C1411" s="1">
        <v>37.461979460400002</v>
      </c>
      <c r="D1411" s="1">
        <v>-7.1243483975500004</v>
      </c>
      <c r="E1411" s="3">
        <v>2</v>
      </c>
      <c r="F1411" s="2">
        <v>3</v>
      </c>
      <c r="G1411" s="4">
        <v>2</v>
      </c>
      <c r="H1411" s="13"/>
      <c r="I1411" s="15"/>
      <c r="J1411" s="19">
        <v>2</v>
      </c>
      <c r="K1411" s="2" t="s">
        <v>2833</v>
      </c>
      <c r="L1411" s="11" t="str">
        <f t="shared" ref="L1411:L1474" si="23">HYPERLINK("2\1\" &amp; K1411, "Ver Imagen")</f>
        <v>Ver Imagen</v>
      </c>
      <c r="M1411" t="s">
        <v>15</v>
      </c>
    </row>
    <row r="1412" spans="1:13" x14ac:dyDescent="0.25">
      <c r="A1412">
        <v>1411</v>
      </c>
      <c r="B1412" t="s">
        <v>2834</v>
      </c>
      <c r="C1412" s="1">
        <v>37.4594262683</v>
      </c>
      <c r="D1412" s="1">
        <v>-7.1251035817600004</v>
      </c>
      <c r="E1412" s="3">
        <v>2</v>
      </c>
      <c r="F1412" s="2">
        <v>3</v>
      </c>
      <c r="G1412" s="4">
        <v>2</v>
      </c>
      <c r="H1412" s="13"/>
      <c r="I1412" s="15"/>
      <c r="J1412" s="19">
        <v>2</v>
      </c>
      <c r="K1412" s="2" t="s">
        <v>2835</v>
      </c>
      <c r="L1412" s="11" t="str">
        <f t="shared" si="23"/>
        <v>Ver Imagen</v>
      </c>
      <c r="M1412" t="s">
        <v>15</v>
      </c>
    </row>
    <row r="1413" spans="1:13" x14ac:dyDescent="0.25">
      <c r="A1413">
        <v>1412</v>
      </c>
      <c r="B1413" t="s">
        <v>2836</v>
      </c>
      <c r="C1413" s="1">
        <v>37.457654773599998</v>
      </c>
      <c r="D1413" s="1">
        <v>-7.1257480584600001</v>
      </c>
      <c r="E1413" s="3">
        <v>2</v>
      </c>
      <c r="F1413" s="2">
        <v>1</v>
      </c>
      <c r="G1413" s="4">
        <v>2</v>
      </c>
      <c r="H1413" s="13"/>
      <c r="I1413" s="15"/>
      <c r="J1413" s="19">
        <v>2</v>
      </c>
      <c r="K1413" s="2" t="s">
        <v>2837</v>
      </c>
      <c r="L1413" s="11" t="str">
        <f t="shared" si="23"/>
        <v>Ver Imagen</v>
      </c>
      <c r="M1413" t="s">
        <v>15</v>
      </c>
    </row>
    <row r="1414" spans="1:13" x14ac:dyDescent="0.25">
      <c r="A1414">
        <v>1413</v>
      </c>
      <c r="B1414" t="s">
        <v>2838</v>
      </c>
      <c r="C1414" s="1">
        <v>37.4571008367</v>
      </c>
      <c r="D1414" s="1">
        <v>-7.1259486805299996</v>
      </c>
      <c r="E1414" s="3">
        <v>2</v>
      </c>
      <c r="F1414" s="2">
        <v>3</v>
      </c>
      <c r="G1414" s="4">
        <v>2</v>
      </c>
      <c r="H1414" s="13"/>
      <c r="I1414" s="15"/>
      <c r="J1414" s="19">
        <v>2</v>
      </c>
      <c r="K1414" s="2" t="s">
        <v>2839</v>
      </c>
      <c r="L1414" s="11" t="str">
        <f t="shared" si="23"/>
        <v>Ver Imagen</v>
      </c>
      <c r="M1414" t="s">
        <v>15</v>
      </c>
    </row>
    <row r="1415" spans="1:13" x14ac:dyDescent="0.25">
      <c r="A1415">
        <v>1414</v>
      </c>
      <c r="B1415" t="s">
        <v>2840</v>
      </c>
      <c r="C1415" s="1">
        <v>37.4567079746</v>
      </c>
      <c r="D1415" s="1">
        <v>-7.1260958139000001</v>
      </c>
      <c r="E1415" s="3">
        <v>2</v>
      </c>
      <c r="F1415" s="2">
        <v>3</v>
      </c>
      <c r="G1415" s="4">
        <v>2</v>
      </c>
      <c r="H1415" s="13"/>
      <c r="I1415" s="15"/>
      <c r="J1415" s="19">
        <v>2</v>
      </c>
      <c r="K1415" s="2" t="s">
        <v>2841</v>
      </c>
      <c r="L1415" s="11" t="str">
        <f t="shared" si="23"/>
        <v>Ver Imagen</v>
      </c>
      <c r="M1415" t="s">
        <v>15</v>
      </c>
    </row>
    <row r="1416" spans="1:13" x14ac:dyDescent="0.25">
      <c r="A1416">
        <v>1415</v>
      </c>
      <c r="B1416" t="s">
        <v>2842</v>
      </c>
      <c r="C1416" s="1">
        <v>37.456239779999997</v>
      </c>
      <c r="D1416" s="1">
        <v>-7.1262711998299997</v>
      </c>
      <c r="E1416" s="3">
        <v>2</v>
      </c>
      <c r="F1416" s="2">
        <v>3</v>
      </c>
      <c r="G1416" s="4">
        <v>2</v>
      </c>
      <c r="H1416" s="13"/>
      <c r="I1416" s="15"/>
      <c r="J1416" s="19">
        <v>2</v>
      </c>
      <c r="K1416" s="2" t="s">
        <v>2843</v>
      </c>
      <c r="L1416" s="11" t="str">
        <f t="shared" si="23"/>
        <v>Ver Imagen</v>
      </c>
      <c r="M1416" t="s">
        <v>15</v>
      </c>
    </row>
    <row r="1417" spans="1:13" x14ac:dyDescent="0.25">
      <c r="A1417">
        <v>1416</v>
      </c>
      <c r="B1417" t="s">
        <v>2844</v>
      </c>
      <c r="C1417" s="1">
        <v>37.455908299199997</v>
      </c>
      <c r="D1417" s="1">
        <v>-7.1263932153100003</v>
      </c>
      <c r="E1417" s="3">
        <v>2</v>
      </c>
      <c r="F1417" s="2">
        <v>3</v>
      </c>
      <c r="G1417" s="4">
        <v>2</v>
      </c>
      <c r="H1417" s="13"/>
      <c r="I1417" s="15"/>
      <c r="J1417" s="19">
        <v>2</v>
      </c>
      <c r="K1417" s="2" t="s">
        <v>2845</v>
      </c>
      <c r="L1417" s="11" t="str">
        <f t="shared" si="23"/>
        <v>Ver Imagen</v>
      </c>
      <c r="M1417" t="s">
        <v>15</v>
      </c>
    </row>
    <row r="1418" spans="1:13" x14ac:dyDescent="0.25">
      <c r="A1418">
        <v>1417</v>
      </c>
      <c r="B1418" t="s">
        <v>2846</v>
      </c>
      <c r="C1418" s="1">
        <v>37.453597633900003</v>
      </c>
      <c r="D1418" s="1">
        <v>-7.1272107153800004</v>
      </c>
      <c r="E1418" s="3">
        <v>1</v>
      </c>
      <c r="F1418" s="2">
        <v>2</v>
      </c>
      <c r="G1418" s="4">
        <v>2</v>
      </c>
      <c r="H1418" s="13"/>
      <c r="I1418" s="15"/>
      <c r="J1418" s="19">
        <v>2</v>
      </c>
      <c r="K1418" s="2" t="s">
        <v>2847</v>
      </c>
      <c r="L1418" s="11" t="str">
        <f t="shared" si="23"/>
        <v>Ver Imagen</v>
      </c>
      <c r="M1418" t="s">
        <v>15</v>
      </c>
    </row>
    <row r="1419" spans="1:13" x14ac:dyDescent="0.25">
      <c r="A1419">
        <v>1418</v>
      </c>
      <c r="B1419" t="s">
        <v>2848</v>
      </c>
      <c r="C1419" s="1">
        <v>37.452731184100003</v>
      </c>
      <c r="D1419" s="1">
        <v>-7.1273981196699996</v>
      </c>
      <c r="E1419" s="3">
        <v>2</v>
      </c>
      <c r="F1419" s="2">
        <v>1</v>
      </c>
      <c r="G1419" s="4">
        <v>2</v>
      </c>
      <c r="H1419" s="13"/>
      <c r="I1419" s="15"/>
      <c r="J1419" s="19">
        <v>2</v>
      </c>
      <c r="K1419" s="2" t="s">
        <v>2849</v>
      </c>
      <c r="L1419" s="11" t="str">
        <f t="shared" si="23"/>
        <v>Ver Imagen</v>
      </c>
      <c r="M1419" t="s">
        <v>15</v>
      </c>
    </row>
    <row r="1420" spans="1:13" x14ac:dyDescent="0.25">
      <c r="A1420">
        <v>1419</v>
      </c>
      <c r="B1420" t="s">
        <v>2850</v>
      </c>
      <c r="C1420" s="1">
        <v>37.487362718200004</v>
      </c>
      <c r="D1420" s="1">
        <v>-7.2799955290699998</v>
      </c>
      <c r="E1420" s="3">
        <v>2</v>
      </c>
      <c r="F1420" s="2">
        <v>1</v>
      </c>
      <c r="G1420" s="4">
        <v>2</v>
      </c>
      <c r="H1420" s="13"/>
      <c r="I1420" s="15"/>
      <c r="J1420" s="19">
        <v>2</v>
      </c>
      <c r="K1420" s="2" t="s">
        <v>2851</v>
      </c>
      <c r="L1420" s="11" t="str">
        <f t="shared" si="23"/>
        <v>Ver Imagen</v>
      </c>
      <c r="M1420" t="s">
        <v>15</v>
      </c>
    </row>
    <row r="1421" spans="1:13" x14ac:dyDescent="0.25">
      <c r="A1421">
        <v>1420</v>
      </c>
      <c r="B1421" t="s">
        <v>2852</v>
      </c>
      <c r="C1421" s="1">
        <v>37.487553939900003</v>
      </c>
      <c r="D1421" s="1">
        <v>-7.2798963888300001</v>
      </c>
      <c r="E1421" s="3">
        <v>2</v>
      </c>
      <c r="F1421" s="2">
        <v>3</v>
      </c>
      <c r="G1421" s="4">
        <v>2</v>
      </c>
      <c r="H1421" s="13"/>
      <c r="I1421" s="15"/>
      <c r="J1421" s="19">
        <v>2</v>
      </c>
      <c r="K1421" s="2" t="s">
        <v>2853</v>
      </c>
      <c r="L1421" s="11" t="str">
        <f t="shared" si="23"/>
        <v>Ver Imagen</v>
      </c>
      <c r="M1421" t="s">
        <v>15</v>
      </c>
    </row>
    <row r="1422" spans="1:13" x14ac:dyDescent="0.25">
      <c r="A1422">
        <v>1421</v>
      </c>
      <c r="B1422" t="s">
        <v>2854</v>
      </c>
      <c r="C1422" s="1">
        <v>37.488112734399998</v>
      </c>
      <c r="D1422" s="1">
        <v>-7.2796058530199996</v>
      </c>
      <c r="E1422" s="3">
        <v>2</v>
      </c>
      <c r="F1422" s="2">
        <v>1</v>
      </c>
      <c r="G1422" s="4">
        <v>2</v>
      </c>
      <c r="H1422" s="13"/>
      <c r="I1422" s="15"/>
      <c r="J1422" s="19">
        <v>2</v>
      </c>
      <c r="K1422" s="2" t="s">
        <v>2855</v>
      </c>
      <c r="L1422" s="11" t="str">
        <f t="shared" si="23"/>
        <v>Ver Imagen</v>
      </c>
      <c r="M1422" t="s">
        <v>15</v>
      </c>
    </row>
    <row r="1423" spans="1:13" x14ac:dyDescent="0.25">
      <c r="A1423">
        <v>1422</v>
      </c>
      <c r="B1423" t="s">
        <v>2856</v>
      </c>
      <c r="C1423" s="1">
        <v>37.488661197799999</v>
      </c>
      <c r="D1423" s="1">
        <v>-7.27931965353</v>
      </c>
      <c r="E1423" s="3">
        <v>2</v>
      </c>
      <c r="F1423" s="2">
        <v>3</v>
      </c>
      <c r="G1423" s="4">
        <v>2</v>
      </c>
      <c r="H1423" s="13"/>
      <c r="I1423" s="15"/>
      <c r="J1423" s="19">
        <v>2</v>
      </c>
      <c r="K1423" s="2" t="s">
        <v>2857</v>
      </c>
      <c r="L1423" s="11" t="str">
        <f t="shared" si="23"/>
        <v>Ver Imagen</v>
      </c>
      <c r="M1423" t="s">
        <v>15</v>
      </c>
    </row>
    <row r="1424" spans="1:13" x14ac:dyDescent="0.25">
      <c r="A1424">
        <v>1423</v>
      </c>
      <c r="B1424" t="s">
        <v>2858</v>
      </c>
      <c r="C1424" s="1">
        <v>37.488835909700001</v>
      </c>
      <c r="D1424" s="1">
        <v>-7.2792291977300003</v>
      </c>
      <c r="E1424" s="3">
        <v>2</v>
      </c>
      <c r="F1424" s="2">
        <v>1</v>
      </c>
      <c r="G1424" s="4">
        <v>2</v>
      </c>
      <c r="H1424" s="13"/>
      <c r="I1424" s="15"/>
      <c r="J1424" s="19">
        <v>2</v>
      </c>
      <c r="K1424" s="2" t="s">
        <v>2859</v>
      </c>
      <c r="L1424" s="11" t="str">
        <f t="shared" si="23"/>
        <v>Ver Imagen</v>
      </c>
      <c r="M1424" t="s">
        <v>15</v>
      </c>
    </row>
    <row r="1425" spans="1:13" x14ac:dyDescent="0.25">
      <c r="A1425">
        <v>1424</v>
      </c>
      <c r="B1425" t="s">
        <v>2860</v>
      </c>
      <c r="C1425" s="1">
        <v>37.489013464199999</v>
      </c>
      <c r="D1425" s="1">
        <v>-7.2791375445700002</v>
      </c>
      <c r="E1425" s="3">
        <v>2</v>
      </c>
      <c r="F1425" s="2">
        <v>3</v>
      </c>
      <c r="G1425" s="4">
        <v>2</v>
      </c>
      <c r="H1425" s="13"/>
      <c r="I1425" s="15"/>
      <c r="J1425" s="19">
        <v>2</v>
      </c>
      <c r="K1425" s="2" t="s">
        <v>2861</v>
      </c>
      <c r="L1425" s="11" t="str">
        <f t="shared" si="23"/>
        <v>Ver Imagen</v>
      </c>
      <c r="M1425" t="s">
        <v>15</v>
      </c>
    </row>
    <row r="1426" spans="1:13" x14ac:dyDescent="0.25">
      <c r="A1426">
        <v>1425</v>
      </c>
      <c r="B1426" t="s">
        <v>2862</v>
      </c>
      <c r="C1426" s="1">
        <v>37.491492599600001</v>
      </c>
      <c r="D1426" s="1">
        <v>-7.2778965752399998</v>
      </c>
      <c r="E1426" s="3">
        <v>2</v>
      </c>
      <c r="F1426" s="2">
        <v>1</v>
      </c>
      <c r="G1426" s="4">
        <v>2</v>
      </c>
      <c r="H1426" s="13"/>
      <c r="I1426" s="15"/>
      <c r="J1426" s="19">
        <v>2</v>
      </c>
      <c r="K1426" s="2" t="s">
        <v>2863</v>
      </c>
      <c r="L1426" s="11" t="str">
        <f t="shared" si="23"/>
        <v>Ver Imagen</v>
      </c>
      <c r="M1426" t="s">
        <v>15</v>
      </c>
    </row>
    <row r="1427" spans="1:13" x14ac:dyDescent="0.25">
      <c r="A1427">
        <v>1426</v>
      </c>
      <c r="B1427" t="s">
        <v>2864</v>
      </c>
      <c r="C1427" s="1">
        <v>37.492039054199999</v>
      </c>
      <c r="D1427" s="1">
        <v>-7.2776660923199996</v>
      </c>
      <c r="E1427" s="3">
        <v>2</v>
      </c>
      <c r="F1427" s="2">
        <v>3</v>
      </c>
      <c r="G1427" s="4">
        <v>2</v>
      </c>
      <c r="H1427" s="13"/>
      <c r="I1427" s="15"/>
      <c r="J1427" s="19">
        <v>2</v>
      </c>
      <c r="K1427" s="2" t="s">
        <v>2865</v>
      </c>
      <c r="L1427" s="11" t="str">
        <f t="shared" si="23"/>
        <v>Ver Imagen</v>
      </c>
      <c r="M1427" t="s">
        <v>15</v>
      </c>
    </row>
    <row r="1428" spans="1:13" x14ac:dyDescent="0.25">
      <c r="A1428">
        <v>1427</v>
      </c>
      <c r="B1428" t="s">
        <v>2866</v>
      </c>
      <c r="C1428" s="1">
        <v>37.493021771800002</v>
      </c>
      <c r="D1428" s="1">
        <v>-7.2773013778399998</v>
      </c>
      <c r="E1428" s="3">
        <v>2</v>
      </c>
      <c r="F1428" s="2">
        <v>3</v>
      </c>
      <c r="G1428" s="4">
        <v>2</v>
      </c>
      <c r="H1428" s="13"/>
      <c r="I1428" s="15"/>
      <c r="J1428" s="19">
        <v>2</v>
      </c>
      <c r="K1428" s="2" t="s">
        <v>2867</v>
      </c>
      <c r="L1428" s="11" t="str">
        <f t="shared" si="23"/>
        <v>Ver Imagen</v>
      </c>
      <c r="M1428" t="s">
        <v>15</v>
      </c>
    </row>
    <row r="1429" spans="1:13" x14ac:dyDescent="0.25">
      <c r="A1429">
        <v>1428</v>
      </c>
      <c r="B1429" t="s">
        <v>2868</v>
      </c>
      <c r="C1429" s="1">
        <v>37.493804111099998</v>
      </c>
      <c r="D1429" s="1">
        <v>-7.2770397290800002</v>
      </c>
      <c r="E1429" s="3">
        <v>2</v>
      </c>
      <c r="F1429" s="2">
        <v>1</v>
      </c>
      <c r="G1429" s="4">
        <v>2</v>
      </c>
      <c r="H1429" s="13"/>
      <c r="I1429" s="15"/>
      <c r="J1429" s="19">
        <v>2</v>
      </c>
      <c r="K1429" s="2" t="s">
        <v>2869</v>
      </c>
      <c r="L1429" s="11" t="str">
        <f t="shared" si="23"/>
        <v>Ver Imagen</v>
      </c>
      <c r="M1429" t="s">
        <v>15</v>
      </c>
    </row>
    <row r="1430" spans="1:13" x14ac:dyDescent="0.25">
      <c r="A1430">
        <v>1429</v>
      </c>
      <c r="B1430" t="s">
        <v>2870</v>
      </c>
      <c r="C1430" s="1">
        <v>37.494391629200003</v>
      </c>
      <c r="D1430" s="1">
        <v>-7.2768460645599999</v>
      </c>
      <c r="E1430" s="3">
        <v>2</v>
      </c>
      <c r="F1430" s="2">
        <v>1</v>
      </c>
      <c r="G1430" s="4">
        <v>2</v>
      </c>
      <c r="H1430" s="13"/>
      <c r="I1430" s="15"/>
      <c r="J1430" s="19">
        <v>2</v>
      </c>
      <c r="K1430" s="2" t="s">
        <v>2871</v>
      </c>
      <c r="L1430" s="11" t="str">
        <f t="shared" si="23"/>
        <v>Ver Imagen</v>
      </c>
      <c r="M1430" t="s">
        <v>15</v>
      </c>
    </row>
    <row r="1431" spans="1:13" x14ac:dyDescent="0.25">
      <c r="A1431">
        <v>1430</v>
      </c>
      <c r="B1431" t="s">
        <v>2872</v>
      </c>
      <c r="C1431" s="1">
        <v>37.494786229399999</v>
      </c>
      <c r="D1431" s="1">
        <v>-7.2767208429899997</v>
      </c>
      <c r="E1431" s="3">
        <v>2</v>
      </c>
      <c r="F1431" s="2">
        <v>1</v>
      </c>
      <c r="G1431" s="4">
        <v>2</v>
      </c>
      <c r="H1431" s="13"/>
      <c r="I1431" s="15"/>
      <c r="J1431" s="19">
        <v>2</v>
      </c>
      <c r="K1431" s="2" t="s">
        <v>2873</v>
      </c>
      <c r="L1431" s="11" t="str">
        <f t="shared" si="23"/>
        <v>Ver Imagen</v>
      </c>
      <c r="M1431" t="s">
        <v>15</v>
      </c>
    </row>
    <row r="1432" spans="1:13" x14ac:dyDescent="0.25">
      <c r="A1432">
        <v>1431</v>
      </c>
      <c r="B1432" t="s">
        <v>2874</v>
      </c>
      <c r="C1432" s="1">
        <v>37.495614636200003</v>
      </c>
      <c r="D1432" s="1">
        <v>-7.2755248436500004</v>
      </c>
      <c r="E1432" s="3">
        <v>2</v>
      </c>
      <c r="F1432" s="2">
        <v>1</v>
      </c>
      <c r="G1432" s="4">
        <v>2</v>
      </c>
      <c r="H1432" s="13"/>
      <c r="I1432" s="15"/>
      <c r="J1432" s="19">
        <v>2</v>
      </c>
      <c r="K1432" s="2" t="s">
        <v>2875</v>
      </c>
      <c r="L1432" s="11" t="str">
        <f t="shared" si="23"/>
        <v>Ver Imagen</v>
      </c>
      <c r="M1432" t="s">
        <v>15</v>
      </c>
    </row>
    <row r="1433" spans="1:13" x14ac:dyDescent="0.25">
      <c r="A1433">
        <v>1432</v>
      </c>
      <c r="B1433" t="s">
        <v>2876</v>
      </c>
      <c r="C1433" s="1">
        <v>37.495645104200001</v>
      </c>
      <c r="D1433" s="1">
        <v>-7.2752567246000002</v>
      </c>
      <c r="E1433" s="3">
        <v>3</v>
      </c>
      <c r="F1433" s="2">
        <v>2</v>
      </c>
      <c r="G1433" s="4">
        <v>2</v>
      </c>
      <c r="H1433" s="13"/>
      <c r="I1433" s="15"/>
      <c r="J1433" s="19">
        <v>2</v>
      </c>
      <c r="K1433" s="2" t="s">
        <v>2877</v>
      </c>
      <c r="L1433" s="11" t="str">
        <f t="shared" si="23"/>
        <v>Ver Imagen</v>
      </c>
      <c r="M1433" t="s">
        <v>15</v>
      </c>
    </row>
    <row r="1434" spans="1:13" x14ac:dyDescent="0.25">
      <c r="A1434">
        <v>1433</v>
      </c>
      <c r="B1434" t="s">
        <v>2878</v>
      </c>
      <c r="C1434" s="1">
        <v>37.495675024299999</v>
      </c>
      <c r="D1434" s="1">
        <v>-7.2749903736199997</v>
      </c>
      <c r="E1434" s="3">
        <v>2</v>
      </c>
      <c r="F1434" s="2">
        <v>1</v>
      </c>
      <c r="G1434" s="4">
        <v>2</v>
      </c>
      <c r="H1434" s="13"/>
      <c r="I1434" s="15"/>
      <c r="J1434" s="19">
        <v>2</v>
      </c>
      <c r="K1434" s="2" t="s">
        <v>2879</v>
      </c>
      <c r="L1434" s="11" t="str">
        <f t="shared" si="23"/>
        <v>Ver Imagen</v>
      </c>
      <c r="M1434" t="s">
        <v>15</v>
      </c>
    </row>
    <row r="1435" spans="1:13" x14ac:dyDescent="0.25">
      <c r="A1435">
        <v>1434</v>
      </c>
      <c r="B1435" t="s">
        <v>2880</v>
      </c>
      <c r="C1435" s="1">
        <v>37.495510949</v>
      </c>
      <c r="D1435" s="1">
        <v>-7.2727682585600002</v>
      </c>
      <c r="E1435" s="3">
        <v>2</v>
      </c>
      <c r="F1435" s="2">
        <v>1</v>
      </c>
      <c r="G1435" s="4">
        <v>2</v>
      </c>
      <c r="H1435" s="13"/>
      <c r="I1435" s="15"/>
      <c r="J1435" s="19">
        <v>2</v>
      </c>
      <c r="K1435" s="2" t="s">
        <v>2881</v>
      </c>
      <c r="L1435" s="11" t="str">
        <f t="shared" si="23"/>
        <v>Ver Imagen</v>
      </c>
      <c r="M1435" t="s">
        <v>15</v>
      </c>
    </row>
    <row r="1436" spans="1:13" x14ac:dyDescent="0.25">
      <c r="A1436">
        <v>1435</v>
      </c>
      <c r="B1436" t="s">
        <v>2882</v>
      </c>
      <c r="C1436" s="1">
        <v>37.495471150299998</v>
      </c>
      <c r="D1436" s="1">
        <v>-7.2725293797599999</v>
      </c>
      <c r="E1436" s="3">
        <v>2</v>
      </c>
      <c r="F1436" s="2">
        <v>3</v>
      </c>
      <c r="G1436" s="4">
        <v>2</v>
      </c>
      <c r="H1436" s="13"/>
      <c r="I1436" s="15"/>
      <c r="J1436" s="19">
        <v>2</v>
      </c>
      <c r="K1436" s="2" t="s">
        <v>2883</v>
      </c>
      <c r="L1436" s="11" t="str">
        <f t="shared" si="23"/>
        <v>Ver Imagen</v>
      </c>
      <c r="M1436" t="s">
        <v>15</v>
      </c>
    </row>
    <row r="1437" spans="1:13" x14ac:dyDescent="0.25">
      <c r="A1437">
        <v>1436</v>
      </c>
      <c r="B1437" t="s">
        <v>2884</v>
      </c>
      <c r="C1437" s="1">
        <v>37.496221455300002</v>
      </c>
      <c r="D1437" s="1">
        <v>-7.2681971720499998</v>
      </c>
      <c r="E1437" s="3">
        <v>2</v>
      </c>
      <c r="F1437" s="2">
        <v>2</v>
      </c>
      <c r="G1437" s="4">
        <v>3</v>
      </c>
      <c r="H1437" s="13"/>
      <c r="I1437" s="15"/>
      <c r="J1437" s="19">
        <v>2</v>
      </c>
      <c r="K1437" s="2" t="s">
        <v>2885</v>
      </c>
      <c r="L1437" s="11" t="str">
        <f t="shared" si="23"/>
        <v>Ver Imagen</v>
      </c>
      <c r="M1437" t="s">
        <v>15</v>
      </c>
    </row>
    <row r="1438" spans="1:13" x14ac:dyDescent="0.25">
      <c r="A1438">
        <v>1437</v>
      </c>
      <c r="B1438" t="s">
        <v>2886</v>
      </c>
      <c r="C1438" s="1">
        <v>37.496434219000001</v>
      </c>
      <c r="D1438" s="1">
        <v>-7.2682038643400002</v>
      </c>
      <c r="E1438" s="3">
        <v>2</v>
      </c>
      <c r="F1438" s="2">
        <v>3</v>
      </c>
      <c r="G1438" s="4">
        <v>2</v>
      </c>
      <c r="H1438" s="13"/>
      <c r="I1438" s="15"/>
      <c r="J1438" s="19">
        <v>2</v>
      </c>
      <c r="K1438" s="2" t="s">
        <v>2887</v>
      </c>
      <c r="L1438" s="11" t="str">
        <f t="shared" si="23"/>
        <v>Ver Imagen</v>
      </c>
      <c r="M1438" t="s">
        <v>15</v>
      </c>
    </row>
    <row r="1439" spans="1:13" x14ac:dyDescent="0.25">
      <c r="A1439">
        <v>1438</v>
      </c>
      <c r="B1439" t="s">
        <v>2888</v>
      </c>
      <c r="C1439" s="1">
        <v>37.496631314600002</v>
      </c>
      <c r="D1439" s="1">
        <v>-7.2681900239299999</v>
      </c>
      <c r="E1439" s="3">
        <v>2</v>
      </c>
      <c r="F1439" s="2">
        <v>1</v>
      </c>
      <c r="G1439" s="4">
        <v>2</v>
      </c>
      <c r="H1439" s="13"/>
      <c r="I1439" s="15"/>
      <c r="J1439" s="19">
        <v>2</v>
      </c>
      <c r="K1439" s="2" t="s">
        <v>2889</v>
      </c>
      <c r="L1439" s="11" t="str">
        <f t="shared" si="23"/>
        <v>Ver Imagen</v>
      </c>
      <c r="M1439" t="s">
        <v>15</v>
      </c>
    </row>
    <row r="1440" spans="1:13" x14ac:dyDescent="0.25">
      <c r="A1440">
        <v>1439</v>
      </c>
      <c r="B1440" t="s">
        <v>2890</v>
      </c>
      <c r="C1440" s="1">
        <v>37.498617987199999</v>
      </c>
      <c r="D1440" s="1">
        <v>-7.2675756041300001</v>
      </c>
      <c r="E1440" s="3">
        <v>2</v>
      </c>
      <c r="F1440" s="2">
        <v>3</v>
      </c>
      <c r="G1440" s="4">
        <v>2</v>
      </c>
      <c r="H1440" s="13"/>
      <c r="I1440" s="15"/>
      <c r="J1440" s="19">
        <v>2</v>
      </c>
      <c r="K1440" s="2" t="s">
        <v>2891</v>
      </c>
      <c r="L1440" s="11" t="str">
        <f t="shared" si="23"/>
        <v>Ver Imagen</v>
      </c>
      <c r="M1440" t="s">
        <v>15</v>
      </c>
    </row>
    <row r="1441" spans="1:13" x14ac:dyDescent="0.25">
      <c r="A1441">
        <v>1440</v>
      </c>
      <c r="B1441" t="s">
        <v>2892</v>
      </c>
      <c r="C1441" s="1">
        <v>37.499002027700001</v>
      </c>
      <c r="D1441" s="1">
        <v>-7.2674420375300004</v>
      </c>
      <c r="E1441" s="3">
        <v>2</v>
      </c>
      <c r="F1441" s="2">
        <v>3</v>
      </c>
      <c r="G1441" s="4">
        <v>2</v>
      </c>
      <c r="H1441" s="13"/>
      <c r="I1441" s="15"/>
      <c r="J1441" s="19">
        <v>2</v>
      </c>
      <c r="K1441" s="2" t="s">
        <v>2893</v>
      </c>
      <c r="L1441" s="11" t="str">
        <f t="shared" si="23"/>
        <v>Ver Imagen</v>
      </c>
      <c r="M1441" t="s">
        <v>15</v>
      </c>
    </row>
    <row r="1442" spans="1:13" x14ac:dyDescent="0.25">
      <c r="A1442">
        <v>1441</v>
      </c>
      <c r="B1442" t="s">
        <v>2894</v>
      </c>
      <c r="C1442" s="1">
        <v>37.499589548099998</v>
      </c>
      <c r="D1442" s="1">
        <v>-7.26724089998</v>
      </c>
      <c r="E1442" s="3">
        <v>2</v>
      </c>
      <c r="F1442" s="2">
        <v>1</v>
      </c>
      <c r="G1442" s="4">
        <v>2</v>
      </c>
      <c r="H1442" s="13"/>
      <c r="I1442" s="15"/>
      <c r="J1442" s="19">
        <v>2</v>
      </c>
      <c r="K1442" s="2" t="s">
        <v>2895</v>
      </c>
      <c r="L1442" s="11" t="str">
        <f t="shared" si="23"/>
        <v>Ver Imagen</v>
      </c>
      <c r="M1442" t="s">
        <v>15</v>
      </c>
    </row>
    <row r="1443" spans="1:13" x14ac:dyDescent="0.25">
      <c r="A1443">
        <v>1442</v>
      </c>
      <c r="B1443" t="s">
        <v>2896</v>
      </c>
      <c r="C1443" s="1">
        <v>37.199620058900003</v>
      </c>
      <c r="D1443" s="1">
        <v>-6.9849437106599996</v>
      </c>
      <c r="E1443" s="3">
        <v>2</v>
      </c>
      <c r="F1443" s="2">
        <v>3</v>
      </c>
      <c r="G1443" s="4">
        <v>2</v>
      </c>
      <c r="H1443" s="13"/>
      <c r="I1443" s="15"/>
      <c r="J1443" s="19">
        <v>2</v>
      </c>
      <c r="K1443" s="2" t="s">
        <v>2897</v>
      </c>
      <c r="L1443" s="11" t="str">
        <f t="shared" si="23"/>
        <v>Ver Imagen</v>
      </c>
      <c r="M1443" t="s">
        <v>15</v>
      </c>
    </row>
    <row r="1444" spans="1:13" x14ac:dyDescent="0.25">
      <c r="A1444">
        <v>1443</v>
      </c>
      <c r="B1444" t="s">
        <v>2898</v>
      </c>
      <c r="C1444" s="1">
        <v>37.192197808300001</v>
      </c>
      <c r="D1444" s="1">
        <v>-6.9776763762999998</v>
      </c>
      <c r="E1444" s="3">
        <v>2</v>
      </c>
      <c r="F1444" s="2">
        <v>2</v>
      </c>
      <c r="G1444" s="4">
        <v>3</v>
      </c>
      <c r="H1444" s="13"/>
      <c r="I1444" s="15"/>
      <c r="J1444" s="19">
        <v>2</v>
      </c>
      <c r="K1444" s="2" t="s">
        <v>2899</v>
      </c>
      <c r="L1444" s="11" t="str">
        <f t="shared" si="23"/>
        <v>Ver Imagen</v>
      </c>
      <c r="M1444" t="s">
        <v>15</v>
      </c>
    </row>
    <row r="1445" spans="1:13" x14ac:dyDescent="0.25">
      <c r="A1445">
        <v>1444</v>
      </c>
      <c r="B1445" t="s">
        <v>2900</v>
      </c>
      <c r="C1445" s="1">
        <v>37.1882747768</v>
      </c>
      <c r="D1445" s="1">
        <v>-6.9787430482000001</v>
      </c>
      <c r="E1445" s="3">
        <v>2</v>
      </c>
      <c r="F1445" s="2">
        <v>3</v>
      </c>
      <c r="G1445" s="4">
        <v>2</v>
      </c>
      <c r="H1445" s="13"/>
      <c r="I1445" s="15"/>
      <c r="J1445" s="19">
        <v>2</v>
      </c>
      <c r="K1445" s="2" t="s">
        <v>2901</v>
      </c>
      <c r="L1445" s="11" t="str">
        <f t="shared" si="23"/>
        <v>Ver Imagen</v>
      </c>
      <c r="M1445" t="s">
        <v>15</v>
      </c>
    </row>
    <row r="1446" spans="1:13" x14ac:dyDescent="0.25">
      <c r="A1446">
        <v>1445</v>
      </c>
      <c r="B1446" t="s">
        <v>2902</v>
      </c>
      <c r="C1446" s="1">
        <v>37.501919967299997</v>
      </c>
      <c r="D1446" s="1">
        <v>-7.2664452990799999</v>
      </c>
      <c r="E1446" s="3">
        <v>2</v>
      </c>
      <c r="F1446" s="2">
        <v>3</v>
      </c>
      <c r="G1446" s="4">
        <v>2</v>
      </c>
      <c r="H1446" s="13"/>
      <c r="I1446" s="15"/>
      <c r="J1446" s="19">
        <v>2</v>
      </c>
      <c r="K1446" s="2" t="s">
        <v>2903</v>
      </c>
      <c r="L1446" s="11" t="str">
        <f t="shared" si="23"/>
        <v>Ver Imagen</v>
      </c>
      <c r="M1446" t="s">
        <v>15</v>
      </c>
    </row>
    <row r="1447" spans="1:13" x14ac:dyDescent="0.25">
      <c r="A1447">
        <v>1446</v>
      </c>
      <c r="B1447" t="s">
        <v>2904</v>
      </c>
      <c r="C1447" s="1">
        <v>37.502301673200002</v>
      </c>
      <c r="D1447" s="1">
        <v>-7.2663127357599997</v>
      </c>
      <c r="E1447" s="3">
        <v>2</v>
      </c>
      <c r="F1447" s="2">
        <v>2</v>
      </c>
      <c r="G1447" s="4">
        <v>3</v>
      </c>
      <c r="H1447" s="13"/>
      <c r="I1447" s="15"/>
      <c r="J1447" s="19">
        <v>2</v>
      </c>
      <c r="K1447" s="2" t="s">
        <v>2905</v>
      </c>
      <c r="L1447" s="11" t="str">
        <f t="shared" si="23"/>
        <v>Ver Imagen</v>
      </c>
      <c r="M1447" t="s">
        <v>15</v>
      </c>
    </row>
    <row r="1448" spans="1:13" x14ac:dyDescent="0.25">
      <c r="A1448">
        <v>1447</v>
      </c>
      <c r="B1448" t="s">
        <v>2906</v>
      </c>
      <c r="C1448" s="1">
        <v>37.502676633900002</v>
      </c>
      <c r="D1448" s="1">
        <v>-7.2661861126199998</v>
      </c>
      <c r="E1448" s="3">
        <v>2</v>
      </c>
      <c r="F1448" s="2">
        <v>2</v>
      </c>
      <c r="G1448" s="4">
        <v>3</v>
      </c>
      <c r="H1448" s="13"/>
      <c r="I1448" s="15"/>
      <c r="J1448" s="19">
        <v>2</v>
      </c>
      <c r="K1448" s="2" t="s">
        <v>2907</v>
      </c>
      <c r="L1448" s="11" t="str">
        <f t="shared" si="23"/>
        <v>Ver Imagen</v>
      </c>
      <c r="M1448" t="s">
        <v>15</v>
      </c>
    </row>
    <row r="1449" spans="1:13" x14ac:dyDescent="0.25">
      <c r="A1449">
        <v>1448</v>
      </c>
      <c r="B1449" t="s">
        <v>2908</v>
      </c>
      <c r="C1449" s="1">
        <v>37.503109877200004</v>
      </c>
      <c r="D1449" s="1">
        <v>-7.2660407427399996</v>
      </c>
      <c r="E1449" s="3">
        <v>2</v>
      </c>
      <c r="F1449" s="2">
        <v>3</v>
      </c>
      <c r="G1449" s="4">
        <v>2</v>
      </c>
      <c r="H1449" s="13"/>
      <c r="I1449" s="15"/>
      <c r="J1449" s="19">
        <v>2</v>
      </c>
      <c r="K1449" s="2" t="s">
        <v>2909</v>
      </c>
      <c r="L1449" s="11" t="str">
        <f t="shared" si="23"/>
        <v>Ver Imagen</v>
      </c>
      <c r="M1449" t="s">
        <v>15</v>
      </c>
    </row>
    <row r="1450" spans="1:13" x14ac:dyDescent="0.25">
      <c r="A1450">
        <v>1449</v>
      </c>
      <c r="B1450" t="s">
        <v>2910</v>
      </c>
      <c r="C1450" s="1">
        <v>37.267357193899997</v>
      </c>
      <c r="D1450" s="1">
        <v>-6.95873299341</v>
      </c>
      <c r="E1450" s="3">
        <v>2</v>
      </c>
      <c r="F1450" s="2">
        <v>3</v>
      </c>
      <c r="G1450" s="4">
        <v>2</v>
      </c>
      <c r="H1450" s="13"/>
      <c r="I1450" s="15"/>
      <c r="J1450" s="19">
        <v>2</v>
      </c>
      <c r="K1450" s="2" t="s">
        <v>2911</v>
      </c>
      <c r="L1450" s="11" t="str">
        <f t="shared" si="23"/>
        <v>Ver Imagen</v>
      </c>
      <c r="M1450" t="s">
        <v>15</v>
      </c>
    </row>
    <row r="1451" spans="1:13" x14ac:dyDescent="0.25">
      <c r="A1451">
        <v>1450</v>
      </c>
      <c r="B1451" t="s">
        <v>2912</v>
      </c>
      <c r="C1451" s="1">
        <v>37.267463452699999</v>
      </c>
      <c r="D1451" s="1">
        <v>-6.9597158915400001</v>
      </c>
      <c r="E1451" s="3">
        <v>2</v>
      </c>
      <c r="F1451" s="2">
        <v>3</v>
      </c>
      <c r="G1451" s="4">
        <v>2</v>
      </c>
      <c r="H1451" s="13"/>
      <c r="I1451" s="15"/>
      <c r="J1451" s="19">
        <v>2</v>
      </c>
      <c r="K1451" s="2" t="s">
        <v>2913</v>
      </c>
      <c r="L1451" s="11" t="str">
        <f t="shared" si="23"/>
        <v>Ver Imagen</v>
      </c>
      <c r="M1451" t="s">
        <v>15</v>
      </c>
    </row>
    <row r="1452" spans="1:13" x14ac:dyDescent="0.25">
      <c r="A1452">
        <v>1451</v>
      </c>
      <c r="B1452" t="s">
        <v>2914</v>
      </c>
      <c r="C1452" s="1">
        <v>37.503281759799997</v>
      </c>
      <c r="D1452" s="1">
        <v>-7.2659815675499999</v>
      </c>
      <c r="E1452" s="3">
        <v>3</v>
      </c>
      <c r="F1452" s="2">
        <v>2</v>
      </c>
      <c r="G1452" s="4">
        <v>2</v>
      </c>
      <c r="H1452" s="13"/>
      <c r="I1452" s="15"/>
      <c r="J1452" s="19">
        <v>2</v>
      </c>
      <c r="K1452" s="2" t="s">
        <v>2915</v>
      </c>
      <c r="L1452" s="11" t="str">
        <f t="shared" si="23"/>
        <v>Ver Imagen</v>
      </c>
      <c r="M1452" t="s">
        <v>15</v>
      </c>
    </row>
    <row r="1453" spans="1:13" x14ac:dyDescent="0.25">
      <c r="A1453">
        <v>1452</v>
      </c>
      <c r="B1453" t="s">
        <v>2916</v>
      </c>
      <c r="C1453" s="1">
        <v>37.504243235200001</v>
      </c>
      <c r="D1453" s="1">
        <v>-7.2656547906900002</v>
      </c>
      <c r="E1453" s="3">
        <v>2</v>
      </c>
      <c r="F1453" s="2">
        <v>2</v>
      </c>
      <c r="G1453" s="4">
        <v>3</v>
      </c>
      <c r="H1453" s="13"/>
      <c r="I1453" s="15"/>
      <c r="J1453" s="19">
        <v>2</v>
      </c>
      <c r="K1453" s="2" t="s">
        <v>2917</v>
      </c>
      <c r="L1453" s="11" t="str">
        <f t="shared" si="23"/>
        <v>Ver Imagen</v>
      </c>
      <c r="M1453" t="s">
        <v>15</v>
      </c>
    </row>
    <row r="1454" spans="1:13" x14ac:dyDescent="0.25">
      <c r="A1454">
        <v>1453</v>
      </c>
      <c r="B1454" t="s">
        <v>2918</v>
      </c>
      <c r="C1454" s="1">
        <v>37.5046385184</v>
      </c>
      <c r="D1454" s="1">
        <v>-7.2655165768199996</v>
      </c>
      <c r="E1454" s="3">
        <v>2</v>
      </c>
      <c r="F1454" s="2">
        <v>1</v>
      </c>
      <c r="G1454" s="4">
        <v>2</v>
      </c>
      <c r="H1454" s="13"/>
      <c r="I1454" s="15"/>
      <c r="J1454" s="19">
        <v>2</v>
      </c>
      <c r="K1454" s="2" t="s">
        <v>2919</v>
      </c>
      <c r="L1454" s="11" t="str">
        <f t="shared" si="23"/>
        <v>Ver Imagen</v>
      </c>
      <c r="M1454" t="s">
        <v>15</v>
      </c>
    </row>
    <row r="1455" spans="1:13" x14ac:dyDescent="0.25">
      <c r="A1455">
        <v>1454</v>
      </c>
      <c r="B1455" t="s">
        <v>2920</v>
      </c>
      <c r="C1455" s="1">
        <v>37.504850923900001</v>
      </c>
      <c r="D1455" s="1">
        <v>-7.2654441467500002</v>
      </c>
      <c r="E1455" s="3">
        <v>2</v>
      </c>
      <c r="F1455" s="2">
        <v>1</v>
      </c>
      <c r="G1455" s="4">
        <v>2</v>
      </c>
      <c r="H1455" s="13"/>
      <c r="I1455" s="15"/>
      <c r="J1455" s="19">
        <v>2</v>
      </c>
      <c r="K1455" s="2" t="s">
        <v>2921</v>
      </c>
      <c r="L1455" s="11" t="str">
        <f t="shared" si="23"/>
        <v>Ver Imagen</v>
      </c>
      <c r="M1455" t="s">
        <v>15</v>
      </c>
    </row>
    <row r="1456" spans="1:13" x14ac:dyDescent="0.25">
      <c r="A1456">
        <v>1455</v>
      </c>
      <c r="B1456" t="s">
        <v>2922</v>
      </c>
      <c r="C1456" s="1">
        <v>37.506042827500004</v>
      </c>
      <c r="D1456" s="1">
        <v>-7.2652653115400003</v>
      </c>
      <c r="E1456" s="3">
        <v>2</v>
      </c>
      <c r="F1456" s="2">
        <v>1</v>
      </c>
      <c r="G1456" s="4">
        <v>2</v>
      </c>
      <c r="H1456" s="13"/>
      <c r="I1456" s="15"/>
      <c r="J1456" s="19">
        <v>2</v>
      </c>
      <c r="K1456" s="2" t="s">
        <v>2923</v>
      </c>
      <c r="L1456" s="11" t="str">
        <f t="shared" si="23"/>
        <v>Ver Imagen</v>
      </c>
      <c r="M1456" t="s">
        <v>15</v>
      </c>
    </row>
    <row r="1457" spans="1:13" x14ac:dyDescent="0.25">
      <c r="A1457">
        <v>1456</v>
      </c>
      <c r="B1457" t="s">
        <v>2924</v>
      </c>
      <c r="C1457" s="1">
        <v>37.507382939599999</v>
      </c>
      <c r="D1457" s="1">
        <v>-7.2658597390999997</v>
      </c>
      <c r="E1457" s="3">
        <v>2</v>
      </c>
      <c r="F1457" s="2">
        <v>2</v>
      </c>
      <c r="G1457" s="4">
        <v>3</v>
      </c>
      <c r="H1457" s="13"/>
      <c r="I1457" s="15"/>
      <c r="J1457" s="19">
        <v>2</v>
      </c>
      <c r="K1457" s="2" t="s">
        <v>2925</v>
      </c>
      <c r="L1457" s="11" t="str">
        <f t="shared" si="23"/>
        <v>Ver Imagen</v>
      </c>
      <c r="M1457" t="s">
        <v>15</v>
      </c>
    </row>
    <row r="1458" spans="1:13" x14ac:dyDescent="0.25">
      <c r="A1458">
        <v>1457</v>
      </c>
      <c r="B1458" t="s">
        <v>2926</v>
      </c>
      <c r="C1458" s="1">
        <v>37.507566025800003</v>
      </c>
      <c r="D1458" s="1">
        <v>-7.26600478718</v>
      </c>
      <c r="E1458" s="3">
        <v>2</v>
      </c>
      <c r="F1458" s="2">
        <v>2</v>
      </c>
      <c r="G1458" s="4">
        <v>3</v>
      </c>
      <c r="H1458" s="13"/>
      <c r="I1458" s="15"/>
      <c r="J1458" s="19">
        <v>2</v>
      </c>
      <c r="K1458" s="2" t="s">
        <v>2927</v>
      </c>
      <c r="L1458" s="11" t="str">
        <f t="shared" si="23"/>
        <v>Ver Imagen</v>
      </c>
      <c r="M1458" t="s">
        <v>15</v>
      </c>
    </row>
    <row r="1459" spans="1:13" x14ac:dyDescent="0.25">
      <c r="A1459">
        <v>1458</v>
      </c>
      <c r="B1459" t="s">
        <v>2928</v>
      </c>
      <c r="C1459" s="1">
        <v>37.5077300863</v>
      </c>
      <c r="D1459" s="1">
        <v>-7.2661382512300001</v>
      </c>
      <c r="E1459" s="3">
        <v>2</v>
      </c>
      <c r="F1459" s="2">
        <v>2</v>
      </c>
      <c r="G1459" s="4">
        <v>3</v>
      </c>
      <c r="H1459" s="13"/>
      <c r="I1459" s="15"/>
      <c r="J1459" s="19">
        <v>2</v>
      </c>
      <c r="K1459" s="2" t="s">
        <v>2929</v>
      </c>
      <c r="L1459" s="11" t="str">
        <f t="shared" si="23"/>
        <v>Ver Imagen</v>
      </c>
      <c r="M1459" t="s">
        <v>15</v>
      </c>
    </row>
    <row r="1460" spans="1:13" x14ac:dyDescent="0.25">
      <c r="A1460">
        <v>1459</v>
      </c>
      <c r="B1460" t="s">
        <v>2930</v>
      </c>
      <c r="C1460" s="1">
        <v>37.507910574100002</v>
      </c>
      <c r="D1460" s="1">
        <v>-7.2662860020200002</v>
      </c>
      <c r="E1460" s="3">
        <v>2</v>
      </c>
      <c r="F1460" s="2">
        <v>2</v>
      </c>
      <c r="G1460" s="4">
        <v>3</v>
      </c>
      <c r="H1460" s="13"/>
      <c r="I1460" s="15"/>
      <c r="J1460" s="19">
        <v>2</v>
      </c>
      <c r="K1460" s="2" t="s">
        <v>2931</v>
      </c>
      <c r="L1460" s="11" t="str">
        <f t="shared" si="23"/>
        <v>Ver Imagen</v>
      </c>
      <c r="M1460" t="s">
        <v>15</v>
      </c>
    </row>
    <row r="1461" spans="1:13" x14ac:dyDescent="0.25">
      <c r="A1461">
        <v>1460</v>
      </c>
      <c r="B1461" t="s">
        <v>2932</v>
      </c>
      <c r="C1461" s="1">
        <v>37.508930440699999</v>
      </c>
      <c r="D1461" s="1">
        <v>-7.2670625436099998</v>
      </c>
      <c r="E1461" s="3">
        <v>2</v>
      </c>
      <c r="F1461" s="2">
        <v>1</v>
      </c>
      <c r="G1461" s="4">
        <v>2</v>
      </c>
      <c r="H1461" s="13"/>
      <c r="I1461" s="15"/>
      <c r="J1461" s="19">
        <v>2</v>
      </c>
      <c r="K1461" s="2" t="s">
        <v>2933</v>
      </c>
      <c r="L1461" s="11" t="str">
        <f t="shared" si="23"/>
        <v>Ver Imagen</v>
      </c>
      <c r="M1461" t="s">
        <v>15</v>
      </c>
    </row>
    <row r="1462" spans="1:13" x14ac:dyDescent="0.25">
      <c r="A1462">
        <v>1461</v>
      </c>
      <c r="B1462" t="s">
        <v>2934</v>
      </c>
      <c r="C1462" s="1">
        <v>37.5090978108</v>
      </c>
      <c r="D1462" s="1">
        <v>-7.2671662431100001</v>
      </c>
      <c r="E1462" s="3">
        <v>2</v>
      </c>
      <c r="F1462" s="2">
        <v>1</v>
      </c>
      <c r="G1462" s="4">
        <v>2</v>
      </c>
      <c r="H1462" s="13"/>
      <c r="I1462" s="15"/>
      <c r="J1462" s="19">
        <v>2</v>
      </c>
      <c r="K1462" s="2" t="s">
        <v>2935</v>
      </c>
      <c r="L1462" s="11" t="str">
        <f t="shared" si="23"/>
        <v>Ver Imagen</v>
      </c>
      <c r="M1462" t="s">
        <v>15</v>
      </c>
    </row>
    <row r="1463" spans="1:13" x14ac:dyDescent="0.25">
      <c r="A1463">
        <v>1462</v>
      </c>
      <c r="B1463" t="s">
        <v>2936</v>
      </c>
      <c r="C1463" s="1">
        <v>37.509287306799997</v>
      </c>
      <c r="D1463" s="1">
        <v>-7.26727338322</v>
      </c>
      <c r="E1463" s="3">
        <v>2</v>
      </c>
      <c r="F1463" s="2">
        <v>1</v>
      </c>
      <c r="G1463" s="4">
        <v>2</v>
      </c>
      <c r="H1463" s="13"/>
      <c r="I1463" s="15"/>
      <c r="J1463" s="19">
        <v>2</v>
      </c>
      <c r="K1463" s="2" t="s">
        <v>2937</v>
      </c>
      <c r="L1463" s="11" t="str">
        <f t="shared" si="23"/>
        <v>Ver Imagen</v>
      </c>
      <c r="M1463" t="s">
        <v>15</v>
      </c>
    </row>
    <row r="1464" spans="1:13" x14ac:dyDescent="0.25">
      <c r="A1464">
        <v>1463</v>
      </c>
      <c r="B1464" t="s">
        <v>2938</v>
      </c>
      <c r="C1464" s="1">
        <v>37.509466245200002</v>
      </c>
      <c r="D1464" s="1">
        <v>-7.2673631927200004</v>
      </c>
      <c r="E1464" s="3">
        <v>2</v>
      </c>
      <c r="F1464" s="2">
        <v>2</v>
      </c>
      <c r="G1464" s="4">
        <v>3</v>
      </c>
      <c r="H1464" s="13"/>
      <c r="I1464" s="15"/>
      <c r="J1464" s="19">
        <v>2</v>
      </c>
      <c r="K1464" s="2" t="s">
        <v>2939</v>
      </c>
      <c r="L1464" s="11" t="str">
        <f t="shared" si="23"/>
        <v>Ver Imagen</v>
      </c>
      <c r="M1464" t="s">
        <v>15</v>
      </c>
    </row>
    <row r="1465" spans="1:13" x14ac:dyDescent="0.25">
      <c r="A1465">
        <v>1464</v>
      </c>
      <c r="B1465" t="s">
        <v>2940</v>
      </c>
      <c r="C1465" s="1">
        <v>37.509851162799997</v>
      </c>
      <c r="D1465" s="1">
        <v>-7.2675274356699999</v>
      </c>
      <c r="E1465" s="3">
        <v>2</v>
      </c>
      <c r="F1465" s="2">
        <v>2</v>
      </c>
      <c r="G1465" s="4">
        <v>3</v>
      </c>
      <c r="H1465" s="13"/>
      <c r="I1465" s="15"/>
      <c r="J1465" s="19">
        <v>2</v>
      </c>
      <c r="K1465" s="2" t="s">
        <v>2941</v>
      </c>
      <c r="L1465" s="11" t="str">
        <f t="shared" si="23"/>
        <v>Ver Imagen</v>
      </c>
      <c r="M1465" t="s">
        <v>15</v>
      </c>
    </row>
    <row r="1466" spans="1:13" x14ac:dyDescent="0.25">
      <c r="A1466">
        <v>1465</v>
      </c>
      <c r="B1466" t="s">
        <v>2942</v>
      </c>
      <c r="C1466" s="1">
        <v>37.510250168200002</v>
      </c>
      <c r="D1466" s="1">
        <v>-7.2676731937800003</v>
      </c>
      <c r="E1466" s="3">
        <v>2</v>
      </c>
      <c r="F1466" s="2">
        <v>3</v>
      </c>
      <c r="G1466" s="4">
        <v>2</v>
      </c>
      <c r="H1466" s="13"/>
      <c r="I1466" s="15"/>
      <c r="J1466" s="19">
        <v>2</v>
      </c>
      <c r="K1466" s="2" t="s">
        <v>2943</v>
      </c>
      <c r="L1466" s="11" t="str">
        <f t="shared" si="23"/>
        <v>Ver Imagen</v>
      </c>
      <c r="M1466" t="s">
        <v>15</v>
      </c>
    </row>
    <row r="1467" spans="1:13" x14ac:dyDescent="0.25">
      <c r="A1467">
        <v>1466</v>
      </c>
      <c r="B1467" t="s">
        <v>2944</v>
      </c>
      <c r="C1467" s="1">
        <v>37.5104298567</v>
      </c>
      <c r="D1467" s="1">
        <v>-7.2677343991500001</v>
      </c>
      <c r="E1467" s="3">
        <v>2</v>
      </c>
      <c r="F1467" s="2">
        <v>2</v>
      </c>
      <c r="G1467" s="4">
        <v>3</v>
      </c>
      <c r="H1467" s="13"/>
      <c r="I1467" s="15"/>
      <c r="J1467" s="19">
        <v>2</v>
      </c>
      <c r="K1467" s="2" t="s">
        <v>2945</v>
      </c>
      <c r="L1467" s="11" t="str">
        <f t="shared" si="23"/>
        <v>Ver Imagen</v>
      </c>
      <c r="M1467" t="s">
        <v>15</v>
      </c>
    </row>
    <row r="1468" spans="1:13" x14ac:dyDescent="0.25">
      <c r="A1468">
        <v>1467</v>
      </c>
      <c r="B1468" t="s">
        <v>2946</v>
      </c>
      <c r="C1468" s="1">
        <v>37.510630663599997</v>
      </c>
      <c r="D1468" s="1">
        <v>-7.2678044957300001</v>
      </c>
      <c r="E1468" s="3">
        <v>2</v>
      </c>
      <c r="F1468" s="2">
        <v>3</v>
      </c>
      <c r="G1468" s="4">
        <v>2</v>
      </c>
      <c r="H1468" s="13"/>
      <c r="I1468" s="15"/>
      <c r="J1468" s="19">
        <v>2</v>
      </c>
      <c r="K1468" s="2" t="s">
        <v>2947</v>
      </c>
      <c r="L1468" s="11" t="str">
        <f t="shared" si="23"/>
        <v>Ver Imagen</v>
      </c>
      <c r="M1468" t="s">
        <v>15</v>
      </c>
    </row>
    <row r="1469" spans="1:13" x14ac:dyDescent="0.25">
      <c r="A1469">
        <v>1468</v>
      </c>
      <c r="B1469" t="s">
        <v>2948</v>
      </c>
      <c r="C1469" s="1">
        <v>37.510822395600002</v>
      </c>
      <c r="D1469" s="1">
        <v>-7.2678771190000004</v>
      </c>
      <c r="E1469" s="3">
        <v>2</v>
      </c>
      <c r="F1469" s="2">
        <v>2</v>
      </c>
      <c r="G1469" s="4">
        <v>3</v>
      </c>
      <c r="H1469" s="13"/>
      <c r="I1469" s="15"/>
      <c r="J1469" s="19">
        <v>2</v>
      </c>
      <c r="K1469" s="2" t="s">
        <v>2949</v>
      </c>
      <c r="L1469" s="11" t="str">
        <f t="shared" si="23"/>
        <v>Ver Imagen</v>
      </c>
      <c r="M1469" t="s">
        <v>15</v>
      </c>
    </row>
    <row r="1470" spans="1:13" x14ac:dyDescent="0.25">
      <c r="A1470">
        <v>1469</v>
      </c>
      <c r="B1470" t="s">
        <v>2950</v>
      </c>
      <c r="C1470" s="1">
        <v>37.511014721400002</v>
      </c>
      <c r="D1470" s="1">
        <v>-7.2679550023199999</v>
      </c>
      <c r="E1470" s="3">
        <v>2</v>
      </c>
      <c r="F1470" s="2">
        <v>2</v>
      </c>
      <c r="G1470" s="4">
        <v>3</v>
      </c>
      <c r="H1470" s="13"/>
      <c r="I1470" s="15"/>
      <c r="J1470" s="19">
        <v>2</v>
      </c>
      <c r="K1470" s="2" t="s">
        <v>2951</v>
      </c>
      <c r="L1470" s="11" t="str">
        <f t="shared" si="23"/>
        <v>Ver Imagen</v>
      </c>
      <c r="M1470" t="s">
        <v>15</v>
      </c>
    </row>
    <row r="1471" spans="1:13" x14ac:dyDescent="0.25">
      <c r="A1471">
        <v>1470</v>
      </c>
      <c r="B1471" t="s">
        <v>2952</v>
      </c>
      <c r="C1471" s="1">
        <v>37.511839179200003</v>
      </c>
      <c r="D1471" s="1">
        <v>-7.2683081774199998</v>
      </c>
      <c r="E1471" s="3">
        <v>2</v>
      </c>
      <c r="F1471" s="2">
        <v>3</v>
      </c>
      <c r="G1471" s="4">
        <v>2</v>
      </c>
      <c r="H1471" s="13"/>
      <c r="I1471" s="15"/>
      <c r="J1471" s="19">
        <v>2</v>
      </c>
      <c r="K1471" s="2" t="s">
        <v>2953</v>
      </c>
      <c r="L1471" s="11" t="str">
        <f t="shared" si="23"/>
        <v>Ver Imagen</v>
      </c>
      <c r="M1471" t="s">
        <v>15</v>
      </c>
    </row>
    <row r="1472" spans="1:13" x14ac:dyDescent="0.25">
      <c r="A1472">
        <v>1471</v>
      </c>
      <c r="B1472" t="s">
        <v>2954</v>
      </c>
      <c r="C1472" s="1">
        <v>37.512960540100003</v>
      </c>
      <c r="D1472" s="1">
        <v>-7.2687616429000004</v>
      </c>
      <c r="E1472" s="3">
        <v>2</v>
      </c>
      <c r="F1472" s="2">
        <v>1</v>
      </c>
      <c r="G1472" s="4">
        <v>2</v>
      </c>
      <c r="H1472" s="13"/>
      <c r="I1472" s="15"/>
      <c r="J1472" s="19">
        <v>2</v>
      </c>
      <c r="K1472" s="2" t="s">
        <v>2955</v>
      </c>
      <c r="L1472" s="11" t="str">
        <f t="shared" si="23"/>
        <v>Ver Imagen</v>
      </c>
      <c r="M1472" t="s">
        <v>15</v>
      </c>
    </row>
    <row r="1473" spans="1:13" x14ac:dyDescent="0.25">
      <c r="A1473">
        <v>1472</v>
      </c>
      <c r="B1473" t="s">
        <v>2956</v>
      </c>
      <c r="C1473" s="1">
        <v>37.5131551606</v>
      </c>
      <c r="D1473" s="1">
        <v>-7.2688334176599998</v>
      </c>
      <c r="E1473" s="3">
        <v>2</v>
      </c>
      <c r="F1473" s="2">
        <v>3</v>
      </c>
      <c r="G1473" s="4">
        <v>2</v>
      </c>
      <c r="H1473" s="13"/>
      <c r="I1473" s="15"/>
      <c r="J1473" s="19">
        <v>2</v>
      </c>
      <c r="K1473" s="2" t="s">
        <v>2957</v>
      </c>
      <c r="L1473" s="11" t="str">
        <f t="shared" si="23"/>
        <v>Ver Imagen</v>
      </c>
      <c r="M1473" t="s">
        <v>15</v>
      </c>
    </row>
    <row r="1474" spans="1:13" x14ac:dyDescent="0.25">
      <c r="A1474">
        <v>1473</v>
      </c>
      <c r="B1474" t="s">
        <v>2958</v>
      </c>
      <c r="C1474" s="1">
        <v>37.513345675899998</v>
      </c>
      <c r="D1474" s="1">
        <v>-7.2688967775500002</v>
      </c>
      <c r="E1474" s="3">
        <v>3</v>
      </c>
      <c r="F1474" s="2">
        <v>2</v>
      </c>
      <c r="G1474" s="4">
        <v>2</v>
      </c>
      <c r="H1474" s="13"/>
      <c r="I1474" s="15"/>
      <c r="J1474" s="19">
        <v>2</v>
      </c>
      <c r="K1474" s="2" t="s">
        <v>2959</v>
      </c>
      <c r="L1474" s="11" t="str">
        <f t="shared" si="23"/>
        <v>Ver Imagen</v>
      </c>
      <c r="M1474" t="s">
        <v>15</v>
      </c>
    </row>
    <row r="1475" spans="1:13" x14ac:dyDescent="0.25">
      <c r="A1475">
        <v>1474</v>
      </c>
      <c r="B1475" t="s">
        <v>2960</v>
      </c>
      <c r="C1475" s="1">
        <v>37.513735863299999</v>
      </c>
      <c r="D1475" s="1">
        <v>-7.2689869494000003</v>
      </c>
      <c r="E1475" s="3">
        <v>2</v>
      </c>
      <c r="F1475" s="2">
        <v>3</v>
      </c>
      <c r="G1475" s="4">
        <v>2</v>
      </c>
      <c r="H1475" s="13"/>
      <c r="I1475" s="15"/>
      <c r="J1475" s="19">
        <v>2</v>
      </c>
      <c r="K1475" s="2" t="s">
        <v>2961</v>
      </c>
      <c r="L1475" s="11" t="str">
        <f t="shared" ref="L1475:L1538" si="24">HYPERLINK("2\1\" &amp; K1475, "Ver Imagen")</f>
        <v>Ver Imagen</v>
      </c>
      <c r="M1475" t="s">
        <v>15</v>
      </c>
    </row>
    <row r="1476" spans="1:13" x14ac:dyDescent="0.25">
      <c r="A1476">
        <v>1475</v>
      </c>
      <c r="B1476" t="s">
        <v>2962</v>
      </c>
      <c r="C1476" s="1">
        <v>37.513939109100001</v>
      </c>
      <c r="D1476" s="1">
        <v>-7.2689996558400001</v>
      </c>
      <c r="E1476" s="3">
        <v>2</v>
      </c>
      <c r="F1476" s="2">
        <v>1</v>
      </c>
      <c r="G1476" s="4">
        <v>2</v>
      </c>
      <c r="H1476" s="13"/>
      <c r="I1476" s="15"/>
      <c r="J1476" s="19">
        <v>2</v>
      </c>
      <c r="K1476" s="2" t="s">
        <v>2963</v>
      </c>
      <c r="L1476" s="11" t="str">
        <f t="shared" si="24"/>
        <v>Ver Imagen</v>
      </c>
      <c r="M1476" t="s">
        <v>15</v>
      </c>
    </row>
    <row r="1477" spans="1:13" x14ac:dyDescent="0.25">
      <c r="A1477">
        <v>1476</v>
      </c>
      <c r="B1477" t="s">
        <v>2964</v>
      </c>
      <c r="C1477" s="1">
        <v>37.5141260487</v>
      </c>
      <c r="D1477" s="1">
        <v>-7.2689897758099997</v>
      </c>
      <c r="E1477" s="3">
        <v>2</v>
      </c>
      <c r="F1477" s="2">
        <v>3</v>
      </c>
      <c r="G1477" s="4">
        <v>2</v>
      </c>
      <c r="H1477" s="13"/>
      <c r="I1477" s="15"/>
      <c r="J1477" s="19">
        <v>2</v>
      </c>
      <c r="K1477" s="2" t="s">
        <v>2965</v>
      </c>
      <c r="L1477" s="11" t="str">
        <f t="shared" si="24"/>
        <v>Ver Imagen</v>
      </c>
      <c r="M1477" t="s">
        <v>15</v>
      </c>
    </row>
    <row r="1478" spans="1:13" x14ac:dyDescent="0.25">
      <c r="A1478">
        <v>1477</v>
      </c>
      <c r="B1478" t="s">
        <v>2966</v>
      </c>
      <c r="C1478" s="1">
        <v>37.514738820300003</v>
      </c>
      <c r="D1478" s="1">
        <v>-7.2688362827999997</v>
      </c>
      <c r="E1478" s="3">
        <v>2</v>
      </c>
      <c r="F1478" s="2">
        <v>1</v>
      </c>
      <c r="G1478" s="4">
        <v>2</v>
      </c>
      <c r="H1478" s="13"/>
      <c r="I1478" s="15"/>
      <c r="J1478" s="19">
        <v>2</v>
      </c>
      <c r="K1478" s="2" t="s">
        <v>2967</v>
      </c>
      <c r="L1478" s="11" t="str">
        <f t="shared" si="24"/>
        <v>Ver Imagen</v>
      </c>
      <c r="M1478" t="s">
        <v>15</v>
      </c>
    </row>
    <row r="1479" spans="1:13" x14ac:dyDescent="0.25">
      <c r="A1479">
        <v>1478</v>
      </c>
      <c r="B1479" t="s">
        <v>2968</v>
      </c>
      <c r="C1479" s="1">
        <v>37.5154281103</v>
      </c>
      <c r="D1479" s="1">
        <v>-7.2684148177700001</v>
      </c>
      <c r="E1479" s="3">
        <v>2</v>
      </c>
      <c r="F1479" s="2">
        <v>1</v>
      </c>
      <c r="G1479" s="4">
        <v>2</v>
      </c>
      <c r="H1479" s="13"/>
      <c r="I1479" s="15"/>
      <c r="J1479" s="19">
        <v>2</v>
      </c>
      <c r="K1479" s="2" t="s">
        <v>2969</v>
      </c>
      <c r="L1479" s="11" t="str">
        <f t="shared" si="24"/>
        <v>Ver Imagen</v>
      </c>
      <c r="M1479" t="s">
        <v>15</v>
      </c>
    </row>
    <row r="1480" spans="1:13" x14ac:dyDescent="0.25">
      <c r="A1480">
        <v>1479</v>
      </c>
      <c r="B1480" t="s">
        <v>2970</v>
      </c>
      <c r="C1480" s="1">
        <v>37.515882843599996</v>
      </c>
      <c r="D1480" s="1">
        <v>-7.2679156739700002</v>
      </c>
      <c r="E1480" s="3">
        <v>2</v>
      </c>
      <c r="F1480" s="2">
        <v>1</v>
      </c>
      <c r="G1480" s="4">
        <v>2</v>
      </c>
      <c r="H1480" s="13"/>
      <c r="I1480" s="15"/>
      <c r="J1480" s="19">
        <v>2</v>
      </c>
      <c r="K1480" s="2" t="s">
        <v>2971</v>
      </c>
      <c r="L1480" s="11" t="str">
        <f t="shared" si="24"/>
        <v>Ver Imagen</v>
      </c>
      <c r="M1480" t="s">
        <v>15</v>
      </c>
    </row>
    <row r="1481" spans="1:13" x14ac:dyDescent="0.25">
      <c r="A1481">
        <v>1480</v>
      </c>
      <c r="B1481" t="s">
        <v>2972</v>
      </c>
      <c r="C1481" s="1">
        <v>37.516030850600004</v>
      </c>
      <c r="D1481" s="1">
        <v>-7.2676990042899998</v>
      </c>
      <c r="E1481" s="3">
        <v>2</v>
      </c>
      <c r="F1481" s="2">
        <v>1</v>
      </c>
      <c r="G1481" s="4">
        <v>2</v>
      </c>
      <c r="H1481" s="13"/>
      <c r="I1481" s="15"/>
      <c r="J1481" s="19">
        <v>2</v>
      </c>
      <c r="K1481" s="2" t="s">
        <v>2973</v>
      </c>
      <c r="L1481" s="11" t="str">
        <f t="shared" si="24"/>
        <v>Ver Imagen</v>
      </c>
      <c r="M1481" t="s">
        <v>15</v>
      </c>
    </row>
    <row r="1482" spans="1:13" x14ac:dyDescent="0.25">
      <c r="A1482">
        <v>1481</v>
      </c>
      <c r="B1482" t="s">
        <v>2974</v>
      </c>
      <c r="C1482" s="1">
        <v>37.516155417500002</v>
      </c>
      <c r="D1482" s="1">
        <v>-7.2674912991899996</v>
      </c>
      <c r="E1482" s="3">
        <v>2</v>
      </c>
      <c r="F1482" s="2">
        <v>1</v>
      </c>
      <c r="G1482" s="4">
        <v>2</v>
      </c>
      <c r="H1482" s="13"/>
      <c r="I1482" s="15"/>
      <c r="J1482" s="19">
        <v>2</v>
      </c>
      <c r="K1482" s="2" t="s">
        <v>2975</v>
      </c>
      <c r="L1482" s="11" t="str">
        <f t="shared" si="24"/>
        <v>Ver Imagen</v>
      </c>
      <c r="M1482" t="s">
        <v>15</v>
      </c>
    </row>
    <row r="1483" spans="1:13" x14ac:dyDescent="0.25">
      <c r="A1483">
        <v>1482</v>
      </c>
      <c r="B1483" t="s">
        <v>2976</v>
      </c>
      <c r="C1483" s="1">
        <v>37.516280141000003</v>
      </c>
      <c r="D1483" s="1">
        <v>-7.26726377497</v>
      </c>
      <c r="E1483" s="3">
        <v>2</v>
      </c>
      <c r="F1483" s="2">
        <v>1</v>
      </c>
      <c r="G1483" s="4">
        <v>2</v>
      </c>
      <c r="H1483" s="13"/>
      <c r="I1483" s="15"/>
      <c r="J1483" s="19">
        <v>2</v>
      </c>
      <c r="K1483" s="2" t="s">
        <v>2977</v>
      </c>
      <c r="L1483" s="11" t="str">
        <f t="shared" si="24"/>
        <v>Ver Imagen</v>
      </c>
      <c r="M1483" t="s">
        <v>15</v>
      </c>
    </row>
    <row r="1484" spans="1:13" x14ac:dyDescent="0.25">
      <c r="A1484">
        <v>1483</v>
      </c>
      <c r="B1484" t="s">
        <v>2978</v>
      </c>
      <c r="C1484" s="1">
        <v>37.517147357299997</v>
      </c>
      <c r="D1484" s="1">
        <v>-7.2655749867399999</v>
      </c>
      <c r="E1484" s="3">
        <v>2</v>
      </c>
      <c r="F1484" s="2">
        <v>1</v>
      </c>
      <c r="G1484" s="4">
        <v>2</v>
      </c>
      <c r="H1484" s="13"/>
      <c r="I1484" s="15"/>
      <c r="J1484" s="19">
        <v>2</v>
      </c>
      <c r="K1484" s="2" t="s">
        <v>2979</v>
      </c>
      <c r="L1484" s="11" t="str">
        <f t="shared" si="24"/>
        <v>Ver Imagen</v>
      </c>
      <c r="M1484" t="s">
        <v>15</v>
      </c>
    </row>
    <row r="1485" spans="1:13" x14ac:dyDescent="0.25">
      <c r="A1485">
        <v>1484</v>
      </c>
      <c r="B1485" t="s">
        <v>2980</v>
      </c>
      <c r="C1485" s="1">
        <v>37.517266150099999</v>
      </c>
      <c r="D1485" s="1">
        <v>-7.26534206004</v>
      </c>
      <c r="E1485" s="3">
        <v>2</v>
      </c>
      <c r="F1485" s="2">
        <v>1</v>
      </c>
      <c r="G1485" s="4">
        <v>2</v>
      </c>
      <c r="H1485" s="13"/>
      <c r="I1485" s="15"/>
      <c r="J1485" s="19">
        <v>2</v>
      </c>
      <c r="K1485" s="2" t="s">
        <v>2981</v>
      </c>
      <c r="L1485" s="11" t="str">
        <f t="shared" si="24"/>
        <v>Ver Imagen</v>
      </c>
      <c r="M1485" t="s">
        <v>15</v>
      </c>
    </row>
    <row r="1486" spans="1:13" x14ac:dyDescent="0.25">
      <c r="A1486">
        <v>1485</v>
      </c>
      <c r="B1486" t="s">
        <v>2982</v>
      </c>
      <c r="C1486" s="1">
        <v>37.5173871975</v>
      </c>
      <c r="D1486" s="1">
        <v>-7.2651045913100001</v>
      </c>
      <c r="E1486" s="3">
        <v>2</v>
      </c>
      <c r="F1486" s="2">
        <v>1</v>
      </c>
      <c r="G1486" s="4">
        <v>2</v>
      </c>
      <c r="H1486" s="13"/>
      <c r="I1486" s="15"/>
      <c r="J1486" s="19">
        <v>2</v>
      </c>
      <c r="K1486" s="2" t="s">
        <v>2983</v>
      </c>
      <c r="L1486" s="11" t="str">
        <f t="shared" si="24"/>
        <v>Ver Imagen</v>
      </c>
      <c r="M1486" t="s">
        <v>15</v>
      </c>
    </row>
    <row r="1487" spans="1:13" x14ac:dyDescent="0.25">
      <c r="A1487">
        <v>1486</v>
      </c>
      <c r="B1487" t="s">
        <v>2984</v>
      </c>
      <c r="C1487" s="1">
        <v>37.517479508800001</v>
      </c>
      <c r="D1487" s="1">
        <v>-7.2649232054699997</v>
      </c>
      <c r="E1487" s="3">
        <v>2</v>
      </c>
      <c r="F1487" s="2">
        <v>3</v>
      </c>
      <c r="G1487" s="4">
        <v>2</v>
      </c>
      <c r="H1487" s="13"/>
      <c r="I1487" s="15"/>
      <c r="J1487" s="19">
        <v>2</v>
      </c>
      <c r="K1487" s="2" t="s">
        <v>2985</v>
      </c>
      <c r="L1487" s="11" t="str">
        <f t="shared" si="24"/>
        <v>Ver Imagen</v>
      </c>
      <c r="M1487" t="s">
        <v>15</v>
      </c>
    </row>
    <row r="1488" spans="1:13" x14ac:dyDescent="0.25">
      <c r="A1488">
        <v>1487</v>
      </c>
      <c r="B1488" t="s">
        <v>2986</v>
      </c>
      <c r="C1488" s="1">
        <v>37.517578241700001</v>
      </c>
      <c r="D1488" s="1">
        <v>-7.2647293184599997</v>
      </c>
      <c r="E1488" s="3">
        <v>2</v>
      </c>
      <c r="F1488" s="2">
        <v>1</v>
      </c>
      <c r="G1488" s="4">
        <v>2</v>
      </c>
      <c r="H1488" s="13"/>
      <c r="I1488" s="15"/>
      <c r="J1488" s="19">
        <v>2</v>
      </c>
      <c r="K1488" s="2" t="s">
        <v>2987</v>
      </c>
      <c r="L1488" s="11" t="str">
        <f t="shared" si="24"/>
        <v>Ver Imagen</v>
      </c>
      <c r="M1488" t="s">
        <v>15</v>
      </c>
    </row>
    <row r="1489" spans="1:13" x14ac:dyDescent="0.25">
      <c r="A1489">
        <v>1488</v>
      </c>
      <c r="B1489" t="s">
        <v>2988</v>
      </c>
      <c r="C1489" s="1">
        <v>37.518455644200003</v>
      </c>
      <c r="D1489" s="1">
        <v>-7.2630141261399999</v>
      </c>
      <c r="E1489" s="3">
        <v>2</v>
      </c>
      <c r="F1489" s="2">
        <v>1</v>
      </c>
      <c r="G1489" s="4">
        <v>2</v>
      </c>
      <c r="H1489" s="13"/>
      <c r="I1489" s="15"/>
      <c r="J1489" s="19">
        <v>2</v>
      </c>
      <c r="K1489" s="2" t="s">
        <v>2989</v>
      </c>
      <c r="L1489" s="11" t="str">
        <f t="shared" si="24"/>
        <v>Ver Imagen</v>
      </c>
      <c r="M1489" t="s">
        <v>15</v>
      </c>
    </row>
    <row r="1490" spans="1:13" x14ac:dyDescent="0.25">
      <c r="A1490">
        <v>1489</v>
      </c>
      <c r="B1490" t="s">
        <v>2990</v>
      </c>
      <c r="C1490" s="1">
        <v>37.518569415899996</v>
      </c>
      <c r="D1490" s="1">
        <v>-7.26281225456</v>
      </c>
      <c r="E1490" s="3">
        <v>2</v>
      </c>
      <c r="F1490" s="2">
        <v>2</v>
      </c>
      <c r="G1490" s="4">
        <v>3</v>
      </c>
      <c r="H1490" s="13"/>
      <c r="I1490" s="15"/>
      <c r="J1490" s="19">
        <v>2</v>
      </c>
      <c r="K1490" s="2" t="s">
        <v>2991</v>
      </c>
      <c r="L1490" s="11" t="str">
        <f t="shared" si="24"/>
        <v>Ver Imagen</v>
      </c>
      <c r="M1490" t="s">
        <v>15</v>
      </c>
    </row>
    <row r="1491" spans="1:13" x14ac:dyDescent="0.25">
      <c r="A1491">
        <v>1490</v>
      </c>
      <c r="B1491" t="s">
        <v>2992</v>
      </c>
      <c r="C1491" s="1">
        <v>37.518827277699998</v>
      </c>
      <c r="D1491" s="1">
        <v>-7.2624298437599997</v>
      </c>
      <c r="E1491" s="3">
        <v>2</v>
      </c>
      <c r="F1491" s="2">
        <v>1</v>
      </c>
      <c r="G1491" s="4">
        <v>2</v>
      </c>
      <c r="H1491" s="13"/>
      <c r="I1491" s="15"/>
      <c r="J1491" s="19">
        <v>2</v>
      </c>
      <c r="K1491" s="2" t="s">
        <v>2993</v>
      </c>
      <c r="L1491" s="11" t="str">
        <f t="shared" si="24"/>
        <v>Ver Imagen</v>
      </c>
      <c r="M1491" t="s">
        <v>15</v>
      </c>
    </row>
    <row r="1492" spans="1:13" x14ac:dyDescent="0.25">
      <c r="A1492">
        <v>1491</v>
      </c>
      <c r="B1492" t="s">
        <v>2994</v>
      </c>
      <c r="C1492" s="1">
        <v>37.519129274699999</v>
      </c>
      <c r="D1492" s="1">
        <v>-7.2620838752000001</v>
      </c>
      <c r="E1492" s="3">
        <v>2</v>
      </c>
      <c r="F1492" s="2">
        <v>1</v>
      </c>
      <c r="G1492" s="4">
        <v>2</v>
      </c>
      <c r="H1492" s="13"/>
      <c r="I1492" s="15"/>
      <c r="J1492" s="19">
        <v>2</v>
      </c>
      <c r="K1492" s="2" t="s">
        <v>2995</v>
      </c>
      <c r="L1492" s="11" t="str">
        <f t="shared" si="24"/>
        <v>Ver Imagen</v>
      </c>
      <c r="M1492" t="s">
        <v>15</v>
      </c>
    </row>
    <row r="1493" spans="1:13" x14ac:dyDescent="0.25">
      <c r="A1493">
        <v>1492</v>
      </c>
      <c r="B1493" t="s">
        <v>2996</v>
      </c>
      <c r="C1493" s="1">
        <v>37.519441934100001</v>
      </c>
      <c r="D1493" s="1">
        <v>-7.26177644757</v>
      </c>
      <c r="E1493" s="3">
        <v>2</v>
      </c>
      <c r="F1493" s="2">
        <v>1</v>
      </c>
      <c r="G1493" s="4">
        <v>2</v>
      </c>
      <c r="H1493" s="13"/>
      <c r="I1493" s="15"/>
      <c r="J1493" s="19">
        <v>2</v>
      </c>
      <c r="K1493" s="2" t="s">
        <v>2997</v>
      </c>
      <c r="L1493" s="11" t="str">
        <f t="shared" si="24"/>
        <v>Ver Imagen</v>
      </c>
      <c r="M1493" t="s">
        <v>15</v>
      </c>
    </row>
    <row r="1494" spans="1:13" x14ac:dyDescent="0.25">
      <c r="A1494">
        <v>1493</v>
      </c>
      <c r="B1494" t="s">
        <v>2998</v>
      </c>
      <c r="C1494" s="1">
        <v>37.520102618800003</v>
      </c>
      <c r="D1494" s="1">
        <v>-7.2611596978200001</v>
      </c>
      <c r="E1494" s="3">
        <v>2</v>
      </c>
      <c r="F1494" s="2">
        <v>2</v>
      </c>
      <c r="G1494" s="4">
        <v>3</v>
      </c>
      <c r="H1494" s="13"/>
      <c r="I1494" s="15"/>
      <c r="J1494" s="19">
        <v>2</v>
      </c>
      <c r="K1494" s="2" t="s">
        <v>2999</v>
      </c>
      <c r="L1494" s="11" t="str">
        <f t="shared" si="24"/>
        <v>Ver Imagen</v>
      </c>
      <c r="M1494" t="s">
        <v>15</v>
      </c>
    </row>
    <row r="1495" spans="1:13" x14ac:dyDescent="0.25">
      <c r="A1495">
        <v>1494</v>
      </c>
      <c r="B1495" t="s">
        <v>3000</v>
      </c>
      <c r="C1495" s="1">
        <v>37.520428840500003</v>
      </c>
      <c r="D1495" s="1">
        <v>-7.2608531847200002</v>
      </c>
      <c r="E1495" s="3">
        <v>2</v>
      </c>
      <c r="F1495" s="2">
        <v>1</v>
      </c>
      <c r="G1495" s="4">
        <v>2</v>
      </c>
      <c r="H1495" s="13"/>
      <c r="I1495" s="15"/>
      <c r="J1495" s="19">
        <v>2</v>
      </c>
      <c r="K1495" s="2" t="s">
        <v>3001</v>
      </c>
      <c r="L1495" s="11" t="str">
        <f t="shared" si="24"/>
        <v>Ver Imagen</v>
      </c>
      <c r="M1495" t="s">
        <v>15</v>
      </c>
    </row>
    <row r="1496" spans="1:13" x14ac:dyDescent="0.25">
      <c r="A1496">
        <v>1495</v>
      </c>
      <c r="B1496" t="s">
        <v>3002</v>
      </c>
      <c r="C1496" s="1">
        <v>37.520730696699999</v>
      </c>
      <c r="D1496" s="1">
        <v>-7.2605687680199997</v>
      </c>
      <c r="E1496" s="3">
        <v>2</v>
      </c>
      <c r="F1496" s="2">
        <v>2</v>
      </c>
      <c r="G1496" s="4">
        <v>3</v>
      </c>
      <c r="H1496" s="13"/>
      <c r="I1496" s="15"/>
      <c r="J1496" s="19">
        <v>2</v>
      </c>
      <c r="K1496" s="2" t="s">
        <v>3003</v>
      </c>
      <c r="L1496" s="11" t="str">
        <f t="shared" si="24"/>
        <v>Ver Imagen</v>
      </c>
      <c r="M1496" t="s">
        <v>15</v>
      </c>
    </row>
    <row r="1497" spans="1:13" x14ac:dyDescent="0.25">
      <c r="A1497">
        <v>1496</v>
      </c>
      <c r="B1497" t="s">
        <v>3004</v>
      </c>
      <c r="C1497" s="1">
        <v>37.267672653699996</v>
      </c>
      <c r="D1497" s="1">
        <v>-6.9650970272899997</v>
      </c>
      <c r="E1497" s="3">
        <v>2</v>
      </c>
      <c r="F1497" s="2">
        <v>2</v>
      </c>
      <c r="G1497" s="4">
        <v>3</v>
      </c>
      <c r="H1497" s="13"/>
      <c r="I1497" s="15"/>
      <c r="J1497" s="19">
        <v>2</v>
      </c>
      <c r="K1497" s="2" t="s">
        <v>3005</v>
      </c>
      <c r="L1497" s="11" t="str">
        <f t="shared" si="24"/>
        <v>Ver Imagen</v>
      </c>
      <c r="M1497" t="s">
        <v>15</v>
      </c>
    </row>
    <row r="1498" spans="1:13" x14ac:dyDescent="0.25">
      <c r="A1498">
        <v>1497</v>
      </c>
      <c r="B1498" t="s">
        <v>3006</v>
      </c>
      <c r="C1498" s="1">
        <v>37.521069168399997</v>
      </c>
      <c r="D1498" s="1">
        <v>-7.2602508394100003</v>
      </c>
      <c r="E1498" s="3">
        <v>2</v>
      </c>
      <c r="F1498" s="2">
        <v>1</v>
      </c>
      <c r="G1498" s="4">
        <v>2</v>
      </c>
      <c r="H1498" s="13"/>
      <c r="I1498" s="15"/>
      <c r="J1498" s="19">
        <v>2</v>
      </c>
      <c r="K1498" s="2" t="s">
        <v>3007</v>
      </c>
      <c r="L1498" s="11" t="str">
        <f t="shared" si="24"/>
        <v>Ver Imagen</v>
      </c>
      <c r="M1498" t="s">
        <v>15</v>
      </c>
    </row>
    <row r="1499" spans="1:13" x14ac:dyDescent="0.25">
      <c r="A1499">
        <v>1498</v>
      </c>
      <c r="B1499" t="s">
        <v>3008</v>
      </c>
      <c r="C1499" s="1">
        <v>37.521232986000001</v>
      </c>
      <c r="D1499" s="1">
        <v>-7.26010158326</v>
      </c>
      <c r="E1499" s="3">
        <v>2</v>
      </c>
      <c r="F1499" s="2">
        <v>1</v>
      </c>
      <c r="G1499" s="4">
        <v>2</v>
      </c>
      <c r="H1499" s="13"/>
      <c r="I1499" s="15"/>
      <c r="J1499" s="19">
        <v>2</v>
      </c>
      <c r="K1499" s="2" t="s">
        <v>3009</v>
      </c>
      <c r="L1499" s="11" t="str">
        <f t="shared" si="24"/>
        <v>Ver Imagen</v>
      </c>
      <c r="M1499" t="s">
        <v>15</v>
      </c>
    </row>
    <row r="1500" spans="1:13" x14ac:dyDescent="0.25">
      <c r="A1500">
        <v>1499</v>
      </c>
      <c r="B1500" t="s">
        <v>3010</v>
      </c>
      <c r="C1500" s="1">
        <v>37.521570966600002</v>
      </c>
      <c r="D1500" s="1">
        <v>-7.2598284955399999</v>
      </c>
      <c r="E1500" s="3">
        <v>2</v>
      </c>
      <c r="F1500" s="2">
        <v>1</v>
      </c>
      <c r="G1500" s="4">
        <v>2</v>
      </c>
      <c r="H1500" s="13"/>
      <c r="I1500" s="15"/>
      <c r="J1500" s="19">
        <v>2</v>
      </c>
      <c r="K1500" s="2" t="s">
        <v>3011</v>
      </c>
      <c r="L1500" s="11" t="str">
        <f t="shared" si="24"/>
        <v>Ver Imagen</v>
      </c>
      <c r="M1500" t="s">
        <v>15</v>
      </c>
    </row>
    <row r="1501" spans="1:13" x14ac:dyDescent="0.25">
      <c r="A1501">
        <v>1500</v>
      </c>
      <c r="B1501" t="s">
        <v>3012</v>
      </c>
      <c r="C1501" s="1">
        <v>37.522311179299997</v>
      </c>
      <c r="D1501" s="1">
        <v>-7.2594165665899997</v>
      </c>
      <c r="E1501" s="3">
        <v>2</v>
      </c>
      <c r="F1501" s="2">
        <v>1</v>
      </c>
      <c r="G1501" s="4">
        <v>2</v>
      </c>
      <c r="H1501" s="13"/>
      <c r="I1501" s="15"/>
      <c r="J1501" s="19">
        <v>2</v>
      </c>
      <c r="K1501" s="2" t="s">
        <v>3013</v>
      </c>
      <c r="L1501" s="11" t="str">
        <f t="shared" si="24"/>
        <v>Ver Imagen</v>
      </c>
      <c r="M1501" t="s">
        <v>15</v>
      </c>
    </row>
    <row r="1502" spans="1:13" x14ac:dyDescent="0.25">
      <c r="A1502">
        <v>1501</v>
      </c>
      <c r="B1502" t="s">
        <v>3014</v>
      </c>
      <c r="C1502" s="1">
        <v>37.522508534899998</v>
      </c>
      <c r="D1502" s="1">
        <v>-7.2593399862799997</v>
      </c>
      <c r="E1502" s="3">
        <v>2</v>
      </c>
      <c r="F1502" s="2">
        <v>2</v>
      </c>
      <c r="G1502" s="4">
        <v>3</v>
      </c>
      <c r="H1502" s="13"/>
      <c r="I1502" s="15"/>
      <c r="J1502" s="19">
        <v>2</v>
      </c>
      <c r="K1502" s="2" t="s">
        <v>3015</v>
      </c>
      <c r="L1502" s="11" t="str">
        <f t="shared" si="24"/>
        <v>Ver Imagen</v>
      </c>
      <c r="M1502" t="s">
        <v>15</v>
      </c>
    </row>
    <row r="1503" spans="1:13" x14ac:dyDescent="0.25">
      <c r="A1503">
        <v>1502</v>
      </c>
      <c r="B1503" t="s">
        <v>3016</v>
      </c>
      <c r="C1503" s="1">
        <v>37.523285361900001</v>
      </c>
      <c r="D1503" s="1">
        <v>-7.2590405420900002</v>
      </c>
      <c r="E1503" s="3">
        <v>2</v>
      </c>
      <c r="F1503" s="2">
        <v>1</v>
      </c>
      <c r="G1503" s="4">
        <v>2</v>
      </c>
      <c r="H1503" s="13"/>
      <c r="I1503" s="15"/>
      <c r="J1503" s="19">
        <v>2</v>
      </c>
      <c r="K1503" s="2" t="s">
        <v>3017</v>
      </c>
      <c r="L1503" s="11" t="str">
        <f t="shared" si="24"/>
        <v>Ver Imagen</v>
      </c>
      <c r="M1503" t="s">
        <v>15</v>
      </c>
    </row>
    <row r="1504" spans="1:13" x14ac:dyDescent="0.25">
      <c r="A1504">
        <v>1503</v>
      </c>
      <c r="B1504" t="s">
        <v>3018</v>
      </c>
      <c r="C1504" s="1">
        <v>37.2680127653</v>
      </c>
      <c r="D1504" s="1">
        <v>-6.9698832785500002</v>
      </c>
      <c r="E1504" s="3">
        <v>2</v>
      </c>
      <c r="F1504" s="2">
        <v>3</v>
      </c>
      <c r="G1504" s="4">
        <v>2</v>
      </c>
      <c r="H1504" s="13"/>
      <c r="I1504" s="15"/>
      <c r="J1504" s="19">
        <v>2</v>
      </c>
      <c r="K1504" s="2" t="s">
        <v>3019</v>
      </c>
      <c r="L1504" s="11" t="str">
        <f t="shared" si="24"/>
        <v>Ver Imagen</v>
      </c>
      <c r="M1504" t="s">
        <v>15</v>
      </c>
    </row>
    <row r="1505" spans="1:13" x14ac:dyDescent="0.25">
      <c r="A1505">
        <v>1504</v>
      </c>
      <c r="B1505" t="s">
        <v>3020</v>
      </c>
      <c r="C1505" s="1">
        <v>37.523827437900003</v>
      </c>
      <c r="D1505" s="1">
        <v>-7.2587000221500002</v>
      </c>
      <c r="E1505" s="3">
        <v>2</v>
      </c>
      <c r="F1505" s="2">
        <v>3</v>
      </c>
      <c r="G1505" s="4">
        <v>2</v>
      </c>
      <c r="H1505" s="13"/>
      <c r="I1505" s="15"/>
      <c r="J1505" s="19">
        <v>2</v>
      </c>
      <c r="K1505" s="2" t="s">
        <v>3021</v>
      </c>
      <c r="L1505" s="11" t="str">
        <f t="shared" si="24"/>
        <v>Ver Imagen</v>
      </c>
      <c r="M1505" t="s">
        <v>15</v>
      </c>
    </row>
    <row r="1506" spans="1:13" x14ac:dyDescent="0.25">
      <c r="A1506">
        <v>1505</v>
      </c>
      <c r="B1506" t="s">
        <v>3022</v>
      </c>
      <c r="C1506" s="1">
        <v>37.524004543700002</v>
      </c>
      <c r="D1506" s="1">
        <v>-7.2585494751199997</v>
      </c>
      <c r="E1506" s="3">
        <v>2</v>
      </c>
      <c r="F1506" s="2">
        <v>3</v>
      </c>
      <c r="G1506" s="4">
        <v>2</v>
      </c>
      <c r="H1506" s="13"/>
      <c r="I1506" s="15"/>
      <c r="J1506" s="19">
        <v>2</v>
      </c>
      <c r="K1506" s="2" t="s">
        <v>3023</v>
      </c>
      <c r="L1506" s="11" t="str">
        <f t="shared" si="24"/>
        <v>Ver Imagen</v>
      </c>
      <c r="M1506" t="s">
        <v>15</v>
      </c>
    </row>
    <row r="1507" spans="1:13" x14ac:dyDescent="0.25">
      <c r="A1507">
        <v>1506</v>
      </c>
      <c r="B1507" t="s">
        <v>3024</v>
      </c>
      <c r="C1507" s="1">
        <v>37.5241411943</v>
      </c>
      <c r="D1507" s="1">
        <v>-7.2584166332100004</v>
      </c>
      <c r="E1507" s="3">
        <v>2</v>
      </c>
      <c r="F1507" s="2">
        <v>1</v>
      </c>
      <c r="G1507" s="4">
        <v>2</v>
      </c>
      <c r="H1507" s="13"/>
      <c r="I1507" s="15"/>
      <c r="J1507" s="19">
        <v>2</v>
      </c>
      <c r="K1507" s="2" t="s">
        <v>3025</v>
      </c>
      <c r="L1507" s="11" t="str">
        <f t="shared" si="24"/>
        <v>Ver Imagen</v>
      </c>
      <c r="M1507" t="s">
        <v>15</v>
      </c>
    </row>
    <row r="1508" spans="1:13" x14ac:dyDescent="0.25">
      <c r="A1508">
        <v>1507</v>
      </c>
      <c r="B1508" t="s">
        <v>3026</v>
      </c>
      <c r="C1508" s="1">
        <v>37.524835510599999</v>
      </c>
      <c r="D1508" s="1">
        <v>-7.2574752329300001</v>
      </c>
      <c r="E1508" s="3">
        <v>2</v>
      </c>
      <c r="F1508" s="2">
        <v>1</v>
      </c>
      <c r="G1508" s="4">
        <v>2</v>
      </c>
      <c r="H1508" s="13"/>
      <c r="I1508" s="15"/>
      <c r="J1508" s="19">
        <v>2</v>
      </c>
      <c r="K1508" s="2" t="s">
        <v>3027</v>
      </c>
      <c r="L1508" s="11" t="str">
        <f t="shared" si="24"/>
        <v>Ver Imagen</v>
      </c>
      <c r="M1508" t="s">
        <v>15</v>
      </c>
    </row>
    <row r="1509" spans="1:13" x14ac:dyDescent="0.25">
      <c r="A1509">
        <v>1508</v>
      </c>
      <c r="B1509" t="s">
        <v>3028</v>
      </c>
      <c r="C1509" s="1">
        <v>37.5257279665</v>
      </c>
      <c r="D1509" s="1">
        <v>-7.2560609606000002</v>
      </c>
      <c r="E1509" s="3">
        <v>2</v>
      </c>
      <c r="F1509" s="2">
        <v>1</v>
      </c>
      <c r="G1509" s="4">
        <v>2</v>
      </c>
      <c r="H1509" s="13"/>
      <c r="I1509" s="15"/>
      <c r="J1509" s="19">
        <v>2</v>
      </c>
      <c r="K1509" s="2" t="s">
        <v>3029</v>
      </c>
      <c r="L1509" s="11" t="str">
        <f t="shared" si="24"/>
        <v>Ver Imagen</v>
      </c>
      <c r="M1509" t="s">
        <v>15</v>
      </c>
    </row>
    <row r="1510" spans="1:13" x14ac:dyDescent="0.25">
      <c r="A1510">
        <v>1509</v>
      </c>
      <c r="B1510" t="s">
        <v>3030</v>
      </c>
      <c r="C1510" s="1">
        <v>37.526002237900002</v>
      </c>
      <c r="D1510" s="1">
        <v>-7.2557023751200003</v>
      </c>
      <c r="E1510" s="3">
        <v>2</v>
      </c>
      <c r="F1510" s="2">
        <v>1</v>
      </c>
      <c r="G1510" s="4">
        <v>2</v>
      </c>
      <c r="H1510" s="13"/>
      <c r="I1510" s="15"/>
      <c r="J1510" s="19">
        <v>2</v>
      </c>
      <c r="K1510" s="2" t="s">
        <v>3031</v>
      </c>
      <c r="L1510" s="11" t="str">
        <f t="shared" si="24"/>
        <v>Ver Imagen</v>
      </c>
      <c r="M1510" t="s">
        <v>15</v>
      </c>
    </row>
    <row r="1511" spans="1:13" x14ac:dyDescent="0.25">
      <c r="A1511">
        <v>1510</v>
      </c>
      <c r="B1511" t="s">
        <v>3032</v>
      </c>
      <c r="C1511" s="1">
        <v>37.270449855599999</v>
      </c>
      <c r="D1511" s="1">
        <v>-6.9806045329200002</v>
      </c>
      <c r="E1511" s="3">
        <v>2</v>
      </c>
      <c r="F1511" s="2">
        <v>3</v>
      </c>
      <c r="G1511" s="4">
        <v>2</v>
      </c>
      <c r="H1511" s="13"/>
      <c r="I1511" s="15"/>
      <c r="J1511" s="19">
        <v>2</v>
      </c>
      <c r="K1511" s="2" t="s">
        <v>3033</v>
      </c>
      <c r="L1511" s="11" t="str">
        <f t="shared" si="24"/>
        <v>Ver Imagen</v>
      </c>
      <c r="M1511" t="s">
        <v>15</v>
      </c>
    </row>
    <row r="1512" spans="1:13" x14ac:dyDescent="0.25">
      <c r="A1512">
        <v>1511</v>
      </c>
      <c r="B1512" t="s">
        <v>3034</v>
      </c>
      <c r="C1512" s="1">
        <v>37.270641142099997</v>
      </c>
      <c r="D1512" s="1">
        <v>-6.9812726782199999</v>
      </c>
      <c r="E1512" s="3">
        <v>2</v>
      </c>
      <c r="F1512" s="2">
        <v>3</v>
      </c>
      <c r="G1512" s="4">
        <v>2</v>
      </c>
      <c r="H1512" s="13"/>
      <c r="I1512" s="15"/>
      <c r="J1512" s="19">
        <v>2</v>
      </c>
      <c r="K1512" s="2" t="s">
        <v>3035</v>
      </c>
      <c r="L1512" s="11" t="str">
        <f t="shared" si="24"/>
        <v>Ver Imagen</v>
      </c>
      <c r="M1512" t="s">
        <v>15</v>
      </c>
    </row>
    <row r="1513" spans="1:13" x14ac:dyDescent="0.25">
      <c r="A1513">
        <v>1512</v>
      </c>
      <c r="B1513" t="s">
        <v>3036</v>
      </c>
      <c r="C1513" s="1">
        <v>37.271603323100003</v>
      </c>
      <c r="D1513" s="1">
        <v>-6.9878917744700004</v>
      </c>
      <c r="E1513" s="3">
        <v>2</v>
      </c>
      <c r="F1513" s="2">
        <v>3</v>
      </c>
      <c r="G1513" s="4">
        <v>2</v>
      </c>
      <c r="H1513" s="13"/>
      <c r="I1513" s="15"/>
      <c r="J1513" s="19">
        <v>2</v>
      </c>
      <c r="K1513" s="2" t="s">
        <v>3037</v>
      </c>
      <c r="L1513" s="11" t="str">
        <f t="shared" si="24"/>
        <v>Ver Imagen</v>
      </c>
      <c r="M1513" t="s">
        <v>15</v>
      </c>
    </row>
    <row r="1514" spans="1:13" x14ac:dyDescent="0.25">
      <c r="A1514">
        <v>1513</v>
      </c>
      <c r="B1514" t="s">
        <v>3038</v>
      </c>
      <c r="C1514" s="1">
        <v>37.271497698799998</v>
      </c>
      <c r="D1514" s="1">
        <v>-6.9881350723400004</v>
      </c>
      <c r="E1514" s="3">
        <v>2</v>
      </c>
      <c r="F1514" s="2">
        <v>1</v>
      </c>
      <c r="G1514" s="4">
        <v>2</v>
      </c>
      <c r="H1514" s="13"/>
      <c r="I1514" s="15"/>
      <c r="J1514" s="19">
        <v>2</v>
      </c>
      <c r="K1514" s="2" t="s">
        <v>3039</v>
      </c>
      <c r="L1514" s="11" t="str">
        <f t="shared" si="24"/>
        <v>Ver Imagen</v>
      </c>
      <c r="M1514" t="s">
        <v>15</v>
      </c>
    </row>
    <row r="1515" spans="1:13" x14ac:dyDescent="0.25">
      <c r="A1515">
        <v>1514</v>
      </c>
      <c r="B1515" t="s">
        <v>3040</v>
      </c>
      <c r="C1515" s="1">
        <v>37.268183078100002</v>
      </c>
      <c r="D1515" s="1">
        <v>-6.9909247994600001</v>
      </c>
      <c r="E1515" s="3">
        <v>2</v>
      </c>
      <c r="F1515" s="2">
        <v>3</v>
      </c>
      <c r="G1515" s="4">
        <v>2</v>
      </c>
      <c r="H1515" s="13"/>
      <c r="I1515" s="15"/>
      <c r="J1515" s="19">
        <v>2</v>
      </c>
      <c r="K1515" s="2" t="s">
        <v>3041</v>
      </c>
      <c r="L1515" s="11" t="str">
        <f t="shared" si="24"/>
        <v>Ver Imagen</v>
      </c>
      <c r="M1515" t="s">
        <v>15</v>
      </c>
    </row>
    <row r="1516" spans="1:13" x14ac:dyDescent="0.25">
      <c r="A1516">
        <v>1515</v>
      </c>
      <c r="B1516" t="s">
        <v>3042</v>
      </c>
      <c r="C1516" s="1">
        <v>37.267473002899997</v>
      </c>
      <c r="D1516" s="1">
        <v>-6.99145427812</v>
      </c>
      <c r="E1516" s="3">
        <v>2</v>
      </c>
      <c r="F1516" s="2">
        <v>3</v>
      </c>
      <c r="G1516" s="4">
        <v>2</v>
      </c>
      <c r="H1516" s="13"/>
      <c r="I1516" s="15"/>
      <c r="J1516" s="19">
        <v>2</v>
      </c>
      <c r="K1516" s="2" t="s">
        <v>3043</v>
      </c>
      <c r="L1516" s="11" t="str">
        <f t="shared" si="24"/>
        <v>Ver Imagen</v>
      </c>
      <c r="M1516" t="s">
        <v>15</v>
      </c>
    </row>
    <row r="1517" spans="1:13" x14ac:dyDescent="0.25">
      <c r="A1517">
        <v>1516</v>
      </c>
      <c r="B1517" t="s">
        <v>3044</v>
      </c>
      <c r="C1517" s="1">
        <v>37.266465398400001</v>
      </c>
      <c r="D1517" s="1">
        <v>-6.9926540891900002</v>
      </c>
      <c r="E1517" s="3">
        <v>2</v>
      </c>
      <c r="F1517" s="2">
        <v>3</v>
      </c>
      <c r="G1517" s="4">
        <v>2</v>
      </c>
      <c r="H1517" s="13"/>
      <c r="I1517" s="15"/>
      <c r="J1517" s="19">
        <v>2</v>
      </c>
      <c r="K1517" s="2" t="s">
        <v>3045</v>
      </c>
      <c r="L1517" s="11" t="str">
        <f t="shared" si="24"/>
        <v>Ver Imagen</v>
      </c>
      <c r="M1517" t="s">
        <v>15</v>
      </c>
    </row>
    <row r="1518" spans="1:13" x14ac:dyDescent="0.25">
      <c r="A1518">
        <v>1517</v>
      </c>
      <c r="B1518" t="s">
        <v>3046</v>
      </c>
      <c r="C1518" s="1">
        <v>37.190145811999997</v>
      </c>
      <c r="D1518" s="1">
        <v>-6.9779192341799998</v>
      </c>
      <c r="E1518" s="3">
        <v>2</v>
      </c>
      <c r="F1518" s="2">
        <v>3</v>
      </c>
      <c r="G1518" s="4">
        <v>2</v>
      </c>
      <c r="H1518" s="13"/>
      <c r="I1518" s="15"/>
      <c r="J1518" s="19">
        <v>2</v>
      </c>
      <c r="K1518" s="2" t="s">
        <v>3047</v>
      </c>
      <c r="L1518" s="11" t="str">
        <f t="shared" si="24"/>
        <v>Ver Imagen</v>
      </c>
      <c r="M1518" t="s">
        <v>15</v>
      </c>
    </row>
    <row r="1519" spans="1:13" x14ac:dyDescent="0.25">
      <c r="A1519">
        <v>1518</v>
      </c>
      <c r="B1519" t="s">
        <v>3048</v>
      </c>
      <c r="C1519" s="1">
        <v>37.190756083099998</v>
      </c>
      <c r="D1519" s="1">
        <v>-6.9777640414700004</v>
      </c>
      <c r="E1519" s="3">
        <v>2</v>
      </c>
      <c r="F1519" s="2">
        <v>3</v>
      </c>
      <c r="G1519" s="4">
        <v>2</v>
      </c>
      <c r="H1519" s="13"/>
      <c r="I1519" s="15"/>
      <c r="J1519" s="19">
        <v>2</v>
      </c>
      <c r="K1519" s="2" t="s">
        <v>3049</v>
      </c>
      <c r="L1519" s="11" t="str">
        <f t="shared" si="24"/>
        <v>Ver Imagen</v>
      </c>
      <c r="M1519" t="s">
        <v>15</v>
      </c>
    </row>
    <row r="1520" spans="1:13" x14ac:dyDescent="0.25">
      <c r="A1520">
        <v>1519</v>
      </c>
      <c r="B1520" t="s">
        <v>3050</v>
      </c>
      <c r="C1520" s="1">
        <v>37.191007658700002</v>
      </c>
      <c r="D1520" s="1">
        <v>-6.9777053376999998</v>
      </c>
      <c r="E1520" s="3">
        <v>2</v>
      </c>
      <c r="F1520" s="2">
        <v>3</v>
      </c>
      <c r="G1520" s="4">
        <v>2</v>
      </c>
      <c r="H1520" s="13"/>
      <c r="I1520" s="15"/>
      <c r="J1520" s="19">
        <v>2</v>
      </c>
      <c r="K1520" s="2" t="s">
        <v>3051</v>
      </c>
      <c r="L1520" s="11" t="str">
        <f t="shared" si="24"/>
        <v>Ver Imagen</v>
      </c>
      <c r="M1520" t="s">
        <v>15</v>
      </c>
    </row>
    <row r="1521" spans="1:13" x14ac:dyDescent="0.25">
      <c r="A1521">
        <v>1520</v>
      </c>
      <c r="B1521" t="s">
        <v>3052</v>
      </c>
      <c r="C1521" s="1">
        <v>37.265608867200001</v>
      </c>
      <c r="D1521" s="1">
        <v>-6.9954643936599998</v>
      </c>
      <c r="E1521" s="3">
        <v>2</v>
      </c>
      <c r="F1521" s="2">
        <v>2</v>
      </c>
      <c r="G1521" s="4">
        <v>1</v>
      </c>
      <c r="H1521" s="13"/>
      <c r="I1521" s="15"/>
      <c r="J1521" s="19">
        <v>2</v>
      </c>
      <c r="K1521" s="2" t="s">
        <v>3053</v>
      </c>
      <c r="L1521" s="11" t="str">
        <f t="shared" si="24"/>
        <v>Ver Imagen</v>
      </c>
      <c r="M1521" t="s">
        <v>15</v>
      </c>
    </row>
    <row r="1522" spans="1:13" x14ac:dyDescent="0.25">
      <c r="A1522">
        <v>1521</v>
      </c>
      <c r="B1522" t="s">
        <v>3054</v>
      </c>
      <c r="C1522" s="1">
        <v>37.197099102000003</v>
      </c>
      <c r="D1522" s="1">
        <v>-6.9793245497000003</v>
      </c>
      <c r="E1522" s="3">
        <v>2</v>
      </c>
      <c r="F1522" s="2">
        <v>3</v>
      </c>
      <c r="G1522" s="4">
        <v>2</v>
      </c>
      <c r="H1522" s="13"/>
      <c r="I1522" s="15"/>
      <c r="J1522" s="19">
        <v>2</v>
      </c>
      <c r="K1522" s="2" t="s">
        <v>3055</v>
      </c>
      <c r="L1522" s="11" t="str">
        <f t="shared" si="24"/>
        <v>Ver Imagen</v>
      </c>
      <c r="M1522" t="s">
        <v>15</v>
      </c>
    </row>
    <row r="1523" spans="1:13" x14ac:dyDescent="0.25">
      <c r="A1523">
        <v>1522</v>
      </c>
      <c r="B1523" t="s">
        <v>3056</v>
      </c>
      <c r="C1523" s="1">
        <v>37.199202559500002</v>
      </c>
      <c r="D1523" s="1">
        <v>-6.9829697037500003</v>
      </c>
      <c r="E1523" s="3">
        <v>2</v>
      </c>
      <c r="F1523" s="2">
        <v>3</v>
      </c>
      <c r="G1523" s="4">
        <v>2</v>
      </c>
      <c r="H1523" s="13"/>
      <c r="I1523" s="15"/>
      <c r="J1523" s="19">
        <v>2</v>
      </c>
      <c r="K1523" s="2" t="s">
        <v>3057</v>
      </c>
      <c r="L1523" s="11" t="str">
        <f t="shared" si="24"/>
        <v>Ver Imagen</v>
      </c>
      <c r="M1523" t="s">
        <v>15</v>
      </c>
    </row>
    <row r="1524" spans="1:13" x14ac:dyDescent="0.25">
      <c r="A1524">
        <v>1523</v>
      </c>
      <c r="B1524" t="s">
        <v>3058</v>
      </c>
      <c r="C1524" s="1">
        <v>37.199683385699998</v>
      </c>
      <c r="D1524" s="1">
        <v>-6.9846050096600001</v>
      </c>
      <c r="E1524" s="3">
        <v>2</v>
      </c>
      <c r="F1524" s="2">
        <v>3</v>
      </c>
      <c r="G1524" s="4">
        <v>2</v>
      </c>
      <c r="H1524" s="13"/>
      <c r="I1524" s="15"/>
      <c r="J1524" s="19">
        <v>2</v>
      </c>
      <c r="K1524" s="2" t="s">
        <v>3059</v>
      </c>
      <c r="L1524" s="11" t="str">
        <f t="shared" si="24"/>
        <v>Ver Imagen</v>
      </c>
      <c r="M1524" t="s">
        <v>15</v>
      </c>
    </row>
    <row r="1525" spans="1:13" x14ac:dyDescent="0.25">
      <c r="A1525">
        <v>1524</v>
      </c>
      <c r="B1525" t="s">
        <v>3060</v>
      </c>
      <c r="C1525" s="1">
        <v>37.261312704700003</v>
      </c>
      <c r="D1525" s="1">
        <v>-7.01086094361</v>
      </c>
      <c r="E1525" s="3">
        <v>2</v>
      </c>
      <c r="F1525" s="2">
        <v>3</v>
      </c>
      <c r="G1525" s="4">
        <v>2</v>
      </c>
      <c r="H1525" s="13"/>
      <c r="I1525" s="15"/>
      <c r="J1525" s="19">
        <v>2</v>
      </c>
      <c r="K1525" s="2" t="s">
        <v>3061</v>
      </c>
      <c r="L1525" s="11" t="str">
        <f t="shared" si="24"/>
        <v>Ver Imagen</v>
      </c>
      <c r="M1525" t="s">
        <v>15</v>
      </c>
    </row>
    <row r="1526" spans="1:13" x14ac:dyDescent="0.25">
      <c r="A1526">
        <v>1525</v>
      </c>
      <c r="B1526" t="s">
        <v>3062</v>
      </c>
      <c r="C1526" s="1">
        <v>37.2608049822</v>
      </c>
      <c r="D1526" s="1">
        <v>-7.0111965198800004</v>
      </c>
      <c r="E1526" s="3">
        <v>2</v>
      </c>
      <c r="F1526" s="2">
        <v>1</v>
      </c>
      <c r="G1526" s="4">
        <v>2</v>
      </c>
      <c r="H1526" s="13"/>
      <c r="I1526" s="15"/>
      <c r="J1526" s="19">
        <v>2</v>
      </c>
      <c r="K1526" s="2" t="s">
        <v>3063</v>
      </c>
      <c r="L1526" s="11" t="str">
        <f t="shared" si="24"/>
        <v>Ver Imagen</v>
      </c>
      <c r="M1526" t="s">
        <v>15</v>
      </c>
    </row>
    <row r="1527" spans="1:13" x14ac:dyDescent="0.25">
      <c r="A1527">
        <v>1526</v>
      </c>
      <c r="B1527" t="s">
        <v>3064</v>
      </c>
      <c r="C1527" s="1">
        <v>37.260426988100001</v>
      </c>
      <c r="D1527" s="1">
        <v>-7.0114368331200003</v>
      </c>
      <c r="E1527" s="3">
        <v>2</v>
      </c>
      <c r="F1527" s="2">
        <v>3</v>
      </c>
      <c r="G1527" s="4">
        <v>2</v>
      </c>
      <c r="H1527" s="13"/>
      <c r="I1527" s="15"/>
      <c r="J1527" s="19">
        <v>2</v>
      </c>
      <c r="K1527" s="2" t="s">
        <v>3065</v>
      </c>
      <c r="L1527" s="11" t="str">
        <f t="shared" si="24"/>
        <v>Ver Imagen</v>
      </c>
      <c r="M1527" t="s">
        <v>15</v>
      </c>
    </row>
    <row r="1528" spans="1:13" x14ac:dyDescent="0.25">
      <c r="A1528">
        <v>1527</v>
      </c>
      <c r="B1528" t="s">
        <v>3066</v>
      </c>
      <c r="C1528" s="1">
        <v>37.2002379973</v>
      </c>
      <c r="D1528" s="1">
        <v>-6.9868141898199996</v>
      </c>
      <c r="E1528" s="3">
        <v>2</v>
      </c>
      <c r="F1528" s="2">
        <v>3</v>
      </c>
      <c r="G1528" s="4">
        <v>2</v>
      </c>
      <c r="H1528" s="13"/>
      <c r="I1528" s="15"/>
      <c r="J1528" s="19">
        <v>2</v>
      </c>
      <c r="K1528" s="2" t="s">
        <v>3067</v>
      </c>
      <c r="L1528" s="11" t="str">
        <f t="shared" si="24"/>
        <v>Ver Imagen</v>
      </c>
      <c r="M1528" t="s">
        <v>15</v>
      </c>
    </row>
    <row r="1529" spans="1:13" x14ac:dyDescent="0.25">
      <c r="A1529">
        <v>1528</v>
      </c>
      <c r="B1529" t="s">
        <v>3068</v>
      </c>
      <c r="C1529" s="1">
        <v>37.258779357599998</v>
      </c>
      <c r="D1529" s="1">
        <v>-7.0124854473599996</v>
      </c>
      <c r="E1529" s="3">
        <v>2</v>
      </c>
      <c r="F1529" s="2">
        <v>3</v>
      </c>
      <c r="G1529" s="4">
        <v>2</v>
      </c>
      <c r="H1529" s="13"/>
      <c r="I1529" s="15"/>
      <c r="J1529" s="19">
        <v>2</v>
      </c>
      <c r="K1529" s="2" t="s">
        <v>3069</v>
      </c>
      <c r="L1529" s="11" t="str">
        <f t="shared" si="24"/>
        <v>Ver Imagen</v>
      </c>
      <c r="M1529" t="s">
        <v>15</v>
      </c>
    </row>
    <row r="1530" spans="1:13" x14ac:dyDescent="0.25">
      <c r="A1530">
        <v>1529</v>
      </c>
      <c r="B1530" t="s">
        <v>3070</v>
      </c>
      <c r="C1530" s="1">
        <v>37.255884079700003</v>
      </c>
      <c r="D1530" s="1">
        <v>-7.0143239745899999</v>
      </c>
      <c r="E1530" s="3">
        <v>2</v>
      </c>
      <c r="F1530" s="2">
        <v>2</v>
      </c>
      <c r="G1530" s="4">
        <v>3</v>
      </c>
      <c r="H1530" s="13"/>
      <c r="I1530" s="15"/>
      <c r="J1530" s="19">
        <v>2</v>
      </c>
      <c r="K1530" s="2" t="s">
        <v>3071</v>
      </c>
      <c r="L1530" s="11" t="str">
        <f t="shared" si="24"/>
        <v>Ver Imagen</v>
      </c>
      <c r="M1530" t="s">
        <v>15</v>
      </c>
    </row>
    <row r="1531" spans="1:13" x14ac:dyDescent="0.25">
      <c r="A1531">
        <v>1530</v>
      </c>
      <c r="B1531" t="s">
        <v>3072</v>
      </c>
      <c r="C1531" s="1">
        <v>37.204366826899999</v>
      </c>
      <c r="D1531" s="1">
        <v>-7.0123707742799999</v>
      </c>
      <c r="E1531" s="3">
        <v>3</v>
      </c>
      <c r="F1531" s="2">
        <v>2</v>
      </c>
      <c r="G1531" s="4">
        <v>2</v>
      </c>
      <c r="H1531" s="13"/>
      <c r="I1531" s="15"/>
      <c r="J1531" s="19">
        <v>2</v>
      </c>
      <c r="K1531" s="2" t="s">
        <v>3073</v>
      </c>
      <c r="L1531" s="11" t="str">
        <f t="shared" si="24"/>
        <v>Ver Imagen</v>
      </c>
      <c r="M1531" t="s">
        <v>15</v>
      </c>
    </row>
    <row r="1532" spans="1:13" x14ac:dyDescent="0.25">
      <c r="A1532">
        <v>1531</v>
      </c>
      <c r="B1532" t="s">
        <v>3074</v>
      </c>
      <c r="C1532" s="1">
        <v>37.248902350199998</v>
      </c>
      <c r="D1532" s="1">
        <v>-7.0183163338299996</v>
      </c>
      <c r="E1532" s="3">
        <v>2</v>
      </c>
      <c r="F1532" s="2">
        <v>3</v>
      </c>
      <c r="G1532" s="4">
        <v>2</v>
      </c>
      <c r="H1532" s="13"/>
      <c r="I1532" s="15"/>
      <c r="J1532" s="19">
        <v>2</v>
      </c>
      <c r="K1532" s="2" t="s">
        <v>3075</v>
      </c>
      <c r="L1532" s="11" t="str">
        <f t="shared" si="24"/>
        <v>Ver Imagen</v>
      </c>
      <c r="M1532" t="s">
        <v>15</v>
      </c>
    </row>
    <row r="1533" spans="1:13" x14ac:dyDescent="0.25">
      <c r="A1533">
        <v>1532</v>
      </c>
      <c r="B1533" t="s">
        <v>3076</v>
      </c>
      <c r="C1533" s="1">
        <v>37.2460862342</v>
      </c>
      <c r="D1533" s="1">
        <v>-7.0184486582499996</v>
      </c>
      <c r="E1533" s="3">
        <v>2</v>
      </c>
      <c r="F1533" s="2">
        <v>3</v>
      </c>
      <c r="G1533" s="4">
        <v>2</v>
      </c>
      <c r="H1533" s="13"/>
      <c r="I1533" s="15"/>
      <c r="J1533" s="19">
        <v>2</v>
      </c>
      <c r="K1533" s="2" t="s">
        <v>3077</v>
      </c>
      <c r="L1533" s="11" t="str">
        <f t="shared" si="24"/>
        <v>Ver Imagen</v>
      </c>
      <c r="M1533" t="s">
        <v>15</v>
      </c>
    </row>
    <row r="1534" spans="1:13" x14ac:dyDescent="0.25">
      <c r="A1534">
        <v>1533</v>
      </c>
      <c r="B1534" t="s">
        <v>3078</v>
      </c>
      <c r="C1534" s="1">
        <v>37.227892165599997</v>
      </c>
      <c r="D1534" s="1">
        <v>-7.0220638217999998</v>
      </c>
      <c r="E1534" s="3">
        <v>2</v>
      </c>
      <c r="F1534" s="2">
        <v>1</v>
      </c>
      <c r="G1534" s="4">
        <v>2</v>
      </c>
      <c r="H1534" s="13"/>
      <c r="I1534" s="15"/>
      <c r="J1534" s="19">
        <v>2</v>
      </c>
      <c r="K1534" s="2" t="s">
        <v>3079</v>
      </c>
      <c r="L1534" s="11" t="str">
        <f t="shared" si="24"/>
        <v>Ver Imagen</v>
      </c>
      <c r="M1534" t="s">
        <v>15</v>
      </c>
    </row>
    <row r="1535" spans="1:13" x14ac:dyDescent="0.25">
      <c r="A1535">
        <v>1534</v>
      </c>
      <c r="B1535" t="s">
        <v>3080</v>
      </c>
      <c r="C1535" s="1">
        <v>37.226129264599997</v>
      </c>
      <c r="D1535" s="1">
        <v>-7.0231504078600002</v>
      </c>
      <c r="E1535" s="3">
        <v>2</v>
      </c>
      <c r="F1535" s="2">
        <v>1</v>
      </c>
      <c r="G1535" s="4">
        <v>2</v>
      </c>
      <c r="H1535" s="13"/>
      <c r="I1535" s="15"/>
      <c r="J1535" s="19">
        <v>2</v>
      </c>
      <c r="K1535" s="2" t="s">
        <v>3081</v>
      </c>
      <c r="L1535" s="11" t="str">
        <f t="shared" si="24"/>
        <v>Ver Imagen</v>
      </c>
      <c r="M1535" t="s">
        <v>15</v>
      </c>
    </row>
    <row r="1536" spans="1:13" x14ac:dyDescent="0.25">
      <c r="A1536">
        <v>1535</v>
      </c>
      <c r="B1536" t="s">
        <v>3082</v>
      </c>
      <c r="C1536" s="1">
        <v>37.225880216</v>
      </c>
      <c r="D1536" s="1">
        <v>-7.0232344235599999</v>
      </c>
      <c r="E1536" s="3">
        <v>2</v>
      </c>
      <c r="F1536" s="2">
        <v>1</v>
      </c>
      <c r="G1536" s="4">
        <v>2</v>
      </c>
      <c r="H1536" s="13"/>
      <c r="I1536" s="15"/>
      <c r="J1536" s="19">
        <v>2</v>
      </c>
      <c r="K1536" s="2" t="s">
        <v>3083</v>
      </c>
      <c r="L1536" s="11" t="str">
        <f t="shared" si="24"/>
        <v>Ver Imagen</v>
      </c>
      <c r="M1536" t="s">
        <v>15</v>
      </c>
    </row>
    <row r="1537" spans="1:13" x14ac:dyDescent="0.25">
      <c r="A1537">
        <v>1536</v>
      </c>
      <c r="B1537" t="s">
        <v>3084</v>
      </c>
      <c r="C1537" s="1">
        <v>37.214583350700003</v>
      </c>
      <c r="D1537" s="1">
        <v>-7.0234866490399996</v>
      </c>
      <c r="E1537" s="3">
        <v>2</v>
      </c>
      <c r="F1537" s="2">
        <v>1</v>
      </c>
      <c r="G1537" s="4">
        <v>2</v>
      </c>
      <c r="H1537" s="13"/>
      <c r="I1537" s="15"/>
      <c r="J1537" s="19">
        <v>2</v>
      </c>
      <c r="K1537" s="2" t="s">
        <v>3085</v>
      </c>
      <c r="L1537" s="11" t="str">
        <f t="shared" si="24"/>
        <v>Ver Imagen</v>
      </c>
      <c r="M1537" t="s">
        <v>15</v>
      </c>
    </row>
    <row r="1538" spans="1:13" x14ac:dyDescent="0.25">
      <c r="A1538">
        <v>1537</v>
      </c>
      <c r="B1538" t="s">
        <v>3086</v>
      </c>
      <c r="C1538" s="1">
        <v>37.214955935799999</v>
      </c>
      <c r="D1538" s="1">
        <v>-7.0234187555499998</v>
      </c>
      <c r="E1538" s="3">
        <v>2</v>
      </c>
      <c r="F1538" s="2">
        <v>3</v>
      </c>
      <c r="G1538" s="4">
        <v>2</v>
      </c>
      <c r="H1538" s="13"/>
      <c r="I1538" s="15"/>
      <c r="J1538" s="19">
        <v>2</v>
      </c>
      <c r="K1538" s="2" t="s">
        <v>3087</v>
      </c>
      <c r="L1538" s="11" t="str">
        <f t="shared" si="24"/>
        <v>Ver Imagen</v>
      </c>
      <c r="M1538" t="s">
        <v>15</v>
      </c>
    </row>
    <row r="1539" spans="1:13" x14ac:dyDescent="0.25">
      <c r="A1539">
        <v>1538</v>
      </c>
      <c r="B1539" t="s">
        <v>3088</v>
      </c>
      <c r="C1539" s="1">
        <v>37.2246506838</v>
      </c>
      <c r="D1539" s="1">
        <v>-7.0233908913700001</v>
      </c>
      <c r="E1539" s="3">
        <v>2</v>
      </c>
      <c r="F1539" s="2">
        <v>3</v>
      </c>
      <c r="G1539" s="4">
        <v>2</v>
      </c>
      <c r="H1539" s="13"/>
      <c r="I1539" s="15"/>
      <c r="J1539" s="19">
        <v>2</v>
      </c>
      <c r="K1539" s="2" t="s">
        <v>3089</v>
      </c>
      <c r="L1539" s="11" t="str">
        <f t="shared" ref="L1539:L1602" si="25">HYPERLINK("2\1\" &amp; K1539, "Ver Imagen")</f>
        <v>Ver Imagen</v>
      </c>
      <c r="M1539" t="s">
        <v>15</v>
      </c>
    </row>
    <row r="1540" spans="1:13" x14ac:dyDescent="0.25">
      <c r="A1540">
        <v>1539</v>
      </c>
      <c r="B1540" t="s">
        <v>3090</v>
      </c>
      <c r="C1540" s="1">
        <v>37.223051280900002</v>
      </c>
      <c r="D1540" s="1">
        <v>-7.0232535840399999</v>
      </c>
      <c r="E1540" s="3">
        <v>2</v>
      </c>
      <c r="F1540" s="2">
        <v>1</v>
      </c>
      <c r="G1540" s="4">
        <v>2</v>
      </c>
      <c r="H1540" s="13"/>
      <c r="I1540" s="15"/>
      <c r="J1540" s="19">
        <v>2</v>
      </c>
      <c r="K1540" s="2" t="s">
        <v>3091</v>
      </c>
      <c r="L1540" s="11" t="str">
        <f t="shared" si="25"/>
        <v>Ver Imagen</v>
      </c>
      <c r="M1540" t="s">
        <v>15</v>
      </c>
    </row>
    <row r="1541" spans="1:13" x14ac:dyDescent="0.25">
      <c r="A1541">
        <v>1540</v>
      </c>
      <c r="B1541" t="s">
        <v>3092</v>
      </c>
      <c r="C1541" s="1">
        <v>37.2181927114</v>
      </c>
      <c r="D1541" s="1">
        <v>-7.0228521406500004</v>
      </c>
      <c r="E1541" s="3">
        <v>2</v>
      </c>
      <c r="F1541" s="2">
        <v>1</v>
      </c>
      <c r="G1541" s="4">
        <v>2</v>
      </c>
      <c r="H1541" s="13"/>
      <c r="I1541" s="15"/>
      <c r="J1541" s="19">
        <v>2</v>
      </c>
      <c r="K1541" s="2" t="s">
        <v>3093</v>
      </c>
      <c r="L1541" s="11" t="str">
        <f t="shared" si="25"/>
        <v>Ver Imagen</v>
      </c>
      <c r="M1541" t="s">
        <v>15</v>
      </c>
    </row>
    <row r="1542" spans="1:13" x14ac:dyDescent="0.25">
      <c r="A1542">
        <v>1541</v>
      </c>
      <c r="B1542" t="s">
        <v>3094</v>
      </c>
      <c r="C1542" s="1">
        <v>37.218939175899997</v>
      </c>
      <c r="D1542" s="1">
        <v>-7.0227791108300002</v>
      </c>
      <c r="E1542" s="3">
        <v>2</v>
      </c>
      <c r="F1542" s="2">
        <v>3</v>
      </c>
      <c r="G1542" s="4">
        <v>2</v>
      </c>
      <c r="H1542" s="13"/>
      <c r="I1542" s="15"/>
      <c r="J1542" s="19">
        <v>2</v>
      </c>
      <c r="K1542" s="2" t="s">
        <v>3095</v>
      </c>
      <c r="L1542" s="11" t="str">
        <f t="shared" si="25"/>
        <v>Ver Imagen</v>
      </c>
      <c r="M1542" t="s">
        <v>15</v>
      </c>
    </row>
    <row r="1543" spans="1:13" x14ac:dyDescent="0.25">
      <c r="A1543">
        <v>1542</v>
      </c>
      <c r="B1543" t="s">
        <v>3096</v>
      </c>
      <c r="C1543" s="1">
        <v>37.219615563700003</v>
      </c>
      <c r="D1543" s="1">
        <v>-7.0227688114999998</v>
      </c>
      <c r="E1543" s="3">
        <v>2</v>
      </c>
      <c r="F1543" s="2">
        <v>1</v>
      </c>
      <c r="G1543" s="4">
        <v>2</v>
      </c>
      <c r="H1543" s="13"/>
      <c r="I1543" s="15"/>
      <c r="J1543" s="19">
        <v>2</v>
      </c>
      <c r="K1543" s="2" t="s">
        <v>3097</v>
      </c>
      <c r="L1543" s="11" t="str">
        <f t="shared" si="25"/>
        <v>Ver Imagen</v>
      </c>
      <c r="M1543" t="s">
        <v>15</v>
      </c>
    </row>
    <row r="1544" spans="1:13" x14ac:dyDescent="0.25">
      <c r="A1544">
        <v>1543</v>
      </c>
      <c r="B1544" t="s">
        <v>3098</v>
      </c>
      <c r="C1544" s="1">
        <v>37.209981799600001</v>
      </c>
      <c r="D1544" s="1">
        <v>-7.0237117664099999</v>
      </c>
      <c r="E1544" s="3">
        <v>2</v>
      </c>
      <c r="F1544" s="2">
        <v>1</v>
      </c>
      <c r="G1544" s="4">
        <v>2</v>
      </c>
      <c r="H1544" s="13"/>
      <c r="I1544" s="15"/>
      <c r="J1544" s="19">
        <v>2</v>
      </c>
      <c r="K1544" s="2" t="s">
        <v>3099</v>
      </c>
      <c r="L1544" s="11" t="str">
        <f t="shared" si="25"/>
        <v>Ver Imagen</v>
      </c>
      <c r="M1544" t="s">
        <v>15</v>
      </c>
    </row>
    <row r="1545" spans="1:13" x14ac:dyDescent="0.25">
      <c r="A1545">
        <v>1544</v>
      </c>
      <c r="B1545" t="s">
        <v>3100</v>
      </c>
      <c r="C1545" s="1">
        <v>37.208512837000001</v>
      </c>
      <c r="D1545" s="1">
        <v>-7.0229202472500001</v>
      </c>
      <c r="E1545" s="3">
        <v>2</v>
      </c>
      <c r="F1545" s="2">
        <v>1</v>
      </c>
      <c r="G1545" s="4">
        <v>2</v>
      </c>
      <c r="H1545" s="13"/>
      <c r="I1545" s="15"/>
      <c r="J1545" s="19">
        <v>2</v>
      </c>
      <c r="K1545" s="2" t="s">
        <v>3101</v>
      </c>
      <c r="L1545" s="11" t="str">
        <f t="shared" si="25"/>
        <v>Ver Imagen</v>
      </c>
      <c r="M1545" t="s">
        <v>15</v>
      </c>
    </row>
    <row r="1546" spans="1:13" x14ac:dyDescent="0.25">
      <c r="A1546">
        <v>1545</v>
      </c>
      <c r="B1546" t="s">
        <v>3102</v>
      </c>
      <c r="C1546" s="1">
        <v>37.208158373499998</v>
      </c>
      <c r="D1546" s="1">
        <v>-7.0226413964500001</v>
      </c>
      <c r="E1546" s="3">
        <v>2</v>
      </c>
      <c r="F1546" s="2">
        <v>3</v>
      </c>
      <c r="G1546" s="4">
        <v>2</v>
      </c>
      <c r="H1546" s="13"/>
      <c r="I1546" s="15"/>
      <c r="J1546" s="19">
        <v>2</v>
      </c>
      <c r="K1546" s="2" t="s">
        <v>3103</v>
      </c>
      <c r="L1546" s="11" t="str">
        <f t="shared" si="25"/>
        <v>Ver Imagen</v>
      </c>
      <c r="M1546" t="s">
        <v>15</v>
      </c>
    </row>
    <row r="1547" spans="1:13" x14ac:dyDescent="0.25">
      <c r="A1547">
        <v>1546</v>
      </c>
      <c r="B1547" t="s">
        <v>3104</v>
      </c>
      <c r="C1547" s="1">
        <v>37.206567417099997</v>
      </c>
      <c r="D1547" s="1">
        <v>-7.0207749802799997</v>
      </c>
      <c r="E1547" s="3">
        <v>2</v>
      </c>
      <c r="F1547" s="2">
        <v>3</v>
      </c>
      <c r="G1547" s="4">
        <v>2</v>
      </c>
      <c r="H1547" s="13"/>
      <c r="I1547" s="15"/>
      <c r="J1547" s="19">
        <v>2</v>
      </c>
      <c r="K1547" s="2" t="s">
        <v>3105</v>
      </c>
      <c r="L1547" s="11" t="str">
        <f t="shared" si="25"/>
        <v>Ver Imagen</v>
      </c>
      <c r="M1547" t="s">
        <v>15</v>
      </c>
    </row>
    <row r="1548" spans="1:13" x14ac:dyDescent="0.25">
      <c r="A1548">
        <v>1547</v>
      </c>
      <c r="B1548" t="s">
        <v>3106</v>
      </c>
      <c r="C1548" s="1">
        <v>37.205977201700001</v>
      </c>
      <c r="D1548" s="1">
        <v>-7.0196257044500001</v>
      </c>
      <c r="E1548" s="3">
        <v>2</v>
      </c>
      <c r="F1548" s="2">
        <v>3</v>
      </c>
      <c r="G1548" s="4">
        <v>2</v>
      </c>
      <c r="H1548" s="13"/>
      <c r="I1548" s="15"/>
      <c r="J1548" s="19">
        <v>2</v>
      </c>
      <c r="K1548" s="2" t="s">
        <v>3107</v>
      </c>
      <c r="L1548" s="11" t="str">
        <f t="shared" si="25"/>
        <v>Ver Imagen</v>
      </c>
      <c r="M1548" t="s">
        <v>15</v>
      </c>
    </row>
    <row r="1549" spans="1:13" x14ac:dyDescent="0.25">
      <c r="A1549">
        <v>1548</v>
      </c>
      <c r="B1549" t="s">
        <v>3108</v>
      </c>
      <c r="C1549" s="1">
        <v>37.203587115600001</v>
      </c>
      <c r="D1549" s="1">
        <v>-7.00856779158</v>
      </c>
      <c r="E1549" s="3">
        <v>2</v>
      </c>
      <c r="F1549" s="2">
        <v>3</v>
      </c>
      <c r="G1549" s="4">
        <v>2</v>
      </c>
      <c r="H1549" s="13"/>
      <c r="I1549" s="15"/>
      <c r="J1549" s="19">
        <v>2</v>
      </c>
      <c r="K1549" s="2" t="s">
        <v>3109</v>
      </c>
      <c r="L1549" s="11" t="str">
        <f t="shared" si="25"/>
        <v>Ver Imagen</v>
      </c>
      <c r="M1549" t="s">
        <v>15</v>
      </c>
    </row>
    <row r="1550" spans="1:13" x14ac:dyDescent="0.25">
      <c r="A1550">
        <v>1549</v>
      </c>
      <c r="B1550" t="s">
        <v>3110</v>
      </c>
      <c r="C1550" s="1">
        <v>37.201855701900001</v>
      </c>
      <c r="D1550" s="1">
        <v>-6.9955762942300002</v>
      </c>
      <c r="E1550" s="3">
        <v>2</v>
      </c>
      <c r="F1550" s="2">
        <v>3</v>
      </c>
      <c r="G1550" s="4">
        <v>2</v>
      </c>
      <c r="H1550" s="13"/>
      <c r="I1550" s="15"/>
      <c r="J1550" s="19">
        <v>2</v>
      </c>
      <c r="K1550" s="2" t="s">
        <v>3111</v>
      </c>
      <c r="L1550" s="11" t="str">
        <f t="shared" si="25"/>
        <v>Ver Imagen</v>
      </c>
      <c r="M1550" t="s">
        <v>15</v>
      </c>
    </row>
    <row r="1551" spans="1:13" x14ac:dyDescent="0.25">
      <c r="A1551">
        <v>1550</v>
      </c>
      <c r="B1551" t="s">
        <v>3112</v>
      </c>
      <c r="C1551" s="1">
        <v>37.201430647499997</v>
      </c>
      <c r="D1551" s="1">
        <v>-6.9931255019599998</v>
      </c>
      <c r="E1551" s="3">
        <v>2</v>
      </c>
      <c r="F1551" s="2">
        <v>1</v>
      </c>
      <c r="G1551" s="4">
        <v>2</v>
      </c>
      <c r="H1551" s="13"/>
      <c r="I1551" s="15"/>
      <c r="J1551" s="19">
        <v>2</v>
      </c>
      <c r="K1551" s="2" t="s">
        <v>3113</v>
      </c>
      <c r="L1551" s="11" t="str">
        <f t="shared" si="25"/>
        <v>Ver Imagen</v>
      </c>
      <c r="M1551" t="s">
        <v>15</v>
      </c>
    </row>
    <row r="1552" spans="1:13" x14ac:dyDescent="0.25">
      <c r="A1552">
        <v>1551</v>
      </c>
      <c r="B1552" t="s">
        <v>3114</v>
      </c>
      <c r="C1552" s="1">
        <v>37.2013385399</v>
      </c>
      <c r="D1552" s="1">
        <v>-6.9926403905300001</v>
      </c>
      <c r="E1552" s="3">
        <v>2</v>
      </c>
      <c r="F1552" s="2">
        <v>3</v>
      </c>
      <c r="G1552" s="4">
        <v>2</v>
      </c>
      <c r="H1552" s="13"/>
      <c r="I1552" s="15"/>
      <c r="J1552" s="19">
        <v>2</v>
      </c>
      <c r="K1552" s="2" t="s">
        <v>3115</v>
      </c>
      <c r="L1552" s="11" t="str">
        <f t="shared" si="25"/>
        <v>Ver Imagen</v>
      </c>
      <c r="M1552" t="s">
        <v>15</v>
      </c>
    </row>
    <row r="1553" spans="1:13" x14ac:dyDescent="0.25">
      <c r="A1553">
        <v>1552</v>
      </c>
      <c r="B1553" t="s">
        <v>3116</v>
      </c>
      <c r="C1553" s="1">
        <v>37.201238321399998</v>
      </c>
      <c r="D1553" s="1">
        <v>-6.9921214813599999</v>
      </c>
      <c r="E1553" s="3">
        <v>2</v>
      </c>
      <c r="F1553" s="2">
        <v>3</v>
      </c>
      <c r="G1553" s="4">
        <v>2</v>
      </c>
      <c r="H1553" s="13"/>
      <c r="I1553" s="15"/>
      <c r="J1553" s="19">
        <v>2</v>
      </c>
      <c r="K1553" s="2" t="s">
        <v>3117</v>
      </c>
      <c r="L1553" s="11" t="str">
        <f t="shared" si="25"/>
        <v>Ver Imagen</v>
      </c>
      <c r="M1553" t="s">
        <v>15</v>
      </c>
    </row>
    <row r="1554" spans="1:13" x14ac:dyDescent="0.25">
      <c r="A1554">
        <v>1553</v>
      </c>
      <c r="B1554" t="s">
        <v>3118</v>
      </c>
      <c r="C1554" s="1">
        <v>37.200943874899998</v>
      </c>
      <c r="D1554" s="1">
        <v>-6.9906279853199997</v>
      </c>
      <c r="E1554" s="3">
        <v>2</v>
      </c>
      <c r="F1554" s="2">
        <v>3</v>
      </c>
      <c r="G1554" s="4">
        <v>2</v>
      </c>
      <c r="H1554" s="13"/>
      <c r="I1554" s="15"/>
      <c r="J1554" s="19">
        <v>2</v>
      </c>
      <c r="K1554" s="2" t="s">
        <v>3119</v>
      </c>
      <c r="L1554" s="11" t="str">
        <f t="shared" si="25"/>
        <v>Ver Imagen</v>
      </c>
      <c r="M1554" t="s">
        <v>15</v>
      </c>
    </row>
    <row r="1555" spans="1:13" x14ac:dyDescent="0.25">
      <c r="A1555">
        <v>1554</v>
      </c>
      <c r="B1555" t="s">
        <v>3120</v>
      </c>
      <c r="C1555" s="1">
        <v>37.200841842000003</v>
      </c>
      <c r="D1555" s="1">
        <v>-6.9901476800299998</v>
      </c>
      <c r="E1555" s="3">
        <v>2</v>
      </c>
      <c r="F1555" s="2">
        <v>3</v>
      </c>
      <c r="G1555" s="4">
        <v>2</v>
      </c>
      <c r="H1555" s="13"/>
      <c r="I1555" s="15"/>
      <c r="J1555" s="19">
        <v>2</v>
      </c>
      <c r="K1555" s="2" t="s">
        <v>3121</v>
      </c>
      <c r="L1555" s="11" t="str">
        <f t="shared" si="25"/>
        <v>Ver Imagen</v>
      </c>
      <c r="M1555" t="s">
        <v>15</v>
      </c>
    </row>
    <row r="1556" spans="1:13" x14ac:dyDescent="0.25">
      <c r="A1556">
        <v>1555</v>
      </c>
      <c r="B1556" t="s">
        <v>3122</v>
      </c>
      <c r="C1556" s="1">
        <v>37.200795221</v>
      </c>
      <c r="D1556" s="1">
        <v>-6.989933336</v>
      </c>
      <c r="E1556" s="3">
        <v>2</v>
      </c>
      <c r="F1556" s="2">
        <v>3</v>
      </c>
      <c r="G1556" s="4">
        <v>2</v>
      </c>
      <c r="H1556" s="13"/>
      <c r="I1556" s="15"/>
      <c r="J1556" s="19">
        <v>2</v>
      </c>
      <c r="K1556" s="2" t="s">
        <v>3123</v>
      </c>
      <c r="L1556" s="11" t="str">
        <f t="shared" si="25"/>
        <v>Ver Imagen</v>
      </c>
      <c r="M1556" t="s">
        <v>15</v>
      </c>
    </row>
    <row r="1557" spans="1:13" x14ac:dyDescent="0.25">
      <c r="A1557">
        <v>1556</v>
      </c>
      <c r="B1557" t="s">
        <v>3124</v>
      </c>
      <c r="C1557" s="1">
        <v>37.200631573400003</v>
      </c>
      <c r="D1557" s="1">
        <v>-6.98918789889</v>
      </c>
      <c r="E1557" s="3">
        <v>2</v>
      </c>
      <c r="F1557" s="2">
        <v>1</v>
      </c>
      <c r="G1557" s="4">
        <v>2</v>
      </c>
      <c r="H1557" s="13"/>
      <c r="I1557" s="15"/>
      <c r="J1557" s="19">
        <v>2</v>
      </c>
      <c r="K1557" s="2" t="s">
        <v>3125</v>
      </c>
      <c r="L1557" s="11" t="str">
        <f t="shared" si="25"/>
        <v>Ver Imagen</v>
      </c>
      <c r="M1557" t="s">
        <v>15</v>
      </c>
    </row>
    <row r="1558" spans="1:13" x14ac:dyDescent="0.25">
      <c r="A1558">
        <v>1557</v>
      </c>
      <c r="B1558" t="s">
        <v>3126</v>
      </c>
      <c r="C1558" s="1">
        <v>37.200305783399997</v>
      </c>
      <c r="D1558" s="1">
        <v>-6.9877451606000003</v>
      </c>
      <c r="E1558" s="3">
        <v>2</v>
      </c>
      <c r="F1558" s="2">
        <v>3</v>
      </c>
      <c r="G1558" s="4">
        <v>2</v>
      </c>
      <c r="H1558" s="13"/>
      <c r="I1558" s="15"/>
      <c r="J1558" s="19">
        <v>2</v>
      </c>
      <c r="K1558" s="2" t="s">
        <v>3127</v>
      </c>
      <c r="L1558" s="11" t="str">
        <f t="shared" si="25"/>
        <v>Ver Imagen</v>
      </c>
      <c r="M1558" t="s">
        <v>15</v>
      </c>
    </row>
    <row r="1559" spans="1:13" x14ac:dyDescent="0.25">
      <c r="A1559">
        <v>1558</v>
      </c>
      <c r="B1559" t="s">
        <v>3128</v>
      </c>
      <c r="C1559" s="1">
        <v>37.200254948500003</v>
      </c>
      <c r="D1559" s="1">
        <v>-6.9875264395199999</v>
      </c>
      <c r="E1559" s="3">
        <v>2</v>
      </c>
      <c r="F1559" s="2">
        <v>3</v>
      </c>
      <c r="G1559" s="4">
        <v>2</v>
      </c>
      <c r="H1559" s="13"/>
      <c r="I1559" s="15"/>
      <c r="J1559" s="19">
        <v>2</v>
      </c>
      <c r="K1559" s="2" t="s">
        <v>3129</v>
      </c>
      <c r="L1559" s="11" t="str">
        <f t="shared" si="25"/>
        <v>Ver Imagen</v>
      </c>
      <c r="M1559" t="s">
        <v>15</v>
      </c>
    </row>
    <row r="1560" spans="1:13" x14ac:dyDescent="0.25">
      <c r="A1560">
        <v>1559</v>
      </c>
      <c r="B1560" t="s">
        <v>3130</v>
      </c>
      <c r="C1560" s="1">
        <v>37.2002017975</v>
      </c>
      <c r="D1560" s="1">
        <v>-6.9872979418399996</v>
      </c>
      <c r="E1560" s="3">
        <v>2</v>
      </c>
      <c r="F1560" s="2">
        <v>3</v>
      </c>
      <c r="G1560" s="4">
        <v>2</v>
      </c>
      <c r="H1560" s="13"/>
      <c r="I1560" s="15"/>
      <c r="J1560" s="19">
        <v>2</v>
      </c>
      <c r="K1560" s="2" t="s">
        <v>3131</v>
      </c>
      <c r="L1560" s="11" t="str">
        <f t="shared" si="25"/>
        <v>Ver Imagen</v>
      </c>
      <c r="M1560" t="s">
        <v>15</v>
      </c>
    </row>
    <row r="1561" spans="1:13" x14ac:dyDescent="0.25">
      <c r="A1561">
        <v>1560</v>
      </c>
      <c r="B1561" t="s">
        <v>3132</v>
      </c>
      <c r="C1561" s="1">
        <v>37.223018074700001</v>
      </c>
      <c r="D1561" s="1">
        <v>-7.0230630001199996</v>
      </c>
      <c r="E1561" s="3">
        <v>2</v>
      </c>
      <c r="F1561" s="2">
        <v>1</v>
      </c>
      <c r="G1561" s="4">
        <v>2</v>
      </c>
      <c r="H1561" s="13"/>
      <c r="I1561" s="15"/>
      <c r="J1561" s="19">
        <v>2</v>
      </c>
      <c r="K1561" s="2" t="s">
        <v>3133</v>
      </c>
      <c r="L1561" s="11" t="str">
        <f t="shared" si="25"/>
        <v>Ver Imagen</v>
      </c>
      <c r="M1561" t="s">
        <v>15</v>
      </c>
    </row>
    <row r="1562" spans="1:13" x14ac:dyDescent="0.25">
      <c r="A1562">
        <v>1561</v>
      </c>
      <c r="B1562" t="s">
        <v>3134</v>
      </c>
      <c r="C1562" s="1">
        <v>37.223830303100002</v>
      </c>
      <c r="D1562" s="1">
        <v>-7.0231421467699997</v>
      </c>
      <c r="E1562" s="3">
        <v>2</v>
      </c>
      <c r="F1562" s="2">
        <v>3</v>
      </c>
      <c r="G1562" s="4">
        <v>2</v>
      </c>
      <c r="H1562" s="13"/>
      <c r="I1562" s="15"/>
      <c r="J1562" s="19">
        <v>2</v>
      </c>
      <c r="K1562" s="2" t="s">
        <v>3135</v>
      </c>
      <c r="L1562" s="11" t="str">
        <f t="shared" si="25"/>
        <v>Ver Imagen</v>
      </c>
      <c r="M1562" t="s">
        <v>15</v>
      </c>
    </row>
    <row r="1563" spans="1:13" x14ac:dyDescent="0.25">
      <c r="A1563">
        <v>1562</v>
      </c>
      <c r="B1563" t="s">
        <v>3136</v>
      </c>
      <c r="C1563" s="1">
        <v>37.224411960399998</v>
      </c>
      <c r="D1563" s="1">
        <v>-7.0231953276499999</v>
      </c>
      <c r="E1563" s="3">
        <v>2</v>
      </c>
      <c r="F1563" s="2">
        <v>1</v>
      </c>
      <c r="G1563" s="4">
        <v>2</v>
      </c>
      <c r="H1563" s="13"/>
      <c r="I1563" s="15"/>
      <c r="J1563" s="19">
        <v>2</v>
      </c>
      <c r="K1563" s="2" t="s">
        <v>3137</v>
      </c>
      <c r="L1563" s="11" t="str">
        <f t="shared" si="25"/>
        <v>Ver Imagen</v>
      </c>
      <c r="M1563" t="s">
        <v>15</v>
      </c>
    </row>
    <row r="1564" spans="1:13" x14ac:dyDescent="0.25">
      <c r="A1564">
        <v>1563</v>
      </c>
      <c r="B1564" t="s">
        <v>3138</v>
      </c>
      <c r="C1564" s="1">
        <v>37.225442589099998</v>
      </c>
      <c r="D1564" s="1">
        <v>-7.0231564077800002</v>
      </c>
      <c r="E1564" s="3">
        <v>2</v>
      </c>
      <c r="F1564" s="2">
        <v>3</v>
      </c>
      <c r="G1564" s="4">
        <v>2</v>
      </c>
      <c r="H1564" s="13"/>
      <c r="I1564" s="15"/>
      <c r="J1564" s="19">
        <v>2</v>
      </c>
      <c r="K1564" s="2" t="s">
        <v>3139</v>
      </c>
      <c r="L1564" s="11" t="str">
        <f t="shared" si="25"/>
        <v>Ver Imagen</v>
      </c>
      <c r="M1564" t="s">
        <v>15</v>
      </c>
    </row>
    <row r="1565" spans="1:13" x14ac:dyDescent="0.25">
      <c r="A1565">
        <v>1564</v>
      </c>
      <c r="B1565" t="s">
        <v>3140</v>
      </c>
      <c r="C1565" s="1">
        <v>37.225838017599997</v>
      </c>
      <c r="D1565" s="1">
        <v>-7.0230678789400001</v>
      </c>
      <c r="E1565" s="3">
        <v>2</v>
      </c>
      <c r="F1565" s="2">
        <v>3</v>
      </c>
      <c r="G1565" s="4">
        <v>2</v>
      </c>
      <c r="H1565" s="13"/>
      <c r="I1565" s="15"/>
      <c r="J1565" s="19">
        <v>2</v>
      </c>
      <c r="K1565" s="2" t="s">
        <v>3141</v>
      </c>
      <c r="L1565" s="11" t="str">
        <f t="shared" si="25"/>
        <v>Ver Imagen</v>
      </c>
      <c r="M1565" t="s">
        <v>15</v>
      </c>
    </row>
    <row r="1566" spans="1:13" x14ac:dyDescent="0.25">
      <c r="A1566">
        <v>1565</v>
      </c>
      <c r="B1566" t="s">
        <v>3142</v>
      </c>
      <c r="C1566" s="1">
        <v>37.226412806399999</v>
      </c>
      <c r="D1566" s="1">
        <v>-7.0228517085300002</v>
      </c>
      <c r="E1566" s="3">
        <v>2</v>
      </c>
      <c r="F1566" s="2">
        <v>3</v>
      </c>
      <c r="G1566" s="4">
        <v>2</v>
      </c>
      <c r="H1566" s="13"/>
      <c r="I1566" s="15"/>
      <c r="J1566" s="19">
        <v>2</v>
      </c>
      <c r="K1566" s="2" t="s">
        <v>3143</v>
      </c>
      <c r="L1566" s="11" t="str">
        <f t="shared" si="25"/>
        <v>Ver Imagen</v>
      </c>
      <c r="M1566" t="s">
        <v>15</v>
      </c>
    </row>
    <row r="1567" spans="1:13" x14ac:dyDescent="0.25">
      <c r="A1567">
        <v>1566</v>
      </c>
      <c r="B1567" t="s">
        <v>3144</v>
      </c>
      <c r="C1567" s="1">
        <v>37.227122838100001</v>
      </c>
      <c r="D1567" s="1">
        <v>-7.0224272976500002</v>
      </c>
      <c r="E1567" s="3">
        <v>2</v>
      </c>
      <c r="F1567" s="2">
        <v>3</v>
      </c>
      <c r="G1567" s="4">
        <v>2</v>
      </c>
      <c r="H1567" s="13"/>
      <c r="I1567" s="15"/>
      <c r="J1567" s="19">
        <v>2</v>
      </c>
      <c r="K1567" s="2" t="s">
        <v>3145</v>
      </c>
      <c r="L1567" s="11" t="str">
        <f t="shared" si="25"/>
        <v>Ver Imagen</v>
      </c>
      <c r="M1567" t="s">
        <v>15</v>
      </c>
    </row>
    <row r="1568" spans="1:13" x14ac:dyDescent="0.25">
      <c r="A1568">
        <v>1567</v>
      </c>
      <c r="B1568" t="s">
        <v>3146</v>
      </c>
      <c r="C1568" s="1">
        <v>37.234080867400003</v>
      </c>
      <c r="D1568" s="1">
        <v>-7.0179957185599999</v>
      </c>
      <c r="E1568" s="3">
        <v>2</v>
      </c>
      <c r="F1568" s="2">
        <v>3</v>
      </c>
      <c r="G1568" s="4">
        <v>2</v>
      </c>
      <c r="H1568" s="13"/>
      <c r="I1568" s="15"/>
      <c r="J1568" s="19">
        <v>2</v>
      </c>
      <c r="K1568" s="2" t="s">
        <v>3147</v>
      </c>
      <c r="L1568" s="11" t="str">
        <f t="shared" si="25"/>
        <v>Ver Imagen</v>
      </c>
      <c r="M1568" t="s">
        <v>15</v>
      </c>
    </row>
    <row r="1569" spans="1:13" x14ac:dyDescent="0.25">
      <c r="A1569">
        <v>1568</v>
      </c>
      <c r="B1569" t="s">
        <v>3148</v>
      </c>
      <c r="C1569" s="1">
        <v>37.235692496799999</v>
      </c>
      <c r="D1569" s="1">
        <v>-7.0182866530099997</v>
      </c>
      <c r="E1569" s="3">
        <v>2</v>
      </c>
      <c r="F1569" s="2">
        <v>3</v>
      </c>
      <c r="G1569" s="4">
        <v>2</v>
      </c>
      <c r="H1569" s="13"/>
      <c r="I1569" s="15"/>
      <c r="J1569" s="19">
        <v>2</v>
      </c>
      <c r="K1569" s="2" t="s">
        <v>3149</v>
      </c>
      <c r="L1569" s="11" t="str">
        <f t="shared" si="25"/>
        <v>Ver Imagen</v>
      </c>
      <c r="M1569" t="s">
        <v>15</v>
      </c>
    </row>
    <row r="1570" spans="1:13" x14ac:dyDescent="0.25">
      <c r="A1570">
        <v>1569</v>
      </c>
      <c r="B1570" t="s">
        <v>3150</v>
      </c>
      <c r="C1570" s="1">
        <v>37.236345098299999</v>
      </c>
      <c r="D1570" s="1">
        <v>-7.0184476246300003</v>
      </c>
      <c r="E1570" s="3">
        <v>2</v>
      </c>
      <c r="F1570" s="2">
        <v>3</v>
      </c>
      <c r="G1570" s="4">
        <v>2</v>
      </c>
      <c r="H1570" s="13"/>
      <c r="I1570" s="15"/>
      <c r="J1570" s="19">
        <v>2</v>
      </c>
      <c r="K1570" s="2" t="s">
        <v>3151</v>
      </c>
      <c r="L1570" s="11" t="str">
        <f t="shared" si="25"/>
        <v>Ver Imagen</v>
      </c>
      <c r="M1570" t="s">
        <v>15</v>
      </c>
    </row>
    <row r="1571" spans="1:13" x14ac:dyDescent="0.25">
      <c r="A1571">
        <v>1570</v>
      </c>
      <c r="B1571" t="s">
        <v>3152</v>
      </c>
      <c r="C1571" s="1">
        <v>37.236907102099998</v>
      </c>
      <c r="D1571" s="1">
        <v>-7.0185305359700001</v>
      </c>
      <c r="E1571" s="3">
        <v>2</v>
      </c>
      <c r="F1571" s="2">
        <v>3</v>
      </c>
      <c r="G1571" s="4">
        <v>2</v>
      </c>
      <c r="H1571" s="13"/>
      <c r="I1571" s="15"/>
      <c r="J1571" s="19">
        <v>2</v>
      </c>
      <c r="K1571" s="2" t="s">
        <v>3153</v>
      </c>
      <c r="L1571" s="11" t="str">
        <f t="shared" si="25"/>
        <v>Ver Imagen</v>
      </c>
      <c r="M1571" t="s">
        <v>15</v>
      </c>
    </row>
    <row r="1572" spans="1:13" x14ac:dyDescent="0.25">
      <c r="A1572">
        <v>1571</v>
      </c>
      <c r="B1572" t="s">
        <v>3154</v>
      </c>
      <c r="C1572" s="1">
        <v>37.237512676900003</v>
      </c>
      <c r="D1572" s="1">
        <v>-7.0185693909299998</v>
      </c>
      <c r="E1572" s="3">
        <v>2</v>
      </c>
      <c r="F1572" s="2">
        <v>3</v>
      </c>
      <c r="G1572" s="4">
        <v>2</v>
      </c>
      <c r="H1572" s="13"/>
      <c r="I1572" s="15"/>
      <c r="J1572" s="19">
        <v>2</v>
      </c>
      <c r="K1572" s="2" t="s">
        <v>3155</v>
      </c>
      <c r="L1572" s="11" t="str">
        <f t="shared" si="25"/>
        <v>Ver Imagen</v>
      </c>
      <c r="M1572" t="s">
        <v>15</v>
      </c>
    </row>
    <row r="1573" spans="1:13" x14ac:dyDescent="0.25">
      <c r="A1573">
        <v>1572</v>
      </c>
      <c r="B1573" t="s">
        <v>3156</v>
      </c>
      <c r="C1573" s="1">
        <v>37.237903855200003</v>
      </c>
      <c r="D1573" s="1">
        <v>-7.0185696047699997</v>
      </c>
      <c r="E1573" s="3">
        <v>2</v>
      </c>
      <c r="F1573" s="2">
        <v>3</v>
      </c>
      <c r="G1573" s="4">
        <v>2</v>
      </c>
      <c r="H1573" s="13"/>
      <c r="I1573" s="15"/>
      <c r="J1573" s="19">
        <v>2</v>
      </c>
      <c r="K1573" s="2" t="s">
        <v>3157</v>
      </c>
      <c r="L1573" s="11" t="str">
        <f t="shared" si="25"/>
        <v>Ver Imagen</v>
      </c>
      <c r="M1573" t="s">
        <v>15</v>
      </c>
    </row>
    <row r="1574" spans="1:13" x14ac:dyDescent="0.25">
      <c r="A1574">
        <v>1573</v>
      </c>
      <c r="B1574" t="s">
        <v>3158</v>
      </c>
      <c r="C1574" s="1">
        <v>37.247822738399996</v>
      </c>
      <c r="D1574" s="1">
        <v>-7.01819273023</v>
      </c>
      <c r="E1574" s="3">
        <v>2</v>
      </c>
      <c r="F1574" s="2">
        <v>3</v>
      </c>
      <c r="G1574" s="4">
        <v>2</v>
      </c>
      <c r="H1574" s="13"/>
      <c r="I1574" s="15"/>
      <c r="J1574" s="19">
        <v>2</v>
      </c>
      <c r="K1574" s="2" t="s">
        <v>3159</v>
      </c>
      <c r="L1574" s="11" t="str">
        <f t="shared" si="25"/>
        <v>Ver Imagen</v>
      </c>
      <c r="M1574" t="s">
        <v>15</v>
      </c>
    </row>
    <row r="1575" spans="1:13" x14ac:dyDescent="0.25">
      <c r="A1575">
        <v>1574</v>
      </c>
      <c r="B1575" t="s">
        <v>3160</v>
      </c>
      <c r="C1575" s="1">
        <v>37.250365223999999</v>
      </c>
      <c r="D1575" s="1">
        <v>-7.0176290462399997</v>
      </c>
      <c r="E1575" s="3">
        <v>2</v>
      </c>
      <c r="F1575" s="2">
        <v>3</v>
      </c>
      <c r="G1575" s="4">
        <v>2</v>
      </c>
      <c r="H1575" s="13"/>
      <c r="I1575" s="15"/>
      <c r="J1575" s="19">
        <v>2</v>
      </c>
      <c r="K1575" s="2" t="s">
        <v>3161</v>
      </c>
      <c r="L1575" s="11" t="str">
        <f t="shared" si="25"/>
        <v>Ver Imagen</v>
      </c>
      <c r="M1575" t="s">
        <v>15</v>
      </c>
    </row>
    <row r="1576" spans="1:13" x14ac:dyDescent="0.25">
      <c r="A1576">
        <v>1575</v>
      </c>
      <c r="B1576" t="s">
        <v>3162</v>
      </c>
      <c r="C1576" s="1">
        <v>37.252780054799999</v>
      </c>
      <c r="D1576" s="1">
        <v>-7.0161087627900001</v>
      </c>
      <c r="E1576" s="3">
        <v>2</v>
      </c>
      <c r="F1576" s="2">
        <v>3</v>
      </c>
      <c r="G1576" s="4">
        <v>2</v>
      </c>
      <c r="H1576" s="13"/>
      <c r="I1576" s="15"/>
      <c r="J1576" s="19">
        <v>2</v>
      </c>
      <c r="K1576" s="2" t="s">
        <v>3163</v>
      </c>
      <c r="L1576" s="11" t="str">
        <f t="shared" si="25"/>
        <v>Ver Imagen</v>
      </c>
      <c r="M1576" t="s">
        <v>15</v>
      </c>
    </row>
    <row r="1577" spans="1:13" x14ac:dyDescent="0.25">
      <c r="A1577">
        <v>1576</v>
      </c>
      <c r="B1577" t="s">
        <v>3164</v>
      </c>
      <c r="C1577" s="1">
        <v>37.253253467299999</v>
      </c>
      <c r="D1577" s="1">
        <v>-7.0158078253999996</v>
      </c>
      <c r="E1577" s="3">
        <v>2</v>
      </c>
      <c r="F1577" s="2">
        <v>3</v>
      </c>
      <c r="G1577" s="4">
        <v>2</v>
      </c>
      <c r="H1577" s="13"/>
      <c r="I1577" s="15"/>
      <c r="J1577" s="19">
        <v>2</v>
      </c>
      <c r="K1577" s="2" t="s">
        <v>3165</v>
      </c>
      <c r="L1577" s="11" t="str">
        <f t="shared" si="25"/>
        <v>Ver Imagen</v>
      </c>
      <c r="M1577" t="s">
        <v>15</v>
      </c>
    </row>
    <row r="1578" spans="1:13" x14ac:dyDescent="0.25">
      <c r="A1578">
        <v>1577</v>
      </c>
      <c r="B1578" t="s">
        <v>3166</v>
      </c>
      <c r="C1578" s="1">
        <v>37.253671195700001</v>
      </c>
      <c r="D1578" s="1">
        <v>-7.0155417746199999</v>
      </c>
      <c r="E1578" s="3">
        <v>2</v>
      </c>
      <c r="F1578" s="2">
        <v>3</v>
      </c>
      <c r="G1578" s="4">
        <v>2</v>
      </c>
      <c r="H1578" s="13"/>
      <c r="I1578" s="15"/>
      <c r="J1578" s="19">
        <v>2</v>
      </c>
      <c r="K1578" s="2" t="s">
        <v>3167</v>
      </c>
      <c r="L1578" s="11" t="str">
        <f t="shared" si="25"/>
        <v>Ver Imagen</v>
      </c>
      <c r="M1578" t="s">
        <v>15</v>
      </c>
    </row>
    <row r="1579" spans="1:13" x14ac:dyDescent="0.25">
      <c r="A1579">
        <v>1578</v>
      </c>
      <c r="B1579" t="s">
        <v>3168</v>
      </c>
      <c r="C1579" s="1">
        <v>37.255072792699998</v>
      </c>
      <c r="D1579" s="1">
        <v>-7.0146442155899997</v>
      </c>
      <c r="E1579" s="3">
        <v>2</v>
      </c>
      <c r="F1579" s="2">
        <v>2</v>
      </c>
      <c r="G1579" s="4">
        <v>3</v>
      </c>
      <c r="H1579" s="13"/>
      <c r="I1579" s="15"/>
      <c r="J1579" s="19">
        <v>2</v>
      </c>
      <c r="K1579" s="2" t="s">
        <v>3169</v>
      </c>
      <c r="L1579" s="11" t="str">
        <f t="shared" si="25"/>
        <v>Ver Imagen</v>
      </c>
      <c r="M1579" t="s">
        <v>15</v>
      </c>
    </row>
    <row r="1580" spans="1:13" x14ac:dyDescent="0.25">
      <c r="A1580">
        <v>1579</v>
      </c>
      <c r="B1580" t="s">
        <v>3170</v>
      </c>
      <c r="C1580" s="1">
        <v>37.264984807499999</v>
      </c>
      <c r="D1580" s="1">
        <v>-6.9983139534700003</v>
      </c>
      <c r="E1580" s="3">
        <v>2</v>
      </c>
      <c r="F1580" s="2">
        <v>3</v>
      </c>
      <c r="G1580" s="4">
        <v>2</v>
      </c>
      <c r="H1580" s="13"/>
      <c r="I1580" s="15"/>
      <c r="J1580" s="19">
        <v>2</v>
      </c>
      <c r="K1580" s="2" t="s">
        <v>3171</v>
      </c>
      <c r="L1580" s="11" t="str">
        <f t="shared" si="25"/>
        <v>Ver Imagen</v>
      </c>
      <c r="M1580" t="s">
        <v>15</v>
      </c>
    </row>
    <row r="1581" spans="1:13" x14ac:dyDescent="0.25">
      <c r="A1581">
        <v>1580</v>
      </c>
      <c r="B1581" t="s">
        <v>3172</v>
      </c>
      <c r="C1581" s="1">
        <v>37.265242316799998</v>
      </c>
      <c r="D1581" s="1">
        <v>-6.99687980693</v>
      </c>
      <c r="E1581" s="3">
        <v>2</v>
      </c>
      <c r="F1581" s="2">
        <v>2</v>
      </c>
      <c r="G1581" s="4">
        <v>1</v>
      </c>
      <c r="H1581" s="13"/>
      <c r="I1581" s="15"/>
      <c r="J1581" s="19">
        <v>2</v>
      </c>
      <c r="K1581" s="2" t="s">
        <v>3173</v>
      </c>
      <c r="L1581" s="11" t="str">
        <f t="shared" si="25"/>
        <v>Ver Imagen</v>
      </c>
      <c r="M1581" t="s">
        <v>15</v>
      </c>
    </row>
    <row r="1582" spans="1:13" x14ac:dyDescent="0.25">
      <c r="A1582">
        <v>1581</v>
      </c>
      <c r="B1582" t="s">
        <v>3174</v>
      </c>
      <c r="C1582" s="1">
        <v>37.2654169236</v>
      </c>
      <c r="D1582" s="1">
        <v>-6.9959100148499997</v>
      </c>
      <c r="E1582" s="3">
        <v>2</v>
      </c>
      <c r="F1582" s="2">
        <v>2</v>
      </c>
      <c r="G1582" s="4">
        <v>1</v>
      </c>
      <c r="H1582" s="13"/>
      <c r="I1582" s="15"/>
      <c r="J1582" s="19">
        <v>2</v>
      </c>
      <c r="K1582" s="2" t="s">
        <v>3175</v>
      </c>
      <c r="L1582" s="11" t="str">
        <f t="shared" si="25"/>
        <v>Ver Imagen</v>
      </c>
      <c r="M1582" t="s">
        <v>15</v>
      </c>
    </row>
    <row r="1583" spans="1:13" x14ac:dyDescent="0.25">
      <c r="A1583">
        <v>1582</v>
      </c>
      <c r="B1583" t="s">
        <v>3176</v>
      </c>
      <c r="C1583" s="1">
        <v>37.265815023099996</v>
      </c>
      <c r="D1583" s="1">
        <v>-6.9939045313200001</v>
      </c>
      <c r="E1583" s="3">
        <v>2</v>
      </c>
      <c r="F1583" s="2">
        <v>3</v>
      </c>
      <c r="G1583" s="4">
        <v>2</v>
      </c>
      <c r="H1583" s="13"/>
      <c r="I1583" s="15"/>
      <c r="J1583" s="19">
        <v>2</v>
      </c>
      <c r="K1583" s="2" t="s">
        <v>3177</v>
      </c>
      <c r="L1583" s="11" t="str">
        <f t="shared" si="25"/>
        <v>Ver Imagen</v>
      </c>
      <c r="M1583" t="s">
        <v>15</v>
      </c>
    </row>
    <row r="1584" spans="1:13" x14ac:dyDescent="0.25">
      <c r="A1584">
        <v>1583</v>
      </c>
      <c r="B1584" t="s">
        <v>3178</v>
      </c>
      <c r="C1584" s="1">
        <v>37.460721809100001</v>
      </c>
      <c r="D1584" s="1">
        <v>-7.1730224598700003</v>
      </c>
      <c r="E1584" s="3">
        <v>2</v>
      </c>
      <c r="F1584" s="2">
        <v>2</v>
      </c>
      <c r="G1584" s="4">
        <v>3</v>
      </c>
      <c r="H1584" s="13"/>
      <c r="I1584" s="15"/>
      <c r="J1584" s="19">
        <v>2</v>
      </c>
      <c r="K1584" s="2" t="s">
        <v>3179</v>
      </c>
      <c r="L1584" s="11" t="str">
        <f t="shared" si="25"/>
        <v>Ver Imagen</v>
      </c>
      <c r="M1584" t="s">
        <v>15</v>
      </c>
    </row>
    <row r="1585" spans="1:13" x14ac:dyDescent="0.25">
      <c r="A1585">
        <v>1584</v>
      </c>
      <c r="B1585" t="s">
        <v>3180</v>
      </c>
      <c r="C1585" s="1">
        <v>37.462685965299997</v>
      </c>
      <c r="D1585" s="1">
        <v>-7.1762510775399999</v>
      </c>
      <c r="E1585" s="3">
        <v>2</v>
      </c>
      <c r="F1585" s="2">
        <v>2</v>
      </c>
      <c r="G1585" s="4">
        <v>3</v>
      </c>
      <c r="H1585" s="13"/>
      <c r="I1585" s="15"/>
      <c r="J1585" s="19">
        <v>2</v>
      </c>
      <c r="K1585" s="2" t="s">
        <v>3181</v>
      </c>
      <c r="L1585" s="11" t="str">
        <f t="shared" si="25"/>
        <v>Ver Imagen</v>
      </c>
      <c r="M1585" t="s">
        <v>15</v>
      </c>
    </row>
    <row r="1586" spans="1:13" x14ac:dyDescent="0.25">
      <c r="A1586">
        <v>1585</v>
      </c>
      <c r="B1586" t="s">
        <v>3182</v>
      </c>
      <c r="C1586" s="1">
        <v>37.463094931400001</v>
      </c>
      <c r="D1586" s="1">
        <v>-7.1769202215299996</v>
      </c>
      <c r="E1586" s="3">
        <v>2</v>
      </c>
      <c r="F1586" s="2">
        <v>2</v>
      </c>
      <c r="G1586" s="4">
        <v>3</v>
      </c>
      <c r="H1586" s="13"/>
      <c r="I1586" s="15"/>
      <c r="J1586" s="19">
        <v>2</v>
      </c>
      <c r="K1586" s="2" t="s">
        <v>3183</v>
      </c>
      <c r="L1586" s="11" t="str">
        <f t="shared" si="25"/>
        <v>Ver Imagen</v>
      </c>
      <c r="M1586" t="s">
        <v>15</v>
      </c>
    </row>
    <row r="1587" spans="1:13" x14ac:dyDescent="0.25">
      <c r="A1587">
        <v>1586</v>
      </c>
      <c r="B1587" t="s">
        <v>3184</v>
      </c>
      <c r="C1587" s="1">
        <v>37.4772647725</v>
      </c>
      <c r="D1587" s="1">
        <v>-7.2040066869699997</v>
      </c>
      <c r="E1587" s="3">
        <v>2</v>
      </c>
      <c r="F1587" s="2">
        <v>2</v>
      </c>
      <c r="G1587" s="4">
        <v>3</v>
      </c>
      <c r="H1587" s="13"/>
      <c r="I1587" s="15"/>
      <c r="J1587" s="19">
        <v>2</v>
      </c>
      <c r="K1587" s="2" t="s">
        <v>3185</v>
      </c>
      <c r="L1587" s="11" t="str">
        <f t="shared" si="25"/>
        <v>Ver Imagen</v>
      </c>
      <c r="M1587" t="s">
        <v>15</v>
      </c>
    </row>
    <row r="1588" spans="1:13" x14ac:dyDescent="0.25">
      <c r="A1588">
        <v>1587</v>
      </c>
      <c r="B1588" t="s">
        <v>3186</v>
      </c>
      <c r="C1588" s="1">
        <v>37.480170178599998</v>
      </c>
      <c r="D1588" s="1">
        <v>-7.2107566033500001</v>
      </c>
      <c r="E1588" s="3">
        <v>2</v>
      </c>
      <c r="F1588" s="2">
        <v>2</v>
      </c>
      <c r="G1588" s="4">
        <v>3</v>
      </c>
      <c r="H1588" s="13"/>
      <c r="I1588" s="15"/>
      <c r="J1588" s="19">
        <v>2</v>
      </c>
      <c r="K1588" s="2" t="s">
        <v>3187</v>
      </c>
      <c r="L1588" s="11" t="str">
        <f t="shared" si="25"/>
        <v>Ver Imagen</v>
      </c>
      <c r="M1588" t="s">
        <v>15</v>
      </c>
    </row>
    <row r="1589" spans="1:13" x14ac:dyDescent="0.25">
      <c r="A1589">
        <v>1588</v>
      </c>
      <c r="B1589" t="s">
        <v>3188</v>
      </c>
      <c r="C1589" s="1">
        <v>37.488488677900001</v>
      </c>
      <c r="D1589" s="1">
        <v>-7.2466492135099996</v>
      </c>
      <c r="E1589" s="3">
        <v>2</v>
      </c>
      <c r="F1589" s="2">
        <v>2</v>
      </c>
      <c r="G1589" s="4">
        <v>3</v>
      </c>
      <c r="H1589" s="13"/>
      <c r="I1589" s="15"/>
      <c r="J1589" s="19">
        <v>2</v>
      </c>
      <c r="K1589" s="2" t="s">
        <v>3189</v>
      </c>
      <c r="L1589" s="11" t="str">
        <f t="shared" si="25"/>
        <v>Ver Imagen</v>
      </c>
      <c r="M1589" t="s">
        <v>15</v>
      </c>
    </row>
    <row r="1590" spans="1:13" x14ac:dyDescent="0.25">
      <c r="A1590">
        <v>1589</v>
      </c>
      <c r="B1590" t="s">
        <v>3190</v>
      </c>
      <c r="C1590" s="1">
        <v>37.489493053799997</v>
      </c>
      <c r="D1590" s="1">
        <v>-7.2482053958100003</v>
      </c>
      <c r="E1590" s="3">
        <v>2</v>
      </c>
      <c r="F1590" s="2">
        <v>2</v>
      </c>
      <c r="G1590" s="4">
        <v>3</v>
      </c>
      <c r="H1590" s="13"/>
      <c r="I1590" s="15"/>
      <c r="J1590" s="19">
        <v>2</v>
      </c>
      <c r="K1590" s="2" t="s">
        <v>3191</v>
      </c>
      <c r="L1590" s="11" t="str">
        <f t="shared" si="25"/>
        <v>Ver Imagen</v>
      </c>
      <c r="M1590" t="s">
        <v>15</v>
      </c>
    </row>
    <row r="1591" spans="1:13" x14ac:dyDescent="0.25">
      <c r="A1591">
        <v>1590</v>
      </c>
      <c r="B1591" t="s">
        <v>3192</v>
      </c>
      <c r="C1591" s="1">
        <v>37.279156192800002</v>
      </c>
      <c r="D1591" s="1">
        <v>-7.00816128555</v>
      </c>
      <c r="E1591" s="3">
        <v>2</v>
      </c>
      <c r="F1591" s="2">
        <v>2</v>
      </c>
      <c r="G1591" s="4">
        <v>3</v>
      </c>
      <c r="H1591" s="13"/>
      <c r="I1591" s="15"/>
      <c r="J1591" s="19">
        <v>2</v>
      </c>
      <c r="K1591" s="2" t="s">
        <v>3193</v>
      </c>
      <c r="L1591" s="11" t="str">
        <f t="shared" si="25"/>
        <v>Ver Imagen</v>
      </c>
      <c r="M1591" t="s">
        <v>15</v>
      </c>
    </row>
    <row r="1592" spans="1:13" x14ac:dyDescent="0.25">
      <c r="A1592">
        <v>1591</v>
      </c>
      <c r="B1592" t="s">
        <v>3194</v>
      </c>
      <c r="C1592" s="1">
        <v>37.275435199699999</v>
      </c>
      <c r="D1592" s="1">
        <v>-7.0160269843699998</v>
      </c>
      <c r="E1592" s="3">
        <v>2</v>
      </c>
      <c r="F1592" s="2">
        <v>2</v>
      </c>
      <c r="G1592" s="4">
        <v>3</v>
      </c>
      <c r="H1592" s="13"/>
      <c r="I1592" s="15"/>
      <c r="J1592" s="19">
        <v>2</v>
      </c>
      <c r="K1592" s="2" t="s">
        <v>3195</v>
      </c>
      <c r="L1592" s="11" t="str">
        <f t="shared" si="25"/>
        <v>Ver Imagen</v>
      </c>
      <c r="M1592" t="s">
        <v>15</v>
      </c>
    </row>
    <row r="1593" spans="1:13" x14ac:dyDescent="0.25">
      <c r="A1593">
        <v>1592</v>
      </c>
      <c r="B1593" t="s">
        <v>3196</v>
      </c>
      <c r="C1593" s="1">
        <v>37.275374868900002</v>
      </c>
      <c r="D1593" s="1">
        <v>-7.0162810453000004</v>
      </c>
      <c r="E1593" s="3">
        <v>2</v>
      </c>
      <c r="F1593" s="2">
        <v>2</v>
      </c>
      <c r="G1593" s="4">
        <v>3</v>
      </c>
      <c r="H1593" s="13"/>
      <c r="I1593" s="15"/>
      <c r="J1593" s="19">
        <v>2</v>
      </c>
      <c r="K1593" s="2" t="s">
        <v>3197</v>
      </c>
      <c r="L1593" s="11" t="str">
        <f t="shared" si="25"/>
        <v>Ver Imagen</v>
      </c>
      <c r="M1593" t="s">
        <v>15</v>
      </c>
    </row>
    <row r="1594" spans="1:13" x14ac:dyDescent="0.25">
      <c r="A1594">
        <v>1593</v>
      </c>
      <c r="B1594" t="s">
        <v>3198</v>
      </c>
      <c r="C1594" s="1">
        <v>37.275353588500003</v>
      </c>
      <c r="D1594" s="1">
        <v>-7.0165256579899999</v>
      </c>
      <c r="E1594" s="3">
        <v>2</v>
      </c>
      <c r="F1594" s="2">
        <v>2</v>
      </c>
      <c r="G1594" s="4">
        <v>3</v>
      </c>
      <c r="H1594" s="13"/>
      <c r="I1594" s="15"/>
      <c r="J1594" s="19">
        <v>2</v>
      </c>
      <c r="K1594" s="2" t="s">
        <v>3199</v>
      </c>
      <c r="L1594" s="11" t="str">
        <f t="shared" si="25"/>
        <v>Ver Imagen</v>
      </c>
      <c r="M1594" t="s">
        <v>15</v>
      </c>
    </row>
    <row r="1595" spans="1:13" x14ac:dyDescent="0.25">
      <c r="A1595">
        <v>1594</v>
      </c>
      <c r="B1595" t="s">
        <v>3200</v>
      </c>
      <c r="C1595" s="1">
        <v>37.276225239399999</v>
      </c>
      <c r="D1595" s="1">
        <v>-7.0232241013700003</v>
      </c>
      <c r="E1595" s="3">
        <v>2</v>
      </c>
      <c r="F1595" s="2">
        <v>2</v>
      </c>
      <c r="G1595" s="4">
        <v>3</v>
      </c>
      <c r="H1595" s="13"/>
      <c r="I1595" s="15"/>
      <c r="J1595" s="19">
        <v>2</v>
      </c>
      <c r="K1595" s="2" t="s">
        <v>3201</v>
      </c>
      <c r="L1595" s="11" t="str">
        <f t="shared" si="25"/>
        <v>Ver Imagen</v>
      </c>
      <c r="M1595" t="s">
        <v>15</v>
      </c>
    </row>
    <row r="1596" spans="1:13" x14ac:dyDescent="0.25">
      <c r="A1596">
        <v>1595</v>
      </c>
      <c r="B1596" t="s">
        <v>3202</v>
      </c>
      <c r="C1596" s="1">
        <v>37.288052070299997</v>
      </c>
      <c r="D1596" s="1">
        <v>-7.0424710802100003</v>
      </c>
      <c r="E1596" s="3">
        <v>2</v>
      </c>
      <c r="F1596" s="2">
        <v>2</v>
      </c>
      <c r="G1596" s="4">
        <v>3</v>
      </c>
      <c r="H1596" s="13"/>
      <c r="I1596" s="15"/>
      <c r="J1596" s="19">
        <v>2</v>
      </c>
      <c r="K1596" s="2" t="s">
        <v>3203</v>
      </c>
      <c r="L1596" s="11" t="str">
        <f t="shared" si="25"/>
        <v>Ver Imagen</v>
      </c>
      <c r="M1596" t="s">
        <v>15</v>
      </c>
    </row>
    <row r="1597" spans="1:13" x14ac:dyDescent="0.25">
      <c r="A1597">
        <v>1596</v>
      </c>
      <c r="B1597" t="s">
        <v>3204</v>
      </c>
      <c r="C1597" s="1">
        <v>37.294094696199998</v>
      </c>
      <c r="D1597" s="1">
        <v>-7.0474123799099999</v>
      </c>
      <c r="E1597" s="3">
        <v>2</v>
      </c>
      <c r="F1597" s="2">
        <v>2</v>
      </c>
      <c r="G1597" s="4">
        <v>3</v>
      </c>
      <c r="H1597" s="13"/>
      <c r="I1597" s="15"/>
      <c r="J1597" s="19">
        <v>2</v>
      </c>
      <c r="K1597" s="2" t="s">
        <v>3205</v>
      </c>
      <c r="L1597" s="11" t="str">
        <f t="shared" si="25"/>
        <v>Ver Imagen</v>
      </c>
      <c r="M1597" t="s">
        <v>15</v>
      </c>
    </row>
    <row r="1598" spans="1:13" x14ac:dyDescent="0.25">
      <c r="A1598">
        <v>1597</v>
      </c>
      <c r="B1598" t="s">
        <v>3206</v>
      </c>
      <c r="C1598" s="1">
        <v>37.294231428499998</v>
      </c>
      <c r="D1598" s="1">
        <v>-7.0476002291600004</v>
      </c>
      <c r="E1598" s="3">
        <v>2</v>
      </c>
      <c r="F1598" s="2">
        <v>2</v>
      </c>
      <c r="G1598" s="4">
        <v>3</v>
      </c>
      <c r="H1598" s="13"/>
      <c r="I1598" s="15"/>
      <c r="J1598" s="19">
        <v>2</v>
      </c>
      <c r="K1598" s="2" t="s">
        <v>3207</v>
      </c>
      <c r="L1598" s="11" t="str">
        <f t="shared" si="25"/>
        <v>Ver Imagen</v>
      </c>
      <c r="M1598" t="s">
        <v>15</v>
      </c>
    </row>
    <row r="1599" spans="1:13" x14ac:dyDescent="0.25">
      <c r="A1599">
        <v>1598</v>
      </c>
      <c r="B1599" t="s">
        <v>3208</v>
      </c>
      <c r="C1599" s="1">
        <v>37.296269025100003</v>
      </c>
      <c r="D1599" s="1">
        <v>-7.0500762458199997</v>
      </c>
      <c r="E1599" s="3">
        <v>2</v>
      </c>
      <c r="F1599" s="2">
        <v>2</v>
      </c>
      <c r="G1599" s="4">
        <v>3</v>
      </c>
      <c r="H1599" s="13"/>
      <c r="I1599" s="15"/>
      <c r="J1599" s="19">
        <v>2</v>
      </c>
      <c r="K1599" s="2" t="s">
        <v>3209</v>
      </c>
      <c r="L1599" s="11" t="str">
        <f t="shared" si="25"/>
        <v>Ver Imagen</v>
      </c>
      <c r="M1599" t="s">
        <v>15</v>
      </c>
    </row>
    <row r="1600" spans="1:13" x14ac:dyDescent="0.25">
      <c r="A1600">
        <v>1599</v>
      </c>
      <c r="B1600" t="s">
        <v>3210</v>
      </c>
      <c r="C1600" s="1">
        <v>37.267183519200003</v>
      </c>
      <c r="D1600" s="1">
        <v>-6.9573102563899996</v>
      </c>
      <c r="E1600" s="3">
        <v>2</v>
      </c>
      <c r="F1600" s="2">
        <v>2</v>
      </c>
      <c r="G1600" s="4">
        <v>3</v>
      </c>
      <c r="H1600" s="13"/>
      <c r="I1600" s="15"/>
      <c r="J1600" s="19">
        <v>2</v>
      </c>
      <c r="K1600" s="2" t="s">
        <v>3211</v>
      </c>
      <c r="L1600" s="11" t="str">
        <f t="shared" si="25"/>
        <v>Ver Imagen</v>
      </c>
      <c r="M1600" t="s">
        <v>15</v>
      </c>
    </row>
    <row r="1601" spans="1:13" x14ac:dyDescent="0.25">
      <c r="A1601">
        <v>1600</v>
      </c>
      <c r="B1601" t="s">
        <v>3212</v>
      </c>
      <c r="C1601" s="1">
        <v>37.190786968200001</v>
      </c>
      <c r="D1601" s="1">
        <v>-6.9905446929400004</v>
      </c>
      <c r="E1601" s="3">
        <v>2</v>
      </c>
      <c r="F1601" s="2">
        <v>2</v>
      </c>
      <c r="G1601" s="4">
        <v>3</v>
      </c>
      <c r="H1601" s="13"/>
      <c r="I1601" s="15"/>
      <c r="J1601" s="19">
        <v>2</v>
      </c>
      <c r="K1601" s="2" t="s">
        <v>3213</v>
      </c>
      <c r="L1601" s="11" t="str">
        <f t="shared" si="25"/>
        <v>Ver Imagen</v>
      </c>
      <c r="M1601" t="s">
        <v>15</v>
      </c>
    </row>
    <row r="1602" spans="1:13" x14ac:dyDescent="0.25">
      <c r="A1602">
        <v>1601</v>
      </c>
      <c r="B1602" t="s">
        <v>3214</v>
      </c>
      <c r="C1602" s="1">
        <v>37.193027789600002</v>
      </c>
      <c r="D1602" s="1">
        <v>-6.9953682096599996</v>
      </c>
      <c r="E1602" s="3">
        <v>2</v>
      </c>
      <c r="F1602" s="2">
        <v>2</v>
      </c>
      <c r="G1602" s="4">
        <v>3</v>
      </c>
      <c r="H1602" s="13"/>
      <c r="I1602" s="15"/>
      <c r="J1602" s="19">
        <v>2</v>
      </c>
      <c r="K1602" s="2" t="s">
        <v>3215</v>
      </c>
      <c r="L1602" s="11" t="str">
        <f t="shared" si="25"/>
        <v>Ver Imagen</v>
      </c>
      <c r="M1602" t="s">
        <v>15</v>
      </c>
    </row>
    <row r="1603" spans="1:13" x14ac:dyDescent="0.25">
      <c r="A1603">
        <v>1602</v>
      </c>
      <c r="B1603" t="s">
        <v>3216</v>
      </c>
      <c r="C1603" s="1">
        <v>37.196759309400001</v>
      </c>
      <c r="D1603" s="1">
        <v>-7.0043377177500004</v>
      </c>
      <c r="E1603" s="3">
        <v>2</v>
      </c>
      <c r="F1603" s="2">
        <v>2</v>
      </c>
      <c r="G1603" s="4">
        <v>3</v>
      </c>
      <c r="H1603" s="13"/>
      <c r="I1603" s="15"/>
      <c r="J1603" s="19">
        <v>2</v>
      </c>
      <c r="K1603" s="2" t="s">
        <v>3217</v>
      </c>
      <c r="L1603" s="11" t="str">
        <f t="shared" ref="L1603:L1666" si="26">HYPERLINK("2\1\" &amp; K1603, "Ver Imagen")</f>
        <v>Ver Imagen</v>
      </c>
      <c r="M1603" t="s">
        <v>15</v>
      </c>
    </row>
    <row r="1604" spans="1:13" x14ac:dyDescent="0.25">
      <c r="A1604">
        <v>1603</v>
      </c>
      <c r="B1604" t="s">
        <v>3218</v>
      </c>
      <c r="C1604" s="1">
        <v>37.197210272900001</v>
      </c>
      <c r="D1604" s="1">
        <v>-7.0054571038300004</v>
      </c>
      <c r="E1604" s="3">
        <v>2</v>
      </c>
      <c r="F1604" s="2">
        <v>2</v>
      </c>
      <c r="G1604" s="4">
        <v>3</v>
      </c>
      <c r="H1604" s="13"/>
      <c r="I1604" s="15"/>
      <c r="J1604" s="19">
        <v>2</v>
      </c>
      <c r="K1604" s="2" t="s">
        <v>3219</v>
      </c>
      <c r="L1604" s="11" t="str">
        <f t="shared" si="26"/>
        <v>Ver Imagen</v>
      </c>
      <c r="M1604" t="s">
        <v>15</v>
      </c>
    </row>
    <row r="1605" spans="1:13" x14ac:dyDescent="0.25">
      <c r="A1605">
        <v>1604</v>
      </c>
      <c r="B1605" t="s">
        <v>3220</v>
      </c>
      <c r="C1605" s="1">
        <v>37.198340198799997</v>
      </c>
      <c r="D1605" s="1">
        <v>-7.00785540597</v>
      </c>
      <c r="E1605" s="3">
        <v>2</v>
      </c>
      <c r="F1605" s="2">
        <v>2</v>
      </c>
      <c r="G1605" s="4">
        <v>3</v>
      </c>
      <c r="H1605" s="13"/>
      <c r="I1605" s="15"/>
      <c r="J1605" s="19">
        <v>2</v>
      </c>
      <c r="K1605" s="2" t="s">
        <v>3221</v>
      </c>
      <c r="L1605" s="11" t="str">
        <f t="shared" si="26"/>
        <v>Ver Imagen</v>
      </c>
      <c r="M1605" t="s">
        <v>15</v>
      </c>
    </row>
    <row r="1606" spans="1:13" x14ac:dyDescent="0.25">
      <c r="A1606">
        <v>1605</v>
      </c>
      <c r="B1606" t="s">
        <v>3222</v>
      </c>
      <c r="C1606" s="1">
        <v>37.216636387500003</v>
      </c>
      <c r="D1606" s="1">
        <v>-7.0954161397500002</v>
      </c>
      <c r="E1606" s="3">
        <v>2</v>
      </c>
      <c r="F1606" s="2">
        <v>2</v>
      </c>
      <c r="G1606" s="4">
        <v>3</v>
      </c>
      <c r="H1606" s="13"/>
      <c r="I1606" s="15"/>
      <c r="J1606" s="19">
        <v>2</v>
      </c>
      <c r="K1606" s="2" t="s">
        <v>3223</v>
      </c>
      <c r="L1606" s="11" t="str">
        <f t="shared" si="26"/>
        <v>Ver Imagen</v>
      </c>
      <c r="M1606" t="s">
        <v>15</v>
      </c>
    </row>
    <row r="1607" spans="1:13" x14ac:dyDescent="0.25">
      <c r="A1607">
        <v>1606</v>
      </c>
      <c r="B1607" t="s">
        <v>3224</v>
      </c>
      <c r="C1607" s="1">
        <v>37.496813433900002</v>
      </c>
      <c r="D1607" s="1">
        <v>-7.2681624127499997</v>
      </c>
      <c r="E1607" s="3">
        <v>3</v>
      </c>
      <c r="F1607" s="2">
        <v>2</v>
      </c>
      <c r="G1607" s="4">
        <v>2</v>
      </c>
      <c r="H1607" s="13"/>
      <c r="I1607" s="15"/>
      <c r="J1607" s="19">
        <v>2</v>
      </c>
      <c r="K1607" s="2" t="s">
        <v>3225</v>
      </c>
      <c r="L1607" s="11" t="str">
        <f t="shared" si="26"/>
        <v>Ver Imagen</v>
      </c>
      <c r="M1607" t="s">
        <v>15</v>
      </c>
    </row>
    <row r="1608" spans="1:13" x14ac:dyDescent="0.25">
      <c r="A1608">
        <v>1607</v>
      </c>
      <c r="B1608" t="s">
        <v>3226</v>
      </c>
      <c r="C1608" s="1">
        <v>37.498026299499998</v>
      </c>
      <c r="D1608" s="1">
        <v>-7.2677778931199999</v>
      </c>
      <c r="E1608" s="3">
        <v>3</v>
      </c>
      <c r="F1608" s="2">
        <v>2</v>
      </c>
      <c r="G1608" s="4">
        <v>2</v>
      </c>
      <c r="H1608" s="13"/>
      <c r="I1608" s="15"/>
      <c r="J1608" s="19">
        <v>2</v>
      </c>
      <c r="K1608" s="2" t="s">
        <v>3227</v>
      </c>
      <c r="L1608" s="11" t="str">
        <f t="shared" si="26"/>
        <v>Ver Imagen</v>
      </c>
      <c r="M1608" t="s">
        <v>15</v>
      </c>
    </row>
    <row r="1609" spans="1:13" x14ac:dyDescent="0.25">
      <c r="A1609">
        <v>1608</v>
      </c>
      <c r="B1609" t="s">
        <v>3228</v>
      </c>
      <c r="E1609" s="3">
        <v>2</v>
      </c>
      <c r="F1609" s="2">
        <v>2</v>
      </c>
      <c r="G1609" s="4">
        <v>3</v>
      </c>
      <c r="H1609" s="13"/>
      <c r="I1609" s="15"/>
      <c r="J1609" s="20">
        <v>3</v>
      </c>
      <c r="K1609" s="3" t="s">
        <v>3229</v>
      </c>
      <c r="L1609" s="11" t="str">
        <f t="shared" si="26"/>
        <v>Ver Imagen</v>
      </c>
      <c r="M1609" t="s">
        <v>3230</v>
      </c>
    </row>
    <row r="1610" spans="1:13" x14ac:dyDescent="0.25">
      <c r="A1610">
        <v>1609</v>
      </c>
      <c r="B1610" t="s">
        <v>3231</v>
      </c>
      <c r="C1610" s="1">
        <v>37.479103463599998</v>
      </c>
      <c r="D1610" s="1">
        <v>-7.2082776155800001</v>
      </c>
      <c r="E1610" s="3">
        <v>2</v>
      </c>
      <c r="F1610" s="2">
        <v>2</v>
      </c>
      <c r="G1610" s="4">
        <v>3</v>
      </c>
      <c r="H1610" s="13"/>
      <c r="I1610" s="15"/>
      <c r="J1610" s="19">
        <v>2</v>
      </c>
      <c r="K1610" s="2" t="s">
        <v>3232</v>
      </c>
      <c r="L1610" s="11" t="str">
        <f t="shared" si="26"/>
        <v>Ver Imagen</v>
      </c>
      <c r="M1610" t="s">
        <v>15</v>
      </c>
    </row>
    <row r="1611" spans="1:13" x14ac:dyDescent="0.25">
      <c r="A1611">
        <v>1610</v>
      </c>
      <c r="B1611" t="s">
        <v>3233</v>
      </c>
      <c r="C1611" s="1">
        <v>37.482773909899997</v>
      </c>
      <c r="D1611" s="1">
        <v>-7.21902106822</v>
      </c>
      <c r="E1611" s="3">
        <v>1</v>
      </c>
      <c r="F1611" s="2">
        <v>2</v>
      </c>
      <c r="G1611" s="4">
        <v>2</v>
      </c>
      <c r="H1611" s="13"/>
      <c r="I1611" s="15"/>
      <c r="J1611" s="19">
        <v>2</v>
      </c>
      <c r="K1611" s="2" t="s">
        <v>3234</v>
      </c>
      <c r="L1611" s="11" t="str">
        <f t="shared" si="26"/>
        <v>Ver Imagen</v>
      </c>
      <c r="M1611" t="s">
        <v>15</v>
      </c>
    </row>
    <row r="1612" spans="1:13" x14ac:dyDescent="0.25">
      <c r="A1612">
        <v>1611</v>
      </c>
      <c r="B1612" t="s">
        <v>3235</v>
      </c>
      <c r="C1612" s="1">
        <v>37.482811378999997</v>
      </c>
      <c r="D1612" s="1">
        <v>-7.2192134193599999</v>
      </c>
      <c r="E1612" s="3">
        <v>1</v>
      </c>
      <c r="F1612" s="2">
        <v>2</v>
      </c>
      <c r="G1612" s="4">
        <v>2</v>
      </c>
      <c r="H1612" s="13"/>
      <c r="I1612" s="15"/>
      <c r="J1612" s="19">
        <v>2</v>
      </c>
      <c r="K1612" s="2" t="s">
        <v>3236</v>
      </c>
      <c r="L1612" s="11" t="str">
        <f t="shared" si="26"/>
        <v>Ver Imagen</v>
      </c>
      <c r="M1612" t="s">
        <v>15</v>
      </c>
    </row>
    <row r="1613" spans="1:13" x14ac:dyDescent="0.25">
      <c r="A1613">
        <v>1612</v>
      </c>
      <c r="B1613" t="s">
        <v>3237</v>
      </c>
      <c r="C1613" s="1">
        <v>37.484968586299999</v>
      </c>
      <c r="D1613" s="1">
        <v>-7.2302884478199996</v>
      </c>
      <c r="E1613" s="3">
        <v>1</v>
      </c>
      <c r="F1613" s="2">
        <v>2</v>
      </c>
      <c r="G1613" s="4">
        <v>2</v>
      </c>
      <c r="H1613" s="13"/>
      <c r="I1613" s="15"/>
      <c r="J1613" s="19">
        <v>2</v>
      </c>
      <c r="K1613" s="2" t="s">
        <v>3238</v>
      </c>
      <c r="L1613" s="11" t="str">
        <f t="shared" si="26"/>
        <v>Ver Imagen</v>
      </c>
      <c r="M1613" t="s">
        <v>15</v>
      </c>
    </row>
    <row r="1614" spans="1:13" x14ac:dyDescent="0.25">
      <c r="A1614">
        <v>1613</v>
      </c>
      <c r="B1614" t="s">
        <v>3239</v>
      </c>
      <c r="C1614" s="1">
        <v>37.485460257500002</v>
      </c>
      <c r="D1614" s="1">
        <v>-7.2328505825800002</v>
      </c>
      <c r="E1614" s="3">
        <v>1</v>
      </c>
      <c r="F1614" s="2">
        <v>2</v>
      </c>
      <c r="G1614" s="4">
        <v>2</v>
      </c>
      <c r="H1614" s="13"/>
      <c r="I1614" s="15"/>
      <c r="J1614" s="19">
        <v>2</v>
      </c>
      <c r="K1614" s="2" t="s">
        <v>3240</v>
      </c>
      <c r="L1614" s="11" t="str">
        <f t="shared" si="26"/>
        <v>Ver Imagen</v>
      </c>
      <c r="M1614" t="s">
        <v>15</v>
      </c>
    </row>
    <row r="1615" spans="1:13" x14ac:dyDescent="0.25">
      <c r="A1615">
        <v>1614</v>
      </c>
      <c r="B1615" t="s">
        <v>3241</v>
      </c>
      <c r="C1615" s="1">
        <v>37.485502887700001</v>
      </c>
      <c r="D1615" s="1">
        <v>-7.2330718201700002</v>
      </c>
      <c r="E1615" s="3">
        <v>1</v>
      </c>
      <c r="F1615" s="2">
        <v>2</v>
      </c>
      <c r="G1615" s="4">
        <v>2</v>
      </c>
      <c r="H1615" s="13"/>
      <c r="I1615" s="15"/>
      <c r="J1615" s="19">
        <v>2</v>
      </c>
      <c r="K1615" s="2" t="s">
        <v>3242</v>
      </c>
      <c r="L1615" s="11" t="str">
        <f t="shared" si="26"/>
        <v>Ver Imagen</v>
      </c>
      <c r="M1615" t="s">
        <v>15</v>
      </c>
    </row>
    <row r="1616" spans="1:13" x14ac:dyDescent="0.25">
      <c r="A1616">
        <v>1615</v>
      </c>
      <c r="B1616" t="s">
        <v>3243</v>
      </c>
      <c r="C1616" s="1">
        <v>37.4855448</v>
      </c>
      <c r="D1616" s="1">
        <v>-7.2332923105200004</v>
      </c>
      <c r="E1616" s="3">
        <v>1</v>
      </c>
      <c r="F1616" s="2">
        <v>2</v>
      </c>
      <c r="G1616" s="4">
        <v>2</v>
      </c>
      <c r="H1616" s="13"/>
      <c r="I1616" s="15"/>
      <c r="J1616" s="19">
        <v>2</v>
      </c>
      <c r="K1616" s="2" t="s">
        <v>3244</v>
      </c>
      <c r="L1616" s="11" t="str">
        <f t="shared" si="26"/>
        <v>Ver Imagen</v>
      </c>
      <c r="M1616" t="s">
        <v>15</v>
      </c>
    </row>
    <row r="1617" spans="1:13" x14ac:dyDescent="0.25">
      <c r="A1617">
        <v>1616</v>
      </c>
      <c r="B1617" t="s">
        <v>3245</v>
      </c>
      <c r="C1617" s="1">
        <v>37.485593502599997</v>
      </c>
      <c r="D1617" s="1">
        <v>-7.2335535559900004</v>
      </c>
      <c r="E1617" s="3">
        <v>1</v>
      </c>
      <c r="F1617" s="2">
        <v>2</v>
      </c>
      <c r="G1617" s="4">
        <v>2</v>
      </c>
      <c r="H1617" s="13"/>
      <c r="I1617" s="15"/>
      <c r="J1617" s="19">
        <v>2</v>
      </c>
      <c r="K1617" s="2" t="s">
        <v>3246</v>
      </c>
      <c r="L1617" s="11" t="str">
        <f t="shared" si="26"/>
        <v>Ver Imagen</v>
      </c>
      <c r="M1617" t="s">
        <v>15</v>
      </c>
    </row>
    <row r="1618" spans="1:13" x14ac:dyDescent="0.25">
      <c r="A1618">
        <v>1617</v>
      </c>
      <c r="B1618" t="s">
        <v>3247</v>
      </c>
      <c r="C1618" s="1">
        <v>37.486064377799998</v>
      </c>
      <c r="D1618" s="1">
        <v>-7.2359960518299999</v>
      </c>
      <c r="E1618" s="3">
        <v>1</v>
      </c>
      <c r="F1618" s="2">
        <v>2</v>
      </c>
      <c r="G1618" s="4">
        <v>2</v>
      </c>
      <c r="H1618" s="13"/>
      <c r="I1618" s="15"/>
      <c r="J1618" s="19">
        <v>2</v>
      </c>
      <c r="K1618" s="2" t="s">
        <v>3248</v>
      </c>
      <c r="L1618" s="11" t="str">
        <f t="shared" si="26"/>
        <v>Ver Imagen</v>
      </c>
      <c r="M1618" t="s">
        <v>15</v>
      </c>
    </row>
    <row r="1619" spans="1:13" x14ac:dyDescent="0.25">
      <c r="A1619">
        <v>1618</v>
      </c>
      <c r="B1619" t="s">
        <v>3249</v>
      </c>
      <c r="C1619" s="1">
        <v>37.4862097412</v>
      </c>
      <c r="D1619" s="1">
        <v>-7.2367448545000004</v>
      </c>
      <c r="E1619" s="3">
        <v>1</v>
      </c>
      <c r="F1619" s="2">
        <v>2</v>
      </c>
      <c r="G1619" s="4">
        <v>2</v>
      </c>
      <c r="H1619" s="13"/>
      <c r="I1619" s="15"/>
      <c r="J1619" s="19">
        <v>2</v>
      </c>
      <c r="K1619" s="2" t="s">
        <v>3250</v>
      </c>
      <c r="L1619" s="11" t="str">
        <f t="shared" si="26"/>
        <v>Ver Imagen</v>
      </c>
      <c r="M1619" t="s">
        <v>15</v>
      </c>
    </row>
    <row r="1620" spans="1:13" x14ac:dyDescent="0.25">
      <c r="A1620">
        <v>1619</v>
      </c>
      <c r="B1620" t="s">
        <v>3251</v>
      </c>
      <c r="C1620" s="1">
        <v>37.486299651000003</v>
      </c>
      <c r="D1620" s="1">
        <v>-7.23720923628</v>
      </c>
      <c r="E1620" s="3">
        <v>1</v>
      </c>
      <c r="F1620" s="2">
        <v>2</v>
      </c>
      <c r="G1620" s="4">
        <v>2</v>
      </c>
      <c r="H1620" s="13"/>
      <c r="I1620" s="15"/>
      <c r="J1620" s="19">
        <v>2</v>
      </c>
      <c r="K1620" s="2" t="s">
        <v>3252</v>
      </c>
      <c r="L1620" s="11" t="str">
        <f t="shared" si="26"/>
        <v>Ver Imagen</v>
      </c>
      <c r="M1620" t="s">
        <v>15</v>
      </c>
    </row>
    <row r="1621" spans="1:13" x14ac:dyDescent="0.25">
      <c r="A1621">
        <v>1620</v>
      </c>
      <c r="B1621" t="s">
        <v>3253</v>
      </c>
      <c r="C1621" s="1">
        <v>37.486440765499999</v>
      </c>
      <c r="D1621" s="1">
        <v>-7.2379518539600003</v>
      </c>
      <c r="E1621" s="3">
        <v>1</v>
      </c>
      <c r="F1621" s="2">
        <v>2</v>
      </c>
      <c r="G1621" s="4">
        <v>2</v>
      </c>
      <c r="H1621" s="13"/>
      <c r="I1621" s="15"/>
      <c r="J1621" s="19">
        <v>2</v>
      </c>
      <c r="K1621" s="2" t="s">
        <v>3254</v>
      </c>
      <c r="L1621" s="11" t="str">
        <f t="shared" si="26"/>
        <v>Ver Imagen</v>
      </c>
      <c r="M1621" t="s">
        <v>15</v>
      </c>
    </row>
    <row r="1622" spans="1:13" x14ac:dyDescent="0.25">
      <c r="A1622">
        <v>1621</v>
      </c>
      <c r="B1622" t="s">
        <v>3255</v>
      </c>
      <c r="C1622" s="1">
        <v>37.490618103999999</v>
      </c>
      <c r="D1622" s="1">
        <v>-7.25327979402</v>
      </c>
      <c r="E1622" s="3">
        <v>1</v>
      </c>
      <c r="F1622" s="2">
        <v>2</v>
      </c>
      <c r="G1622" s="4">
        <v>2</v>
      </c>
      <c r="H1622" s="13"/>
      <c r="I1622" s="15"/>
      <c r="J1622" s="19">
        <v>2</v>
      </c>
      <c r="K1622" s="2" t="s">
        <v>3256</v>
      </c>
      <c r="L1622" s="11" t="str">
        <f t="shared" si="26"/>
        <v>Ver Imagen</v>
      </c>
      <c r="M1622" t="s">
        <v>15</v>
      </c>
    </row>
    <row r="1623" spans="1:13" x14ac:dyDescent="0.25">
      <c r="A1623">
        <v>1622</v>
      </c>
      <c r="B1623" t="s">
        <v>3257</v>
      </c>
      <c r="C1623" s="1">
        <v>37.490429130599999</v>
      </c>
      <c r="D1623" s="1">
        <v>-7.25550784097</v>
      </c>
      <c r="E1623" s="3">
        <v>1</v>
      </c>
      <c r="F1623" s="2">
        <v>2</v>
      </c>
      <c r="G1623" s="4">
        <v>2</v>
      </c>
      <c r="H1623" s="13"/>
      <c r="I1623" s="15"/>
      <c r="J1623" s="19">
        <v>2</v>
      </c>
      <c r="K1623" s="2" t="s">
        <v>3258</v>
      </c>
      <c r="L1623" s="11" t="str">
        <f t="shared" si="26"/>
        <v>Ver Imagen</v>
      </c>
      <c r="M1623" t="s">
        <v>15</v>
      </c>
    </row>
    <row r="1624" spans="1:13" x14ac:dyDescent="0.25">
      <c r="A1624">
        <v>1623</v>
      </c>
      <c r="B1624" t="s">
        <v>3259</v>
      </c>
      <c r="C1624" s="1">
        <v>37.4944257609</v>
      </c>
      <c r="D1624" s="1">
        <v>-7.2660361710099997</v>
      </c>
      <c r="E1624" s="3">
        <v>1</v>
      </c>
      <c r="F1624" s="2">
        <v>2</v>
      </c>
      <c r="G1624" s="4">
        <v>2</v>
      </c>
      <c r="H1624" s="13"/>
      <c r="I1624" s="15"/>
      <c r="J1624" s="19">
        <v>2</v>
      </c>
      <c r="K1624" s="2" t="s">
        <v>3260</v>
      </c>
      <c r="L1624" s="11" t="str">
        <f t="shared" si="26"/>
        <v>Ver Imagen</v>
      </c>
      <c r="M1624" t="s">
        <v>15</v>
      </c>
    </row>
    <row r="1625" spans="1:13" x14ac:dyDescent="0.25">
      <c r="A1625">
        <v>1624</v>
      </c>
      <c r="B1625" t="s">
        <v>3261</v>
      </c>
      <c r="C1625" s="1">
        <v>37.279408694399997</v>
      </c>
      <c r="D1625" s="1">
        <v>-6.9960811429699996</v>
      </c>
      <c r="E1625" s="3">
        <v>2</v>
      </c>
      <c r="F1625" s="2">
        <v>2</v>
      </c>
      <c r="G1625" s="4">
        <v>3</v>
      </c>
      <c r="H1625" s="13"/>
      <c r="I1625" s="15"/>
      <c r="J1625" s="19">
        <v>2</v>
      </c>
      <c r="K1625" s="2" t="s">
        <v>3262</v>
      </c>
      <c r="L1625" s="11" t="str">
        <f t="shared" si="26"/>
        <v>Ver Imagen</v>
      </c>
      <c r="M1625" t="s">
        <v>15</v>
      </c>
    </row>
    <row r="1626" spans="1:13" x14ac:dyDescent="0.25">
      <c r="A1626">
        <v>1625</v>
      </c>
      <c r="B1626" t="s">
        <v>3263</v>
      </c>
      <c r="C1626" s="1">
        <v>37.279576167400002</v>
      </c>
      <c r="D1626" s="1">
        <v>-6.9968262905799996</v>
      </c>
      <c r="E1626" s="3">
        <v>2</v>
      </c>
      <c r="F1626" s="2">
        <v>2</v>
      </c>
      <c r="G1626" s="4">
        <v>3</v>
      </c>
      <c r="H1626" s="13"/>
      <c r="I1626" s="15"/>
      <c r="J1626" s="19">
        <v>2</v>
      </c>
      <c r="K1626" s="2" t="s">
        <v>3264</v>
      </c>
      <c r="L1626" s="11" t="str">
        <f t="shared" si="26"/>
        <v>Ver Imagen</v>
      </c>
      <c r="M1626" t="s">
        <v>15</v>
      </c>
    </row>
    <row r="1627" spans="1:13" x14ac:dyDescent="0.25">
      <c r="A1627">
        <v>1626</v>
      </c>
      <c r="B1627" t="s">
        <v>3265</v>
      </c>
      <c r="C1627" s="1">
        <v>37.2796175832</v>
      </c>
      <c r="D1627" s="1">
        <v>-6.9970290020199997</v>
      </c>
      <c r="E1627" s="3">
        <v>2</v>
      </c>
      <c r="F1627" s="2">
        <v>2</v>
      </c>
      <c r="G1627" s="4">
        <v>3</v>
      </c>
      <c r="H1627" s="13"/>
      <c r="I1627" s="15"/>
      <c r="J1627" s="19">
        <v>2</v>
      </c>
      <c r="K1627" s="2" t="s">
        <v>3266</v>
      </c>
      <c r="L1627" s="11" t="str">
        <f t="shared" si="26"/>
        <v>Ver Imagen</v>
      </c>
      <c r="M1627" t="s">
        <v>15</v>
      </c>
    </row>
    <row r="1628" spans="1:13" x14ac:dyDescent="0.25">
      <c r="A1628">
        <v>1627</v>
      </c>
      <c r="B1628" t="s">
        <v>3267</v>
      </c>
      <c r="C1628" s="1">
        <v>37.275445910899997</v>
      </c>
      <c r="D1628" s="1">
        <v>-7.0175266367000004</v>
      </c>
      <c r="E1628" s="3">
        <v>1</v>
      </c>
      <c r="F1628" s="2">
        <v>2</v>
      </c>
      <c r="G1628" s="4">
        <v>2</v>
      </c>
      <c r="H1628" s="13"/>
      <c r="I1628" s="15"/>
      <c r="J1628" s="19">
        <v>2</v>
      </c>
      <c r="K1628" s="2" t="s">
        <v>3268</v>
      </c>
      <c r="L1628" s="11" t="str">
        <f t="shared" si="26"/>
        <v>Ver Imagen</v>
      </c>
      <c r="M1628" t="s">
        <v>15</v>
      </c>
    </row>
    <row r="1629" spans="1:13" x14ac:dyDescent="0.25">
      <c r="A1629">
        <v>1628</v>
      </c>
      <c r="B1629" t="s">
        <v>3269</v>
      </c>
      <c r="C1629" s="1">
        <v>37.285992301100002</v>
      </c>
      <c r="D1629" s="1">
        <v>-7.0413996696199996</v>
      </c>
      <c r="E1629" s="3">
        <v>1</v>
      </c>
      <c r="F1629" s="2">
        <v>2</v>
      </c>
      <c r="G1629" s="4">
        <v>2</v>
      </c>
      <c r="H1629" s="13"/>
      <c r="I1629" s="15"/>
      <c r="J1629" s="19">
        <v>2</v>
      </c>
      <c r="K1629" s="2" t="s">
        <v>3270</v>
      </c>
      <c r="L1629" s="11" t="str">
        <f t="shared" si="26"/>
        <v>Ver Imagen</v>
      </c>
      <c r="M1629" t="s">
        <v>15</v>
      </c>
    </row>
    <row r="1630" spans="1:13" x14ac:dyDescent="0.25">
      <c r="A1630">
        <v>1629</v>
      </c>
      <c r="B1630" t="s">
        <v>3271</v>
      </c>
      <c r="C1630" s="1">
        <v>37.286900164599999</v>
      </c>
      <c r="D1630" s="1">
        <v>-7.0419162537500002</v>
      </c>
      <c r="E1630" s="3">
        <v>1</v>
      </c>
      <c r="F1630" s="2">
        <v>2</v>
      </c>
      <c r="G1630" s="4">
        <v>2</v>
      </c>
      <c r="H1630" s="13"/>
      <c r="I1630" s="15"/>
      <c r="J1630" s="19">
        <v>2</v>
      </c>
      <c r="K1630" s="2" t="s">
        <v>3272</v>
      </c>
      <c r="L1630" s="11" t="str">
        <f t="shared" si="26"/>
        <v>Ver Imagen</v>
      </c>
      <c r="M1630" t="s">
        <v>15</v>
      </c>
    </row>
    <row r="1631" spans="1:13" x14ac:dyDescent="0.25">
      <c r="A1631">
        <v>1630</v>
      </c>
      <c r="B1631" t="s">
        <v>3273</v>
      </c>
      <c r="C1631" s="1">
        <v>37.2873060943</v>
      </c>
      <c r="D1631" s="1">
        <v>-7.0420980249699996</v>
      </c>
      <c r="E1631" s="3">
        <v>1</v>
      </c>
      <c r="F1631" s="2">
        <v>2</v>
      </c>
      <c r="G1631" s="4">
        <v>2</v>
      </c>
      <c r="H1631" s="13"/>
      <c r="I1631" s="15"/>
      <c r="J1631" s="19">
        <v>2</v>
      </c>
      <c r="K1631" s="2" t="s">
        <v>3274</v>
      </c>
      <c r="L1631" s="11" t="str">
        <f t="shared" si="26"/>
        <v>Ver Imagen</v>
      </c>
      <c r="M1631" t="s">
        <v>15</v>
      </c>
    </row>
    <row r="1632" spans="1:13" x14ac:dyDescent="0.25">
      <c r="A1632">
        <v>1631</v>
      </c>
      <c r="B1632" t="s">
        <v>3275</v>
      </c>
      <c r="C1632" s="1">
        <v>37.295664063399997</v>
      </c>
      <c r="D1632" s="1">
        <v>-7.0494017970099998</v>
      </c>
      <c r="E1632" s="3">
        <v>1</v>
      </c>
      <c r="F1632" s="2">
        <v>2</v>
      </c>
      <c r="G1632" s="4">
        <v>2</v>
      </c>
      <c r="H1632" s="13"/>
      <c r="I1632" s="15"/>
      <c r="J1632" s="19">
        <v>2</v>
      </c>
      <c r="K1632" s="2" t="s">
        <v>3276</v>
      </c>
      <c r="L1632" s="11" t="str">
        <f t="shared" si="26"/>
        <v>Ver Imagen</v>
      </c>
      <c r="M1632" t="s">
        <v>15</v>
      </c>
    </row>
    <row r="1633" spans="1:13" x14ac:dyDescent="0.25">
      <c r="A1633">
        <v>1632</v>
      </c>
      <c r="B1633" t="s">
        <v>3277</v>
      </c>
      <c r="C1633" s="1">
        <v>37.297586641700001</v>
      </c>
      <c r="D1633" s="1">
        <v>-7.0529427508199998</v>
      </c>
      <c r="E1633" s="3">
        <v>1</v>
      </c>
      <c r="F1633" s="2">
        <v>2</v>
      </c>
      <c r="G1633" s="4">
        <v>2</v>
      </c>
      <c r="H1633" s="13"/>
      <c r="I1633" s="15"/>
      <c r="J1633" s="19">
        <v>2</v>
      </c>
      <c r="K1633" s="2" t="s">
        <v>3278</v>
      </c>
      <c r="L1633" s="11" t="str">
        <f t="shared" si="26"/>
        <v>Ver Imagen</v>
      </c>
      <c r="M1633" t="s">
        <v>15</v>
      </c>
    </row>
    <row r="1634" spans="1:13" x14ac:dyDescent="0.25">
      <c r="A1634">
        <v>1633</v>
      </c>
      <c r="B1634" t="s">
        <v>3279</v>
      </c>
      <c r="C1634" s="1">
        <v>37.3125339586</v>
      </c>
      <c r="D1634" s="1">
        <v>-7.0610082619899996</v>
      </c>
      <c r="E1634" s="3">
        <v>1</v>
      </c>
      <c r="F1634" s="2">
        <v>2</v>
      </c>
      <c r="G1634" s="4">
        <v>2</v>
      </c>
      <c r="H1634" s="13"/>
      <c r="I1634" s="15"/>
      <c r="J1634" s="19">
        <v>2</v>
      </c>
      <c r="K1634" s="2" t="s">
        <v>3280</v>
      </c>
      <c r="L1634" s="11" t="str">
        <f t="shared" si="26"/>
        <v>Ver Imagen</v>
      </c>
      <c r="M1634" t="s">
        <v>15</v>
      </c>
    </row>
    <row r="1635" spans="1:13" x14ac:dyDescent="0.25">
      <c r="A1635">
        <v>1634</v>
      </c>
      <c r="B1635" t="s">
        <v>3281</v>
      </c>
      <c r="C1635" s="1">
        <v>37.314944988800001</v>
      </c>
      <c r="D1635" s="1">
        <v>-7.06538215545</v>
      </c>
      <c r="E1635" s="3">
        <v>1</v>
      </c>
      <c r="F1635" s="2">
        <v>2</v>
      </c>
      <c r="G1635" s="4">
        <v>2</v>
      </c>
      <c r="H1635" s="13"/>
      <c r="I1635" s="15"/>
      <c r="J1635" s="19">
        <v>2</v>
      </c>
      <c r="K1635" s="2" t="s">
        <v>3282</v>
      </c>
      <c r="L1635" s="11" t="str">
        <f t="shared" si="26"/>
        <v>Ver Imagen</v>
      </c>
      <c r="M1635" t="s">
        <v>15</v>
      </c>
    </row>
    <row r="1636" spans="1:13" x14ac:dyDescent="0.25">
      <c r="A1636">
        <v>1635</v>
      </c>
      <c r="B1636" t="s">
        <v>3283</v>
      </c>
      <c r="C1636" s="1">
        <v>37.318362481900003</v>
      </c>
      <c r="D1636" s="1">
        <v>-7.0713183015299999</v>
      </c>
      <c r="E1636" s="3">
        <v>2</v>
      </c>
      <c r="F1636" s="2">
        <v>2</v>
      </c>
      <c r="G1636" s="4">
        <v>3</v>
      </c>
      <c r="H1636" s="13"/>
      <c r="I1636" s="15"/>
      <c r="J1636" s="19">
        <v>2</v>
      </c>
      <c r="K1636" s="2" t="s">
        <v>3284</v>
      </c>
      <c r="L1636" s="11" t="str">
        <f t="shared" si="26"/>
        <v>Ver Imagen</v>
      </c>
      <c r="M1636" t="s">
        <v>15</v>
      </c>
    </row>
    <row r="1637" spans="1:13" x14ac:dyDescent="0.25">
      <c r="A1637">
        <v>1636</v>
      </c>
      <c r="B1637" t="s">
        <v>3285</v>
      </c>
      <c r="C1637" s="1">
        <v>37.318762663100003</v>
      </c>
      <c r="D1637" s="1">
        <v>-7.0713887377200004</v>
      </c>
      <c r="E1637" s="3">
        <v>2</v>
      </c>
      <c r="F1637" s="2">
        <v>2</v>
      </c>
      <c r="G1637" s="4">
        <v>3</v>
      </c>
      <c r="H1637" s="13"/>
      <c r="I1637" s="15"/>
      <c r="J1637" s="19">
        <v>2</v>
      </c>
      <c r="K1637" s="2" t="s">
        <v>3286</v>
      </c>
      <c r="L1637" s="11" t="str">
        <f t="shared" si="26"/>
        <v>Ver Imagen</v>
      </c>
      <c r="M1637" t="s">
        <v>15</v>
      </c>
    </row>
    <row r="1638" spans="1:13" x14ac:dyDescent="0.25">
      <c r="A1638">
        <v>1637</v>
      </c>
      <c r="B1638" t="s">
        <v>3287</v>
      </c>
      <c r="C1638" s="1">
        <v>37.191516207500001</v>
      </c>
      <c r="D1638" s="1">
        <v>-6.9920555397399999</v>
      </c>
      <c r="E1638" s="3">
        <v>2</v>
      </c>
      <c r="F1638" s="2">
        <v>2</v>
      </c>
      <c r="G1638" s="4">
        <v>3</v>
      </c>
      <c r="H1638" s="13"/>
      <c r="I1638" s="15"/>
      <c r="J1638" s="19">
        <v>2</v>
      </c>
      <c r="K1638" s="2" t="s">
        <v>3288</v>
      </c>
      <c r="L1638" s="11" t="str">
        <f t="shared" si="26"/>
        <v>Ver Imagen</v>
      </c>
      <c r="M1638" t="s">
        <v>15</v>
      </c>
    </row>
    <row r="1639" spans="1:13" x14ac:dyDescent="0.25">
      <c r="A1639">
        <v>1638</v>
      </c>
      <c r="B1639" t="s">
        <v>3289</v>
      </c>
      <c r="C1639" s="1">
        <v>37.191929676800001</v>
      </c>
      <c r="D1639" s="1">
        <v>-6.9929134984800001</v>
      </c>
      <c r="E1639" s="3">
        <v>2</v>
      </c>
      <c r="F1639" s="2">
        <v>2</v>
      </c>
      <c r="G1639" s="4">
        <v>3</v>
      </c>
      <c r="H1639" s="13"/>
      <c r="I1639" s="15"/>
      <c r="J1639" s="19">
        <v>2</v>
      </c>
      <c r="K1639" s="2" t="s">
        <v>3290</v>
      </c>
      <c r="L1639" s="11" t="str">
        <f t="shared" si="26"/>
        <v>Ver Imagen</v>
      </c>
      <c r="M1639" t="s">
        <v>15</v>
      </c>
    </row>
    <row r="1640" spans="1:13" x14ac:dyDescent="0.25">
      <c r="A1640">
        <v>1639</v>
      </c>
      <c r="B1640" t="s">
        <v>3291</v>
      </c>
      <c r="C1640" s="1">
        <v>37.217997164400003</v>
      </c>
      <c r="D1640" s="1">
        <v>-7.1210396790199999</v>
      </c>
      <c r="E1640" s="3">
        <v>3</v>
      </c>
      <c r="F1640" s="2">
        <v>2</v>
      </c>
      <c r="G1640" s="4">
        <v>2</v>
      </c>
      <c r="H1640" s="13"/>
      <c r="I1640" s="15"/>
      <c r="J1640" s="19">
        <v>2</v>
      </c>
      <c r="K1640" s="2" t="s">
        <v>3292</v>
      </c>
      <c r="L1640" s="11" t="str">
        <f t="shared" si="26"/>
        <v>Ver Imagen</v>
      </c>
      <c r="M1640" t="s">
        <v>15</v>
      </c>
    </row>
    <row r="1641" spans="1:13" x14ac:dyDescent="0.25">
      <c r="A1641">
        <v>1640</v>
      </c>
      <c r="B1641" t="s">
        <v>3293</v>
      </c>
      <c r="C1641" s="1">
        <v>37.218016696200003</v>
      </c>
      <c r="D1641" s="1">
        <v>-7.1207897461399998</v>
      </c>
      <c r="E1641" s="3">
        <v>2</v>
      </c>
      <c r="F1641" s="2">
        <v>2</v>
      </c>
      <c r="G1641" s="4">
        <v>3</v>
      </c>
      <c r="H1641" s="13"/>
      <c r="I1641" s="15"/>
      <c r="J1641" s="19">
        <v>2</v>
      </c>
      <c r="K1641" s="2" t="s">
        <v>3294</v>
      </c>
      <c r="L1641" s="11" t="str">
        <f t="shared" si="26"/>
        <v>Ver Imagen</v>
      </c>
      <c r="M1641" t="s">
        <v>15</v>
      </c>
    </row>
    <row r="1642" spans="1:13" x14ac:dyDescent="0.25">
      <c r="A1642">
        <v>1641</v>
      </c>
      <c r="B1642" t="s">
        <v>3295</v>
      </c>
      <c r="C1642" s="1">
        <v>37.218107313200001</v>
      </c>
      <c r="D1642" s="1">
        <v>-7.1195173334700002</v>
      </c>
      <c r="E1642" s="3">
        <v>2</v>
      </c>
      <c r="F1642" s="2">
        <v>2</v>
      </c>
      <c r="G1642" s="4">
        <v>3</v>
      </c>
      <c r="H1642" s="13"/>
      <c r="I1642" s="15"/>
      <c r="J1642" s="19">
        <v>2</v>
      </c>
      <c r="K1642" s="2" t="s">
        <v>3296</v>
      </c>
      <c r="L1642" s="11" t="str">
        <f t="shared" si="26"/>
        <v>Ver Imagen</v>
      </c>
      <c r="M1642" t="s">
        <v>15</v>
      </c>
    </row>
    <row r="1643" spans="1:13" x14ac:dyDescent="0.25">
      <c r="A1643">
        <v>1642</v>
      </c>
      <c r="B1643" t="s">
        <v>3297</v>
      </c>
      <c r="C1643" s="1">
        <v>37.217031388199999</v>
      </c>
      <c r="D1643" s="1">
        <v>-7.09944792779</v>
      </c>
      <c r="E1643" s="3">
        <v>2</v>
      </c>
      <c r="F1643" s="2">
        <v>2</v>
      </c>
      <c r="G1643" s="4">
        <v>3</v>
      </c>
      <c r="H1643" s="13"/>
      <c r="I1643" s="15"/>
      <c r="J1643" s="19">
        <v>2</v>
      </c>
      <c r="K1643" s="2" t="s">
        <v>3298</v>
      </c>
      <c r="L1643" s="11" t="str">
        <f t="shared" si="26"/>
        <v>Ver Imagen</v>
      </c>
      <c r="M1643" t="s">
        <v>15</v>
      </c>
    </row>
    <row r="1644" spans="1:13" x14ac:dyDescent="0.25">
      <c r="A1644">
        <v>1643</v>
      </c>
      <c r="B1644" t="s">
        <v>3299</v>
      </c>
      <c r="C1644" s="1">
        <v>37.216577593899999</v>
      </c>
      <c r="D1644" s="1">
        <v>-7.0931819227900004</v>
      </c>
      <c r="E1644" s="3">
        <v>2</v>
      </c>
      <c r="F1644" s="2">
        <v>2</v>
      </c>
      <c r="G1644" s="4">
        <v>3</v>
      </c>
      <c r="H1644" s="13"/>
      <c r="I1644" s="15"/>
      <c r="J1644" s="19">
        <v>2</v>
      </c>
      <c r="K1644" s="2" t="s">
        <v>3300</v>
      </c>
      <c r="L1644" s="11" t="str">
        <f t="shared" si="26"/>
        <v>Ver Imagen</v>
      </c>
      <c r="M1644" t="s">
        <v>15</v>
      </c>
    </row>
    <row r="1645" spans="1:13" x14ac:dyDescent="0.25">
      <c r="A1645">
        <v>1644</v>
      </c>
      <c r="B1645" t="s">
        <v>3301</v>
      </c>
      <c r="C1645" s="1">
        <v>37.216044963800002</v>
      </c>
      <c r="D1645" s="1">
        <v>-7.0889238754999999</v>
      </c>
      <c r="E1645" s="3">
        <v>2</v>
      </c>
      <c r="F1645" s="2">
        <v>2</v>
      </c>
      <c r="G1645" s="4">
        <v>3</v>
      </c>
      <c r="H1645" s="13"/>
      <c r="I1645" s="15"/>
      <c r="J1645" s="19">
        <v>2</v>
      </c>
      <c r="K1645" s="2" t="s">
        <v>3302</v>
      </c>
      <c r="L1645" s="11" t="str">
        <f t="shared" si="26"/>
        <v>Ver Imagen</v>
      </c>
      <c r="M1645" t="s">
        <v>15</v>
      </c>
    </row>
    <row r="1646" spans="1:13" x14ac:dyDescent="0.25">
      <c r="A1646">
        <v>1645</v>
      </c>
      <c r="B1646" t="s">
        <v>3303</v>
      </c>
      <c r="C1646" s="1">
        <v>37.216150667299999</v>
      </c>
      <c r="D1646" s="1">
        <v>-7.0838726188200001</v>
      </c>
      <c r="E1646" s="3">
        <v>2</v>
      </c>
      <c r="F1646" s="2">
        <v>2</v>
      </c>
      <c r="G1646" s="4">
        <v>3</v>
      </c>
      <c r="H1646" s="13"/>
      <c r="I1646" s="15"/>
      <c r="J1646" s="19">
        <v>2</v>
      </c>
      <c r="K1646" s="2" t="s">
        <v>3304</v>
      </c>
      <c r="L1646" s="11" t="str">
        <f t="shared" si="26"/>
        <v>Ver Imagen</v>
      </c>
      <c r="M1646" t="s">
        <v>15</v>
      </c>
    </row>
    <row r="1647" spans="1:13" x14ac:dyDescent="0.25">
      <c r="A1647">
        <v>1646</v>
      </c>
      <c r="B1647" t="s">
        <v>3305</v>
      </c>
      <c r="C1647" s="1">
        <v>37.2160948609</v>
      </c>
      <c r="D1647" s="1">
        <v>-7.08363317313</v>
      </c>
      <c r="E1647" s="3">
        <v>2</v>
      </c>
      <c r="F1647" s="2">
        <v>2</v>
      </c>
      <c r="G1647" s="4">
        <v>3</v>
      </c>
      <c r="H1647" s="13"/>
      <c r="I1647" s="15"/>
      <c r="J1647" s="19">
        <v>2</v>
      </c>
      <c r="K1647" s="2" t="s">
        <v>3306</v>
      </c>
      <c r="L1647" s="11" t="str">
        <f t="shared" si="26"/>
        <v>Ver Imagen</v>
      </c>
      <c r="M1647" t="s">
        <v>15</v>
      </c>
    </row>
    <row r="1648" spans="1:13" x14ac:dyDescent="0.25">
      <c r="A1648">
        <v>1647</v>
      </c>
      <c r="B1648" t="s">
        <v>3307</v>
      </c>
      <c r="C1648" s="1">
        <v>37.216040841800002</v>
      </c>
      <c r="D1648" s="1">
        <v>-7.0834085719199997</v>
      </c>
      <c r="E1648" s="3">
        <v>2</v>
      </c>
      <c r="F1648" s="2">
        <v>2</v>
      </c>
      <c r="G1648" s="4">
        <v>3</v>
      </c>
      <c r="H1648" s="13"/>
      <c r="I1648" s="15"/>
      <c r="J1648" s="19">
        <v>2</v>
      </c>
      <c r="K1648" s="2" t="s">
        <v>3308</v>
      </c>
      <c r="L1648" s="11" t="str">
        <f t="shared" si="26"/>
        <v>Ver Imagen</v>
      </c>
      <c r="M1648" t="s">
        <v>15</v>
      </c>
    </row>
    <row r="1649" spans="1:13" x14ac:dyDescent="0.25">
      <c r="A1649">
        <v>1648</v>
      </c>
      <c r="B1649" t="s">
        <v>3309</v>
      </c>
      <c r="C1649" s="1">
        <v>37.215972830299997</v>
      </c>
      <c r="D1649" s="1">
        <v>-7.0831367627299997</v>
      </c>
      <c r="E1649" s="3">
        <v>2</v>
      </c>
      <c r="F1649" s="2">
        <v>2</v>
      </c>
      <c r="G1649" s="4">
        <v>3</v>
      </c>
      <c r="H1649" s="13"/>
      <c r="I1649" s="15"/>
      <c r="J1649" s="19">
        <v>2</v>
      </c>
      <c r="K1649" s="2" t="s">
        <v>3310</v>
      </c>
      <c r="L1649" s="11" t="str">
        <f t="shared" si="26"/>
        <v>Ver Imagen</v>
      </c>
      <c r="M1649" t="s">
        <v>15</v>
      </c>
    </row>
    <row r="1650" spans="1:13" x14ac:dyDescent="0.25">
      <c r="A1650">
        <v>1649</v>
      </c>
      <c r="B1650" t="s">
        <v>3311</v>
      </c>
      <c r="C1650" s="1">
        <v>37.213831083899997</v>
      </c>
      <c r="D1650" s="1">
        <v>-7.0731367266299996</v>
      </c>
      <c r="E1650" s="3">
        <v>2</v>
      </c>
      <c r="F1650" s="2">
        <v>2</v>
      </c>
      <c r="G1650" s="4">
        <v>3</v>
      </c>
      <c r="H1650" s="13"/>
      <c r="I1650" s="15"/>
      <c r="J1650" s="19">
        <v>2</v>
      </c>
      <c r="K1650" s="2" t="s">
        <v>3312</v>
      </c>
      <c r="L1650" s="11" t="str">
        <f t="shared" si="26"/>
        <v>Ver Imagen</v>
      </c>
      <c r="M1650" t="s">
        <v>15</v>
      </c>
    </row>
    <row r="1651" spans="1:13" x14ac:dyDescent="0.25">
      <c r="A1651">
        <v>1650</v>
      </c>
      <c r="B1651" t="s">
        <v>3313</v>
      </c>
      <c r="C1651" s="1">
        <v>37.2133261472</v>
      </c>
      <c r="D1651" s="1">
        <v>-7.06609968274</v>
      </c>
      <c r="E1651" s="3">
        <v>2</v>
      </c>
      <c r="F1651" s="2">
        <v>2</v>
      </c>
      <c r="G1651" s="4">
        <v>3</v>
      </c>
      <c r="H1651" s="13"/>
      <c r="I1651" s="15"/>
      <c r="J1651" s="19">
        <v>2</v>
      </c>
      <c r="K1651" s="2" t="s">
        <v>3314</v>
      </c>
      <c r="L1651" s="11" t="str">
        <f t="shared" si="26"/>
        <v>Ver Imagen</v>
      </c>
      <c r="M1651" t="s">
        <v>15</v>
      </c>
    </row>
    <row r="1652" spans="1:13" x14ac:dyDescent="0.25">
      <c r="A1652">
        <v>1651</v>
      </c>
      <c r="B1652" t="s">
        <v>3315</v>
      </c>
      <c r="C1652" s="1">
        <v>37.198911749300002</v>
      </c>
      <c r="D1652" s="1">
        <v>-7.01285020063</v>
      </c>
      <c r="E1652" s="3">
        <v>2</v>
      </c>
      <c r="F1652" s="2">
        <v>2</v>
      </c>
      <c r="G1652" s="4">
        <v>3</v>
      </c>
      <c r="H1652" s="13"/>
      <c r="I1652" s="15"/>
      <c r="J1652" s="19">
        <v>2</v>
      </c>
      <c r="K1652" s="2" t="s">
        <v>3316</v>
      </c>
      <c r="L1652" s="11" t="str">
        <f t="shared" si="26"/>
        <v>Ver Imagen</v>
      </c>
      <c r="M1652" t="s">
        <v>15</v>
      </c>
    </row>
    <row r="1653" spans="1:13" x14ac:dyDescent="0.25">
      <c r="A1653">
        <v>1652</v>
      </c>
      <c r="B1653" t="s">
        <v>3317</v>
      </c>
      <c r="C1653" s="1">
        <v>37.1975917026</v>
      </c>
      <c r="D1653" s="1">
        <v>-7.0094452060799997</v>
      </c>
      <c r="E1653" s="3">
        <v>2</v>
      </c>
      <c r="F1653" s="2">
        <v>2</v>
      </c>
      <c r="G1653" s="4">
        <v>3</v>
      </c>
      <c r="H1653" s="13"/>
      <c r="I1653" s="15"/>
      <c r="J1653" s="19">
        <v>2</v>
      </c>
      <c r="K1653" s="2" t="s">
        <v>3318</v>
      </c>
      <c r="L1653" s="11" t="str">
        <f t="shared" si="26"/>
        <v>Ver Imagen</v>
      </c>
      <c r="M1653" t="s">
        <v>15</v>
      </c>
    </row>
    <row r="1654" spans="1:13" x14ac:dyDescent="0.25">
      <c r="A1654">
        <v>1653</v>
      </c>
      <c r="B1654" t="s">
        <v>3319</v>
      </c>
      <c r="C1654" s="1">
        <v>37.288499323000003</v>
      </c>
      <c r="D1654" s="1">
        <v>-7.1412453246399998</v>
      </c>
      <c r="E1654" s="3">
        <v>2</v>
      </c>
      <c r="F1654" s="2">
        <v>2</v>
      </c>
      <c r="G1654" s="4">
        <v>3</v>
      </c>
      <c r="H1654" s="13"/>
      <c r="I1654" s="15"/>
      <c r="J1654" s="19">
        <v>2</v>
      </c>
      <c r="K1654" s="2" t="s">
        <v>3320</v>
      </c>
      <c r="L1654" s="11" t="str">
        <f t="shared" si="26"/>
        <v>Ver Imagen</v>
      </c>
      <c r="M1654" t="s">
        <v>15</v>
      </c>
    </row>
    <row r="1655" spans="1:13" x14ac:dyDescent="0.25">
      <c r="A1655">
        <v>1654</v>
      </c>
      <c r="B1655" t="s">
        <v>3321</v>
      </c>
      <c r="C1655" s="1">
        <v>37.272042128899997</v>
      </c>
      <c r="D1655" s="1">
        <v>-7.1411867637100004</v>
      </c>
      <c r="E1655" s="3">
        <v>3</v>
      </c>
      <c r="F1655" s="2">
        <v>2</v>
      </c>
      <c r="G1655" s="4">
        <v>2</v>
      </c>
      <c r="H1655" s="13"/>
      <c r="I1655" s="15"/>
      <c r="J1655" s="19">
        <v>2</v>
      </c>
      <c r="K1655" s="2" t="s">
        <v>3322</v>
      </c>
      <c r="L1655" s="11" t="str">
        <f t="shared" si="26"/>
        <v>Ver Imagen</v>
      </c>
      <c r="M1655" t="s">
        <v>15</v>
      </c>
    </row>
    <row r="1656" spans="1:13" x14ac:dyDescent="0.25">
      <c r="A1656">
        <v>1655</v>
      </c>
      <c r="B1656" t="s">
        <v>3323</v>
      </c>
      <c r="C1656" s="1">
        <v>37.262656538999998</v>
      </c>
      <c r="D1656" s="1">
        <v>-7.1307521077500002</v>
      </c>
      <c r="E1656" s="3">
        <v>3</v>
      </c>
      <c r="F1656" s="2">
        <v>2</v>
      </c>
      <c r="G1656" s="4">
        <v>2</v>
      </c>
      <c r="H1656" s="13"/>
      <c r="I1656" s="15"/>
      <c r="J1656" s="19">
        <v>2</v>
      </c>
      <c r="K1656" s="2" t="s">
        <v>3324</v>
      </c>
      <c r="L1656" s="11" t="str">
        <f t="shared" si="26"/>
        <v>Ver Imagen</v>
      </c>
      <c r="M1656" t="s">
        <v>15</v>
      </c>
    </row>
    <row r="1657" spans="1:13" x14ac:dyDescent="0.25">
      <c r="A1657">
        <v>1656</v>
      </c>
      <c r="B1657" t="s">
        <v>3325</v>
      </c>
      <c r="C1657" s="1">
        <v>37.251741448899999</v>
      </c>
      <c r="D1657" s="1">
        <v>-7.1270172685800004</v>
      </c>
      <c r="E1657" s="3">
        <v>3</v>
      </c>
      <c r="F1657" s="2">
        <v>2</v>
      </c>
      <c r="G1657" s="4">
        <v>2</v>
      </c>
      <c r="H1657" s="13"/>
      <c r="I1657" s="15"/>
      <c r="J1657" s="19">
        <v>2</v>
      </c>
      <c r="K1657" s="2" t="s">
        <v>3326</v>
      </c>
      <c r="L1657" s="11" t="str">
        <f t="shared" si="26"/>
        <v>Ver Imagen</v>
      </c>
      <c r="M1657" t="s">
        <v>15</v>
      </c>
    </row>
    <row r="1658" spans="1:13" x14ac:dyDescent="0.25">
      <c r="A1658">
        <v>1657</v>
      </c>
      <c r="B1658" t="s">
        <v>3327</v>
      </c>
      <c r="C1658" s="1">
        <v>37.242864347299999</v>
      </c>
      <c r="D1658" s="1">
        <v>-7.1283356407199996</v>
      </c>
      <c r="E1658" s="3">
        <v>2</v>
      </c>
      <c r="F1658" s="2">
        <v>2</v>
      </c>
      <c r="G1658" s="4">
        <v>3</v>
      </c>
      <c r="H1658" s="13"/>
      <c r="I1658" s="15"/>
      <c r="J1658" s="19">
        <v>2</v>
      </c>
      <c r="K1658" s="2" t="s">
        <v>3328</v>
      </c>
      <c r="L1658" s="11" t="str">
        <f t="shared" si="26"/>
        <v>Ver Imagen</v>
      </c>
      <c r="M1658" t="s">
        <v>15</v>
      </c>
    </row>
    <row r="1659" spans="1:13" x14ac:dyDescent="0.25">
      <c r="A1659">
        <v>1658</v>
      </c>
      <c r="B1659" t="s">
        <v>3329</v>
      </c>
      <c r="C1659" s="1">
        <v>37.237437875300003</v>
      </c>
      <c r="D1659" s="1">
        <v>-7.1283197755799996</v>
      </c>
      <c r="E1659" s="3">
        <v>2</v>
      </c>
      <c r="F1659" s="2">
        <v>2</v>
      </c>
      <c r="G1659" s="4">
        <v>3</v>
      </c>
      <c r="H1659" s="13"/>
      <c r="I1659" s="15"/>
      <c r="J1659" s="19">
        <v>2</v>
      </c>
      <c r="K1659" s="2" t="s">
        <v>3330</v>
      </c>
      <c r="L1659" s="11" t="str">
        <f t="shared" si="26"/>
        <v>Ver Imagen</v>
      </c>
      <c r="M1659" t="s">
        <v>15</v>
      </c>
    </row>
    <row r="1660" spans="1:13" x14ac:dyDescent="0.25">
      <c r="A1660">
        <v>1659</v>
      </c>
      <c r="B1660" t="s">
        <v>3331</v>
      </c>
      <c r="C1660" s="1">
        <v>37.237207841900002</v>
      </c>
      <c r="D1660" s="1">
        <v>-7.1282975713300001</v>
      </c>
      <c r="E1660" s="3">
        <v>2</v>
      </c>
      <c r="F1660" s="2">
        <v>2</v>
      </c>
      <c r="G1660" s="4">
        <v>3</v>
      </c>
      <c r="H1660" s="13"/>
      <c r="I1660" s="15"/>
      <c r="J1660" s="19">
        <v>2</v>
      </c>
      <c r="K1660" s="2" t="s">
        <v>3332</v>
      </c>
      <c r="L1660" s="11" t="str">
        <f t="shared" si="26"/>
        <v>Ver Imagen</v>
      </c>
      <c r="M1660" t="s">
        <v>15</v>
      </c>
    </row>
    <row r="1661" spans="1:13" x14ac:dyDescent="0.25">
      <c r="A1661">
        <v>1660</v>
      </c>
      <c r="B1661" t="s">
        <v>3333</v>
      </c>
      <c r="C1661" s="1">
        <v>37.235414445300002</v>
      </c>
      <c r="D1661" s="1">
        <v>-7.1280953188999998</v>
      </c>
      <c r="E1661" s="3">
        <v>2</v>
      </c>
      <c r="F1661" s="2">
        <v>2</v>
      </c>
      <c r="G1661" s="4">
        <v>3</v>
      </c>
      <c r="H1661" s="13"/>
      <c r="I1661" s="15"/>
      <c r="J1661" s="19">
        <v>2</v>
      </c>
      <c r="K1661" s="2" t="s">
        <v>3334</v>
      </c>
      <c r="L1661" s="11" t="str">
        <f t="shared" si="26"/>
        <v>Ver Imagen</v>
      </c>
      <c r="M1661" t="s">
        <v>15</v>
      </c>
    </row>
    <row r="1662" spans="1:13" x14ac:dyDescent="0.25">
      <c r="A1662">
        <v>1661</v>
      </c>
      <c r="B1662" t="s">
        <v>3335</v>
      </c>
      <c r="C1662" s="1">
        <v>37.234825729000001</v>
      </c>
      <c r="D1662" s="1">
        <v>-7.12789013063</v>
      </c>
      <c r="E1662" s="3">
        <v>2</v>
      </c>
      <c r="F1662" s="2">
        <v>2</v>
      </c>
      <c r="G1662" s="4">
        <v>3</v>
      </c>
      <c r="H1662" s="13"/>
      <c r="I1662" s="15"/>
      <c r="J1662" s="19">
        <v>2</v>
      </c>
      <c r="K1662" s="2" t="s">
        <v>3336</v>
      </c>
      <c r="L1662" s="11" t="str">
        <f t="shared" si="26"/>
        <v>Ver Imagen</v>
      </c>
      <c r="M1662" t="s">
        <v>15</v>
      </c>
    </row>
    <row r="1663" spans="1:13" x14ac:dyDescent="0.25">
      <c r="A1663">
        <v>1662</v>
      </c>
      <c r="B1663" t="s">
        <v>3337</v>
      </c>
      <c r="C1663" s="1">
        <v>37.231456714099998</v>
      </c>
      <c r="D1663" s="1">
        <v>-7.1270950108299997</v>
      </c>
      <c r="E1663" s="3">
        <v>2</v>
      </c>
      <c r="F1663" s="2">
        <v>2</v>
      </c>
      <c r="G1663" s="4">
        <v>3</v>
      </c>
      <c r="H1663" s="13"/>
      <c r="I1663" s="15"/>
      <c r="J1663" s="19">
        <v>2</v>
      </c>
      <c r="K1663" s="2" t="s">
        <v>3338</v>
      </c>
      <c r="L1663" s="11" t="str">
        <f t="shared" si="26"/>
        <v>Ver Imagen</v>
      </c>
      <c r="M1663" t="s">
        <v>15</v>
      </c>
    </row>
    <row r="1664" spans="1:13" x14ac:dyDescent="0.25">
      <c r="A1664">
        <v>1663</v>
      </c>
      <c r="B1664" t="s">
        <v>3339</v>
      </c>
      <c r="C1664" s="1">
        <v>37.229848804900001</v>
      </c>
      <c r="D1664" s="1">
        <v>-7.1269466353400004</v>
      </c>
      <c r="E1664" s="3">
        <v>2</v>
      </c>
      <c r="F1664" s="2">
        <v>2</v>
      </c>
      <c r="G1664" s="4">
        <v>3</v>
      </c>
      <c r="H1664" s="13"/>
      <c r="I1664" s="15"/>
      <c r="J1664" s="19">
        <v>2</v>
      </c>
      <c r="K1664" s="2" t="s">
        <v>3340</v>
      </c>
      <c r="L1664" s="11" t="str">
        <f t="shared" si="26"/>
        <v>Ver Imagen</v>
      </c>
      <c r="M1664" t="s">
        <v>15</v>
      </c>
    </row>
    <row r="1665" spans="1:13" x14ac:dyDescent="0.25">
      <c r="A1665">
        <v>1664</v>
      </c>
      <c r="B1665" t="s">
        <v>3341</v>
      </c>
      <c r="C1665" s="1">
        <v>37.229655871200002</v>
      </c>
      <c r="D1665" s="1">
        <v>-7.1269286066899999</v>
      </c>
      <c r="E1665" s="3">
        <v>2</v>
      </c>
      <c r="F1665" s="2">
        <v>2</v>
      </c>
      <c r="G1665" s="4">
        <v>3</v>
      </c>
      <c r="H1665" s="13"/>
      <c r="I1665" s="15"/>
      <c r="J1665" s="19">
        <v>2</v>
      </c>
      <c r="K1665" s="2" t="s">
        <v>3342</v>
      </c>
      <c r="L1665" s="11" t="str">
        <f t="shared" si="26"/>
        <v>Ver Imagen</v>
      </c>
      <c r="M1665" t="s">
        <v>15</v>
      </c>
    </row>
    <row r="1666" spans="1:13" x14ac:dyDescent="0.25">
      <c r="A1666">
        <v>1665</v>
      </c>
      <c r="B1666" t="s">
        <v>3343</v>
      </c>
      <c r="C1666" s="1">
        <v>37.223181271100003</v>
      </c>
      <c r="D1666" s="1">
        <v>-7.1250361666800002</v>
      </c>
      <c r="E1666" s="3">
        <v>3</v>
      </c>
      <c r="F1666" s="2">
        <v>2</v>
      </c>
      <c r="G1666" s="4">
        <v>2</v>
      </c>
      <c r="H1666" s="13"/>
      <c r="I1666" s="15"/>
      <c r="J1666" s="19">
        <v>2</v>
      </c>
      <c r="K1666" s="2" t="s">
        <v>3344</v>
      </c>
      <c r="L1666" s="11" t="str">
        <f t="shared" si="26"/>
        <v>Ver Imagen</v>
      </c>
      <c r="M1666" t="s">
        <v>15</v>
      </c>
    </row>
    <row r="1667" spans="1:13" x14ac:dyDescent="0.25">
      <c r="A1667">
        <v>1666</v>
      </c>
      <c r="B1667" t="s">
        <v>3345</v>
      </c>
      <c r="C1667" s="1">
        <v>37.222780091200001</v>
      </c>
      <c r="D1667" s="1">
        <v>-7.1250105142600004</v>
      </c>
      <c r="E1667" s="3">
        <v>2</v>
      </c>
      <c r="F1667" s="2">
        <v>2</v>
      </c>
      <c r="G1667" s="4">
        <v>3</v>
      </c>
      <c r="H1667" s="13"/>
      <c r="I1667" s="15"/>
      <c r="J1667" s="19">
        <v>2</v>
      </c>
      <c r="K1667" s="2" t="s">
        <v>3346</v>
      </c>
      <c r="L1667" s="11" t="str">
        <f t="shared" ref="L1667:L1730" si="27">HYPERLINK("2\1\" &amp; K1667, "Ver Imagen")</f>
        <v>Ver Imagen</v>
      </c>
      <c r="M1667" t="s">
        <v>15</v>
      </c>
    </row>
    <row r="1668" spans="1:13" x14ac:dyDescent="0.25">
      <c r="A1668">
        <v>1667</v>
      </c>
      <c r="B1668" t="s">
        <v>3347</v>
      </c>
      <c r="C1668" s="1">
        <v>37.443946532699997</v>
      </c>
      <c r="D1668" s="1">
        <v>-7.0974574989999999</v>
      </c>
      <c r="E1668" s="3">
        <v>3</v>
      </c>
      <c r="F1668" s="2">
        <v>2</v>
      </c>
      <c r="G1668" s="4">
        <v>2</v>
      </c>
      <c r="H1668" s="13"/>
      <c r="I1668" s="15"/>
      <c r="J1668" s="19">
        <v>2</v>
      </c>
      <c r="K1668" s="2" t="s">
        <v>3348</v>
      </c>
      <c r="L1668" s="11" t="str">
        <f t="shared" si="27"/>
        <v>Ver Imagen</v>
      </c>
      <c r="M1668" t="s">
        <v>15</v>
      </c>
    </row>
    <row r="1669" spans="1:13" x14ac:dyDescent="0.25">
      <c r="A1669">
        <v>1668</v>
      </c>
      <c r="B1669" t="s">
        <v>3349</v>
      </c>
      <c r="C1669" s="1">
        <v>37.443752699500003</v>
      </c>
      <c r="D1669" s="1">
        <v>-7.0964572693800001</v>
      </c>
      <c r="E1669" s="3">
        <v>3</v>
      </c>
      <c r="F1669" s="2">
        <v>2</v>
      </c>
      <c r="G1669" s="4">
        <v>2</v>
      </c>
      <c r="H1669" s="13"/>
      <c r="I1669" s="15"/>
      <c r="J1669" s="19">
        <v>2</v>
      </c>
      <c r="K1669" s="2" t="s">
        <v>3350</v>
      </c>
      <c r="L1669" s="11" t="str">
        <f t="shared" si="27"/>
        <v>Ver Imagen</v>
      </c>
      <c r="M1669" t="s">
        <v>15</v>
      </c>
    </row>
    <row r="1670" spans="1:13" x14ac:dyDescent="0.25">
      <c r="A1670">
        <v>1669</v>
      </c>
      <c r="B1670" t="s">
        <v>3351</v>
      </c>
      <c r="C1670" s="1">
        <v>37.443673860200001</v>
      </c>
      <c r="D1670" s="1">
        <v>-7.0962244803000001</v>
      </c>
      <c r="E1670" s="3">
        <v>3</v>
      </c>
      <c r="F1670" s="2">
        <v>2</v>
      </c>
      <c r="G1670" s="4">
        <v>2</v>
      </c>
      <c r="H1670" s="13"/>
      <c r="I1670" s="15"/>
      <c r="J1670" s="19">
        <v>2</v>
      </c>
      <c r="K1670" s="2" t="s">
        <v>3352</v>
      </c>
      <c r="L1670" s="11" t="str">
        <f t="shared" si="27"/>
        <v>Ver Imagen</v>
      </c>
      <c r="M1670" t="s">
        <v>15</v>
      </c>
    </row>
    <row r="1671" spans="1:13" x14ac:dyDescent="0.25">
      <c r="A1671">
        <v>1670</v>
      </c>
      <c r="B1671" t="s">
        <v>3353</v>
      </c>
      <c r="C1671" s="1">
        <v>37.443332168300003</v>
      </c>
      <c r="D1671" s="1">
        <v>-7.0953219554300002</v>
      </c>
      <c r="E1671" s="3">
        <v>3</v>
      </c>
      <c r="F1671" s="2">
        <v>2</v>
      </c>
      <c r="G1671" s="4">
        <v>2</v>
      </c>
      <c r="H1671" s="13"/>
      <c r="I1671" s="15"/>
      <c r="J1671" s="19">
        <v>2</v>
      </c>
      <c r="K1671" s="2" t="s">
        <v>3354</v>
      </c>
      <c r="L1671" s="11" t="str">
        <f t="shared" si="27"/>
        <v>Ver Imagen</v>
      </c>
      <c r="M1671" t="s">
        <v>15</v>
      </c>
    </row>
    <row r="1672" spans="1:13" x14ac:dyDescent="0.25">
      <c r="A1672">
        <v>1671</v>
      </c>
      <c r="B1672" t="s">
        <v>3355</v>
      </c>
      <c r="C1672" s="1">
        <v>37.222822048799998</v>
      </c>
      <c r="D1672" s="1">
        <v>-7.0557208396900002</v>
      </c>
      <c r="E1672" s="3">
        <v>3</v>
      </c>
      <c r="F1672" s="2">
        <v>2</v>
      </c>
      <c r="G1672" s="4">
        <v>2</v>
      </c>
      <c r="H1672" s="13"/>
      <c r="I1672" s="15"/>
      <c r="J1672" s="19">
        <v>2</v>
      </c>
      <c r="K1672" s="2" t="s">
        <v>3356</v>
      </c>
      <c r="L1672" s="11" t="str">
        <f t="shared" si="27"/>
        <v>Ver Imagen</v>
      </c>
      <c r="M1672" t="s">
        <v>15</v>
      </c>
    </row>
    <row r="1673" spans="1:13" x14ac:dyDescent="0.25">
      <c r="A1673">
        <v>1672</v>
      </c>
      <c r="B1673" t="s">
        <v>3357</v>
      </c>
      <c r="C1673" s="1">
        <v>37.223017931800001</v>
      </c>
      <c r="D1673" s="1">
        <v>-7.0558084694599996</v>
      </c>
      <c r="E1673" s="3">
        <v>3</v>
      </c>
      <c r="F1673" s="2">
        <v>2</v>
      </c>
      <c r="G1673" s="4">
        <v>2</v>
      </c>
      <c r="H1673" s="13"/>
      <c r="I1673" s="15"/>
      <c r="J1673" s="19">
        <v>2</v>
      </c>
      <c r="K1673" s="2" t="s">
        <v>3358</v>
      </c>
      <c r="L1673" s="11" t="str">
        <f t="shared" si="27"/>
        <v>Ver Imagen</v>
      </c>
      <c r="M1673" t="s">
        <v>15</v>
      </c>
    </row>
    <row r="1674" spans="1:13" x14ac:dyDescent="0.25">
      <c r="A1674">
        <v>1673</v>
      </c>
      <c r="B1674" t="s">
        <v>3359</v>
      </c>
      <c r="C1674" s="1">
        <v>37.224965660499997</v>
      </c>
      <c r="D1674" s="1">
        <v>-7.0399983944600004</v>
      </c>
      <c r="E1674" s="3">
        <v>2</v>
      </c>
      <c r="F1674" s="2">
        <v>2</v>
      </c>
      <c r="G1674" s="4">
        <v>3</v>
      </c>
      <c r="H1674" s="13"/>
      <c r="I1674" s="15"/>
      <c r="J1674" s="19">
        <v>2</v>
      </c>
      <c r="K1674" s="2" t="s">
        <v>3360</v>
      </c>
      <c r="L1674" s="11" t="str">
        <f t="shared" si="27"/>
        <v>Ver Imagen</v>
      </c>
      <c r="M1674" t="s">
        <v>15</v>
      </c>
    </row>
    <row r="1675" spans="1:13" x14ac:dyDescent="0.25">
      <c r="A1675">
        <v>1674</v>
      </c>
      <c r="B1675" t="s">
        <v>3361</v>
      </c>
      <c r="C1675" s="1">
        <v>37.225302553600002</v>
      </c>
      <c r="D1675" s="1">
        <v>-7.0411797959899998</v>
      </c>
      <c r="E1675" s="3">
        <v>2</v>
      </c>
      <c r="F1675" s="2">
        <v>2</v>
      </c>
      <c r="G1675" s="4">
        <v>3</v>
      </c>
      <c r="H1675" s="13"/>
      <c r="I1675" s="15"/>
      <c r="J1675" s="19">
        <v>2</v>
      </c>
      <c r="K1675" s="2" t="s">
        <v>3362</v>
      </c>
      <c r="L1675" s="11" t="str">
        <f t="shared" si="27"/>
        <v>Ver Imagen</v>
      </c>
      <c r="M1675" t="s">
        <v>15</v>
      </c>
    </row>
    <row r="1676" spans="1:13" x14ac:dyDescent="0.25">
      <c r="A1676">
        <v>1675</v>
      </c>
      <c r="B1676" t="s">
        <v>3363</v>
      </c>
      <c r="C1676" s="1">
        <v>37.225679753800001</v>
      </c>
      <c r="D1676" s="1">
        <v>-7.04209020497</v>
      </c>
      <c r="E1676" s="3">
        <v>2</v>
      </c>
      <c r="F1676" s="2">
        <v>2</v>
      </c>
      <c r="G1676" s="4">
        <v>3</v>
      </c>
      <c r="H1676" s="13"/>
      <c r="I1676" s="15"/>
      <c r="J1676" s="19">
        <v>2</v>
      </c>
      <c r="K1676" s="2" t="s">
        <v>3364</v>
      </c>
      <c r="L1676" s="11" t="str">
        <f t="shared" si="27"/>
        <v>Ver Imagen</v>
      </c>
      <c r="M1676" t="s">
        <v>15</v>
      </c>
    </row>
    <row r="1677" spans="1:13" x14ac:dyDescent="0.25">
      <c r="A1677">
        <v>1676</v>
      </c>
      <c r="B1677" t="s">
        <v>3365</v>
      </c>
      <c r="C1677" s="1">
        <v>37.2260743601</v>
      </c>
      <c r="D1677" s="1">
        <v>-7.04296207274</v>
      </c>
      <c r="E1677" s="3">
        <v>2</v>
      </c>
      <c r="F1677" s="2">
        <v>2</v>
      </c>
      <c r="G1677" s="4">
        <v>3</v>
      </c>
      <c r="H1677" s="13"/>
      <c r="I1677" s="15"/>
      <c r="J1677" s="19">
        <v>2</v>
      </c>
      <c r="K1677" s="2" t="s">
        <v>3366</v>
      </c>
      <c r="L1677" s="11" t="str">
        <f t="shared" si="27"/>
        <v>Ver Imagen</v>
      </c>
      <c r="M1677" t="s">
        <v>15</v>
      </c>
    </row>
    <row r="1678" spans="1:13" x14ac:dyDescent="0.25">
      <c r="A1678">
        <v>1677</v>
      </c>
      <c r="B1678" t="s">
        <v>3367</v>
      </c>
      <c r="C1678" s="1">
        <v>37.226180746499999</v>
      </c>
      <c r="D1678" s="1">
        <v>-7.0431921901800001</v>
      </c>
      <c r="E1678" s="3">
        <v>2</v>
      </c>
      <c r="F1678" s="2">
        <v>2</v>
      </c>
      <c r="G1678" s="4">
        <v>3</v>
      </c>
      <c r="H1678" s="13"/>
      <c r="I1678" s="15"/>
      <c r="J1678" s="19">
        <v>2</v>
      </c>
      <c r="K1678" s="2" t="s">
        <v>3368</v>
      </c>
      <c r="L1678" s="11" t="str">
        <f t="shared" si="27"/>
        <v>Ver Imagen</v>
      </c>
      <c r="M1678" t="s">
        <v>15</v>
      </c>
    </row>
    <row r="1679" spans="1:13" x14ac:dyDescent="0.25">
      <c r="A1679">
        <v>1678</v>
      </c>
      <c r="B1679" t="s">
        <v>3369</v>
      </c>
      <c r="C1679" s="1">
        <v>37.226272187200003</v>
      </c>
      <c r="D1679" s="1">
        <v>-7.0433922969899996</v>
      </c>
      <c r="E1679" s="3">
        <v>2</v>
      </c>
      <c r="F1679" s="2">
        <v>2</v>
      </c>
      <c r="G1679" s="4">
        <v>3</v>
      </c>
      <c r="H1679" s="13"/>
      <c r="I1679" s="15"/>
      <c r="J1679" s="19">
        <v>2</v>
      </c>
      <c r="K1679" s="2" t="s">
        <v>3370</v>
      </c>
      <c r="L1679" s="11" t="str">
        <f t="shared" si="27"/>
        <v>Ver Imagen</v>
      </c>
      <c r="M1679" t="s">
        <v>15</v>
      </c>
    </row>
    <row r="1680" spans="1:13" x14ac:dyDescent="0.25">
      <c r="A1680">
        <v>1679</v>
      </c>
      <c r="B1680" t="s">
        <v>3371</v>
      </c>
      <c r="C1680" s="1">
        <v>37.226488628799999</v>
      </c>
      <c r="D1680" s="1">
        <v>-7.0438660449199997</v>
      </c>
      <c r="E1680" s="3">
        <v>2</v>
      </c>
      <c r="F1680" s="2">
        <v>2</v>
      </c>
      <c r="G1680" s="4">
        <v>3</v>
      </c>
      <c r="H1680" s="13"/>
      <c r="I1680" s="15"/>
      <c r="J1680" s="19">
        <v>2</v>
      </c>
      <c r="K1680" s="2" t="s">
        <v>3372</v>
      </c>
      <c r="L1680" s="11" t="str">
        <f t="shared" si="27"/>
        <v>Ver Imagen</v>
      </c>
      <c r="M1680" t="s">
        <v>15</v>
      </c>
    </row>
    <row r="1681" spans="1:13" x14ac:dyDescent="0.25">
      <c r="A1681">
        <v>1680</v>
      </c>
      <c r="B1681" t="s">
        <v>3373</v>
      </c>
      <c r="C1681" s="1">
        <v>37.226582471299999</v>
      </c>
      <c r="D1681" s="1">
        <v>-7.0440602975199997</v>
      </c>
      <c r="E1681" s="3">
        <v>2</v>
      </c>
      <c r="F1681" s="2">
        <v>2</v>
      </c>
      <c r="G1681" s="4">
        <v>3</v>
      </c>
      <c r="H1681" s="13"/>
      <c r="I1681" s="15"/>
      <c r="J1681" s="19">
        <v>2</v>
      </c>
      <c r="K1681" s="2" t="s">
        <v>3374</v>
      </c>
      <c r="L1681" s="11" t="str">
        <f t="shared" si="27"/>
        <v>Ver Imagen</v>
      </c>
      <c r="M1681" t="s">
        <v>15</v>
      </c>
    </row>
    <row r="1682" spans="1:13" x14ac:dyDescent="0.25">
      <c r="A1682">
        <v>1681</v>
      </c>
      <c r="B1682" t="s">
        <v>3375</v>
      </c>
      <c r="C1682" s="1">
        <v>37.227093563899999</v>
      </c>
      <c r="D1682" s="1">
        <v>-7.0448373112400002</v>
      </c>
      <c r="E1682" s="3">
        <v>2</v>
      </c>
      <c r="F1682" s="2">
        <v>2</v>
      </c>
      <c r="G1682" s="4">
        <v>3</v>
      </c>
      <c r="H1682" s="13"/>
      <c r="I1682" s="15"/>
      <c r="J1682" s="19">
        <v>2</v>
      </c>
      <c r="K1682" s="2" t="s">
        <v>3376</v>
      </c>
      <c r="L1682" s="11" t="str">
        <f t="shared" si="27"/>
        <v>Ver Imagen</v>
      </c>
      <c r="M1682" t="s">
        <v>15</v>
      </c>
    </row>
    <row r="1683" spans="1:13" x14ac:dyDescent="0.25">
      <c r="A1683">
        <v>1682</v>
      </c>
      <c r="B1683" t="s">
        <v>3377</v>
      </c>
      <c r="C1683" s="1">
        <v>37.227401195799999</v>
      </c>
      <c r="D1683" s="1">
        <v>-7.0451463611799996</v>
      </c>
      <c r="E1683" s="3">
        <v>3</v>
      </c>
      <c r="F1683" s="2">
        <v>2</v>
      </c>
      <c r="G1683" s="4">
        <v>2</v>
      </c>
      <c r="H1683" s="13"/>
      <c r="I1683" s="15"/>
      <c r="J1683" s="19">
        <v>2</v>
      </c>
      <c r="K1683" s="2" t="s">
        <v>3378</v>
      </c>
      <c r="L1683" s="11" t="str">
        <f t="shared" si="27"/>
        <v>Ver Imagen</v>
      </c>
      <c r="M1683" t="s">
        <v>15</v>
      </c>
    </row>
    <row r="1684" spans="1:13" x14ac:dyDescent="0.25">
      <c r="A1684">
        <v>1683</v>
      </c>
      <c r="B1684" t="s">
        <v>3379</v>
      </c>
      <c r="C1684" s="1">
        <v>37.227576319199997</v>
      </c>
      <c r="D1684" s="1">
        <v>-7.0453122715500003</v>
      </c>
      <c r="E1684" s="3">
        <v>3</v>
      </c>
      <c r="F1684" s="2">
        <v>2</v>
      </c>
      <c r="G1684" s="4">
        <v>2</v>
      </c>
      <c r="H1684" s="13"/>
      <c r="I1684" s="15"/>
      <c r="J1684" s="19">
        <v>2</v>
      </c>
      <c r="K1684" s="2" t="s">
        <v>3380</v>
      </c>
      <c r="L1684" s="11" t="str">
        <f t="shared" si="27"/>
        <v>Ver Imagen</v>
      </c>
      <c r="M1684" t="s">
        <v>15</v>
      </c>
    </row>
    <row r="1685" spans="1:13" x14ac:dyDescent="0.25">
      <c r="A1685">
        <v>1684</v>
      </c>
      <c r="B1685" t="s">
        <v>3381</v>
      </c>
      <c r="C1685" s="1">
        <v>37.227726945400001</v>
      </c>
      <c r="D1685" s="1">
        <v>-7.0454543092500002</v>
      </c>
      <c r="E1685" s="3">
        <v>2</v>
      </c>
      <c r="F1685" s="2">
        <v>2</v>
      </c>
      <c r="G1685" s="4">
        <v>3</v>
      </c>
      <c r="H1685" s="13"/>
      <c r="I1685" s="15"/>
      <c r="J1685" s="19">
        <v>2</v>
      </c>
      <c r="K1685" s="2" t="s">
        <v>3382</v>
      </c>
      <c r="L1685" s="11" t="str">
        <f t="shared" si="27"/>
        <v>Ver Imagen</v>
      </c>
      <c r="M1685" t="s">
        <v>15</v>
      </c>
    </row>
    <row r="1686" spans="1:13" x14ac:dyDescent="0.25">
      <c r="A1686">
        <v>1685</v>
      </c>
      <c r="B1686" t="s">
        <v>3383</v>
      </c>
      <c r="C1686" s="1">
        <v>37.228342320599999</v>
      </c>
      <c r="D1686" s="1">
        <v>-7.0461000136600003</v>
      </c>
      <c r="E1686" s="3">
        <v>2</v>
      </c>
      <c r="F1686" s="2">
        <v>2</v>
      </c>
      <c r="G1686" s="4">
        <v>3</v>
      </c>
      <c r="H1686" s="13"/>
      <c r="I1686" s="15"/>
      <c r="J1686" s="19">
        <v>2</v>
      </c>
      <c r="K1686" s="2" t="s">
        <v>3384</v>
      </c>
      <c r="L1686" s="11" t="str">
        <f t="shared" si="27"/>
        <v>Ver Imagen</v>
      </c>
      <c r="M1686" t="s">
        <v>15</v>
      </c>
    </row>
    <row r="1687" spans="1:13" x14ac:dyDescent="0.25">
      <c r="A1687">
        <v>1686</v>
      </c>
      <c r="B1687" t="s">
        <v>3385</v>
      </c>
      <c r="C1687" s="1">
        <v>37.228492952099998</v>
      </c>
      <c r="D1687" s="1">
        <v>-7.0462876162599999</v>
      </c>
      <c r="E1687" s="3">
        <v>2</v>
      </c>
      <c r="F1687" s="2">
        <v>2</v>
      </c>
      <c r="G1687" s="4">
        <v>3</v>
      </c>
      <c r="H1687" s="13"/>
      <c r="I1687" s="15"/>
      <c r="J1687" s="19">
        <v>2</v>
      </c>
      <c r="K1687" s="2" t="s">
        <v>3386</v>
      </c>
      <c r="L1687" s="11" t="str">
        <f t="shared" si="27"/>
        <v>Ver Imagen</v>
      </c>
      <c r="M1687" t="s">
        <v>15</v>
      </c>
    </row>
    <row r="1688" spans="1:13" x14ac:dyDescent="0.25">
      <c r="A1688">
        <v>1687</v>
      </c>
      <c r="B1688" t="s">
        <v>3387</v>
      </c>
      <c r="C1688" s="1">
        <v>37.228635918999998</v>
      </c>
      <c r="D1688" s="1">
        <v>-7.0464821751100004</v>
      </c>
      <c r="E1688" s="3">
        <v>2</v>
      </c>
      <c r="F1688" s="2">
        <v>2</v>
      </c>
      <c r="G1688" s="4">
        <v>3</v>
      </c>
      <c r="H1688" s="13"/>
      <c r="I1688" s="15"/>
      <c r="J1688" s="19">
        <v>2</v>
      </c>
      <c r="K1688" s="2" t="s">
        <v>3388</v>
      </c>
      <c r="L1688" s="11" t="str">
        <f t="shared" si="27"/>
        <v>Ver Imagen</v>
      </c>
      <c r="M1688" t="s">
        <v>15</v>
      </c>
    </row>
    <row r="1689" spans="1:13" x14ac:dyDescent="0.25">
      <c r="A1689">
        <v>1688</v>
      </c>
      <c r="B1689" t="s">
        <v>3389</v>
      </c>
      <c r="C1689" s="1">
        <v>37.228762359400001</v>
      </c>
      <c r="D1689" s="1">
        <v>-7.0466675470600002</v>
      </c>
      <c r="E1689" s="3">
        <v>2</v>
      </c>
      <c r="F1689" s="2">
        <v>2</v>
      </c>
      <c r="G1689" s="4">
        <v>3</v>
      </c>
      <c r="H1689" s="13"/>
      <c r="I1689" s="15"/>
      <c r="J1689" s="19">
        <v>2</v>
      </c>
      <c r="K1689" s="2" t="s">
        <v>3390</v>
      </c>
      <c r="L1689" s="11" t="str">
        <f t="shared" si="27"/>
        <v>Ver Imagen</v>
      </c>
      <c r="M1689" t="s">
        <v>15</v>
      </c>
    </row>
    <row r="1690" spans="1:13" x14ac:dyDescent="0.25">
      <c r="A1690">
        <v>1689</v>
      </c>
      <c r="B1690" t="s">
        <v>3391</v>
      </c>
      <c r="C1690" s="1">
        <v>37.229133476299999</v>
      </c>
      <c r="D1690" s="1">
        <v>-7.0472626487500003</v>
      </c>
      <c r="E1690" s="3">
        <v>2</v>
      </c>
      <c r="F1690" s="2">
        <v>2</v>
      </c>
      <c r="G1690" s="4">
        <v>3</v>
      </c>
      <c r="H1690" s="13"/>
      <c r="I1690" s="15"/>
      <c r="J1690" s="19">
        <v>2</v>
      </c>
      <c r="K1690" s="2" t="s">
        <v>3392</v>
      </c>
      <c r="L1690" s="11" t="str">
        <f t="shared" si="27"/>
        <v>Ver Imagen</v>
      </c>
      <c r="M1690" t="s">
        <v>15</v>
      </c>
    </row>
    <row r="1691" spans="1:13" x14ac:dyDescent="0.25">
      <c r="A1691">
        <v>1690</v>
      </c>
      <c r="B1691" t="s">
        <v>3393</v>
      </c>
      <c r="C1691" s="1">
        <v>37.229257533499997</v>
      </c>
      <c r="D1691" s="1">
        <v>-7.0474674542500004</v>
      </c>
      <c r="E1691" s="3">
        <v>2</v>
      </c>
      <c r="F1691" s="2">
        <v>2</v>
      </c>
      <c r="G1691" s="4">
        <v>3</v>
      </c>
      <c r="H1691" s="13"/>
      <c r="I1691" s="15"/>
      <c r="J1691" s="19">
        <v>2</v>
      </c>
      <c r="K1691" s="2" t="s">
        <v>3394</v>
      </c>
      <c r="L1691" s="11" t="str">
        <f t="shared" si="27"/>
        <v>Ver Imagen</v>
      </c>
      <c r="M1691" t="s">
        <v>15</v>
      </c>
    </row>
    <row r="1692" spans="1:13" x14ac:dyDescent="0.25">
      <c r="A1692">
        <v>1691</v>
      </c>
      <c r="B1692" t="s">
        <v>3395</v>
      </c>
      <c r="C1692" s="1">
        <v>37.229376559599999</v>
      </c>
      <c r="D1692" s="1">
        <v>-7.0476646357500004</v>
      </c>
      <c r="E1692" s="3">
        <v>2</v>
      </c>
      <c r="F1692" s="2">
        <v>2</v>
      </c>
      <c r="G1692" s="4">
        <v>3</v>
      </c>
      <c r="H1692" s="13"/>
      <c r="I1692" s="15"/>
      <c r="J1692" s="19">
        <v>2</v>
      </c>
      <c r="K1692" s="2" t="s">
        <v>3396</v>
      </c>
      <c r="L1692" s="11" t="str">
        <f t="shared" si="27"/>
        <v>Ver Imagen</v>
      </c>
      <c r="M1692" t="s">
        <v>15</v>
      </c>
    </row>
    <row r="1693" spans="1:13" x14ac:dyDescent="0.25">
      <c r="A1693">
        <v>1692</v>
      </c>
      <c r="B1693" t="s">
        <v>3397</v>
      </c>
      <c r="C1693" s="1">
        <v>37.229500094700001</v>
      </c>
      <c r="D1693" s="1">
        <v>-7.0478717268100004</v>
      </c>
      <c r="E1693" s="3">
        <v>2</v>
      </c>
      <c r="F1693" s="2">
        <v>2</v>
      </c>
      <c r="G1693" s="4">
        <v>3</v>
      </c>
      <c r="H1693" s="13"/>
      <c r="I1693" s="15"/>
      <c r="J1693" s="19">
        <v>2</v>
      </c>
      <c r="K1693" s="2" t="s">
        <v>3398</v>
      </c>
      <c r="L1693" s="11" t="str">
        <f t="shared" si="27"/>
        <v>Ver Imagen</v>
      </c>
      <c r="M1693" t="s">
        <v>15</v>
      </c>
    </row>
    <row r="1694" spans="1:13" x14ac:dyDescent="0.25">
      <c r="A1694">
        <v>1693</v>
      </c>
      <c r="B1694" t="s">
        <v>3399</v>
      </c>
      <c r="C1694" s="1">
        <v>37.229620822000001</v>
      </c>
      <c r="D1694" s="1">
        <v>-7.0480745983400004</v>
      </c>
      <c r="E1694" s="3">
        <v>2</v>
      </c>
      <c r="F1694" s="2">
        <v>2</v>
      </c>
      <c r="G1694" s="4">
        <v>3</v>
      </c>
      <c r="H1694" s="13"/>
      <c r="I1694" s="15"/>
      <c r="J1694" s="19">
        <v>2</v>
      </c>
      <c r="K1694" s="2" t="s">
        <v>3400</v>
      </c>
      <c r="L1694" s="11" t="str">
        <f t="shared" si="27"/>
        <v>Ver Imagen</v>
      </c>
      <c r="M1694" t="s">
        <v>15</v>
      </c>
    </row>
    <row r="1695" spans="1:13" x14ac:dyDescent="0.25">
      <c r="A1695">
        <v>1694</v>
      </c>
      <c r="B1695" t="s">
        <v>3401</v>
      </c>
      <c r="C1695" s="1">
        <v>37.229871084400003</v>
      </c>
      <c r="D1695" s="1">
        <v>-7.04849331505</v>
      </c>
      <c r="E1695" s="3">
        <v>2</v>
      </c>
      <c r="F1695" s="2">
        <v>2</v>
      </c>
      <c r="G1695" s="4">
        <v>3</v>
      </c>
      <c r="H1695" s="13"/>
      <c r="I1695" s="15"/>
      <c r="J1695" s="19">
        <v>2</v>
      </c>
      <c r="K1695" s="2" t="s">
        <v>3402</v>
      </c>
      <c r="L1695" s="11" t="str">
        <f t="shared" si="27"/>
        <v>Ver Imagen</v>
      </c>
      <c r="M1695" t="s">
        <v>15</v>
      </c>
    </row>
    <row r="1696" spans="1:13" x14ac:dyDescent="0.25">
      <c r="A1696">
        <v>1695</v>
      </c>
      <c r="B1696" t="s">
        <v>3403</v>
      </c>
      <c r="C1696" s="1">
        <v>37.230003415399999</v>
      </c>
      <c r="D1696" s="1">
        <v>-7.04871344828</v>
      </c>
      <c r="E1696" s="3">
        <v>2</v>
      </c>
      <c r="F1696" s="2">
        <v>2</v>
      </c>
      <c r="G1696" s="4">
        <v>3</v>
      </c>
      <c r="H1696" s="13"/>
      <c r="I1696" s="15"/>
      <c r="J1696" s="19">
        <v>2</v>
      </c>
      <c r="K1696" s="2" t="s">
        <v>3404</v>
      </c>
      <c r="L1696" s="11" t="str">
        <f t="shared" si="27"/>
        <v>Ver Imagen</v>
      </c>
      <c r="M1696" t="s">
        <v>15</v>
      </c>
    </row>
    <row r="1697" spans="1:13" x14ac:dyDescent="0.25">
      <c r="A1697">
        <v>1696</v>
      </c>
      <c r="B1697" t="s">
        <v>3405</v>
      </c>
      <c r="C1697" s="1">
        <v>37.230348686699998</v>
      </c>
      <c r="D1697" s="1">
        <v>-7.0492879052299999</v>
      </c>
      <c r="E1697" s="3">
        <v>2</v>
      </c>
      <c r="F1697" s="2">
        <v>2</v>
      </c>
      <c r="G1697" s="4">
        <v>3</v>
      </c>
      <c r="H1697" s="13"/>
      <c r="I1697" s="15"/>
      <c r="J1697" s="19">
        <v>2</v>
      </c>
      <c r="K1697" s="2" t="s">
        <v>3406</v>
      </c>
      <c r="L1697" s="11" t="str">
        <f t="shared" si="27"/>
        <v>Ver Imagen</v>
      </c>
      <c r="M1697" t="s">
        <v>15</v>
      </c>
    </row>
    <row r="1698" spans="1:13" x14ac:dyDescent="0.25">
      <c r="A1698">
        <v>1697</v>
      </c>
      <c r="B1698" t="s">
        <v>3407</v>
      </c>
      <c r="C1698" s="1">
        <v>37.231166223199999</v>
      </c>
      <c r="D1698" s="1">
        <v>-7.0507299189300001</v>
      </c>
      <c r="E1698" s="3">
        <v>2</v>
      </c>
      <c r="F1698" s="2">
        <v>2</v>
      </c>
      <c r="G1698" s="4">
        <v>3</v>
      </c>
      <c r="H1698" s="13"/>
      <c r="I1698" s="15"/>
      <c r="J1698" s="19">
        <v>2</v>
      </c>
      <c r="K1698" s="2" t="s">
        <v>3408</v>
      </c>
      <c r="L1698" s="11" t="str">
        <f t="shared" si="27"/>
        <v>Ver Imagen</v>
      </c>
      <c r="M1698" t="s">
        <v>15</v>
      </c>
    </row>
    <row r="1699" spans="1:13" x14ac:dyDescent="0.25">
      <c r="A1699">
        <v>1698</v>
      </c>
      <c r="B1699" t="s">
        <v>3409</v>
      </c>
      <c r="C1699" s="1">
        <v>37.231506308100002</v>
      </c>
      <c r="D1699" s="1">
        <v>-7.05137998947</v>
      </c>
      <c r="E1699" s="3">
        <v>2</v>
      </c>
      <c r="F1699" s="2">
        <v>2</v>
      </c>
      <c r="G1699" s="4">
        <v>3</v>
      </c>
      <c r="H1699" s="13"/>
      <c r="I1699" s="15"/>
      <c r="J1699" s="19">
        <v>2</v>
      </c>
      <c r="K1699" s="2" t="s">
        <v>3410</v>
      </c>
      <c r="L1699" s="11" t="str">
        <f t="shared" si="27"/>
        <v>Ver Imagen</v>
      </c>
      <c r="M1699" t="s">
        <v>15</v>
      </c>
    </row>
    <row r="1700" spans="1:13" x14ac:dyDescent="0.25">
      <c r="A1700">
        <v>1699</v>
      </c>
      <c r="B1700" t="s">
        <v>3411</v>
      </c>
      <c r="C1700" s="1">
        <v>37.232179471800002</v>
      </c>
      <c r="D1700" s="1">
        <v>-7.0526321518300001</v>
      </c>
      <c r="E1700" s="3">
        <v>2</v>
      </c>
      <c r="F1700" s="2">
        <v>2</v>
      </c>
      <c r="G1700" s="4">
        <v>3</v>
      </c>
      <c r="H1700" s="13"/>
      <c r="I1700" s="15"/>
      <c r="J1700" s="19">
        <v>2</v>
      </c>
      <c r="K1700" s="2" t="s">
        <v>3412</v>
      </c>
      <c r="L1700" s="11" t="str">
        <f t="shared" si="27"/>
        <v>Ver Imagen</v>
      </c>
      <c r="M1700" t="s">
        <v>15</v>
      </c>
    </row>
    <row r="1701" spans="1:13" x14ac:dyDescent="0.25">
      <c r="A1701">
        <v>1700</v>
      </c>
      <c r="B1701" t="s">
        <v>3413</v>
      </c>
      <c r="C1701" s="1">
        <v>37.2325307192</v>
      </c>
      <c r="D1701" s="1">
        <v>-7.0532828433799999</v>
      </c>
      <c r="E1701" s="3">
        <v>2</v>
      </c>
      <c r="F1701" s="2">
        <v>2</v>
      </c>
      <c r="G1701" s="4">
        <v>3</v>
      </c>
      <c r="H1701" s="13"/>
      <c r="I1701" s="15"/>
      <c r="J1701" s="19">
        <v>2</v>
      </c>
      <c r="K1701" s="2" t="s">
        <v>3414</v>
      </c>
      <c r="L1701" s="11" t="str">
        <f t="shared" si="27"/>
        <v>Ver Imagen</v>
      </c>
      <c r="M1701" t="s">
        <v>15</v>
      </c>
    </row>
    <row r="1702" spans="1:13" x14ac:dyDescent="0.25">
      <c r="A1702">
        <v>1701</v>
      </c>
      <c r="B1702" t="s">
        <v>3415</v>
      </c>
      <c r="C1702" s="1">
        <v>37.232738363199999</v>
      </c>
      <c r="D1702" s="1">
        <v>-7.0537091844799997</v>
      </c>
      <c r="E1702" s="3">
        <v>2</v>
      </c>
      <c r="F1702" s="2">
        <v>2</v>
      </c>
      <c r="G1702" s="4">
        <v>3</v>
      </c>
      <c r="H1702" s="13"/>
      <c r="I1702" s="15"/>
      <c r="J1702" s="19">
        <v>2</v>
      </c>
      <c r="K1702" s="2" t="s">
        <v>3416</v>
      </c>
      <c r="L1702" s="11" t="str">
        <f t="shared" si="27"/>
        <v>Ver Imagen</v>
      </c>
      <c r="M1702" t="s">
        <v>15</v>
      </c>
    </row>
    <row r="1703" spans="1:13" x14ac:dyDescent="0.25">
      <c r="A1703">
        <v>1702</v>
      </c>
      <c r="B1703" t="s">
        <v>3417</v>
      </c>
      <c r="C1703" s="1">
        <v>37.232827861399997</v>
      </c>
      <c r="D1703" s="1">
        <v>-7.0539194541099999</v>
      </c>
      <c r="E1703" s="3">
        <v>2</v>
      </c>
      <c r="F1703" s="2">
        <v>2</v>
      </c>
      <c r="G1703" s="4">
        <v>3</v>
      </c>
      <c r="H1703" s="13"/>
      <c r="I1703" s="15"/>
      <c r="J1703" s="19">
        <v>2</v>
      </c>
      <c r="K1703" s="2" t="s">
        <v>3418</v>
      </c>
      <c r="L1703" s="11" t="str">
        <f t="shared" si="27"/>
        <v>Ver Imagen</v>
      </c>
      <c r="M1703" t="s">
        <v>15</v>
      </c>
    </row>
    <row r="1704" spans="1:13" x14ac:dyDescent="0.25">
      <c r="A1704">
        <v>1703</v>
      </c>
      <c r="B1704" t="s">
        <v>3419</v>
      </c>
      <c r="C1704" s="1">
        <v>37.232922433100001</v>
      </c>
      <c r="D1704" s="1">
        <v>-7.0541562665699997</v>
      </c>
      <c r="E1704" s="3">
        <v>2</v>
      </c>
      <c r="F1704" s="2">
        <v>2</v>
      </c>
      <c r="G1704" s="4">
        <v>3</v>
      </c>
      <c r="H1704" s="13"/>
      <c r="I1704" s="15"/>
      <c r="J1704" s="19">
        <v>2</v>
      </c>
      <c r="K1704" s="2" t="s">
        <v>3420</v>
      </c>
      <c r="L1704" s="11" t="str">
        <f t="shared" si="27"/>
        <v>Ver Imagen</v>
      </c>
      <c r="M1704" t="s">
        <v>15</v>
      </c>
    </row>
    <row r="1705" spans="1:13" x14ac:dyDescent="0.25">
      <c r="A1705">
        <v>1704</v>
      </c>
      <c r="B1705" t="s">
        <v>3421</v>
      </c>
      <c r="C1705" s="1">
        <v>37.233005740400003</v>
      </c>
      <c r="D1705" s="1">
        <v>-7.0543836173600001</v>
      </c>
      <c r="E1705" s="3">
        <v>2</v>
      </c>
      <c r="F1705" s="2">
        <v>2</v>
      </c>
      <c r="G1705" s="4">
        <v>3</v>
      </c>
      <c r="H1705" s="13"/>
      <c r="I1705" s="15"/>
      <c r="J1705" s="19">
        <v>2</v>
      </c>
      <c r="K1705" s="2" t="s">
        <v>3422</v>
      </c>
      <c r="L1705" s="11" t="str">
        <f t="shared" si="27"/>
        <v>Ver Imagen</v>
      </c>
      <c r="M1705" t="s">
        <v>15</v>
      </c>
    </row>
    <row r="1706" spans="1:13" x14ac:dyDescent="0.25">
      <c r="A1706">
        <v>1705</v>
      </c>
      <c r="B1706" t="s">
        <v>3423</v>
      </c>
      <c r="C1706" s="1">
        <v>37.233078792299999</v>
      </c>
      <c r="D1706" s="1">
        <v>-7.0546100912699998</v>
      </c>
      <c r="E1706" s="3">
        <v>2</v>
      </c>
      <c r="F1706" s="2">
        <v>2</v>
      </c>
      <c r="G1706" s="4">
        <v>3</v>
      </c>
      <c r="H1706" s="13"/>
      <c r="I1706" s="15"/>
      <c r="J1706" s="19">
        <v>2</v>
      </c>
      <c r="K1706" s="2" t="s">
        <v>3424</v>
      </c>
      <c r="L1706" s="11" t="str">
        <f t="shared" si="27"/>
        <v>Ver Imagen</v>
      </c>
      <c r="M1706" t="s">
        <v>15</v>
      </c>
    </row>
    <row r="1707" spans="1:13" x14ac:dyDescent="0.25">
      <c r="A1707">
        <v>1706</v>
      </c>
      <c r="B1707" t="s">
        <v>3425</v>
      </c>
      <c r="C1707" s="1">
        <v>37.2332098495</v>
      </c>
      <c r="D1707" s="1">
        <v>-7.0550830650199998</v>
      </c>
      <c r="E1707" s="3">
        <v>2</v>
      </c>
      <c r="F1707" s="2">
        <v>2</v>
      </c>
      <c r="G1707" s="4">
        <v>3</v>
      </c>
      <c r="H1707" s="13"/>
      <c r="I1707" s="15"/>
      <c r="J1707" s="19">
        <v>2</v>
      </c>
      <c r="K1707" s="2" t="s">
        <v>3426</v>
      </c>
      <c r="L1707" s="11" t="str">
        <f t="shared" si="27"/>
        <v>Ver Imagen</v>
      </c>
      <c r="M1707" t="s">
        <v>15</v>
      </c>
    </row>
    <row r="1708" spans="1:13" x14ac:dyDescent="0.25">
      <c r="A1708">
        <v>1707</v>
      </c>
      <c r="B1708" t="s">
        <v>3427</v>
      </c>
      <c r="C1708" s="1">
        <v>37.233269308700002</v>
      </c>
      <c r="D1708" s="1">
        <v>-7.05531469651</v>
      </c>
      <c r="E1708" s="3">
        <v>2</v>
      </c>
      <c r="F1708" s="2">
        <v>2</v>
      </c>
      <c r="G1708" s="4">
        <v>3</v>
      </c>
      <c r="H1708" s="13"/>
      <c r="I1708" s="15"/>
      <c r="J1708" s="19">
        <v>2</v>
      </c>
      <c r="K1708" s="2" t="s">
        <v>3428</v>
      </c>
      <c r="L1708" s="11" t="str">
        <f t="shared" si="27"/>
        <v>Ver Imagen</v>
      </c>
      <c r="M1708" t="s">
        <v>15</v>
      </c>
    </row>
    <row r="1709" spans="1:13" x14ac:dyDescent="0.25">
      <c r="A1709">
        <v>1708</v>
      </c>
      <c r="B1709" t="s">
        <v>3429</v>
      </c>
      <c r="C1709" s="1">
        <v>37.233327475599999</v>
      </c>
      <c r="D1709" s="1">
        <v>-7.05554061527</v>
      </c>
      <c r="E1709" s="3">
        <v>2</v>
      </c>
      <c r="F1709" s="2">
        <v>2</v>
      </c>
      <c r="G1709" s="4">
        <v>3</v>
      </c>
      <c r="H1709" s="13"/>
      <c r="I1709" s="15"/>
      <c r="J1709" s="19">
        <v>2</v>
      </c>
      <c r="K1709" s="2" t="s">
        <v>3430</v>
      </c>
      <c r="L1709" s="11" t="str">
        <f t="shared" si="27"/>
        <v>Ver Imagen</v>
      </c>
      <c r="M1709" t="s">
        <v>15</v>
      </c>
    </row>
    <row r="1710" spans="1:13" x14ac:dyDescent="0.25">
      <c r="A1710">
        <v>1709</v>
      </c>
      <c r="B1710" t="s">
        <v>3431</v>
      </c>
      <c r="C1710" s="1">
        <v>37.233463362099997</v>
      </c>
      <c r="D1710" s="1">
        <v>-7.0560640008300002</v>
      </c>
      <c r="E1710" s="3">
        <v>2</v>
      </c>
      <c r="F1710" s="2">
        <v>2</v>
      </c>
      <c r="G1710" s="4">
        <v>3</v>
      </c>
      <c r="H1710" s="13"/>
      <c r="I1710" s="15"/>
      <c r="J1710" s="19">
        <v>2</v>
      </c>
      <c r="K1710" s="2" t="s">
        <v>3432</v>
      </c>
      <c r="L1710" s="11" t="str">
        <f t="shared" si="27"/>
        <v>Ver Imagen</v>
      </c>
      <c r="M1710" t="s">
        <v>15</v>
      </c>
    </row>
    <row r="1711" spans="1:13" x14ac:dyDescent="0.25">
      <c r="A1711">
        <v>1710</v>
      </c>
      <c r="B1711" t="s">
        <v>3433</v>
      </c>
      <c r="C1711" s="1">
        <v>37.2335869789</v>
      </c>
      <c r="D1711" s="1">
        <v>-7.0565314661</v>
      </c>
      <c r="E1711" s="3">
        <v>2</v>
      </c>
      <c r="F1711" s="2">
        <v>2</v>
      </c>
      <c r="G1711" s="4">
        <v>3</v>
      </c>
      <c r="H1711" s="13"/>
      <c r="I1711" s="15"/>
      <c r="J1711" s="19">
        <v>2</v>
      </c>
      <c r="K1711" s="2" t="s">
        <v>3434</v>
      </c>
      <c r="L1711" s="11" t="str">
        <f t="shared" si="27"/>
        <v>Ver Imagen</v>
      </c>
      <c r="M1711" t="s">
        <v>15</v>
      </c>
    </row>
    <row r="1712" spans="1:13" x14ac:dyDescent="0.25">
      <c r="A1712">
        <v>1711</v>
      </c>
      <c r="B1712" t="s">
        <v>3435</v>
      </c>
      <c r="C1712" s="1">
        <v>37.233656557000003</v>
      </c>
      <c r="D1712" s="1">
        <v>-7.05679547031</v>
      </c>
      <c r="E1712" s="3">
        <v>2</v>
      </c>
      <c r="F1712" s="2">
        <v>2</v>
      </c>
      <c r="G1712" s="4">
        <v>3</v>
      </c>
      <c r="H1712" s="13"/>
      <c r="I1712" s="15"/>
      <c r="J1712" s="19">
        <v>2</v>
      </c>
      <c r="K1712" s="2" t="s">
        <v>3436</v>
      </c>
      <c r="L1712" s="11" t="str">
        <f t="shared" si="27"/>
        <v>Ver Imagen</v>
      </c>
      <c r="M1712" t="s">
        <v>15</v>
      </c>
    </row>
    <row r="1713" spans="1:13" x14ac:dyDescent="0.25">
      <c r="A1713">
        <v>1712</v>
      </c>
      <c r="B1713" t="s">
        <v>3437</v>
      </c>
      <c r="C1713" s="1">
        <v>37.233718539599998</v>
      </c>
      <c r="D1713" s="1">
        <v>-7.0570301719800002</v>
      </c>
      <c r="E1713" s="3">
        <v>2</v>
      </c>
      <c r="F1713" s="2">
        <v>2</v>
      </c>
      <c r="G1713" s="4">
        <v>3</v>
      </c>
      <c r="H1713" s="13"/>
      <c r="I1713" s="15"/>
      <c r="J1713" s="19">
        <v>2</v>
      </c>
      <c r="K1713" s="2" t="s">
        <v>3438</v>
      </c>
      <c r="L1713" s="11" t="str">
        <f t="shared" si="27"/>
        <v>Ver Imagen</v>
      </c>
      <c r="M1713" t="s">
        <v>15</v>
      </c>
    </row>
    <row r="1714" spans="1:13" x14ac:dyDescent="0.25">
      <c r="A1714">
        <v>1713</v>
      </c>
      <c r="B1714" t="s">
        <v>3439</v>
      </c>
      <c r="C1714" s="1">
        <v>37.2337777324</v>
      </c>
      <c r="D1714" s="1">
        <v>-7.0572539576400004</v>
      </c>
      <c r="E1714" s="3">
        <v>2</v>
      </c>
      <c r="F1714" s="2">
        <v>2</v>
      </c>
      <c r="G1714" s="4">
        <v>3</v>
      </c>
      <c r="H1714" s="13"/>
      <c r="I1714" s="15"/>
      <c r="J1714" s="19">
        <v>2</v>
      </c>
      <c r="K1714" s="2" t="s">
        <v>3440</v>
      </c>
      <c r="L1714" s="11" t="str">
        <f t="shared" si="27"/>
        <v>Ver Imagen</v>
      </c>
      <c r="M1714" t="s">
        <v>15</v>
      </c>
    </row>
    <row r="1715" spans="1:13" x14ac:dyDescent="0.25">
      <c r="A1715">
        <v>1714</v>
      </c>
      <c r="B1715" t="s">
        <v>3441</v>
      </c>
      <c r="C1715" s="1">
        <v>37.234037535100001</v>
      </c>
      <c r="D1715" s="1">
        <v>-7.0638173965700002</v>
      </c>
      <c r="E1715" s="3">
        <v>2</v>
      </c>
      <c r="F1715" s="2">
        <v>2</v>
      </c>
      <c r="G1715" s="4">
        <v>3</v>
      </c>
      <c r="H1715" s="13"/>
      <c r="I1715" s="15"/>
      <c r="J1715" s="19">
        <v>2</v>
      </c>
      <c r="K1715" s="2" t="s">
        <v>3442</v>
      </c>
      <c r="L1715" s="11" t="str">
        <f t="shared" si="27"/>
        <v>Ver Imagen</v>
      </c>
      <c r="M1715" t="s">
        <v>15</v>
      </c>
    </row>
    <row r="1716" spans="1:13" x14ac:dyDescent="0.25">
      <c r="A1716">
        <v>1715</v>
      </c>
      <c r="B1716" t="s">
        <v>3443</v>
      </c>
      <c r="C1716" s="1">
        <v>37.239499265500001</v>
      </c>
      <c r="D1716" s="1">
        <v>-7.0806414397399999</v>
      </c>
      <c r="E1716" s="3">
        <v>2</v>
      </c>
      <c r="F1716" s="2">
        <v>2</v>
      </c>
      <c r="G1716" s="4">
        <v>3</v>
      </c>
      <c r="H1716" s="13"/>
      <c r="I1716" s="15"/>
      <c r="J1716" s="19">
        <v>2</v>
      </c>
      <c r="K1716" s="2" t="s">
        <v>3444</v>
      </c>
      <c r="L1716" s="11" t="str">
        <f t="shared" si="27"/>
        <v>Ver Imagen</v>
      </c>
      <c r="M1716" t="s">
        <v>15</v>
      </c>
    </row>
    <row r="1717" spans="1:13" x14ac:dyDescent="0.25">
      <c r="A1717">
        <v>1716</v>
      </c>
      <c r="B1717" t="s">
        <v>3445</v>
      </c>
      <c r="C1717" s="1">
        <v>37.250227142100002</v>
      </c>
      <c r="D1717" s="1">
        <v>-7.1029630812300004</v>
      </c>
      <c r="E1717" s="3">
        <v>2</v>
      </c>
      <c r="F1717" s="2">
        <v>2</v>
      </c>
      <c r="G1717" s="4">
        <v>3</v>
      </c>
      <c r="H1717" s="13"/>
      <c r="I1717" s="15"/>
      <c r="J1717" s="19">
        <v>2</v>
      </c>
      <c r="K1717" s="2" t="s">
        <v>3446</v>
      </c>
      <c r="L1717" s="11" t="str">
        <f t="shared" si="27"/>
        <v>Ver Imagen</v>
      </c>
      <c r="M1717" t="s">
        <v>15</v>
      </c>
    </row>
    <row r="1718" spans="1:13" x14ac:dyDescent="0.25">
      <c r="A1718">
        <v>1717</v>
      </c>
      <c r="B1718" t="s">
        <v>3447</v>
      </c>
      <c r="C1718" s="1">
        <v>37.251141344200001</v>
      </c>
      <c r="D1718" s="1">
        <v>-7.1034967514699998</v>
      </c>
      <c r="E1718" s="3">
        <v>2</v>
      </c>
      <c r="F1718" s="2">
        <v>2</v>
      </c>
      <c r="G1718" s="4">
        <v>3</v>
      </c>
      <c r="H1718" s="13"/>
      <c r="I1718" s="15"/>
      <c r="J1718" s="19">
        <v>2</v>
      </c>
      <c r="K1718" s="2" t="s">
        <v>3448</v>
      </c>
      <c r="L1718" s="11" t="str">
        <f t="shared" si="27"/>
        <v>Ver Imagen</v>
      </c>
      <c r="M1718" t="s">
        <v>15</v>
      </c>
    </row>
    <row r="1719" spans="1:13" x14ac:dyDescent="0.25">
      <c r="A1719">
        <v>1718</v>
      </c>
      <c r="B1719" t="s">
        <v>3449</v>
      </c>
      <c r="C1719" s="1">
        <v>37.252781795700002</v>
      </c>
      <c r="D1719" s="1">
        <v>-7.1053225589100002</v>
      </c>
      <c r="E1719" s="3">
        <v>2</v>
      </c>
      <c r="F1719" s="2">
        <v>2</v>
      </c>
      <c r="G1719" s="4">
        <v>3</v>
      </c>
      <c r="H1719" s="13"/>
      <c r="I1719" s="15"/>
      <c r="J1719" s="19">
        <v>2</v>
      </c>
      <c r="K1719" s="2" t="s">
        <v>3450</v>
      </c>
      <c r="L1719" s="11" t="str">
        <f t="shared" si="27"/>
        <v>Ver Imagen</v>
      </c>
      <c r="M1719" t="s">
        <v>15</v>
      </c>
    </row>
    <row r="1720" spans="1:13" x14ac:dyDescent="0.25">
      <c r="A1720">
        <v>1719</v>
      </c>
      <c r="B1720" t="s">
        <v>3451</v>
      </c>
      <c r="C1720" s="1">
        <v>37.2536919036</v>
      </c>
      <c r="D1720" s="1">
        <v>-7.1072746903399997</v>
      </c>
      <c r="E1720" s="3">
        <v>2</v>
      </c>
      <c r="F1720" s="2">
        <v>2</v>
      </c>
      <c r="G1720" s="4">
        <v>3</v>
      </c>
      <c r="H1720" s="13"/>
      <c r="I1720" s="15"/>
      <c r="J1720" s="19">
        <v>2</v>
      </c>
      <c r="K1720" s="2" t="s">
        <v>3452</v>
      </c>
      <c r="L1720" s="11" t="str">
        <f t="shared" si="27"/>
        <v>Ver Imagen</v>
      </c>
      <c r="M1720" t="s">
        <v>15</v>
      </c>
    </row>
    <row r="1721" spans="1:13" x14ac:dyDescent="0.25">
      <c r="A1721">
        <v>1720</v>
      </c>
      <c r="B1721" t="s">
        <v>3453</v>
      </c>
      <c r="C1721" s="1">
        <v>37.253818843600001</v>
      </c>
      <c r="D1721" s="1">
        <v>-7.1074529802799997</v>
      </c>
      <c r="E1721" s="3">
        <v>2</v>
      </c>
      <c r="F1721" s="2">
        <v>2</v>
      </c>
      <c r="G1721" s="4">
        <v>3</v>
      </c>
      <c r="H1721" s="13"/>
      <c r="I1721" s="15"/>
      <c r="J1721" s="19">
        <v>2</v>
      </c>
      <c r="K1721" s="2" t="s">
        <v>3454</v>
      </c>
      <c r="L1721" s="11" t="str">
        <f t="shared" si="27"/>
        <v>Ver Imagen</v>
      </c>
      <c r="M1721" t="s">
        <v>15</v>
      </c>
    </row>
    <row r="1722" spans="1:13" x14ac:dyDescent="0.25">
      <c r="A1722">
        <v>1721</v>
      </c>
      <c r="B1722" t="s">
        <v>3455</v>
      </c>
      <c r="C1722" s="1">
        <v>37.4440457854</v>
      </c>
      <c r="D1722" s="1">
        <v>-7.0991828557499996</v>
      </c>
      <c r="E1722" s="3">
        <v>2</v>
      </c>
      <c r="F1722" s="2">
        <v>2</v>
      </c>
      <c r="G1722" s="4">
        <v>3</v>
      </c>
      <c r="H1722" s="13"/>
      <c r="I1722" s="15"/>
      <c r="J1722" s="19">
        <v>2</v>
      </c>
      <c r="K1722" s="2" t="s">
        <v>3456</v>
      </c>
      <c r="L1722" s="11" t="str">
        <f t="shared" si="27"/>
        <v>Ver Imagen</v>
      </c>
      <c r="M1722" t="s">
        <v>15</v>
      </c>
    </row>
    <row r="1723" spans="1:13" x14ac:dyDescent="0.25">
      <c r="A1723">
        <v>1722</v>
      </c>
      <c r="B1723" t="s">
        <v>3457</v>
      </c>
      <c r="C1723" s="1">
        <v>37.482088940499999</v>
      </c>
      <c r="D1723" s="1">
        <v>-7.1283106867499999</v>
      </c>
      <c r="E1723" s="3">
        <v>2</v>
      </c>
      <c r="F1723" s="2">
        <v>2</v>
      </c>
      <c r="G1723" s="4">
        <v>3</v>
      </c>
      <c r="H1723" s="13"/>
      <c r="I1723" s="15"/>
      <c r="J1723" s="19">
        <v>2</v>
      </c>
      <c r="K1723" s="2" t="s">
        <v>3458</v>
      </c>
      <c r="L1723" s="11" t="str">
        <f t="shared" si="27"/>
        <v>Ver Imagen</v>
      </c>
      <c r="M1723" t="s">
        <v>15</v>
      </c>
    </row>
    <row r="1724" spans="1:13" x14ac:dyDescent="0.25">
      <c r="A1724">
        <v>1723</v>
      </c>
      <c r="B1724" t="s">
        <v>3459</v>
      </c>
      <c r="C1724" s="1">
        <v>37.481747140400003</v>
      </c>
      <c r="D1724" s="1">
        <v>-7.1281014453699996</v>
      </c>
      <c r="E1724" s="3">
        <v>2</v>
      </c>
      <c r="F1724" s="2">
        <v>2</v>
      </c>
      <c r="G1724" s="4">
        <v>3</v>
      </c>
      <c r="H1724" s="13"/>
      <c r="I1724" s="15"/>
      <c r="J1724" s="19">
        <v>2</v>
      </c>
      <c r="K1724" s="2" t="s">
        <v>3460</v>
      </c>
      <c r="L1724" s="11" t="str">
        <f t="shared" si="27"/>
        <v>Ver Imagen</v>
      </c>
      <c r="M1724" t="s">
        <v>15</v>
      </c>
    </row>
    <row r="1725" spans="1:13" x14ac:dyDescent="0.25">
      <c r="A1725">
        <v>1724</v>
      </c>
      <c r="B1725" t="s">
        <v>3461</v>
      </c>
      <c r="C1725" s="1">
        <v>37.481528580099997</v>
      </c>
      <c r="D1725" s="1">
        <v>-7.1279936799700003</v>
      </c>
      <c r="E1725" s="3">
        <v>2</v>
      </c>
      <c r="F1725" s="2">
        <v>2</v>
      </c>
      <c r="G1725" s="4">
        <v>3</v>
      </c>
      <c r="H1725" s="13"/>
      <c r="I1725" s="15"/>
      <c r="J1725" s="19">
        <v>2</v>
      </c>
      <c r="K1725" s="2" t="s">
        <v>3462</v>
      </c>
      <c r="L1725" s="11" t="str">
        <f t="shared" si="27"/>
        <v>Ver Imagen</v>
      </c>
      <c r="M1725" t="s">
        <v>15</v>
      </c>
    </row>
    <row r="1726" spans="1:13" x14ac:dyDescent="0.25">
      <c r="A1726">
        <v>1725</v>
      </c>
      <c r="B1726" t="s">
        <v>3463</v>
      </c>
      <c r="C1726" s="1">
        <v>37.470422704500002</v>
      </c>
      <c r="D1726" s="1">
        <v>-7.1249498476899999</v>
      </c>
      <c r="E1726" s="3">
        <v>3</v>
      </c>
      <c r="F1726" s="2">
        <v>2</v>
      </c>
      <c r="G1726" s="4">
        <v>2</v>
      </c>
      <c r="H1726" s="13"/>
      <c r="I1726" s="15"/>
      <c r="J1726" s="19">
        <v>2</v>
      </c>
      <c r="K1726" s="2" t="s">
        <v>3464</v>
      </c>
      <c r="L1726" s="11" t="str">
        <f t="shared" si="27"/>
        <v>Ver Imagen</v>
      </c>
      <c r="M1726" t="s">
        <v>15</v>
      </c>
    </row>
    <row r="1727" spans="1:13" x14ac:dyDescent="0.25">
      <c r="A1727">
        <v>1726</v>
      </c>
      <c r="B1727" t="s">
        <v>3465</v>
      </c>
      <c r="C1727" s="1">
        <v>37.450980192599999</v>
      </c>
      <c r="D1727" s="1">
        <v>-7.1274199148099999</v>
      </c>
      <c r="E1727" s="3">
        <v>2</v>
      </c>
      <c r="F1727" s="2">
        <v>2</v>
      </c>
      <c r="G1727" s="4">
        <v>3</v>
      </c>
      <c r="H1727" s="13"/>
      <c r="I1727" s="15"/>
      <c r="J1727" s="19">
        <v>2</v>
      </c>
      <c r="K1727" s="2" t="s">
        <v>3466</v>
      </c>
      <c r="L1727" s="11" t="str">
        <f t="shared" si="27"/>
        <v>Ver Imagen</v>
      </c>
      <c r="M1727" t="s">
        <v>15</v>
      </c>
    </row>
    <row r="1728" spans="1:13" x14ac:dyDescent="0.25">
      <c r="A1728">
        <v>1727</v>
      </c>
      <c r="B1728" t="s">
        <v>3467</v>
      </c>
      <c r="C1728" s="1">
        <v>37.492610103300002</v>
      </c>
      <c r="D1728" s="1">
        <v>-7.2774437343100002</v>
      </c>
      <c r="E1728" s="3">
        <v>2</v>
      </c>
      <c r="F1728" s="2">
        <v>2</v>
      </c>
      <c r="G1728" s="4">
        <v>3</v>
      </c>
      <c r="H1728" s="13"/>
      <c r="I1728" s="15"/>
      <c r="J1728" s="19">
        <v>2</v>
      </c>
      <c r="K1728" s="2" t="s">
        <v>3468</v>
      </c>
      <c r="L1728" s="11" t="str">
        <f t="shared" si="27"/>
        <v>Ver Imagen</v>
      </c>
      <c r="M1728" t="s">
        <v>15</v>
      </c>
    </row>
    <row r="1729" spans="1:13" x14ac:dyDescent="0.25">
      <c r="A1729">
        <v>1728</v>
      </c>
      <c r="B1729" t="s">
        <v>3469</v>
      </c>
      <c r="C1729" s="1">
        <v>37.492823373</v>
      </c>
      <c r="D1729" s="1">
        <v>-7.2773682420199997</v>
      </c>
      <c r="E1729" s="3">
        <v>2</v>
      </c>
      <c r="F1729" s="2">
        <v>2</v>
      </c>
      <c r="G1729" s="4">
        <v>3</v>
      </c>
      <c r="H1729" s="13"/>
      <c r="I1729" s="15"/>
      <c r="J1729" s="19">
        <v>2</v>
      </c>
      <c r="K1729" s="2" t="s">
        <v>3470</v>
      </c>
      <c r="L1729" s="11" t="str">
        <f t="shared" si="27"/>
        <v>Ver Imagen</v>
      </c>
      <c r="M1729" t="s">
        <v>15</v>
      </c>
    </row>
    <row r="1730" spans="1:13" x14ac:dyDescent="0.25">
      <c r="A1730">
        <v>1729</v>
      </c>
      <c r="B1730" t="s">
        <v>3471</v>
      </c>
      <c r="C1730" s="1">
        <v>37.495168008999997</v>
      </c>
      <c r="D1730" s="1">
        <v>-7.2765693779099996</v>
      </c>
      <c r="E1730" s="3">
        <v>3</v>
      </c>
      <c r="F1730" s="2">
        <v>2</v>
      </c>
      <c r="G1730" s="4">
        <v>2</v>
      </c>
      <c r="H1730" s="13"/>
      <c r="I1730" s="15"/>
      <c r="J1730" s="19">
        <v>2</v>
      </c>
      <c r="K1730" s="2" t="s">
        <v>3472</v>
      </c>
      <c r="L1730" s="11" t="str">
        <f t="shared" si="27"/>
        <v>Ver Imagen</v>
      </c>
      <c r="M1730" t="s">
        <v>15</v>
      </c>
    </row>
    <row r="1731" spans="1:13" x14ac:dyDescent="0.25">
      <c r="A1731">
        <v>1730</v>
      </c>
      <c r="B1731" t="s">
        <v>3473</v>
      </c>
      <c r="C1731" s="1">
        <v>37.495536256999998</v>
      </c>
      <c r="D1731" s="1">
        <v>-7.27603525411</v>
      </c>
      <c r="E1731" s="3">
        <v>3</v>
      </c>
      <c r="F1731" s="2">
        <v>2</v>
      </c>
      <c r="G1731" s="4">
        <v>2</v>
      </c>
      <c r="H1731" s="13"/>
      <c r="I1731" s="15"/>
      <c r="J1731" s="19">
        <v>2</v>
      </c>
      <c r="K1731" s="2" t="s">
        <v>3474</v>
      </c>
      <c r="L1731" s="11" t="str">
        <f t="shared" ref="L1731:L1789" si="28">HYPERLINK("2\1\" &amp; K1731, "Ver Imagen")</f>
        <v>Ver Imagen</v>
      </c>
      <c r="M1731" t="s">
        <v>15</v>
      </c>
    </row>
    <row r="1732" spans="1:13" x14ac:dyDescent="0.25">
      <c r="A1732">
        <v>1731</v>
      </c>
      <c r="B1732" t="s">
        <v>3475</v>
      </c>
      <c r="C1732" s="1">
        <v>37.495714777899998</v>
      </c>
      <c r="D1732" s="1">
        <v>-7.27452661377</v>
      </c>
      <c r="E1732" s="3">
        <v>2</v>
      </c>
      <c r="F1732" s="2">
        <v>2</v>
      </c>
      <c r="G1732" s="4">
        <v>3</v>
      </c>
      <c r="H1732" s="13"/>
      <c r="I1732" s="15"/>
      <c r="J1732" s="19">
        <v>2</v>
      </c>
      <c r="K1732" s="2" t="s">
        <v>3476</v>
      </c>
      <c r="L1732" s="11" t="str">
        <f t="shared" si="28"/>
        <v>Ver Imagen</v>
      </c>
      <c r="M1732" t="s">
        <v>15</v>
      </c>
    </row>
    <row r="1733" spans="1:13" x14ac:dyDescent="0.25">
      <c r="A1733">
        <v>1732</v>
      </c>
      <c r="B1733" t="s">
        <v>3477</v>
      </c>
      <c r="C1733" s="1">
        <v>37.502122775300002</v>
      </c>
      <c r="D1733" s="1">
        <v>-7.2663747519799999</v>
      </c>
      <c r="E1733" s="3">
        <v>2</v>
      </c>
      <c r="F1733" s="2">
        <v>2</v>
      </c>
      <c r="G1733" s="4">
        <v>3</v>
      </c>
      <c r="H1733" s="13"/>
      <c r="I1733" s="15"/>
      <c r="J1733" s="19">
        <v>2</v>
      </c>
      <c r="K1733" s="2" t="s">
        <v>3478</v>
      </c>
      <c r="L1733" s="11" t="str">
        <f t="shared" si="28"/>
        <v>Ver Imagen</v>
      </c>
      <c r="M1733" t="s">
        <v>15</v>
      </c>
    </row>
    <row r="1734" spans="1:13" x14ac:dyDescent="0.25">
      <c r="A1734">
        <v>1733</v>
      </c>
      <c r="B1734" t="s">
        <v>3479</v>
      </c>
      <c r="C1734" s="1">
        <v>37.271401841200003</v>
      </c>
      <c r="D1734" s="1">
        <v>-6.9883202359499998</v>
      </c>
      <c r="E1734" s="3">
        <v>3</v>
      </c>
      <c r="F1734" s="2">
        <v>2</v>
      </c>
      <c r="G1734" s="4">
        <v>2</v>
      </c>
      <c r="H1734" s="13"/>
      <c r="I1734" s="15"/>
      <c r="J1734" s="19">
        <v>2</v>
      </c>
      <c r="K1734" s="2" t="s">
        <v>3480</v>
      </c>
      <c r="L1734" s="11" t="str">
        <f t="shared" si="28"/>
        <v>Ver Imagen</v>
      </c>
      <c r="M1734" t="s">
        <v>15</v>
      </c>
    </row>
    <row r="1735" spans="1:13" x14ac:dyDescent="0.25">
      <c r="A1735">
        <v>1734</v>
      </c>
      <c r="B1735" t="s">
        <v>3481</v>
      </c>
      <c r="C1735" s="1">
        <v>37.268555078699997</v>
      </c>
      <c r="D1735" s="1">
        <v>-6.99066287621</v>
      </c>
      <c r="E1735" s="3">
        <v>2</v>
      </c>
      <c r="F1735" s="2">
        <v>2</v>
      </c>
      <c r="G1735" s="4">
        <v>3</v>
      </c>
      <c r="H1735" s="13"/>
      <c r="I1735" s="15"/>
      <c r="J1735" s="19">
        <v>2</v>
      </c>
      <c r="K1735" s="2" t="s">
        <v>3482</v>
      </c>
      <c r="L1735" s="11" t="str">
        <f t="shared" si="28"/>
        <v>Ver Imagen</v>
      </c>
      <c r="M1735" t="s">
        <v>15</v>
      </c>
    </row>
    <row r="1736" spans="1:13" x14ac:dyDescent="0.25">
      <c r="A1736">
        <v>1735</v>
      </c>
      <c r="B1736" t="s">
        <v>3483</v>
      </c>
      <c r="C1736" s="1">
        <v>37.263425861599998</v>
      </c>
      <c r="D1736" s="1">
        <v>-7.0075806176500004</v>
      </c>
      <c r="E1736" s="3">
        <v>2</v>
      </c>
      <c r="F1736" s="2">
        <v>2</v>
      </c>
      <c r="G1736" s="4">
        <v>3</v>
      </c>
      <c r="H1736" s="13"/>
      <c r="I1736" s="15"/>
      <c r="J1736" s="19">
        <v>2</v>
      </c>
      <c r="K1736" s="2" t="s">
        <v>3484</v>
      </c>
      <c r="L1736" s="11" t="str">
        <f t="shared" si="28"/>
        <v>Ver Imagen</v>
      </c>
      <c r="M1736" t="s">
        <v>15</v>
      </c>
    </row>
    <row r="1737" spans="1:13" x14ac:dyDescent="0.25">
      <c r="A1737">
        <v>1736</v>
      </c>
      <c r="B1737" t="s">
        <v>3485</v>
      </c>
      <c r="C1737" s="1">
        <v>37.200913779700002</v>
      </c>
      <c r="D1737" s="1">
        <v>-6.98975988812</v>
      </c>
      <c r="E1737" s="3">
        <v>2</v>
      </c>
      <c r="F1737" s="2">
        <v>2</v>
      </c>
      <c r="G1737" s="4">
        <v>3</v>
      </c>
      <c r="H1737" s="13"/>
      <c r="I1737" s="15"/>
      <c r="J1737" s="19">
        <v>2</v>
      </c>
      <c r="K1737" s="2" t="s">
        <v>3486</v>
      </c>
      <c r="L1737" s="11" t="str">
        <f t="shared" si="28"/>
        <v>Ver Imagen</v>
      </c>
      <c r="M1737" t="s">
        <v>15</v>
      </c>
    </row>
    <row r="1738" spans="1:13" x14ac:dyDescent="0.25">
      <c r="A1738">
        <v>1737</v>
      </c>
      <c r="B1738" t="s">
        <v>3487</v>
      </c>
      <c r="C1738" s="1">
        <v>37.249904805100002</v>
      </c>
      <c r="D1738" s="1">
        <v>-7.0180576419199996</v>
      </c>
      <c r="E1738" s="3">
        <v>2</v>
      </c>
      <c r="F1738" s="2">
        <v>2</v>
      </c>
      <c r="G1738" s="4">
        <v>3</v>
      </c>
      <c r="H1738" s="13"/>
      <c r="I1738" s="15"/>
      <c r="J1738" s="19">
        <v>2</v>
      </c>
      <c r="K1738" s="2" t="s">
        <v>3488</v>
      </c>
      <c r="L1738" s="11" t="str">
        <f t="shared" si="28"/>
        <v>Ver Imagen</v>
      </c>
      <c r="M1738" t="s">
        <v>15</v>
      </c>
    </row>
    <row r="1739" spans="1:13" x14ac:dyDescent="0.25">
      <c r="A1739">
        <v>1738</v>
      </c>
      <c r="B1739" t="s">
        <v>3489</v>
      </c>
      <c r="C1739" s="1">
        <v>37.2052417011</v>
      </c>
      <c r="D1739" s="1">
        <v>-7.0167554544400002</v>
      </c>
      <c r="E1739" s="3">
        <v>3</v>
      </c>
      <c r="F1739" s="2">
        <v>2</v>
      </c>
      <c r="G1739" s="4">
        <v>2</v>
      </c>
      <c r="H1739" s="13"/>
      <c r="I1739" s="15"/>
      <c r="J1739" s="19">
        <v>2</v>
      </c>
      <c r="K1739" s="2" t="s">
        <v>3490</v>
      </c>
      <c r="L1739" s="11" t="str">
        <f t="shared" si="28"/>
        <v>Ver Imagen</v>
      </c>
      <c r="M1739" t="s">
        <v>15</v>
      </c>
    </row>
    <row r="1740" spans="1:13" x14ac:dyDescent="0.25">
      <c r="A1740">
        <v>1739</v>
      </c>
      <c r="B1740" t="s">
        <v>3491</v>
      </c>
      <c r="C1740" s="1">
        <v>37.237587032500002</v>
      </c>
      <c r="D1740" s="1">
        <v>-7.0187563778299999</v>
      </c>
      <c r="E1740" s="3">
        <v>2</v>
      </c>
      <c r="F1740" s="2">
        <v>2</v>
      </c>
      <c r="G1740" s="4">
        <v>3</v>
      </c>
      <c r="H1740" s="13"/>
      <c r="I1740" s="15"/>
      <c r="J1740" s="19">
        <v>2</v>
      </c>
      <c r="K1740" s="2" t="s">
        <v>3492</v>
      </c>
      <c r="L1740" s="11" t="str">
        <f t="shared" si="28"/>
        <v>Ver Imagen</v>
      </c>
      <c r="M1740" t="s">
        <v>15</v>
      </c>
    </row>
    <row r="1741" spans="1:13" x14ac:dyDescent="0.25">
      <c r="A1741">
        <v>1740</v>
      </c>
      <c r="B1741" t="s">
        <v>3493</v>
      </c>
      <c r="C1741" s="1">
        <v>37.237387522900001</v>
      </c>
      <c r="D1741" s="1">
        <v>-7.0187507801900004</v>
      </c>
      <c r="E1741" s="3">
        <v>2</v>
      </c>
      <c r="F1741" s="2">
        <v>2</v>
      </c>
      <c r="G1741" s="4">
        <v>3</v>
      </c>
      <c r="H1741" s="13"/>
      <c r="I1741" s="15"/>
      <c r="J1741" s="19">
        <v>2</v>
      </c>
      <c r="K1741" s="2" t="s">
        <v>3494</v>
      </c>
      <c r="L1741" s="11" t="str">
        <f t="shared" si="28"/>
        <v>Ver Imagen</v>
      </c>
      <c r="M1741" t="s">
        <v>15</v>
      </c>
    </row>
    <row r="1742" spans="1:13" x14ac:dyDescent="0.25">
      <c r="A1742">
        <v>1741</v>
      </c>
      <c r="B1742" t="s">
        <v>3495</v>
      </c>
      <c r="C1742" s="1">
        <v>37.234578360199997</v>
      </c>
      <c r="D1742" s="1">
        <v>-7.0181996395599997</v>
      </c>
      <c r="E1742" s="3">
        <v>2</v>
      </c>
      <c r="F1742" s="2">
        <v>2</v>
      </c>
      <c r="G1742" s="4">
        <v>3</v>
      </c>
      <c r="H1742" s="13"/>
      <c r="I1742" s="15"/>
      <c r="J1742" s="19">
        <v>2</v>
      </c>
      <c r="K1742" s="2" t="s">
        <v>3496</v>
      </c>
      <c r="L1742" s="11" t="str">
        <f t="shared" si="28"/>
        <v>Ver Imagen</v>
      </c>
      <c r="M1742" t="s">
        <v>15</v>
      </c>
    </row>
    <row r="1743" spans="1:13" x14ac:dyDescent="0.25">
      <c r="A1743">
        <v>1742</v>
      </c>
      <c r="B1743" t="s">
        <v>3497</v>
      </c>
      <c r="C1743" s="1">
        <v>37.233167335499999</v>
      </c>
      <c r="D1743" s="1">
        <v>-7.0183169246099997</v>
      </c>
      <c r="E1743" s="3">
        <v>2</v>
      </c>
      <c r="F1743" s="2">
        <v>2</v>
      </c>
      <c r="G1743" s="4">
        <v>3</v>
      </c>
      <c r="H1743" s="13"/>
      <c r="I1743" s="15"/>
      <c r="J1743" s="19">
        <v>2</v>
      </c>
      <c r="K1743" s="2" t="s">
        <v>3498</v>
      </c>
      <c r="L1743" s="11" t="str">
        <f t="shared" si="28"/>
        <v>Ver Imagen</v>
      </c>
      <c r="M1743" t="s">
        <v>15</v>
      </c>
    </row>
    <row r="1744" spans="1:13" x14ac:dyDescent="0.25">
      <c r="A1744">
        <v>1743</v>
      </c>
      <c r="B1744" t="s">
        <v>3499</v>
      </c>
      <c r="C1744" s="1">
        <v>37.229079037600002</v>
      </c>
      <c r="D1744" s="1">
        <v>-7.0211618087199996</v>
      </c>
      <c r="E1744" s="3">
        <v>3</v>
      </c>
      <c r="F1744" s="2">
        <v>2</v>
      </c>
      <c r="G1744" s="4">
        <v>2</v>
      </c>
      <c r="H1744" s="13"/>
      <c r="I1744" s="15"/>
      <c r="J1744" s="19">
        <v>2</v>
      </c>
      <c r="K1744" s="2" t="s">
        <v>3500</v>
      </c>
      <c r="L1744" s="11" t="str">
        <f t="shared" si="28"/>
        <v>Ver Imagen</v>
      </c>
      <c r="M1744" t="s">
        <v>15</v>
      </c>
    </row>
    <row r="1745" spans="1:13" x14ac:dyDescent="0.25">
      <c r="A1745">
        <v>1744</v>
      </c>
      <c r="B1745" t="s">
        <v>3501</v>
      </c>
      <c r="C1745" s="1">
        <v>37.228393157900001</v>
      </c>
      <c r="D1745" s="1">
        <v>-7.0216801307900001</v>
      </c>
      <c r="E1745" s="3">
        <v>3</v>
      </c>
      <c r="F1745" s="2">
        <v>2</v>
      </c>
      <c r="G1745" s="4">
        <v>2</v>
      </c>
      <c r="H1745" s="13"/>
      <c r="I1745" s="15"/>
      <c r="J1745" s="19">
        <v>2</v>
      </c>
      <c r="K1745" s="2" t="s">
        <v>3502</v>
      </c>
      <c r="L1745" s="11" t="str">
        <f t="shared" si="28"/>
        <v>Ver Imagen</v>
      </c>
      <c r="M1745" t="s">
        <v>15</v>
      </c>
    </row>
    <row r="1746" spans="1:13" x14ac:dyDescent="0.25">
      <c r="A1746">
        <v>1745</v>
      </c>
      <c r="B1746" t="s">
        <v>3503</v>
      </c>
      <c r="C1746" s="1">
        <v>37.228204762200001</v>
      </c>
      <c r="D1746" s="1">
        <v>-7.0218240109299996</v>
      </c>
      <c r="E1746" s="3">
        <v>3</v>
      </c>
      <c r="F1746" s="2">
        <v>2</v>
      </c>
      <c r="G1746" s="4">
        <v>2</v>
      </c>
      <c r="H1746" s="13"/>
      <c r="I1746" s="15"/>
      <c r="J1746" s="19">
        <v>2</v>
      </c>
      <c r="K1746" s="2" t="s">
        <v>3504</v>
      </c>
      <c r="L1746" s="11" t="str">
        <f t="shared" si="28"/>
        <v>Ver Imagen</v>
      </c>
      <c r="M1746" t="s">
        <v>15</v>
      </c>
    </row>
    <row r="1747" spans="1:13" x14ac:dyDescent="0.25">
      <c r="A1747">
        <v>1746</v>
      </c>
      <c r="B1747" t="s">
        <v>3505</v>
      </c>
      <c r="C1747" s="1">
        <v>37.227574948899999</v>
      </c>
      <c r="D1747" s="1">
        <v>-7.0223045882799999</v>
      </c>
      <c r="E1747" s="3">
        <v>3</v>
      </c>
      <c r="F1747" s="2">
        <v>2</v>
      </c>
      <c r="G1747" s="4">
        <v>2</v>
      </c>
      <c r="H1747" s="13"/>
      <c r="I1747" s="15"/>
      <c r="J1747" s="19">
        <v>2</v>
      </c>
      <c r="K1747" s="2" t="s">
        <v>3506</v>
      </c>
      <c r="L1747" s="11" t="str">
        <f t="shared" si="28"/>
        <v>Ver Imagen</v>
      </c>
      <c r="M1747" t="s">
        <v>15</v>
      </c>
    </row>
    <row r="1748" spans="1:13" x14ac:dyDescent="0.25">
      <c r="A1748">
        <v>1747</v>
      </c>
      <c r="B1748" t="s">
        <v>3507</v>
      </c>
      <c r="C1748" s="1">
        <v>37.215359922799998</v>
      </c>
      <c r="D1748" s="1">
        <v>-7.0233459107099998</v>
      </c>
      <c r="E1748" s="3">
        <v>2</v>
      </c>
      <c r="F1748" s="2">
        <v>2</v>
      </c>
      <c r="G1748" s="4">
        <v>3</v>
      </c>
      <c r="H1748" s="13"/>
      <c r="I1748" s="15"/>
      <c r="J1748" s="19">
        <v>2</v>
      </c>
      <c r="K1748" s="2" t="s">
        <v>3508</v>
      </c>
      <c r="L1748" s="11" t="str">
        <f t="shared" si="28"/>
        <v>Ver Imagen</v>
      </c>
      <c r="M1748" t="s">
        <v>15</v>
      </c>
    </row>
    <row r="1749" spans="1:13" x14ac:dyDescent="0.25">
      <c r="A1749">
        <v>1748</v>
      </c>
      <c r="B1749" t="s">
        <v>3509</v>
      </c>
      <c r="C1749" s="1">
        <v>37.215579652099997</v>
      </c>
      <c r="D1749" s="1">
        <v>-7.0233066015899999</v>
      </c>
      <c r="E1749" s="3">
        <v>2</v>
      </c>
      <c r="F1749" s="2">
        <v>2</v>
      </c>
      <c r="G1749" s="4">
        <v>3</v>
      </c>
      <c r="H1749" s="13"/>
      <c r="I1749" s="15"/>
      <c r="J1749" s="19">
        <v>2</v>
      </c>
      <c r="K1749" s="2" t="s">
        <v>3510</v>
      </c>
      <c r="L1749" s="11" t="str">
        <f t="shared" si="28"/>
        <v>Ver Imagen</v>
      </c>
      <c r="M1749" t="s">
        <v>15</v>
      </c>
    </row>
    <row r="1750" spans="1:13" x14ac:dyDescent="0.25">
      <c r="A1750">
        <v>1749</v>
      </c>
      <c r="B1750" t="s">
        <v>3511</v>
      </c>
      <c r="C1750" s="1">
        <v>37.215949331700003</v>
      </c>
      <c r="D1750" s="1">
        <v>-7.0232395035900002</v>
      </c>
      <c r="E1750" s="3">
        <v>3</v>
      </c>
      <c r="F1750" s="2">
        <v>2</v>
      </c>
      <c r="G1750" s="4">
        <v>2</v>
      </c>
      <c r="H1750" s="13"/>
      <c r="I1750" s="15"/>
      <c r="J1750" s="19">
        <v>2</v>
      </c>
      <c r="K1750" s="2" t="s">
        <v>3512</v>
      </c>
      <c r="L1750" s="11" t="str">
        <f t="shared" si="28"/>
        <v>Ver Imagen</v>
      </c>
      <c r="M1750" t="s">
        <v>15</v>
      </c>
    </row>
    <row r="1751" spans="1:13" x14ac:dyDescent="0.25">
      <c r="A1751">
        <v>1750</v>
      </c>
      <c r="B1751" t="s">
        <v>3513</v>
      </c>
      <c r="C1751" s="1">
        <v>37.216173529999999</v>
      </c>
      <c r="D1751" s="1">
        <v>-7.0231991254099997</v>
      </c>
      <c r="E1751" s="3">
        <v>3</v>
      </c>
      <c r="F1751" s="2">
        <v>2</v>
      </c>
      <c r="G1751" s="4">
        <v>2</v>
      </c>
      <c r="H1751" s="13"/>
      <c r="I1751" s="15"/>
      <c r="J1751" s="19">
        <v>2</v>
      </c>
      <c r="K1751" s="2" t="s">
        <v>3514</v>
      </c>
      <c r="L1751" s="11" t="str">
        <f t="shared" si="28"/>
        <v>Ver Imagen</v>
      </c>
      <c r="M1751" t="s">
        <v>15</v>
      </c>
    </row>
    <row r="1752" spans="1:13" x14ac:dyDescent="0.25">
      <c r="A1752">
        <v>1751</v>
      </c>
      <c r="B1752" t="s">
        <v>3515</v>
      </c>
      <c r="C1752" s="1">
        <v>37.220794933900002</v>
      </c>
      <c r="D1752" s="1">
        <v>-7.0228486163800001</v>
      </c>
      <c r="E1752" s="3">
        <v>2</v>
      </c>
      <c r="F1752" s="2">
        <v>2</v>
      </c>
      <c r="G1752" s="4">
        <v>3</v>
      </c>
      <c r="H1752" s="13"/>
      <c r="I1752" s="15"/>
      <c r="J1752" s="19">
        <v>2</v>
      </c>
      <c r="K1752" s="2" t="s">
        <v>3516</v>
      </c>
      <c r="L1752" s="11" t="str">
        <f t="shared" si="28"/>
        <v>Ver Imagen</v>
      </c>
      <c r="M1752" t="s">
        <v>15</v>
      </c>
    </row>
    <row r="1753" spans="1:13" x14ac:dyDescent="0.25">
      <c r="A1753">
        <v>1752</v>
      </c>
      <c r="B1753" t="s">
        <v>3517</v>
      </c>
      <c r="C1753" s="1">
        <v>37.206779394000002</v>
      </c>
      <c r="D1753" s="1">
        <v>-7.02110686371</v>
      </c>
      <c r="E1753" s="3">
        <v>2</v>
      </c>
      <c r="F1753" s="2">
        <v>2</v>
      </c>
      <c r="G1753" s="4">
        <v>3</v>
      </c>
      <c r="H1753" s="13"/>
      <c r="I1753" s="15"/>
      <c r="J1753" s="19">
        <v>2</v>
      </c>
      <c r="K1753" s="2" t="s">
        <v>3518</v>
      </c>
      <c r="L1753" s="11" t="str">
        <f t="shared" si="28"/>
        <v>Ver Imagen</v>
      </c>
      <c r="M1753" t="s">
        <v>15</v>
      </c>
    </row>
    <row r="1754" spans="1:13" x14ac:dyDescent="0.25">
      <c r="A1754">
        <v>1753</v>
      </c>
      <c r="B1754" t="s">
        <v>3519</v>
      </c>
      <c r="C1754" s="1">
        <v>37.206437809900002</v>
      </c>
      <c r="D1754" s="1">
        <v>-7.0205542531100003</v>
      </c>
      <c r="E1754" s="3">
        <v>2</v>
      </c>
      <c r="F1754" s="2">
        <v>2</v>
      </c>
      <c r="G1754" s="4">
        <v>3</v>
      </c>
      <c r="H1754" s="13"/>
      <c r="I1754" s="15"/>
      <c r="J1754" s="19">
        <v>2</v>
      </c>
      <c r="K1754" s="2" t="s">
        <v>3520</v>
      </c>
      <c r="L1754" s="11" t="str">
        <f t="shared" si="28"/>
        <v>Ver Imagen</v>
      </c>
      <c r="M1754" t="s">
        <v>15</v>
      </c>
    </row>
    <row r="1755" spans="1:13" x14ac:dyDescent="0.25">
      <c r="A1755">
        <v>1754</v>
      </c>
      <c r="B1755" t="s">
        <v>3521</v>
      </c>
      <c r="C1755" s="1">
        <v>37.2063284213</v>
      </c>
      <c r="D1755" s="1">
        <v>-7.02035656278</v>
      </c>
      <c r="E1755" s="3">
        <v>2</v>
      </c>
      <c r="F1755" s="2">
        <v>2</v>
      </c>
      <c r="G1755" s="4">
        <v>3</v>
      </c>
      <c r="H1755" s="13"/>
      <c r="I1755" s="15"/>
      <c r="J1755" s="19">
        <v>2</v>
      </c>
      <c r="K1755" s="2" t="s">
        <v>3522</v>
      </c>
      <c r="L1755" s="11" t="str">
        <f t="shared" si="28"/>
        <v>Ver Imagen</v>
      </c>
      <c r="M1755" t="s">
        <v>15</v>
      </c>
    </row>
    <row r="1756" spans="1:13" x14ac:dyDescent="0.25">
      <c r="A1756">
        <v>1755</v>
      </c>
      <c r="B1756" t="s">
        <v>3523</v>
      </c>
      <c r="C1756" s="1">
        <v>37.205730451800001</v>
      </c>
      <c r="D1756" s="1">
        <v>-7.0189952039000003</v>
      </c>
      <c r="E1756" s="3">
        <v>2</v>
      </c>
      <c r="F1756" s="2">
        <v>2</v>
      </c>
      <c r="G1756" s="4">
        <v>3</v>
      </c>
      <c r="H1756" s="13"/>
      <c r="I1756" s="15"/>
      <c r="J1756" s="19">
        <v>2</v>
      </c>
      <c r="K1756" s="2" t="s">
        <v>3524</v>
      </c>
      <c r="L1756" s="11" t="str">
        <f t="shared" si="28"/>
        <v>Ver Imagen</v>
      </c>
      <c r="M1756" t="s">
        <v>15</v>
      </c>
    </row>
    <row r="1757" spans="1:13" x14ac:dyDescent="0.25">
      <c r="A1757">
        <v>1756</v>
      </c>
      <c r="B1757" t="s">
        <v>3525</v>
      </c>
      <c r="C1757" s="1">
        <v>37.205175005500003</v>
      </c>
      <c r="D1757" s="1">
        <v>-7.0171147527000004</v>
      </c>
      <c r="E1757" s="3">
        <v>3</v>
      </c>
      <c r="F1757" s="2">
        <v>2</v>
      </c>
      <c r="G1757" s="4">
        <v>2</v>
      </c>
      <c r="H1757" s="13"/>
      <c r="I1757" s="15"/>
      <c r="J1757" s="19">
        <v>2</v>
      </c>
      <c r="K1757" s="2" t="s">
        <v>3526</v>
      </c>
      <c r="L1757" s="11" t="str">
        <f t="shared" si="28"/>
        <v>Ver Imagen</v>
      </c>
      <c r="M1757" t="s">
        <v>15</v>
      </c>
    </row>
    <row r="1758" spans="1:13" x14ac:dyDescent="0.25">
      <c r="A1758">
        <v>1757</v>
      </c>
      <c r="B1758" t="s">
        <v>3527</v>
      </c>
      <c r="C1758" s="1">
        <v>37.204251761099997</v>
      </c>
      <c r="D1758" s="1">
        <v>-7.01253973675</v>
      </c>
      <c r="E1758" s="3">
        <v>2</v>
      </c>
      <c r="F1758" s="2">
        <v>2</v>
      </c>
      <c r="G1758" s="4">
        <v>3</v>
      </c>
      <c r="H1758" s="13"/>
      <c r="I1758" s="15"/>
      <c r="J1758" s="19">
        <v>2</v>
      </c>
      <c r="K1758" s="2" t="s">
        <v>3528</v>
      </c>
      <c r="L1758" s="11" t="str">
        <f t="shared" si="28"/>
        <v>Ver Imagen</v>
      </c>
      <c r="M1758" t="s">
        <v>15</v>
      </c>
    </row>
    <row r="1759" spans="1:13" x14ac:dyDescent="0.25">
      <c r="A1759">
        <v>1758</v>
      </c>
      <c r="B1759" t="s">
        <v>3529</v>
      </c>
      <c r="C1759" s="1">
        <v>37.203625057899998</v>
      </c>
      <c r="D1759" s="1">
        <v>-7.0088194817999998</v>
      </c>
      <c r="E1759" s="3">
        <v>2</v>
      </c>
      <c r="F1759" s="2">
        <v>2</v>
      </c>
      <c r="G1759" s="4">
        <v>3</v>
      </c>
      <c r="H1759" s="13"/>
      <c r="I1759" s="15"/>
      <c r="J1759" s="19">
        <v>2</v>
      </c>
      <c r="K1759" s="2" t="s">
        <v>3530</v>
      </c>
      <c r="L1759" s="11" t="str">
        <f t="shared" si="28"/>
        <v>Ver Imagen</v>
      </c>
      <c r="M1759" t="s">
        <v>15</v>
      </c>
    </row>
    <row r="1760" spans="1:13" x14ac:dyDescent="0.25">
      <c r="A1760">
        <v>1759</v>
      </c>
      <c r="B1760" t="s">
        <v>3531</v>
      </c>
      <c r="C1760" s="1">
        <v>37.203520127799997</v>
      </c>
      <c r="D1760" s="1">
        <v>-7.0081210819199997</v>
      </c>
      <c r="E1760" s="3">
        <v>2</v>
      </c>
      <c r="F1760" s="2">
        <v>2</v>
      </c>
      <c r="G1760" s="4">
        <v>3</v>
      </c>
      <c r="H1760" s="13"/>
      <c r="I1760" s="15"/>
      <c r="J1760" s="19">
        <v>2</v>
      </c>
      <c r="K1760" s="2" t="s">
        <v>3532</v>
      </c>
      <c r="L1760" s="11" t="str">
        <f t="shared" si="28"/>
        <v>Ver Imagen</v>
      </c>
      <c r="M1760" t="s">
        <v>15</v>
      </c>
    </row>
    <row r="1761" spans="1:13" x14ac:dyDescent="0.25">
      <c r="A1761">
        <v>1760</v>
      </c>
      <c r="B1761" t="s">
        <v>3533</v>
      </c>
      <c r="C1761" s="1">
        <v>37.228040540499997</v>
      </c>
      <c r="D1761" s="1">
        <v>-7.0217462772200001</v>
      </c>
      <c r="E1761" s="3">
        <v>3</v>
      </c>
      <c r="F1761" s="2">
        <v>2</v>
      </c>
      <c r="G1761" s="4">
        <v>2</v>
      </c>
      <c r="H1761" s="13"/>
      <c r="I1761" s="15"/>
      <c r="J1761" s="19">
        <v>2</v>
      </c>
      <c r="K1761" s="2" t="s">
        <v>3534</v>
      </c>
      <c r="L1761" s="11" t="str">
        <f t="shared" si="28"/>
        <v>Ver Imagen</v>
      </c>
      <c r="M1761" t="s">
        <v>15</v>
      </c>
    </row>
    <row r="1762" spans="1:13" x14ac:dyDescent="0.25">
      <c r="A1762">
        <v>1761</v>
      </c>
      <c r="B1762" t="s">
        <v>3535</v>
      </c>
      <c r="C1762" s="1">
        <v>37.232876218800001</v>
      </c>
      <c r="D1762" s="1">
        <v>-7.0182415897199997</v>
      </c>
      <c r="E1762" s="3">
        <v>2</v>
      </c>
      <c r="F1762" s="2">
        <v>2</v>
      </c>
      <c r="G1762" s="4">
        <v>3</v>
      </c>
      <c r="H1762" s="13"/>
      <c r="I1762" s="15"/>
      <c r="J1762" s="19">
        <v>2</v>
      </c>
      <c r="K1762" s="2" t="s">
        <v>3536</v>
      </c>
      <c r="L1762" s="11" t="str">
        <f t="shared" si="28"/>
        <v>Ver Imagen</v>
      </c>
      <c r="M1762" t="s">
        <v>15</v>
      </c>
    </row>
    <row r="1763" spans="1:13" x14ac:dyDescent="0.25">
      <c r="A1763">
        <v>1762</v>
      </c>
      <c r="B1763" t="s">
        <v>3537</v>
      </c>
      <c r="C1763" s="1">
        <v>37.235106427300003</v>
      </c>
      <c r="D1763" s="1">
        <v>-7.0181342130299997</v>
      </c>
      <c r="E1763" s="3">
        <v>2</v>
      </c>
      <c r="F1763" s="2">
        <v>2</v>
      </c>
      <c r="G1763" s="4">
        <v>3</v>
      </c>
      <c r="H1763" s="13"/>
      <c r="I1763" s="15"/>
      <c r="J1763" s="19">
        <v>2</v>
      </c>
      <c r="K1763" s="2" t="s">
        <v>3538</v>
      </c>
      <c r="L1763" s="11" t="str">
        <f t="shared" si="28"/>
        <v>Ver Imagen</v>
      </c>
      <c r="M1763" t="s">
        <v>15</v>
      </c>
    </row>
    <row r="1764" spans="1:13" x14ac:dyDescent="0.25">
      <c r="A1764">
        <v>1763</v>
      </c>
      <c r="B1764" t="s">
        <v>3539</v>
      </c>
      <c r="C1764" s="1">
        <v>37.236494001200001</v>
      </c>
      <c r="D1764" s="1">
        <v>-7.0184751295799996</v>
      </c>
      <c r="E1764" s="3">
        <v>2</v>
      </c>
      <c r="F1764" s="2">
        <v>2</v>
      </c>
      <c r="G1764" s="4">
        <v>3</v>
      </c>
      <c r="H1764" s="13"/>
      <c r="I1764" s="15"/>
      <c r="J1764" s="19">
        <v>2</v>
      </c>
      <c r="K1764" s="2" t="s">
        <v>3540</v>
      </c>
      <c r="L1764" s="11" t="str">
        <f t="shared" si="28"/>
        <v>Ver Imagen</v>
      </c>
      <c r="M1764" t="s">
        <v>15</v>
      </c>
    </row>
    <row r="1765" spans="1:13" x14ac:dyDescent="0.25">
      <c r="A1765">
        <v>1764</v>
      </c>
      <c r="B1765" t="s">
        <v>3541</v>
      </c>
      <c r="C1765" s="1">
        <v>37.236700808499997</v>
      </c>
      <c r="D1765" s="1">
        <v>-7.0185062202399999</v>
      </c>
      <c r="E1765" s="3">
        <v>2</v>
      </c>
      <c r="F1765" s="2">
        <v>2</v>
      </c>
      <c r="G1765" s="4">
        <v>3</v>
      </c>
      <c r="H1765" s="13"/>
      <c r="I1765" s="15"/>
      <c r="J1765" s="19">
        <v>2</v>
      </c>
      <c r="K1765" s="2" t="s">
        <v>3542</v>
      </c>
      <c r="L1765" s="11" t="str">
        <f t="shared" si="28"/>
        <v>Ver Imagen</v>
      </c>
      <c r="M1765" t="s">
        <v>15</v>
      </c>
    </row>
    <row r="1766" spans="1:13" x14ac:dyDescent="0.25">
      <c r="A1766">
        <v>1765</v>
      </c>
      <c r="B1766" t="s">
        <v>3543</v>
      </c>
      <c r="C1766" s="1">
        <v>37.248039516699997</v>
      </c>
      <c r="D1766" s="1">
        <v>-7.0181822281999997</v>
      </c>
      <c r="E1766" s="3">
        <v>2</v>
      </c>
      <c r="F1766" s="2">
        <v>2</v>
      </c>
      <c r="G1766" s="4">
        <v>3</v>
      </c>
      <c r="H1766" s="13"/>
      <c r="I1766" s="15"/>
      <c r="J1766" s="19">
        <v>2</v>
      </c>
      <c r="K1766" s="2" t="s">
        <v>3544</v>
      </c>
      <c r="L1766" s="11" t="str">
        <f t="shared" si="28"/>
        <v>Ver Imagen</v>
      </c>
      <c r="M1766" t="s">
        <v>15</v>
      </c>
    </row>
    <row r="1767" spans="1:13" x14ac:dyDescent="0.25">
      <c r="A1767">
        <v>1766</v>
      </c>
      <c r="B1767" t="s">
        <v>3545</v>
      </c>
      <c r="C1767" s="1">
        <v>37.253076465600003</v>
      </c>
      <c r="D1767" s="1">
        <v>-7.0159202037900004</v>
      </c>
      <c r="E1767" s="3">
        <v>2</v>
      </c>
      <c r="F1767" s="2">
        <v>2</v>
      </c>
      <c r="G1767" s="4">
        <v>3</v>
      </c>
      <c r="H1767" s="13"/>
      <c r="I1767" s="15"/>
      <c r="J1767" s="19">
        <v>2</v>
      </c>
      <c r="K1767" s="2" t="s">
        <v>3546</v>
      </c>
      <c r="L1767" s="11" t="str">
        <f t="shared" si="28"/>
        <v>Ver Imagen</v>
      </c>
      <c r="M1767" t="s">
        <v>15</v>
      </c>
    </row>
    <row r="1768" spans="1:13" x14ac:dyDescent="0.25">
      <c r="A1768">
        <v>1767</v>
      </c>
      <c r="B1768" t="s">
        <v>3547</v>
      </c>
      <c r="C1768" s="1">
        <v>37.2563404343</v>
      </c>
      <c r="D1768" s="1">
        <v>-7.0138413905299997</v>
      </c>
      <c r="E1768" s="3">
        <v>2</v>
      </c>
      <c r="F1768" s="2">
        <v>2</v>
      </c>
      <c r="G1768" s="4">
        <v>3</v>
      </c>
      <c r="H1768" s="13"/>
      <c r="I1768" s="15"/>
      <c r="J1768" s="19">
        <v>2</v>
      </c>
      <c r="K1768" s="2" t="s">
        <v>3548</v>
      </c>
      <c r="L1768" s="11" t="str">
        <f t="shared" si="28"/>
        <v>Ver Imagen</v>
      </c>
      <c r="M1768" t="s">
        <v>15</v>
      </c>
    </row>
    <row r="1769" spans="1:13" x14ac:dyDescent="0.25">
      <c r="A1769">
        <v>1768</v>
      </c>
      <c r="B1769" t="s">
        <v>3549</v>
      </c>
      <c r="C1769" s="1">
        <v>37.2574184168</v>
      </c>
      <c r="D1769" s="1">
        <v>-7.01315312885</v>
      </c>
      <c r="E1769" s="3">
        <v>2</v>
      </c>
      <c r="F1769" s="2">
        <v>2</v>
      </c>
      <c r="G1769" s="4">
        <v>3</v>
      </c>
      <c r="H1769" s="13"/>
      <c r="I1769" s="15"/>
      <c r="J1769" s="19">
        <v>2</v>
      </c>
      <c r="K1769" s="2" t="s">
        <v>3550</v>
      </c>
      <c r="L1769" s="11" t="str">
        <f t="shared" si="28"/>
        <v>Ver Imagen</v>
      </c>
      <c r="M1769" t="s">
        <v>15</v>
      </c>
    </row>
    <row r="1770" spans="1:13" x14ac:dyDescent="0.25">
      <c r="A1770">
        <v>1769</v>
      </c>
      <c r="B1770" t="s">
        <v>3551</v>
      </c>
      <c r="C1770" s="1">
        <v>37.258677710199997</v>
      </c>
      <c r="D1770" s="1">
        <v>-7.0123520046400003</v>
      </c>
      <c r="E1770" s="3">
        <v>2</v>
      </c>
      <c r="F1770" s="2">
        <v>2</v>
      </c>
      <c r="G1770" s="4">
        <v>3</v>
      </c>
      <c r="H1770" s="13"/>
      <c r="I1770" s="15"/>
      <c r="J1770" s="19">
        <v>2</v>
      </c>
      <c r="K1770" s="2" t="s">
        <v>3552</v>
      </c>
      <c r="L1770" s="11" t="str">
        <f t="shared" si="28"/>
        <v>Ver Imagen</v>
      </c>
      <c r="M1770" t="s">
        <v>15</v>
      </c>
    </row>
    <row r="1771" spans="1:13" x14ac:dyDescent="0.25">
      <c r="A1771">
        <v>1770</v>
      </c>
      <c r="B1771" t="s">
        <v>3553</v>
      </c>
      <c r="C1771" s="1">
        <v>37.259039750699998</v>
      </c>
      <c r="D1771" s="1">
        <v>-7.0121211672800001</v>
      </c>
      <c r="E1771" s="3">
        <v>2</v>
      </c>
      <c r="F1771" s="2">
        <v>2</v>
      </c>
      <c r="G1771" s="4">
        <v>3</v>
      </c>
      <c r="H1771" s="13"/>
      <c r="I1771" s="15"/>
      <c r="J1771" s="19">
        <v>2</v>
      </c>
      <c r="K1771" s="2" t="s">
        <v>3554</v>
      </c>
      <c r="L1771" s="11" t="str">
        <f t="shared" si="28"/>
        <v>Ver Imagen</v>
      </c>
      <c r="M1771" t="s">
        <v>15</v>
      </c>
    </row>
    <row r="1772" spans="1:13" x14ac:dyDescent="0.25">
      <c r="A1772">
        <v>1771</v>
      </c>
      <c r="B1772" t="s">
        <v>3555</v>
      </c>
      <c r="C1772" s="1">
        <v>37.259216120399998</v>
      </c>
      <c r="D1772" s="1">
        <v>-7.0120077584100002</v>
      </c>
      <c r="E1772" s="3">
        <v>2</v>
      </c>
      <c r="F1772" s="2">
        <v>2</v>
      </c>
      <c r="G1772" s="4">
        <v>3</v>
      </c>
      <c r="H1772" s="13"/>
      <c r="I1772" s="15"/>
      <c r="J1772" s="19">
        <v>2</v>
      </c>
      <c r="K1772" s="2" t="s">
        <v>3556</v>
      </c>
      <c r="L1772" s="11" t="str">
        <f t="shared" si="28"/>
        <v>Ver Imagen</v>
      </c>
      <c r="M1772" t="s">
        <v>15</v>
      </c>
    </row>
    <row r="1773" spans="1:13" x14ac:dyDescent="0.25">
      <c r="A1773">
        <v>1772</v>
      </c>
      <c r="B1773" t="s">
        <v>3557</v>
      </c>
      <c r="C1773" s="1">
        <v>37.2593856449</v>
      </c>
      <c r="D1773" s="1">
        <v>-7.0118984123699999</v>
      </c>
      <c r="E1773" s="3">
        <v>2</v>
      </c>
      <c r="F1773" s="2">
        <v>2</v>
      </c>
      <c r="G1773" s="4">
        <v>3</v>
      </c>
      <c r="H1773" s="13"/>
      <c r="I1773" s="15"/>
      <c r="J1773" s="19">
        <v>2</v>
      </c>
      <c r="K1773" s="2" t="s">
        <v>3558</v>
      </c>
      <c r="L1773" s="11" t="str">
        <f t="shared" si="28"/>
        <v>Ver Imagen</v>
      </c>
      <c r="M1773" t="s">
        <v>15</v>
      </c>
    </row>
    <row r="1774" spans="1:13" x14ac:dyDescent="0.25">
      <c r="A1774">
        <v>1773</v>
      </c>
      <c r="B1774" t="s">
        <v>3559</v>
      </c>
      <c r="C1774" s="1">
        <v>37.2612121835</v>
      </c>
      <c r="D1774" s="1">
        <v>-7.0107238899100004</v>
      </c>
      <c r="E1774" s="3">
        <v>2</v>
      </c>
      <c r="F1774" s="2">
        <v>2</v>
      </c>
      <c r="G1774" s="4">
        <v>3</v>
      </c>
      <c r="H1774" s="13"/>
      <c r="I1774" s="15"/>
      <c r="J1774" s="19">
        <v>2</v>
      </c>
      <c r="K1774" s="2" t="s">
        <v>3560</v>
      </c>
      <c r="L1774" s="11" t="str">
        <f t="shared" si="28"/>
        <v>Ver Imagen</v>
      </c>
      <c r="M1774" t="s">
        <v>15</v>
      </c>
    </row>
    <row r="1775" spans="1:13" x14ac:dyDescent="0.25">
      <c r="A1775">
        <v>1774</v>
      </c>
      <c r="B1775" t="s">
        <v>3561</v>
      </c>
      <c r="C1775" s="1">
        <v>37.261705064399997</v>
      </c>
      <c r="D1775" s="1">
        <v>-7.0103311608799999</v>
      </c>
      <c r="E1775" s="3">
        <v>2</v>
      </c>
      <c r="F1775" s="2">
        <v>2</v>
      </c>
      <c r="G1775" s="4">
        <v>3</v>
      </c>
      <c r="H1775" s="13"/>
      <c r="I1775" s="15"/>
      <c r="J1775" s="19">
        <v>2</v>
      </c>
      <c r="K1775" s="2" t="s">
        <v>3562</v>
      </c>
      <c r="L1775" s="11" t="str">
        <f t="shared" si="28"/>
        <v>Ver Imagen</v>
      </c>
      <c r="M1775" t="s">
        <v>15</v>
      </c>
    </row>
    <row r="1776" spans="1:13" x14ac:dyDescent="0.25">
      <c r="A1776">
        <v>1775</v>
      </c>
      <c r="B1776" t="s">
        <v>3563</v>
      </c>
      <c r="C1776" s="1">
        <v>37.263653955199999</v>
      </c>
      <c r="D1776" s="1">
        <v>-7.00580963064</v>
      </c>
      <c r="E1776" s="3">
        <v>2</v>
      </c>
      <c r="F1776" s="2">
        <v>2</v>
      </c>
      <c r="G1776" s="4">
        <v>3</v>
      </c>
      <c r="H1776" s="13"/>
      <c r="I1776" s="15"/>
      <c r="J1776" s="19">
        <v>2</v>
      </c>
      <c r="K1776" s="2" t="s">
        <v>3564</v>
      </c>
      <c r="L1776" s="11" t="str">
        <f t="shared" si="28"/>
        <v>Ver Imagen</v>
      </c>
      <c r="M1776" t="s">
        <v>15</v>
      </c>
    </row>
    <row r="1777" spans="1:13" x14ac:dyDescent="0.25">
      <c r="A1777">
        <v>1776</v>
      </c>
      <c r="B1777" t="s">
        <v>3565</v>
      </c>
      <c r="C1777" s="1">
        <v>37.263694020599999</v>
      </c>
      <c r="D1777" s="1">
        <v>-7.0055820368299999</v>
      </c>
      <c r="E1777" s="3">
        <v>2</v>
      </c>
      <c r="F1777" s="2">
        <v>2</v>
      </c>
      <c r="G1777" s="4">
        <v>3</v>
      </c>
      <c r="H1777" s="13"/>
      <c r="I1777" s="15"/>
      <c r="J1777" s="19">
        <v>2</v>
      </c>
      <c r="K1777" s="2" t="s">
        <v>3566</v>
      </c>
      <c r="L1777" s="11" t="str">
        <f t="shared" si="28"/>
        <v>Ver Imagen</v>
      </c>
      <c r="M1777" t="s">
        <v>15</v>
      </c>
    </row>
    <row r="1778" spans="1:13" x14ac:dyDescent="0.25">
      <c r="A1778">
        <v>1777</v>
      </c>
      <c r="B1778" t="s">
        <v>3567</v>
      </c>
      <c r="C1778" s="1">
        <v>37.263739248699999</v>
      </c>
      <c r="D1778" s="1">
        <v>-7.0053257743600001</v>
      </c>
      <c r="E1778" s="3">
        <v>2</v>
      </c>
      <c r="F1778" s="2">
        <v>2</v>
      </c>
      <c r="G1778" s="4">
        <v>3</v>
      </c>
      <c r="H1778" s="13"/>
      <c r="I1778" s="15"/>
      <c r="J1778" s="19">
        <v>2</v>
      </c>
      <c r="K1778" s="2" t="s">
        <v>3568</v>
      </c>
      <c r="L1778" s="11" t="str">
        <f t="shared" si="28"/>
        <v>Ver Imagen</v>
      </c>
      <c r="M1778" t="s">
        <v>15</v>
      </c>
    </row>
    <row r="1779" spans="1:13" x14ac:dyDescent="0.25">
      <c r="A1779">
        <v>1778</v>
      </c>
      <c r="B1779" t="s">
        <v>3569</v>
      </c>
      <c r="C1779" s="1">
        <v>37.263783166000003</v>
      </c>
      <c r="D1779" s="1">
        <v>-7.0050789451800002</v>
      </c>
      <c r="E1779" s="3">
        <v>2</v>
      </c>
      <c r="F1779" s="2">
        <v>2</v>
      </c>
      <c r="G1779" s="4">
        <v>3</v>
      </c>
      <c r="H1779" s="13"/>
      <c r="I1779" s="15"/>
      <c r="J1779" s="19">
        <v>2</v>
      </c>
      <c r="K1779" s="2" t="s">
        <v>3570</v>
      </c>
      <c r="L1779" s="11" t="str">
        <f t="shared" si="28"/>
        <v>Ver Imagen</v>
      </c>
      <c r="M1779" t="s">
        <v>15</v>
      </c>
    </row>
    <row r="1780" spans="1:13" x14ac:dyDescent="0.25">
      <c r="A1780">
        <v>1779</v>
      </c>
      <c r="B1780" t="s">
        <v>3571</v>
      </c>
      <c r="C1780" s="1">
        <v>37.263882536899999</v>
      </c>
      <c r="D1780" s="1">
        <v>-7.0045316579300003</v>
      </c>
      <c r="E1780" s="3">
        <v>2</v>
      </c>
      <c r="F1780" s="2">
        <v>2</v>
      </c>
      <c r="G1780" s="4">
        <v>3</v>
      </c>
      <c r="H1780" s="13"/>
      <c r="I1780" s="15"/>
      <c r="J1780" s="19">
        <v>2</v>
      </c>
      <c r="K1780" s="2" t="s">
        <v>3572</v>
      </c>
      <c r="L1780" s="11" t="str">
        <f t="shared" si="28"/>
        <v>Ver Imagen</v>
      </c>
      <c r="M1780" t="s">
        <v>15</v>
      </c>
    </row>
    <row r="1781" spans="1:13" x14ac:dyDescent="0.25">
      <c r="A1781">
        <v>1780</v>
      </c>
      <c r="B1781" t="s">
        <v>3573</v>
      </c>
      <c r="C1781" s="1">
        <v>37.2640070522</v>
      </c>
      <c r="D1781" s="1">
        <v>-7.00382252087</v>
      </c>
      <c r="E1781" s="3">
        <v>2</v>
      </c>
      <c r="F1781" s="2">
        <v>2</v>
      </c>
      <c r="G1781" s="4">
        <v>3</v>
      </c>
      <c r="H1781" s="13"/>
      <c r="I1781" s="15"/>
      <c r="J1781" s="19">
        <v>2</v>
      </c>
      <c r="K1781" s="2" t="s">
        <v>3574</v>
      </c>
      <c r="L1781" s="11" t="str">
        <f t="shared" si="28"/>
        <v>Ver Imagen</v>
      </c>
      <c r="M1781" t="s">
        <v>15</v>
      </c>
    </row>
    <row r="1782" spans="1:13" x14ac:dyDescent="0.25">
      <c r="A1782">
        <v>1781</v>
      </c>
      <c r="B1782" t="s">
        <v>3575</v>
      </c>
      <c r="C1782" s="1">
        <v>37.264057765899999</v>
      </c>
      <c r="D1782" s="1">
        <v>-7.0035332746399996</v>
      </c>
      <c r="E1782" s="3">
        <v>2</v>
      </c>
      <c r="F1782" s="2">
        <v>2</v>
      </c>
      <c r="G1782" s="4">
        <v>3</v>
      </c>
      <c r="H1782" s="13"/>
      <c r="I1782" s="15"/>
      <c r="J1782" s="19">
        <v>2</v>
      </c>
      <c r="K1782" s="2" t="s">
        <v>3576</v>
      </c>
      <c r="L1782" s="11" t="str">
        <f t="shared" si="28"/>
        <v>Ver Imagen</v>
      </c>
      <c r="M1782" t="s">
        <v>15</v>
      </c>
    </row>
    <row r="1783" spans="1:13" x14ac:dyDescent="0.25">
      <c r="A1783">
        <v>1782</v>
      </c>
      <c r="B1783" t="s">
        <v>3577</v>
      </c>
      <c r="C1783" s="1">
        <v>37.267045939299997</v>
      </c>
      <c r="D1783" s="1">
        <v>-6.9916662674800003</v>
      </c>
      <c r="E1783" s="3">
        <v>2</v>
      </c>
      <c r="F1783" s="2">
        <v>2</v>
      </c>
      <c r="G1783" s="4">
        <v>3</v>
      </c>
      <c r="H1783" s="13"/>
      <c r="I1783" s="15"/>
      <c r="J1783" s="19">
        <v>2</v>
      </c>
      <c r="K1783" s="2" t="s">
        <v>3578</v>
      </c>
      <c r="L1783" s="11" t="str">
        <f t="shared" si="28"/>
        <v>Ver Imagen</v>
      </c>
      <c r="M1783" t="s">
        <v>15</v>
      </c>
    </row>
    <row r="1784" spans="1:13" x14ac:dyDescent="0.25">
      <c r="A1784">
        <v>1783</v>
      </c>
      <c r="B1784" t="s">
        <v>3579</v>
      </c>
      <c r="C1784" s="1">
        <v>37.270191585600003</v>
      </c>
      <c r="D1784" s="1">
        <v>-6.9893378628300002</v>
      </c>
      <c r="E1784" s="3">
        <v>2</v>
      </c>
      <c r="F1784" s="2">
        <v>2</v>
      </c>
      <c r="G1784" s="4">
        <v>3</v>
      </c>
      <c r="H1784" s="13"/>
      <c r="I1784" s="15"/>
      <c r="J1784" s="19">
        <v>2</v>
      </c>
      <c r="K1784" s="2" t="s">
        <v>3580</v>
      </c>
      <c r="L1784" s="11" t="str">
        <f t="shared" si="28"/>
        <v>Ver Imagen</v>
      </c>
      <c r="M1784" t="s">
        <v>15</v>
      </c>
    </row>
    <row r="1785" spans="1:13" x14ac:dyDescent="0.25">
      <c r="A1785">
        <v>1784</v>
      </c>
      <c r="B1785" t="s">
        <v>3581</v>
      </c>
      <c r="C1785" s="1">
        <v>37.270366555999999</v>
      </c>
      <c r="D1785" s="1">
        <v>-6.9892135157100004</v>
      </c>
      <c r="E1785" s="3">
        <v>2</v>
      </c>
      <c r="F1785" s="2">
        <v>2</v>
      </c>
      <c r="G1785" s="4">
        <v>3</v>
      </c>
      <c r="H1785" s="13"/>
      <c r="I1785" s="15"/>
      <c r="J1785" s="19">
        <v>2</v>
      </c>
      <c r="K1785" s="2" t="s">
        <v>3582</v>
      </c>
      <c r="L1785" s="11" t="str">
        <f t="shared" si="28"/>
        <v>Ver Imagen</v>
      </c>
      <c r="M1785" t="s">
        <v>15</v>
      </c>
    </row>
    <row r="1786" spans="1:13" x14ac:dyDescent="0.25">
      <c r="A1786">
        <v>1785</v>
      </c>
      <c r="B1786" t="s">
        <v>3583</v>
      </c>
      <c r="C1786" s="1">
        <v>37.270555357200003</v>
      </c>
      <c r="D1786" s="1">
        <v>-6.9890745373599996</v>
      </c>
      <c r="E1786" s="3">
        <v>2</v>
      </c>
      <c r="F1786" s="2">
        <v>2</v>
      </c>
      <c r="G1786" s="4">
        <v>3</v>
      </c>
      <c r="H1786" s="13"/>
      <c r="I1786" s="15"/>
      <c r="J1786" s="19">
        <v>2</v>
      </c>
      <c r="K1786" s="2" t="s">
        <v>3584</v>
      </c>
      <c r="L1786" s="11" t="str">
        <f t="shared" si="28"/>
        <v>Ver Imagen</v>
      </c>
      <c r="M1786" t="s">
        <v>15</v>
      </c>
    </row>
    <row r="1787" spans="1:13" x14ac:dyDescent="0.25">
      <c r="A1787">
        <v>1786</v>
      </c>
      <c r="B1787" t="s">
        <v>3585</v>
      </c>
      <c r="C1787" s="1">
        <v>37.270719666700003</v>
      </c>
      <c r="D1787" s="1">
        <v>-6.9889427553900001</v>
      </c>
      <c r="E1787" s="3">
        <v>2</v>
      </c>
      <c r="F1787" s="2">
        <v>2</v>
      </c>
      <c r="G1787" s="4">
        <v>3</v>
      </c>
      <c r="H1787" s="13"/>
      <c r="I1787" s="15"/>
      <c r="J1787" s="19">
        <v>2</v>
      </c>
      <c r="K1787" s="2" t="s">
        <v>3586</v>
      </c>
      <c r="L1787" s="11" t="str">
        <f t="shared" si="28"/>
        <v>Ver Imagen</v>
      </c>
      <c r="M1787" t="s">
        <v>15</v>
      </c>
    </row>
    <row r="1788" spans="1:13" x14ac:dyDescent="0.25">
      <c r="A1788">
        <v>1787</v>
      </c>
      <c r="B1788" t="s">
        <v>3587</v>
      </c>
      <c r="C1788" s="1">
        <v>37.2708865532</v>
      </c>
      <c r="D1788" s="1">
        <v>-6.9887857735400001</v>
      </c>
      <c r="E1788" s="3">
        <v>2</v>
      </c>
      <c r="F1788" s="2">
        <v>2</v>
      </c>
      <c r="G1788" s="4">
        <v>3</v>
      </c>
      <c r="H1788" s="13"/>
      <c r="I1788" s="15"/>
      <c r="J1788" s="19">
        <v>2</v>
      </c>
      <c r="K1788" s="2" t="s">
        <v>3588</v>
      </c>
      <c r="L1788" s="11" t="str">
        <f t="shared" si="28"/>
        <v>Ver Imagen</v>
      </c>
      <c r="M1788" t="s">
        <v>15</v>
      </c>
    </row>
    <row r="1789" spans="1:13" x14ac:dyDescent="0.25">
      <c r="A1789">
        <v>1788</v>
      </c>
      <c r="B1789" t="s">
        <v>3589</v>
      </c>
      <c r="C1789" s="1">
        <v>37.271028276899997</v>
      </c>
      <c r="D1789" s="1">
        <v>-6.9886269823799996</v>
      </c>
      <c r="E1789" s="3">
        <v>2</v>
      </c>
      <c r="F1789" s="2">
        <v>2</v>
      </c>
      <c r="G1789" s="4">
        <v>3</v>
      </c>
      <c r="H1789" s="13"/>
      <c r="I1789" s="15"/>
      <c r="J1789" s="19">
        <v>2</v>
      </c>
      <c r="K1789" s="2" t="s">
        <v>3590</v>
      </c>
      <c r="L1789" s="11" t="str">
        <f t="shared" si="28"/>
        <v>Ver Imagen</v>
      </c>
      <c r="M1789" t="s">
        <v>15</v>
      </c>
    </row>
    <row r="1790" spans="1:13" x14ac:dyDescent="0.25">
      <c r="A1790">
        <v>1789</v>
      </c>
      <c r="B1790" t="s">
        <v>3591</v>
      </c>
      <c r="C1790" s="1">
        <v>37.446578491099999</v>
      </c>
      <c r="D1790" s="1">
        <v>-7.1322381948800002</v>
      </c>
      <c r="E1790" s="3">
        <v>3</v>
      </c>
      <c r="F1790" s="2">
        <v>3</v>
      </c>
      <c r="G1790" s="4">
        <v>3</v>
      </c>
      <c r="H1790" s="13"/>
      <c r="I1790" s="15"/>
      <c r="J1790" s="19">
        <v>3</v>
      </c>
      <c r="K1790" s="2" t="s">
        <v>3592</v>
      </c>
      <c r="L1790" s="11" t="str">
        <f t="shared" ref="L1790:L1853" si="29">HYPERLINK("3\0\" &amp; K1790, "Ver Imagen")</f>
        <v>Ver Imagen</v>
      </c>
      <c r="M1790" t="s">
        <v>15</v>
      </c>
    </row>
    <row r="1791" spans="1:13" x14ac:dyDescent="0.25">
      <c r="A1791">
        <v>1790</v>
      </c>
      <c r="B1791" t="s">
        <v>3593</v>
      </c>
      <c r="C1791" s="1">
        <v>37.446847075599997</v>
      </c>
      <c r="D1791" s="1">
        <v>-7.1307324760400004</v>
      </c>
      <c r="E1791" s="3">
        <v>3</v>
      </c>
      <c r="F1791" s="2">
        <v>3</v>
      </c>
      <c r="G1791" s="4">
        <v>3</v>
      </c>
      <c r="H1791" s="13"/>
      <c r="I1791" s="15"/>
      <c r="J1791" s="19">
        <v>3</v>
      </c>
      <c r="K1791" s="2" t="s">
        <v>3594</v>
      </c>
      <c r="L1791" s="11" t="str">
        <f t="shared" si="29"/>
        <v>Ver Imagen</v>
      </c>
      <c r="M1791" t="s">
        <v>15</v>
      </c>
    </row>
    <row r="1792" spans="1:13" x14ac:dyDescent="0.25">
      <c r="A1792">
        <v>1791</v>
      </c>
      <c r="B1792" t="s">
        <v>3595</v>
      </c>
      <c r="C1792" s="1">
        <v>37.4615719532</v>
      </c>
      <c r="D1792" s="1">
        <v>-7.1744293214899999</v>
      </c>
      <c r="E1792" s="3">
        <v>3</v>
      </c>
      <c r="F1792" s="2">
        <v>3</v>
      </c>
      <c r="G1792" s="4">
        <v>3</v>
      </c>
      <c r="H1792" s="13"/>
      <c r="I1792" s="15"/>
      <c r="J1792" s="19">
        <v>3</v>
      </c>
      <c r="K1792" s="2" t="s">
        <v>3596</v>
      </c>
      <c r="L1792" s="11" t="str">
        <f t="shared" si="29"/>
        <v>Ver Imagen</v>
      </c>
      <c r="M1792" t="s">
        <v>15</v>
      </c>
    </row>
    <row r="1793" spans="1:13" x14ac:dyDescent="0.25">
      <c r="A1793">
        <v>1792</v>
      </c>
      <c r="B1793" t="s">
        <v>3597</v>
      </c>
      <c r="C1793" s="1">
        <v>37.462814909199999</v>
      </c>
      <c r="D1793" s="1">
        <v>-7.1764617900600003</v>
      </c>
      <c r="E1793" s="3">
        <v>3</v>
      </c>
      <c r="F1793" s="2">
        <v>3</v>
      </c>
      <c r="G1793" s="4">
        <v>3</v>
      </c>
      <c r="H1793" s="13"/>
      <c r="I1793" s="15"/>
      <c r="J1793" s="19">
        <v>3</v>
      </c>
      <c r="K1793" s="2" t="s">
        <v>3598</v>
      </c>
      <c r="L1793" s="11" t="str">
        <f t="shared" si="29"/>
        <v>Ver Imagen</v>
      </c>
      <c r="M1793" t="s">
        <v>15</v>
      </c>
    </row>
    <row r="1794" spans="1:13" x14ac:dyDescent="0.25">
      <c r="A1794">
        <v>1793</v>
      </c>
      <c r="B1794" t="s">
        <v>3599</v>
      </c>
      <c r="C1794" s="1">
        <v>37.463642313199998</v>
      </c>
      <c r="D1794" s="1">
        <v>-7.17784589656</v>
      </c>
      <c r="E1794" s="3">
        <v>3</v>
      </c>
      <c r="F1794" s="2">
        <v>3</v>
      </c>
      <c r="G1794" s="4">
        <v>3</v>
      </c>
      <c r="H1794" s="13"/>
      <c r="I1794" s="15"/>
      <c r="J1794" s="19">
        <v>3</v>
      </c>
      <c r="K1794" s="2" t="s">
        <v>3600</v>
      </c>
      <c r="L1794" s="11" t="str">
        <f t="shared" si="29"/>
        <v>Ver Imagen</v>
      </c>
      <c r="M1794" t="s">
        <v>15</v>
      </c>
    </row>
    <row r="1795" spans="1:13" x14ac:dyDescent="0.25">
      <c r="A1795">
        <v>1794</v>
      </c>
      <c r="B1795" t="s">
        <v>3601</v>
      </c>
      <c r="C1795" s="1">
        <v>37.465250630500002</v>
      </c>
      <c r="D1795" s="1">
        <v>-7.1807749225100004</v>
      </c>
      <c r="E1795" s="3">
        <v>3</v>
      </c>
      <c r="F1795" s="2">
        <v>3</v>
      </c>
      <c r="G1795" s="4">
        <v>3</v>
      </c>
      <c r="H1795" s="13"/>
      <c r="I1795" s="15"/>
      <c r="J1795" s="19">
        <v>3</v>
      </c>
      <c r="K1795" s="2" t="s">
        <v>3602</v>
      </c>
      <c r="L1795" s="11" t="str">
        <f t="shared" si="29"/>
        <v>Ver Imagen</v>
      </c>
      <c r="M1795" t="s">
        <v>15</v>
      </c>
    </row>
    <row r="1796" spans="1:13" x14ac:dyDescent="0.25">
      <c r="A1796">
        <v>1795</v>
      </c>
      <c r="B1796" t="s">
        <v>3603</v>
      </c>
      <c r="C1796" s="1">
        <v>37.490171940000003</v>
      </c>
      <c r="D1796" s="1">
        <v>-7.2594655594099997</v>
      </c>
      <c r="E1796" s="3">
        <v>3</v>
      </c>
      <c r="F1796" s="2">
        <v>3</v>
      </c>
      <c r="G1796" s="4">
        <v>3</v>
      </c>
      <c r="H1796" s="13"/>
      <c r="I1796" s="15"/>
      <c r="J1796" s="19">
        <v>3</v>
      </c>
      <c r="K1796" s="2" t="s">
        <v>3604</v>
      </c>
      <c r="L1796" s="11" t="str">
        <f t="shared" si="29"/>
        <v>Ver Imagen</v>
      </c>
      <c r="M1796" t="s">
        <v>15</v>
      </c>
    </row>
    <row r="1797" spans="1:13" x14ac:dyDescent="0.25">
      <c r="A1797">
        <v>1796</v>
      </c>
      <c r="B1797" t="s">
        <v>3605</v>
      </c>
      <c r="C1797" s="1">
        <v>37.280579205999999</v>
      </c>
      <c r="D1797" s="1">
        <v>-7.0022505518799996</v>
      </c>
      <c r="E1797" s="3">
        <v>3</v>
      </c>
      <c r="F1797" s="2">
        <v>3</v>
      </c>
      <c r="G1797" s="4">
        <v>3</v>
      </c>
      <c r="H1797" s="13"/>
      <c r="I1797" s="15"/>
      <c r="J1797" s="19">
        <v>3</v>
      </c>
      <c r="K1797" s="2" t="s">
        <v>3606</v>
      </c>
      <c r="L1797" s="11" t="str">
        <f t="shared" si="29"/>
        <v>Ver Imagen</v>
      </c>
      <c r="M1797" t="s">
        <v>15</v>
      </c>
    </row>
    <row r="1798" spans="1:13" x14ac:dyDescent="0.25">
      <c r="A1798">
        <v>1797</v>
      </c>
      <c r="B1798" t="s">
        <v>3607</v>
      </c>
      <c r="C1798" s="1">
        <v>37.280688001599998</v>
      </c>
      <c r="D1798" s="1">
        <v>-7.0029920334</v>
      </c>
      <c r="E1798" s="3">
        <v>3</v>
      </c>
      <c r="F1798" s="2">
        <v>3</v>
      </c>
      <c r="G1798" s="4">
        <v>3</v>
      </c>
      <c r="H1798" s="13"/>
      <c r="I1798" s="15"/>
      <c r="J1798" s="19">
        <v>3</v>
      </c>
      <c r="K1798" s="2" t="s">
        <v>3608</v>
      </c>
      <c r="L1798" s="11" t="str">
        <f t="shared" si="29"/>
        <v>Ver Imagen</v>
      </c>
      <c r="M1798" t="s">
        <v>15</v>
      </c>
    </row>
    <row r="1799" spans="1:13" x14ac:dyDescent="0.25">
      <c r="A1799">
        <v>1798</v>
      </c>
      <c r="B1799" t="s">
        <v>3609</v>
      </c>
      <c r="C1799" s="1">
        <v>37.280476805900001</v>
      </c>
      <c r="D1799" s="1">
        <v>-7.00475923726</v>
      </c>
      <c r="E1799" s="3">
        <v>3</v>
      </c>
      <c r="F1799" s="2">
        <v>3</v>
      </c>
      <c r="G1799" s="4">
        <v>3</v>
      </c>
      <c r="H1799" s="13"/>
      <c r="I1799" s="15"/>
      <c r="J1799" s="19">
        <v>3</v>
      </c>
      <c r="K1799" s="2" t="s">
        <v>3610</v>
      </c>
      <c r="L1799" s="11" t="str">
        <f t="shared" si="29"/>
        <v>Ver Imagen</v>
      </c>
      <c r="M1799" t="s">
        <v>15</v>
      </c>
    </row>
    <row r="1800" spans="1:13" x14ac:dyDescent="0.25">
      <c r="A1800">
        <v>1799</v>
      </c>
      <c r="B1800" t="s">
        <v>3611</v>
      </c>
      <c r="C1800" s="1">
        <v>37.277946650200001</v>
      </c>
      <c r="D1800" s="1">
        <v>-7.01082500468</v>
      </c>
      <c r="E1800" s="3">
        <v>3</v>
      </c>
      <c r="F1800" s="2">
        <v>3</v>
      </c>
      <c r="G1800" s="4">
        <v>3</v>
      </c>
      <c r="H1800" s="13"/>
      <c r="I1800" s="15"/>
      <c r="J1800" s="19">
        <v>3</v>
      </c>
      <c r="K1800" s="2" t="s">
        <v>3612</v>
      </c>
      <c r="L1800" s="11" t="str">
        <f t="shared" si="29"/>
        <v>Ver Imagen</v>
      </c>
      <c r="M1800" t="s">
        <v>15</v>
      </c>
    </row>
    <row r="1801" spans="1:13" x14ac:dyDescent="0.25">
      <c r="A1801">
        <v>1800</v>
      </c>
      <c r="B1801" t="s">
        <v>3613</v>
      </c>
      <c r="C1801" s="1">
        <v>37.3174097367</v>
      </c>
      <c r="D1801" s="1">
        <v>-7.0709980039999998</v>
      </c>
      <c r="E1801" s="3">
        <v>3</v>
      </c>
      <c r="F1801" s="2">
        <v>3</v>
      </c>
      <c r="G1801" s="4">
        <v>3</v>
      </c>
      <c r="H1801" s="13"/>
      <c r="I1801" s="15"/>
      <c r="J1801" s="19">
        <v>3</v>
      </c>
      <c r="K1801" s="2" t="s">
        <v>3614</v>
      </c>
      <c r="L1801" s="11" t="str">
        <f t="shared" si="29"/>
        <v>Ver Imagen</v>
      </c>
      <c r="M1801" t="s">
        <v>15</v>
      </c>
    </row>
    <row r="1802" spans="1:13" x14ac:dyDescent="0.25">
      <c r="A1802">
        <v>1801</v>
      </c>
      <c r="B1802" t="s">
        <v>3615</v>
      </c>
      <c r="C1802" s="1">
        <v>37.453137810199998</v>
      </c>
      <c r="D1802" s="1">
        <v>-7.1121420396600001</v>
      </c>
      <c r="E1802" s="3">
        <v>3</v>
      </c>
      <c r="F1802" s="2">
        <v>3</v>
      </c>
      <c r="G1802" s="4">
        <v>3</v>
      </c>
      <c r="H1802" s="13"/>
      <c r="I1802" s="15"/>
      <c r="J1802" s="19">
        <v>3</v>
      </c>
      <c r="K1802" s="2" t="s">
        <v>3616</v>
      </c>
      <c r="L1802" s="11" t="str">
        <f t="shared" si="29"/>
        <v>Ver Imagen</v>
      </c>
      <c r="M1802" t="s">
        <v>15</v>
      </c>
    </row>
    <row r="1803" spans="1:13" x14ac:dyDescent="0.25">
      <c r="A1803">
        <v>1802</v>
      </c>
      <c r="B1803" t="s">
        <v>3617</v>
      </c>
      <c r="C1803" s="1">
        <v>37.268324042700002</v>
      </c>
      <c r="D1803" s="1">
        <v>-6.9727879368799996</v>
      </c>
      <c r="E1803" s="3">
        <v>3</v>
      </c>
      <c r="F1803" s="2">
        <v>3</v>
      </c>
      <c r="G1803" s="4">
        <v>3</v>
      </c>
      <c r="H1803" s="13"/>
      <c r="I1803" s="15"/>
      <c r="J1803" s="19">
        <v>3</v>
      </c>
      <c r="K1803" s="2" t="s">
        <v>3618</v>
      </c>
      <c r="L1803" s="11" t="str">
        <f t="shared" si="29"/>
        <v>Ver Imagen</v>
      </c>
      <c r="M1803" t="s">
        <v>15</v>
      </c>
    </row>
    <row r="1804" spans="1:13" x14ac:dyDescent="0.25">
      <c r="A1804">
        <v>1803</v>
      </c>
      <c r="B1804" t="s">
        <v>3619</v>
      </c>
      <c r="C1804" s="1">
        <v>37.268252037499998</v>
      </c>
      <c r="D1804" s="1">
        <v>-6.9723913815299996</v>
      </c>
      <c r="E1804" s="3">
        <v>3</v>
      </c>
      <c r="F1804" s="2">
        <v>3</v>
      </c>
      <c r="G1804" s="4">
        <v>3</v>
      </c>
      <c r="H1804" s="13"/>
      <c r="I1804" s="15"/>
      <c r="J1804" s="19">
        <v>3</v>
      </c>
      <c r="K1804" s="2" t="s">
        <v>3620</v>
      </c>
      <c r="L1804" s="11" t="str">
        <f t="shared" si="29"/>
        <v>Ver Imagen</v>
      </c>
      <c r="M1804" t="s">
        <v>15</v>
      </c>
    </row>
    <row r="1805" spans="1:13" x14ac:dyDescent="0.25">
      <c r="A1805">
        <v>1804</v>
      </c>
      <c r="B1805" t="s">
        <v>3621</v>
      </c>
      <c r="C1805" s="1">
        <v>37.268194241499998</v>
      </c>
      <c r="D1805" s="1">
        <v>-6.9720546071499996</v>
      </c>
      <c r="E1805" s="3">
        <v>3</v>
      </c>
      <c r="F1805" s="2">
        <v>3</v>
      </c>
      <c r="G1805" s="4">
        <v>3</v>
      </c>
      <c r="H1805" s="13"/>
      <c r="I1805" s="15"/>
      <c r="J1805" s="19">
        <v>3</v>
      </c>
      <c r="K1805" s="2" t="s">
        <v>3622</v>
      </c>
      <c r="L1805" s="11" t="str">
        <f t="shared" si="29"/>
        <v>Ver Imagen</v>
      </c>
      <c r="M1805" t="s">
        <v>15</v>
      </c>
    </row>
    <row r="1806" spans="1:13" x14ac:dyDescent="0.25">
      <c r="A1806">
        <v>1805</v>
      </c>
      <c r="B1806" t="s">
        <v>3623</v>
      </c>
      <c r="C1806" s="1">
        <v>37.267710040200001</v>
      </c>
      <c r="D1806" s="1">
        <v>-6.9682686942999998</v>
      </c>
      <c r="E1806" s="3">
        <v>3</v>
      </c>
      <c r="F1806" s="2">
        <v>3</v>
      </c>
      <c r="G1806" s="4">
        <v>3</v>
      </c>
      <c r="H1806" s="13"/>
      <c r="I1806" s="15"/>
      <c r="J1806" s="19">
        <v>3</v>
      </c>
      <c r="K1806" s="2" t="s">
        <v>3624</v>
      </c>
      <c r="L1806" s="11" t="str">
        <f t="shared" si="29"/>
        <v>Ver Imagen</v>
      </c>
      <c r="M1806" t="s">
        <v>15</v>
      </c>
    </row>
    <row r="1807" spans="1:13" x14ac:dyDescent="0.25">
      <c r="A1807">
        <v>1806</v>
      </c>
      <c r="B1807" t="s">
        <v>3625</v>
      </c>
      <c r="C1807" s="1">
        <v>37.267531362100002</v>
      </c>
      <c r="D1807" s="1">
        <v>-6.9645646371499996</v>
      </c>
      <c r="E1807" s="3">
        <v>3</v>
      </c>
      <c r="F1807" s="2">
        <v>3</v>
      </c>
      <c r="G1807" s="4">
        <v>3</v>
      </c>
      <c r="H1807" s="13"/>
      <c r="I1807" s="15"/>
      <c r="J1807" s="19">
        <v>3</v>
      </c>
      <c r="K1807" s="2" t="s">
        <v>3626</v>
      </c>
      <c r="L1807" s="11" t="str">
        <f t="shared" si="29"/>
        <v>Ver Imagen</v>
      </c>
      <c r="M1807" t="s">
        <v>15</v>
      </c>
    </row>
    <row r="1808" spans="1:13" x14ac:dyDescent="0.25">
      <c r="A1808">
        <v>1807</v>
      </c>
      <c r="B1808" t="s">
        <v>3627</v>
      </c>
      <c r="C1808" s="1">
        <v>37.2674826505</v>
      </c>
      <c r="D1808" s="1">
        <v>-6.9622557973300001</v>
      </c>
      <c r="E1808" s="3">
        <v>3</v>
      </c>
      <c r="F1808" s="2">
        <v>3</v>
      </c>
      <c r="G1808" s="4">
        <v>3</v>
      </c>
      <c r="H1808" s="13"/>
      <c r="I1808" s="15"/>
      <c r="J1808" s="19">
        <v>3</v>
      </c>
      <c r="K1808" s="2" t="s">
        <v>3628</v>
      </c>
      <c r="L1808" s="11" t="str">
        <f t="shared" si="29"/>
        <v>Ver Imagen</v>
      </c>
      <c r="M1808" t="s">
        <v>15</v>
      </c>
    </row>
    <row r="1809" spans="1:13" x14ac:dyDescent="0.25">
      <c r="A1809">
        <v>1808</v>
      </c>
      <c r="B1809" t="s">
        <v>3629</v>
      </c>
      <c r="C1809" s="1">
        <v>37.196206886299997</v>
      </c>
      <c r="D1809" s="1">
        <v>-7.00300165156</v>
      </c>
      <c r="E1809" s="3">
        <v>3</v>
      </c>
      <c r="F1809" s="2">
        <v>3</v>
      </c>
      <c r="G1809" s="4">
        <v>3</v>
      </c>
      <c r="H1809" s="13"/>
      <c r="I1809" s="15"/>
      <c r="J1809" s="19">
        <v>3</v>
      </c>
      <c r="K1809" s="2" t="s">
        <v>3630</v>
      </c>
      <c r="L1809" s="11" t="str">
        <f t="shared" si="29"/>
        <v>Ver Imagen</v>
      </c>
      <c r="M1809" t="s">
        <v>15</v>
      </c>
    </row>
    <row r="1810" spans="1:13" x14ac:dyDescent="0.25">
      <c r="A1810">
        <v>1809</v>
      </c>
      <c r="B1810" t="s">
        <v>3631</v>
      </c>
      <c r="C1810" s="1">
        <v>37.196284187099998</v>
      </c>
      <c r="D1810" s="1">
        <v>-7.0031745053599996</v>
      </c>
      <c r="E1810" s="3">
        <v>3</v>
      </c>
      <c r="F1810" s="2">
        <v>3</v>
      </c>
      <c r="G1810" s="4">
        <v>3</v>
      </c>
      <c r="H1810" s="13"/>
      <c r="I1810" s="15"/>
      <c r="J1810" s="19">
        <v>3</v>
      </c>
      <c r="K1810" s="2" t="s">
        <v>3632</v>
      </c>
      <c r="L1810" s="11" t="str">
        <f t="shared" si="29"/>
        <v>Ver Imagen</v>
      </c>
      <c r="M1810" t="s">
        <v>15</v>
      </c>
    </row>
    <row r="1811" spans="1:13" x14ac:dyDescent="0.25">
      <c r="A1811">
        <v>1810</v>
      </c>
      <c r="B1811" t="s">
        <v>3633</v>
      </c>
      <c r="C1811" s="1">
        <v>37.197408191699999</v>
      </c>
      <c r="D1811" s="1">
        <v>-7.0059125250500003</v>
      </c>
      <c r="E1811" s="3">
        <v>3</v>
      </c>
      <c r="F1811" s="2">
        <v>3</v>
      </c>
      <c r="G1811" s="4">
        <v>3</v>
      </c>
      <c r="H1811" s="13"/>
      <c r="I1811" s="15"/>
      <c r="J1811" s="19">
        <v>3</v>
      </c>
      <c r="K1811" s="2" t="s">
        <v>3634</v>
      </c>
      <c r="L1811" s="11" t="str">
        <f t="shared" si="29"/>
        <v>Ver Imagen</v>
      </c>
      <c r="M1811" t="s">
        <v>15</v>
      </c>
    </row>
    <row r="1812" spans="1:13" x14ac:dyDescent="0.25">
      <c r="A1812">
        <v>1811</v>
      </c>
      <c r="B1812" t="s">
        <v>3635</v>
      </c>
      <c r="C1812" s="1">
        <v>37.200122564200001</v>
      </c>
      <c r="D1812" s="1">
        <v>-7.0109442047300004</v>
      </c>
      <c r="E1812" s="3">
        <v>3</v>
      </c>
      <c r="F1812" s="2">
        <v>3</v>
      </c>
      <c r="G1812" s="4">
        <v>3</v>
      </c>
      <c r="H1812" s="13"/>
      <c r="I1812" s="15"/>
      <c r="J1812" s="19">
        <v>3</v>
      </c>
      <c r="K1812" s="2" t="s">
        <v>3636</v>
      </c>
      <c r="L1812" s="11" t="str">
        <f t="shared" si="29"/>
        <v>Ver Imagen</v>
      </c>
      <c r="M1812" t="s">
        <v>15</v>
      </c>
    </row>
    <row r="1813" spans="1:13" x14ac:dyDescent="0.25">
      <c r="A1813">
        <v>1812</v>
      </c>
      <c r="B1813" t="s">
        <v>3637</v>
      </c>
      <c r="C1813" s="1">
        <v>37.200602576599998</v>
      </c>
      <c r="D1813" s="1">
        <v>-7.0116815632699998</v>
      </c>
      <c r="E1813" s="3">
        <v>3</v>
      </c>
      <c r="F1813" s="2">
        <v>3</v>
      </c>
      <c r="G1813" s="4">
        <v>3</v>
      </c>
      <c r="H1813" s="13"/>
      <c r="I1813" s="15"/>
      <c r="J1813" s="19">
        <v>3</v>
      </c>
      <c r="K1813" s="2" t="s">
        <v>3638</v>
      </c>
      <c r="L1813" s="11" t="str">
        <f t="shared" si="29"/>
        <v>Ver Imagen</v>
      </c>
      <c r="M1813" t="s">
        <v>15</v>
      </c>
    </row>
    <row r="1814" spans="1:13" x14ac:dyDescent="0.25">
      <c r="A1814">
        <v>1813</v>
      </c>
      <c r="B1814" t="s">
        <v>3639</v>
      </c>
      <c r="C1814" s="1">
        <v>37.204834260200002</v>
      </c>
      <c r="D1814" s="1">
        <v>-7.0181806830099998</v>
      </c>
      <c r="E1814" s="3">
        <v>3</v>
      </c>
      <c r="F1814" s="2">
        <v>3</v>
      </c>
      <c r="G1814" s="4">
        <v>3</v>
      </c>
      <c r="H1814" s="13"/>
      <c r="I1814" s="15"/>
      <c r="J1814" s="19">
        <v>3</v>
      </c>
      <c r="K1814" s="2" t="s">
        <v>3640</v>
      </c>
      <c r="L1814" s="11" t="str">
        <f t="shared" si="29"/>
        <v>Ver Imagen</v>
      </c>
      <c r="M1814" t="s">
        <v>15</v>
      </c>
    </row>
    <row r="1815" spans="1:13" x14ac:dyDescent="0.25">
      <c r="A1815">
        <v>1814</v>
      </c>
      <c r="B1815" t="s">
        <v>3641</v>
      </c>
      <c r="C1815" s="1">
        <v>37.204979111599997</v>
      </c>
      <c r="D1815" s="1">
        <v>-7.01840459699</v>
      </c>
      <c r="E1815" s="3">
        <v>3</v>
      </c>
      <c r="F1815" s="2">
        <v>3</v>
      </c>
      <c r="G1815" s="4">
        <v>3</v>
      </c>
      <c r="H1815" s="13"/>
      <c r="I1815" s="15"/>
      <c r="J1815" s="19">
        <v>3</v>
      </c>
      <c r="K1815" s="2" t="s">
        <v>3642</v>
      </c>
      <c r="L1815" s="11" t="str">
        <f t="shared" si="29"/>
        <v>Ver Imagen</v>
      </c>
      <c r="M1815" t="s">
        <v>15</v>
      </c>
    </row>
    <row r="1816" spans="1:13" x14ac:dyDescent="0.25">
      <c r="A1816">
        <v>1815</v>
      </c>
      <c r="B1816" t="s">
        <v>3643</v>
      </c>
      <c r="C1816" s="1">
        <v>37.205102672499997</v>
      </c>
      <c r="D1816" s="1">
        <v>-7.0185951801200002</v>
      </c>
      <c r="E1816" s="3">
        <v>3</v>
      </c>
      <c r="F1816" s="2">
        <v>3</v>
      </c>
      <c r="G1816" s="4">
        <v>3</v>
      </c>
      <c r="H1816" s="13"/>
      <c r="I1816" s="15"/>
      <c r="J1816" s="19">
        <v>3</v>
      </c>
      <c r="K1816" s="2" t="s">
        <v>3644</v>
      </c>
      <c r="L1816" s="11" t="str">
        <f t="shared" si="29"/>
        <v>Ver Imagen</v>
      </c>
      <c r="M1816" t="s">
        <v>15</v>
      </c>
    </row>
    <row r="1817" spans="1:13" x14ac:dyDescent="0.25">
      <c r="A1817">
        <v>1816</v>
      </c>
      <c r="B1817" t="s">
        <v>3645</v>
      </c>
      <c r="C1817" s="1">
        <v>37.205360116400001</v>
      </c>
      <c r="D1817" s="1">
        <v>-7.0189907466000001</v>
      </c>
      <c r="E1817" s="3">
        <v>3</v>
      </c>
      <c r="F1817" s="2">
        <v>3</v>
      </c>
      <c r="G1817" s="4">
        <v>3</v>
      </c>
      <c r="H1817" s="13"/>
      <c r="I1817" s="15"/>
      <c r="J1817" s="19">
        <v>3</v>
      </c>
      <c r="K1817" s="2" t="s">
        <v>3646</v>
      </c>
      <c r="L1817" s="11" t="str">
        <f t="shared" si="29"/>
        <v>Ver Imagen</v>
      </c>
      <c r="M1817" t="s">
        <v>15</v>
      </c>
    </row>
    <row r="1818" spans="1:13" x14ac:dyDescent="0.25">
      <c r="A1818">
        <v>1817</v>
      </c>
      <c r="B1818" t="s">
        <v>3647</v>
      </c>
      <c r="C1818" s="1">
        <v>37.205488164099997</v>
      </c>
      <c r="D1818" s="1">
        <v>-7.0191889412300004</v>
      </c>
      <c r="E1818" s="3">
        <v>3</v>
      </c>
      <c r="F1818" s="2">
        <v>3</v>
      </c>
      <c r="G1818" s="4">
        <v>3</v>
      </c>
      <c r="H1818" s="13"/>
      <c r="I1818" s="15"/>
      <c r="J1818" s="19">
        <v>3</v>
      </c>
      <c r="K1818" s="2" t="s">
        <v>3648</v>
      </c>
      <c r="L1818" s="11" t="str">
        <f t="shared" si="29"/>
        <v>Ver Imagen</v>
      </c>
      <c r="M1818" t="s">
        <v>15</v>
      </c>
    </row>
    <row r="1819" spans="1:13" x14ac:dyDescent="0.25">
      <c r="A1819">
        <v>1818</v>
      </c>
      <c r="B1819" t="s">
        <v>3649</v>
      </c>
      <c r="C1819" s="1">
        <v>37.2056244471</v>
      </c>
      <c r="D1819" s="1">
        <v>-7.0194020145399998</v>
      </c>
      <c r="E1819" s="3">
        <v>3</v>
      </c>
      <c r="F1819" s="2">
        <v>3</v>
      </c>
      <c r="G1819" s="4">
        <v>3</v>
      </c>
      <c r="H1819" s="13"/>
      <c r="I1819" s="15"/>
      <c r="J1819" s="19">
        <v>3</v>
      </c>
      <c r="K1819" s="2" t="s">
        <v>3650</v>
      </c>
      <c r="L1819" s="11" t="str">
        <f t="shared" si="29"/>
        <v>Ver Imagen</v>
      </c>
      <c r="M1819" t="s">
        <v>15</v>
      </c>
    </row>
    <row r="1820" spans="1:13" x14ac:dyDescent="0.25">
      <c r="A1820">
        <v>1819</v>
      </c>
      <c r="B1820" t="s">
        <v>3651</v>
      </c>
      <c r="C1820" s="1">
        <v>37.205720554599999</v>
      </c>
      <c r="D1820" s="1">
        <v>-7.0195550834400002</v>
      </c>
      <c r="E1820" s="3">
        <v>3</v>
      </c>
      <c r="F1820" s="2">
        <v>3</v>
      </c>
      <c r="G1820" s="4">
        <v>3</v>
      </c>
      <c r="H1820" s="13"/>
      <c r="I1820" s="15"/>
      <c r="J1820" s="19">
        <v>3</v>
      </c>
      <c r="K1820" s="2" t="s">
        <v>3652</v>
      </c>
      <c r="L1820" s="11" t="str">
        <f t="shared" si="29"/>
        <v>Ver Imagen</v>
      </c>
      <c r="M1820" t="s">
        <v>15</v>
      </c>
    </row>
    <row r="1821" spans="1:13" x14ac:dyDescent="0.25">
      <c r="A1821">
        <v>1820</v>
      </c>
      <c r="B1821" t="s">
        <v>3653</v>
      </c>
      <c r="C1821" s="1">
        <v>37.205973071899997</v>
      </c>
      <c r="D1821" s="1">
        <v>-7.01998889516</v>
      </c>
      <c r="E1821" s="3">
        <v>3</v>
      </c>
      <c r="F1821" s="2">
        <v>3</v>
      </c>
      <c r="G1821" s="4">
        <v>3</v>
      </c>
      <c r="H1821" s="13"/>
      <c r="I1821" s="15"/>
      <c r="J1821" s="19">
        <v>3</v>
      </c>
      <c r="K1821" s="2" t="s">
        <v>3654</v>
      </c>
      <c r="L1821" s="11" t="str">
        <f t="shared" si="29"/>
        <v>Ver Imagen</v>
      </c>
      <c r="M1821" t="s">
        <v>15</v>
      </c>
    </row>
    <row r="1822" spans="1:13" x14ac:dyDescent="0.25">
      <c r="A1822">
        <v>1821</v>
      </c>
      <c r="B1822" t="s">
        <v>3655</v>
      </c>
      <c r="C1822" s="1">
        <v>37.206088239499998</v>
      </c>
      <c r="D1822" s="1">
        <v>-7.0201988133800004</v>
      </c>
      <c r="E1822" s="3">
        <v>3</v>
      </c>
      <c r="F1822" s="2">
        <v>3</v>
      </c>
      <c r="G1822" s="4">
        <v>3</v>
      </c>
      <c r="H1822" s="13"/>
      <c r="I1822" s="15"/>
      <c r="J1822" s="19">
        <v>3</v>
      </c>
      <c r="K1822" s="2" t="s">
        <v>3656</v>
      </c>
      <c r="L1822" s="11" t="str">
        <f t="shared" si="29"/>
        <v>Ver Imagen</v>
      </c>
      <c r="M1822" t="s">
        <v>15</v>
      </c>
    </row>
    <row r="1823" spans="1:13" x14ac:dyDescent="0.25">
      <c r="A1823">
        <v>1822</v>
      </c>
      <c r="B1823" t="s">
        <v>3657</v>
      </c>
      <c r="C1823" s="1">
        <v>37.206201240200002</v>
      </c>
      <c r="D1823" s="1">
        <v>-7.0204035091100003</v>
      </c>
      <c r="E1823" s="3">
        <v>3</v>
      </c>
      <c r="F1823" s="2">
        <v>3</v>
      </c>
      <c r="G1823" s="4">
        <v>3</v>
      </c>
      <c r="H1823" s="13"/>
      <c r="I1823" s="15"/>
      <c r="J1823" s="19">
        <v>3</v>
      </c>
      <c r="K1823" s="2" t="s">
        <v>3658</v>
      </c>
      <c r="L1823" s="11" t="str">
        <f t="shared" si="29"/>
        <v>Ver Imagen</v>
      </c>
      <c r="M1823" t="s">
        <v>15</v>
      </c>
    </row>
    <row r="1824" spans="1:13" x14ac:dyDescent="0.25">
      <c r="A1824">
        <v>1823</v>
      </c>
      <c r="B1824" t="s">
        <v>3659</v>
      </c>
      <c r="C1824" s="1">
        <v>37.206959974</v>
      </c>
      <c r="D1824" s="1">
        <v>-7.0215584396499997</v>
      </c>
      <c r="E1824" s="3">
        <v>3</v>
      </c>
      <c r="F1824" s="2">
        <v>3</v>
      </c>
      <c r="G1824" s="4">
        <v>3</v>
      </c>
      <c r="H1824" s="13"/>
      <c r="I1824" s="15"/>
      <c r="J1824" s="19">
        <v>3</v>
      </c>
      <c r="K1824" s="2" t="s">
        <v>3660</v>
      </c>
      <c r="L1824" s="11" t="str">
        <f t="shared" si="29"/>
        <v>Ver Imagen</v>
      </c>
      <c r="M1824" t="s">
        <v>15</v>
      </c>
    </row>
    <row r="1825" spans="1:13" x14ac:dyDescent="0.25">
      <c r="A1825">
        <v>1824</v>
      </c>
      <c r="B1825" t="s">
        <v>3661</v>
      </c>
      <c r="C1825" s="1">
        <v>37.208265898400001</v>
      </c>
      <c r="D1825" s="1">
        <v>-7.0239720881299998</v>
      </c>
      <c r="E1825" s="3">
        <v>3</v>
      </c>
      <c r="F1825" s="2">
        <v>3</v>
      </c>
      <c r="G1825" s="4">
        <v>3</v>
      </c>
      <c r="H1825" s="13"/>
      <c r="I1825" s="15"/>
      <c r="J1825" s="19">
        <v>3</v>
      </c>
      <c r="K1825" s="2" t="s">
        <v>3662</v>
      </c>
      <c r="L1825" s="11" t="str">
        <f t="shared" si="29"/>
        <v>Ver Imagen</v>
      </c>
      <c r="M1825" t="s">
        <v>15</v>
      </c>
    </row>
    <row r="1826" spans="1:13" x14ac:dyDescent="0.25">
      <c r="A1826">
        <v>1825</v>
      </c>
      <c r="B1826" t="s">
        <v>3663</v>
      </c>
      <c r="C1826" s="1">
        <v>37.2082753181</v>
      </c>
      <c r="D1826" s="1">
        <v>-7.02422227992</v>
      </c>
      <c r="E1826" s="3">
        <v>3</v>
      </c>
      <c r="F1826" s="2">
        <v>3</v>
      </c>
      <c r="G1826" s="4">
        <v>3</v>
      </c>
      <c r="H1826" s="13"/>
      <c r="I1826" s="15"/>
      <c r="J1826" s="19">
        <v>3</v>
      </c>
      <c r="K1826" s="2" t="s">
        <v>3664</v>
      </c>
      <c r="L1826" s="11" t="str">
        <f t="shared" si="29"/>
        <v>Ver Imagen</v>
      </c>
      <c r="M1826" t="s">
        <v>15</v>
      </c>
    </row>
    <row r="1827" spans="1:13" x14ac:dyDescent="0.25">
      <c r="A1827">
        <v>1826</v>
      </c>
      <c r="B1827" t="s">
        <v>3665</v>
      </c>
      <c r="C1827" s="1">
        <v>37.208416011200001</v>
      </c>
      <c r="D1827" s="1">
        <v>-7.0249713042200002</v>
      </c>
      <c r="E1827" s="3">
        <v>3</v>
      </c>
      <c r="F1827" s="2">
        <v>3</v>
      </c>
      <c r="G1827" s="4">
        <v>3</v>
      </c>
      <c r="H1827" s="13"/>
      <c r="I1827" s="15"/>
      <c r="J1827" s="19">
        <v>3</v>
      </c>
      <c r="K1827" s="2" t="s">
        <v>3666</v>
      </c>
      <c r="L1827" s="11" t="str">
        <f t="shared" si="29"/>
        <v>Ver Imagen</v>
      </c>
      <c r="M1827" t="s">
        <v>15</v>
      </c>
    </row>
    <row r="1828" spans="1:13" x14ac:dyDescent="0.25">
      <c r="A1828">
        <v>1827</v>
      </c>
      <c r="B1828" t="s">
        <v>3667</v>
      </c>
      <c r="C1828" s="1">
        <v>37.208833979200001</v>
      </c>
      <c r="D1828" s="1">
        <v>-7.0266340084500003</v>
      </c>
      <c r="E1828" s="3">
        <v>3</v>
      </c>
      <c r="F1828" s="2">
        <v>3</v>
      </c>
      <c r="G1828" s="4">
        <v>3</v>
      </c>
      <c r="H1828" s="13"/>
      <c r="I1828" s="15"/>
      <c r="J1828" s="19">
        <v>3</v>
      </c>
      <c r="K1828" s="2" t="s">
        <v>3668</v>
      </c>
      <c r="L1828" s="11" t="str">
        <f t="shared" si="29"/>
        <v>Ver Imagen</v>
      </c>
      <c r="M1828" t="s">
        <v>15</v>
      </c>
    </row>
    <row r="1829" spans="1:13" x14ac:dyDescent="0.25">
      <c r="A1829">
        <v>1828</v>
      </c>
      <c r="B1829" t="s">
        <v>3669</v>
      </c>
      <c r="C1829" s="1">
        <v>37.218499817400001</v>
      </c>
      <c r="D1829" s="1">
        <v>-7.1251797699599999</v>
      </c>
      <c r="E1829" s="3">
        <v>3</v>
      </c>
      <c r="F1829" s="2">
        <v>3</v>
      </c>
      <c r="G1829" s="4">
        <v>3</v>
      </c>
      <c r="H1829" s="13"/>
      <c r="I1829" s="15"/>
      <c r="J1829" s="19">
        <v>3</v>
      </c>
      <c r="K1829" s="2" t="s">
        <v>3670</v>
      </c>
      <c r="L1829" s="11" t="str">
        <f t="shared" si="29"/>
        <v>Ver Imagen</v>
      </c>
      <c r="M1829" t="s">
        <v>15</v>
      </c>
    </row>
    <row r="1830" spans="1:13" x14ac:dyDescent="0.25">
      <c r="A1830">
        <v>1829</v>
      </c>
      <c r="B1830" t="s">
        <v>3671</v>
      </c>
      <c r="C1830" s="1">
        <v>37.218317697499998</v>
      </c>
      <c r="D1830" s="1">
        <v>-7.1234584489100001</v>
      </c>
      <c r="E1830" s="3">
        <v>3</v>
      </c>
      <c r="F1830" s="2">
        <v>3</v>
      </c>
      <c r="G1830" s="4">
        <v>3</v>
      </c>
      <c r="H1830" s="13"/>
      <c r="I1830" s="15"/>
      <c r="J1830" s="19">
        <v>3</v>
      </c>
      <c r="K1830" s="2" t="s">
        <v>3672</v>
      </c>
      <c r="L1830" s="11" t="str">
        <f t="shared" si="29"/>
        <v>Ver Imagen</v>
      </c>
      <c r="M1830" t="s">
        <v>15</v>
      </c>
    </row>
    <row r="1831" spans="1:13" x14ac:dyDescent="0.25">
      <c r="A1831">
        <v>1830</v>
      </c>
      <c r="B1831" t="s">
        <v>3673</v>
      </c>
      <c r="C1831" s="1">
        <v>37.217536696000003</v>
      </c>
      <c r="D1831" s="1">
        <v>-7.1127330686599999</v>
      </c>
      <c r="E1831" s="3">
        <v>3</v>
      </c>
      <c r="F1831" s="2">
        <v>3</v>
      </c>
      <c r="G1831" s="4">
        <v>3</v>
      </c>
      <c r="H1831" s="13"/>
      <c r="I1831" s="15"/>
      <c r="J1831" s="19">
        <v>3</v>
      </c>
      <c r="K1831" s="2" t="s">
        <v>3674</v>
      </c>
      <c r="L1831" s="11" t="str">
        <f t="shared" si="29"/>
        <v>Ver Imagen</v>
      </c>
      <c r="M1831" t="s">
        <v>15</v>
      </c>
    </row>
    <row r="1832" spans="1:13" x14ac:dyDescent="0.25">
      <c r="A1832">
        <v>1831</v>
      </c>
      <c r="B1832" t="s">
        <v>3675</v>
      </c>
      <c r="C1832" s="1">
        <v>37.2175603767</v>
      </c>
      <c r="D1832" s="1">
        <v>-7.1122366692499996</v>
      </c>
      <c r="E1832" s="3">
        <v>3</v>
      </c>
      <c r="F1832" s="2">
        <v>3</v>
      </c>
      <c r="G1832" s="4">
        <v>3</v>
      </c>
      <c r="H1832" s="13"/>
      <c r="I1832" s="15"/>
      <c r="J1832" s="19">
        <v>3</v>
      </c>
      <c r="K1832" s="2" t="s">
        <v>3676</v>
      </c>
      <c r="L1832" s="11" t="str">
        <f t="shared" si="29"/>
        <v>Ver Imagen</v>
      </c>
      <c r="M1832" t="s">
        <v>15</v>
      </c>
    </row>
    <row r="1833" spans="1:13" x14ac:dyDescent="0.25">
      <c r="A1833">
        <v>1832</v>
      </c>
      <c r="B1833" t="s">
        <v>3677</v>
      </c>
      <c r="C1833" s="1">
        <v>37.217018068000002</v>
      </c>
      <c r="D1833" s="1">
        <v>-7.1001983382800002</v>
      </c>
      <c r="E1833" s="3">
        <v>3</v>
      </c>
      <c r="F1833" s="2">
        <v>3</v>
      </c>
      <c r="G1833" s="4">
        <v>3</v>
      </c>
      <c r="H1833" s="13"/>
      <c r="I1833" s="15"/>
      <c r="J1833" s="19">
        <v>3</v>
      </c>
      <c r="K1833" s="2" t="s">
        <v>3678</v>
      </c>
      <c r="L1833" s="11" t="str">
        <f t="shared" si="29"/>
        <v>Ver Imagen</v>
      </c>
      <c r="M1833" t="s">
        <v>15</v>
      </c>
    </row>
    <row r="1834" spans="1:13" x14ac:dyDescent="0.25">
      <c r="A1834">
        <v>1833</v>
      </c>
      <c r="B1834" t="s">
        <v>3679</v>
      </c>
      <c r="C1834" s="1">
        <v>37.213805142299996</v>
      </c>
      <c r="D1834" s="1">
        <v>-7.0728822823600002</v>
      </c>
      <c r="E1834" s="3">
        <v>3</v>
      </c>
      <c r="F1834" s="2">
        <v>3</v>
      </c>
      <c r="G1834" s="4">
        <v>3</v>
      </c>
      <c r="H1834" s="13"/>
      <c r="I1834" s="15"/>
      <c r="J1834" s="19">
        <v>3</v>
      </c>
      <c r="K1834" s="2" t="s">
        <v>3680</v>
      </c>
      <c r="L1834" s="11" t="str">
        <f t="shared" si="29"/>
        <v>Ver Imagen</v>
      </c>
      <c r="M1834" t="s">
        <v>15</v>
      </c>
    </row>
    <row r="1835" spans="1:13" x14ac:dyDescent="0.25">
      <c r="A1835">
        <v>1834</v>
      </c>
      <c r="B1835" t="s">
        <v>3681</v>
      </c>
      <c r="C1835" s="1">
        <v>37.213228773799997</v>
      </c>
      <c r="D1835" s="1">
        <v>-7.0634101505800002</v>
      </c>
      <c r="E1835" s="3">
        <v>3</v>
      </c>
      <c r="F1835" s="2">
        <v>3</v>
      </c>
      <c r="G1835" s="4">
        <v>3</v>
      </c>
      <c r="H1835" s="13"/>
      <c r="I1835" s="15"/>
      <c r="J1835" s="19">
        <v>3</v>
      </c>
      <c r="K1835" s="2" t="s">
        <v>3682</v>
      </c>
      <c r="L1835" s="11" t="str">
        <f t="shared" si="29"/>
        <v>Ver Imagen</v>
      </c>
      <c r="M1835" t="s">
        <v>15</v>
      </c>
    </row>
    <row r="1836" spans="1:13" x14ac:dyDescent="0.25">
      <c r="A1836">
        <v>1835</v>
      </c>
      <c r="B1836" t="s">
        <v>3683</v>
      </c>
      <c r="C1836" s="1">
        <v>37.213220245400002</v>
      </c>
      <c r="D1836" s="1">
        <v>-7.0631826395199999</v>
      </c>
      <c r="E1836" s="3">
        <v>3</v>
      </c>
      <c r="F1836" s="2">
        <v>3</v>
      </c>
      <c r="G1836" s="4">
        <v>3</v>
      </c>
      <c r="H1836" s="13"/>
      <c r="I1836" s="15"/>
      <c r="J1836" s="19">
        <v>3</v>
      </c>
      <c r="K1836" s="2" t="s">
        <v>3684</v>
      </c>
      <c r="L1836" s="11" t="str">
        <f t="shared" si="29"/>
        <v>Ver Imagen</v>
      </c>
      <c r="M1836" t="s">
        <v>15</v>
      </c>
    </row>
    <row r="1837" spans="1:13" x14ac:dyDescent="0.25">
      <c r="A1837">
        <v>1836</v>
      </c>
      <c r="B1837" t="s">
        <v>3685</v>
      </c>
      <c r="C1837" s="1">
        <v>37.212560779299999</v>
      </c>
      <c r="D1837" s="1">
        <v>-7.0605531189399997</v>
      </c>
      <c r="E1837" s="3">
        <v>3</v>
      </c>
      <c r="F1837" s="2">
        <v>3</v>
      </c>
      <c r="G1837" s="4">
        <v>3</v>
      </c>
      <c r="H1837" s="13"/>
      <c r="I1837" s="15"/>
      <c r="J1837" s="19">
        <v>3</v>
      </c>
      <c r="K1837" s="2" t="s">
        <v>3686</v>
      </c>
      <c r="L1837" s="11" t="str">
        <f t="shared" si="29"/>
        <v>Ver Imagen</v>
      </c>
      <c r="M1837" t="s">
        <v>15</v>
      </c>
    </row>
    <row r="1838" spans="1:13" x14ac:dyDescent="0.25">
      <c r="A1838">
        <v>1837</v>
      </c>
      <c r="B1838" t="s">
        <v>3687</v>
      </c>
      <c r="C1838" s="1">
        <v>37.211539369800001</v>
      </c>
      <c r="D1838" s="1">
        <v>-7.0577536627499997</v>
      </c>
      <c r="E1838" s="3">
        <v>3</v>
      </c>
      <c r="F1838" s="2">
        <v>3</v>
      </c>
      <c r="G1838" s="4">
        <v>3</v>
      </c>
      <c r="H1838" s="13"/>
      <c r="I1838" s="15"/>
      <c r="J1838" s="19">
        <v>3</v>
      </c>
      <c r="K1838" s="2" t="s">
        <v>3688</v>
      </c>
      <c r="L1838" s="11" t="str">
        <f t="shared" si="29"/>
        <v>Ver Imagen</v>
      </c>
      <c r="M1838" t="s">
        <v>15</v>
      </c>
    </row>
    <row r="1839" spans="1:13" x14ac:dyDescent="0.25">
      <c r="A1839">
        <v>1838</v>
      </c>
      <c r="B1839" t="s">
        <v>3689</v>
      </c>
      <c r="C1839" s="1">
        <v>37.211409554900001</v>
      </c>
      <c r="D1839" s="1">
        <v>-7.0572670144599998</v>
      </c>
      <c r="E1839" s="3">
        <v>3</v>
      </c>
      <c r="F1839" s="2">
        <v>3</v>
      </c>
      <c r="G1839" s="4">
        <v>3</v>
      </c>
      <c r="H1839" s="13"/>
      <c r="I1839" s="15"/>
      <c r="J1839" s="19">
        <v>3</v>
      </c>
      <c r="K1839" s="2" t="s">
        <v>3690</v>
      </c>
      <c r="L1839" s="11" t="str">
        <f t="shared" si="29"/>
        <v>Ver Imagen</v>
      </c>
      <c r="M1839" t="s">
        <v>15</v>
      </c>
    </row>
    <row r="1840" spans="1:13" x14ac:dyDescent="0.25">
      <c r="A1840">
        <v>1839</v>
      </c>
      <c r="B1840" t="s">
        <v>3691</v>
      </c>
      <c r="C1840" s="1">
        <v>37.211685868700002</v>
      </c>
      <c r="D1840" s="1">
        <v>-7.0582001187200003</v>
      </c>
      <c r="E1840" s="3">
        <v>3</v>
      </c>
      <c r="F1840" s="2">
        <v>3</v>
      </c>
      <c r="G1840" s="4">
        <v>3</v>
      </c>
      <c r="H1840" s="13"/>
      <c r="I1840" s="15"/>
      <c r="J1840" s="19">
        <v>3</v>
      </c>
      <c r="K1840" s="2" t="s">
        <v>3692</v>
      </c>
      <c r="L1840" s="11" t="str">
        <f t="shared" si="29"/>
        <v>Ver Imagen</v>
      </c>
      <c r="M1840" t="s">
        <v>15</v>
      </c>
    </row>
    <row r="1841" spans="1:13" x14ac:dyDescent="0.25">
      <c r="A1841">
        <v>1840</v>
      </c>
      <c r="B1841" t="s">
        <v>3693</v>
      </c>
      <c r="C1841" s="1">
        <v>37.210792564800002</v>
      </c>
      <c r="D1841" s="1">
        <v>-7.0523099199099999</v>
      </c>
      <c r="E1841" s="3">
        <v>3</v>
      </c>
      <c r="F1841" s="2">
        <v>3</v>
      </c>
      <c r="G1841" s="4">
        <v>3</v>
      </c>
      <c r="H1841" s="13"/>
      <c r="I1841" s="15"/>
      <c r="J1841" s="19">
        <v>3</v>
      </c>
      <c r="K1841" s="2" t="s">
        <v>3694</v>
      </c>
      <c r="L1841" s="11" t="str">
        <f t="shared" si="29"/>
        <v>Ver Imagen</v>
      </c>
      <c r="M1841" t="s">
        <v>15</v>
      </c>
    </row>
    <row r="1842" spans="1:13" x14ac:dyDescent="0.25">
      <c r="A1842">
        <v>1841</v>
      </c>
      <c r="B1842" t="s">
        <v>3695</v>
      </c>
      <c r="C1842" s="1">
        <v>37.210625615700003</v>
      </c>
      <c r="D1842" s="1">
        <v>-7.0434232331400004</v>
      </c>
      <c r="E1842" s="3">
        <v>3</v>
      </c>
      <c r="F1842" s="2">
        <v>3</v>
      </c>
      <c r="G1842" s="4">
        <v>3</v>
      </c>
      <c r="H1842" s="13"/>
      <c r="I1842" s="15"/>
      <c r="J1842" s="19">
        <v>3</v>
      </c>
      <c r="K1842" s="2" t="s">
        <v>3696</v>
      </c>
      <c r="L1842" s="11" t="str">
        <f t="shared" si="29"/>
        <v>Ver Imagen</v>
      </c>
      <c r="M1842" t="s">
        <v>15</v>
      </c>
    </row>
    <row r="1843" spans="1:13" x14ac:dyDescent="0.25">
      <c r="A1843">
        <v>1842</v>
      </c>
      <c r="B1843" t="s">
        <v>3697</v>
      </c>
      <c r="C1843" s="1">
        <v>37.210518975699998</v>
      </c>
      <c r="D1843" s="1">
        <v>-7.0431366350199998</v>
      </c>
      <c r="E1843" s="3">
        <v>3</v>
      </c>
      <c r="F1843" s="2">
        <v>3</v>
      </c>
      <c r="G1843" s="4">
        <v>3</v>
      </c>
      <c r="H1843" s="13"/>
      <c r="I1843" s="15"/>
      <c r="J1843" s="19">
        <v>3</v>
      </c>
      <c r="K1843" s="2" t="s">
        <v>3698</v>
      </c>
      <c r="L1843" s="11" t="str">
        <f t="shared" si="29"/>
        <v>Ver Imagen</v>
      </c>
      <c r="M1843" t="s">
        <v>15</v>
      </c>
    </row>
    <row r="1844" spans="1:13" x14ac:dyDescent="0.25">
      <c r="A1844">
        <v>1843</v>
      </c>
      <c r="B1844" t="s">
        <v>3699</v>
      </c>
      <c r="C1844" s="1">
        <v>37.210284907499997</v>
      </c>
      <c r="D1844" s="1">
        <v>-7.0425114143699998</v>
      </c>
      <c r="E1844" s="3">
        <v>3</v>
      </c>
      <c r="F1844" s="2">
        <v>3</v>
      </c>
      <c r="G1844" s="4">
        <v>3</v>
      </c>
      <c r="H1844" s="13"/>
      <c r="I1844" s="15"/>
      <c r="J1844" s="19">
        <v>3</v>
      </c>
      <c r="K1844" s="2" t="s">
        <v>3700</v>
      </c>
      <c r="L1844" s="11" t="str">
        <f t="shared" si="29"/>
        <v>Ver Imagen</v>
      </c>
      <c r="M1844" t="s">
        <v>15</v>
      </c>
    </row>
    <row r="1845" spans="1:13" x14ac:dyDescent="0.25">
      <c r="A1845">
        <v>1844</v>
      </c>
      <c r="B1845" t="s">
        <v>3701</v>
      </c>
      <c r="C1845" s="1">
        <v>37.209420643400001</v>
      </c>
      <c r="D1845" s="1">
        <v>-7.0401953233099999</v>
      </c>
      <c r="E1845" s="3">
        <v>3</v>
      </c>
      <c r="F1845" s="2">
        <v>3</v>
      </c>
      <c r="G1845" s="4">
        <v>3</v>
      </c>
      <c r="H1845" s="13"/>
      <c r="I1845" s="15"/>
      <c r="J1845" s="19">
        <v>3</v>
      </c>
      <c r="K1845" s="2" t="s">
        <v>3702</v>
      </c>
      <c r="L1845" s="11" t="str">
        <f t="shared" si="29"/>
        <v>Ver Imagen</v>
      </c>
      <c r="M1845" t="s">
        <v>15</v>
      </c>
    </row>
    <row r="1846" spans="1:13" x14ac:dyDescent="0.25">
      <c r="A1846">
        <v>1845</v>
      </c>
      <c r="B1846" t="s">
        <v>3703</v>
      </c>
      <c r="C1846" s="1">
        <v>37.208699203400002</v>
      </c>
      <c r="D1846" s="1">
        <v>-7.03833994873</v>
      </c>
      <c r="E1846" s="3">
        <v>3</v>
      </c>
      <c r="F1846" s="2">
        <v>3</v>
      </c>
      <c r="G1846" s="4">
        <v>3</v>
      </c>
      <c r="H1846" s="13"/>
      <c r="I1846" s="15"/>
      <c r="J1846" s="19">
        <v>3</v>
      </c>
      <c r="K1846" s="2" t="s">
        <v>3704</v>
      </c>
      <c r="L1846" s="11" t="str">
        <f t="shared" si="29"/>
        <v>Ver Imagen</v>
      </c>
      <c r="M1846" t="s">
        <v>15</v>
      </c>
    </row>
    <row r="1847" spans="1:13" x14ac:dyDescent="0.25">
      <c r="A1847">
        <v>1846</v>
      </c>
      <c r="B1847" t="s">
        <v>3705</v>
      </c>
      <c r="C1847" s="1">
        <v>37.208603584099997</v>
      </c>
      <c r="D1847" s="1">
        <v>-7.0380945510000004</v>
      </c>
      <c r="E1847" s="3">
        <v>3</v>
      </c>
      <c r="F1847" s="2">
        <v>3</v>
      </c>
      <c r="G1847" s="4">
        <v>3</v>
      </c>
      <c r="H1847" s="13"/>
      <c r="I1847" s="15"/>
      <c r="J1847" s="19">
        <v>3</v>
      </c>
      <c r="K1847" s="2" t="s">
        <v>3706</v>
      </c>
      <c r="L1847" s="11" t="str">
        <f t="shared" si="29"/>
        <v>Ver Imagen</v>
      </c>
      <c r="M1847" t="s">
        <v>15</v>
      </c>
    </row>
    <row r="1848" spans="1:13" x14ac:dyDescent="0.25">
      <c r="A1848">
        <v>1847</v>
      </c>
      <c r="B1848" t="s">
        <v>3707</v>
      </c>
      <c r="C1848" s="1">
        <v>37.208520395999997</v>
      </c>
      <c r="D1848" s="1">
        <v>-7.0378809820099999</v>
      </c>
      <c r="E1848" s="3">
        <v>3</v>
      </c>
      <c r="F1848" s="2">
        <v>3</v>
      </c>
      <c r="G1848" s="4">
        <v>3</v>
      </c>
      <c r="H1848" s="13"/>
      <c r="I1848" s="15"/>
      <c r="J1848" s="19">
        <v>3</v>
      </c>
      <c r="K1848" s="2" t="s">
        <v>3708</v>
      </c>
      <c r="L1848" s="11" t="str">
        <f t="shared" si="29"/>
        <v>Ver Imagen</v>
      </c>
      <c r="M1848" t="s">
        <v>15</v>
      </c>
    </row>
    <row r="1849" spans="1:13" x14ac:dyDescent="0.25">
      <c r="A1849">
        <v>1848</v>
      </c>
      <c r="B1849" t="s">
        <v>3709</v>
      </c>
      <c r="C1849" s="1">
        <v>37.2084551361</v>
      </c>
      <c r="D1849" s="1">
        <v>-7.0377109941200002</v>
      </c>
      <c r="E1849" s="3">
        <v>3</v>
      </c>
      <c r="F1849" s="2">
        <v>3</v>
      </c>
      <c r="G1849" s="4">
        <v>3</v>
      </c>
      <c r="H1849" s="13"/>
      <c r="I1849" s="15"/>
      <c r="J1849" s="19">
        <v>3</v>
      </c>
      <c r="K1849" s="2" t="s">
        <v>3710</v>
      </c>
      <c r="L1849" s="11" t="str">
        <f t="shared" si="29"/>
        <v>Ver Imagen</v>
      </c>
      <c r="M1849" t="s">
        <v>15</v>
      </c>
    </row>
    <row r="1850" spans="1:13" x14ac:dyDescent="0.25">
      <c r="A1850">
        <v>1849</v>
      </c>
      <c r="B1850" t="s">
        <v>3711</v>
      </c>
      <c r="C1850" s="1">
        <v>37.207477679299998</v>
      </c>
      <c r="D1850" s="1">
        <v>-7.0351751927999997</v>
      </c>
      <c r="E1850" s="3">
        <v>3</v>
      </c>
      <c r="F1850" s="2">
        <v>3</v>
      </c>
      <c r="G1850" s="4">
        <v>3</v>
      </c>
      <c r="H1850" s="13"/>
      <c r="I1850" s="15"/>
      <c r="J1850" s="19">
        <v>3</v>
      </c>
      <c r="K1850" s="2" t="s">
        <v>3712</v>
      </c>
      <c r="L1850" s="11" t="str">
        <f t="shared" si="29"/>
        <v>Ver Imagen</v>
      </c>
      <c r="M1850" t="s">
        <v>15</v>
      </c>
    </row>
    <row r="1851" spans="1:13" x14ac:dyDescent="0.25">
      <c r="A1851">
        <v>1850</v>
      </c>
      <c r="B1851" t="s">
        <v>3713</v>
      </c>
      <c r="C1851" s="1">
        <v>37.206515330000002</v>
      </c>
      <c r="D1851" s="1">
        <v>-7.0326769420300002</v>
      </c>
      <c r="E1851" s="3">
        <v>3</v>
      </c>
      <c r="F1851" s="2">
        <v>3</v>
      </c>
      <c r="G1851" s="4">
        <v>3</v>
      </c>
      <c r="H1851" s="13"/>
      <c r="I1851" s="15"/>
      <c r="J1851" s="19">
        <v>3</v>
      </c>
      <c r="K1851" s="2" t="s">
        <v>3714</v>
      </c>
      <c r="L1851" s="11" t="str">
        <f t="shared" si="29"/>
        <v>Ver Imagen</v>
      </c>
      <c r="M1851" t="s">
        <v>15</v>
      </c>
    </row>
    <row r="1852" spans="1:13" x14ac:dyDescent="0.25">
      <c r="A1852">
        <v>1851</v>
      </c>
      <c r="B1852" t="s">
        <v>3715</v>
      </c>
      <c r="C1852" s="1">
        <v>37.206250733300003</v>
      </c>
      <c r="D1852" s="1">
        <v>-7.0319987419399999</v>
      </c>
      <c r="E1852" s="3">
        <v>3</v>
      </c>
      <c r="F1852" s="2">
        <v>3</v>
      </c>
      <c r="G1852" s="4">
        <v>3</v>
      </c>
      <c r="H1852" s="13"/>
      <c r="I1852" s="15"/>
      <c r="J1852" s="19">
        <v>3</v>
      </c>
      <c r="K1852" s="2" t="s">
        <v>3716</v>
      </c>
      <c r="L1852" s="11" t="str">
        <f t="shared" si="29"/>
        <v>Ver Imagen</v>
      </c>
      <c r="M1852" t="s">
        <v>15</v>
      </c>
    </row>
    <row r="1853" spans="1:13" x14ac:dyDescent="0.25">
      <c r="A1853">
        <v>1852</v>
      </c>
      <c r="B1853" t="s">
        <v>3717</v>
      </c>
      <c r="C1853" s="1">
        <v>37.205629258599998</v>
      </c>
      <c r="D1853" s="1">
        <v>-7.0303817123199996</v>
      </c>
      <c r="E1853" s="3">
        <v>3</v>
      </c>
      <c r="F1853" s="2">
        <v>3</v>
      </c>
      <c r="G1853" s="4">
        <v>3</v>
      </c>
      <c r="H1853" s="13"/>
      <c r="I1853" s="15"/>
      <c r="J1853" s="19">
        <v>3</v>
      </c>
      <c r="K1853" s="2" t="s">
        <v>3718</v>
      </c>
      <c r="L1853" s="11" t="str">
        <f t="shared" si="29"/>
        <v>Ver Imagen</v>
      </c>
      <c r="M1853" t="s">
        <v>15</v>
      </c>
    </row>
    <row r="1854" spans="1:13" x14ac:dyDescent="0.25">
      <c r="A1854">
        <v>1853</v>
      </c>
      <c r="B1854" t="s">
        <v>3719</v>
      </c>
      <c r="C1854" s="1">
        <v>37.205287534199996</v>
      </c>
      <c r="D1854" s="1">
        <v>-7.0294775778299998</v>
      </c>
      <c r="E1854" s="3">
        <v>3</v>
      </c>
      <c r="F1854" s="2">
        <v>3</v>
      </c>
      <c r="G1854" s="4">
        <v>3</v>
      </c>
      <c r="H1854" s="13"/>
      <c r="I1854" s="15"/>
      <c r="J1854" s="19">
        <v>3</v>
      </c>
      <c r="K1854" s="2" t="s">
        <v>3720</v>
      </c>
      <c r="L1854" s="11" t="str">
        <f t="shared" ref="L1854:L1917" si="30">HYPERLINK("3\0\" &amp; K1854, "Ver Imagen")</f>
        <v>Ver Imagen</v>
      </c>
      <c r="M1854" t="s">
        <v>15</v>
      </c>
    </row>
    <row r="1855" spans="1:13" x14ac:dyDescent="0.25">
      <c r="A1855">
        <v>1854</v>
      </c>
      <c r="B1855" t="s">
        <v>3721</v>
      </c>
      <c r="C1855" s="1">
        <v>37.205031251400001</v>
      </c>
      <c r="D1855" s="1">
        <v>-7.0288209905999999</v>
      </c>
      <c r="E1855" s="3">
        <v>3</v>
      </c>
      <c r="F1855" s="2">
        <v>3</v>
      </c>
      <c r="G1855" s="4">
        <v>3</v>
      </c>
      <c r="H1855" s="13"/>
      <c r="I1855" s="15"/>
      <c r="J1855" s="19">
        <v>3</v>
      </c>
      <c r="K1855" s="2" t="s">
        <v>3722</v>
      </c>
      <c r="L1855" s="11" t="str">
        <f t="shared" si="30"/>
        <v>Ver Imagen</v>
      </c>
      <c r="M1855" t="s">
        <v>15</v>
      </c>
    </row>
    <row r="1856" spans="1:13" x14ac:dyDescent="0.25">
      <c r="A1856">
        <v>1855</v>
      </c>
      <c r="B1856" t="s">
        <v>3723</v>
      </c>
      <c r="C1856" s="1">
        <v>37.204926744399998</v>
      </c>
      <c r="D1856" s="1">
        <v>-7.0285868060599999</v>
      </c>
      <c r="E1856" s="3">
        <v>3</v>
      </c>
      <c r="F1856" s="2">
        <v>3</v>
      </c>
      <c r="G1856" s="4">
        <v>3</v>
      </c>
      <c r="H1856" s="13"/>
      <c r="I1856" s="15"/>
      <c r="J1856" s="19">
        <v>3</v>
      </c>
      <c r="K1856" s="2" t="s">
        <v>3724</v>
      </c>
      <c r="L1856" s="11" t="str">
        <f t="shared" si="30"/>
        <v>Ver Imagen</v>
      </c>
      <c r="M1856" t="s">
        <v>15</v>
      </c>
    </row>
    <row r="1857" spans="1:13" x14ac:dyDescent="0.25">
      <c r="A1857">
        <v>1856</v>
      </c>
      <c r="B1857" t="s">
        <v>3725</v>
      </c>
      <c r="C1857" s="1">
        <v>37.204314715499997</v>
      </c>
      <c r="D1857" s="1">
        <v>-7.0272675982299999</v>
      </c>
      <c r="E1857" s="3">
        <v>3</v>
      </c>
      <c r="F1857" s="2">
        <v>3</v>
      </c>
      <c r="G1857" s="4">
        <v>3</v>
      </c>
      <c r="H1857" s="13"/>
      <c r="I1857" s="15"/>
      <c r="J1857" s="19">
        <v>3</v>
      </c>
      <c r="K1857" s="2" t="s">
        <v>3726</v>
      </c>
      <c r="L1857" s="11" t="str">
        <f t="shared" si="30"/>
        <v>Ver Imagen</v>
      </c>
      <c r="M1857" t="s">
        <v>15</v>
      </c>
    </row>
    <row r="1858" spans="1:13" x14ac:dyDescent="0.25">
      <c r="A1858">
        <v>1857</v>
      </c>
      <c r="B1858" t="s">
        <v>3727</v>
      </c>
      <c r="C1858" s="1">
        <v>37.204268064600001</v>
      </c>
      <c r="D1858" s="1">
        <v>-7.0270488588999998</v>
      </c>
      <c r="E1858" s="3">
        <v>3</v>
      </c>
      <c r="F1858" s="2">
        <v>3</v>
      </c>
      <c r="G1858" s="4">
        <v>3</v>
      </c>
      <c r="H1858" s="13"/>
      <c r="I1858" s="15"/>
      <c r="J1858" s="19">
        <v>3</v>
      </c>
      <c r="K1858" s="2" t="s">
        <v>3728</v>
      </c>
      <c r="L1858" s="11" t="str">
        <f t="shared" si="30"/>
        <v>Ver Imagen</v>
      </c>
      <c r="M1858" t="s">
        <v>15</v>
      </c>
    </row>
    <row r="1859" spans="1:13" x14ac:dyDescent="0.25">
      <c r="A1859">
        <v>1858</v>
      </c>
      <c r="B1859" t="s">
        <v>3729</v>
      </c>
      <c r="C1859" s="1">
        <v>37.2796250257</v>
      </c>
      <c r="D1859" s="1">
        <v>-7.1451922426100003</v>
      </c>
      <c r="E1859" s="3">
        <v>3</v>
      </c>
      <c r="F1859" s="2">
        <v>3</v>
      </c>
      <c r="G1859" s="4">
        <v>3</v>
      </c>
      <c r="H1859" s="13"/>
      <c r="I1859" s="15"/>
      <c r="J1859" s="19">
        <v>3</v>
      </c>
      <c r="K1859" s="2" t="s">
        <v>3730</v>
      </c>
      <c r="L1859" s="11" t="str">
        <f t="shared" si="30"/>
        <v>Ver Imagen</v>
      </c>
      <c r="M1859" t="s">
        <v>15</v>
      </c>
    </row>
    <row r="1860" spans="1:13" x14ac:dyDescent="0.25">
      <c r="A1860">
        <v>1859</v>
      </c>
      <c r="B1860" t="s">
        <v>3731</v>
      </c>
      <c r="C1860" s="1">
        <v>37.279301102799998</v>
      </c>
      <c r="D1860" s="1">
        <v>-7.1448532373200004</v>
      </c>
      <c r="E1860" s="3">
        <v>3</v>
      </c>
      <c r="F1860" s="2">
        <v>3</v>
      </c>
      <c r="G1860" s="4">
        <v>3</v>
      </c>
      <c r="H1860" s="13"/>
      <c r="I1860" s="15"/>
      <c r="J1860" s="19">
        <v>3</v>
      </c>
      <c r="K1860" s="2" t="s">
        <v>3732</v>
      </c>
      <c r="L1860" s="11" t="str">
        <f t="shared" si="30"/>
        <v>Ver Imagen</v>
      </c>
      <c r="M1860" t="s">
        <v>15</v>
      </c>
    </row>
    <row r="1861" spans="1:13" x14ac:dyDescent="0.25">
      <c r="A1861">
        <v>1860</v>
      </c>
      <c r="B1861" t="s">
        <v>3733</v>
      </c>
      <c r="C1861" s="1">
        <v>37.279128983500001</v>
      </c>
      <c r="D1861" s="1">
        <v>-7.1447113795200003</v>
      </c>
      <c r="E1861" s="3">
        <v>3</v>
      </c>
      <c r="F1861" s="2">
        <v>3</v>
      </c>
      <c r="G1861" s="4">
        <v>3</v>
      </c>
      <c r="H1861" s="13"/>
      <c r="I1861" s="15"/>
      <c r="J1861" s="19">
        <v>3</v>
      </c>
      <c r="K1861" s="2" t="s">
        <v>3734</v>
      </c>
      <c r="L1861" s="11" t="str">
        <f t="shared" si="30"/>
        <v>Ver Imagen</v>
      </c>
      <c r="M1861" t="s">
        <v>15</v>
      </c>
    </row>
    <row r="1862" spans="1:13" x14ac:dyDescent="0.25">
      <c r="A1862">
        <v>1861</v>
      </c>
      <c r="B1862" t="s">
        <v>3735</v>
      </c>
      <c r="C1862" s="1">
        <v>37.277370772600001</v>
      </c>
      <c r="D1862" s="1">
        <v>-7.1434310851899996</v>
      </c>
      <c r="E1862" s="3">
        <v>3</v>
      </c>
      <c r="F1862" s="2">
        <v>3</v>
      </c>
      <c r="G1862" s="4">
        <v>3</v>
      </c>
      <c r="H1862" s="13"/>
      <c r="I1862" s="15"/>
      <c r="J1862" s="19">
        <v>3</v>
      </c>
      <c r="K1862" s="2" t="s">
        <v>3736</v>
      </c>
      <c r="L1862" s="11" t="str">
        <f t="shared" si="30"/>
        <v>Ver Imagen</v>
      </c>
      <c r="M1862" t="s">
        <v>15</v>
      </c>
    </row>
    <row r="1863" spans="1:13" x14ac:dyDescent="0.25">
      <c r="A1863">
        <v>1862</v>
      </c>
      <c r="B1863" t="s">
        <v>3737</v>
      </c>
      <c r="C1863" s="1">
        <v>37.274645709200001</v>
      </c>
      <c r="D1863" s="1">
        <v>-7.1425089849700001</v>
      </c>
      <c r="E1863" s="3">
        <v>3</v>
      </c>
      <c r="F1863" s="2">
        <v>3</v>
      </c>
      <c r="G1863" s="4">
        <v>3</v>
      </c>
      <c r="H1863" s="13"/>
      <c r="I1863" s="15"/>
      <c r="J1863" s="19">
        <v>3</v>
      </c>
      <c r="K1863" s="2" t="s">
        <v>3738</v>
      </c>
      <c r="L1863" s="11" t="str">
        <f t="shared" si="30"/>
        <v>Ver Imagen</v>
      </c>
      <c r="M1863" t="s">
        <v>15</v>
      </c>
    </row>
    <row r="1864" spans="1:13" x14ac:dyDescent="0.25">
      <c r="A1864">
        <v>1863</v>
      </c>
      <c r="B1864" t="s">
        <v>3739</v>
      </c>
      <c r="C1864" s="1">
        <v>37.274089761299997</v>
      </c>
      <c r="D1864" s="1">
        <v>-7.1422622760200003</v>
      </c>
      <c r="E1864" s="3">
        <v>3</v>
      </c>
      <c r="F1864" s="2">
        <v>3</v>
      </c>
      <c r="G1864" s="4">
        <v>3</v>
      </c>
      <c r="H1864" s="13"/>
      <c r="I1864" s="15"/>
      <c r="J1864" s="19">
        <v>3</v>
      </c>
      <c r="K1864" s="2" t="s">
        <v>3740</v>
      </c>
      <c r="L1864" s="11" t="str">
        <f t="shared" si="30"/>
        <v>Ver Imagen</v>
      </c>
      <c r="M1864" t="s">
        <v>15</v>
      </c>
    </row>
    <row r="1865" spans="1:13" x14ac:dyDescent="0.25">
      <c r="A1865">
        <v>1864</v>
      </c>
      <c r="B1865" t="s">
        <v>3741</v>
      </c>
      <c r="C1865" s="1">
        <v>37.273133466200001</v>
      </c>
      <c r="D1865" s="1">
        <v>-7.1418444651500002</v>
      </c>
      <c r="E1865" s="3">
        <v>3</v>
      </c>
      <c r="F1865" s="2">
        <v>3</v>
      </c>
      <c r="G1865" s="4">
        <v>3</v>
      </c>
      <c r="H1865" s="13"/>
      <c r="I1865" s="15"/>
      <c r="J1865" s="19">
        <v>3</v>
      </c>
      <c r="K1865" s="2" t="s">
        <v>3742</v>
      </c>
      <c r="L1865" s="11" t="str">
        <f t="shared" si="30"/>
        <v>Ver Imagen</v>
      </c>
      <c r="M1865" t="s">
        <v>15</v>
      </c>
    </row>
    <row r="1866" spans="1:13" x14ac:dyDescent="0.25">
      <c r="A1866">
        <v>1865</v>
      </c>
      <c r="B1866" t="s">
        <v>3743</v>
      </c>
      <c r="C1866" s="1">
        <v>37.270696330900002</v>
      </c>
      <c r="D1866" s="1">
        <v>-7.1400740661900004</v>
      </c>
      <c r="E1866" s="3">
        <v>3</v>
      </c>
      <c r="F1866" s="2">
        <v>3</v>
      </c>
      <c r="G1866" s="4">
        <v>3</v>
      </c>
      <c r="H1866" s="13"/>
      <c r="I1866" s="15"/>
      <c r="J1866" s="19">
        <v>3</v>
      </c>
      <c r="K1866" s="2" t="s">
        <v>3744</v>
      </c>
      <c r="L1866" s="11" t="str">
        <f t="shared" si="30"/>
        <v>Ver Imagen</v>
      </c>
      <c r="M1866" t="s">
        <v>15</v>
      </c>
    </row>
    <row r="1867" spans="1:13" x14ac:dyDescent="0.25">
      <c r="A1867">
        <v>1866</v>
      </c>
      <c r="B1867" t="s">
        <v>3745</v>
      </c>
      <c r="C1867" s="1">
        <v>37.270339842200002</v>
      </c>
      <c r="D1867" s="1">
        <v>-7.1398195134</v>
      </c>
      <c r="E1867" s="3">
        <v>3</v>
      </c>
      <c r="F1867" s="2">
        <v>3</v>
      </c>
      <c r="G1867" s="4">
        <v>3</v>
      </c>
      <c r="H1867" s="13"/>
      <c r="I1867" s="15"/>
      <c r="J1867" s="19">
        <v>3</v>
      </c>
      <c r="K1867" s="2" t="s">
        <v>3746</v>
      </c>
      <c r="L1867" s="11" t="str">
        <f t="shared" si="30"/>
        <v>Ver Imagen</v>
      </c>
      <c r="M1867" t="s">
        <v>15</v>
      </c>
    </row>
    <row r="1868" spans="1:13" x14ac:dyDescent="0.25">
      <c r="A1868">
        <v>1867</v>
      </c>
      <c r="B1868" t="s">
        <v>3747</v>
      </c>
      <c r="C1868" s="1">
        <v>37.2690811489</v>
      </c>
      <c r="D1868" s="1">
        <v>-7.1385748445199999</v>
      </c>
      <c r="E1868" s="3">
        <v>3</v>
      </c>
      <c r="F1868" s="2">
        <v>3</v>
      </c>
      <c r="G1868" s="4">
        <v>3</v>
      </c>
      <c r="H1868" s="13"/>
      <c r="I1868" s="15"/>
      <c r="J1868" s="19">
        <v>3</v>
      </c>
      <c r="K1868" s="2" t="s">
        <v>3748</v>
      </c>
      <c r="L1868" s="11" t="str">
        <f t="shared" si="30"/>
        <v>Ver Imagen</v>
      </c>
      <c r="M1868" t="s">
        <v>15</v>
      </c>
    </row>
    <row r="1869" spans="1:13" x14ac:dyDescent="0.25">
      <c r="A1869">
        <v>1868</v>
      </c>
      <c r="B1869" t="s">
        <v>3749</v>
      </c>
      <c r="C1869" s="1">
        <v>37.268879803300003</v>
      </c>
      <c r="D1869" s="1">
        <v>-7.1381698307799999</v>
      </c>
      <c r="E1869" s="3">
        <v>3</v>
      </c>
      <c r="F1869" s="2">
        <v>3</v>
      </c>
      <c r="G1869" s="4">
        <v>3</v>
      </c>
      <c r="H1869" s="13"/>
      <c r="I1869" s="15"/>
      <c r="J1869" s="19">
        <v>3</v>
      </c>
      <c r="K1869" s="2" t="s">
        <v>3750</v>
      </c>
      <c r="L1869" s="11" t="str">
        <f t="shared" si="30"/>
        <v>Ver Imagen</v>
      </c>
      <c r="M1869" t="s">
        <v>15</v>
      </c>
    </row>
    <row r="1870" spans="1:13" x14ac:dyDescent="0.25">
      <c r="A1870">
        <v>1869</v>
      </c>
      <c r="B1870" t="s">
        <v>3751</v>
      </c>
      <c r="C1870" s="1">
        <v>37.267462541999997</v>
      </c>
      <c r="D1870" s="1">
        <v>-7.1339993929499999</v>
      </c>
      <c r="E1870" s="3">
        <v>3</v>
      </c>
      <c r="F1870" s="2">
        <v>3</v>
      </c>
      <c r="G1870" s="4">
        <v>3</v>
      </c>
      <c r="H1870" s="13"/>
      <c r="I1870" s="15"/>
      <c r="J1870" s="19">
        <v>3</v>
      </c>
      <c r="K1870" s="2" t="s">
        <v>3752</v>
      </c>
      <c r="L1870" s="11" t="str">
        <f t="shared" si="30"/>
        <v>Ver Imagen</v>
      </c>
      <c r="M1870" t="s">
        <v>15</v>
      </c>
    </row>
    <row r="1871" spans="1:13" x14ac:dyDescent="0.25">
      <c r="A1871">
        <v>1870</v>
      </c>
      <c r="B1871" t="s">
        <v>3753</v>
      </c>
      <c r="C1871" s="1">
        <v>37.267325683000003</v>
      </c>
      <c r="D1871" s="1">
        <v>-7.13383825868</v>
      </c>
      <c r="E1871" s="3">
        <v>3</v>
      </c>
      <c r="F1871" s="2">
        <v>3</v>
      </c>
      <c r="G1871" s="4">
        <v>3</v>
      </c>
      <c r="H1871" s="13"/>
      <c r="I1871" s="15"/>
      <c r="J1871" s="19">
        <v>3</v>
      </c>
      <c r="K1871" s="2" t="s">
        <v>3754</v>
      </c>
      <c r="L1871" s="11" t="str">
        <f t="shared" si="30"/>
        <v>Ver Imagen</v>
      </c>
      <c r="M1871" t="s">
        <v>15</v>
      </c>
    </row>
    <row r="1872" spans="1:13" x14ac:dyDescent="0.25">
      <c r="A1872">
        <v>1871</v>
      </c>
      <c r="B1872" t="s">
        <v>3755</v>
      </c>
      <c r="C1872" s="1">
        <v>37.266803640100001</v>
      </c>
      <c r="D1872" s="1">
        <v>-7.1333767577499998</v>
      </c>
      <c r="E1872" s="3">
        <v>3</v>
      </c>
      <c r="F1872" s="2">
        <v>3</v>
      </c>
      <c r="G1872" s="4">
        <v>3</v>
      </c>
      <c r="H1872" s="13"/>
      <c r="I1872" s="15"/>
      <c r="J1872" s="19">
        <v>3</v>
      </c>
      <c r="K1872" s="2" t="s">
        <v>3756</v>
      </c>
      <c r="L1872" s="11" t="str">
        <f t="shared" si="30"/>
        <v>Ver Imagen</v>
      </c>
      <c r="M1872" t="s">
        <v>15</v>
      </c>
    </row>
    <row r="1873" spans="1:13" x14ac:dyDescent="0.25">
      <c r="A1873">
        <v>1872</v>
      </c>
      <c r="B1873" t="s">
        <v>3757</v>
      </c>
      <c r="C1873" s="1">
        <v>37.266120987000001</v>
      </c>
      <c r="D1873" s="1">
        <v>-7.1329287527199998</v>
      </c>
      <c r="E1873" s="3">
        <v>3</v>
      </c>
      <c r="F1873" s="2">
        <v>3</v>
      </c>
      <c r="G1873" s="4">
        <v>3</v>
      </c>
      <c r="H1873" s="13"/>
      <c r="I1873" s="15"/>
      <c r="J1873" s="19">
        <v>3</v>
      </c>
      <c r="K1873" s="2" t="s">
        <v>3758</v>
      </c>
      <c r="L1873" s="11" t="str">
        <f t="shared" si="30"/>
        <v>Ver Imagen</v>
      </c>
      <c r="M1873" t="s">
        <v>15</v>
      </c>
    </row>
    <row r="1874" spans="1:13" x14ac:dyDescent="0.25">
      <c r="A1874">
        <v>1873</v>
      </c>
      <c r="B1874" t="s">
        <v>3759</v>
      </c>
      <c r="C1874" s="1">
        <v>37.265186246600003</v>
      </c>
      <c r="D1874" s="1">
        <v>-7.1323377449300001</v>
      </c>
      <c r="E1874" s="3">
        <v>3</v>
      </c>
      <c r="F1874" s="2">
        <v>3</v>
      </c>
      <c r="G1874" s="4">
        <v>3</v>
      </c>
      <c r="H1874" s="13"/>
      <c r="I1874" s="15"/>
      <c r="J1874" s="19">
        <v>3</v>
      </c>
      <c r="K1874" s="2" t="s">
        <v>3760</v>
      </c>
      <c r="L1874" s="11" t="str">
        <f t="shared" si="30"/>
        <v>Ver Imagen</v>
      </c>
      <c r="M1874" t="s">
        <v>15</v>
      </c>
    </row>
    <row r="1875" spans="1:13" x14ac:dyDescent="0.25">
      <c r="A1875">
        <v>1874</v>
      </c>
      <c r="B1875" t="s">
        <v>3761</v>
      </c>
      <c r="C1875" s="1">
        <v>37.265001174399998</v>
      </c>
      <c r="D1875" s="1">
        <v>-7.1322204549599997</v>
      </c>
      <c r="E1875" s="3">
        <v>3</v>
      </c>
      <c r="F1875" s="2">
        <v>3</v>
      </c>
      <c r="G1875" s="4">
        <v>3</v>
      </c>
      <c r="H1875" s="13"/>
      <c r="I1875" s="15"/>
      <c r="J1875" s="19">
        <v>3</v>
      </c>
      <c r="K1875" s="2" t="s">
        <v>3762</v>
      </c>
      <c r="L1875" s="11" t="str">
        <f t="shared" si="30"/>
        <v>Ver Imagen</v>
      </c>
      <c r="M1875" t="s">
        <v>15</v>
      </c>
    </row>
    <row r="1876" spans="1:13" x14ac:dyDescent="0.25">
      <c r="A1876">
        <v>1875</v>
      </c>
      <c r="B1876" t="s">
        <v>3763</v>
      </c>
      <c r="C1876" s="1">
        <v>37.261434309599998</v>
      </c>
      <c r="D1876" s="1">
        <v>-7.1299361442700002</v>
      </c>
      <c r="E1876" s="3">
        <v>3</v>
      </c>
      <c r="F1876" s="2">
        <v>3</v>
      </c>
      <c r="G1876" s="4">
        <v>3</v>
      </c>
      <c r="H1876" s="13"/>
      <c r="I1876" s="15"/>
      <c r="J1876" s="19">
        <v>3</v>
      </c>
      <c r="K1876" s="2" t="s">
        <v>3764</v>
      </c>
      <c r="L1876" s="11" t="str">
        <f t="shared" si="30"/>
        <v>Ver Imagen</v>
      </c>
      <c r="M1876" t="s">
        <v>15</v>
      </c>
    </row>
    <row r="1877" spans="1:13" x14ac:dyDescent="0.25">
      <c r="A1877">
        <v>1876</v>
      </c>
      <c r="B1877" t="s">
        <v>3765</v>
      </c>
      <c r="C1877" s="1">
        <v>37.260345860800001</v>
      </c>
      <c r="D1877" s="1">
        <v>-7.1292473031799997</v>
      </c>
      <c r="E1877" s="3">
        <v>3</v>
      </c>
      <c r="F1877" s="2">
        <v>3</v>
      </c>
      <c r="G1877" s="4">
        <v>3</v>
      </c>
      <c r="H1877" s="13"/>
      <c r="I1877" s="15"/>
      <c r="J1877" s="19">
        <v>3</v>
      </c>
      <c r="K1877" s="2" t="s">
        <v>3766</v>
      </c>
      <c r="L1877" s="11" t="str">
        <f t="shared" si="30"/>
        <v>Ver Imagen</v>
      </c>
      <c r="M1877" t="s">
        <v>15</v>
      </c>
    </row>
    <row r="1878" spans="1:13" x14ac:dyDescent="0.25">
      <c r="A1878">
        <v>1877</v>
      </c>
      <c r="B1878" t="s">
        <v>3767</v>
      </c>
      <c r="C1878" s="1">
        <v>37.259441834100002</v>
      </c>
      <c r="D1878" s="1">
        <v>-7.1287369320199998</v>
      </c>
      <c r="E1878" s="3">
        <v>3</v>
      </c>
      <c r="F1878" s="2">
        <v>3</v>
      </c>
      <c r="G1878" s="4">
        <v>3</v>
      </c>
      <c r="H1878" s="13"/>
      <c r="I1878" s="15"/>
      <c r="J1878" s="19">
        <v>3</v>
      </c>
      <c r="K1878" s="2" t="s">
        <v>3768</v>
      </c>
      <c r="L1878" s="11" t="str">
        <f t="shared" si="30"/>
        <v>Ver Imagen</v>
      </c>
      <c r="M1878" t="s">
        <v>15</v>
      </c>
    </row>
    <row r="1879" spans="1:13" x14ac:dyDescent="0.25">
      <c r="A1879">
        <v>1878</v>
      </c>
      <c r="B1879" t="s">
        <v>3769</v>
      </c>
      <c r="C1879" s="1">
        <v>37.258330603499999</v>
      </c>
      <c r="D1879" s="1">
        <v>-7.1280296780199999</v>
      </c>
      <c r="E1879" s="3">
        <v>3</v>
      </c>
      <c r="F1879" s="2">
        <v>3</v>
      </c>
      <c r="G1879" s="4">
        <v>3</v>
      </c>
      <c r="H1879" s="13"/>
      <c r="I1879" s="15"/>
      <c r="J1879" s="19">
        <v>3</v>
      </c>
      <c r="K1879" s="2" t="s">
        <v>3770</v>
      </c>
      <c r="L1879" s="11" t="str">
        <f t="shared" si="30"/>
        <v>Ver Imagen</v>
      </c>
      <c r="M1879" t="s">
        <v>15</v>
      </c>
    </row>
    <row r="1880" spans="1:13" x14ac:dyDescent="0.25">
      <c r="A1880">
        <v>1879</v>
      </c>
      <c r="B1880" t="s">
        <v>3771</v>
      </c>
      <c r="C1880" s="1">
        <v>37.249506001199997</v>
      </c>
      <c r="D1880" s="1">
        <v>-7.1273555785899996</v>
      </c>
      <c r="E1880" s="3">
        <v>3</v>
      </c>
      <c r="F1880" s="2">
        <v>3</v>
      </c>
      <c r="G1880" s="4">
        <v>3</v>
      </c>
      <c r="H1880" s="13"/>
      <c r="I1880" s="15"/>
      <c r="J1880" s="19">
        <v>3</v>
      </c>
      <c r="K1880" s="2" t="s">
        <v>3772</v>
      </c>
      <c r="L1880" s="11" t="str">
        <f t="shared" si="30"/>
        <v>Ver Imagen</v>
      </c>
      <c r="M1880" t="s">
        <v>15</v>
      </c>
    </row>
    <row r="1881" spans="1:13" x14ac:dyDescent="0.25">
      <c r="A1881">
        <v>1880</v>
      </c>
      <c r="B1881" t="s">
        <v>3773</v>
      </c>
      <c r="C1881" s="1">
        <v>37.248316133700001</v>
      </c>
      <c r="D1881" s="1">
        <v>-7.1275323121599996</v>
      </c>
      <c r="E1881" s="3">
        <v>3</v>
      </c>
      <c r="F1881" s="2">
        <v>3</v>
      </c>
      <c r="G1881" s="4">
        <v>3</v>
      </c>
      <c r="H1881" s="13"/>
      <c r="I1881" s="15"/>
      <c r="J1881" s="19">
        <v>3</v>
      </c>
      <c r="K1881" s="2" t="s">
        <v>3774</v>
      </c>
      <c r="L1881" s="11" t="str">
        <f t="shared" si="30"/>
        <v>Ver Imagen</v>
      </c>
      <c r="M1881" t="s">
        <v>15</v>
      </c>
    </row>
    <row r="1882" spans="1:13" x14ac:dyDescent="0.25">
      <c r="A1882">
        <v>1881</v>
      </c>
      <c r="B1882" t="s">
        <v>3775</v>
      </c>
      <c r="C1882" s="1">
        <v>37.248077977999998</v>
      </c>
      <c r="D1882" s="1">
        <v>-7.1275670058699996</v>
      </c>
      <c r="E1882" s="3">
        <v>3</v>
      </c>
      <c r="F1882" s="2">
        <v>3</v>
      </c>
      <c r="G1882" s="4">
        <v>3</v>
      </c>
      <c r="H1882" s="13"/>
      <c r="I1882" s="15"/>
      <c r="J1882" s="19">
        <v>3</v>
      </c>
      <c r="K1882" s="2" t="s">
        <v>3776</v>
      </c>
      <c r="L1882" s="11" t="str">
        <f t="shared" si="30"/>
        <v>Ver Imagen</v>
      </c>
      <c r="M1882" t="s">
        <v>15</v>
      </c>
    </row>
    <row r="1883" spans="1:13" x14ac:dyDescent="0.25">
      <c r="A1883">
        <v>1882</v>
      </c>
      <c r="B1883" t="s">
        <v>3777</v>
      </c>
      <c r="C1883" s="1">
        <v>37.2479030947</v>
      </c>
      <c r="D1883" s="1">
        <v>-7.1275931691799999</v>
      </c>
      <c r="E1883" s="3">
        <v>3</v>
      </c>
      <c r="F1883" s="2">
        <v>3</v>
      </c>
      <c r="G1883" s="4">
        <v>3</v>
      </c>
      <c r="H1883" s="13"/>
      <c r="I1883" s="15"/>
      <c r="J1883" s="19">
        <v>3</v>
      </c>
      <c r="K1883" s="2" t="s">
        <v>3778</v>
      </c>
      <c r="L1883" s="11" t="str">
        <f t="shared" si="30"/>
        <v>Ver Imagen</v>
      </c>
      <c r="M1883" t="s">
        <v>15</v>
      </c>
    </row>
    <row r="1884" spans="1:13" x14ac:dyDescent="0.25">
      <c r="A1884">
        <v>1883</v>
      </c>
      <c r="B1884" t="s">
        <v>3779</v>
      </c>
      <c r="C1884" s="1">
        <v>37.247697545100003</v>
      </c>
      <c r="D1884" s="1">
        <v>-7.12762437575</v>
      </c>
      <c r="E1884" s="3">
        <v>3</v>
      </c>
      <c r="F1884" s="2">
        <v>3</v>
      </c>
      <c r="G1884" s="4">
        <v>3</v>
      </c>
      <c r="H1884" s="13"/>
      <c r="I1884" s="15"/>
      <c r="J1884" s="19">
        <v>3</v>
      </c>
      <c r="K1884" s="2" t="s">
        <v>3780</v>
      </c>
      <c r="L1884" s="11" t="str">
        <f t="shared" si="30"/>
        <v>Ver Imagen</v>
      </c>
      <c r="M1884" t="s">
        <v>15</v>
      </c>
    </row>
    <row r="1885" spans="1:13" x14ac:dyDescent="0.25">
      <c r="A1885">
        <v>1884</v>
      </c>
      <c r="B1885" t="s">
        <v>3781</v>
      </c>
      <c r="C1885" s="1">
        <v>37.247484554899998</v>
      </c>
      <c r="D1885" s="1">
        <v>-7.1276561890799996</v>
      </c>
      <c r="E1885" s="3">
        <v>3</v>
      </c>
      <c r="F1885" s="2">
        <v>3</v>
      </c>
      <c r="G1885" s="4">
        <v>3</v>
      </c>
      <c r="H1885" s="13"/>
      <c r="I1885" s="15"/>
      <c r="J1885" s="19">
        <v>3</v>
      </c>
      <c r="K1885" s="2" t="s">
        <v>3782</v>
      </c>
      <c r="L1885" s="11" t="str">
        <f t="shared" si="30"/>
        <v>Ver Imagen</v>
      </c>
      <c r="M1885" t="s">
        <v>15</v>
      </c>
    </row>
    <row r="1886" spans="1:13" x14ac:dyDescent="0.25">
      <c r="A1886">
        <v>1885</v>
      </c>
      <c r="B1886" t="s">
        <v>3783</v>
      </c>
      <c r="C1886" s="1">
        <v>37.247112113500002</v>
      </c>
      <c r="D1886" s="1">
        <v>-7.1277096802399997</v>
      </c>
      <c r="E1886" s="3">
        <v>3</v>
      </c>
      <c r="F1886" s="2">
        <v>3</v>
      </c>
      <c r="G1886" s="4">
        <v>3</v>
      </c>
      <c r="H1886" s="13"/>
      <c r="I1886" s="15"/>
      <c r="J1886" s="19">
        <v>3</v>
      </c>
      <c r="K1886" s="2" t="s">
        <v>3784</v>
      </c>
      <c r="L1886" s="11" t="str">
        <f t="shared" si="30"/>
        <v>Ver Imagen</v>
      </c>
      <c r="M1886" t="s">
        <v>15</v>
      </c>
    </row>
    <row r="1887" spans="1:13" x14ac:dyDescent="0.25">
      <c r="A1887">
        <v>1886</v>
      </c>
      <c r="B1887" t="s">
        <v>3785</v>
      </c>
      <c r="C1887" s="1">
        <v>37.246908574300001</v>
      </c>
      <c r="D1887" s="1">
        <v>-7.1277392875199999</v>
      </c>
      <c r="E1887" s="3">
        <v>3</v>
      </c>
      <c r="F1887" s="2">
        <v>3</v>
      </c>
      <c r="G1887" s="4">
        <v>3</v>
      </c>
      <c r="H1887" s="13"/>
      <c r="I1887" s="15"/>
      <c r="J1887" s="19">
        <v>3</v>
      </c>
      <c r="K1887" s="2" t="s">
        <v>3786</v>
      </c>
      <c r="L1887" s="11" t="str">
        <f t="shared" si="30"/>
        <v>Ver Imagen</v>
      </c>
      <c r="M1887" t="s">
        <v>15</v>
      </c>
    </row>
    <row r="1888" spans="1:13" x14ac:dyDescent="0.25">
      <c r="A1888">
        <v>1887</v>
      </c>
      <c r="B1888" t="s">
        <v>3787</v>
      </c>
      <c r="C1888" s="1">
        <v>37.226688356499999</v>
      </c>
      <c r="D1888" s="1">
        <v>-7.1262869725</v>
      </c>
      <c r="E1888" s="3">
        <v>3</v>
      </c>
      <c r="F1888" s="2">
        <v>3</v>
      </c>
      <c r="G1888" s="4">
        <v>3</v>
      </c>
      <c r="H1888" s="13"/>
      <c r="I1888" s="15"/>
      <c r="J1888" s="19">
        <v>3</v>
      </c>
      <c r="K1888" s="2" t="s">
        <v>3788</v>
      </c>
      <c r="L1888" s="11" t="str">
        <f t="shared" si="30"/>
        <v>Ver Imagen</v>
      </c>
      <c r="M1888" t="s">
        <v>15</v>
      </c>
    </row>
    <row r="1889" spans="1:13" x14ac:dyDescent="0.25">
      <c r="A1889">
        <v>1888</v>
      </c>
      <c r="B1889" t="s">
        <v>3789</v>
      </c>
      <c r="C1889" s="1">
        <v>37.226490378999998</v>
      </c>
      <c r="D1889" s="1">
        <v>-7.1262269053900003</v>
      </c>
      <c r="E1889" s="3">
        <v>3</v>
      </c>
      <c r="F1889" s="2">
        <v>3</v>
      </c>
      <c r="G1889" s="4">
        <v>3</v>
      </c>
      <c r="H1889" s="13"/>
      <c r="I1889" s="15"/>
      <c r="J1889" s="19">
        <v>3</v>
      </c>
      <c r="K1889" s="2" t="s">
        <v>3790</v>
      </c>
      <c r="L1889" s="11" t="str">
        <f t="shared" si="30"/>
        <v>Ver Imagen</v>
      </c>
      <c r="M1889" t="s">
        <v>15</v>
      </c>
    </row>
    <row r="1890" spans="1:13" x14ac:dyDescent="0.25">
      <c r="A1890">
        <v>1889</v>
      </c>
      <c r="B1890" t="s">
        <v>3791</v>
      </c>
      <c r="C1890" s="1">
        <v>37.225507917100003</v>
      </c>
      <c r="D1890" s="1">
        <v>-7.1259347049899997</v>
      </c>
      <c r="E1890" s="3">
        <v>3</v>
      </c>
      <c r="F1890" s="2">
        <v>3</v>
      </c>
      <c r="G1890" s="4">
        <v>3</v>
      </c>
      <c r="H1890" s="13"/>
      <c r="I1890" s="15"/>
      <c r="J1890" s="19">
        <v>3</v>
      </c>
      <c r="K1890" s="2" t="s">
        <v>3792</v>
      </c>
      <c r="L1890" s="11" t="str">
        <f t="shared" si="30"/>
        <v>Ver Imagen</v>
      </c>
      <c r="M1890" t="s">
        <v>15</v>
      </c>
    </row>
    <row r="1891" spans="1:13" x14ac:dyDescent="0.25">
      <c r="A1891">
        <v>1890</v>
      </c>
      <c r="B1891" t="s">
        <v>3793</v>
      </c>
      <c r="C1891" s="1">
        <v>37.225304034399997</v>
      </c>
      <c r="D1891" s="1">
        <v>-7.1258718163800001</v>
      </c>
      <c r="E1891" s="3">
        <v>3</v>
      </c>
      <c r="F1891" s="2">
        <v>3</v>
      </c>
      <c r="G1891" s="4">
        <v>3</v>
      </c>
      <c r="H1891" s="13"/>
      <c r="I1891" s="15"/>
      <c r="J1891" s="19">
        <v>3</v>
      </c>
      <c r="K1891" s="2" t="s">
        <v>3794</v>
      </c>
      <c r="L1891" s="11" t="str">
        <f t="shared" si="30"/>
        <v>Ver Imagen</v>
      </c>
      <c r="M1891" t="s">
        <v>15</v>
      </c>
    </row>
    <row r="1892" spans="1:13" x14ac:dyDescent="0.25">
      <c r="A1892">
        <v>1891</v>
      </c>
      <c r="B1892" t="s">
        <v>3795</v>
      </c>
      <c r="C1892" s="1">
        <v>37.225102245899997</v>
      </c>
      <c r="D1892" s="1">
        <v>-7.1258050504500003</v>
      </c>
      <c r="E1892" s="3">
        <v>3</v>
      </c>
      <c r="F1892" s="2">
        <v>3</v>
      </c>
      <c r="G1892" s="4">
        <v>3</v>
      </c>
      <c r="H1892" s="13"/>
      <c r="I1892" s="15"/>
      <c r="J1892" s="19">
        <v>3</v>
      </c>
      <c r="K1892" s="2" t="s">
        <v>3796</v>
      </c>
      <c r="L1892" s="11" t="str">
        <f t="shared" si="30"/>
        <v>Ver Imagen</v>
      </c>
      <c r="M1892" t="s">
        <v>15</v>
      </c>
    </row>
    <row r="1893" spans="1:13" x14ac:dyDescent="0.25">
      <c r="A1893">
        <v>1892</v>
      </c>
      <c r="B1893" t="s">
        <v>3797</v>
      </c>
      <c r="C1893" s="1">
        <v>37.224923690700003</v>
      </c>
      <c r="D1893" s="1">
        <v>-7.12573594787</v>
      </c>
      <c r="E1893" s="3">
        <v>3</v>
      </c>
      <c r="F1893" s="2">
        <v>3</v>
      </c>
      <c r="G1893" s="4">
        <v>3</v>
      </c>
      <c r="H1893" s="13"/>
      <c r="I1893" s="15"/>
      <c r="J1893" s="19">
        <v>3</v>
      </c>
      <c r="K1893" s="2" t="s">
        <v>3798</v>
      </c>
      <c r="L1893" s="11" t="str">
        <f t="shared" si="30"/>
        <v>Ver Imagen</v>
      </c>
      <c r="M1893" t="s">
        <v>15</v>
      </c>
    </row>
    <row r="1894" spans="1:13" x14ac:dyDescent="0.25">
      <c r="A1894">
        <v>1893</v>
      </c>
      <c r="B1894" t="s">
        <v>3799</v>
      </c>
      <c r="C1894" s="1">
        <v>37.2247440959</v>
      </c>
      <c r="D1894" s="1">
        <v>-7.1256552472200001</v>
      </c>
      <c r="E1894" s="3">
        <v>3</v>
      </c>
      <c r="F1894" s="2">
        <v>3</v>
      </c>
      <c r="G1894" s="4">
        <v>3</v>
      </c>
      <c r="H1894" s="13"/>
      <c r="I1894" s="15"/>
      <c r="J1894" s="19">
        <v>3</v>
      </c>
      <c r="K1894" s="2" t="s">
        <v>3800</v>
      </c>
      <c r="L1894" s="11" t="str">
        <f t="shared" si="30"/>
        <v>Ver Imagen</v>
      </c>
      <c r="M1894" t="s">
        <v>15</v>
      </c>
    </row>
    <row r="1895" spans="1:13" x14ac:dyDescent="0.25">
      <c r="A1895">
        <v>1894</v>
      </c>
      <c r="B1895" t="s">
        <v>3801</v>
      </c>
      <c r="C1895" s="1">
        <v>37.224167031999997</v>
      </c>
      <c r="D1895" s="1">
        <v>-7.1253592902199996</v>
      </c>
      <c r="E1895" s="3">
        <v>3</v>
      </c>
      <c r="F1895" s="2">
        <v>3</v>
      </c>
      <c r="G1895" s="4">
        <v>3</v>
      </c>
      <c r="H1895" s="13"/>
      <c r="I1895" s="15"/>
      <c r="J1895" s="19">
        <v>3</v>
      </c>
      <c r="K1895" s="2" t="s">
        <v>3802</v>
      </c>
      <c r="L1895" s="11" t="str">
        <f t="shared" si="30"/>
        <v>Ver Imagen</v>
      </c>
      <c r="M1895" t="s">
        <v>15</v>
      </c>
    </row>
    <row r="1896" spans="1:13" x14ac:dyDescent="0.25">
      <c r="A1896">
        <v>1895</v>
      </c>
      <c r="B1896" t="s">
        <v>3803</v>
      </c>
      <c r="C1896" s="1">
        <v>37.223586388800001</v>
      </c>
      <c r="D1896" s="1">
        <v>-7.1251365058599996</v>
      </c>
      <c r="E1896" s="3">
        <v>3</v>
      </c>
      <c r="F1896" s="2">
        <v>3</v>
      </c>
      <c r="G1896" s="4">
        <v>3</v>
      </c>
      <c r="H1896" s="13"/>
      <c r="I1896" s="15"/>
      <c r="J1896" s="19">
        <v>3</v>
      </c>
      <c r="K1896" s="2" t="s">
        <v>3804</v>
      </c>
      <c r="L1896" s="11" t="str">
        <f t="shared" si="30"/>
        <v>Ver Imagen</v>
      </c>
      <c r="M1896" t="s">
        <v>15</v>
      </c>
    </row>
    <row r="1897" spans="1:13" x14ac:dyDescent="0.25">
      <c r="A1897">
        <v>1896</v>
      </c>
      <c r="B1897" t="s">
        <v>3805</v>
      </c>
      <c r="C1897" s="1">
        <v>37.221438167099997</v>
      </c>
      <c r="D1897" s="1">
        <v>-7.1254542258900004</v>
      </c>
      <c r="E1897" s="3">
        <v>3</v>
      </c>
      <c r="F1897" s="2">
        <v>3</v>
      </c>
      <c r="G1897" s="4">
        <v>3</v>
      </c>
      <c r="H1897" s="13"/>
      <c r="I1897" s="15"/>
      <c r="J1897" s="19">
        <v>3</v>
      </c>
      <c r="K1897" s="2" t="s">
        <v>3806</v>
      </c>
      <c r="L1897" s="11" t="str">
        <f t="shared" si="30"/>
        <v>Ver Imagen</v>
      </c>
      <c r="M1897" t="s">
        <v>15</v>
      </c>
    </row>
    <row r="1898" spans="1:13" x14ac:dyDescent="0.25">
      <c r="A1898">
        <v>1897</v>
      </c>
      <c r="B1898" t="s">
        <v>3807</v>
      </c>
      <c r="C1898" s="1">
        <v>37.220720313699999</v>
      </c>
      <c r="D1898" s="1">
        <v>-7.1257456999600004</v>
      </c>
      <c r="E1898" s="3">
        <v>3</v>
      </c>
      <c r="F1898" s="2">
        <v>3</v>
      </c>
      <c r="G1898" s="4">
        <v>3</v>
      </c>
      <c r="H1898" s="13"/>
      <c r="I1898" s="15"/>
      <c r="J1898" s="19">
        <v>3</v>
      </c>
      <c r="K1898" s="2" t="s">
        <v>3808</v>
      </c>
      <c r="L1898" s="11" t="str">
        <f t="shared" si="30"/>
        <v>Ver Imagen</v>
      </c>
      <c r="M1898" t="s">
        <v>15</v>
      </c>
    </row>
    <row r="1899" spans="1:13" x14ac:dyDescent="0.25">
      <c r="A1899">
        <v>1898</v>
      </c>
      <c r="B1899" t="s">
        <v>3809</v>
      </c>
      <c r="C1899" s="1">
        <v>37.220539735999999</v>
      </c>
      <c r="D1899" s="1">
        <v>-7.1257615308500002</v>
      </c>
      <c r="E1899" s="3">
        <v>3</v>
      </c>
      <c r="F1899" s="2">
        <v>3</v>
      </c>
      <c r="G1899" s="4">
        <v>3</v>
      </c>
      <c r="H1899" s="13"/>
      <c r="I1899" s="15"/>
      <c r="J1899" s="19">
        <v>3</v>
      </c>
      <c r="K1899" s="2" t="s">
        <v>3810</v>
      </c>
      <c r="L1899" s="11" t="str">
        <f t="shared" si="30"/>
        <v>Ver Imagen</v>
      </c>
      <c r="M1899" t="s">
        <v>15</v>
      </c>
    </row>
    <row r="1900" spans="1:13" x14ac:dyDescent="0.25">
      <c r="A1900">
        <v>1899</v>
      </c>
      <c r="B1900" t="s">
        <v>3811</v>
      </c>
      <c r="C1900" s="1">
        <v>37.219346074699999</v>
      </c>
      <c r="D1900" s="1">
        <v>-7.1259213373900003</v>
      </c>
      <c r="E1900" s="3">
        <v>3</v>
      </c>
      <c r="F1900" s="2">
        <v>3</v>
      </c>
      <c r="G1900" s="4">
        <v>3</v>
      </c>
      <c r="H1900" s="13"/>
      <c r="I1900" s="15"/>
      <c r="J1900" s="19">
        <v>3</v>
      </c>
      <c r="K1900" s="2" t="s">
        <v>3812</v>
      </c>
      <c r="L1900" s="11" t="str">
        <f t="shared" si="30"/>
        <v>Ver Imagen</v>
      </c>
      <c r="M1900" t="s">
        <v>15</v>
      </c>
    </row>
    <row r="1901" spans="1:13" x14ac:dyDescent="0.25">
      <c r="A1901">
        <v>1900</v>
      </c>
      <c r="B1901" t="s">
        <v>3813</v>
      </c>
      <c r="C1901" s="1">
        <v>37.219129479899998</v>
      </c>
      <c r="D1901" s="1">
        <v>-7.1259918719200002</v>
      </c>
      <c r="E1901" s="3">
        <v>3</v>
      </c>
      <c r="F1901" s="2">
        <v>3</v>
      </c>
      <c r="G1901" s="4">
        <v>3</v>
      </c>
      <c r="H1901" s="13"/>
      <c r="I1901" s="15"/>
      <c r="J1901" s="19">
        <v>3</v>
      </c>
      <c r="K1901" s="2" t="s">
        <v>3814</v>
      </c>
      <c r="L1901" s="11" t="str">
        <f t="shared" si="30"/>
        <v>Ver Imagen</v>
      </c>
      <c r="M1901" t="s">
        <v>15</v>
      </c>
    </row>
    <row r="1902" spans="1:13" x14ac:dyDescent="0.25">
      <c r="A1902">
        <v>1901</v>
      </c>
      <c r="B1902" t="s">
        <v>3815</v>
      </c>
      <c r="C1902" s="1">
        <v>37.443516652600003</v>
      </c>
      <c r="D1902" s="1">
        <v>-7.0958017661600001</v>
      </c>
      <c r="E1902" s="3">
        <v>3</v>
      </c>
      <c r="F1902" s="2">
        <v>3</v>
      </c>
      <c r="G1902" s="4">
        <v>3</v>
      </c>
      <c r="H1902" s="13"/>
      <c r="I1902" s="15"/>
      <c r="J1902" s="19">
        <v>3</v>
      </c>
      <c r="K1902" s="2" t="s">
        <v>3816</v>
      </c>
      <c r="L1902" s="11" t="str">
        <f t="shared" si="30"/>
        <v>Ver Imagen</v>
      </c>
      <c r="M1902" t="s">
        <v>15</v>
      </c>
    </row>
    <row r="1903" spans="1:13" x14ac:dyDescent="0.25">
      <c r="A1903">
        <v>1902</v>
      </c>
      <c r="B1903" t="s">
        <v>3817</v>
      </c>
      <c r="C1903" s="1">
        <v>37.442352016199997</v>
      </c>
      <c r="D1903" s="1">
        <v>-7.0927704182099998</v>
      </c>
      <c r="E1903" s="3">
        <v>3</v>
      </c>
      <c r="F1903" s="2">
        <v>3</v>
      </c>
      <c r="G1903" s="4">
        <v>3</v>
      </c>
      <c r="H1903" s="13"/>
      <c r="I1903" s="15"/>
      <c r="J1903" s="19">
        <v>3</v>
      </c>
      <c r="K1903" s="2" t="s">
        <v>3818</v>
      </c>
      <c r="L1903" s="11" t="str">
        <f t="shared" si="30"/>
        <v>Ver Imagen</v>
      </c>
      <c r="M1903" t="s">
        <v>15</v>
      </c>
    </row>
    <row r="1904" spans="1:13" x14ac:dyDescent="0.25">
      <c r="A1904">
        <v>1903</v>
      </c>
      <c r="B1904" t="s">
        <v>3819</v>
      </c>
      <c r="C1904" s="1">
        <v>37.442090541299997</v>
      </c>
      <c r="D1904" s="1">
        <v>-7.09212730466</v>
      </c>
      <c r="E1904" s="3">
        <v>3</v>
      </c>
      <c r="F1904" s="2">
        <v>3</v>
      </c>
      <c r="G1904" s="4">
        <v>3</v>
      </c>
      <c r="H1904" s="13"/>
      <c r="I1904" s="15"/>
      <c r="J1904" s="19">
        <v>3</v>
      </c>
      <c r="K1904" s="2" t="s">
        <v>3820</v>
      </c>
      <c r="L1904" s="11" t="str">
        <f t="shared" si="30"/>
        <v>Ver Imagen</v>
      </c>
      <c r="M1904" t="s">
        <v>15</v>
      </c>
    </row>
    <row r="1905" spans="1:13" x14ac:dyDescent="0.25">
      <c r="A1905">
        <v>1904</v>
      </c>
      <c r="B1905" t="s">
        <v>3821</v>
      </c>
      <c r="C1905" s="1">
        <v>37.441981678499999</v>
      </c>
      <c r="D1905" s="1">
        <v>-7.0918680717000004</v>
      </c>
      <c r="E1905" s="3">
        <v>3</v>
      </c>
      <c r="F1905" s="2">
        <v>3</v>
      </c>
      <c r="G1905" s="4">
        <v>3</v>
      </c>
      <c r="H1905" s="13"/>
      <c r="I1905" s="15"/>
      <c r="J1905" s="19">
        <v>3</v>
      </c>
      <c r="K1905" s="2" t="s">
        <v>3822</v>
      </c>
      <c r="L1905" s="11" t="str">
        <f t="shared" si="30"/>
        <v>Ver Imagen</v>
      </c>
      <c r="M1905" t="s">
        <v>15</v>
      </c>
    </row>
    <row r="1906" spans="1:13" x14ac:dyDescent="0.25">
      <c r="A1906">
        <v>1905</v>
      </c>
      <c r="B1906" t="s">
        <v>3823</v>
      </c>
      <c r="C1906" s="1">
        <v>37.441894586300002</v>
      </c>
      <c r="D1906" s="1">
        <v>-7.0916675123199999</v>
      </c>
      <c r="E1906" s="3">
        <v>3</v>
      </c>
      <c r="F1906" s="2">
        <v>3</v>
      </c>
      <c r="G1906" s="4">
        <v>3</v>
      </c>
      <c r="H1906" s="13"/>
      <c r="I1906" s="15"/>
      <c r="J1906" s="19">
        <v>3</v>
      </c>
      <c r="K1906" s="2" t="s">
        <v>3824</v>
      </c>
      <c r="L1906" s="11" t="str">
        <f t="shared" si="30"/>
        <v>Ver Imagen</v>
      </c>
      <c r="M1906" t="s">
        <v>15</v>
      </c>
    </row>
    <row r="1907" spans="1:13" x14ac:dyDescent="0.25">
      <c r="A1907">
        <v>1906</v>
      </c>
      <c r="B1907" t="s">
        <v>3825</v>
      </c>
      <c r="C1907" s="1">
        <v>37.441788928699999</v>
      </c>
      <c r="D1907" s="1">
        <v>-7.0914333023099996</v>
      </c>
      <c r="E1907" s="3">
        <v>3</v>
      </c>
      <c r="F1907" s="2">
        <v>3</v>
      </c>
      <c r="G1907" s="4">
        <v>3</v>
      </c>
      <c r="H1907" s="13"/>
      <c r="I1907" s="15"/>
      <c r="J1907" s="19">
        <v>3</v>
      </c>
      <c r="K1907" s="2" t="s">
        <v>3826</v>
      </c>
      <c r="L1907" s="11" t="str">
        <f t="shared" si="30"/>
        <v>Ver Imagen</v>
      </c>
      <c r="M1907" t="s">
        <v>15</v>
      </c>
    </row>
    <row r="1908" spans="1:13" x14ac:dyDescent="0.25">
      <c r="A1908">
        <v>1907</v>
      </c>
      <c r="B1908" t="s">
        <v>3827</v>
      </c>
      <c r="C1908" s="1">
        <v>37.441690887699998</v>
      </c>
      <c r="D1908" s="1">
        <v>-7.0912234622200003</v>
      </c>
      <c r="E1908" s="3">
        <v>3</v>
      </c>
      <c r="F1908" s="2">
        <v>3</v>
      </c>
      <c r="G1908" s="4">
        <v>3</v>
      </c>
      <c r="H1908" s="13"/>
      <c r="I1908" s="15"/>
      <c r="J1908" s="19">
        <v>3</v>
      </c>
      <c r="K1908" s="2" t="s">
        <v>3828</v>
      </c>
      <c r="L1908" s="11" t="str">
        <f t="shared" si="30"/>
        <v>Ver Imagen</v>
      </c>
      <c r="M1908" t="s">
        <v>15</v>
      </c>
    </row>
    <row r="1909" spans="1:13" x14ac:dyDescent="0.25">
      <c r="A1909">
        <v>1908</v>
      </c>
      <c r="B1909" t="s">
        <v>3829</v>
      </c>
      <c r="C1909" s="1">
        <v>37.441581163099997</v>
      </c>
      <c r="D1909" s="1">
        <v>-7.0909922865299997</v>
      </c>
      <c r="E1909" s="3">
        <v>3</v>
      </c>
      <c r="F1909" s="2">
        <v>3</v>
      </c>
      <c r="G1909" s="4">
        <v>3</v>
      </c>
      <c r="H1909" s="13"/>
      <c r="I1909" s="15"/>
      <c r="J1909" s="19">
        <v>3</v>
      </c>
      <c r="K1909" s="2" t="s">
        <v>3830</v>
      </c>
      <c r="L1909" s="11" t="str">
        <f t="shared" si="30"/>
        <v>Ver Imagen</v>
      </c>
      <c r="M1909" t="s">
        <v>15</v>
      </c>
    </row>
    <row r="1910" spans="1:13" x14ac:dyDescent="0.25">
      <c r="A1910">
        <v>1909</v>
      </c>
      <c r="B1910" t="s">
        <v>3831</v>
      </c>
      <c r="C1910" s="1">
        <v>37.441480242700003</v>
      </c>
      <c r="D1910" s="1">
        <v>-7.0907761950800001</v>
      </c>
      <c r="E1910" s="3">
        <v>3</v>
      </c>
      <c r="F1910" s="2">
        <v>3</v>
      </c>
      <c r="G1910" s="4">
        <v>3</v>
      </c>
      <c r="H1910" s="13"/>
      <c r="I1910" s="15"/>
      <c r="J1910" s="19">
        <v>3</v>
      </c>
      <c r="K1910" s="2" t="s">
        <v>3832</v>
      </c>
      <c r="L1910" s="11" t="str">
        <f t="shared" si="30"/>
        <v>Ver Imagen</v>
      </c>
      <c r="M1910" t="s">
        <v>15</v>
      </c>
    </row>
    <row r="1911" spans="1:13" x14ac:dyDescent="0.25">
      <c r="A1911">
        <v>1910</v>
      </c>
      <c r="B1911" t="s">
        <v>3833</v>
      </c>
      <c r="C1911" s="1">
        <v>37.441171232099997</v>
      </c>
      <c r="D1911" s="1">
        <v>-7.0901157882600003</v>
      </c>
      <c r="E1911" s="3">
        <v>3</v>
      </c>
      <c r="F1911" s="2">
        <v>3</v>
      </c>
      <c r="G1911" s="4">
        <v>3</v>
      </c>
      <c r="H1911" s="13"/>
      <c r="I1911" s="15"/>
      <c r="J1911" s="19">
        <v>3</v>
      </c>
      <c r="K1911" s="2" t="s">
        <v>3834</v>
      </c>
      <c r="L1911" s="11" t="str">
        <f t="shared" si="30"/>
        <v>Ver Imagen</v>
      </c>
      <c r="M1911" t="s">
        <v>15</v>
      </c>
    </row>
    <row r="1912" spans="1:13" x14ac:dyDescent="0.25">
      <c r="A1912">
        <v>1911</v>
      </c>
      <c r="B1912" t="s">
        <v>3835</v>
      </c>
      <c r="C1912" s="1">
        <v>37.441058145699998</v>
      </c>
      <c r="D1912" s="1">
        <v>-7.0898776626400002</v>
      </c>
      <c r="E1912" s="3">
        <v>3</v>
      </c>
      <c r="F1912" s="2">
        <v>3</v>
      </c>
      <c r="G1912" s="4">
        <v>3</v>
      </c>
      <c r="H1912" s="13"/>
      <c r="I1912" s="15"/>
      <c r="J1912" s="19">
        <v>3</v>
      </c>
      <c r="K1912" s="2" t="s">
        <v>3836</v>
      </c>
      <c r="L1912" s="11" t="str">
        <f t="shared" si="30"/>
        <v>Ver Imagen</v>
      </c>
      <c r="M1912" t="s">
        <v>15</v>
      </c>
    </row>
    <row r="1913" spans="1:13" x14ac:dyDescent="0.25">
      <c r="A1913">
        <v>1912</v>
      </c>
      <c r="B1913" t="s">
        <v>3837</v>
      </c>
      <c r="C1913" s="1">
        <v>37.440954112299998</v>
      </c>
      <c r="D1913" s="1">
        <v>-7.0896564210999999</v>
      </c>
      <c r="E1913" s="3">
        <v>3</v>
      </c>
      <c r="F1913" s="2">
        <v>3</v>
      </c>
      <c r="G1913" s="4">
        <v>3</v>
      </c>
      <c r="H1913" s="13"/>
      <c r="I1913" s="15"/>
      <c r="J1913" s="19">
        <v>3</v>
      </c>
      <c r="K1913" s="2" t="s">
        <v>3838</v>
      </c>
      <c r="L1913" s="11" t="str">
        <f t="shared" si="30"/>
        <v>Ver Imagen</v>
      </c>
      <c r="M1913" t="s">
        <v>15</v>
      </c>
    </row>
    <row r="1914" spans="1:13" x14ac:dyDescent="0.25">
      <c r="A1914">
        <v>1913</v>
      </c>
      <c r="B1914" t="s">
        <v>3839</v>
      </c>
      <c r="C1914" s="1">
        <v>37.440864292299999</v>
      </c>
      <c r="D1914" s="1">
        <v>-7.0894610473600004</v>
      </c>
      <c r="E1914" s="3">
        <v>3</v>
      </c>
      <c r="F1914" s="2">
        <v>3</v>
      </c>
      <c r="G1914" s="4">
        <v>3</v>
      </c>
      <c r="H1914" s="13"/>
      <c r="I1914" s="15"/>
      <c r="J1914" s="19">
        <v>3</v>
      </c>
      <c r="K1914" s="2" t="s">
        <v>3840</v>
      </c>
      <c r="L1914" s="11" t="str">
        <f t="shared" si="30"/>
        <v>Ver Imagen</v>
      </c>
      <c r="M1914" t="s">
        <v>15</v>
      </c>
    </row>
    <row r="1915" spans="1:13" x14ac:dyDescent="0.25">
      <c r="A1915">
        <v>1914</v>
      </c>
      <c r="B1915" t="s">
        <v>3841</v>
      </c>
      <c r="C1915" s="1">
        <v>37.440761815800002</v>
      </c>
      <c r="D1915" s="1">
        <v>-7.0892404666399997</v>
      </c>
      <c r="E1915" s="3">
        <v>3</v>
      </c>
      <c r="F1915" s="2">
        <v>3</v>
      </c>
      <c r="G1915" s="4">
        <v>3</v>
      </c>
      <c r="H1915" s="13"/>
      <c r="I1915" s="15"/>
      <c r="J1915" s="19">
        <v>3</v>
      </c>
      <c r="K1915" s="2" t="s">
        <v>3842</v>
      </c>
      <c r="L1915" s="11" t="str">
        <f t="shared" si="30"/>
        <v>Ver Imagen</v>
      </c>
      <c r="M1915" t="s">
        <v>15</v>
      </c>
    </row>
    <row r="1916" spans="1:13" x14ac:dyDescent="0.25">
      <c r="A1916">
        <v>1915</v>
      </c>
      <c r="B1916" t="s">
        <v>3843</v>
      </c>
      <c r="C1916" s="1">
        <v>37.4405684615</v>
      </c>
      <c r="D1916" s="1">
        <v>-7.0888344975899997</v>
      </c>
      <c r="E1916" s="3">
        <v>3</v>
      </c>
      <c r="F1916" s="2">
        <v>3</v>
      </c>
      <c r="G1916" s="4">
        <v>3</v>
      </c>
      <c r="H1916" s="13"/>
      <c r="I1916" s="15"/>
      <c r="J1916" s="19">
        <v>3</v>
      </c>
      <c r="K1916" s="2" t="s">
        <v>3844</v>
      </c>
      <c r="L1916" s="11" t="str">
        <f t="shared" si="30"/>
        <v>Ver Imagen</v>
      </c>
      <c r="M1916" t="s">
        <v>15</v>
      </c>
    </row>
    <row r="1917" spans="1:13" x14ac:dyDescent="0.25">
      <c r="A1917">
        <v>1916</v>
      </c>
      <c r="B1917" t="s">
        <v>3845</v>
      </c>
      <c r="C1917" s="1">
        <v>37.439615689599997</v>
      </c>
      <c r="D1917" s="1">
        <v>-7.0868503807399996</v>
      </c>
      <c r="E1917" s="3">
        <v>3</v>
      </c>
      <c r="F1917" s="2">
        <v>3</v>
      </c>
      <c r="G1917" s="4">
        <v>3</v>
      </c>
      <c r="H1917" s="13"/>
      <c r="I1917" s="15"/>
      <c r="J1917" s="19">
        <v>3</v>
      </c>
      <c r="K1917" s="2" t="s">
        <v>3846</v>
      </c>
      <c r="L1917" s="11" t="str">
        <f t="shared" si="30"/>
        <v>Ver Imagen</v>
      </c>
      <c r="M1917" t="s">
        <v>15</v>
      </c>
    </row>
    <row r="1918" spans="1:13" x14ac:dyDescent="0.25">
      <c r="A1918">
        <v>1917</v>
      </c>
      <c r="B1918" t="s">
        <v>3847</v>
      </c>
      <c r="C1918" s="1">
        <v>37.439522177400001</v>
      </c>
      <c r="D1918" s="1">
        <v>-7.0866505319900002</v>
      </c>
      <c r="E1918" s="3">
        <v>3</v>
      </c>
      <c r="F1918" s="2">
        <v>3</v>
      </c>
      <c r="G1918" s="4">
        <v>3</v>
      </c>
      <c r="H1918" s="13"/>
      <c r="I1918" s="15"/>
      <c r="J1918" s="19">
        <v>3</v>
      </c>
      <c r="K1918" s="2" t="s">
        <v>3848</v>
      </c>
      <c r="L1918" s="11" t="str">
        <f t="shared" ref="L1918:L1981" si="31">HYPERLINK("3\0\" &amp; K1918, "Ver Imagen")</f>
        <v>Ver Imagen</v>
      </c>
      <c r="M1918" t="s">
        <v>15</v>
      </c>
    </row>
    <row r="1919" spans="1:13" x14ac:dyDescent="0.25">
      <c r="A1919">
        <v>1918</v>
      </c>
      <c r="B1919" t="s">
        <v>3849</v>
      </c>
      <c r="C1919" s="1">
        <v>37.438914690799997</v>
      </c>
      <c r="D1919" s="1">
        <v>-7.0853065706600002</v>
      </c>
      <c r="E1919" s="3">
        <v>3</v>
      </c>
      <c r="F1919" s="2">
        <v>3</v>
      </c>
      <c r="G1919" s="4">
        <v>3</v>
      </c>
      <c r="H1919" s="13"/>
      <c r="I1919" s="15"/>
      <c r="J1919" s="19">
        <v>3</v>
      </c>
      <c r="K1919" s="2" t="s">
        <v>3850</v>
      </c>
      <c r="L1919" s="11" t="str">
        <f t="shared" si="31"/>
        <v>Ver Imagen</v>
      </c>
      <c r="M1919" t="s">
        <v>15</v>
      </c>
    </row>
    <row r="1920" spans="1:13" x14ac:dyDescent="0.25">
      <c r="A1920">
        <v>1919</v>
      </c>
      <c r="B1920" t="s">
        <v>3851</v>
      </c>
      <c r="C1920" s="1">
        <v>37.437860721600003</v>
      </c>
      <c r="D1920" s="1">
        <v>-7.0823105965700002</v>
      </c>
      <c r="E1920" s="3">
        <v>3</v>
      </c>
      <c r="F1920" s="2">
        <v>3</v>
      </c>
      <c r="G1920" s="4">
        <v>3</v>
      </c>
      <c r="H1920" s="13"/>
      <c r="I1920" s="15"/>
      <c r="J1920" s="19">
        <v>3</v>
      </c>
      <c r="K1920" s="2" t="s">
        <v>3852</v>
      </c>
      <c r="L1920" s="11" t="str">
        <f t="shared" si="31"/>
        <v>Ver Imagen</v>
      </c>
      <c r="M1920" t="s">
        <v>15</v>
      </c>
    </row>
    <row r="1921" spans="1:13" x14ac:dyDescent="0.25">
      <c r="A1921">
        <v>1920</v>
      </c>
      <c r="B1921" t="s">
        <v>3853</v>
      </c>
      <c r="C1921" s="1">
        <v>37.436849297800002</v>
      </c>
      <c r="D1921" s="1">
        <v>-7.0794261373399996</v>
      </c>
      <c r="E1921" s="3">
        <v>3</v>
      </c>
      <c r="F1921" s="2">
        <v>3</v>
      </c>
      <c r="G1921" s="4">
        <v>3</v>
      </c>
      <c r="H1921" s="13"/>
      <c r="I1921" s="15"/>
      <c r="J1921" s="19">
        <v>3</v>
      </c>
      <c r="K1921" s="2" t="s">
        <v>3854</v>
      </c>
      <c r="L1921" s="11" t="str">
        <f t="shared" si="31"/>
        <v>Ver Imagen</v>
      </c>
      <c r="M1921" t="s">
        <v>15</v>
      </c>
    </row>
    <row r="1922" spans="1:13" x14ac:dyDescent="0.25">
      <c r="A1922">
        <v>1921</v>
      </c>
      <c r="B1922" t="s">
        <v>3855</v>
      </c>
      <c r="C1922" s="1">
        <v>37.436769644500004</v>
      </c>
      <c r="D1922" s="1">
        <v>-7.0791986151600002</v>
      </c>
      <c r="E1922" s="3">
        <v>3</v>
      </c>
      <c r="F1922" s="2">
        <v>3</v>
      </c>
      <c r="G1922" s="4">
        <v>3</v>
      </c>
      <c r="H1922" s="13"/>
      <c r="I1922" s="15"/>
      <c r="J1922" s="19">
        <v>3</v>
      </c>
      <c r="K1922" s="2" t="s">
        <v>3856</v>
      </c>
      <c r="L1922" s="11" t="str">
        <f t="shared" si="31"/>
        <v>Ver Imagen</v>
      </c>
      <c r="M1922" t="s">
        <v>15</v>
      </c>
    </row>
    <row r="1923" spans="1:13" x14ac:dyDescent="0.25">
      <c r="A1923">
        <v>1922</v>
      </c>
      <c r="B1923" t="s">
        <v>3857</v>
      </c>
      <c r="C1923" s="1">
        <v>37.436030851699996</v>
      </c>
      <c r="D1923" s="1">
        <v>-7.077123705</v>
      </c>
      <c r="E1923" s="3">
        <v>3</v>
      </c>
      <c r="F1923" s="2">
        <v>3</v>
      </c>
      <c r="G1923" s="4">
        <v>3</v>
      </c>
      <c r="H1923" s="13"/>
      <c r="I1923" s="15"/>
      <c r="J1923" s="19">
        <v>3</v>
      </c>
      <c r="K1923" s="2" t="s">
        <v>3858</v>
      </c>
      <c r="L1923" s="11" t="str">
        <f t="shared" si="31"/>
        <v>Ver Imagen</v>
      </c>
      <c r="M1923" t="s">
        <v>15</v>
      </c>
    </row>
    <row r="1924" spans="1:13" x14ac:dyDescent="0.25">
      <c r="A1924">
        <v>1923</v>
      </c>
      <c r="B1924" t="s">
        <v>3859</v>
      </c>
      <c r="C1924" s="1">
        <v>37.435395258699998</v>
      </c>
      <c r="D1924" s="1">
        <v>-7.0765219461899997</v>
      </c>
      <c r="E1924" s="3">
        <v>3</v>
      </c>
      <c r="F1924" s="2">
        <v>3</v>
      </c>
      <c r="G1924" s="4">
        <v>3</v>
      </c>
      <c r="H1924" s="13"/>
      <c r="I1924" s="15"/>
      <c r="J1924" s="19">
        <v>3</v>
      </c>
      <c r="K1924" s="2" t="s">
        <v>3860</v>
      </c>
      <c r="L1924" s="11" t="str">
        <f t="shared" si="31"/>
        <v>Ver Imagen</v>
      </c>
      <c r="M1924" t="s">
        <v>15</v>
      </c>
    </row>
    <row r="1925" spans="1:13" x14ac:dyDescent="0.25">
      <c r="A1925">
        <v>1924</v>
      </c>
      <c r="B1925" t="s">
        <v>3861</v>
      </c>
      <c r="C1925" s="1">
        <v>37.221358073799998</v>
      </c>
      <c r="D1925" s="1">
        <v>-7.0540878887499998</v>
      </c>
      <c r="E1925" s="3">
        <v>3</v>
      </c>
      <c r="F1925" s="2">
        <v>3</v>
      </c>
      <c r="G1925" s="4">
        <v>3</v>
      </c>
      <c r="H1925" s="13"/>
      <c r="I1925" s="15"/>
      <c r="J1925" s="19">
        <v>3</v>
      </c>
      <c r="K1925" s="2" t="s">
        <v>3862</v>
      </c>
      <c r="L1925" s="11" t="str">
        <f t="shared" si="31"/>
        <v>Ver Imagen</v>
      </c>
      <c r="M1925" t="s">
        <v>15</v>
      </c>
    </row>
    <row r="1926" spans="1:13" x14ac:dyDescent="0.25">
      <c r="A1926">
        <v>1925</v>
      </c>
      <c r="B1926" t="s">
        <v>3863</v>
      </c>
      <c r="C1926" s="1">
        <v>37.223401336899997</v>
      </c>
      <c r="D1926" s="1">
        <v>-7.0559805666999997</v>
      </c>
      <c r="E1926" s="3">
        <v>3</v>
      </c>
      <c r="F1926" s="2">
        <v>3</v>
      </c>
      <c r="G1926" s="4">
        <v>3</v>
      </c>
      <c r="H1926" s="13"/>
      <c r="I1926" s="15"/>
      <c r="J1926" s="19">
        <v>3</v>
      </c>
      <c r="K1926" s="2" t="s">
        <v>3864</v>
      </c>
      <c r="L1926" s="11" t="str">
        <f t="shared" si="31"/>
        <v>Ver Imagen</v>
      </c>
      <c r="M1926" t="s">
        <v>15</v>
      </c>
    </row>
    <row r="1927" spans="1:13" x14ac:dyDescent="0.25">
      <c r="A1927">
        <v>1926</v>
      </c>
      <c r="B1927" t="s">
        <v>3865</v>
      </c>
      <c r="C1927" s="1">
        <v>37.224104197000003</v>
      </c>
      <c r="D1927" s="1">
        <v>-7.0563825033100001</v>
      </c>
      <c r="E1927" s="3">
        <v>3</v>
      </c>
      <c r="F1927" s="2">
        <v>3</v>
      </c>
      <c r="G1927" s="4">
        <v>3</v>
      </c>
      <c r="H1927" s="13"/>
      <c r="I1927" s="15"/>
      <c r="J1927" s="19">
        <v>3</v>
      </c>
      <c r="K1927" s="2" t="s">
        <v>3866</v>
      </c>
      <c r="L1927" s="11" t="str">
        <f t="shared" si="31"/>
        <v>Ver Imagen</v>
      </c>
      <c r="M1927" t="s">
        <v>15</v>
      </c>
    </row>
    <row r="1928" spans="1:13" x14ac:dyDescent="0.25">
      <c r="A1928">
        <v>1927</v>
      </c>
      <c r="B1928" t="s">
        <v>3867</v>
      </c>
      <c r="C1928" s="1">
        <v>37.224291280499997</v>
      </c>
      <c r="D1928" s="1">
        <v>-7.0565774372899996</v>
      </c>
      <c r="E1928" s="3">
        <v>3</v>
      </c>
      <c r="F1928" s="2">
        <v>3</v>
      </c>
      <c r="G1928" s="4">
        <v>3</v>
      </c>
      <c r="H1928" s="13"/>
      <c r="I1928" s="15"/>
      <c r="J1928" s="19">
        <v>3</v>
      </c>
      <c r="K1928" s="2" t="s">
        <v>3868</v>
      </c>
      <c r="L1928" s="11" t="str">
        <f t="shared" si="31"/>
        <v>Ver Imagen</v>
      </c>
      <c r="M1928" t="s">
        <v>15</v>
      </c>
    </row>
    <row r="1929" spans="1:13" x14ac:dyDescent="0.25">
      <c r="A1929">
        <v>1928</v>
      </c>
      <c r="B1929" t="s">
        <v>3869</v>
      </c>
      <c r="C1929" s="1">
        <v>37.435134329599997</v>
      </c>
      <c r="D1929" s="1">
        <v>-7.0705233491900001</v>
      </c>
      <c r="E1929" s="3">
        <v>3</v>
      </c>
      <c r="F1929" s="2">
        <v>3</v>
      </c>
      <c r="G1929" s="4">
        <v>3</v>
      </c>
      <c r="H1929" s="13"/>
      <c r="I1929" s="15"/>
      <c r="J1929" s="19">
        <v>3</v>
      </c>
      <c r="K1929" s="2" t="s">
        <v>3870</v>
      </c>
      <c r="L1929" s="11" t="str">
        <f t="shared" si="31"/>
        <v>Ver Imagen</v>
      </c>
      <c r="M1929" t="s">
        <v>15</v>
      </c>
    </row>
    <row r="1930" spans="1:13" x14ac:dyDescent="0.25">
      <c r="A1930">
        <v>1929</v>
      </c>
      <c r="B1930" t="s">
        <v>3871</v>
      </c>
      <c r="C1930" s="1">
        <v>37.227319365600003</v>
      </c>
      <c r="D1930" s="1">
        <v>-7.0608759962600001</v>
      </c>
      <c r="E1930" s="3">
        <v>3</v>
      </c>
      <c r="F1930" s="2">
        <v>3</v>
      </c>
      <c r="G1930" s="4">
        <v>3</v>
      </c>
      <c r="H1930" s="13"/>
      <c r="I1930" s="15"/>
      <c r="J1930" s="19">
        <v>3</v>
      </c>
      <c r="K1930" s="2" t="s">
        <v>3872</v>
      </c>
      <c r="L1930" s="11" t="str">
        <f t="shared" si="31"/>
        <v>Ver Imagen</v>
      </c>
      <c r="M1930" t="s">
        <v>15</v>
      </c>
    </row>
    <row r="1931" spans="1:13" x14ac:dyDescent="0.25">
      <c r="A1931">
        <v>1930</v>
      </c>
      <c r="B1931" t="s">
        <v>3873</v>
      </c>
      <c r="C1931" s="1">
        <v>37.227690576199997</v>
      </c>
      <c r="D1931" s="1">
        <v>-7.06105400585</v>
      </c>
      <c r="E1931" s="3">
        <v>3</v>
      </c>
      <c r="F1931" s="2">
        <v>3</v>
      </c>
      <c r="G1931" s="4">
        <v>3</v>
      </c>
      <c r="H1931" s="13"/>
      <c r="I1931" s="15"/>
      <c r="J1931" s="19">
        <v>3</v>
      </c>
      <c r="K1931" s="2" t="s">
        <v>3874</v>
      </c>
      <c r="L1931" s="11" t="str">
        <f t="shared" si="31"/>
        <v>Ver Imagen</v>
      </c>
      <c r="M1931" t="s">
        <v>15</v>
      </c>
    </row>
    <row r="1932" spans="1:13" x14ac:dyDescent="0.25">
      <c r="A1932">
        <v>1931</v>
      </c>
      <c r="B1932" t="s">
        <v>3875</v>
      </c>
      <c r="C1932" s="1">
        <v>37.228943576399999</v>
      </c>
      <c r="D1932" s="1">
        <v>-7.0623337164800004</v>
      </c>
      <c r="E1932" s="3">
        <v>3</v>
      </c>
      <c r="F1932" s="2">
        <v>3</v>
      </c>
      <c r="G1932" s="4">
        <v>3</v>
      </c>
      <c r="H1932" s="13"/>
      <c r="I1932" s="15"/>
      <c r="J1932" s="19">
        <v>3</v>
      </c>
      <c r="K1932" s="2" t="s">
        <v>3876</v>
      </c>
      <c r="L1932" s="11" t="str">
        <f t="shared" si="31"/>
        <v>Ver Imagen</v>
      </c>
      <c r="M1932" t="s">
        <v>15</v>
      </c>
    </row>
    <row r="1933" spans="1:13" x14ac:dyDescent="0.25">
      <c r="A1933">
        <v>1932</v>
      </c>
      <c r="B1933" t="s">
        <v>3877</v>
      </c>
      <c r="C1933" s="1">
        <v>37.229395754400002</v>
      </c>
      <c r="D1933" s="1">
        <v>-7.0628365230899997</v>
      </c>
      <c r="E1933" s="3">
        <v>3</v>
      </c>
      <c r="F1933" s="2">
        <v>3</v>
      </c>
      <c r="G1933" s="4">
        <v>3</v>
      </c>
      <c r="H1933" s="13"/>
      <c r="I1933" s="15"/>
      <c r="J1933" s="19">
        <v>3</v>
      </c>
      <c r="K1933" s="2" t="s">
        <v>3878</v>
      </c>
      <c r="L1933" s="11" t="str">
        <f t="shared" si="31"/>
        <v>Ver Imagen</v>
      </c>
      <c r="M1933" t="s">
        <v>15</v>
      </c>
    </row>
    <row r="1934" spans="1:13" x14ac:dyDescent="0.25">
      <c r="A1934">
        <v>1933</v>
      </c>
      <c r="B1934" t="s">
        <v>3879</v>
      </c>
      <c r="C1934" s="1">
        <v>37.433920874099996</v>
      </c>
      <c r="D1934" s="1">
        <v>-7.0670320470199997</v>
      </c>
      <c r="E1934" s="3">
        <v>3</v>
      </c>
      <c r="F1934" s="2">
        <v>3</v>
      </c>
      <c r="G1934" s="4">
        <v>3</v>
      </c>
      <c r="H1934" s="13"/>
      <c r="I1934" s="15"/>
      <c r="J1934" s="19">
        <v>3</v>
      </c>
      <c r="K1934" s="2" t="s">
        <v>3880</v>
      </c>
      <c r="L1934" s="11" t="str">
        <f t="shared" si="31"/>
        <v>Ver Imagen</v>
      </c>
      <c r="M1934" t="s">
        <v>15</v>
      </c>
    </row>
    <row r="1935" spans="1:13" x14ac:dyDescent="0.25">
      <c r="A1935">
        <v>1934</v>
      </c>
      <c r="B1935" t="s">
        <v>3881</v>
      </c>
      <c r="C1935" s="1">
        <v>37.229727327699997</v>
      </c>
      <c r="D1935" s="1">
        <v>-7.0631008531899999</v>
      </c>
      <c r="E1935" s="3">
        <v>3</v>
      </c>
      <c r="F1935" s="2">
        <v>3</v>
      </c>
      <c r="G1935" s="4">
        <v>3</v>
      </c>
      <c r="H1935" s="13"/>
      <c r="I1935" s="15"/>
      <c r="J1935" s="19">
        <v>3</v>
      </c>
      <c r="K1935" s="2" t="s">
        <v>3882</v>
      </c>
      <c r="L1935" s="11" t="str">
        <f t="shared" si="31"/>
        <v>Ver Imagen</v>
      </c>
      <c r="M1935" t="s">
        <v>15</v>
      </c>
    </row>
    <row r="1936" spans="1:13" x14ac:dyDescent="0.25">
      <c r="A1936">
        <v>1935</v>
      </c>
      <c r="B1936" t="s">
        <v>3883</v>
      </c>
      <c r="C1936" s="1">
        <v>37.230506396700001</v>
      </c>
      <c r="D1936" s="1">
        <v>-7.0633673250299998</v>
      </c>
      <c r="E1936" s="3">
        <v>3</v>
      </c>
      <c r="F1936" s="2">
        <v>3</v>
      </c>
      <c r="G1936" s="4">
        <v>3</v>
      </c>
      <c r="H1936" s="13"/>
      <c r="I1936" s="15"/>
      <c r="J1936" s="19">
        <v>3</v>
      </c>
      <c r="K1936" s="2" t="s">
        <v>3884</v>
      </c>
      <c r="L1936" s="11" t="str">
        <f t="shared" si="31"/>
        <v>Ver Imagen</v>
      </c>
      <c r="M1936" t="s">
        <v>15</v>
      </c>
    </row>
    <row r="1937" spans="1:13" x14ac:dyDescent="0.25">
      <c r="A1937">
        <v>1936</v>
      </c>
      <c r="B1937" t="s">
        <v>3885</v>
      </c>
      <c r="C1937" s="1">
        <v>37.230907637000001</v>
      </c>
      <c r="D1937" s="1">
        <v>-7.06343129462</v>
      </c>
      <c r="E1937" s="3">
        <v>3</v>
      </c>
      <c r="F1937" s="2">
        <v>3</v>
      </c>
      <c r="G1937" s="4">
        <v>3</v>
      </c>
      <c r="H1937" s="13"/>
      <c r="I1937" s="15"/>
      <c r="J1937" s="19">
        <v>3</v>
      </c>
      <c r="K1937" s="2" t="s">
        <v>3886</v>
      </c>
      <c r="L1937" s="11" t="str">
        <f t="shared" si="31"/>
        <v>Ver Imagen</v>
      </c>
      <c r="M1937" t="s">
        <v>15</v>
      </c>
    </row>
    <row r="1938" spans="1:13" x14ac:dyDescent="0.25">
      <c r="A1938">
        <v>1937</v>
      </c>
      <c r="B1938" t="s">
        <v>3887</v>
      </c>
      <c r="C1938" s="1">
        <v>37.2311021354</v>
      </c>
      <c r="D1938" s="1">
        <v>-7.0634837103199999</v>
      </c>
      <c r="E1938" s="3">
        <v>3</v>
      </c>
      <c r="F1938" s="2">
        <v>3</v>
      </c>
      <c r="G1938" s="4">
        <v>3</v>
      </c>
      <c r="H1938" s="13"/>
      <c r="I1938" s="15"/>
      <c r="J1938" s="19">
        <v>3</v>
      </c>
      <c r="K1938" s="2" t="s">
        <v>3888</v>
      </c>
      <c r="L1938" s="11" t="str">
        <f t="shared" si="31"/>
        <v>Ver Imagen</v>
      </c>
      <c r="M1938" t="s">
        <v>15</v>
      </c>
    </row>
    <row r="1939" spans="1:13" x14ac:dyDescent="0.25">
      <c r="A1939">
        <v>1938</v>
      </c>
      <c r="B1939" t="s">
        <v>3889</v>
      </c>
      <c r="C1939" s="1">
        <v>37.231463289700002</v>
      </c>
      <c r="D1939" s="1">
        <v>-7.0636714007299997</v>
      </c>
      <c r="E1939" s="3">
        <v>3</v>
      </c>
      <c r="F1939" s="2">
        <v>3</v>
      </c>
      <c r="G1939" s="4">
        <v>3</v>
      </c>
      <c r="H1939" s="13"/>
      <c r="I1939" s="15"/>
      <c r="J1939" s="19">
        <v>3</v>
      </c>
      <c r="K1939" s="2" t="s">
        <v>3890</v>
      </c>
      <c r="L1939" s="11" t="str">
        <f t="shared" si="31"/>
        <v>Ver Imagen</v>
      </c>
      <c r="M1939" t="s">
        <v>15</v>
      </c>
    </row>
    <row r="1940" spans="1:13" x14ac:dyDescent="0.25">
      <c r="A1940">
        <v>1939</v>
      </c>
      <c r="B1940" t="s">
        <v>3891</v>
      </c>
      <c r="C1940" s="1">
        <v>37.231973356399997</v>
      </c>
      <c r="D1940" s="1">
        <v>-7.0640982248300004</v>
      </c>
      <c r="E1940" s="3">
        <v>3</v>
      </c>
      <c r="F1940" s="2">
        <v>3</v>
      </c>
      <c r="G1940" s="4">
        <v>3</v>
      </c>
      <c r="H1940" s="13"/>
      <c r="I1940" s="15"/>
      <c r="J1940" s="19">
        <v>3</v>
      </c>
      <c r="K1940" s="2" t="s">
        <v>3892</v>
      </c>
      <c r="L1940" s="11" t="str">
        <f t="shared" si="31"/>
        <v>Ver Imagen</v>
      </c>
      <c r="M1940" t="s">
        <v>15</v>
      </c>
    </row>
    <row r="1941" spans="1:13" x14ac:dyDescent="0.25">
      <c r="A1941">
        <v>1940</v>
      </c>
      <c r="B1941" t="s">
        <v>3893</v>
      </c>
      <c r="C1941" s="1">
        <v>37.232771454599998</v>
      </c>
      <c r="D1941" s="1">
        <v>-7.0653009721400002</v>
      </c>
      <c r="E1941" s="3">
        <v>3</v>
      </c>
      <c r="F1941" s="2">
        <v>3</v>
      </c>
      <c r="G1941" s="4">
        <v>3</v>
      </c>
      <c r="H1941" s="13"/>
      <c r="I1941" s="15"/>
      <c r="J1941" s="19">
        <v>3</v>
      </c>
      <c r="K1941" s="2" t="s">
        <v>3894</v>
      </c>
      <c r="L1941" s="11" t="str">
        <f t="shared" si="31"/>
        <v>Ver Imagen</v>
      </c>
      <c r="M1941" t="s">
        <v>15</v>
      </c>
    </row>
    <row r="1942" spans="1:13" x14ac:dyDescent="0.25">
      <c r="A1942">
        <v>1941</v>
      </c>
      <c r="B1942" t="s">
        <v>3895</v>
      </c>
      <c r="C1942" s="1">
        <v>37.232865803099997</v>
      </c>
      <c r="D1942" s="1">
        <v>-7.0654634964599996</v>
      </c>
      <c r="E1942" s="3">
        <v>3</v>
      </c>
      <c r="F1942" s="2">
        <v>3</v>
      </c>
      <c r="G1942" s="4">
        <v>3</v>
      </c>
      <c r="H1942" s="13"/>
      <c r="I1942" s="15"/>
      <c r="J1942" s="19">
        <v>3</v>
      </c>
      <c r="K1942" s="2" t="s">
        <v>3896</v>
      </c>
      <c r="L1942" s="11" t="str">
        <f t="shared" si="31"/>
        <v>Ver Imagen</v>
      </c>
      <c r="M1942" t="s">
        <v>15</v>
      </c>
    </row>
    <row r="1943" spans="1:13" x14ac:dyDescent="0.25">
      <c r="A1943">
        <v>1942</v>
      </c>
      <c r="B1943" t="s">
        <v>3897</v>
      </c>
      <c r="C1943" s="1">
        <v>37.233279525100002</v>
      </c>
      <c r="D1943" s="1">
        <v>-7.0660011768200004</v>
      </c>
      <c r="E1943" s="3">
        <v>3</v>
      </c>
      <c r="F1943" s="2">
        <v>3</v>
      </c>
      <c r="G1943" s="4">
        <v>3</v>
      </c>
      <c r="H1943" s="13"/>
      <c r="I1943" s="15"/>
      <c r="J1943" s="19">
        <v>3</v>
      </c>
      <c r="K1943" s="2" t="s">
        <v>3898</v>
      </c>
      <c r="L1943" s="11" t="str">
        <f t="shared" si="31"/>
        <v>Ver Imagen</v>
      </c>
      <c r="M1943" t="s">
        <v>15</v>
      </c>
    </row>
    <row r="1944" spans="1:13" x14ac:dyDescent="0.25">
      <c r="A1944">
        <v>1943</v>
      </c>
      <c r="B1944" t="s">
        <v>3899</v>
      </c>
      <c r="C1944" s="1">
        <v>37.432783676699998</v>
      </c>
      <c r="D1944" s="1">
        <v>-7.0645535522299996</v>
      </c>
      <c r="E1944" s="3">
        <v>3</v>
      </c>
      <c r="F1944" s="2">
        <v>3</v>
      </c>
      <c r="G1944" s="4">
        <v>3</v>
      </c>
      <c r="H1944" s="13"/>
      <c r="I1944" s="15"/>
      <c r="J1944" s="19">
        <v>3</v>
      </c>
      <c r="K1944" s="2" t="s">
        <v>3900</v>
      </c>
      <c r="L1944" s="11" t="str">
        <f t="shared" si="31"/>
        <v>Ver Imagen</v>
      </c>
      <c r="M1944" t="s">
        <v>15</v>
      </c>
    </row>
    <row r="1945" spans="1:13" x14ac:dyDescent="0.25">
      <c r="A1945">
        <v>1944</v>
      </c>
      <c r="B1945" t="s">
        <v>3901</v>
      </c>
      <c r="C1945" s="1">
        <v>37.432719212800002</v>
      </c>
      <c r="D1945" s="1">
        <v>-7.0644133700599996</v>
      </c>
      <c r="E1945" s="3">
        <v>3</v>
      </c>
      <c r="F1945" s="2">
        <v>3</v>
      </c>
      <c r="G1945" s="4">
        <v>3</v>
      </c>
      <c r="H1945" s="13"/>
      <c r="I1945" s="15"/>
      <c r="J1945" s="19">
        <v>3</v>
      </c>
      <c r="K1945" s="2" t="s">
        <v>3902</v>
      </c>
      <c r="L1945" s="11" t="str">
        <f t="shared" si="31"/>
        <v>Ver Imagen</v>
      </c>
      <c r="M1945" t="s">
        <v>15</v>
      </c>
    </row>
    <row r="1946" spans="1:13" x14ac:dyDescent="0.25">
      <c r="A1946">
        <v>1945</v>
      </c>
      <c r="B1946" t="s">
        <v>3903</v>
      </c>
      <c r="C1946" s="1">
        <v>37.225342224400002</v>
      </c>
      <c r="D1946" s="1">
        <v>-7.02954531501</v>
      </c>
      <c r="E1946" s="3">
        <v>3</v>
      </c>
      <c r="F1946" s="2">
        <v>3</v>
      </c>
      <c r="G1946" s="4">
        <v>3</v>
      </c>
      <c r="H1946" s="13"/>
      <c r="I1946" s="15"/>
      <c r="J1946" s="19">
        <v>3</v>
      </c>
      <c r="K1946" s="2" t="s">
        <v>3904</v>
      </c>
      <c r="L1946" s="11" t="str">
        <f t="shared" si="31"/>
        <v>Ver Imagen</v>
      </c>
      <c r="M1946" t="s">
        <v>15</v>
      </c>
    </row>
    <row r="1947" spans="1:13" x14ac:dyDescent="0.25">
      <c r="A1947">
        <v>1946</v>
      </c>
      <c r="B1947" t="s">
        <v>3905</v>
      </c>
      <c r="C1947" s="1">
        <v>37.2253513223</v>
      </c>
      <c r="D1947" s="1">
        <v>-7.0300502040700001</v>
      </c>
      <c r="E1947" s="3">
        <v>3</v>
      </c>
      <c r="F1947" s="2">
        <v>3</v>
      </c>
      <c r="G1947" s="4">
        <v>3</v>
      </c>
      <c r="H1947" s="13"/>
      <c r="I1947" s="15"/>
      <c r="J1947" s="19">
        <v>3</v>
      </c>
      <c r="K1947" s="2" t="s">
        <v>3906</v>
      </c>
      <c r="L1947" s="11" t="str">
        <f t="shared" si="31"/>
        <v>Ver Imagen</v>
      </c>
      <c r="M1947" t="s">
        <v>15</v>
      </c>
    </row>
    <row r="1948" spans="1:13" x14ac:dyDescent="0.25">
      <c r="A1948">
        <v>1947</v>
      </c>
      <c r="B1948" t="s">
        <v>3907</v>
      </c>
      <c r="C1948" s="1">
        <v>37.225348266099999</v>
      </c>
      <c r="D1948" s="1">
        <v>-7.0302849456400001</v>
      </c>
      <c r="E1948" s="3">
        <v>3</v>
      </c>
      <c r="F1948" s="2">
        <v>3</v>
      </c>
      <c r="G1948" s="4">
        <v>3</v>
      </c>
      <c r="H1948" s="13"/>
      <c r="I1948" s="15"/>
      <c r="J1948" s="19">
        <v>3</v>
      </c>
      <c r="K1948" s="2" t="s">
        <v>3908</v>
      </c>
      <c r="L1948" s="11" t="str">
        <f t="shared" si="31"/>
        <v>Ver Imagen</v>
      </c>
      <c r="M1948" t="s">
        <v>15</v>
      </c>
    </row>
    <row r="1949" spans="1:13" x14ac:dyDescent="0.25">
      <c r="A1949">
        <v>1948</v>
      </c>
      <c r="B1949" t="s">
        <v>3909</v>
      </c>
      <c r="C1949" s="1">
        <v>37.225279046099999</v>
      </c>
      <c r="D1949" s="1">
        <v>-7.0313062224999996</v>
      </c>
      <c r="E1949" s="3">
        <v>3</v>
      </c>
      <c r="F1949" s="2">
        <v>3</v>
      </c>
      <c r="G1949" s="4">
        <v>3</v>
      </c>
      <c r="H1949" s="13"/>
      <c r="I1949" s="15"/>
      <c r="J1949" s="19">
        <v>3</v>
      </c>
      <c r="K1949" s="2" t="s">
        <v>3910</v>
      </c>
      <c r="L1949" s="11" t="str">
        <f t="shared" si="31"/>
        <v>Ver Imagen</v>
      </c>
      <c r="M1949" t="s">
        <v>15</v>
      </c>
    </row>
    <row r="1950" spans="1:13" x14ac:dyDescent="0.25">
      <c r="A1950">
        <v>1949</v>
      </c>
      <c r="B1950" t="s">
        <v>3911</v>
      </c>
      <c r="C1950" s="1">
        <v>37.225212691400003</v>
      </c>
      <c r="D1950" s="1">
        <v>-7.0320697007300002</v>
      </c>
      <c r="E1950" s="3">
        <v>3</v>
      </c>
      <c r="F1950" s="2">
        <v>3</v>
      </c>
      <c r="G1950" s="4">
        <v>3</v>
      </c>
      <c r="H1950" s="13"/>
      <c r="I1950" s="15"/>
      <c r="J1950" s="19">
        <v>3</v>
      </c>
      <c r="K1950" s="2" t="s">
        <v>3912</v>
      </c>
      <c r="L1950" s="11" t="str">
        <f t="shared" si="31"/>
        <v>Ver Imagen</v>
      </c>
      <c r="M1950" t="s">
        <v>15</v>
      </c>
    </row>
    <row r="1951" spans="1:13" x14ac:dyDescent="0.25">
      <c r="A1951">
        <v>1950</v>
      </c>
      <c r="B1951" t="s">
        <v>3913</v>
      </c>
      <c r="C1951" s="1">
        <v>37.225187366</v>
      </c>
      <c r="D1951" s="1">
        <v>-7.0323015306599999</v>
      </c>
      <c r="E1951" s="3">
        <v>3</v>
      </c>
      <c r="F1951" s="2">
        <v>3</v>
      </c>
      <c r="G1951" s="4">
        <v>3</v>
      </c>
      <c r="H1951" s="13"/>
      <c r="I1951" s="15"/>
      <c r="J1951" s="19">
        <v>3</v>
      </c>
      <c r="K1951" s="2" t="s">
        <v>3914</v>
      </c>
      <c r="L1951" s="11" t="str">
        <f t="shared" si="31"/>
        <v>Ver Imagen</v>
      </c>
      <c r="M1951" t="s">
        <v>15</v>
      </c>
    </row>
    <row r="1952" spans="1:13" x14ac:dyDescent="0.25">
      <c r="A1952">
        <v>1951</v>
      </c>
      <c r="B1952" t="s">
        <v>3915</v>
      </c>
      <c r="C1952" s="1">
        <v>37.2251498117</v>
      </c>
      <c r="D1952" s="1">
        <v>-7.0325611403500004</v>
      </c>
      <c r="E1952" s="3">
        <v>3</v>
      </c>
      <c r="F1952" s="2">
        <v>3</v>
      </c>
      <c r="G1952" s="4">
        <v>3</v>
      </c>
      <c r="H1952" s="13"/>
      <c r="I1952" s="15"/>
      <c r="J1952" s="19">
        <v>3</v>
      </c>
      <c r="K1952" s="2" t="s">
        <v>3916</v>
      </c>
      <c r="L1952" s="11" t="str">
        <f t="shared" si="31"/>
        <v>Ver Imagen</v>
      </c>
      <c r="M1952" t="s">
        <v>15</v>
      </c>
    </row>
    <row r="1953" spans="1:13" x14ac:dyDescent="0.25">
      <c r="A1953">
        <v>1952</v>
      </c>
      <c r="B1953" t="s">
        <v>3917</v>
      </c>
      <c r="C1953" s="1">
        <v>37.225037896000003</v>
      </c>
      <c r="D1953" s="1">
        <v>-7.0330693349800004</v>
      </c>
      <c r="E1953" s="3">
        <v>3</v>
      </c>
      <c r="F1953" s="2">
        <v>3</v>
      </c>
      <c r="G1953" s="4">
        <v>3</v>
      </c>
      <c r="H1953" s="13"/>
      <c r="I1953" s="15"/>
      <c r="J1953" s="19">
        <v>3</v>
      </c>
      <c r="K1953" s="2" t="s">
        <v>3918</v>
      </c>
      <c r="L1953" s="11" t="str">
        <f t="shared" si="31"/>
        <v>Ver Imagen</v>
      </c>
      <c r="M1953" t="s">
        <v>15</v>
      </c>
    </row>
    <row r="1954" spans="1:13" x14ac:dyDescent="0.25">
      <c r="A1954">
        <v>1953</v>
      </c>
      <c r="B1954" t="s">
        <v>3919</v>
      </c>
      <c r="C1954" s="1">
        <v>37.224675766600001</v>
      </c>
      <c r="D1954" s="1">
        <v>-7.0342272151999996</v>
      </c>
      <c r="E1954" s="3">
        <v>3</v>
      </c>
      <c r="F1954" s="2">
        <v>3</v>
      </c>
      <c r="G1954" s="4">
        <v>3</v>
      </c>
      <c r="H1954" s="13"/>
      <c r="I1954" s="15"/>
      <c r="J1954" s="19">
        <v>3</v>
      </c>
      <c r="K1954" s="2" t="s">
        <v>3920</v>
      </c>
      <c r="L1954" s="11" t="str">
        <f t="shared" si="31"/>
        <v>Ver Imagen</v>
      </c>
      <c r="M1954" t="s">
        <v>15</v>
      </c>
    </row>
    <row r="1955" spans="1:13" x14ac:dyDescent="0.25">
      <c r="A1955">
        <v>1954</v>
      </c>
      <c r="B1955" t="s">
        <v>3921</v>
      </c>
      <c r="C1955" s="1">
        <v>37.224564157499998</v>
      </c>
      <c r="D1955" s="1">
        <v>-7.03468739787</v>
      </c>
      <c r="E1955" s="3">
        <v>3</v>
      </c>
      <c r="F1955" s="2">
        <v>3</v>
      </c>
      <c r="G1955" s="4">
        <v>3</v>
      </c>
      <c r="H1955" s="13"/>
      <c r="I1955" s="15"/>
      <c r="J1955" s="19">
        <v>3</v>
      </c>
      <c r="K1955" s="2" t="s">
        <v>3922</v>
      </c>
      <c r="L1955" s="11" t="str">
        <f t="shared" si="31"/>
        <v>Ver Imagen</v>
      </c>
      <c r="M1955" t="s">
        <v>15</v>
      </c>
    </row>
    <row r="1956" spans="1:13" x14ac:dyDescent="0.25">
      <c r="A1956">
        <v>1955</v>
      </c>
      <c r="B1956" t="s">
        <v>3923</v>
      </c>
      <c r="C1956" s="1">
        <v>37.431696626799997</v>
      </c>
      <c r="D1956" s="1">
        <v>-7.06219628807</v>
      </c>
      <c r="E1956" s="3">
        <v>3</v>
      </c>
      <c r="F1956" s="2">
        <v>3</v>
      </c>
      <c r="G1956" s="4">
        <v>3</v>
      </c>
      <c r="H1956" s="13"/>
      <c r="I1956" s="15"/>
      <c r="J1956" s="19">
        <v>3</v>
      </c>
      <c r="K1956" s="2" t="s">
        <v>3924</v>
      </c>
      <c r="L1956" s="11" t="str">
        <f t="shared" si="31"/>
        <v>Ver Imagen</v>
      </c>
      <c r="M1956" t="s">
        <v>15</v>
      </c>
    </row>
    <row r="1957" spans="1:13" x14ac:dyDescent="0.25">
      <c r="A1957">
        <v>1956</v>
      </c>
      <c r="B1957" t="s">
        <v>3925</v>
      </c>
      <c r="C1957" s="1">
        <v>37.224558255700003</v>
      </c>
      <c r="D1957" s="1">
        <v>-7.0359662112499999</v>
      </c>
      <c r="E1957" s="3">
        <v>3</v>
      </c>
      <c r="F1957" s="2">
        <v>3</v>
      </c>
      <c r="G1957" s="4">
        <v>3</v>
      </c>
      <c r="H1957" s="13"/>
      <c r="I1957" s="15"/>
      <c r="J1957" s="19">
        <v>3</v>
      </c>
      <c r="K1957" s="2" t="s">
        <v>3926</v>
      </c>
      <c r="L1957" s="11" t="str">
        <f t="shared" si="31"/>
        <v>Ver Imagen</v>
      </c>
      <c r="M1957" t="s">
        <v>15</v>
      </c>
    </row>
    <row r="1958" spans="1:13" x14ac:dyDescent="0.25">
      <c r="A1958">
        <v>1957</v>
      </c>
      <c r="B1958" t="s">
        <v>3927</v>
      </c>
      <c r="C1958" s="1">
        <v>37.2246116763</v>
      </c>
      <c r="D1958" s="1">
        <v>-7.0372407290999996</v>
      </c>
      <c r="E1958" s="3">
        <v>3</v>
      </c>
      <c r="F1958" s="2">
        <v>3</v>
      </c>
      <c r="G1958" s="4">
        <v>3</v>
      </c>
      <c r="H1958" s="13"/>
      <c r="I1958" s="15"/>
      <c r="J1958" s="19">
        <v>3</v>
      </c>
      <c r="K1958" s="2" t="s">
        <v>3928</v>
      </c>
      <c r="L1958" s="11" t="str">
        <f t="shared" si="31"/>
        <v>Ver Imagen</v>
      </c>
      <c r="M1958" t="s">
        <v>15</v>
      </c>
    </row>
    <row r="1959" spans="1:13" x14ac:dyDescent="0.25">
      <c r="A1959">
        <v>1958</v>
      </c>
      <c r="B1959" t="s">
        <v>3929</v>
      </c>
      <c r="C1959" s="1">
        <v>37.225482470199999</v>
      </c>
      <c r="D1959" s="1">
        <v>-7.0416378537900002</v>
      </c>
      <c r="E1959" s="3">
        <v>3</v>
      </c>
      <c r="F1959" s="2">
        <v>3</v>
      </c>
      <c r="G1959" s="4">
        <v>3</v>
      </c>
      <c r="H1959" s="13"/>
      <c r="I1959" s="15"/>
      <c r="J1959" s="19">
        <v>3</v>
      </c>
      <c r="K1959" s="2" t="s">
        <v>3930</v>
      </c>
      <c r="L1959" s="11" t="str">
        <f t="shared" si="31"/>
        <v>Ver Imagen</v>
      </c>
      <c r="M1959" t="s">
        <v>15</v>
      </c>
    </row>
    <row r="1960" spans="1:13" x14ac:dyDescent="0.25">
      <c r="A1960">
        <v>1959</v>
      </c>
      <c r="B1960" t="s">
        <v>3931</v>
      </c>
      <c r="C1960" s="1">
        <v>37.226933145700002</v>
      </c>
      <c r="D1960" s="1">
        <v>-7.0446464867699996</v>
      </c>
      <c r="E1960" s="3">
        <v>3</v>
      </c>
      <c r="F1960" s="2">
        <v>3</v>
      </c>
      <c r="G1960" s="4">
        <v>3</v>
      </c>
      <c r="H1960" s="13"/>
      <c r="I1960" s="15"/>
      <c r="J1960" s="19">
        <v>3</v>
      </c>
      <c r="K1960" s="2" t="s">
        <v>3932</v>
      </c>
      <c r="L1960" s="11" t="str">
        <f t="shared" si="31"/>
        <v>Ver Imagen</v>
      </c>
      <c r="M1960" t="s">
        <v>15</v>
      </c>
    </row>
    <row r="1961" spans="1:13" x14ac:dyDescent="0.25">
      <c r="A1961">
        <v>1960</v>
      </c>
      <c r="B1961" t="s">
        <v>3933</v>
      </c>
      <c r="C1961" s="1">
        <v>37.2280394386</v>
      </c>
      <c r="D1961" s="1">
        <v>-7.0457634566699996</v>
      </c>
      <c r="E1961" s="3">
        <v>3</v>
      </c>
      <c r="F1961" s="2">
        <v>3</v>
      </c>
      <c r="G1961" s="4">
        <v>3</v>
      </c>
      <c r="H1961" s="13"/>
      <c r="I1961" s="15"/>
      <c r="J1961" s="19">
        <v>3</v>
      </c>
      <c r="K1961" s="2" t="s">
        <v>3934</v>
      </c>
      <c r="L1961" s="11" t="str">
        <f t="shared" si="31"/>
        <v>Ver Imagen</v>
      </c>
      <c r="M1961" t="s">
        <v>15</v>
      </c>
    </row>
    <row r="1962" spans="1:13" x14ac:dyDescent="0.25">
      <c r="A1962">
        <v>1961</v>
      </c>
      <c r="B1962" t="s">
        <v>3935</v>
      </c>
      <c r="C1962" s="1">
        <v>37.228214913800002</v>
      </c>
      <c r="D1962" s="1">
        <v>-7.0459535247899998</v>
      </c>
      <c r="E1962" s="3">
        <v>3</v>
      </c>
      <c r="F1962" s="2">
        <v>3</v>
      </c>
      <c r="G1962" s="4">
        <v>3</v>
      </c>
      <c r="H1962" s="13"/>
      <c r="I1962" s="15"/>
      <c r="J1962" s="19">
        <v>3</v>
      </c>
      <c r="K1962" s="2" t="s">
        <v>3936</v>
      </c>
      <c r="L1962" s="11" t="str">
        <f t="shared" si="31"/>
        <v>Ver Imagen</v>
      </c>
      <c r="M1962" t="s">
        <v>15</v>
      </c>
    </row>
    <row r="1963" spans="1:13" x14ac:dyDescent="0.25">
      <c r="A1963">
        <v>1962</v>
      </c>
      <c r="B1963" t="s">
        <v>3937</v>
      </c>
      <c r="C1963" s="1">
        <v>37.230823191100001</v>
      </c>
      <c r="D1963" s="1">
        <v>-7.0500988442099999</v>
      </c>
      <c r="E1963" s="3">
        <v>3</v>
      </c>
      <c r="F1963" s="2">
        <v>3</v>
      </c>
      <c r="G1963" s="4">
        <v>3</v>
      </c>
      <c r="H1963" s="13"/>
      <c r="I1963" s="15"/>
      <c r="J1963" s="19">
        <v>3</v>
      </c>
      <c r="K1963" s="2" t="s">
        <v>3938</v>
      </c>
      <c r="L1963" s="11" t="str">
        <f t="shared" si="31"/>
        <v>Ver Imagen</v>
      </c>
      <c r="M1963" t="s">
        <v>15</v>
      </c>
    </row>
    <row r="1964" spans="1:13" x14ac:dyDescent="0.25">
      <c r="A1964">
        <v>1963</v>
      </c>
      <c r="B1964" t="s">
        <v>3939</v>
      </c>
      <c r="C1964" s="1">
        <v>37.230940162300001</v>
      </c>
      <c r="D1964" s="1">
        <v>-7.0503092403899998</v>
      </c>
      <c r="E1964" s="3">
        <v>3</v>
      </c>
      <c r="F1964" s="2">
        <v>3</v>
      </c>
      <c r="G1964" s="4">
        <v>3</v>
      </c>
      <c r="H1964" s="13"/>
      <c r="I1964" s="15"/>
      <c r="J1964" s="19">
        <v>3</v>
      </c>
      <c r="K1964" s="2" t="s">
        <v>3940</v>
      </c>
      <c r="L1964" s="11" t="str">
        <f t="shared" si="31"/>
        <v>Ver Imagen</v>
      </c>
      <c r="M1964" t="s">
        <v>15</v>
      </c>
    </row>
    <row r="1965" spans="1:13" x14ac:dyDescent="0.25">
      <c r="A1965">
        <v>1964</v>
      </c>
      <c r="B1965" t="s">
        <v>3941</v>
      </c>
      <c r="C1965" s="1">
        <v>37.231845337499998</v>
      </c>
      <c r="D1965" s="1">
        <v>-7.0520066734600002</v>
      </c>
      <c r="E1965" s="3">
        <v>3</v>
      </c>
      <c r="F1965" s="2">
        <v>3</v>
      </c>
      <c r="G1965" s="4">
        <v>3</v>
      </c>
      <c r="H1965" s="13"/>
      <c r="I1965" s="15"/>
      <c r="J1965" s="19">
        <v>3</v>
      </c>
      <c r="K1965" s="2" t="s">
        <v>3942</v>
      </c>
      <c r="L1965" s="11" t="str">
        <f t="shared" si="31"/>
        <v>Ver Imagen</v>
      </c>
      <c r="M1965" t="s">
        <v>15</v>
      </c>
    </row>
    <row r="1966" spans="1:13" x14ac:dyDescent="0.25">
      <c r="A1966">
        <v>1965</v>
      </c>
      <c r="B1966" t="s">
        <v>3943</v>
      </c>
      <c r="C1966" s="1">
        <v>37.2326332982</v>
      </c>
      <c r="D1966" s="1">
        <v>-7.0534854281600001</v>
      </c>
      <c r="E1966" s="3">
        <v>3</v>
      </c>
      <c r="F1966" s="2">
        <v>3</v>
      </c>
      <c r="G1966" s="4">
        <v>3</v>
      </c>
      <c r="H1966" s="13"/>
      <c r="I1966" s="15"/>
      <c r="J1966" s="19">
        <v>3</v>
      </c>
      <c r="K1966" s="2" t="s">
        <v>3944</v>
      </c>
      <c r="L1966" s="11" t="str">
        <f t="shared" si="31"/>
        <v>Ver Imagen</v>
      </c>
      <c r="M1966" t="s">
        <v>15</v>
      </c>
    </row>
    <row r="1967" spans="1:13" x14ac:dyDescent="0.25">
      <c r="A1967">
        <v>1966</v>
      </c>
      <c r="B1967" t="s">
        <v>3945</v>
      </c>
      <c r="C1967" s="1">
        <v>37.2338364099</v>
      </c>
      <c r="D1967" s="1">
        <v>-7.0574778839699999</v>
      </c>
      <c r="E1967" s="3">
        <v>3</v>
      </c>
      <c r="F1967" s="2">
        <v>3</v>
      </c>
      <c r="G1967" s="4">
        <v>3</v>
      </c>
      <c r="H1967" s="13"/>
      <c r="I1967" s="15"/>
      <c r="J1967" s="19">
        <v>3</v>
      </c>
      <c r="K1967" s="2" t="s">
        <v>3946</v>
      </c>
      <c r="L1967" s="11" t="str">
        <f t="shared" si="31"/>
        <v>Ver Imagen</v>
      </c>
      <c r="M1967" t="s">
        <v>15</v>
      </c>
    </row>
    <row r="1968" spans="1:13" x14ac:dyDescent="0.25">
      <c r="A1968">
        <v>1967</v>
      </c>
      <c r="B1968" t="s">
        <v>3947</v>
      </c>
      <c r="C1968" s="1">
        <v>37.2341199229</v>
      </c>
      <c r="D1968" s="1">
        <v>-7.0590098444600002</v>
      </c>
      <c r="E1968" s="3">
        <v>3</v>
      </c>
      <c r="F1968" s="2">
        <v>3</v>
      </c>
      <c r="G1968" s="4">
        <v>3</v>
      </c>
      <c r="H1968" s="13"/>
      <c r="I1968" s="15"/>
      <c r="J1968" s="19">
        <v>3</v>
      </c>
      <c r="K1968" s="2" t="s">
        <v>3948</v>
      </c>
      <c r="L1968" s="11" t="str">
        <f t="shared" si="31"/>
        <v>Ver Imagen</v>
      </c>
      <c r="M1968" t="s">
        <v>15</v>
      </c>
    </row>
    <row r="1969" spans="1:13" x14ac:dyDescent="0.25">
      <c r="A1969">
        <v>1968</v>
      </c>
      <c r="B1969" t="s">
        <v>3949</v>
      </c>
      <c r="C1969" s="1">
        <v>37.234133830200001</v>
      </c>
      <c r="D1969" s="1">
        <v>-7.05999058037</v>
      </c>
      <c r="E1969" s="3">
        <v>3</v>
      </c>
      <c r="F1969" s="2">
        <v>3</v>
      </c>
      <c r="G1969" s="4">
        <v>3</v>
      </c>
      <c r="H1969" s="13"/>
      <c r="I1969" s="15"/>
      <c r="J1969" s="19">
        <v>3</v>
      </c>
      <c r="K1969" s="2" t="s">
        <v>3950</v>
      </c>
      <c r="L1969" s="11" t="str">
        <f t="shared" si="31"/>
        <v>Ver Imagen</v>
      </c>
      <c r="M1969" t="s">
        <v>15</v>
      </c>
    </row>
    <row r="1970" spans="1:13" x14ac:dyDescent="0.25">
      <c r="A1970">
        <v>1969</v>
      </c>
      <c r="B1970" t="s">
        <v>3951</v>
      </c>
      <c r="C1970" s="1">
        <v>37.234119543600002</v>
      </c>
      <c r="D1970" s="1">
        <v>-7.0610476523600001</v>
      </c>
      <c r="E1970" s="3">
        <v>3</v>
      </c>
      <c r="F1970" s="2">
        <v>3</v>
      </c>
      <c r="G1970" s="4">
        <v>3</v>
      </c>
      <c r="H1970" s="13"/>
      <c r="I1970" s="15"/>
      <c r="J1970" s="19">
        <v>3</v>
      </c>
      <c r="K1970" s="2" t="s">
        <v>3952</v>
      </c>
      <c r="L1970" s="11" t="str">
        <f t="shared" si="31"/>
        <v>Ver Imagen</v>
      </c>
      <c r="M1970" t="s">
        <v>15</v>
      </c>
    </row>
    <row r="1971" spans="1:13" x14ac:dyDescent="0.25">
      <c r="A1971">
        <v>1970</v>
      </c>
      <c r="B1971" t="s">
        <v>3953</v>
      </c>
      <c r="C1971" s="1">
        <v>37.234108370999998</v>
      </c>
      <c r="D1971" s="1">
        <v>-7.0614946634400004</v>
      </c>
      <c r="E1971" s="3">
        <v>3</v>
      </c>
      <c r="F1971" s="2">
        <v>3</v>
      </c>
      <c r="G1971" s="4">
        <v>3</v>
      </c>
      <c r="H1971" s="13"/>
      <c r="I1971" s="15"/>
      <c r="J1971" s="19">
        <v>3</v>
      </c>
      <c r="K1971" s="2" t="s">
        <v>3954</v>
      </c>
      <c r="L1971" s="11" t="str">
        <f t="shared" si="31"/>
        <v>Ver Imagen</v>
      </c>
      <c r="M1971" t="s">
        <v>15</v>
      </c>
    </row>
    <row r="1972" spans="1:13" x14ac:dyDescent="0.25">
      <c r="A1972">
        <v>1971</v>
      </c>
      <c r="B1972" t="s">
        <v>3955</v>
      </c>
      <c r="C1972" s="1">
        <v>37.234097765100003</v>
      </c>
      <c r="D1972" s="1">
        <v>-7.0617777145499998</v>
      </c>
      <c r="E1972" s="3">
        <v>3</v>
      </c>
      <c r="F1972" s="2">
        <v>3</v>
      </c>
      <c r="G1972" s="4">
        <v>3</v>
      </c>
      <c r="H1972" s="13"/>
      <c r="I1972" s="15"/>
      <c r="J1972" s="19">
        <v>3</v>
      </c>
      <c r="K1972" s="2" t="s">
        <v>3956</v>
      </c>
      <c r="L1972" s="11" t="str">
        <f t="shared" si="31"/>
        <v>Ver Imagen</v>
      </c>
      <c r="M1972" t="s">
        <v>15</v>
      </c>
    </row>
    <row r="1973" spans="1:13" x14ac:dyDescent="0.25">
      <c r="A1973">
        <v>1972</v>
      </c>
      <c r="B1973" t="s">
        <v>3957</v>
      </c>
      <c r="C1973" s="1">
        <v>37.234081943100001</v>
      </c>
      <c r="D1973" s="1">
        <v>-7.0622753862799996</v>
      </c>
      <c r="E1973" s="3">
        <v>3</v>
      </c>
      <c r="F1973" s="2">
        <v>3</v>
      </c>
      <c r="G1973" s="4">
        <v>3</v>
      </c>
      <c r="H1973" s="13"/>
      <c r="I1973" s="15"/>
      <c r="J1973" s="19">
        <v>3</v>
      </c>
      <c r="K1973" s="2" t="s">
        <v>3958</v>
      </c>
      <c r="L1973" s="11" t="str">
        <f t="shared" si="31"/>
        <v>Ver Imagen</v>
      </c>
      <c r="M1973" t="s">
        <v>15</v>
      </c>
    </row>
    <row r="1974" spans="1:13" x14ac:dyDescent="0.25">
      <c r="A1974">
        <v>1973</v>
      </c>
      <c r="B1974" t="s">
        <v>3959</v>
      </c>
      <c r="C1974" s="1">
        <v>37.2340616137</v>
      </c>
      <c r="D1974" s="1">
        <v>-7.0630453686700001</v>
      </c>
      <c r="E1974" s="3">
        <v>3</v>
      </c>
      <c r="F1974" s="2">
        <v>3</v>
      </c>
      <c r="G1974" s="4">
        <v>3</v>
      </c>
      <c r="H1974" s="13"/>
      <c r="I1974" s="15"/>
      <c r="J1974" s="19">
        <v>3</v>
      </c>
      <c r="K1974" s="2" t="s">
        <v>3960</v>
      </c>
      <c r="L1974" s="11" t="str">
        <f t="shared" si="31"/>
        <v>Ver Imagen</v>
      </c>
      <c r="M1974" t="s">
        <v>15</v>
      </c>
    </row>
    <row r="1975" spans="1:13" x14ac:dyDescent="0.25">
      <c r="A1975">
        <v>1974</v>
      </c>
      <c r="B1975" t="s">
        <v>3961</v>
      </c>
      <c r="C1975" s="1">
        <v>37.234053375000002</v>
      </c>
      <c r="D1975" s="1">
        <v>-7.0633048005600001</v>
      </c>
      <c r="E1975" s="3">
        <v>3</v>
      </c>
      <c r="F1975" s="2">
        <v>3</v>
      </c>
      <c r="G1975" s="4">
        <v>3</v>
      </c>
      <c r="H1975" s="13"/>
      <c r="I1975" s="15"/>
      <c r="J1975" s="19">
        <v>3</v>
      </c>
      <c r="K1975" s="2" t="s">
        <v>3962</v>
      </c>
      <c r="L1975" s="11" t="str">
        <f t="shared" si="31"/>
        <v>Ver Imagen</v>
      </c>
      <c r="M1975" t="s">
        <v>15</v>
      </c>
    </row>
    <row r="1976" spans="1:13" x14ac:dyDescent="0.25">
      <c r="A1976">
        <v>1975</v>
      </c>
      <c r="B1976" t="s">
        <v>3963</v>
      </c>
      <c r="C1976" s="1">
        <v>37.234045641199998</v>
      </c>
      <c r="D1976" s="1">
        <v>-7.0635552318999997</v>
      </c>
      <c r="E1976" s="3">
        <v>3</v>
      </c>
      <c r="F1976" s="2">
        <v>3</v>
      </c>
      <c r="G1976" s="4">
        <v>3</v>
      </c>
      <c r="H1976" s="13"/>
      <c r="I1976" s="15"/>
      <c r="J1976" s="19">
        <v>3</v>
      </c>
      <c r="K1976" s="2" t="s">
        <v>3964</v>
      </c>
      <c r="L1976" s="11" t="str">
        <f t="shared" si="31"/>
        <v>Ver Imagen</v>
      </c>
      <c r="M1976" t="s">
        <v>15</v>
      </c>
    </row>
    <row r="1977" spans="1:13" x14ac:dyDescent="0.25">
      <c r="A1977">
        <v>1976</v>
      </c>
      <c r="B1977" t="s">
        <v>3965</v>
      </c>
      <c r="C1977" s="1">
        <v>37.234029525399997</v>
      </c>
      <c r="D1977" s="1">
        <v>-7.0640533653700004</v>
      </c>
      <c r="E1977" s="3">
        <v>3</v>
      </c>
      <c r="F1977" s="2">
        <v>3</v>
      </c>
      <c r="G1977" s="4">
        <v>3</v>
      </c>
      <c r="H1977" s="13"/>
      <c r="I1977" s="15"/>
      <c r="J1977" s="19">
        <v>3</v>
      </c>
      <c r="K1977" s="2" t="s">
        <v>3966</v>
      </c>
      <c r="L1977" s="11" t="str">
        <f t="shared" si="31"/>
        <v>Ver Imagen</v>
      </c>
      <c r="M1977" t="s">
        <v>15</v>
      </c>
    </row>
    <row r="1978" spans="1:13" x14ac:dyDescent="0.25">
      <c r="A1978">
        <v>1977</v>
      </c>
      <c r="B1978" t="s">
        <v>3967</v>
      </c>
      <c r="C1978" s="1">
        <v>37.234019043099998</v>
      </c>
      <c r="D1978" s="1">
        <v>-7.0643162421000003</v>
      </c>
      <c r="E1978" s="3">
        <v>3</v>
      </c>
      <c r="F1978" s="2">
        <v>3</v>
      </c>
      <c r="G1978" s="4">
        <v>3</v>
      </c>
      <c r="H1978" s="13"/>
      <c r="I1978" s="15"/>
      <c r="J1978" s="19">
        <v>3</v>
      </c>
      <c r="K1978" s="2" t="s">
        <v>3968</v>
      </c>
      <c r="L1978" s="11" t="str">
        <f t="shared" si="31"/>
        <v>Ver Imagen</v>
      </c>
      <c r="M1978" t="s">
        <v>15</v>
      </c>
    </row>
    <row r="1979" spans="1:13" x14ac:dyDescent="0.25">
      <c r="A1979">
        <v>1978</v>
      </c>
      <c r="B1979" t="s">
        <v>3969</v>
      </c>
      <c r="C1979" s="1">
        <v>37.2339871219</v>
      </c>
      <c r="D1979" s="1">
        <v>-7.0648170330999998</v>
      </c>
      <c r="E1979" s="3">
        <v>3</v>
      </c>
      <c r="F1979" s="2">
        <v>3</v>
      </c>
      <c r="G1979" s="4">
        <v>3</v>
      </c>
      <c r="H1979" s="13"/>
      <c r="I1979" s="15"/>
      <c r="J1979" s="19">
        <v>3</v>
      </c>
      <c r="K1979" s="2" t="s">
        <v>3970</v>
      </c>
      <c r="L1979" s="11" t="str">
        <f t="shared" si="31"/>
        <v>Ver Imagen</v>
      </c>
      <c r="M1979" t="s">
        <v>15</v>
      </c>
    </row>
    <row r="1980" spans="1:13" x14ac:dyDescent="0.25">
      <c r="A1980">
        <v>1979</v>
      </c>
      <c r="B1980" t="s">
        <v>3971</v>
      </c>
      <c r="C1980" s="1">
        <v>37.233908310300002</v>
      </c>
      <c r="D1980" s="1">
        <v>-7.0655478998000003</v>
      </c>
      <c r="E1980" s="3">
        <v>3</v>
      </c>
      <c r="F1980" s="2">
        <v>3</v>
      </c>
      <c r="G1980" s="4">
        <v>3</v>
      </c>
      <c r="H1980" s="13"/>
      <c r="I1980" s="15"/>
      <c r="J1980" s="19">
        <v>3</v>
      </c>
      <c r="K1980" s="2" t="s">
        <v>3972</v>
      </c>
      <c r="L1980" s="11" t="str">
        <f t="shared" si="31"/>
        <v>Ver Imagen</v>
      </c>
      <c r="M1980" t="s">
        <v>15</v>
      </c>
    </row>
    <row r="1981" spans="1:13" x14ac:dyDescent="0.25">
      <c r="A1981">
        <v>1980</v>
      </c>
      <c r="B1981" t="s">
        <v>3973</v>
      </c>
      <c r="C1981" s="1">
        <v>37.233722463500001</v>
      </c>
      <c r="D1981" s="1">
        <v>-7.0668830069600004</v>
      </c>
      <c r="E1981" s="3">
        <v>3</v>
      </c>
      <c r="F1981" s="2">
        <v>3</v>
      </c>
      <c r="G1981" s="4">
        <v>3</v>
      </c>
      <c r="H1981" s="13"/>
      <c r="I1981" s="15"/>
      <c r="J1981" s="19">
        <v>3</v>
      </c>
      <c r="K1981" s="2" t="s">
        <v>3974</v>
      </c>
      <c r="L1981" s="11" t="str">
        <f t="shared" si="31"/>
        <v>Ver Imagen</v>
      </c>
      <c r="M1981" t="s">
        <v>15</v>
      </c>
    </row>
    <row r="1982" spans="1:13" x14ac:dyDescent="0.25">
      <c r="A1982">
        <v>1981</v>
      </c>
      <c r="B1982" t="s">
        <v>3975</v>
      </c>
      <c r="C1982" s="1">
        <v>37.233602126900003</v>
      </c>
      <c r="D1982" s="1">
        <v>-7.0674219927799999</v>
      </c>
      <c r="E1982" s="3">
        <v>3</v>
      </c>
      <c r="F1982" s="2">
        <v>3</v>
      </c>
      <c r="G1982" s="4">
        <v>3</v>
      </c>
      <c r="H1982" s="13"/>
      <c r="I1982" s="15"/>
      <c r="J1982" s="19">
        <v>3</v>
      </c>
      <c r="K1982" s="2" t="s">
        <v>3976</v>
      </c>
      <c r="L1982" s="11" t="str">
        <f t="shared" ref="L1982:L2045" si="32">HYPERLINK("3\0\" &amp; K1982, "Ver Imagen")</f>
        <v>Ver Imagen</v>
      </c>
      <c r="M1982" t="s">
        <v>15</v>
      </c>
    </row>
    <row r="1983" spans="1:13" x14ac:dyDescent="0.25">
      <c r="A1983">
        <v>1982</v>
      </c>
      <c r="B1983" t="s">
        <v>3977</v>
      </c>
      <c r="C1983" s="1">
        <v>37.233574233699997</v>
      </c>
      <c r="D1983" s="1">
        <v>-7.0678808849200001</v>
      </c>
      <c r="E1983" s="3">
        <v>3</v>
      </c>
      <c r="F1983" s="2">
        <v>3</v>
      </c>
      <c r="G1983" s="4">
        <v>3</v>
      </c>
      <c r="H1983" s="13"/>
      <c r="I1983" s="15"/>
      <c r="J1983" s="19">
        <v>3</v>
      </c>
      <c r="K1983" s="2" t="s">
        <v>3978</v>
      </c>
      <c r="L1983" s="11" t="str">
        <f t="shared" si="32"/>
        <v>Ver Imagen</v>
      </c>
      <c r="M1983" t="s">
        <v>15</v>
      </c>
    </row>
    <row r="1984" spans="1:13" x14ac:dyDescent="0.25">
      <c r="A1984">
        <v>1983</v>
      </c>
      <c r="B1984" t="s">
        <v>3979</v>
      </c>
      <c r="C1984" s="1">
        <v>37.233766961100002</v>
      </c>
      <c r="D1984" s="1">
        <v>-7.0688447028499999</v>
      </c>
      <c r="E1984" s="3">
        <v>3</v>
      </c>
      <c r="F1984" s="2">
        <v>3</v>
      </c>
      <c r="G1984" s="4">
        <v>3</v>
      </c>
      <c r="H1984" s="13"/>
      <c r="I1984" s="15"/>
      <c r="J1984" s="19">
        <v>3</v>
      </c>
      <c r="K1984" s="2" t="s">
        <v>3980</v>
      </c>
      <c r="L1984" s="11" t="str">
        <f t="shared" si="32"/>
        <v>Ver Imagen</v>
      </c>
      <c r="M1984" t="s">
        <v>15</v>
      </c>
    </row>
    <row r="1985" spans="1:13" x14ac:dyDescent="0.25">
      <c r="A1985">
        <v>1984</v>
      </c>
      <c r="B1985" t="s">
        <v>3981</v>
      </c>
      <c r="C1985" s="1">
        <v>37.234504870999999</v>
      </c>
      <c r="D1985" s="1">
        <v>-7.0714758291799997</v>
      </c>
      <c r="E1985" s="3">
        <v>3</v>
      </c>
      <c r="F1985" s="2">
        <v>3</v>
      </c>
      <c r="G1985" s="4">
        <v>3</v>
      </c>
      <c r="H1985" s="13"/>
      <c r="I1985" s="15"/>
      <c r="J1985" s="19">
        <v>3</v>
      </c>
      <c r="K1985" s="2" t="s">
        <v>3982</v>
      </c>
      <c r="L1985" s="11" t="str">
        <f t="shared" si="32"/>
        <v>Ver Imagen</v>
      </c>
      <c r="M1985" t="s">
        <v>15</v>
      </c>
    </row>
    <row r="1986" spans="1:13" x14ac:dyDescent="0.25">
      <c r="A1986">
        <v>1985</v>
      </c>
      <c r="B1986" t="s">
        <v>3983</v>
      </c>
      <c r="C1986" s="1">
        <v>37.235402503899998</v>
      </c>
      <c r="D1986" s="1">
        <v>-7.0737413254200003</v>
      </c>
      <c r="E1986" s="3">
        <v>3</v>
      </c>
      <c r="F1986" s="2">
        <v>3</v>
      </c>
      <c r="G1986" s="4">
        <v>3</v>
      </c>
      <c r="H1986" s="13"/>
      <c r="I1986" s="15"/>
      <c r="J1986" s="19">
        <v>3</v>
      </c>
      <c r="K1986" s="2" t="s">
        <v>3984</v>
      </c>
      <c r="L1986" s="11" t="str">
        <f t="shared" si="32"/>
        <v>Ver Imagen</v>
      </c>
      <c r="M1986" t="s">
        <v>15</v>
      </c>
    </row>
    <row r="1987" spans="1:13" x14ac:dyDescent="0.25">
      <c r="A1987">
        <v>1986</v>
      </c>
      <c r="B1987" t="s">
        <v>3985</v>
      </c>
      <c r="C1987" s="1">
        <v>37.238075820399999</v>
      </c>
      <c r="D1987" s="1">
        <v>-7.0784746456600001</v>
      </c>
      <c r="E1987" s="3">
        <v>3</v>
      </c>
      <c r="F1987" s="2">
        <v>3</v>
      </c>
      <c r="G1987" s="4">
        <v>3</v>
      </c>
      <c r="H1987" s="13"/>
      <c r="I1987" s="15"/>
      <c r="J1987" s="19">
        <v>3</v>
      </c>
      <c r="K1987" s="2" t="s">
        <v>3986</v>
      </c>
      <c r="L1987" s="11" t="str">
        <f t="shared" si="32"/>
        <v>Ver Imagen</v>
      </c>
      <c r="M1987" t="s">
        <v>15</v>
      </c>
    </row>
    <row r="1988" spans="1:13" x14ac:dyDescent="0.25">
      <c r="A1988">
        <v>1987</v>
      </c>
      <c r="B1988" t="s">
        <v>3987</v>
      </c>
      <c r="C1988" s="1">
        <v>37.238728792499998</v>
      </c>
      <c r="D1988" s="1">
        <v>-7.0794756017199996</v>
      </c>
      <c r="E1988" s="3">
        <v>3</v>
      </c>
      <c r="F1988" s="2">
        <v>3</v>
      </c>
      <c r="G1988" s="4">
        <v>3</v>
      </c>
      <c r="H1988" s="13"/>
      <c r="I1988" s="15"/>
      <c r="J1988" s="19">
        <v>3</v>
      </c>
      <c r="K1988" s="2" t="s">
        <v>3988</v>
      </c>
      <c r="L1988" s="11" t="str">
        <f t="shared" si="32"/>
        <v>Ver Imagen</v>
      </c>
      <c r="M1988" t="s">
        <v>15</v>
      </c>
    </row>
    <row r="1989" spans="1:13" x14ac:dyDescent="0.25">
      <c r="A1989">
        <v>1988</v>
      </c>
      <c r="B1989" t="s">
        <v>3989</v>
      </c>
      <c r="C1989" s="1">
        <v>37.239098804599998</v>
      </c>
      <c r="D1989" s="1">
        <v>-7.0800288133500002</v>
      </c>
      <c r="E1989" s="3">
        <v>3</v>
      </c>
      <c r="F1989" s="2">
        <v>3</v>
      </c>
      <c r="G1989" s="4">
        <v>3</v>
      </c>
      <c r="H1989" s="13"/>
      <c r="I1989" s="15"/>
      <c r="J1989" s="19">
        <v>3</v>
      </c>
      <c r="K1989" s="2" t="s">
        <v>3990</v>
      </c>
      <c r="L1989" s="11" t="str">
        <f t="shared" si="32"/>
        <v>Ver Imagen</v>
      </c>
      <c r="M1989" t="s">
        <v>15</v>
      </c>
    </row>
    <row r="1990" spans="1:13" x14ac:dyDescent="0.25">
      <c r="A1990">
        <v>1989</v>
      </c>
      <c r="B1990" t="s">
        <v>3991</v>
      </c>
      <c r="C1990" s="1">
        <v>37.239242806999997</v>
      </c>
      <c r="D1990" s="1">
        <v>-7.0802481836500002</v>
      </c>
      <c r="E1990" s="3">
        <v>3</v>
      </c>
      <c r="F1990" s="2">
        <v>3</v>
      </c>
      <c r="G1990" s="4">
        <v>3</v>
      </c>
      <c r="H1990" s="13"/>
      <c r="I1990" s="15"/>
      <c r="J1990" s="19">
        <v>3</v>
      </c>
      <c r="K1990" s="2" t="s">
        <v>3992</v>
      </c>
      <c r="L1990" s="11" t="str">
        <f t="shared" si="32"/>
        <v>Ver Imagen</v>
      </c>
      <c r="M1990" t="s">
        <v>15</v>
      </c>
    </row>
    <row r="1991" spans="1:13" x14ac:dyDescent="0.25">
      <c r="A1991">
        <v>1990</v>
      </c>
      <c r="B1991" t="s">
        <v>3993</v>
      </c>
      <c r="C1991" s="1">
        <v>37.2393683325</v>
      </c>
      <c r="D1991" s="1">
        <v>-7.0804411585200002</v>
      </c>
      <c r="E1991" s="3">
        <v>3</v>
      </c>
      <c r="F1991" s="2">
        <v>3</v>
      </c>
      <c r="G1991" s="4">
        <v>3</v>
      </c>
      <c r="H1991" s="13"/>
      <c r="I1991" s="15"/>
      <c r="J1991" s="19">
        <v>3</v>
      </c>
      <c r="K1991" s="2" t="s">
        <v>3994</v>
      </c>
      <c r="L1991" s="11" t="str">
        <f t="shared" si="32"/>
        <v>Ver Imagen</v>
      </c>
      <c r="M1991" t="s">
        <v>15</v>
      </c>
    </row>
    <row r="1992" spans="1:13" x14ac:dyDescent="0.25">
      <c r="A1992">
        <v>1991</v>
      </c>
      <c r="B1992" t="s">
        <v>3995</v>
      </c>
      <c r="C1992" s="1">
        <v>37.242570236100001</v>
      </c>
      <c r="D1992" s="1">
        <v>-7.0862463040600003</v>
      </c>
      <c r="E1992" s="3">
        <v>3</v>
      </c>
      <c r="F1992" s="2">
        <v>3</v>
      </c>
      <c r="G1992" s="4">
        <v>3</v>
      </c>
      <c r="H1992" s="13"/>
      <c r="I1992" s="15"/>
      <c r="J1992" s="19">
        <v>3</v>
      </c>
      <c r="K1992" s="2" t="s">
        <v>3996</v>
      </c>
      <c r="L1992" s="11" t="str">
        <f t="shared" si="32"/>
        <v>Ver Imagen</v>
      </c>
      <c r="M1992" t="s">
        <v>15</v>
      </c>
    </row>
    <row r="1993" spans="1:13" x14ac:dyDescent="0.25">
      <c r="A1993">
        <v>1992</v>
      </c>
      <c r="B1993" t="s">
        <v>3997</v>
      </c>
      <c r="C1993" s="1">
        <v>37.243030636199997</v>
      </c>
      <c r="D1993" s="1">
        <v>-7.0878837572200002</v>
      </c>
      <c r="E1993" s="3">
        <v>3</v>
      </c>
      <c r="F1993" s="2">
        <v>3</v>
      </c>
      <c r="G1993" s="4">
        <v>3</v>
      </c>
      <c r="H1993" s="13"/>
      <c r="I1993" s="15"/>
      <c r="J1993" s="19">
        <v>3</v>
      </c>
      <c r="K1993" s="2" t="s">
        <v>3998</v>
      </c>
      <c r="L1993" s="11" t="str">
        <f t="shared" si="32"/>
        <v>Ver Imagen</v>
      </c>
      <c r="M1993" t="s">
        <v>15</v>
      </c>
    </row>
    <row r="1994" spans="1:13" x14ac:dyDescent="0.25">
      <c r="A1994">
        <v>1993</v>
      </c>
      <c r="B1994" t="s">
        <v>3999</v>
      </c>
      <c r="C1994" s="1">
        <v>37.243115351199997</v>
      </c>
      <c r="D1994" s="1">
        <v>-7.0881177097799997</v>
      </c>
      <c r="E1994" s="3">
        <v>3</v>
      </c>
      <c r="F1994" s="2">
        <v>3</v>
      </c>
      <c r="G1994" s="4">
        <v>3</v>
      </c>
      <c r="H1994" s="13"/>
      <c r="I1994" s="15"/>
      <c r="J1994" s="19">
        <v>3</v>
      </c>
      <c r="K1994" s="2" t="s">
        <v>4000</v>
      </c>
      <c r="L1994" s="11" t="str">
        <f t="shared" si="32"/>
        <v>Ver Imagen</v>
      </c>
      <c r="M1994" t="s">
        <v>15</v>
      </c>
    </row>
    <row r="1995" spans="1:13" x14ac:dyDescent="0.25">
      <c r="A1995">
        <v>1994</v>
      </c>
      <c r="B1995" t="s">
        <v>4001</v>
      </c>
      <c r="C1995" s="1">
        <v>37.243218845800001</v>
      </c>
      <c r="D1995" s="1">
        <v>-7.0883738996199996</v>
      </c>
      <c r="E1995" s="3">
        <v>3</v>
      </c>
      <c r="F1995" s="2">
        <v>3</v>
      </c>
      <c r="G1995" s="4">
        <v>3</v>
      </c>
      <c r="H1995" s="13"/>
      <c r="I1995" s="15"/>
      <c r="J1995" s="19">
        <v>3</v>
      </c>
      <c r="K1995" s="2" t="s">
        <v>4002</v>
      </c>
      <c r="L1995" s="11" t="str">
        <f t="shared" si="32"/>
        <v>Ver Imagen</v>
      </c>
      <c r="M1995" t="s">
        <v>15</v>
      </c>
    </row>
    <row r="1996" spans="1:13" x14ac:dyDescent="0.25">
      <c r="A1996">
        <v>1995</v>
      </c>
      <c r="B1996" t="s">
        <v>4003</v>
      </c>
      <c r="C1996" s="1">
        <v>37.2435117996</v>
      </c>
      <c r="D1996" s="1">
        <v>-7.0889983275999997</v>
      </c>
      <c r="E1996" s="3">
        <v>3</v>
      </c>
      <c r="F1996" s="2">
        <v>3</v>
      </c>
      <c r="G1996" s="4">
        <v>3</v>
      </c>
      <c r="H1996" s="13"/>
      <c r="I1996" s="15"/>
      <c r="J1996" s="19">
        <v>3</v>
      </c>
      <c r="K1996" s="2" t="s">
        <v>4004</v>
      </c>
      <c r="L1996" s="11" t="str">
        <f t="shared" si="32"/>
        <v>Ver Imagen</v>
      </c>
      <c r="M1996" t="s">
        <v>15</v>
      </c>
    </row>
    <row r="1997" spans="1:13" x14ac:dyDescent="0.25">
      <c r="A1997">
        <v>1996</v>
      </c>
      <c r="B1997" t="s">
        <v>4005</v>
      </c>
      <c r="C1997" s="1">
        <v>37.2437262045</v>
      </c>
      <c r="D1997" s="1">
        <v>-7.0894227484799996</v>
      </c>
      <c r="E1997" s="3">
        <v>3</v>
      </c>
      <c r="F1997" s="2">
        <v>3</v>
      </c>
      <c r="G1997" s="4">
        <v>3</v>
      </c>
      <c r="H1997" s="13"/>
      <c r="I1997" s="15"/>
      <c r="J1997" s="19">
        <v>3</v>
      </c>
      <c r="K1997" s="2" t="s">
        <v>4006</v>
      </c>
      <c r="L1997" s="11" t="str">
        <f t="shared" si="32"/>
        <v>Ver Imagen</v>
      </c>
      <c r="M1997" t="s">
        <v>15</v>
      </c>
    </row>
    <row r="1998" spans="1:13" x14ac:dyDescent="0.25">
      <c r="A1998">
        <v>1997</v>
      </c>
      <c r="B1998" t="s">
        <v>4007</v>
      </c>
      <c r="C1998" s="1">
        <v>37.245103442999998</v>
      </c>
      <c r="D1998" s="1">
        <v>-7.0922347800100001</v>
      </c>
      <c r="E1998" s="3">
        <v>3</v>
      </c>
      <c r="F1998" s="2">
        <v>3</v>
      </c>
      <c r="G1998" s="4">
        <v>3</v>
      </c>
      <c r="H1998" s="13"/>
      <c r="I1998" s="15"/>
      <c r="J1998" s="19">
        <v>3</v>
      </c>
      <c r="K1998" s="2" t="s">
        <v>4008</v>
      </c>
      <c r="L1998" s="11" t="str">
        <f t="shared" si="32"/>
        <v>Ver Imagen</v>
      </c>
      <c r="M1998" t="s">
        <v>15</v>
      </c>
    </row>
    <row r="1999" spans="1:13" x14ac:dyDescent="0.25">
      <c r="A1999">
        <v>1998</v>
      </c>
      <c r="B1999" t="s">
        <v>4009</v>
      </c>
      <c r="C1999" s="1">
        <v>37.2453028766</v>
      </c>
      <c r="D1999" s="1">
        <v>-7.0929360377900004</v>
      </c>
      <c r="E1999" s="3">
        <v>3</v>
      </c>
      <c r="F1999" s="2">
        <v>3</v>
      </c>
      <c r="G1999" s="4">
        <v>3</v>
      </c>
      <c r="H1999" s="13"/>
      <c r="I1999" s="15"/>
      <c r="J1999" s="19">
        <v>3</v>
      </c>
      <c r="K1999" s="2" t="s">
        <v>4010</v>
      </c>
      <c r="L1999" s="11" t="str">
        <f t="shared" si="32"/>
        <v>Ver Imagen</v>
      </c>
      <c r="M1999" t="s">
        <v>15</v>
      </c>
    </row>
    <row r="2000" spans="1:13" x14ac:dyDescent="0.25">
      <c r="A2000">
        <v>1999</v>
      </c>
      <c r="B2000" t="s">
        <v>4011</v>
      </c>
      <c r="C2000" s="1">
        <v>37.245567666100001</v>
      </c>
      <c r="D2000" s="1">
        <v>-7.0957356897499997</v>
      </c>
      <c r="E2000" s="3">
        <v>3</v>
      </c>
      <c r="F2000" s="2">
        <v>3</v>
      </c>
      <c r="G2000" s="4">
        <v>3</v>
      </c>
      <c r="H2000" s="13"/>
      <c r="I2000" s="15"/>
      <c r="J2000" s="19">
        <v>3</v>
      </c>
      <c r="K2000" s="2" t="s">
        <v>4012</v>
      </c>
      <c r="L2000" s="11" t="str">
        <f t="shared" si="32"/>
        <v>Ver Imagen</v>
      </c>
      <c r="M2000" t="s">
        <v>15</v>
      </c>
    </row>
    <row r="2001" spans="1:13" x14ac:dyDescent="0.25">
      <c r="A2001">
        <v>2000</v>
      </c>
      <c r="B2001" t="s">
        <v>4013</v>
      </c>
      <c r="C2001" s="1">
        <v>37.245586709800001</v>
      </c>
      <c r="D2001" s="1">
        <v>-7.09599498542</v>
      </c>
      <c r="E2001" s="3">
        <v>3</v>
      </c>
      <c r="F2001" s="2">
        <v>3</v>
      </c>
      <c r="G2001" s="4">
        <v>3</v>
      </c>
      <c r="H2001" s="13"/>
      <c r="I2001" s="15"/>
      <c r="J2001" s="19">
        <v>3</v>
      </c>
      <c r="K2001" s="2" t="s">
        <v>4014</v>
      </c>
      <c r="L2001" s="11" t="str">
        <f t="shared" si="32"/>
        <v>Ver Imagen</v>
      </c>
      <c r="M2001" t="s">
        <v>15</v>
      </c>
    </row>
    <row r="2002" spans="1:13" x14ac:dyDescent="0.25">
      <c r="A2002">
        <v>2001</v>
      </c>
      <c r="B2002" t="s">
        <v>4015</v>
      </c>
      <c r="C2002" s="1">
        <v>37.245649157999999</v>
      </c>
      <c r="D2002" s="1">
        <v>-7.0967415411400001</v>
      </c>
      <c r="E2002" s="3">
        <v>3</v>
      </c>
      <c r="F2002" s="2">
        <v>3</v>
      </c>
      <c r="G2002" s="4">
        <v>3</v>
      </c>
      <c r="H2002" s="13"/>
      <c r="I2002" s="15"/>
      <c r="J2002" s="19">
        <v>3</v>
      </c>
      <c r="K2002" s="2" t="s">
        <v>4016</v>
      </c>
      <c r="L2002" s="11" t="str">
        <f t="shared" si="32"/>
        <v>Ver Imagen</v>
      </c>
      <c r="M2002" t="s">
        <v>15</v>
      </c>
    </row>
    <row r="2003" spans="1:13" x14ac:dyDescent="0.25">
      <c r="A2003">
        <v>2002</v>
      </c>
      <c r="B2003" t="s">
        <v>4017</v>
      </c>
      <c r="C2003" s="1">
        <v>37.245678083199998</v>
      </c>
      <c r="D2003" s="1">
        <v>-7.0969960725699996</v>
      </c>
      <c r="E2003" s="3">
        <v>3</v>
      </c>
      <c r="F2003" s="2">
        <v>3</v>
      </c>
      <c r="G2003" s="4">
        <v>3</v>
      </c>
      <c r="H2003" s="13"/>
      <c r="I2003" s="15"/>
      <c r="J2003" s="19">
        <v>3</v>
      </c>
      <c r="K2003" s="2" t="s">
        <v>4018</v>
      </c>
      <c r="L2003" s="11" t="str">
        <f t="shared" si="32"/>
        <v>Ver Imagen</v>
      </c>
      <c r="M2003" t="s">
        <v>15</v>
      </c>
    </row>
    <row r="2004" spans="1:13" x14ac:dyDescent="0.25">
      <c r="A2004">
        <v>2003</v>
      </c>
      <c r="B2004" t="s">
        <v>4019</v>
      </c>
      <c r="C2004" s="1">
        <v>37.245753376499998</v>
      </c>
      <c r="D2004" s="1">
        <v>-7.0974832353400004</v>
      </c>
      <c r="E2004" s="3">
        <v>3</v>
      </c>
      <c r="F2004" s="2">
        <v>3</v>
      </c>
      <c r="G2004" s="4">
        <v>3</v>
      </c>
      <c r="H2004" s="13"/>
      <c r="I2004" s="15"/>
      <c r="J2004" s="19">
        <v>3</v>
      </c>
      <c r="K2004" s="2" t="s">
        <v>4020</v>
      </c>
      <c r="L2004" s="11" t="str">
        <f t="shared" si="32"/>
        <v>Ver Imagen</v>
      </c>
      <c r="M2004" t="s">
        <v>15</v>
      </c>
    </row>
    <row r="2005" spans="1:13" x14ac:dyDescent="0.25">
      <c r="A2005">
        <v>2004</v>
      </c>
      <c r="B2005" t="s">
        <v>4021</v>
      </c>
      <c r="C2005" s="1">
        <v>37.247562739499998</v>
      </c>
      <c r="D2005" s="1">
        <v>-7.1007951898300004</v>
      </c>
      <c r="E2005" s="3">
        <v>3</v>
      </c>
      <c r="F2005" s="2">
        <v>3</v>
      </c>
      <c r="G2005" s="4">
        <v>3</v>
      </c>
      <c r="H2005" s="13"/>
      <c r="I2005" s="15"/>
      <c r="J2005" s="19">
        <v>3</v>
      </c>
      <c r="K2005" s="2" t="s">
        <v>4022</v>
      </c>
      <c r="L2005" s="11" t="str">
        <f t="shared" si="32"/>
        <v>Ver Imagen</v>
      </c>
      <c r="M2005" t="s">
        <v>15</v>
      </c>
    </row>
    <row r="2006" spans="1:13" x14ac:dyDescent="0.25">
      <c r="A2006">
        <v>2005</v>
      </c>
      <c r="B2006" t="s">
        <v>4023</v>
      </c>
      <c r="C2006" s="1">
        <v>37.2482443727</v>
      </c>
      <c r="D2006" s="1">
        <v>-7.1017225230600003</v>
      </c>
      <c r="E2006" s="3">
        <v>3</v>
      </c>
      <c r="F2006" s="2">
        <v>3</v>
      </c>
      <c r="G2006" s="4">
        <v>3</v>
      </c>
      <c r="H2006" s="13"/>
      <c r="I2006" s="15"/>
      <c r="J2006" s="19">
        <v>3</v>
      </c>
      <c r="K2006" s="2" t="s">
        <v>4024</v>
      </c>
      <c r="L2006" s="11" t="str">
        <f t="shared" si="32"/>
        <v>Ver Imagen</v>
      </c>
      <c r="M2006" t="s">
        <v>15</v>
      </c>
    </row>
    <row r="2007" spans="1:13" x14ac:dyDescent="0.25">
      <c r="A2007">
        <v>2006</v>
      </c>
      <c r="B2007" t="s">
        <v>4025</v>
      </c>
      <c r="C2007" s="1">
        <v>37.249133442000002</v>
      </c>
      <c r="D2007" s="1">
        <v>-7.1023310028399997</v>
      </c>
      <c r="E2007" s="3">
        <v>3</v>
      </c>
      <c r="F2007" s="2">
        <v>3</v>
      </c>
      <c r="G2007" s="4">
        <v>3</v>
      </c>
      <c r="H2007" s="13"/>
      <c r="I2007" s="15"/>
      <c r="J2007" s="19">
        <v>3</v>
      </c>
      <c r="K2007" s="2" t="s">
        <v>4026</v>
      </c>
      <c r="L2007" s="11" t="str">
        <f t="shared" si="32"/>
        <v>Ver Imagen</v>
      </c>
      <c r="M2007" t="s">
        <v>15</v>
      </c>
    </row>
    <row r="2008" spans="1:13" x14ac:dyDescent="0.25">
      <c r="A2008">
        <v>2007</v>
      </c>
      <c r="B2008" t="s">
        <v>4027</v>
      </c>
      <c r="C2008" s="1">
        <v>37.250033812700003</v>
      </c>
      <c r="D2008" s="1">
        <v>-7.1028524949599996</v>
      </c>
      <c r="E2008" s="3">
        <v>3</v>
      </c>
      <c r="F2008" s="2">
        <v>3</v>
      </c>
      <c r="G2008" s="4">
        <v>3</v>
      </c>
      <c r="H2008" s="13"/>
      <c r="I2008" s="15"/>
      <c r="J2008" s="19">
        <v>3</v>
      </c>
      <c r="K2008" s="2" t="s">
        <v>4028</v>
      </c>
      <c r="L2008" s="11" t="str">
        <f t="shared" si="32"/>
        <v>Ver Imagen</v>
      </c>
      <c r="M2008" t="s">
        <v>15</v>
      </c>
    </row>
    <row r="2009" spans="1:13" x14ac:dyDescent="0.25">
      <c r="A2009">
        <v>2008</v>
      </c>
      <c r="B2009" t="s">
        <v>4029</v>
      </c>
      <c r="C2009" s="1">
        <v>37.254819253400001</v>
      </c>
      <c r="D2009" s="1">
        <v>-7.10865884658</v>
      </c>
      <c r="E2009" s="3">
        <v>3</v>
      </c>
      <c r="F2009" s="2">
        <v>3</v>
      </c>
      <c r="G2009" s="4">
        <v>3</v>
      </c>
      <c r="H2009" s="13"/>
      <c r="I2009" s="15"/>
      <c r="J2009" s="19">
        <v>3</v>
      </c>
      <c r="K2009" s="2" t="s">
        <v>4030</v>
      </c>
      <c r="L2009" s="11" t="str">
        <f t="shared" si="32"/>
        <v>Ver Imagen</v>
      </c>
      <c r="M2009" t="s">
        <v>15</v>
      </c>
    </row>
    <row r="2010" spans="1:13" x14ac:dyDescent="0.25">
      <c r="A2010">
        <v>2009</v>
      </c>
      <c r="B2010" t="s">
        <v>4031</v>
      </c>
      <c r="C2010" s="1">
        <v>37.255313086400001</v>
      </c>
      <c r="D2010" s="1">
        <v>-7.1101730571499999</v>
      </c>
      <c r="E2010" s="3">
        <v>3</v>
      </c>
      <c r="F2010" s="2">
        <v>3</v>
      </c>
      <c r="G2010" s="4">
        <v>3</v>
      </c>
      <c r="H2010" s="13"/>
      <c r="I2010" s="15"/>
      <c r="J2010" s="19">
        <v>3</v>
      </c>
      <c r="K2010" s="2" t="s">
        <v>4032</v>
      </c>
      <c r="L2010" s="11" t="str">
        <f t="shared" si="32"/>
        <v>Ver Imagen</v>
      </c>
      <c r="M2010" t="s">
        <v>15</v>
      </c>
    </row>
    <row r="2011" spans="1:13" x14ac:dyDescent="0.25">
      <c r="A2011">
        <v>2010</v>
      </c>
      <c r="B2011" t="s">
        <v>4033</v>
      </c>
      <c r="C2011" s="1">
        <v>37.255276594100003</v>
      </c>
      <c r="D2011" s="1">
        <v>-7.1119392470999996</v>
      </c>
      <c r="E2011" s="3">
        <v>3</v>
      </c>
      <c r="F2011" s="2">
        <v>3</v>
      </c>
      <c r="G2011" s="4">
        <v>3</v>
      </c>
      <c r="H2011" s="13"/>
      <c r="I2011" s="15"/>
      <c r="J2011" s="19">
        <v>3</v>
      </c>
      <c r="K2011" s="2" t="s">
        <v>4034</v>
      </c>
      <c r="L2011" s="11" t="str">
        <f t="shared" si="32"/>
        <v>Ver Imagen</v>
      </c>
      <c r="M2011" t="s">
        <v>15</v>
      </c>
    </row>
    <row r="2012" spans="1:13" x14ac:dyDescent="0.25">
      <c r="A2012">
        <v>2011</v>
      </c>
      <c r="B2012" t="s">
        <v>4035</v>
      </c>
      <c r="C2012" s="1">
        <v>37.255123707800003</v>
      </c>
      <c r="D2012" s="1">
        <v>-7.1126366360500004</v>
      </c>
      <c r="E2012" s="3">
        <v>3</v>
      </c>
      <c r="F2012" s="2">
        <v>3</v>
      </c>
      <c r="G2012" s="4">
        <v>3</v>
      </c>
      <c r="H2012" s="13"/>
      <c r="I2012" s="15"/>
      <c r="J2012" s="19">
        <v>3</v>
      </c>
      <c r="K2012" s="2" t="s">
        <v>4036</v>
      </c>
      <c r="L2012" s="11" t="str">
        <f t="shared" si="32"/>
        <v>Ver Imagen</v>
      </c>
      <c r="M2012" t="s">
        <v>15</v>
      </c>
    </row>
    <row r="2013" spans="1:13" x14ac:dyDescent="0.25">
      <c r="A2013">
        <v>2012</v>
      </c>
      <c r="B2013" t="s">
        <v>4037</v>
      </c>
      <c r="C2013" s="1">
        <v>37.254938344000003</v>
      </c>
      <c r="D2013" s="1">
        <v>-7.1133811218299998</v>
      </c>
      <c r="E2013" s="3">
        <v>3</v>
      </c>
      <c r="F2013" s="2">
        <v>3</v>
      </c>
      <c r="G2013" s="4">
        <v>3</v>
      </c>
      <c r="H2013" s="13"/>
      <c r="I2013" s="15"/>
      <c r="J2013" s="19">
        <v>3</v>
      </c>
      <c r="K2013" s="2" t="s">
        <v>4038</v>
      </c>
      <c r="L2013" s="11" t="str">
        <f t="shared" si="32"/>
        <v>Ver Imagen</v>
      </c>
      <c r="M2013" t="s">
        <v>15</v>
      </c>
    </row>
    <row r="2014" spans="1:13" x14ac:dyDescent="0.25">
      <c r="A2014">
        <v>2013</v>
      </c>
      <c r="B2014" t="s">
        <v>4039</v>
      </c>
      <c r="C2014" s="1">
        <v>37.254698419299999</v>
      </c>
      <c r="D2014" s="1">
        <v>-7.1143683968699998</v>
      </c>
      <c r="E2014" s="3">
        <v>3</v>
      </c>
      <c r="F2014" s="2">
        <v>3</v>
      </c>
      <c r="G2014" s="4">
        <v>3</v>
      </c>
      <c r="H2014" s="13"/>
      <c r="I2014" s="15"/>
      <c r="J2014" s="19">
        <v>3</v>
      </c>
      <c r="K2014" s="2" t="s">
        <v>4040</v>
      </c>
      <c r="L2014" s="11" t="str">
        <f t="shared" si="32"/>
        <v>Ver Imagen</v>
      </c>
      <c r="M2014" t="s">
        <v>15</v>
      </c>
    </row>
    <row r="2015" spans="1:13" x14ac:dyDescent="0.25">
      <c r="A2015">
        <v>2014</v>
      </c>
      <c r="B2015" t="s">
        <v>4041</v>
      </c>
      <c r="C2015" s="1">
        <v>37.2546221626</v>
      </c>
      <c r="D2015" s="1">
        <v>-7.1160974057199997</v>
      </c>
      <c r="E2015" s="3">
        <v>3</v>
      </c>
      <c r="F2015" s="2">
        <v>3</v>
      </c>
      <c r="G2015" s="4">
        <v>3</v>
      </c>
      <c r="H2015" s="13"/>
      <c r="I2015" s="15"/>
      <c r="J2015" s="19">
        <v>3</v>
      </c>
      <c r="K2015" s="2" t="s">
        <v>4042</v>
      </c>
      <c r="L2015" s="11" t="str">
        <f t="shared" si="32"/>
        <v>Ver Imagen</v>
      </c>
      <c r="M2015" t="s">
        <v>15</v>
      </c>
    </row>
    <row r="2016" spans="1:13" x14ac:dyDescent="0.25">
      <c r="A2016">
        <v>2015</v>
      </c>
      <c r="B2016" t="s">
        <v>4043</v>
      </c>
      <c r="C2016" s="1">
        <v>37.2546666239</v>
      </c>
      <c r="D2016" s="1">
        <v>-7.1163259299100003</v>
      </c>
      <c r="E2016" s="3">
        <v>3</v>
      </c>
      <c r="F2016" s="2">
        <v>3</v>
      </c>
      <c r="G2016" s="4">
        <v>3</v>
      </c>
      <c r="H2016" s="13"/>
      <c r="I2016" s="15"/>
      <c r="J2016" s="19">
        <v>3</v>
      </c>
      <c r="K2016" s="2" t="s">
        <v>4044</v>
      </c>
      <c r="L2016" s="11" t="str">
        <f t="shared" si="32"/>
        <v>Ver Imagen</v>
      </c>
      <c r="M2016" t="s">
        <v>15</v>
      </c>
    </row>
    <row r="2017" spans="1:13" x14ac:dyDescent="0.25">
      <c r="A2017">
        <v>2016</v>
      </c>
      <c r="B2017" t="s">
        <v>4045</v>
      </c>
      <c r="C2017" s="1">
        <v>37.258481018399998</v>
      </c>
      <c r="D2017" s="1">
        <v>-7.1205362335600002</v>
      </c>
      <c r="E2017" s="3">
        <v>3</v>
      </c>
      <c r="F2017" s="2">
        <v>3</v>
      </c>
      <c r="G2017" s="4">
        <v>3</v>
      </c>
      <c r="H2017" s="13"/>
      <c r="I2017" s="15"/>
      <c r="J2017" s="19">
        <v>3</v>
      </c>
      <c r="K2017" s="2" t="s">
        <v>4046</v>
      </c>
      <c r="L2017" s="11" t="str">
        <f t="shared" si="32"/>
        <v>Ver Imagen</v>
      </c>
      <c r="M2017" t="s">
        <v>15</v>
      </c>
    </row>
    <row r="2018" spans="1:13" x14ac:dyDescent="0.25">
      <c r="A2018">
        <v>2017</v>
      </c>
      <c r="B2018" t="s">
        <v>4047</v>
      </c>
      <c r="C2018" s="1">
        <v>37.258833979199999</v>
      </c>
      <c r="D2018" s="1">
        <v>-7.1227858199399998</v>
      </c>
      <c r="E2018" s="3">
        <v>3</v>
      </c>
      <c r="F2018" s="2">
        <v>3</v>
      </c>
      <c r="G2018" s="4">
        <v>3</v>
      </c>
      <c r="H2018" s="13"/>
      <c r="I2018" s="15"/>
      <c r="J2018" s="19">
        <v>3</v>
      </c>
      <c r="K2018" s="2" t="s">
        <v>4048</v>
      </c>
      <c r="L2018" s="11" t="str">
        <f t="shared" si="32"/>
        <v>Ver Imagen</v>
      </c>
      <c r="M2018" t="s">
        <v>15</v>
      </c>
    </row>
    <row r="2019" spans="1:13" x14ac:dyDescent="0.25">
      <c r="A2019">
        <v>2018</v>
      </c>
      <c r="B2019" t="s">
        <v>4049</v>
      </c>
      <c r="C2019" s="1">
        <v>37.258877519800002</v>
      </c>
      <c r="D2019" s="1">
        <v>-7.1233166486400004</v>
      </c>
      <c r="E2019" s="3">
        <v>3</v>
      </c>
      <c r="F2019" s="2">
        <v>3</v>
      </c>
      <c r="G2019" s="4">
        <v>3</v>
      </c>
      <c r="H2019" s="13"/>
      <c r="I2019" s="15"/>
      <c r="J2019" s="19">
        <v>3</v>
      </c>
      <c r="K2019" s="2" t="s">
        <v>4050</v>
      </c>
      <c r="L2019" s="11" t="str">
        <f t="shared" si="32"/>
        <v>Ver Imagen</v>
      </c>
      <c r="M2019" t="s">
        <v>15</v>
      </c>
    </row>
    <row r="2020" spans="1:13" x14ac:dyDescent="0.25">
      <c r="A2020">
        <v>2019</v>
      </c>
      <c r="B2020" t="s">
        <v>4051</v>
      </c>
      <c r="C2020" s="1">
        <v>37.2591451256</v>
      </c>
      <c r="D2020" s="1">
        <v>-7.1252886536300002</v>
      </c>
      <c r="E2020" s="3">
        <v>3</v>
      </c>
      <c r="F2020" s="2">
        <v>3</v>
      </c>
      <c r="G2020" s="4">
        <v>3</v>
      </c>
      <c r="H2020" s="13"/>
      <c r="I2020" s="15"/>
      <c r="J2020" s="19">
        <v>3</v>
      </c>
      <c r="K2020" s="2" t="s">
        <v>4052</v>
      </c>
      <c r="L2020" s="11" t="str">
        <f t="shared" si="32"/>
        <v>Ver Imagen</v>
      </c>
      <c r="M2020" t="s">
        <v>15</v>
      </c>
    </row>
    <row r="2021" spans="1:13" x14ac:dyDescent="0.25">
      <c r="A2021">
        <v>2020</v>
      </c>
      <c r="B2021" t="s">
        <v>4053</v>
      </c>
      <c r="C2021" s="1">
        <v>37.444003557800002</v>
      </c>
      <c r="D2021" s="1">
        <v>-7.0984422947899999</v>
      </c>
      <c r="E2021" s="3">
        <v>3</v>
      </c>
      <c r="F2021" s="2">
        <v>3</v>
      </c>
      <c r="G2021" s="4">
        <v>3</v>
      </c>
      <c r="H2021" s="13"/>
      <c r="I2021" s="15"/>
      <c r="J2021" s="19">
        <v>3</v>
      </c>
      <c r="K2021" s="2" t="s">
        <v>4054</v>
      </c>
      <c r="L2021" s="11" t="str">
        <f t="shared" si="32"/>
        <v>Ver Imagen</v>
      </c>
      <c r="M2021" t="s">
        <v>15</v>
      </c>
    </row>
    <row r="2022" spans="1:13" x14ac:dyDescent="0.25">
      <c r="A2022">
        <v>2021</v>
      </c>
      <c r="B2022" t="s">
        <v>4055</v>
      </c>
      <c r="C2022" s="1">
        <v>37.443994017500003</v>
      </c>
      <c r="D2022" s="1">
        <v>-7.0982272429600002</v>
      </c>
      <c r="E2022" s="3">
        <v>3</v>
      </c>
      <c r="F2022" s="2">
        <v>3</v>
      </c>
      <c r="G2022" s="4">
        <v>3</v>
      </c>
      <c r="H2022" s="13"/>
      <c r="I2022" s="15"/>
      <c r="J2022" s="19">
        <v>3</v>
      </c>
      <c r="K2022" s="2" t="s">
        <v>4056</v>
      </c>
      <c r="L2022" s="11" t="str">
        <f t="shared" si="32"/>
        <v>Ver Imagen</v>
      </c>
      <c r="M2022" t="s">
        <v>15</v>
      </c>
    </row>
    <row r="2023" spans="1:13" x14ac:dyDescent="0.25">
      <c r="A2023">
        <v>2022</v>
      </c>
      <c r="B2023" t="s">
        <v>4057</v>
      </c>
      <c r="C2023" s="1">
        <v>37.484434284599999</v>
      </c>
      <c r="D2023" s="1">
        <v>-7.13029926944</v>
      </c>
      <c r="E2023" s="3">
        <v>3</v>
      </c>
      <c r="F2023" s="2">
        <v>3</v>
      </c>
      <c r="G2023" s="4">
        <v>3</v>
      </c>
      <c r="H2023" s="13"/>
      <c r="I2023" s="15"/>
      <c r="J2023" s="19">
        <v>3</v>
      </c>
      <c r="K2023" s="2" t="s">
        <v>4058</v>
      </c>
      <c r="L2023" s="11" t="str">
        <f t="shared" si="32"/>
        <v>Ver Imagen</v>
      </c>
      <c r="M2023" t="s">
        <v>15</v>
      </c>
    </row>
    <row r="2024" spans="1:13" x14ac:dyDescent="0.25">
      <c r="A2024">
        <v>2023</v>
      </c>
      <c r="B2024" t="s">
        <v>4059</v>
      </c>
      <c r="C2024" s="1">
        <v>37.481905030299998</v>
      </c>
      <c r="D2024" s="1">
        <v>-7.1281936607900001</v>
      </c>
      <c r="E2024" s="3">
        <v>3</v>
      </c>
      <c r="F2024" s="2">
        <v>3</v>
      </c>
      <c r="G2024" s="4">
        <v>3</v>
      </c>
      <c r="H2024" s="13"/>
      <c r="I2024" s="15"/>
      <c r="J2024" s="19">
        <v>3</v>
      </c>
      <c r="K2024" s="2" t="s">
        <v>4060</v>
      </c>
      <c r="L2024" s="11" t="str">
        <f t="shared" si="32"/>
        <v>Ver Imagen</v>
      </c>
      <c r="M2024" t="s">
        <v>15</v>
      </c>
    </row>
    <row r="2025" spans="1:13" x14ac:dyDescent="0.25">
      <c r="A2025">
        <v>2024</v>
      </c>
      <c r="B2025" t="s">
        <v>4061</v>
      </c>
      <c r="C2025" s="1">
        <v>37.479947840500003</v>
      </c>
      <c r="D2025" s="1">
        <v>-7.1278928689300001</v>
      </c>
      <c r="E2025" s="3">
        <v>3</v>
      </c>
      <c r="F2025" s="2">
        <v>3</v>
      </c>
      <c r="G2025" s="4">
        <v>3</v>
      </c>
      <c r="H2025" s="13"/>
      <c r="I2025" s="15"/>
      <c r="J2025" s="19">
        <v>3</v>
      </c>
      <c r="K2025" s="2" t="s">
        <v>4062</v>
      </c>
      <c r="L2025" s="11" t="str">
        <f t="shared" si="32"/>
        <v>Ver Imagen</v>
      </c>
      <c r="M2025" t="s">
        <v>15</v>
      </c>
    </row>
    <row r="2026" spans="1:13" x14ac:dyDescent="0.25">
      <c r="A2026">
        <v>2025</v>
      </c>
      <c r="B2026" t="s">
        <v>4063</v>
      </c>
      <c r="C2026" s="1">
        <v>37.474574664400002</v>
      </c>
      <c r="D2026" s="1">
        <v>-7.1260974740599998</v>
      </c>
      <c r="E2026" s="3">
        <v>3</v>
      </c>
      <c r="F2026" s="2">
        <v>3</v>
      </c>
      <c r="G2026" s="4">
        <v>3</v>
      </c>
      <c r="H2026" s="13"/>
      <c r="I2026" s="15"/>
      <c r="J2026" s="19">
        <v>3</v>
      </c>
      <c r="K2026" s="2" t="s">
        <v>4064</v>
      </c>
      <c r="L2026" s="11" t="str">
        <f t="shared" si="32"/>
        <v>Ver Imagen</v>
      </c>
      <c r="M2026" t="s">
        <v>15</v>
      </c>
    </row>
    <row r="2027" spans="1:13" x14ac:dyDescent="0.25">
      <c r="A2027">
        <v>2026</v>
      </c>
      <c r="B2027" t="s">
        <v>4065</v>
      </c>
      <c r="C2027" s="1">
        <v>37.469547194199997</v>
      </c>
      <c r="D2027" s="1">
        <v>-7.1243166669100004</v>
      </c>
      <c r="E2027" s="3">
        <v>3</v>
      </c>
      <c r="F2027" s="2">
        <v>3</v>
      </c>
      <c r="G2027" s="4">
        <v>3</v>
      </c>
      <c r="H2027" s="13"/>
      <c r="I2027" s="15"/>
      <c r="J2027" s="19">
        <v>3</v>
      </c>
      <c r="K2027" s="2" t="s">
        <v>4066</v>
      </c>
      <c r="L2027" s="11" t="str">
        <f t="shared" si="32"/>
        <v>Ver Imagen</v>
      </c>
      <c r="M2027" t="s">
        <v>15</v>
      </c>
    </row>
    <row r="2028" spans="1:13" x14ac:dyDescent="0.25">
      <c r="A2028">
        <v>2027</v>
      </c>
      <c r="B2028" t="s">
        <v>4067</v>
      </c>
      <c r="C2028" s="1">
        <v>37.467378847299997</v>
      </c>
      <c r="D2028" s="1">
        <v>-7.12294610956</v>
      </c>
      <c r="E2028" s="3">
        <v>3</v>
      </c>
      <c r="F2028" s="2">
        <v>3</v>
      </c>
      <c r="G2028" s="4">
        <v>3</v>
      </c>
      <c r="H2028" s="13"/>
      <c r="I2028" s="15"/>
      <c r="J2028" s="19">
        <v>3</v>
      </c>
      <c r="K2028" s="2" t="s">
        <v>4068</v>
      </c>
      <c r="L2028" s="11" t="str">
        <f t="shared" si="32"/>
        <v>Ver Imagen</v>
      </c>
      <c r="M2028" t="s">
        <v>15</v>
      </c>
    </row>
    <row r="2029" spans="1:13" x14ac:dyDescent="0.25">
      <c r="A2029">
        <v>2028</v>
      </c>
      <c r="B2029" t="s">
        <v>4069</v>
      </c>
      <c r="C2029" s="1">
        <v>37.451168199900003</v>
      </c>
      <c r="D2029" s="1">
        <v>-7.1274400098799999</v>
      </c>
      <c r="E2029" s="3">
        <v>3</v>
      </c>
      <c r="F2029" s="2">
        <v>3</v>
      </c>
      <c r="G2029" s="4">
        <v>3</v>
      </c>
      <c r="H2029" s="13"/>
      <c r="I2029" s="15"/>
      <c r="J2029" s="19">
        <v>3</v>
      </c>
      <c r="K2029" s="2" t="s">
        <v>4070</v>
      </c>
      <c r="L2029" s="11" t="str">
        <f t="shared" si="32"/>
        <v>Ver Imagen</v>
      </c>
      <c r="M2029" t="s">
        <v>15</v>
      </c>
    </row>
    <row r="2030" spans="1:13" x14ac:dyDescent="0.25">
      <c r="A2030">
        <v>2029</v>
      </c>
      <c r="B2030" t="s">
        <v>4071</v>
      </c>
      <c r="C2030" s="1">
        <v>37.450783152</v>
      </c>
      <c r="D2030" s="1">
        <v>-7.12739237137</v>
      </c>
      <c r="E2030" s="3">
        <v>3</v>
      </c>
      <c r="F2030" s="2">
        <v>3</v>
      </c>
      <c r="G2030" s="4">
        <v>3</v>
      </c>
      <c r="H2030" s="13"/>
      <c r="I2030" s="15"/>
      <c r="J2030" s="19">
        <v>3</v>
      </c>
      <c r="K2030" s="2" t="s">
        <v>4072</v>
      </c>
      <c r="L2030" s="11" t="str">
        <f t="shared" si="32"/>
        <v>Ver Imagen</v>
      </c>
      <c r="M2030" t="s">
        <v>15</v>
      </c>
    </row>
    <row r="2031" spans="1:13" x14ac:dyDescent="0.25">
      <c r="A2031">
        <v>2030</v>
      </c>
      <c r="B2031" t="s">
        <v>4073</v>
      </c>
      <c r="C2031" s="1">
        <v>37.449206902100002</v>
      </c>
      <c r="D2031" s="1">
        <v>-7.1270001805899996</v>
      </c>
      <c r="E2031" s="3">
        <v>3</v>
      </c>
      <c r="F2031" s="2">
        <v>3</v>
      </c>
      <c r="G2031" s="4">
        <v>3</v>
      </c>
      <c r="H2031" s="13"/>
      <c r="I2031" s="15"/>
      <c r="J2031" s="19">
        <v>3</v>
      </c>
      <c r="K2031" s="2" t="s">
        <v>4074</v>
      </c>
      <c r="L2031" s="11" t="str">
        <f t="shared" si="32"/>
        <v>Ver Imagen</v>
      </c>
      <c r="M2031" t="s">
        <v>15</v>
      </c>
    </row>
    <row r="2032" spans="1:13" x14ac:dyDescent="0.25">
      <c r="A2032">
        <v>2031</v>
      </c>
      <c r="B2032" t="s">
        <v>4075</v>
      </c>
      <c r="C2032" s="1">
        <v>37.4953413697</v>
      </c>
      <c r="D2032" s="1">
        <v>-7.27153364629</v>
      </c>
      <c r="E2032" s="3">
        <v>3</v>
      </c>
      <c r="F2032" s="2">
        <v>3</v>
      </c>
      <c r="G2032" s="4">
        <v>3</v>
      </c>
      <c r="H2032" s="13"/>
      <c r="I2032" s="15"/>
      <c r="J2032" s="19">
        <v>3</v>
      </c>
      <c r="K2032" s="2" t="s">
        <v>4076</v>
      </c>
      <c r="L2032" s="11" t="str">
        <f t="shared" si="32"/>
        <v>Ver Imagen</v>
      </c>
      <c r="M2032" t="s">
        <v>15</v>
      </c>
    </row>
    <row r="2033" spans="1:13" x14ac:dyDescent="0.25">
      <c r="A2033">
        <v>2032</v>
      </c>
      <c r="B2033" t="s">
        <v>4077</v>
      </c>
      <c r="C2033" s="1">
        <v>37.497037644800002</v>
      </c>
      <c r="D2033" s="1">
        <v>-7.2681095687399999</v>
      </c>
      <c r="E2033" s="3">
        <v>3</v>
      </c>
      <c r="F2033" s="2">
        <v>3</v>
      </c>
      <c r="G2033" s="4">
        <v>3</v>
      </c>
      <c r="H2033" s="13"/>
      <c r="I2033" s="15"/>
      <c r="J2033" s="19">
        <v>3</v>
      </c>
      <c r="K2033" s="2" t="s">
        <v>4078</v>
      </c>
      <c r="L2033" s="11" t="str">
        <f t="shared" si="32"/>
        <v>Ver Imagen</v>
      </c>
      <c r="M2033" t="s">
        <v>15</v>
      </c>
    </row>
    <row r="2034" spans="1:13" x14ac:dyDescent="0.25">
      <c r="A2034">
        <v>2033</v>
      </c>
      <c r="B2034" t="s">
        <v>4079</v>
      </c>
      <c r="C2034" s="1">
        <v>37.198884874999997</v>
      </c>
      <c r="D2034" s="1">
        <v>-6.9825412008200001</v>
      </c>
      <c r="E2034" s="3">
        <v>3</v>
      </c>
      <c r="F2034" s="2">
        <v>3</v>
      </c>
      <c r="G2034" s="4">
        <v>3</v>
      </c>
      <c r="H2034" s="13"/>
      <c r="I2034" s="15"/>
      <c r="J2034" s="19">
        <v>3</v>
      </c>
      <c r="K2034" s="2" t="s">
        <v>4080</v>
      </c>
      <c r="L2034" s="11" t="str">
        <f t="shared" si="32"/>
        <v>Ver Imagen</v>
      </c>
      <c r="M2034" t="s">
        <v>15</v>
      </c>
    </row>
    <row r="2035" spans="1:13" x14ac:dyDescent="0.25">
      <c r="A2035">
        <v>2034</v>
      </c>
      <c r="B2035" t="s">
        <v>4081</v>
      </c>
      <c r="C2035" s="1">
        <v>37.198716752700001</v>
      </c>
      <c r="D2035" s="1">
        <v>-6.9821208460099999</v>
      </c>
      <c r="E2035" s="3">
        <v>3</v>
      </c>
      <c r="F2035" s="2">
        <v>3</v>
      </c>
      <c r="G2035" s="4">
        <v>3</v>
      </c>
      <c r="H2035" s="13"/>
      <c r="I2035" s="15"/>
      <c r="J2035" s="19">
        <v>3</v>
      </c>
      <c r="K2035" s="2" t="s">
        <v>4082</v>
      </c>
      <c r="L2035" s="11" t="str">
        <f t="shared" si="32"/>
        <v>Ver Imagen</v>
      </c>
      <c r="M2035" t="s">
        <v>15</v>
      </c>
    </row>
    <row r="2036" spans="1:13" x14ac:dyDescent="0.25">
      <c r="A2036">
        <v>2035</v>
      </c>
      <c r="B2036" t="s">
        <v>4083</v>
      </c>
      <c r="C2036" s="1">
        <v>37.198416522599999</v>
      </c>
      <c r="D2036" s="1">
        <v>-6.9814621735899998</v>
      </c>
      <c r="E2036" s="3">
        <v>3</v>
      </c>
      <c r="F2036" s="2">
        <v>3</v>
      </c>
      <c r="G2036" s="4">
        <v>3</v>
      </c>
      <c r="H2036" s="13"/>
      <c r="I2036" s="15"/>
      <c r="J2036" s="19">
        <v>3</v>
      </c>
      <c r="K2036" s="2" t="s">
        <v>4084</v>
      </c>
      <c r="L2036" s="11" t="str">
        <f t="shared" si="32"/>
        <v>Ver Imagen</v>
      </c>
      <c r="M2036" t="s">
        <v>15</v>
      </c>
    </row>
    <row r="2037" spans="1:13" x14ac:dyDescent="0.25">
      <c r="A2037">
        <v>2036</v>
      </c>
      <c r="B2037" t="s">
        <v>4085</v>
      </c>
      <c r="C2037" s="1">
        <v>37.198292772800002</v>
      </c>
      <c r="D2037" s="1">
        <v>-6.9812215808099998</v>
      </c>
      <c r="E2037" s="3">
        <v>3</v>
      </c>
      <c r="F2037" s="2">
        <v>3</v>
      </c>
      <c r="G2037" s="4">
        <v>3</v>
      </c>
      <c r="H2037" s="13"/>
      <c r="I2037" s="15"/>
      <c r="J2037" s="19">
        <v>3</v>
      </c>
      <c r="K2037" s="2" t="s">
        <v>4086</v>
      </c>
      <c r="L2037" s="11" t="str">
        <f t="shared" si="32"/>
        <v>Ver Imagen</v>
      </c>
      <c r="M2037" t="s">
        <v>15</v>
      </c>
    </row>
    <row r="2038" spans="1:13" x14ac:dyDescent="0.25">
      <c r="A2038">
        <v>2037</v>
      </c>
      <c r="B2038" t="s">
        <v>4087</v>
      </c>
      <c r="C2038" s="1">
        <v>37.198071333800002</v>
      </c>
      <c r="D2038" s="1">
        <v>-6.9808314025299998</v>
      </c>
      <c r="E2038" s="3">
        <v>3</v>
      </c>
      <c r="F2038" s="2">
        <v>3</v>
      </c>
      <c r="G2038" s="4">
        <v>3</v>
      </c>
      <c r="H2038" s="13"/>
      <c r="I2038" s="15"/>
      <c r="J2038" s="19">
        <v>3</v>
      </c>
      <c r="K2038" s="2" t="s">
        <v>4088</v>
      </c>
      <c r="L2038" s="11" t="str">
        <f t="shared" si="32"/>
        <v>Ver Imagen</v>
      </c>
      <c r="M2038" t="s">
        <v>15</v>
      </c>
    </row>
    <row r="2039" spans="1:13" x14ac:dyDescent="0.25">
      <c r="A2039">
        <v>2038</v>
      </c>
      <c r="B2039" t="s">
        <v>4089</v>
      </c>
      <c r="C2039" s="1">
        <v>37.197552756999997</v>
      </c>
      <c r="D2039" s="1">
        <v>-6.9800861782899997</v>
      </c>
      <c r="E2039" s="3">
        <v>3</v>
      </c>
      <c r="F2039" s="2">
        <v>3</v>
      </c>
      <c r="G2039" s="4">
        <v>3</v>
      </c>
      <c r="H2039" s="13"/>
      <c r="I2039" s="15"/>
      <c r="J2039" s="19">
        <v>3</v>
      </c>
      <c r="K2039" s="2" t="s">
        <v>4090</v>
      </c>
      <c r="L2039" s="11" t="str">
        <f t="shared" si="32"/>
        <v>Ver Imagen</v>
      </c>
      <c r="M2039" t="s">
        <v>15</v>
      </c>
    </row>
    <row r="2040" spans="1:13" x14ac:dyDescent="0.25">
      <c r="A2040">
        <v>2039</v>
      </c>
      <c r="B2040" t="s">
        <v>4091</v>
      </c>
      <c r="C2040" s="1">
        <v>37.197224641799998</v>
      </c>
      <c r="D2040" s="1">
        <v>-6.97969609031</v>
      </c>
      <c r="E2040" s="3">
        <v>3</v>
      </c>
      <c r="F2040" s="2">
        <v>3</v>
      </c>
      <c r="G2040" s="4">
        <v>3</v>
      </c>
      <c r="H2040" s="13"/>
      <c r="I2040" s="15"/>
      <c r="J2040" s="19">
        <v>3</v>
      </c>
      <c r="K2040" s="2" t="s">
        <v>4092</v>
      </c>
      <c r="L2040" s="11" t="str">
        <f t="shared" si="32"/>
        <v>Ver Imagen</v>
      </c>
      <c r="M2040" t="s">
        <v>15</v>
      </c>
    </row>
    <row r="2041" spans="1:13" x14ac:dyDescent="0.25">
      <c r="A2041">
        <v>2040</v>
      </c>
      <c r="B2041" t="s">
        <v>4093</v>
      </c>
      <c r="C2041" s="1">
        <v>37.197089691000002</v>
      </c>
      <c r="D2041" s="1">
        <v>-6.9795507025900001</v>
      </c>
      <c r="E2041" s="3">
        <v>3</v>
      </c>
      <c r="F2041" s="2">
        <v>3</v>
      </c>
      <c r="G2041" s="4">
        <v>3</v>
      </c>
      <c r="H2041" s="13"/>
      <c r="I2041" s="15"/>
      <c r="J2041" s="19">
        <v>3</v>
      </c>
      <c r="K2041" s="2" t="s">
        <v>4094</v>
      </c>
      <c r="L2041" s="11" t="str">
        <f t="shared" si="32"/>
        <v>Ver Imagen</v>
      </c>
      <c r="M2041" t="s">
        <v>15</v>
      </c>
    </row>
    <row r="2042" spans="1:13" x14ac:dyDescent="0.25">
      <c r="A2042">
        <v>2041</v>
      </c>
      <c r="B2042" t="s">
        <v>4095</v>
      </c>
      <c r="C2042" s="1">
        <v>37.196941987899997</v>
      </c>
      <c r="D2042" s="1">
        <v>-6.9794002616700004</v>
      </c>
      <c r="E2042" s="3">
        <v>3</v>
      </c>
      <c r="F2042" s="2">
        <v>3</v>
      </c>
      <c r="G2042" s="4">
        <v>3</v>
      </c>
      <c r="H2042" s="13"/>
      <c r="I2042" s="15"/>
      <c r="J2042" s="19">
        <v>3</v>
      </c>
      <c r="K2042" s="2" t="s">
        <v>4096</v>
      </c>
      <c r="L2042" s="11" t="str">
        <f t="shared" si="32"/>
        <v>Ver Imagen</v>
      </c>
      <c r="M2042" t="s">
        <v>15</v>
      </c>
    </row>
    <row r="2043" spans="1:13" x14ac:dyDescent="0.25">
      <c r="A2043">
        <v>2042</v>
      </c>
      <c r="B2043" t="s">
        <v>4097</v>
      </c>
      <c r="C2043" s="1">
        <v>37.196625771800001</v>
      </c>
      <c r="D2043" s="1">
        <v>-6.9791057436199999</v>
      </c>
      <c r="E2043" s="3">
        <v>3</v>
      </c>
      <c r="F2043" s="2">
        <v>3</v>
      </c>
      <c r="G2043" s="4">
        <v>3</v>
      </c>
      <c r="H2043" s="13"/>
      <c r="I2043" s="15"/>
      <c r="J2043" s="19">
        <v>3</v>
      </c>
      <c r="K2043" s="2" t="s">
        <v>4098</v>
      </c>
      <c r="L2043" s="11" t="str">
        <f t="shared" si="32"/>
        <v>Ver Imagen</v>
      </c>
      <c r="M2043" t="s">
        <v>15</v>
      </c>
    </row>
    <row r="2044" spans="1:13" x14ac:dyDescent="0.25">
      <c r="A2044">
        <v>2043</v>
      </c>
      <c r="B2044" t="s">
        <v>4099</v>
      </c>
      <c r="C2044" s="1">
        <v>37.194622132200003</v>
      </c>
      <c r="D2044" s="1">
        <v>-6.97792953091</v>
      </c>
      <c r="E2044" s="3">
        <v>3</v>
      </c>
      <c r="F2044" s="2">
        <v>3</v>
      </c>
      <c r="G2044" s="4">
        <v>3</v>
      </c>
      <c r="H2044" s="13"/>
      <c r="I2044" s="15"/>
      <c r="J2044" s="19">
        <v>3</v>
      </c>
      <c r="K2044" s="2" t="s">
        <v>4100</v>
      </c>
      <c r="L2044" s="11" t="str">
        <f t="shared" si="32"/>
        <v>Ver Imagen</v>
      </c>
      <c r="M2044" t="s">
        <v>15</v>
      </c>
    </row>
    <row r="2045" spans="1:13" x14ac:dyDescent="0.25">
      <c r="A2045">
        <v>2044</v>
      </c>
      <c r="B2045" t="s">
        <v>4101</v>
      </c>
      <c r="C2045" s="1">
        <v>37.189773740699998</v>
      </c>
      <c r="D2045" s="1">
        <v>-6.9782003067999998</v>
      </c>
      <c r="E2045" s="3">
        <v>3</v>
      </c>
      <c r="F2045" s="2">
        <v>3</v>
      </c>
      <c r="G2045" s="4">
        <v>3</v>
      </c>
      <c r="H2045" s="13"/>
      <c r="I2045" s="15"/>
      <c r="J2045" s="19">
        <v>3</v>
      </c>
      <c r="K2045" s="2" t="s">
        <v>4102</v>
      </c>
      <c r="L2045" s="11" t="str">
        <f t="shared" si="32"/>
        <v>Ver Imagen</v>
      </c>
      <c r="M2045" t="s">
        <v>15</v>
      </c>
    </row>
    <row r="2046" spans="1:13" x14ac:dyDescent="0.25">
      <c r="A2046">
        <v>2045</v>
      </c>
      <c r="B2046" t="s">
        <v>4103</v>
      </c>
      <c r="C2046" s="1">
        <v>37.189414120499997</v>
      </c>
      <c r="D2046" s="1">
        <v>-6.9783053052200001</v>
      </c>
      <c r="E2046" s="3">
        <v>3</v>
      </c>
      <c r="F2046" s="2">
        <v>3</v>
      </c>
      <c r="G2046" s="4">
        <v>3</v>
      </c>
      <c r="H2046" s="13"/>
      <c r="I2046" s="15"/>
      <c r="J2046" s="19">
        <v>3</v>
      </c>
      <c r="K2046" s="2" t="s">
        <v>4104</v>
      </c>
      <c r="L2046" s="11" t="str">
        <f t="shared" ref="L2046:L2109" si="33">HYPERLINK("3\0\" &amp; K2046, "Ver Imagen")</f>
        <v>Ver Imagen</v>
      </c>
      <c r="M2046" t="s">
        <v>15</v>
      </c>
    </row>
    <row r="2047" spans="1:13" x14ac:dyDescent="0.25">
      <c r="A2047">
        <v>2046</v>
      </c>
      <c r="B2047" t="s">
        <v>4105</v>
      </c>
      <c r="C2047" s="1">
        <v>37.1886501432</v>
      </c>
      <c r="D2047" s="1">
        <v>-6.9785267420199997</v>
      </c>
      <c r="E2047" s="3">
        <v>3</v>
      </c>
      <c r="F2047" s="2">
        <v>3</v>
      </c>
      <c r="G2047" s="4">
        <v>3</v>
      </c>
      <c r="H2047" s="13"/>
      <c r="I2047" s="15"/>
      <c r="J2047" s="19">
        <v>3</v>
      </c>
      <c r="K2047" s="2" t="s">
        <v>4106</v>
      </c>
      <c r="L2047" s="11" t="str">
        <f t="shared" si="33"/>
        <v>Ver Imagen</v>
      </c>
      <c r="M2047" t="s">
        <v>15</v>
      </c>
    </row>
    <row r="2048" spans="1:13" x14ac:dyDescent="0.25">
      <c r="A2048">
        <v>2047</v>
      </c>
      <c r="B2048" t="s">
        <v>4107</v>
      </c>
      <c r="C2048" s="1">
        <v>37.188454724800003</v>
      </c>
      <c r="D2048" s="1">
        <v>-6.9786052222999997</v>
      </c>
      <c r="E2048" s="3">
        <v>3</v>
      </c>
      <c r="F2048" s="2">
        <v>3</v>
      </c>
      <c r="G2048" s="4">
        <v>3</v>
      </c>
      <c r="H2048" s="13"/>
      <c r="I2048" s="15"/>
      <c r="J2048" s="19">
        <v>3</v>
      </c>
      <c r="K2048" s="2" t="s">
        <v>4108</v>
      </c>
      <c r="L2048" s="11" t="str">
        <f t="shared" si="33"/>
        <v>Ver Imagen</v>
      </c>
      <c r="M2048" t="s">
        <v>15</v>
      </c>
    </row>
    <row r="2049" spans="1:13" x14ac:dyDescent="0.25">
      <c r="A2049">
        <v>2048</v>
      </c>
      <c r="B2049" t="s">
        <v>4109</v>
      </c>
      <c r="C2049" s="1">
        <v>37.1877733671</v>
      </c>
      <c r="D2049" s="1">
        <v>-6.9790872115999996</v>
      </c>
      <c r="E2049" s="3">
        <v>3</v>
      </c>
      <c r="F2049" s="2">
        <v>3</v>
      </c>
      <c r="G2049" s="4">
        <v>3</v>
      </c>
      <c r="H2049" s="13"/>
      <c r="I2049" s="15"/>
      <c r="J2049" s="19">
        <v>3</v>
      </c>
      <c r="K2049" s="2" t="s">
        <v>4110</v>
      </c>
      <c r="L2049" s="11" t="str">
        <f t="shared" si="33"/>
        <v>Ver Imagen</v>
      </c>
      <c r="M2049" t="s">
        <v>15</v>
      </c>
    </row>
    <row r="2050" spans="1:13" x14ac:dyDescent="0.25">
      <c r="A2050">
        <v>2049</v>
      </c>
      <c r="B2050" t="s">
        <v>4111</v>
      </c>
      <c r="C2050" s="1">
        <v>37.2675150747</v>
      </c>
      <c r="D2050" s="1">
        <v>-6.9575089750199997</v>
      </c>
      <c r="E2050" s="3">
        <v>3</v>
      </c>
      <c r="F2050" s="2">
        <v>3</v>
      </c>
      <c r="G2050" s="4">
        <v>3</v>
      </c>
      <c r="H2050" s="13"/>
      <c r="I2050" s="15"/>
      <c r="J2050" s="19">
        <v>3</v>
      </c>
      <c r="K2050" s="2" t="s">
        <v>4112</v>
      </c>
      <c r="L2050" s="11" t="str">
        <f t="shared" si="33"/>
        <v>Ver Imagen</v>
      </c>
      <c r="M2050" t="s">
        <v>15</v>
      </c>
    </row>
    <row r="2051" spans="1:13" x14ac:dyDescent="0.25">
      <c r="A2051">
        <v>2050</v>
      </c>
      <c r="B2051" t="s">
        <v>4113</v>
      </c>
      <c r="C2051" s="1">
        <v>37.267441155299998</v>
      </c>
      <c r="D2051" s="1">
        <v>-6.9577308371899997</v>
      </c>
      <c r="E2051" s="3">
        <v>3</v>
      </c>
      <c r="F2051" s="2">
        <v>3</v>
      </c>
      <c r="G2051" s="4">
        <v>3</v>
      </c>
      <c r="H2051" s="13"/>
      <c r="I2051" s="15"/>
      <c r="J2051" s="19">
        <v>3</v>
      </c>
      <c r="K2051" s="2" t="s">
        <v>4114</v>
      </c>
      <c r="L2051" s="11" t="str">
        <f t="shared" si="33"/>
        <v>Ver Imagen</v>
      </c>
      <c r="M2051" t="s">
        <v>15</v>
      </c>
    </row>
    <row r="2052" spans="1:13" x14ac:dyDescent="0.25">
      <c r="A2052">
        <v>2051</v>
      </c>
      <c r="B2052" t="s">
        <v>4115</v>
      </c>
      <c r="C2052" s="1">
        <v>37.2676135257</v>
      </c>
      <c r="D2052" s="1">
        <v>-6.9627819224299996</v>
      </c>
      <c r="E2052" s="3">
        <v>3</v>
      </c>
      <c r="F2052" s="2">
        <v>3</v>
      </c>
      <c r="G2052" s="4">
        <v>3</v>
      </c>
      <c r="H2052" s="13"/>
      <c r="I2052" s="15"/>
      <c r="J2052" s="19">
        <v>3</v>
      </c>
      <c r="K2052" s="2" t="s">
        <v>4116</v>
      </c>
      <c r="L2052" s="11" t="str">
        <f t="shared" si="33"/>
        <v>Ver Imagen</v>
      </c>
      <c r="M2052" t="s">
        <v>15</v>
      </c>
    </row>
    <row r="2053" spans="1:13" x14ac:dyDescent="0.25">
      <c r="A2053">
        <v>2052</v>
      </c>
      <c r="B2053" t="s">
        <v>4117</v>
      </c>
      <c r="C2053" s="1">
        <v>37.267637176699999</v>
      </c>
      <c r="D2053" s="1">
        <v>-6.9635710691000003</v>
      </c>
      <c r="E2053" s="3">
        <v>3</v>
      </c>
      <c r="F2053" s="2">
        <v>3</v>
      </c>
      <c r="G2053" s="4">
        <v>3</v>
      </c>
      <c r="H2053" s="13"/>
      <c r="I2053" s="15"/>
      <c r="J2053" s="19">
        <v>3</v>
      </c>
      <c r="K2053" s="2" t="s">
        <v>4118</v>
      </c>
      <c r="L2053" s="11" t="str">
        <f t="shared" si="33"/>
        <v>Ver Imagen</v>
      </c>
      <c r="M2053" t="s">
        <v>15</v>
      </c>
    </row>
    <row r="2054" spans="1:13" x14ac:dyDescent="0.25">
      <c r="A2054">
        <v>2053</v>
      </c>
      <c r="B2054" t="s">
        <v>4119</v>
      </c>
      <c r="C2054" s="1">
        <v>37.268210750000001</v>
      </c>
      <c r="D2054" s="1">
        <v>-6.9713893162999998</v>
      </c>
      <c r="E2054" s="3">
        <v>3</v>
      </c>
      <c r="F2054" s="2">
        <v>3</v>
      </c>
      <c r="G2054" s="4">
        <v>3</v>
      </c>
      <c r="H2054" s="13"/>
      <c r="I2054" s="15"/>
      <c r="J2054" s="19">
        <v>3</v>
      </c>
      <c r="K2054" s="2" t="s">
        <v>4120</v>
      </c>
      <c r="L2054" s="11" t="str">
        <f t="shared" si="33"/>
        <v>Ver Imagen</v>
      </c>
      <c r="M2054" t="s">
        <v>15</v>
      </c>
    </row>
    <row r="2055" spans="1:13" x14ac:dyDescent="0.25">
      <c r="A2055">
        <v>2054</v>
      </c>
      <c r="B2055" t="s">
        <v>4121</v>
      </c>
      <c r="C2055" s="1">
        <v>37.268708795199998</v>
      </c>
      <c r="D2055" s="1">
        <v>-6.9741246954999996</v>
      </c>
      <c r="E2055" s="3">
        <v>3</v>
      </c>
      <c r="F2055" s="2">
        <v>3</v>
      </c>
      <c r="G2055" s="4">
        <v>3</v>
      </c>
      <c r="H2055" s="13"/>
      <c r="I2055" s="15"/>
      <c r="J2055" s="19">
        <v>3</v>
      </c>
      <c r="K2055" s="2" t="s">
        <v>4122</v>
      </c>
      <c r="L2055" s="11" t="str">
        <f t="shared" si="33"/>
        <v>Ver Imagen</v>
      </c>
      <c r="M2055" t="s">
        <v>15</v>
      </c>
    </row>
    <row r="2056" spans="1:13" x14ac:dyDescent="0.25">
      <c r="A2056">
        <v>2055</v>
      </c>
      <c r="B2056" t="s">
        <v>4123</v>
      </c>
      <c r="C2056" s="1">
        <v>37.268806858600001</v>
      </c>
      <c r="D2056" s="1">
        <v>-6.9745771340499996</v>
      </c>
      <c r="E2056" s="3">
        <v>3</v>
      </c>
      <c r="F2056" s="2">
        <v>3</v>
      </c>
      <c r="G2056" s="4">
        <v>3</v>
      </c>
      <c r="H2056" s="13"/>
      <c r="I2056" s="15"/>
      <c r="J2056" s="19">
        <v>3</v>
      </c>
      <c r="K2056" s="2" t="s">
        <v>4124</v>
      </c>
      <c r="L2056" s="11" t="str">
        <f t="shared" si="33"/>
        <v>Ver Imagen</v>
      </c>
      <c r="M2056" t="s">
        <v>15</v>
      </c>
    </row>
    <row r="2057" spans="1:13" x14ac:dyDescent="0.25">
      <c r="A2057">
        <v>2056</v>
      </c>
      <c r="B2057" t="s">
        <v>4125</v>
      </c>
      <c r="C2057" s="1">
        <v>37.268917534800003</v>
      </c>
      <c r="D2057" s="1">
        <v>-6.9750649359599999</v>
      </c>
      <c r="E2057" s="3">
        <v>3</v>
      </c>
      <c r="F2057" s="2">
        <v>3</v>
      </c>
      <c r="G2057" s="4">
        <v>3</v>
      </c>
      <c r="H2057" s="13"/>
      <c r="I2057" s="15"/>
      <c r="J2057" s="19">
        <v>3</v>
      </c>
      <c r="K2057" s="2" t="s">
        <v>4126</v>
      </c>
      <c r="L2057" s="11" t="str">
        <f t="shared" si="33"/>
        <v>Ver Imagen</v>
      </c>
      <c r="M2057" t="s">
        <v>15</v>
      </c>
    </row>
    <row r="2058" spans="1:13" x14ac:dyDescent="0.25">
      <c r="A2058">
        <v>2057</v>
      </c>
      <c r="B2058" t="s">
        <v>4127</v>
      </c>
      <c r="C2058" s="1">
        <v>37.269036531899999</v>
      </c>
      <c r="D2058" s="1">
        <v>-6.9755661413499999</v>
      </c>
      <c r="E2058" s="3">
        <v>3</v>
      </c>
      <c r="F2058" s="2">
        <v>3</v>
      </c>
      <c r="G2058" s="4">
        <v>3</v>
      </c>
      <c r="H2058" s="13"/>
      <c r="I2058" s="15"/>
      <c r="J2058" s="19">
        <v>3</v>
      </c>
      <c r="K2058" s="2" t="s">
        <v>4128</v>
      </c>
      <c r="L2058" s="11" t="str">
        <f t="shared" si="33"/>
        <v>Ver Imagen</v>
      </c>
      <c r="M2058" t="s">
        <v>15</v>
      </c>
    </row>
    <row r="2059" spans="1:13" x14ac:dyDescent="0.25">
      <c r="A2059">
        <v>2058</v>
      </c>
      <c r="B2059" t="s">
        <v>4129</v>
      </c>
      <c r="C2059" s="1">
        <v>37.269546961899998</v>
      </c>
      <c r="D2059" s="1">
        <v>-6.9774575306799997</v>
      </c>
      <c r="E2059" s="3">
        <v>3</v>
      </c>
      <c r="F2059" s="2">
        <v>3</v>
      </c>
      <c r="G2059" s="4">
        <v>3</v>
      </c>
      <c r="H2059" s="13"/>
      <c r="I2059" s="15"/>
      <c r="J2059" s="19">
        <v>3</v>
      </c>
      <c r="K2059" s="2" t="s">
        <v>4130</v>
      </c>
      <c r="L2059" s="11" t="str">
        <f t="shared" si="33"/>
        <v>Ver Imagen</v>
      </c>
      <c r="M2059" t="s">
        <v>15</v>
      </c>
    </row>
    <row r="2060" spans="1:13" x14ac:dyDescent="0.25">
      <c r="A2060">
        <v>2059</v>
      </c>
      <c r="B2060" t="s">
        <v>4131</v>
      </c>
      <c r="C2060" s="1">
        <v>37.2696147817</v>
      </c>
      <c r="D2060" s="1">
        <v>-6.9776941725199997</v>
      </c>
      <c r="E2060" s="3">
        <v>3</v>
      </c>
      <c r="F2060" s="2">
        <v>3</v>
      </c>
      <c r="G2060" s="4">
        <v>3</v>
      </c>
      <c r="H2060" s="13"/>
      <c r="I2060" s="15"/>
      <c r="J2060" s="19">
        <v>3</v>
      </c>
      <c r="K2060" s="2" t="s">
        <v>4132</v>
      </c>
      <c r="L2060" s="11" t="str">
        <f t="shared" si="33"/>
        <v>Ver Imagen</v>
      </c>
      <c r="M2060" t="s">
        <v>15</v>
      </c>
    </row>
    <row r="2061" spans="1:13" x14ac:dyDescent="0.25">
      <c r="A2061">
        <v>2060</v>
      </c>
      <c r="B2061" t="s">
        <v>4133</v>
      </c>
      <c r="C2061" s="1">
        <v>37.269762033399999</v>
      </c>
      <c r="D2061" s="1">
        <v>-6.9782084407399996</v>
      </c>
      <c r="E2061" s="3">
        <v>3</v>
      </c>
      <c r="F2061" s="2">
        <v>3</v>
      </c>
      <c r="G2061" s="4">
        <v>3</v>
      </c>
      <c r="H2061" s="13"/>
      <c r="I2061" s="15"/>
      <c r="J2061" s="19">
        <v>3</v>
      </c>
      <c r="K2061" s="2" t="s">
        <v>4134</v>
      </c>
      <c r="L2061" s="11" t="str">
        <f t="shared" si="33"/>
        <v>Ver Imagen</v>
      </c>
      <c r="M2061" t="s">
        <v>15</v>
      </c>
    </row>
    <row r="2062" spans="1:13" x14ac:dyDescent="0.25">
      <c r="A2062">
        <v>2061</v>
      </c>
      <c r="B2062" t="s">
        <v>4135</v>
      </c>
      <c r="C2062" s="1">
        <v>37.269824792800001</v>
      </c>
      <c r="D2062" s="1">
        <v>-6.9784308105999999</v>
      </c>
      <c r="E2062" s="3">
        <v>3</v>
      </c>
      <c r="F2062" s="2">
        <v>3</v>
      </c>
      <c r="G2062" s="4">
        <v>3</v>
      </c>
      <c r="H2062" s="13"/>
      <c r="I2062" s="15"/>
      <c r="J2062" s="19">
        <v>3</v>
      </c>
      <c r="K2062" s="2" t="s">
        <v>4136</v>
      </c>
      <c r="L2062" s="11" t="str">
        <f t="shared" si="33"/>
        <v>Ver Imagen</v>
      </c>
      <c r="M2062" t="s">
        <v>15</v>
      </c>
    </row>
    <row r="2063" spans="1:13" x14ac:dyDescent="0.25">
      <c r="A2063">
        <v>2062</v>
      </c>
      <c r="B2063" t="s">
        <v>4137</v>
      </c>
      <c r="C2063" s="1">
        <v>37.270514451499999</v>
      </c>
      <c r="D2063" s="1">
        <v>-6.9808274703400004</v>
      </c>
      <c r="E2063" s="3">
        <v>3</v>
      </c>
      <c r="F2063" s="2">
        <v>3</v>
      </c>
      <c r="G2063" s="4">
        <v>3</v>
      </c>
      <c r="H2063" s="13"/>
      <c r="I2063" s="15"/>
      <c r="J2063" s="19">
        <v>3</v>
      </c>
      <c r="K2063" s="2" t="s">
        <v>4138</v>
      </c>
      <c r="L2063" s="11" t="str">
        <f t="shared" si="33"/>
        <v>Ver Imagen</v>
      </c>
      <c r="M2063" t="s">
        <v>15</v>
      </c>
    </row>
    <row r="2064" spans="1:13" x14ac:dyDescent="0.25">
      <c r="A2064">
        <v>2063</v>
      </c>
      <c r="B2064" t="s">
        <v>4139</v>
      </c>
      <c r="C2064" s="1">
        <v>37.270576768200002</v>
      </c>
      <c r="D2064" s="1">
        <v>-6.9810456753599999</v>
      </c>
      <c r="E2064" s="3">
        <v>3</v>
      </c>
      <c r="F2064" s="2">
        <v>3</v>
      </c>
      <c r="G2064" s="4">
        <v>3</v>
      </c>
      <c r="H2064" s="13"/>
      <c r="I2064" s="15"/>
      <c r="J2064" s="19">
        <v>3</v>
      </c>
      <c r="K2064" s="2" t="s">
        <v>4140</v>
      </c>
      <c r="L2064" s="11" t="str">
        <f t="shared" si="33"/>
        <v>Ver Imagen</v>
      </c>
      <c r="M2064" t="s">
        <v>15</v>
      </c>
    </row>
    <row r="2065" spans="1:13" x14ac:dyDescent="0.25">
      <c r="A2065">
        <v>2064</v>
      </c>
      <c r="B2065" t="s">
        <v>4141</v>
      </c>
      <c r="C2065" s="1">
        <v>37.270783987900003</v>
      </c>
      <c r="D2065" s="1">
        <v>-6.9817709373400003</v>
      </c>
      <c r="E2065" s="3">
        <v>3</v>
      </c>
      <c r="F2065" s="2">
        <v>3</v>
      </c>
      <c r="G2065" s="4">
        <v>3</v>
      </c>
      <c r="H2065" s="13"/>
      <c r="I2065" s="15"/>
      <c r="J2065" s="19">
        <v>3</v>
      </c>
      <c r="K2065" s="2" t="s">
        <v>4142</v>
      </c>
      <c r="L2065" s="11" t="str">
        <f t="shared" si="33"/>
        <v>Ver Imagen</v>
      </c>
      <c r="M2065" t="s">
        <v>15</v>
      </c>
    </row>
    <row r="2066" spans="1:13" x14ac:dyDescent="0.25">
      <c r="A2066">
        <v>2065</v>
      </c>
      <c r="B2066" t="s">
        <v>4143</v>
      </c>
      <c r="C2066" s="1">
        <v>37.270990786600002</v>
      </c>
      <c r="D2066" s="1">
        <v>-6.9824837400400002</v>
      </c>
      <c r="E2066" s="3">
        <v>3</v>
      </c>
      <c r="F2066" s="2">
        <v>3</v>
      </c>
      <c r="G2066" s="4">
        <v>3</v>
      </c>
      <c r="H2066" s="13"/>
      <c r="I2066" s="15"/>
      <c r="J2066" s="19">
        <v>3</v>
      </c>
      <c r="K2066" s="2" t="s">
        <v>4144</v>
      </c>
      <c r="L2066" s="11" t="str">
        <f t="shared" si="33"/>
        <v>Ver Imagen</v>
      </c>
      <c r="M2066" t="s">
        <v>15</v>
      </c>
    </row>
    <row r="2067" spans="1:13" x14ac:dyDescent="0.25">
      <c r="A2067">
        <v>2066</v>
      </c>
      <c r="B2067" t="s">
        <v>4145</v>
      </c>
      <c r="C2067" s="1">
        <v>37.271199524499998</v>
      </c>
      <c r="D2067" s="1">
        <v>-6.9832059489700002</v>
      </c>
      <c r="E2067" s="3">
        <v>3</v>
      </c>
      <c r="F2067" s="2">
        <v>3</v>
      </c>
      <c r="G2067" s="4">
        <v>3</v>
      </c>
      <c r="H2067" s="13"/>
      <c r="I2067" s="15"/>
      <c r="J2067" s="19">
        <v>3</v>
      </c>
      <c r="K2067" s="2" t="s">
        <v>4146</v>
      </c>
      <c r="L2067" s="11" t="str">
        <f t="shared" si="33"/>
        <v>Ver Imagen</v>
      </c>
      <c r="M2067" t="s">
        <v>15</v>
      </c>
    </row>
    <row r="2068" spans="1:13" x14ac:dyDescent="0.25">
      <c r="A2068">
        <v>2067</v>
      </c>
      <c r="B2068" t="s">
        <v>4147</v>
      </c>
      <c r="C2068" s="1">
        <v>37.271829160499998</v>
      </c>
      <c r="D2068" s="1">
        <v>-6.9868929944099998</v>
      </c>
      <c r="E2068" s="3">
        <v>3</v>
      </c>
      <c r="F2068" s="2">
        <v>3</v>
      </c>
      <c r="G2068" s="4">
        <v>3</v>
      </c>
      <c r="H2068" s="13"/>
      <c r="I2068" s="15"/>
      <c r="J2068" s="19">
        <v>3</v>
      </c>
      <c r="K2068" s="2" t="s">
        <v>4148</v>
      </c>
      <c r="L2068" s="11" t="str">
        <f t="shared" si="33"/>
        <v>Ver Imagen</v>
      </c>
      <c r="M2068" t="s">
        <v>15</v>
      </c>
    </row>
    <row r="2069" spans="1:13" x14ac:dyDescent="0.25">
      <c r="A2069">
        <v>2068</v>
      </c>
      <c r="B2069" t="s">
        <v>4149</v>
      </c>
      <c r="C2069" s="1">
        <v>37.271798527599998</v>
      </c>
      <c r="D2069" s="1">
        <v>-6.9871236614000001</v>
      </c>
      <c r="E2069" s="3">
        <v>3</v>
      </c>
      <c r="F2069" s="2">
        <v>3</v>
      </c>
      <c r="G2069" s="4">
        <v>3</v>
      </c>
      <c r="H2069" s="13"/>
      <c r="I2069" s="15"/>
      <c r="J2069" s="19">
        <v>3</v>
      </c>
      <c r="K2069" s="2" t="s">
        <v>4150</v>
      </c>
      <c r="L2069" s="11" t="str">
        <f t="shared" si="33"/>
        <v>Ver Imagen</v>
      </c>
      <c r="M2069" t="s">
        <v>15</v>
      </c>
    </row>
    <row r="2070" spans="1:13" x14ac:dyDescent="0.25">
      <c r="A2070">
        <v>2069</v>
      </c>
      <c r="B2070" t="s">
        <v>4151</v>
      </c>
      <c r="C2070" s="1">
        <v>37.269592789900003</v>
      </c>
      <c r="D2070" s="1">
        <v>-6.9899307003400004</v>
      </c>
      <c r="E2070" s="3">
        <v>3</v>
      </c>
      <c r="F2070" s="2">
        <v>3</v>
      </c>
      <c r="G2070" s="4">
        <v>3</v>
      </c>
      <c r="H2070" s="13"/>
      <c r="I2070" s="15"/>
      <c r="J2070" s="19">
        <v>3</v>
      </c>
      <c r="K2070" s="2" t="s">
        <v>4152</v>
      </c>
      <c r="L2070" s="11" t="str">
        <f t="shared" si="33"/>
        <v>Ver Imagen</v>
      </c>
      <c r="M2070" t="s">
        <v>15</v>
      </c>
    </row>
    <row r="2071" spans="1:13" x14ac:dyDescent="0.25">
      <c r="A2071">
        <v>2070</v>
      </c>
      <c r="B2071" t="s">
        <v>4153</v>
      </c>
      <c r="C2071" s="1">
        <v>37.269239253099997</v>
      </c>
      <c r="D2071" s="1">
        <v>-6.9901820186499997</v>
      </c>
      <c r="E2071" s="3">
        <v>3</v>
      </c>
      <c r="F2071" s="2">
        <v>3</v>
      </c>
      <c r="G2071" s="4">
        <v>3</v>
      </c>
      <c r="H2071" s="13"/>
      <c r="I2071" s="15"/>
      <c r="J2071" s="19">
        <v>3</v>
      </c>
      <c r="K2071" s="2" t="s">
        <v>4154</v>
      </c>
      <c r="L2071" s="11" t="str">
        <f t="shared" si="33"/>
        <v>Ver Imagen</v>
      </c>
      <c r="M2071" t="s">
        <v>15</v>
      </c>
    </row>
    <row r="2072" spans="1:13" x14ac:dyDescent="0.25">
      <c r="A2072">
        <v>2071</v>
      </c>
      <c r="B2072" t="s">
        <v>4155</v>
      </c>
      <c r="C2072" s="1">
        <v>37.268883852199998</v>
      </c>
      <c r="D2072" s="1">
        <v>-6.9904341047800003</v>
      </c>
      <c r="E2072" s="3">
        <v>3</v>
      </c>
      <c r="F2072" s="2">
        <v>3</v>
      </c>
      <c r="G2072" s="4">
        <v>3</v>
      </c>
      <c r="H2072" s="13"/>
      <c r="I2072" s="15"/>
      <c r="J2072" s="19">
        <v>3</v>
      </c>
      <c r="K2072" s="2" t="s">
        <v>4156</v>
      </c>
      <c r="L2072" s="11" t="str">
        <f t="shared" si="33"/>
        <v>Ver Imagen</v>
      </c>
      <c r="M2072" t="s">
        <v>15</v>
      </c>
    </row>
    <row r="2073" spans="1:13" x14ac:dyDescent="0.25">
      <c r="A2073">
        <v>2072</v>
      </c>
      <c r="B2073" t="s">
        <v>4157</v>
      </c>
      <c r="C2073" s="1">
        <v>37.267666130599999</v>
      </c>
      <c r="D2073" s="1">
        <v>-6.9912987465500001</v>
      </c>
      <c r="E2073" s="3">
        <v>3</v>
      </c>
      <c r="F2073" s="2">
        <v>3</v>
      </c>
      <c r="G2073" s="4">
        <v>3</v>
      </c>
      <c r="H2073" s="13"/>
      <c r="I2073" s="15"/>
      <c r="J2073" s="19">
        <v>3</v>
      </c>
      <c r="K2073" s="2" t="s">
        <v>4158</v>
      </c>
      <c r="L2073" s="11" t="str">
        <f t="shared" si="33"/>
        <v>Ver Imagen</v>
      </c>
      <c r="M2073" t="s">
        <v>15</v>
      </c>
    </row>
    <row r="2074" spans="1:13" x14ac:dyDescent="0.25">
      <c r="A2074">
        <v>2073</v>
      </c>
      <c r="B2074" t="s">
        <v>4159</v>
      </c>
      <c r="C2074" s="1">
        <v>37.187621751999998</v>
      </c>
      <c r="D2074" s="1">
        <v>-6.9784514465200003</v>
      </c>
      <c r="E2074" s="3">
        <v>3</v>
      </c>
      <c r="F2074" s="2">
        <v>3</v>
      </c>
      <c r="G2074" s="4">
        <v>3</v>
      </c>
      <c r="H2074" s="13"/>
      <c r="I2074" s="15"/>
      <c r="J2074" s="19">
        <v>3</v>
      </c>
      <c r="K2074" s="2" t="s">
        <v>4160</v>
      </c>
      <c r="L2074" s="11" t="str">
        <f t="shared" si="33"/>
        <v>Ver Imagen</v>
      </c>
      <c r="M2074" t="s">
        <v>15</v>
      </c>
    </row>
    <row r="2075" spans="1:13" x14ac:dyDescent="0.25">
      <c r="A2075">
        <v>2074</v>
      </c>
      <c r="B2075" t="s">
        <v>4161</v>
      </c>
      <c r="C2075" s="1">
        <v>37.187782004299997</v>
      </c>
      <c r="D2075" s="1">
        <v>-6.9782981055900004</v>
      </c>
      <c r="E2075" s="3">
        <v>3</v>
      </c>
      <c r="F2075" s="2">
        <v>3</v>
      </c>
      <c r="G2075" s="4">
        <v>3</v>
      </c>
      <c r="H2075" s="13"/>
      <c r="I2075" s="15"/>
      <c r="J2075" s="19">
        <v>3</v>
      </c>
      <c r="K2075" s="2" t="s">
        <v>4162</v>
      </c>
      <c r="L2075" s="11" t="str">
        <f t="shared" si="33"/>
        <v>Ver Imagen</v>
      </c>
      <c r="M2075" t="s">
        <v>15</v>
      </c>
    </row>
    <row r="2076" spans="1:13" x14ac:dyDescent="0.25">
      <c r="A2076">
        <v>2075</v>
      </c>
      <c r="B2076" t="s">
        <v>4163</v>
      </c>
      <c r="C2076" s="1">
        <v>37.267004590799999</v>
      </c>
      <c r="D2076" s="1">
        <v>-6.9919110184699997</v>
      </c>
      <c r="E2076" s="3">
        <v>3</v>
      </c>
      <c r="F2076" s="2">
        <v>3</v>
      </c>
      <c r="G2076" s="4">
        <v>3</v>
      </c>
      <c r="H2076" s="13"/>
      <c r="I2076" s="15"/>
      <c r="J2076" s="19">
        <v>3</v>
      </c>
      <c r="K2076" s="2" t="s">
        <v>4164</v>
      </c>
      <c r="L2076" s="11" t="str">
        <f t="shared" si="33"/>
        <v>Ver Imagen</v>
      </c>
      <c r="M2076" t="s">
        <v>15</v>
      </c>
    </row>
    <row r="2077" spans="1:13" x14ac:dyDescent="0.25">
      <c r="A2077">
        <v>2076</v>
      </c>
      <c r="B2077" t="s">
        <v>4165</v>
      </c>
      <c r="C2077" s="1">
        <v>37.265847048700003</v>
      </c>
      <c r="D2077" s="1">
        <v>-6.9942389048900004</v>
      </c>
      <c r="E2077" s="3">
        <v>3</v>
      </c>
      <c r="F2077" s="2">
        <v>3</v>
      </c>
      <c r="G2077" s="4">
        <v>3</v>
      </c>
      <c r="H2077" s="13"/>
      <c r="I2077" s="15"/>
      <c r="J2077" s="19">
        <v>3</v>
      </c>
      <c r="K2077" s="2" t="s">
        <v>4166</v>
      </c>
      <c r="L2077" s="11" t="str">
        <f t="shared" si="33"/>
        <v>Ver Imagen</v>
      </c>
      <c r="M2077" t="s">
        <v>15</v>
      </c>
    </row>
    <row r="2078" spans="1:13" x14ac:dyDescent="0.25">
      <c r="A2078">
        <v>2077</v>
      </c>
      <c r="B2078" t="s">
        <v>4167</v>
      </c>
      <c r="C2078" s="1">
        <v>37.191948123099998</v>
      </c>
      <c r="D2078" s="1">
        <v>-6.9775376499700004</v>
      </c>
      <c r="E2078" s="3">
        <v>3</v>
      </c>
      <c r="F2078" s="2">
        <v>3</v>
      </c>
      <c r="G2078" s="4">
        <v>3</v>
      </c>
      <c r="H2078" s="13"/>
      <c r="I2078" s="15"/>
      <c r="J2078" s="19">
        <v>3</v>
      </c>
      <c r="K2078" s="2" t="s">
        <v>4168</v>
      </c>
      <c r="L2078" s="11" t="str">
        <f t="shared" si="33"/>
        <v>Ver Imagen</v>
      </c>
      <c r="M2078" t="s">
        <v>15</v>
      </c>
    </row>
    <row r="2079" spans="1:13" x14ac:dyDescent="0.25">
      <c r="A2079">
        <v>2078</v>
      </c>
      <c r="B2079" t="s">
        <v>4169</v>
      </c>
      <c r="C2079" s="1">
        <v>37.192223219500001</v>
      </c>
      <c r="D2079" s="1">
        <v>-6.9775068578799999</v>
      </c>
      <c r="E2079" s="3">
        <v>3</v>
      </c>
      <c r="F2079" s="2">
        <v>3</v>
      </c>
      <c r="G2079" s="4">
        <v>3</v>
      </c>
      <c r="H2079" s="13"/>
      <c r="I2079" s="15"/>
      <c r="J2079" s="19">
        <v>3</v>
      </c>
      <c r="K2079" s="2" t="s">
        <v>4170</v>
      </c>
      <c r="L2079" s="11" t="str">
        <f t="shared" si="33"/>
        <v>Ver Imagen</v>
      </c>
      <c r="M2079" t="s">
        <v>15</v>
      </c>
    </row>
    <row r="2080" spans="1:13" x14ac:dyDescent="0.25">
      <c r="A2080">
        <v>2079</v>
      </c>
      <c r="B2080" t="s">
        <v>4171</v>
      </c>
      <c r="C2080" s="1">
        <v>37.265795113199999</v>
      </c>
      <c r="D2080" s="1">
        <v>-6.9944653973299999</v>
      </c>
      <c r="E2080" s="3">
        <v>3</v>
      </c>
      <c r="F2080" s="2">
        <v>3</v>
      </c>
      <c r="G2080" s="4">
        <v>3</v>
      </c>
      <c r="H2080" s="13"/>
      <c r="I2080" s="15"/>
      <c r="J2080" s="19">
        <v>3</v>
      </c>
      <c r="K2080" s="2" t="s">
        <v>4172</v>
      </c>
      <c r="L2080" s="11" t="str">
        <f t="shared" si="33"/>
        <v>Ver Imagen</v>
      </c>
      <c r="M2080" t="s">
        <v>15</v>
      </c>
    </row>
    <row r="2081" spans="1:13" x14ac:dyDescent="0.25">
      <c r="A2081">
        <v>2080</v>
      </c>
      <c r="B2081" t="s">
        <v>4173</v>
      </c>
      <c r="C2081" s="1">
        <v>37.193392204699997</v>
      </c>
      <c r="D2081" s="1">
        <v>-6.97749305445</v>
      </c>
      <c r="E2081" s="3">
        <v>3</v>
      </c>
      <c r="F2081" s="2">
        <v>3</v>
      </c>
      <c r="G2081" s="4">
        <v>3</v>
      </c>
      <c r="H2081" s="13"/>
      <c r="I2081" s="15"/>
      <c r="J2081" s="19">
        <v>3</v>
      </c>
      <c r="K2081" s="2" t="s">
        <v>4174</v>
      </c>
      <c r="L2081" s="11" t="str">
        <f t="shared" si="33"/>
        <v>Ver Imagen</v>
      </c>
      <c r="M2081" t="s">
        <v>15</v>
      </c>
    </row>
    <row r="2082" spans="1:13" x14ac:dyDescent="0.25">
      <c r="A2082">
        <v>2081</v>
      </c>
      <c r="B2082" t="s">
        <v>4175</v>
      </c>
      <c r="C2082" s="1">
        <v>37.193559108300001</v>
      </c>
      <c r="D2082" s="1">
        <v>-6.9775090411400003</v>
      </c>
      <c r="E2082" s="3">
        <v>3</v>
      </c>
      <c r="F2082" s="2">
        <v>3</v>
      </c>
      <c r="G2082" s="4">
        <v>3</v>
      </c>
      <c r="H2082" s="13"/>
      <c r="I2082" s="15"/>
      <c r="J2082" s="19">
        <v>3</v>
      </c>
      <c r="K2082" s="2" t="s">
        <v>4176</v>
      </c>
      <c r="L2082" s="11" t="str">
        <f t="shared" si="33"/>
        <v>Ver Imagen</v>
      </c>
      <c r="M2082" t="s">
        <v>15</v>
      </c>
    </row>
    <row r="2083" spans="1:13" x14ac:dyDescent="0.25">
      <c r="A2083">
        <v>2082</v>
      </c>
      <c r="B2083" t="s">
        <v>4177</v>
      </c>
      <c r="C2083" s="1">
        <v>37.193763249200003</v>
      </c>
      <c r="D2083" s="1">
        <v>-6.9775368491399998</v>
      </c>
      <c r="E2083" s="3">
        <v>3</v>
      </c>
      <c r="F2083" s="2">
        <v>3</v>
      </c>
      <c r="G2083" s="4">
        <v>3</v>
      </c>
      <c r="H2083" s="13"/>
      <c r="I2083" s="15"/>
      <c r="J2083" s="19">
        <v>3</v>
      </c>
      <c r="K2083" s="2" t="s">
        <v>4178</v>
      </c>
      <c r="L2083" s="11" t="str">
        <f t="shared" si="33"/>
        <v>Ver Imagen</v>
      </c>
      <c r="M2083" t="s">
        <v>15</v>
      </c>
    </row>
    <row r="2084" spans="1:13" x14ac:dyDescent="0.25">
      <c r="A2084">
        <v>2083</v>
      </c>
      <c r="B2084" t="s">
        <v>4179</v>
      </c>
      <c r="C2084" s="1">
        <v>37.2652812344</v>
      </c>
      <c r="D2084" s="1">
        <v>-6.9971865829100004</v>
      </c>
      <c r="E2084" s="3">
        <v>3</v>
      </c>
      <c r="F2084" s="2">
        <v>3</v>
      </c>
      <c r="G2084" s="4">
        <v>3</v>
      </c>
      <c r="H2084" s="13"/>
      <c r="I2084" s="15"/>
      <c r="J2084" s="19">
        <v>3</v>
      </c>
      <c r="K2084" s="2" t="s">
        <v>4180</v>
      </c>
      <c r="L2084" s="11" t="str">
        <f t="shared" si="33"/>
        <v>Ver Imagen</v>
      </c>
      <c r="M2084" t="s">
        <v>15</v>
      </c>
    </row>
    <row r="2085" spans="1:13" x14ac:dyDescent="0.25">
      <c r="A2085">
        <v>2084</v>
      </c>
      <c r="B2085" t="s">
        <v>4181</v>
      </c>
      <c r="C2085" s="1">
        <v>37.265236129000002</v>
      </c>
      <c r="D2085" s="1">
        <v>-6.9974298593200004</v>
      </c>
      <c r="E2085" s="3">
        <v>3</v>
      </c>
      <c r="F2085" s="2">
        <v>3</v>
      </c>
      <c r="G2085" s="4">
        <v>3</v>
      </c>
      <c r="H2085" s="13"/>
      <c r="I2085" s="15"/>
      <c r="J2085" s="19">
        <v>3</v>
      </c>
      <c r="K2085" s="2" t="s">
        <v>4182</v>
      </c>
      <c r="L2085" s="11" t="str">
        <f t="shared" si="33"/>
        <v>Ver Imagen</v>
      </c>
      <c r="M2085" t="s">
        <v>15</v>
      </c>
    </row>
    <row r="2086" spans="1:13" x14ac:dyDescent="0.25">
      <c r="A2086">
        <v>2085</v>
      </c>
      <c r="B2086" t="s">
        <v>4183</v>
      </c>
      <c r="C2086" s="1">
        <v>37.265194854400001</v>
      </c>
      <c r="D2086" s="1">
        <v>-6.9976543110099998</v>
      </c>
      <c r="E2086" s="3">
        <v>3</v>
      </c>
      <c r="F2086" s="2">
        <v>3</v>
      </c>
      <c r="G2086" s="4">
        <v>3</v>
      </c>
      <c r="H2086" s="13"/>
      <c r="I2086" s="15"/>
      <c r="J2086" s="19">
        <v>3</v>
      </c>
      <c r="K2086" s="2" t="s">
        <v>4184</v>
      </c>
      <c r="L2086" s="11" t="str">
        <f t="shared" si="33"/>
        <v>Ver Imagen</v>
      </c>
      <c r="M2086" t="s">
        <v>15</v>
      </c>
    </row>
    <row r="2087" spans="1:13" x14ac:dyDescent="0.25">
      <c r="A2087">
        <v>2086</v>
      </c>
      <c r="B2087" t="s">
        <v>4185</v>
      </c>
      <c r="C2087" s="1">
        <v>37.265100448699997</v>
      </c>
      <c r="D2087" s="1">
        <v>-6.9981916488999998</v>
      </c>
      <c r="E2087" s="3">
        <v>3</v>
      </c>
      <c r="F2087" s="2">
        <v>3</v>
      </c>
      <c r="G2087" s="4">
        <v>3</v>
      </c>
      <c r="H2087" s="13"/>
      <c r="I2087" s="15"/>
      <c r="J2087" s="19">
        <v>3</v>
      </c>
      <c r="K2087" s="2" t="s">
        <v>4186</v>
      </c>
      <c r="L2087" s="11" t="str">
        <f t="shared" si="33"/>
        <v>Ver Imagen</v>
      </c>
      <c r="M2087" t="s">
        <v>15</v>
      </c>
    </row>
    <row r="2088" spans="1:13" x14ac:dyDescent="0.25">
      <c r="A2088">
        <v>2087</v>
      </c>
      <c r="B2088" t="s">
        <v>4187</v>
      </c>
      <c r="C2088" s="1">
        <v>37.1943933433</v>
      </c>
      <c r="D2088" s="1">
        <v>-6.9776828949800001</v>
      </c>
      <c r="E2088" s="3">
        <v>3</v>
      </c>
      <c r="F2088" s="2">
        <v>3</v>
      </c>
      <c r="G2088" s="4">
        <v>3</v>
      </c>
      <c r="H2088" s="13"/>
      <c r="I2088" s="15"/>
      <c r="J2088" s="19">
        <v>3</v>
      </c>
      <c r="K2088" s="2" t="s">
        <v>4188</v>
      </c>
      <c r="L2088" s="11" t="str">
        <f t="shared" si="33"/>
        <v>Ver Imagen</v>
      </c>
      <c r="M2088" t="s">
        <v>15</v>
      </c>
    </row>
    <row r="2089" spans="1:13" x14ac:dyDescent="0.25">
      <c r="A2089">
        <v>2088</v>
      </c>
      <c r="B2089" t="s">
        <v>4189</v>
      </c>
      <c r="C2089" s="1">
        <v>37.265065251800003</v>
      </c>
      <c r="D2089" s="1">
        <v>-6.9984115554599997</v>
      </c>
      <c r="E2089" s="3">
        <v>3</v>
      </c>
      <c r="F2089" s="2">
        <v>3</v>
      </c>
      <c r="G2089" s="4">
        <v>3</v>
      </c>
      <c r="H2089" s="13"/>
      <c r="I2089" s="15"/>
      <c r="J2089" s="19">
        <v>3</v>
      </c>
      <c r="K2089" s="2" t="s">
        <v>4190</v>
      </c>
      <c r="L2089" s="11" t="str">
        <f t="shared" si="33"/>
        <v>Ver Imagen</v>
      </c>
      <c r="M2089" t="s">
        <v>15</v>
      </c>
    </row>
    <row r="2090" spans="1:13" x14ac:dyDescent="0.25">
      <c r="A2090">
        <v>2089</v>
      </c>
      <c r="B2090" t="s">
        <v>4191</v>
      </c>
      <c r="C2090" s="1">
        <v>37.265026646300001</v>
      </c>
      <c r="D2090" s="1">
        <v>-6.9986693715900001</v>
      </c>
      <c r="E2090" s="3">
        <v>3</v>
      </c>
      <c r="F2090" s="2">
        <v>3</v>
      </c>
      <c r="G2090" s="4">
        <v>3</v>
      </c>
      <c r="H2090" s="13"/>
      <c r="I2090" s="15"/>
      <c r="J2090" s="19">
        <v>3</v>
      </c>
      <c r="K2090" s="2" t="s">
        <v>4192</v>
      </c>
      <c r="L2090" s="11" t="str">
        <f t="shared" si="33"/>
        <v>Ver Imagen</v>
      </c>
      <c r="M2090" t="s">
        <v>15</v>
      </c>
    </row>
    <row r="2091" spans="1:13" x14ac:dyDescent="0.25">
      <c r="A2091">
        <v>2090</v>
      </c>
      <c r="B2091" t="s">
        <v>4193</v>
      </c>
      <c r="C2091" s="1">
        <v>37.194792696900002</v>
      </c>
      <c r="D2091" s="1">
        <v>-6.9778128042700001</v>
      </c>
      <c r="E2091" s="3">
        <v>3</v>
      </c>
      <c r="F2091" s="2">
        <v>3</v>
      </c>
      <c r="G2091" s="4">
        <v>3</v>
      </c>
      <c r="H2091" s="13"/>
      <c r="I2091" s="15"/>
      <c r="J2091" s="19">
        <v>3</v>
      </c>
      <c r="K2091" s="2" t="s">
        <v>4194</v>
      </c>
      <c r="L2091" s="11" t="str">
        <f t="shared" si="33"/>
        <v>Ver Imagen</v>
      </c>
      <c r="M2091" t="s">
        <v>15</v>
      </c>
    </row>
    <row r="2092" spans="1:13" x14ac:dyDescent="0.25">
      <c r="A2092">
        <v>2091</v>
      </c>
      <c r="B2092" t="s">
        <v>4195</v>
      </c>
      <c r="C2092" s="1">
        <v>37.264991880499998</v>
      </c>
      <c r="D2092" s="1">
        <v>-6.9989033012600004</v>
      </c>
      <c r="E2092" s="3">
        <v>3</v>
      </c>
      <c r="F2092" s="2">
        <v>3</v>
      </c>
      <c r="G2092" s="4">
        <v>3</v>
      </c>
      <c r="H2092" s="13"/>
      <c r="I2092" s="15"/>
      <c r="J2092" s="19">
        <v>3</v>
      </c>
      <c r="K2092" s="2" t="s">
        <v>4196</v>
      </c>
      <c r="L2092" s="11" t="str">
        <f t="shared" si="33"/>
        <v>Ver Imagen</v>
      </c>
      <c r="M2092" t="s">
        <v>15</v>
      </c>
    </row>
    <row r="2093" spans="1:13" x14ac:dyDescent="0.25">
      <c r="A2093">
        <v>2092</v>
      </c>
      <c r="B2093" t="s">
        <v>4197</v>
      </c>
      <c r="C2093" s="1">
        <v>37.195553473899999</v>
      </c>
      <c r="D2093" s="1">
        <v>-6.9781516462999997</v>
      </c>
      <c r="E2093" s="3">
        <v>3</v>
      </c>
      <c r="F2093" s="2">
        <v>3</v>
      </c>
      <c r="G2093" s="4">
        <v>3</v>
      </c>
      <c r="H2093" s="13"/>
      <c r="I2093" s="15"/>
      <c r="J2093" s="19">
        <v>3</v>
      </c>
      <c r="K2093" s="2" t="s">
        <v>4198</v>
      </c>
      <c r="L2093" s="11" t="str">
        <f t="shared" si="33"/>
        <v>Ver Imagen</v>
      </c>
      <c r="M2093" t="s">
        <v>15</v>
      </c>
    </row>
    <row r="2094" spans="1:13" x14ac:dyDescent="0.25">
      <c r="A2094">
        <v>2093</v>
      </c>
      <c r="B2094" t="s">
        <v>4199</v>
      </c>
      <c r="C2094" s="1">
        <v>37.2647739648</v>
      </c>
      <c r="D2094" s="1">
        <v>-7.0001840237900002</v>
      </c>
      <c r="E2094" s="3">
        <v>3</v>
      </c>
      <c r="F2094" s="2">
        <v>3</v>
      </c>
      <c r="G2094" s="4">
        <v>3</v>
      </c>
      <c r="H2094" s="13"/>
      <c r="I2094" s="15"/>
      <c r="J2094" s="19">
        <v>3</v>
      </c>
      <c r="K2094" s="2" t="s">
        <v>4200</v>
      </c>
      <c r="L2094" s="11" t="str">
        <f t="shared" si="33"/>
        <v>Ver Imagen</v>
      </c>
      <c r="M2094" t="s">
        <v>15</v>
      </c>
    </row>
    <row r="2095" spans="1:13" x14ac:dyDescent="0.25">
      <c r="A2095">
        <v>2094</v>
      </c>
      <c r="B2095" t="s">
        <v>4201</v>
      </c>
      <c r="C2095" s="1">
        <v>37.264687480900001</v>
      </c>
      <c r="D2095" s="1">
        <v>-7.00067744524</v>
      </c>
      <c r="E2095" s="3">
        <v>3</v>
      </c>
      <c r="F2095" s="2">
        <v>3</v>
      </c>
      <c r="G2095" s="4">
        <v>3</v>
      </c>
      <c r="H2095" s="13"/>
      <c r="I2095" s="15"/>
      <c r="J2095" s="19">
        <v>3</v>
      </c>
      <c r="K2095" s="2" t="s">
        <v>4202</v>
      </c>
      <c r="L2095" s="11" t="str">
        <f t="shared" si="33"/>
        <v>Ver Imagen</v>
      </c>
      <c r="M2095" t="s">
        <v>15</v>
      </c>
    </row>
    <row r="2096" spans="1:13" x14ac:dyDescent="0.25">
      <c r="A2096">
        <v>2095</v>
      </c>
      <c r="B2096" t="s">
        <v>4203</v>
      </c>
      <c r="C2096" s="1">
        <v>37.1966038144</v>
      </c>
      <c r="D2096" s="1">
        <v>-6.9788666325299999</v>
      </c>
      <c r="E2096" s="3">
        <v>3</v>
      </c>
      <c r="F2096" s="2">
        <v>3</v>
      </c>
      <c r="G2096" s="4">
        <v>3</v>
      </c>
      <c r="H2096" s="13"/>
      <c r="I2096" s="15"/>
      <c r="J2096" s="19">
        <v>3</v>
      </c>
      <c r="K2096" s="2" t="s">
        <v>4204</v>
      </c>
      <c r="L2096" s="11" t="str">
        <f t="shared" si="33"/>
        <v>Ver Imagen</v>
      </c>
      <c r="M2096" t="s">
        <v>15</v>
      </c>
    </row>
    <row r="2097" spans="1:13" x14ac:dyDescent="0.25">
      <c r="A2097">
        <v>2096</v>
      </c>
      <c r="B2097" t="s">
        <v>4205</v>
      </c>
      <c r="C2097" s="1">
        <v>37.196783099299999</v>
      </c>
      <c r="D2097" s="1">
        <v>-6.9790231669300002</v>
      </c>
      <c r="E2097" s="3">
        <v>3</v>
      </c>
      <c r="F2097" s="2">
        <v>3</v>
      </c>
      <c r="G2097" s="4">
        <v>3</v>
      </c>
      <c r="H2097" s="13"/>
      <c r="I2097" s="15"/>
      <c r="J2097" s="19">
        <v>3</v>
      </c>
      <c r="K2097" s="2" t="s">
        <v>4206</v>
      </c>
      <c r="L2097" s="11" t="str">
        <f t="shared" si="33"/>
        <v>Ver Imagen</v>
      </c>
      <c r="M2097" t="s">
        <v>15</v>
      </c>
    </row>
    <row r="2098" spans="1:13" x14ac:dyDescent="0.25">
      <c r="A2098">
        <v>2097</v>
      </c>
      <c r="B2098" t="s">
        <v>4207</v>
      </c>
      <c r="C2098" s="1">
        <v>37.263584660500001</v>
      </c>
      <c r="D2098" s="1">
        <v>-7.0068513643100001</v>
      </c>
      <c r="E2098" s="3">
        <v>3</v>
      </c>
      <c r="F2098" s="2">
        <v>3</v>
      </c>
      <c r="G2098" s="4">
        <v>3</v>
      </c>
      <c r="H2098" s="13"/>
      <c r="I2098" s="15"/>
      <c r="J2098" s="19">
        <v>3</v>
      </c>
      <c r="K2098" s="2" t="s">
        <v>4208</v>
      </c>
      <c r="L2098" s="11" t="str">
        <f t="shared" si="33"/>
        <v>Ver Imagen</v>
      </c>
      <c r="M2098" t="s">
        <v>15</v>
      </c>
    </row>
    <row r="2099" spans="1:13" x14ac:dyDescent="0.25">
      <c r="A2099">
        <v>2098</v>
      </c>
      <c r="B2099" t="s">
        <v>4209</v>
      </c>
      <c r="C2099" s="1">
        <v>37.263544907099998</v>
      </c>
      <c r="D2099" s="1">
        <v>-7.0070555931999996</v>
      </c>
      <c r="E2099" s="3">
        <v>3</v>
      </c>
      <c r="F2099" s="2">
        <v>3</v>
      </c>
      <c r="G2099" s="4">
        <v>3</v>
      </c>
      <c r="H2099" s="13"/>
      <c r="I2099" s="15"/>
      <c r="J2099" s="19">
        <v>3</v>
      </c>
      <c r="K2099" s="2" t="s">
        <v>4210</v>
      </c>
      <c r="L2099" s="11" t="str">
        <f t="shared" si="33"/>
        <v>Ver Imagen</v>
      </c>
      <c r="M2099" t="s">
        <v>15</v>
      </c>
    </row>
    <row r="2100" spans="1:13" x14ac:dyDescent="0.25">
      <c r="A2100">
        <v>2099</v>
      </c>
      <c r="B2100" t="s">
        <v>4211</v>
      </c>
      <c r="C2100" s="1">
        <v>37.198461440999999</v>
      </c>
      <c r="D2100" s="1">
        <v>-6.9812035351799997</v>
      </c>
      <c r="E2100" s="3">
        <v>3</v>
      </c>
      <c r="F2100" s="2">
        <v>3</v>
      </c>
      <c r="G2100" s="4">
        <v>3</v>
      </c>
      <c r="H2100" s="13"/>
      <c r="I2100" s="15"/>
      <c r="J2100" s="19">
        <v>3</v>
      </c>
      <c r="K2100" s="2" t="s">
        <v>4212</v>
      </c>
      <c r="L2100" s="11" t="str">
        <f t="shared" si="33"/>
        <v>Ver Imagen</v>
      </c>
      <c r="M2100" t="s">
        <v>15</v>
      </c>
    </row>
    <row r="2101" spans="1:13" x14ac:dyDescent="0.25">
      <c r="A2101">
        <v>2100</v>
      </c>
      <c r="B2101" t="s">
        <v>4213</v>
      </c>
      <c r="C2101" s="1">
        <v>37.198658931499999</v>
      </c>
      <c r="D2101" s="1">
        <v>-6.9815939137600003</v>
      </c>
      <c r="E2101" s="3">
        <v>3</v>
      </c>
      <c r="F2101" s="2">
        <v>3</v>
      </c>
      <c r="G2101" s="4">
        <v>3</v>
      </c>
      <c r="H2101" s="13"/>
      <c r="I2101" s="15"/>
      <c r="J2101" s="19">
        <v>3</v>
      </c>
      <c r="K2101" s="2" t="s">
        <v>4214</v>
      </c>
      <c r="L2101" s="11" t="str">
        <f t="shared" si="33"/>
        <v>Ver Imagen</v>
      </c>
      <c r="M2101" t="s">
        <v>15</v>
      </c>
    </row>
    <row r="2102" spans="1:13" x14ac:dyDescent="0.25">
      <c r="A2102">
        <v>2101</v>
      </c>
      <c r="B2102" t="s">
        <v>4215</v>
      </c>
      <c r="C2102" s="1">
        <v>37.262686798099999</v>
      </c>
      <c r="D2102" s="1">
        <v>-7.0093827394800003</v>
      </c>
      <c r="E2102" s="3">
        <v>3</v>
      </c>
      <c r="F2102" s="2">
        <v>3</v>
      </c>
      <c r="G2102" s="4">
        <v>3</v>
      </c>
      <c r="H2102" s="13"/>
      <c r="I2102" s="15"/>
      <c r="J2102" s="19">
        <v>3</v>
      </c>
      <c r="K2102" s="2" t="s">
        <v>4216</v>
      </c>
      <c r="L2102" s="11" t="str">
        <f t="shared" si="33"/>
        <v>Ver Imagen</v>
      </c>
      <c r="M2102" t="s">
        <v>15</v>
      </c>
    </row>
    <row r="2103" spans="1:13" x14ac:dyDescent="0.25">
      <c r="A2103">
        <v>2102</v>
      </c>
      <c r="B2103" t="s">
        <v>4217</v>
      </c>
      <c r="C2103" s="1">
        <v>37.262438872899999</v>
      </c>
      <c r="D2103" s="1">
        <v>-7.0097517793500002</v>
      </c>
      <c r="E2103" s="3">
        <v>3</v>
      </c>
      <c r="F2103" s="2">
        <v>3</v>
      </c>
      <c r="G2103" s="4">
        <v>3</v>
      </c>
      <c r="H2103" s="13"/>
      <c r="I2103" s="15"/>
      <c r="J2103" s="19">
        <v>3</v>
      </c>
      <c r="K2103" s="2" t="s">
        <v>4218</v>
      </c>
      <c r="L2103" s="11" t="str">
        <f t="shared" si="33"/>
        <v>Ver Imagen</v>
      </c>
      <c r="M2103" t="s">
        <v>15</v>
      </c>
    </row>
    <row r="2104" spans="1:13" x14ac:dyDescent="0.25">
      <c r="A2104">
        <v>2103</v>
      </c>
      <c r="B2104" t="s">
        <v>4219</v>
      </c>
      <c r="C2104" s="1">
        <v>37.262318965299997</v>
      </c>
      <c r="D2104" s="1">
        <v>-7.0099075431699998</v>
      </c>
      <c r="E2104" s="3">
        <v>3</v>
      </c>
      <c r="F2104" s="2">
        <v>3</v>
      </c>
      <c r="G2104" s="4">
        <v>3</v>
      </c>
      <c r="H2104" s="13"/>
      <c r="I2104" s="15"/>
      <c r="J2104" s="19">
        <v>3</v>
      </c>
      <c r="K2104" s="2" t="s">
        <v>4220</v>
      </c>
      <c r="L2104" s="11" t="str">
        <f t="shared" si="33"/>
        <v>Ver Imagen</v>
      </c>
      <c r="M2104" t="s">
        <v>15</v>
      </c>
    </row>
    <row r="2105" spans="1:13" x14ac:dyDescent="0.25">
      <c r="A2105">
        <v>2104</v>
      </c>
      <c r="B2105" t="s">
        <v>4221</v>
      </c>
      <c r="C2105" s="1">
        <v>37.262167680899999</v>
      </c>
      <c r="D2105" s="1">
        <v>-7.0100866581699997</v>
      </c>
      <c r="E2105" s="3">
        <v>3</v>
      </c>
      <c r="F2105" s="2">
        <v>3</v>
      </c>
      <c r="G2105" s="4">
        <v>3</v>
      </c>
      <c r="H2105" s="13"/>
      <c r="I2105" s="15"/>
      <c r="J2105" s="19">
        <v>3</v>
      </c>
      <c r="K2105" s="2" t="s">
        <v>4222</v>
      </c>
      <c r="L2105" s="11" t="str">
        <f t="shared" si="33"/>
        <v>Ver Imagen</v>
      </c>
      <c r="M2105" t="s">
        <v>15</v>
      </c>
    </row>
    <row r="2106" spans="1:13" x14ac:dyDescent="0.25">
      <c r="A2106">
        <v>2105</v>
      </c>
      <c r="B2106" t="s">
        <v>4223</v>
      </c>
      <c r="C2106" s="1">
        <v>37.258618697400003</v>
      </c>
      <c r="D2106" s="1">
        <v>-7.0125866599400002</v>
      </c>
      <c r="E2106" s="3">
        <v>3</v>
      </c>
      <c r="F2106" s="2">
        <v>3</v>
      </c>
      <c r="G2106" s="4">
        <v>3</v>
      </c>
      <c r="H2106" s="13"/>
      <c r="I2106" s="15"/>
      <c r="J2106" s="19">
        <v>3</v>
      </c>
      <c r="K2106" s="2" t="s">
        <v>4224</v>
      </c>
      <c r="L2106" s="11" t="str">
        <f t="shared" si="33"/>
        <v>Ver Imagen</v>
      </c>
      <c r="M2106" t="s">
        <v>15</v>
      </c>
    </row>
    <row r="2107" spans="1:13" x14ac:dyDescent="0.25">
      <c r="A2107">
        <v>2106</v>
      </c>
      <c r="B2107" t="s">
        <v>4225</v>
      </c>
      <c r="C2107" s="1">
        <v>37.257853022100001</v>
      </c>
      <c r="D2107" s="1">
        <v>-7.0130725756799999</v>
      </c>
      <c r="E2107" s="3">
        <v>3</v>
      </c>
      <c r="F2107" s="2">
        <v>3</v>
      </c>
      <c r="G2107" s="4">
        <v>3</v>
      </c>
      <c r="H2107" s="13"/>
      <c r="I2107" s="15"/>
      <c r="J2107" s="19">
        <v>3</v>
      </c>
      <c r="K2107" s="2" t="s">
        <v>4226</v>
      </c>
      <c r="L2107" s="11" t="str">
        <f t="shared" si="33"/>
        <v>Ver Imagen</v>
      </c>
      <c r="M2107" t="s">
        <v>15</v>
      </c>
    </row>
    <row r="2108" spans="1:13" x14ac:dyDescent="0.25">
      <c r="A2108">
        <v>2107</v>
      </c>
      <c r="B2108" t="s">
        <v>4227</v>
      </c>
      <c r="C2108" s="1">
        <v>37.257703934600002</v>
      </c>
      <c r="D2108" s="1">
        <v>-7.0131653477700002</v>
      </c>
      <c r="E2108" s="3">
        <v>3</v>
      </c>
      <c r="F2108" s="2">
        <v>3</v>
      </c>
      <c r="G2108" s="4">
        <v>3</v>
      </c>
      <c r="H2108" s="13"/>
      <c r="I2108" s="15"/>
      <c r="J2108" s="19">
        <v>3</v>
      </c>
      <c r="K2108" s="2" t="s">
        <v>4228</v>
      </c>
      <c r="L2108" s="11" t="str">
        <f t="shared" si="33"/>
        <v>Ver Imagen</v>
      </c>
      <c r="M2108" t="s">
        <v>15</v>
      </c>
    </row>
    <row r="2109" spans="1:13" x14ac:dyDescent="0.25">
      <c r="A2109">
        <v>2108</v>
      </c>
      <c r="B2109" t="s">
        <v>4229</v>
      </c>
      <c r="C2109" s="1">
        <v>37.256790958899998</v>
      </c>
      <c r="D2109" s="1">
        <v>-7.0137464133799998</v>
      </c>
      <c r="E2109" s="3">
        <v>3</v>
      </c>
      <c r="F2109" s="2">
        <v>3</v>
      </c>
      <c r="G2109" s="4">
        <v>3</v>
      </c>
      <c r="H2109" s="13"/>
      <c r="I2109" s="15"/>
      <c r="J2109" s="19">
        <v>3</v>
      </c>
      <c r="K2109" s="2" t="s">
        <v>4230</v>
      </c>
      <c r="L2109" s="11" t="str">
        <f t="shared" si="33"/>
        <v>Ver Imagen</v>
      </c>
      <c r="M2109" t="s">
        <v>15</v>
      </c>
    </row>
    <row r="2110" spans="1:13" x14ac:dyDescent="0.25">
      <c r="A2110">
        <v>2109</v>
      </c>
      <c r="B2110" t="s">
        <v>4231</v>
      </c>
      <c r="C2110" s="1">
        <v>37.256627947799998</v>
      </c>
      <c r="D2110" s="1">
        <v>-7.0138502629800001</v>
      </c>
      <c r="E2110" s="3">
        <v>3</v>
      </c>
      <c r="F2110" s="2">
        <v>3</v>
      </c>
      <c r="G2110" s="4">
        <v>3</v>
      </c>
      <c r="H2110" s="13"/>
      <c r="I2110" s="15"/>
      <c r="J2110" s="19">
        <v>3</v>
      </c>
      <c r="K2110" s="2" t="s">
        <v>4232</v>
      </c>
      <c r="L2110" s="11" t="str">
        <f t="shared" ref="L2110:L2173" si="34">HYPERLINK("3\0\" &amp; K2110, "Ver Imagen")</f>
        <v>Ver Imagen</v>
      </c>
      <c r="M2110" t="s">
        <v>15</v>
      </c>
    </row>
    <row r="2111" spans="1:13" x14ac:dyDescent="0.25">
      <c r="A2111">
        <v>2110</v>
      </c>
      <c r="B2111" t="s">
        <v>4233</v>
      </c>
      <c r="C2111" s="1">
        <v>37.201631905600003</v>
      </c>
      <c r="D2111" s="1">
        <v>-6.9934197868399997</v>
      </c>
      <c r="E2111" s="3">
        <v>3</v>
      </c>
      <c r="F2111" s="2">
        <v>3</v>
      </c>
      <c r="G2111" s="4">
        <v>3</v>
      </c>
      <c r="H2111" s="13"/>
      <c r="I2111" s="15"/>
      <c r="J2111" s="19">
        <v>3</v>
      </c>
      <c r="K2111" s="2" t="s">
        <v>4234</v>
      </c>
      <c r="L2111" s="11" t="str">
        <f t="shared" si="34"/>
        <v>Ver Imagen</v>
      </c>
      <c r="M2111" t="s">
        <v>15</v>
      </c>
    </row>
    <row r="2112" spans="1:13" x14ac:dyDescent="0.25">
      <c r="A2112">
        <v>2111</v>
      </c>
      <c r="B2112" t="s">
        <v>4235</v>
      </c>
      <c r="C2112" s="1">
        <v>37.202148417499998</v>
      </c>
      <c r="D2112" s="1">
        <v>-6.9964150927900004</v>
      </c>
      <c r="E2112" s="3">
        <v>3</v>
      </c>
      <c r="F2112" s="2">
        <v>3</v>
      </c>
      <c r="G2112" s="4">
        <v>3</v>
      </c>
      <c r="H2112" s="13"/>
      <c r="I2112" s="15"/>
      <c r="J2112" s="19">
        <v>3</v>
      </c>
      <c r="K2112" s="2" t="s">
        <v>4236</v>
      </c>
      <c r="L2112" s="11" t="str">
        <f t="shared" si="34"/>
        <v>Ver Imagen</v>
      </c>
      <c r="M2112" t="s">
        <v>15</v>
      </c>
    </row>
    <row r="2113" spans="1:13" x14ac:dyDescent="0.25">
      <c r="A2113">
        <v>2112</v>
      </c>
      <c r="B2113" t="s">
        <v>4237</v>
      </c>
      <c r="C2113" s="1">
        <v>37.202185134899999</v>
      </c>
      <c r="D2113" s="1">
        <v>-6.9966480706800001</v>
      </c>
      <c r="E2113" s="3">
        <v>3</v>
      </c>
      <c r="F2113" s="2">
        <v>3</v>
      </c>
      <c r="G2113" s="4">
        <v>3</v>
      </c>
      <c r="H2113" s="13"/>
      <c r="I2113" s="15"/>
      <c r="J2113" s="19">
        <v>3</v>
      </c>
      <c r="K2113" s="2" t="s">
        <v>4238</v>
      </c>
      <c r="L2113" s="11" t="str">
        <f t="shared" si="34"/>
        <v>Ver Imagen</v>
      </c>
      <c r="M2113" t="s">
        <v>15</v>
      </c>
    </row>
    <row r="2114" spans="1:13" x14ac:dyDescent="0.25">
      <c r="A2114">
        <v>2113</v>
      </c>
      <c r="B2114" t="s">
        <v>4239</v>
      </c>
      <c r="C2114" s="1">
        <v>37.2022186353</v>
      </c>
      <c r="D2114" s="1">
        <v>-6.9968611326100003</v>
      </c>
      <c r="E2114" s="3">
        <v>3</v>
      </c>
      <c r="F2114" s="2">
        <v>3</v>
      </c>
      <c r="G2114" s="4">
        <v>3</v>
      </c>
      <c r="H2114" s="13"/>
      <c r="I2114" s="15"/>
      <c r="J2114" s="19">
        <v>3</v>
      </c>
      <c r="K2114" s="2" t="s">
        <v>4240</v>
      </c>
      <c r="L2114" s="11" t="str">
        <f t="shared" si="34"/>
        <v>Ver Imagen</v>
      </c>
      <c r="M2114" t="s">
        <v>15</v>
      </c>
    </row>
    <row r="2115" spans="1:13" x14ac:dyDescent="0.25">
      <c r="A2115">
        <v>2114</v>
      </c>
      <c r="B2115" t="s">
        <v>4241</v>
      </c>
      <c r="C2115" s="1">
        <v>37.202966473700002</v>
      </c>
      <c r="D2115" s="1">
        <v>-7.0026308358499998</v>
      </c>
      <c r="E2115" s="3">
        <v>3</v>
      </c>
      <c r="F2115" s="2">
        <v>3</v>
      </c>
      <c r="G2115" s="4">
        <v>3</v>
      </c>
      <c r="H2115" s="13"/>
      <c r="I2115" s="15"/>
      <c r="J2115" s="19">
        <v>3</v>
      </c>
      <c r="K2115" s="2" t="s">
        <v>4242</v>
      </c>
      <c r="L2115" s="11" t="str">
        <f t="shared" si="34"/>
        <v>Ver Imagen</v>
      </c>
      <c r="M2115" t="s">
        <v>15</v>
      </c>
    </row>
    <row r="2116" spans="1:13" x14ac:dyDescent="0.25">
      <c r="A2116">
        <v>2115</v>
      </c>
      <c r="B2116" t="s">
        <v>4243</v>
      </c>
      <c r="C2116" s="1">
        <v>37.203018248600003</v>
      </c>
      <c r="D2116" s="1">
        <v>-7.0031282886200001</v>
      </c>
      <c r="E2116" s="3">
        <v>3</v>
      </c>
      <c r="F2116" s="2">
        <v>3</v>
      </c>
      <c r="G2116" s="4">
        <v>3</v>
      </c>
      <c r="H2116" s="13"/>
      <c r="I2116" s="15"/>
      <c r="J2116" s="19">
        <v>3</v>
      </c>
      <c r="K2116" s="2" t="s">
        <v>4244</v>
      </c>
      <c r="L2116" s="11" t="str">
        <f t="shared" si="34"/>
        <v>Ver Imagen</v>
      </c>
      <c r="M2116" t="s">
        <v>15</v>
      </c>
    </row>
    <row r="2117" spans="1:13" x14ac:dyDescent="0.25">
      <c r="A2117">
        <v>2116</v>
      </c>
      <c r="B2117" t="s">
        <v>4245</v>
      </c>
      <c r="C2117" s="1">
        <v>37.255151180200002</v>
      </c>
      <c r="D2117" s="1">
        <v>-7.0147953491799999</v>
      </c>
      <c r="E2117" s="3">
        <v>3</v>
      </c>
      <c r="F2117" s="2">
        <v>3</v>
      </c>
      <c r="G2117" s="4">
        <v>3</v>
      </c>
      <c r="H2117" s="13"/>
      <c r="I2117" s="15"/>
      <c r="J2117" s="19">
        <v>3</v>
      </c>
      <c r="K2117" s="2" t="s">
        <v>4246</v>
      </c>
      <c r="L2117" s="11" t="str">
        <f t="shared" si="34"/>
        <v>Ver Imagen</v>
      </c>
      <c r="M2117" t="s">
        <v>15</v>
      </c>
    </row>
    <row r="2118" spans="1:13" x14ac:dyDescent="0.25">
      <c r="A2118">
        <v>2117</v>
      </c>
      <c r="B2118" t="s">
        <v>4247</v>
      </c>
      <c r="C2118" s="1">
        <v>37.2549941065</v>
      </c>
      <c r="D2118" s="1">
        <v>-7.0148966050899997</v>
      </c>
      <c r="E2118" s="3">
        <v>3</v>
      </c>
      <c r="F2118" s="2">
        <v>3</v>
      </c>
      <c r="G2118" s="4">
        <v>3</v>
      </c>
      <c r="H2118" s="13"/>
      <c r="I2118" s="15"/>
      <c r="J2118" s="19">
        <v>3</v>
      </c>
      <c r="K2118" s="2" t="s">
        <v>4248</v>
      </c>
      <c r="L2118" s="11" t="str">
        <f t="shared" si="34"/>
        <v>Ver Imagen</v>
      </c>
      <c r="M2118" t="s">
        <v>15</v>
      </c>
    </row>
    <row r="2119" spans="1:13" x14ac:dyDescent="0.25">
      <c r="A2119">
        <v>2118</v>
      </c>
      <c r="B2119" t="s">
        <v>4249</v>
      </c>
      <c r="C2119" s="1">
        <v>37.253735968800001</v>
      </c>
      <c r="D2119" s="1">
        <v>-7.0157038714800004</v>
      </c>
      <c r="E2119" s="3">
        <v>3</v>
      </c>
      <c r="F2119" s="2">
        <v>3</v>
      </c>
      <c r="G2119" s="4">
        <v>3</v>
      </c>
      <c r="H2119" s="13"/>
      <c r="I2119" s="15"/>
      <c r="J2119" s="19">
        <v>3</v>
      </c>
      <c r="K2119" s="2" t="s">
        <v>4250</v>
      </c>
      <c r="L2119" s="11" t="str">
        <f t="shared" si="34"/>
        <v>Ver Imagen</v>
      </c>
      <c r="M2119" t="s">
        <v>15</v>
      </c>
    </row>
    <row r="2120" spans="1:13" x14ac:dyDescent="0.25">
      <c r="A2120">
        <v>2119</v>
      </c>
      <c r="B2120" t="s">
        <v>4251</v>
      </c>
      <c r="C2120" s="1">
        <v>37.253572087499997</v>
      </c>
      <c r="D2120" s="1">
        <v>-7.0158097595599997</v>
      </c>
      <c r="E2120" s="3">
        <v>3</v>
      </c>
      <c r="F2120" s="2">
        <v>3</v>
      </c>
      <c r="G2120" s="4">
        <v>3</v>
      </c>
      <c r="H2120" s="13"/>
      <c r="I2120" s="15"/>
      <c r="J2120" s="19">
        <v>3</v>
      </c>
      <c r="K2120" s="2" t="s">
        <v>4252</v>
      </c>
      <c r="L2120" s="11" t="str">
        <f t="shared" si="34"/>
        <v>Ver Imagen</v>
      </c>
      <c r="M2120" t="s">
        <v>15</v>
      </c>
    </row>
    <row r="2121" spans="1:13" x14ac:dyDescent="0.25">
      <c r="A2121">
        <v>2120</v>
      </c>
      <c r="B2121" t="s">
        <v>4253</v>
      </c>
      <c r="C2121" s="1">
        <v>37.253384629400003</v>
      </c>
      <c r="D2121" s="1">
        <v>-7.0159301549000004</v>
      </c>
      <c r="E2121" s="3">
        <v>3</v>
      </c>
      <c r="F2121" s="2">
        <v>3</v>
      </c>
      <c r="G2121" s="4">
        <v>3</v>
      </c>
      <c r="H2121" s="13"/>
      <c r="I2121" s="15"/>
      <c r="J2121" s="19">
        <v>3</v>
      </c>
      <c r="K2121" s="2" t="s">
        <v>4254</v>
      </c>
      <c r="L2121" s="11" t="str">
        <f t="shared" si="34"/>
        <v>Ver Imagen</v>
      </c>
      <c r="M2121" t="s">
        <v>15</v>
      </c>
    </row>
    <row r="2122" spans="1:13" x14ac:dyDescent="0.25">
      <c r="A2122">
        <v>2121</v>
      </c>
      <c r="B2122" t="s">
        <v>4255</v>
      </c>
      <c r="C2122" s="1">
        <v>37.253183033100001</v>
      </c>
      <c r="D2122" s="1">
        <v>-7.0160589596999996</v>
      </c>
      <c r="E2122" s="3">
        <v>3</v>
      </c>
      <c r="F2122" s="2">
        <v>3</v>
      </c>
      <c r="G2122" s="4">
        <v>3</v>
      </c>
      <c r="H2122" s="13"/>
      <c r="I2122" s="15"/>
      <c r="J2122" s="19">
        <v>3</v>
      </c>
      <c r="K2122" s="2" t="s">
        <v>4256</v>
      </c>
      <c r="L2122" s="11" t="str">
        <f t="shared" si="34"/>
        <v>Ver Imagen</v>
      </c>
      <c r="M2122" t="s">
        <v>15</v>
      </c>
    </row>
    <row r="2123" spans="1:13" x14ac:dyDescent="0.25">
      <c r="A2123">
        <v>2122</v>
      </c>
      <c r="B2123" t="s">
        <v>4257</v>
      </c>
      <c r="C2123" s="1">
        <v>37.2530235093</v>
      </c>
      <c r="D2123" s="1">
        <v>-7.0161607570499998</v>
      </c>
      <c r="E2123" s="3">
        <v>3</v>
      </c>
      <c r="F2123" s="2">
        <v>3</v>
      </c>
      <c r="G2123" s="4">
        <v>3</v>
      </c>
      <c r="H2123" s="13"/>
      <c r="I2123" s="15"/>
      <c r="J2123" s="19">
        <v>3</v>
      </c>
      <c r="K2123" s="2" t="s">
        <v>4258</v>
      </c>
      <c r="L2123" s="11" t="str">
        <f t="shared" si="34"/>
        <v>Ver Imagen</v>
      </c>
      <c r="M2123" t="s">
        <v>15</v>
      </c>
    </row>
    <row r="2124" spans="1:13" x14ac:dyDescent="0.25">
      <c r="A2124">
        <v>2123</v>
      </c>
      <c r="B2124" t="s">
        <v>4259</v>
      </c>
      <c r="C2124" s="1">
        <v>37.252284152000001</v>
      </c>
      <c r="D2124" s="1">
        <v>-7.0166340913300003</v>
      </c>
      <c r="E2124" s="3">
        <v>3</v>
      </c>
      <c r="F2124" s="2">
        <v>3</v>
      </c>
      <c r="G2124" s="4">
        <v>3</v>
      </c>
      <c r="H2124" s="13"/>
      <c r="I2124" s="15"/>
      <c r="J2124" s="19">
        <v>3</v>
      </c>
      <c r="K2124" s="2" t="s">
        <v>4260</v>
      </c>
      <c r="L2124" s="11" t="str">
        <f t="shared" si="34"/>
        <v>Ver Imagen</v>
      </c>
      <c r="M2124" t="s">
        <v>15</v>
      </c>
    </row>
    <row r="2125" spans="1:13" x14ac:dyDescent="0.25">
      <c r="A2125">
        <v>2124</v>
      </c>
      <c r="B2125" t="s">
        <v>4261</v>
      </c>
      <c r="C2125" s="1">
        <v>37.251919013299997</v>
      </c>
      <c r="D2125" s="1">
        <v>-7.0168664402800003</v>
      </c>
      <c r="E2125" s="3">
        <v>3</v>
      </c>
      <c r="F2125" s="2">
        <v>3</v>
      </c>
      <c r="G2125" s="4">
        <v>3</v>
      </c>
      <c r="H2125" s="13"/>
      <c r="I2125" s="15"/>
      <c r="J2125" s="19">
        <v>3</v>
      </c>
      <c r="K2125" s="2" t="s">
        <v>4262</v>
      </c>
      <c r="L2125" s="11" t="str">
        <f t="shared" si="34"/>
        <v>Ver Imagen</v>
      </c>
      <c r="M2125" t="s">
        <v>15</v>
      </c>
    </row>
    <row r="2126" spans="1:13" x14ac:dyDescent="0.25">
      <c r="A2126">
        <v>2125</v>
      </c>
      <c r="B2126" t="s">
        <v>4263</v>
      </c>
      <c r="C2126" s="1">
        <v>37.251755666199998</v>
      </c>
      <c r="D2126" s="1">
        <v>-7.0169714608399998</v>
      </c>
      <c r="E2126" s="3">
        <v>3</v>
      </c>
      <c r="F2126" s="2">
        <v>3</v>
      </c>
      <c r="G2126" s="4">
        <v>3</v>
      </c>
      <c r="H2126" s="13"/>
      <c r="I2126" s="15"/>
      <c r="J2126" s="19">
        <v>3</v>
      </c>
      <c r="K2126" s="2" t="s">
        <v>4264</v>
      </c>
      <c r="L2126" s="11" t="str">
        <f t="shared" si="34"/>
        <v>Ver Imagen</v>
      </c>
      <c r="M2126" t="s">
        <v>15</v>
      </c>
    </row>
    <row r="2127" spans="1:13" x14ac:dyDescent="0.25">
      <c r="A2127">
        <v>2126</v>
      </c>
      <c r="B2127" t="s">
        <v>4265</v>
      </c>
      <c r="C2127" s="1">
        <v>37.203857371700003</v>
      </c>
      <c r="D2127" s="1">
        <v>-7.0093635334600002</v>
      </c>
      <c r="E2127" s="3">
        <v>3</v>
      </c>
      <c r="F2127" s="2">
        <v>3</v>
      </c>
      <c r="G2127" s="4">
        <v>3</v>
      </c>
      <c r="H2127" s="13"/>
      <c r="I2127" s="15"/>
      <c r="J2127" s="19">
        <v>3</v>
      </c>
      <c r="K2127" s="2" t="s">
        <v>4266</v>
      </c>
      <c r="L2127" s="11" t="str">
        <f t="shared" si="34"/>
        <v>Ver Imagen</v>
      </c>
      <c r="M2127" t="s">
        <v>15</v>
      </c>
    </row>
    <row r="2128" spans="1:13" x14ac:dyDescent="0.25">
      <c r="A2128">
        <v>2127</v>
      </c>
      <c r="B2128" t="s">
        <v>4267</v>
      </c>
      <c r="C2128" s="1">
        <v>37.204108574700001</v>
      </c>
      <c r="D2128" s="1">
        <v>-7.0108890055900002</v>
      </c>
      <c r="E2128" s="3">
        <v>3</v>
      </c>
      <c r="F2128" s="2">
        <v>3</v>
      </c>
      <c r="G2128" s="4">
        <v>3</v>
      </c>
      <c r="H2128" s="13"/>
      <c r="I2128" s="15"/>
      <c r="J2128" s="19">
        <v>3</v>
      </c>
      <c r="K2128" s="2" t="s">
        <v>4268</v>
      </c>
      <c r="L2128" s="11" t="str">
        <f t="shared" si="34"/>
        <v>Ver Imagen</v>
      </c>
      <c r="M2128" t="s">
        <v>15</v>
      </c>
    </row>
    <row r="2129" spans="1:13" x14ac:dyDescent="0.25">
      <c r="A2129">
        <v>2128</v>
      </c>
      <c r="B2129" t="s">
        <v>4269</v>
      </c>
      <c r="C2129" s="1">
        <v>37.204410751399998</v>
      </c>
      <c r="D2129" s="1">
        <v>-7.0126141648100004</v>
      </c>
      <c r="E2129" s="3">
        <v>3</v>
      </c>
      <c r="F2129" s="2">
        <v>3</v>
      </c>
      <c r="G2129" s="4">
        <v>3</v>
      </c>
      <c r="H2129" s="13"/>
      <c r="I2129" s="15"/>
      <c r="J2129" s="19">
        <v>3</v>
      </c>
      <c r="K2129" s="2" t="s">
        <v>4270</v>
      </c>
      <c r="L2129" s="11" t="str">
        <f t="shared" si="34"/>
        <v>Ver Imagen</v>
      </c>
      <c r="M2129" t="s">
        <v>15</v>
      </c>
    </row>
    <row r="2130" spans="1:13" x14ac:dyDescent="0.25">
      <c r="A2130">
        <v>2129</v>
      </c>
      <c r="B2130" t="s">
        <v>4271</v>
      </c>
      <c r="C2130" s="1">
        <v>37.246524761300002</v>
      </c>
      <c r="D2130" s="1">
        <v>-7.0184327445900001</v>
      </c>
      <c r="E2130" s="3">
        <v>3</v>
      </c>
      <c r="F2130" s="2">
        <v>3</v>
      </c>
      <c r="G2130" s="4">
        <v>3</v>
      </c>
      <c r="H2130" s="13"/>
      <c r="I2130" s="15"/>
      <c r="J2130" s="19">
        <v>3</v>
      </c>
      <c r="K2130" s="2" t="s">
        <v>4272</v>
      </c>
      <c r="L2130" s="11" t="str">
        <f t="shared" si="34"/>
        <v>Ver Imagen</v>
      </c>
      <c r="M2130" t="s">
        <v>15</v>
      </c>
    </row>
    <row r="2131" spans="1:13" x14ac:dyDescent="0.25">
      <c r="A2131">
        <v>2130</v>
      </c>
      <c r="B2131" t="s">
        <v>4273</v>
      </c>
      <c r="C2131" s="1">
        <v>37.245903357499998</v>
      </c>
      <c r="D2131" s="1">
        <v>-7.01845487784</v>
      </c>
      <c r="E2131" s="3">
        <v>3</v>
      </c>
      <c r="F2131" s="2">
        <v>3</v>
      </c>
      <c r="G2131" s="4">
        <v>3</v>
      </c>
      <c r="H2131" s="13"/>
      <c r="I2131" s="15"/>
      <c r="J2131" s="19">
        <v>3</v>
      </c>
      <c r="K2131" s="2" t="s">
        <v>4274</v>
      </c>
      <c r="L2131" s="11" t="str">
        <f t="shared" si="34"/>
        <v>Ver Imagen</v>
      </c>
      <c r="M2131" t="s">
        <v>15</v>
      </c>
    </row>
    <row r="2132" spans="1:13" x14ac:dyDescent="0.25">
      <c r="A2132">
        <v>2131</v>
      </c>
      <c r="B2132" t="s">
        <v>4275</v>
      </c>
      <c r="C2132" s="1">
        <v>37.245502926900002</v>
      </c>
      <c r="D2132" s="1">
        <v>-7.0184681893500001</v>
      </c>
      <c r="E2132" s="3">
        <v>3</v>
      </c>
      <c r="F2132" s="2">
        <v>3</v>
      </c>
      <c r="G2132" s="4">
        <v>3</v>
      </c>
      <c r="H2132" s="13"/>
      <c r="I2132" s="15"/>
      <c r="J2132" s="19">
        <v>3</v>
      </c>
      <c r="K2132" s="2" t="s">
        <v>4276</v>
      </c>
      <c r="L2132" s="11" t="str">
        <f t="shared" si="34"/>
        <v>Ver Imagen</v>
      </c>
      <c r="M2132" t="s">
        <v>15</v>
      </c>
    </row>
    <row r="2133" spans="1:13" x14ac:dyDescent="0.25">
      <c r="A2133">
        <v>2132</v>
      </c>
      <c r="B2133" t="s">
        <v>4277</v>
      </c>
      <c r="C2133" s="1">
        <v>37.244865363499997</v>
      </c>
      <c r="D2133" s="1">
        <v>-7.0184893955099996</v>
      </c>
      <c r="E2133" s="3">
        <v>3</v>
      </c>
      <c r="F2133" s="2">
        <v>3</v>
      </c>
      <c r="G2133" s="4">
        <v>3</v>
      </c>
      <c r="H2133" s="13"/>
      <c r="I2133" s="15"/>
      <c r="J2133" s="19">
        <v>3</v>
      </c>
      <c r="K2133" s="2" t="s">
        <v>4278</v>
      </c>
      <c r="L2133" s="11" t="str">
        <f t="shared" si="34"/>
        <v>Ver Imagen</v>
      </c>
      <c r="M2133" t="s">
        <v>15</v>
      </c>
    </row>
    <row r="2134" spans="1:13" x14ac:dyDescent="0.25">
      <c r="A2134">
        <v>2133</v>
      </c>
      <c r="B2134" t="s">
        <v>4279</v>
      </c>
      <c r="C2134" s="1">
        <v>37.243877327</v>
      </c>
      <c r="D2134" s="1">
        <v>-7.0185307432000004</v>
      </c>
      <c r="E2134" s="3">
        <v>3</v>
      </c>
      <c r="F2134" s="2">
        <v>3</v>
      </c>
      <c r="G2134" s="4">
        <v>3</v>
      </c>
      <c r="H2134" s="13"/>
      <c r="I2134" s="15"/>
      <c r="J2134" s="19">
        <v>3</v>
      </c>
      <c r="K2134" s="2" t="s">
        <v>4280</v>
      </c>
      <c r="L2134" s="11" t="str">
        <f t="shared" si="34"/>
        <v>Ver Imagen</v>
      </c>
      <c r="M2134" t="s">
        <v>15</v>
      </c>
    </row>
    <row r="2135" spans="1:13" x14ac:dyDescent="0.25">
      <c r="A2135">
        <v>2134</v>
      </c>
      <c r="B2135" t="s">
        <v>4281</v>
      </c>
      <c r="C2135" s="1">
        <v>37.242618589499997</v>
      </c>
      <c r="D2135" s="1">
        <v>-7.0185776797599999</v>
      </c>
      <c r="E2135" s="3">
        <v>3</v>
      </c>
      <c r="F2135" s="2">
        <v>3</v>
      </c>
      <c r="G2135" s="4">
        <v>3</v>
      </c>
      <c r="H2135" s="13"/>
      <c r="I2135" s="15"/>
      <c r="J2135" s="19">
        <v>3</v>
      </c>
      <c r="K2135" s="2" t="s">
        <v>4282</v>
      </c>
      <c r="L2135" s="11" t="str">
        <f t="shared" si="34"/>
        <v>Ver Imagen</v>
      </c>
      <c r="M2135" t="s">
        <v>15</v>
      </c>
    </row>
    <row r="2136" spans="1:13" x14ac:dyDescent="0.25">
      <c r="A2136">
        <v>2135</v>
      </c>
      <c r="B2136" t="s">
        <v>4283</v>
      </c>
      <c r="C2136" s="1">
        <v>37.2416203115</v>
      </c>
      <c r="D2136" s="1">
        <v>-7.0186106450599999</v>
      </c>
      <c r="E2136" s="3">
        <v>3</v>
      </c>
      <c r="F2136" s="2">
        <v>3</v>
      </c>
      <c r="G2136" s="4">
        <v>3</v>
      </c>
      <c r="H2136" s="13"/>
      <c r="I2136" s="15"/>
      <c r="J2136" s="19">
        <v>3</v>
      </c>
      <c r="K2136" s="2" t="s">
        <v>4284</v>
      </c>
      <c r="L2136" s="11" t="str">
        <f t="shared" si="34"/>
        <v>Ver Imagen</v>
      </c>
      <c r="M2136" t="s">
        <v>15</v>
      </c>
    </row>
    <row r="2137" spans="1:13" x14ac:dyDescent="0.25">
      <c r="A2137">
        <v>2136</v>
      </c>
      <c r="B2137" t="s">
        <v>4285</v>
      </c>
      <c r="C2137" s="1">
        <v>37.241225414500001</v>
      </c>
      <c r="D2137" s="1">
        <v>-7.0186281922899996</v>
      </c>
      <c r="E2137" s="3">
        <v>3</v>
      </c>
      <c r="F2137" s="2">
        <v>3</v>
      </c>
      <c r="G2137" s="4">
        <v>3</v>
      </c>
      <c r="H2137" s="13"/>
      <c r="I2137" s="15"/>
      <c r="J2137" s="19">
        <v>3</v>
      </c>
      <c r="K2137" s="2" t="s">
        <v>4286</v>
      </c>
      <c r="L2137" s="11" t="str">
        <f t="shared" si="34"/>
        <v>Ver Imagen</v>
      </c>
      <c r="M2137" t="s">
        <v>15</v>
      </c>
    </row>
    <row r="2138" spans="1:13" x14ac:dyDescent="0.25">
      <c r="A2138">
        <v>2137</v>
      </c>
      <c r="B2138" t="s">
        <v>4287</v>
      </c>
      <c r="C2138" s="1">
        <v>37.241026811200001</v>
      </c>
      <c r="D2138" s="1">
        <v>-7.0186365090300002</v>
      </c>
      <c r="E2138" s="3">
        <v>3</v>
      </c>
      <c r="F2138" s="2">
        <v>3</v>
      </c>
      <c r="G2138" s="4">
        <v>3</v>
      </c>
      <c r="H2138" s="13"/>
      <c r="I2138" s="15"/>
      <c r="J2138" s="19">
        <v>3</v>
      </c>
      <c r="K2138" s="2" t="s">
        <v>4288</v>
      </c>
      <c r="L2138" s="11" t="str">
        <f t="shared" si="34"/>
        <v>Ver Imagen</v>
      </c>
      <c r="M2138" t="s">
        <v>15</v>
      </c>
    </row>
    <row r="2139" spans="1:13" x14ac:dyDescent="0.25">
      <c r="A2139">
        <v>2138</v>
      </c>
      <c r="B2139" t="s">
        <v>4289</v>
      </c>
      <c r="C2139" s="1">
        <v>37.240234858500003</v>
      </c>
      <c r="D2139" s="1">
        <v>-7.0186673332299998</v>
      </c>
      <c r="E2139" s="3">
        <v>3</v>
      </c>
      <c r="F2139" s="2">
        <v>3</v>
      </c>
      <c r="G2139" s="4">
        <v>3</v>
      </c>
      <c r="H2139" s="13"/>
      <c r="I2139" s="15"/>
      <c r="J2139" s="19">
        <v>3</v>
      </c>
      <c r="K2139" s="2" t="s">
        <v>4290</v>
      </c>
      <c r="L2139" s="11" t="str">
        <f t="shared" si="34"/>
        <v>Ver Imagen</v>
      </c>
      <c r="M2139" t="s">
        <v>15</v>
      </c>
    </row>
    <row r="2140" spans="1:13" x14ac:dyDescent="0.25">
      <c r="A2140">
        <v>2139</v>
      </c>
      <c r="B2140" t="s">
        <v>4291</v>
      </c>
      <c r="C2140" s="1">
        <v>37.206152442700002</v>
      </c>
      <c r="D2140" s="1">
        <v>-7.0196151568599996</v>
      </c>
      <c r="E2140" s="3">
        <v>3</v>
      </c>
      <c r="F2140" s="2">
        <v>3</v>
      </c>
      <c r="G2140" s="4">
        <v>3</v>
      </c>
      <c r="H2140" s="13"/>
      <c r="I2140" s="15"/>
      <c r="J2140" s="19">
        <v>3</v>
      </c>
      <c r="K2140" s="2" t="s">
        <v>4292</v>
      </c>
      <c r="L2140" s="11" t="str">
        <f t="shared" si="34"/>
        <v>Ver Imagen</v>
      </c>
      <c r="M2140" t="s">
        <v>15</v>
      </c>
    </row>
    <row r="2141" spans="1:13" x14ac:dyDescent="0.25">
      <c r="A2141">
        <v>2140</v>
      </c>
      <c r="B2141" t="s">
        <v>4293</v>
      </c>
      <c r="C2141" s="1">
        <v>37.239196054300002</v>
      </c>
      <c r="D2141" s="1">
        <v>-7.0187103655599996</v>
      </c>
      <c r="E2141" s="3">
        <v>3</v>
      </c>
      <c r="F2141" s="2">
        <v>3</v>
      </c>
      <c r="G2141" s="4">
        <v>3</v>
      </c>
      <c r="H2141" s="13"/>
      <c r="I2141" s="15"/>
      <c r="J2141" s="19">
        <v>3</v>
      </c>
      <c r="K2141" s="2" t="s">
        <v>4294</v>
      </c>
      <c r="L2141" s="11" t="str">
        <f t="shared" si="34"/>
        <v>Ver Imagen</v>
      </c>
      <c r="M2141" t="s">
        <v>15</v>
      </c>
    </row>
    <row r="2142" spans="1:13" x14ac:dyDescent="0.25">
      <c r="A2142">
        <v>2141</v>
      </c>
      <c r="B2142" t="s">
        <v>4295</v>
      </c>
      <c r="C2142" s="1">
        <v>37.238825897300003</v>
      </c>
      <c r="D2142" s="1">
        <v>-7.0187266534899999</v>
      </c>
      <c r="E2142" s="3">
        <v>3</v>
      </c>
      <c r="F2142" s="2">
        <v>3</v>
      </c>
      <c r="G2142" s="4">
        <v>3</v>
      </c>
      <c r="H2142" s="13"/>
      <c r="I2142" s="15"/>
      <c r="J2142" s="19">
        <v>3</v>
      </c>
      <c r="K2142" s="2" t="s">
        <v>4296</v>
      </c>
      <c r="L2142" s="11" t="str">
        <f t="shared" si="34"/>
        <v>Ver Imagen</v>
      </c>
      <c r="M2142" t="s">
        <v>15</v>
      </c>
    </row>
    <row r="2143" spans="1:13" x14ac:dyDescent="0.25">
      <c r="A2143">
        <v>2142</v>
      </c>
      <c r="B2143" t="s">
        <v>4297</v>
      </c>
      <c r="C2143" s="1">
        <v>37.23842355</v>
      </c>
      <c r="D2143" s="1">
        <v>-7.0187424706100003</v>
      </c>
      <c r="E2143" s="3">
        <v>3</v>
      </c>
      <c r="F2143" s="2">
        <v>3</v>
      </c>
      <c r="G2143" s="4">
        <v>3</v>
      </c>
      <c r="H2143" s="13"/>
      <c r="I2143" s="15"/>
      <c r="J2143" s="19">
        <v>3</v>
      </c>
      <c r="K2143" s="2" t="s">
        <v>4298</v>
      </c>
      <c r="L2143" s="11" t="str">
        <f t="shared" si="34"/>
        <v>Ver Imagen</v>
      </c>
      <c r="M2143" t="s">
        <v>15</v>
      </c>
    </row>
    <row r="2144" spans="1:13" x14ac:dyDescent="0.25">
      <c r="A2144">
        <v>2143</v>
      </c>
      <c r="B2144" t="s">
        <v>4299</v>
      </c>
      <c r="C2144" s="1">
        <v>37.238160950699999</v>
      </c>
      <c r="D2144" s="1">
        <v>-7.0187506335499998</v>
      </c>
      <c r="E2144" s="3">
        <v>3</v>
      </c>
      <c r="F2144" s="2">
        <v>3</v>
      </c>
      <c r="G2144" s="4">
        <v>3</v>
      </c>
      <c r="H2144" s="13"/>
      <c r="I2144" s="15"/>
      <c r="J2144" s="19">
        <v>3</v>
      </c>
      <c r="K2144" s="2" t="s">
        <v>4300</v>
      </c>
      <c r="L2144" s="11" t="str">
        <f t="shared" si="34"/>
        <v>Ver Imagen</v>
      </c>
      <c r="M2144" t="s">
        <v>15</v>
      </c>
    </row>
    <row r="2145" spans="1:13" x14ac:dyDescent="0.25">
      <c r="A2145">
        <v>2144</v>
      </c>
      <c r="B2145" t="s">
        <v>4301</v>
      </c>
      <c r="C2145" s="1">
        <v>37.237960845700002</v>
      </c>
      <c r="D2145" s="1">
        <v>-7.0187556133199998</v>
      </c>
      <c r="E2145" s="3">
        <v>3</v>
      </c>
      <c r="F2145" s="2">
        <v>3</v>
      </c>
      <c r="G2145" s="4">
        <v>3</v>
      </c>
      <c r="H2145" s="13"/>
      <c r="I2145" s="15"/>
      <c r="J2145" s="19">
        <v>3</v>
      </c>
      <c r="K2145" s="2" t="s">
        <v>4302</v>
      </c>
      <c r="L2145" s="11" t="str">
        <f t="shared" si="34"/>
        <v>Ver Imagen</v>
      </c>
      <c r="M2145" t="s">
        <v>15</v>
      </c>
    </row>
    <row r="2146" spans="1:13" x14ac:dyDescent="0.25">
      <c r="A2146">
        <v>2145</v>
      </c>
      <c r="B2146" t="s">
        <v>4303</v>
      </c>
      <c r="C2146" s="1">
        <v>37.237784982999997</v>
      </c>
      <c r="D2146" s="1">
        <v>-7.0187577317400001</v>
      </c>
      <c r="E2146" s="3">
        <v>3</v>
      </c>
      <c r="F2146" s="2">
        <v>3</v>
      </c>
      <c r="G2146" s="4">
        <v>3</v>
      </c>
      <c r="H2146" s="13"/>
      <c r="I2146" s="15"/>
      <c r="J2146" s="19">
        <v>3</v>
      </c>
      <c r="K2146" s="2" t="s">
        <v>4304</v>
      </c>
      <c r="L2146" s="11" t="str">
        <f t="shared" si="34"/>
        <v>Ver Imagen</v>
      </c>
      <c r="M2146" t="s">
        <v>15</v>
      </c>
    </row>
    <row r="2147" spans="1:13" x14ac:dyDescent="0.25">
      <c r="A2147">
        <v>2146</v>
      </c>
      <c r="B2147" t="s">
        <v>4305</v>
      </c>
      <c r="C2147" s="1">
        <v>37.207210178799997</v>
      </c>
      <c r="D2147" s="1">
        <v>-7.0214054900000002</v>
      </c>
      <c r="E2147" s="3">
        <v>3</v>
      </c>
      <c r="F2147" s="2">
        <v>3</v>
      </c>
      <c r="G2147" s="4">
        <v>3</v>
      </c>
      <c r="H2147" s="13"/>
      <c r="I2147" s="15"/>
      <c r="J2147" s="19">
        <v>3</v>
      </c>
      <c r="K2147" s="2" t="s">
        <v>4306</v>
      </c>
      <c r="L2147" s="11" t="str">
        <f t="shared" si="34"/>
        <v>Ver Imagen</v>
      </c>
      <c r="M2147" t="s">
        <v>15</v>
      </c>
    </row>
    <row r="2148" spans="1:13" x14ac:dyDescent="0.25">
      <c r="A2148">
        <v>2147</v>
      </c>
      <c r="B2148" t="s">
        <v>4307</v>
      </c>
      <c r="C2148" s="1">
        <v>37.208155274100001</v>
      </c>
      <c r="D2148" s="1">
        <v>-7.0223995479800001</v>
      </c>
      <c r="E2148" s="3">
        <v>3</v>
      </c>
      <c r="F2148" s="2">
        <v>3</v>
      </c>
      <c r="G2148" s="4">
        <v>3</v>
      </c>
      <c r="H2148" s="13"/>
      <c r="I2148" s="15"/>
      <c r="J2148" s="19">
        <v>3</v>
      </c>
      <c r="K2148" s="2" t="s">
        <v>4308</v>
      </c>
      <c r="L2148" s="11" t="str">
        <f t="shared" si="34"/>
        <v>Ver Imagen</v>
      </c>
      <c r="M2148" t="s">
        <v>15</v>
      </c>
    </row>
    <row r="2149" spans="1:13" x14ac:dyDescent="0.25">
      <c r="A2149">
        <v>2148</v>
      </c>
      <c r="B2149" t="s">
        <v>4309</v>
      </c>
      <c r="C2149" s="1">
        <v>37.232780898800002</v>
      </c>
      <c r="D2149" s="1">
        <v>-7.0184688416299998</v>
      </c>
      <c r="E2149" s="3">
        <v>3</v>
      </c>
      <c r="F2149" s="2">
        <v>3</v>
      </c>
      <c r="G2149" s="4">
        <v>3</v>
      </c>
      <c r="H2149" s="13"/>
      <c r="I2149" s="15"/>
      <c r="J2149" s="19">
        <v>3</v>
      </c>
      <c r="K2149" s="2" t="s">
        <v>4310</v>
      </c>
      <c r="L2149" s="11" t="str">
        <f t="shared" si="34"/>
        <v>Ver Imagen</v>
      </c>
      <c r="M2149" t="s">
        <v>15</v>
      </c>
    </row>
    <row r="2150" spans="1:13" x14ac:dyDescent="0.25">
      <c r="A2150">
        <v>2149</v>
      </c>
      <c r="B2150" t="s">
        <v>4311</v>
      </c>
      <c r="C2150" s="1">
        <v>37.232597944399998</v>
      </c>
      <c r="D2150" s="1">
        <v>-7.0185616809500004</v>
      </c>
      <c r="E2150" s="3">
        <v>3</v>
      </c>
      <c r="F2150" s="2">
        <v>3</v>
      </c>
      <c r="G2150" s="4">
        <v>3</v>
      </c>
      <c r="H2150" s="13"/>
      <c r="I2150" s="15"/>
      <c r="J2150" s="19">
        <v>3</v>
      </c>
      <c r="K2150" s="2" t="s">
        <v>4312</v>
      </c>
      <c r="L2150" s="11" t="str">
        <f t="shared" si="34"/>
        <v>Ver Imagen</v>
      </c>
      <c r="M2150" t="s">
        <v>15</v>
      </c>
    </row>
    <row r="2151" spans="1:13" x14ac:dyDescent="0.25">
      <c r="A2151">
        <v>2150</v>
      </c>
      <c r="B2151" t="s">
        <v>4313</v>
      </c>
      <c r="C2151" s="1">
        <v>37.232416684699999</v>
      </c>
      <c r="D2151" s="1">
        <v>-7.0186666492500001</v>
      </c>
      <c r="E2151" s="3">
        <v>3</v>
      </c>
      <c r="F2151" s="2">
        <v>3</v>
      </c>
      <c r="G2151" s="4">
        <v>3</v>
      </c>
      <c r="H2151" s="13"/>
      <c r="I2151" s="15"/>
      <c r="J2151" s="19">
        <v>3</v>
      </c>
      <c r="K2151" s="2" t="s">
        <v>4314</v>
      </c>
      <c r="L2151" s="11" t="str">
        <f t="shared" si="34"/>
        <v>Ver Imagen</v>
      </c>
      <c r="M2151" t="s">
        <v>15</v>
      </c>
    </row>
    <row r="2152" spans="1:13" x14ac:dyDescent="0.25">
      <c r="A2152">
        <v>2151</v>
      </c>
      <c r="B2152" t="s">
        <v>4315</v>
      </c>
      <c r="C2152" s="1">
        <v>37.232243329699998</v>
      </c>
      <c r="D2152" s="1">
        <v>-7.0187778495900002</v>
      </c>
      <c r="E2152" s="3">
        <v>3</v>
      </c>
      <c r="F2152" s="2">
        <v>3</v>
      </c>
      <c r="G2152" s="4">
        <v>3</v>
      </c>
      <c r="H2152" s="13"/>
      <c r="I2152" s="15"/>
      <c r="J2152" s="19">
        <v>3</v>
      </c>
      <c r="K2152" s="2" t="s">
        <v>4316</v>
      </c>
      <c r="L2152" s="11" t="str">
        <f t="shared" si="34"/>
        <v>Ver Imagen</v>
      </c>
      <c r="M2152" t="s">
        <v>15</v>
      </c>
    </row>
    <row r="2153" spans="1:13" x14ac:dyDescent="0.25">
      <c r="A2153">
        <v>2152</v>
      </c>
      <c r="B2153" t="s">
        <v>4317</v>
      </c>
      <c r="C2153" s="1">
        <v>37.232081883900001</v>
      </c>
      <c r="D2153" s="1">
        <v>-7.0188891631099999</v>
      </c>
      <c r="E2153" s="3">
        <v>3</v>
      </c>
      <c r="F2153" s="2">
        <v>3</v>
      </c>
      <c r="G2153" s="4">
        <v>3</v>
      </c>
      <c r="H2153" s="13"/>
      <c r="I2153" s="15"/>
      <c r="J2153" s="19">
        <v>3</v>
      </c>
      <c r="K2153" s="2" t="s">
        <v>4318</v>
      </c>
      <c r="L2153" s="11" t="str">
        <f t="shared" si="34"/>
        <v>Ver Imagen</v>
      </c>
      <c r="M2153" t="s">
        <v>15</v>
      </c>
    </row>
    <row r="2154" spans="1:13" x14ac:dyDescent="0.25">
      <c r="A2154">
        <v>2153</v>
      </c>
      <c r="B2154" t="s">
        <v>4319</v>
      </c>
      <c r="C2154" s="1">
        <v>37.231912000800001</v>
      </c>
      <c r="D2154" s="1">
        <v>-7.0190114907099996</v>
      </c>
      <c r="E2154" s="3">
        <v>3</v>
      </c>
      <c r="F2154" s="2">
        <v>3</v>
      </c>
      <c r="G2154" s="4">
        <v>3</v>
      </c>
      <c r="H2154" s="13"/>
      <c r="I2154" s="15"/>
      <c r="J2154" s="19">
        <v>3</v>
      </c>
      <c r="K2154" s="2" t="s">
        <v>4320</v>
      </c>
      <c r="L2154" s="11" t="str">
        <f t="shared" si="34"/>
        <v>Ver Imagen</v>
      </c>
      <c r="M2154" t="s">
        <v>15</v>
      </c>
    </row>
    <row r="2155" spans="1:13" x14ac:dyDescent="0.25">
      <c r="A2155">
        <v>2154</v>
      </c>
      <c r="B2155" t="s">
        <v>4321</v>
      </c>
      <c r="C2155" s="1">
        <v>37.231521525799998</v>
      </c>
      <c r="D2155" s="1">
        <v>-7.0193017726800004</v>
      </c>
      <c r="E2155" s="3">
        <v>3</v>
      </c>
      <c r="F2155" s="2">
        <v>3</v>
      </c>
      <c r="G2155" s="4">
        <v>3</v>
      </c>
      <c r="H2155" s="13"/>
      <c r="I2155" s="15"/>
      <c r="J2155" s="19">
        <v>3</v>
      </c>
      <c r="K2155" s="2" t="s">
        <v>4322</v>
      </c>
      <c r="L2155" s="11" t="str">
        <f t="shared" si="34"/>
        <v>Ver Imagen</v>
      </c>
      <c r="M2155" t="s">
        <v>15</v>
      </c>
    </row>
    <row r="2156" spans="1:13" x14ac:dyDescent="0.25">
      <c r="A2156">
        <v>2155</v>
      </c>
      <c r="B2156" t="s">
        <v>4323</v>
      </c>
      <c r="C2156" s="1">
        <v>37.231363537599997</v>
      </c>
      <c r="D2156" s="1">
        <v>-7.0194221262700003</v>
      </c>
      <c r="E2156" s="3">
        <v>3</v>
      </c>
      <c r="F2156" s="2">
        <v>3</v>
      </c>
      <c r="G2156" s="4">
        <v>3</v>
      </c>
      <c r="H2156" s="13"/>
      <c r="I2156" s="15"/>
      <c r="J2156" s="19">
        <v>3</v>
      </c>
      <c r="K2156" s="2" t="s">
        <v>4324</v>
      </c>
      <c r="L2156" s="11" t="str">
        <f t="shared" si="34"/>
        <v>Ver Imagen</v>
      </c>
      <c r="M2156" t="s">
        <v>15</v>
      </c>
    </row>
    <row r="2157" spans="1:13" x14ac:dyDescent="0.25">
      <c r="A2157">
        <v>2156</v>
      </c>
      <c r="B2157" t="s">
        <v>4325</v>
      </c>
      <c r="C2157" s="1">
        <v>37.209554830199998</v>
      </c>
      <c r="D2157" s="1">
        <v>-7.0233207871200003</v>
      </c>
      <c r="E2157" s="3">
        <v>3</v>
      </c>
      <c r="F2157" s="2">
        <v>3</v>
      </c>
      <c r="G2157" s="4">
        <v>3</v>
      </c>
      <c r="H2157" s="13"/>
      <c r="I2157" s="15"/>
      <c r="J2157" s="19">
        <v>3</v>
      </c>
      <c r="K2157" s="2" t="s">
        <v>4326</v>
      </c>
      <c r="L2157" s="11" t="str">
        <f t="shared" si="34"/>
        <v>Ver Imagen</v>
      </c>
      <c r="M2157" t="s">
        <v>15</v>
      </c>
    </row>
    <row r="2158" spans="1:13" x14ac:dyDescent="0.25">
      <c r="A2158">
        <v>2157</v>
      </c>
      <c r="B2158" t="s">
        <v>4327</v>
      </c>
      <c r="C2158" s="1">
        <v>37.2103478051</v>
      </c>
      <c r="D2158" s="1">
        <v>-7.0236290170900002</v>
      </c>
      <c r="E2158" s="3">
        <v>3</v>
      </c>
      <c r="F2158" s="2">
        <v>3</v>
      </c>
      <c r="G2158" s="4">
        <v>3</v>
      </c>
      <c r="H2158" s="13"/>
      <c r="I2158" s="15"/>
      <c r="J2158" s="19">
        <v>3</v>
      </c>
      <c r="K2158" s="2" t="s">
        <v>4328</v>
      </c>
      <c r="L2158" s="11" t="str">
        <f t="shared" si="34"/>
        <v>Ver Imagen</v>
      </c>
      <c r="M2158" t="s">
        <v>15</v>
      </c>
    </row>
    <row r="2159" spans="1:13" x14ac:dyDescent="0.25">
      <c r="A2159">
        <v>2158</v>
      </c>
      <c r="B2159" t="s">
        <v>4329</v>
      </c>
      <c r="C2159" s="1">
        <v>37.210908981199999</v>
      </c>
      <c r="D2159" s="1">
        <v>-7.0237678485000004</v>
      </c>
      <c r="E2159" s="3">
        <v>3</v>
      </c>
      <c r="F2159" s="2">
        <v>3</v>
      </c>
      <c r="G2159" s="4">
        <v>3</v>
      </c>
      <c r="H2159" s="13"/>
      <c r="I2159" s="15"/>
      <c r="J2159" s="19">
        <v>3</v>
      </c>
      <c r="K2159" s="2" t="s">
        <v>4330</v>
      </c>
      <c r="L2159" s="11" t="str">
        <f t="shared" si="34"/>
        <v>Ver Imagen</v>
      </c>
      <c r="M2159" t="s">
        <v>15</v>
      </c>
    </row>
    <row r="2160" spans="1:13" x14ac:dyDescent="0.25">
      <c r="A2160">
        <v>2159</v>
      </c>
      <c r="B2160" t="s">
        <v>4331</v>
      </c>
      <c r="C2160" s="1">
        <v>37.211360957499998</v>
      </c>
      <c r="D2160" s="1">
        <v>-7.02383423709</v>
      </c>
      <c r="E2160" s="3">
        <v>3</v>
      </c>
      <c r="F2160" s="2">
        <v>3</v>
      </c>
      <c r="G2160" s="4">
        <v>3</v>
      </c>
      <c r="H2160" s="13"/>
      <c r="I2160" s="15"/>
      <c r="J2160" s="19">
        <v>3</v>
      </c>
      <c r="K2160" s="2" t="s">
        <v>4332</v>
      </c>
      <c r="L2160" s="11" t="str">
        <f t="shared" si="34"/>
        <v>Ver Imagen</v>
      </c>
      <c r="M2160" t="s">
        <v>15</v>
      </c>
    </row>
    <row r="2161" spans="1:13" x14ac:dyDescent="0.25">
      <c r="A2161">
        <v>2160</v>
      </c>
      <c r="B2161" t="s">
        <v>4333</v>
      </c>
      <c r="C2161" s="1">
        <v>37.211763181000002</v>
      </c>
      <c r="D2161" s="1">
        <v>-7.0238577453</v>
      </c>
      <c r="E2161" s="3">
        <v>3</v>
      </c>
      <c r="F2161" s="2">
        <v>3</v>
      </c>
      <c r="G2161" s="4">
        <v>3</v>
      </c>
      <c r="H2161" s="13"/>
      <c r="I2161" s="15"/>
      <c r="J2161" s="19">
        <v>3</v>
      </c>
      <c r="K2161" s="2" t="s">
        <v>4334</v>
      </c>
      <c r="L2161" s="11" t="str">
        <f t="shared" si="34"/>
        <v>Ver Imagen</v>
      </c>
      <c r="M2161" t="s">
        <v>15</v>
      </c>
    </row>
    <row r="2162" spans="1:13" x14ac:dyDescent="0.25">
      <c r="A2162">
        <v>2161</v>
      </c>
      <c r="B2162" t="s">
        <v>4335</v>
      </c>
      <c r="C2162" s="1">
        <v>37.219391348400002</v>
      </c>
      <c r="D2162" s="1">
        <v>-7.0229497569400001</v>
      </c>
      <c r="E2162" s="3">
        <v>3</v>
      </c>
      <c r="F2162" s="2">
        <v>3</v>
      </c>
      <c r="G2162" s="4">
        <v>3</v>
      </c>
      <c r="H2162" s="13"/>
      <c r="I2162" s="15"/>
      <c r="J2162" s="19">
        <v>3</v>
      </c>
      <c r="K2162" s="2" t="s">
        <v>4336</v>
      </c>
      <c r="L2162" s="11" t="str">
        <f t="shared" si="34"/>
        <v>Ver Imagen</v>
      </c>
      <c r="M2162" t="s">
        <v>15</v>
      </c>
    </row>
    <row r="2163" spans="1:13" x14ac:dyDescent="0.25">
      <c r="A2163">
        <v>2162</v>
      </c>
      <c r="B2163" t="s">
        <v>4337</v>
      </c>
      <c r="C2163" s="1">
        <v>37.219244272899999</v>
      </c>
      <c r="D2163" s="1">
        <v>-7.0229532851399998</v>
      </c>
      <c r="E2163" s="3">
        <v>3</v>
      </c>
      <c r="F2163" s="2">
        <v>3</v>
      </c>
      <c r="G2163" s="4">
        <v>3</v>
      </c>
      <c r="H2163" s="13"/>
      <c r="I2163" s="15"/>
      <c r="J2163" s="19">
        <v>3</v>
      </c>
      <c r="K2163" s="2" t="s">
        <v>4338</v>
      </c>
      <c r="L2163" s="11" t="str">
        <f t="shared" si="34"/>
        <v>Ver Imagen</v>
      </c>
      <c r="M2163" t="s">
        <v>15</v>
      </c>
    </row>
    <row r="2164" spans="1:13" x14ac:dyDescent="0.25">
      <c r="A2164">
        <v>2163</v>
      </c>
      <c r="B2164" t="s">
        <v>4339</v>
      </c>
      <c r="C2164" s="1">
        <v>37.219020950000001</v>
      </c>
      <c r="D2164" s="1">
        <v>-7.0229633014799999</v>
      </c>
      <c r="E2164" s="3">
        <v>3</v>
      </c>
      <c r="F2164" s="2">
        <v>3</v>
      </c>
      <c r="G2164" s="4">
        <v>3</v>
      </c>
      <c r="H2164" s="13"/>
      <c r="I2164" s="15"/>
      <c r="J2164" s="19">
        <v>3</v>
      </c>
      <c r="K2164" s="2" t="s">
        <v>4340</v>
      </c>
      <c r="L2164" s="11" t="str">
        <f t="shared" si="34"/>
        <v>Ver Imagen</v>
      </c>
      <c r="M2164" t="s">
        <v>15</v>
      </c>
    </row>
    <row r="2165" spans="1:13" x14ac:dyDescent="0.25">
      <c r="A2165">
        <v>2164</v>
      </c>
      <c r="B2165" t="s">
        <v>4341</v>
      </c>
      <c r="C2165" s="1">
        <v>37.217827166200003</v>
      </c>
      <c r="D2165" s="1">
        <v>-7.02309512224</v>
      </c>
      <c r="E2165" s="3">
        <v>3</v>
      </c>
      <c r="F2165" s="2">
        <v>3</v>
      </c>
      <c r="G2165" s="4">
        <v>3</v>
      </c>
      <c r="H2165" s="13"/>
      <c r="I2165" s="15"/>
      <c r="J2165" s="19">
        <v>3</v>
      </c>
      <c r="K2165" s="2" t="s">
        <v>4342</v>
      </c>
      <c r="L2165" s="11" t="str">
        <f t="shared" si="34"/>
        <v>Ver Imagen</v>
      </c>
      <c r="M2165" t="s">
        <v>15</v>
      </c>
    </row>
    <row r="2166" spans="1:13" x14ac:dyDescent="0.25">
      <c r="A2166">
        <v>2165</v>
      </c>
      <c r="B2166" t="s">
        <v>4343</v>
      </c>
      <c r="C2166" s="1">
        <v>37.2170025912</v>
      </c>
      <c r="D2166" s="1">
        <v>-7.0232376571500001</v>
      </c>
      <c r="E2166" s="3">
        <v>3</v>
      </c>
      <c r="F2166" s="2">
        <v>3</v>
      </c>
      <c r="G2166" s="4">
        <v>3</v>
      </c>
      <c r="H2166" s="13"/>
      <c r="I2166" s="15"/>
      <c r="J2166" s="19">
        <v>3</v>
      </c>
      <c r="K2166" s="2" t="s">
        <v>4344</v>
      </c>
      <c r="L2166" s="11" t="str">
        <f t="shared" si="34"/>
        <v>Ver Imagen</v>
      </c>
      <c r="M2166" t="s">
        <v>15</v>
      </c>
    </row>
    <row r="2167" spans="1:13" x14ac:dyDescent="0.25">
      <c r="A2167">
        <v>2166</v>
      </c>
      <c r="B2167" t="s">
        <v>4345</v>
      </c>
      <c r="C2167" s="1">
        <v>37.216412132000002</v>
      </c>
      <c r="D2167" s="1">
        <v>-7.0233436758899996</v>
      </c>
      <c r="E2167" s="3">
        <v>3</v>
      </c>
      <c r="F2167" s="2">
        <v>3</v>
      </c>
      <c r="G2167" s="4">
        <v>3</v>
      </c>
      <c r="H2167" s="13"/>
      <c r="I2167" s="15"/>
      <c r="J2167" s="19">
        <v>3</v>
      </c>
      <c r="K2167" s="2" t="s">
        <v>4346</v>
      </c>
      <c r="L2167" s="11" t="str">
        <f t="shared" si="34"/>
        <v>Ver Imagen</v>
      </c>
      <c r="M2167" t="s">
        <v>15</v>
      </c>
    </row>
    <row r="2168" spans="1:13" x14ac:dyDescent="0.25">
      <c r="A2168">
        <v>2167</v>
      </c>
      <c r="B2168" t="s">
        <v>4347</v>
      </c>
      <c r="C2168" s="1">
        <v>37.2155825703</v>
      </c>
      <c r="D2168" s="1">
        <v>-7.02348590198</v>
      </c>
      <c r="E2168" s="3">
        <v>3</v>
      </c>
      <c r="F2168" s="2">
        <v>3</v>
      </c>
      <c r="G2168" s="4">
        <v>3</v>
      </c>
      <c r="H2168" s="13"/>
      <c r="I2168" s="15"/>
      <c r="J2168" s="19">
        <v>3</v>
      </c>
      <c r="K2168" s="2" t="s">
        <v>4348</v>
      </c>
      <c r="L2168" s="11" t="str">
        <f t="shared" si="34"/>
        <v>Ver Imagen</v>
      </c>
      <c r="M2168" t="s">
        <v>15</v>
      </c>
    </row>
    <row r="2169" spans="1:13" x14ac:dyDescent="0.25">
      <c r="A2169">
        <v>2168</v>
      </c>
      <c r="B2169" t="s">
        <v>4349</v>
      </c>
      <c r="C2169" s="1">
        <v>37.215010542000002</v>
      </c>
      <c r="D2169" s="1">
        <v>-7.0235828703400003</v>
      </c>
      <c r="E2169" s="3">
        <v>3</v>
      </c>
      <c r="F2169" s="2">
        <v>3</v>
      </c>
      <c r="G2169" s="4">
        <v>3</v>
      </c>
      <c r="H2169" s="13"/>
      <c r="I2169" s="15"/>
      <c r="J2169" s="19">
        <v>3</v>
      </c>
      <c r="K2169" s="2" t="s">
        <v>4350</v>
      </c>
      <c r="L2169" s="11" t="str">
        <f t="shared" si="34"/>
        <v>Ver Imagen</v>
      </c>
      <c r="M2169" t="s">
        <v>15</v>
      </c>
    </row>
    <row r="2170" spans="1:13" x14ac:dyDescent="0.25">
      <c r="A2170">
        <v>2169</v>
      </c>
      <c r="B2170" t="s">
        <v>4351</v>
      </c>
      <c r="C2170" s="1">
        <v>37.213970077500001</v>
      </c>
      <c r="D2170" s="1">
        <v>-7.0237772466399999</v>
      </c>
      <c r="E2170" s="3">
        <v>3</v>
      </c>
      <c r="F2170" s="2">
        <v>3</v>
      </c>
      <c r="G2170" s="4">
        <v>3</v>
      </c>
      <c r="H2170" s="13"/>
      <c r="I2170" s="15"/>
      <c r="J2170" s="19">
        <v>3</v>
      </c>
      <c r="K2170" s="2" t="s">
        <v>4352</v>
      </c>
      <c r="L2170" s="11" t="str">
        <f t="shared" si="34"/>
        <v>Ver Imagen</v>
      </c>
      <c r="M2170" t="s">
        <v>15</v>
      </c>
    </row>
    <row r="2171" spans="1:13" x14ac:dyDescent="0.25">
      <c r="A2171">
        <v>2170</v>
      </c>
      <c r="B2171" t="s">
        <v>4353</v>
      </c>
      <c r="C2171" s="1">
        <v>37.213799418199997</v>
      </c>
      <c r="D2171" s="1">
        <v>-7.0238079345899997</v>
      </c>
      <c r="E2171" s="3">
        <v>3</v>
      </c>
      <c r="F2171" s="2">
        <v>3</v>
      </c>
      <c r="G2171" s="4">
        <v>3</v>
      </c>
      <c r="H2171" s="13"/>
      <c r="I2171" s="15"/>
      <c r="J2171" s="19">
        <v>3</v>
      </c>
      <c r="K2171" s="2" t="s">
        <v>4354</v>
      </c>
      <c r="L2171" s="11" t="str">
        <f t="shared" si="34"/>
        <v>Ver Imagen</v>
      </c>
      <c r="M2171" t="s">
        <v>15</v>
      </c>
    </row>
    <row r="2172" spans="1:13" x14ac:dyDescent="0.25">
      <c r="A2172">
        <v>2171</v>
      </c>
      <c r="B2172" t="s">
        <v>4355</v>
      </c>
      <c r="C2172" s="1">
        <v>37.2136046659</v>
      </c>
      <c r="D2172" s="1">
        <v>-7.0238421042099999</v>
      </c>
      <c r="E2172" s="3">
        <v>3</v>
      </c>
      <c r="F2172" s="2">
        <v>3</v>
      </c>
      <c r="G2172" s="4">
        <v>3</v>
      </c>
      <c r="H2172" s="13"/>
      <c r="I2172" s="15"/>
      <c r="J2172" s="19">
        <v>3</v>
      </c>
      <c r="K2172" s="2" t="s">
        <v>4356</v>
      </c>
      <c r="L2172" s="11" t="str">
        <f t="shared" si="34"/>
        <v>Ver Imagen</v>
      </c>
      <c r="M2172" t="s">
        <v>15</v>
      </c>
    </row>
    <row r="2173" spans="1:13" x14ac:dyDescent="0.25">
      <c r="A2173">
        <v>2172</v>
      </c>
      <c r="B2173" t="s">
        <v>4357</v>
      </c>
      <c r="C2173" s="1">
        <v>37.212971574999997</v>
      </c>
      <c r="D2173" s="1">
        <v>-7.0239462311800001</v>
      </c>
      <c r="E2173" s="3">
        <v>3</v>
      </c>
      <c r="F2173" s="2">
        <v>3</v>
      </c>
      <c r="G2173" s="4">
        <v>3</v>
      </c>
      <c r="H2173" s="13"/>
      <c r="I2173" s="15"/>
      <c r="J2173" s="19">
        <v>3</v>
      </c>
      <c r="K2173" s="2" t="s">
        <v>4358</v>
      </c>
      <c r="L2173" s="11" t="str">
        <f t="shared" si="34"/>
        <v>Ver Imagen</v>
      </c>
      <c r="M2173" t="s">
        <v>15</v>
      </c>
    </row>
    <row r="2174" spans="1:13" x14ac:dyDescent="0.25">
      <c r="A2174">
        <v>2173</v>
      </c>
      <c r="B2174" t="s">
        <v>4359</v>
      </c>
      <c r="C2174" s="1">
        <v>37.205054679699998</v>
      </c>
      <c r="D2174" s="1">
        <v>-7.0165941200399997</v>
      </c>
      <c r="E2174" s="3">
        <v>3</v>
      </c>
      <c r="F2174" s="2">
        <v>3</v>
      </c>
      <c r="G2174" s="4">
        <v>3</v>
      </c>
      <c r="H2174" s="13"/>
      <c r="I2174" s="15"/>
      <c r="J2174" s="19">
        <v>3</v>
      </c>
      <c r="K2174" s="2" t="s">
        <v>4360</v>
      </c>
      <c r="L2174" s="11" t="str">
        <f t="shared" ref="L2174:L2237" si="35">HYPERLINK("3\0\" &amp; K2174, "Ver Imagen")</f>
        <v>Ver Imagen</v>
      </c>
      <c r="M2174" t="s">
        <v>15</v>
      </c>
    </row>
    <row r="2175" spans="1:13" x14ac:dyDescent="0.25">
      <c r="A2175">
        <v>2174</v>
      </c>
      <c r="B2175" t="s">
        <v>4361</v>
      </c>
      <c r="C2175" s="1">
        <v>37.204949677400002</v>
      </c>
      <c r="D2175" s="1">
        <v>-7.0161099134400002</v>
      </c>
      <c r="E2175" s="3">
        <v>3</v>
      </c>
      <c r="F2175" s="2">
        <v>3</v>
      </c>
      <c r="G2175" s="4">
        <v>3</v>
      </c>
      <c r="H2175" s="13"/>
      <c r="I2175" s="15"/>
      <c r="J2175" s="19">
        <v>3</v>
      </c>
      <c r="K2175" s="2" t="s">
        <v>4362</v>
      </c>
      <c r="L2175" s="11" t="str">
        <f t="shared" si="35"/>
        <v>Ver Imagen</v>
      </c>
      <c r="M2175" t="s">
        <v>15</v>
      </c>
    </row>
    <row r="2176" spans="1:13" x14ac:dyDescent="0.25">
      <c r="A2176">
        <v>2175</v>
      </c>
      <c r="B2176" t="s">
        <v>4363</v>
      </c>
      <c r="C2176" s="1">
        <v>37.204831897699997</v>
      </c>
      <c r="D2176" s="1">
        <v>-7.0155472674199997</v>
      </c>
      <c r="E2176" s="3">
        <v>3</v>
      </c>
      <c r="F2176" s="2">
        <v>3</v>
      </c>
      <c r="G2176" s="4">
        <v>3</v>
      </c>
      <c r="H2176" s="13"/>
      <c r="I2176" s="15"/>
      <c r="J2176" s="19">
        <v>3</v>
      </c>
      <c r="K2176" s="2" t="s">
        <v>4364</v>
      </c>
      <c r="L2176" s="11" t="str">
        <f t="shared" si="35"/>
        <v>Ver Imagen</v>
      </c>
      <c r="M2176" t="s">
        <v>15</v>
      </c>
    </row>
    <row r="2177" spans="1:13" x14ac:dyDescent="0.25">
      <c r="A2177">
        <v>2176</v>
      </c>
      <c r="B2177" t="s">
        <v>4365</v>
      </c>
      <c r="C2177" s="1">
        <v>37.204774362000002</v>
      </c>
      <c r="D2177" s="1">
        <v>-7.0152665500899998</v>
      </c>
      <c r="E2177" s="3">
        <v>3</v>
      </c>
      <c r="F2177" s="2">
        <v>3</v>
      </c>
      <c r="G2177" s="4">
        <v>3</v>
      </c>
      <c r="H2177" s="13"/>
      <c r="I2177" s="15"/>
      <c r="J2177" s="19">
        <v>3</v>
      </c>
      <c r="K2177" s="2" t="s">
        <v>4366</v>
      </c>
      <c r="L2177" s="11" t="str">
        <f t="shared" si="35"/>
        <v>Ver Imagen</v>
      </c>
      <c r="M2177" t="s">
        <v>15</v>
      </c>
    </row>
    <row r="2178" spans="1:13" x14ac:dyDescent="0.25">
      <c r="A2178">
        <v>2177</v>
      </c>
      <c r="B2178" t="s">
        <v>4367</v>
      </c>
      <c r="C2178" s="1">
        <v>37.204724009000003</v>
      </c>
      <c r="D2178" s="1">
        <v>-7.0150167008200004</v>
      </c>
      <c r="E2178" s="3">
        <v>3</v>
      </c>
      <c r="F2178" s="2">
        <v>3</v>
      </c>
      <c r="G2178" s="4">
        <v>3</v>
      </c>
      <c r="H2178" s="13"/>
      <c r="I2178" s="15"/>
      <c r="J2178" s="19">
        <v>3</v>
      </c>
      <c r="K2178" s="2" t="s">
        <v>4368</v>
      </c>
      <c r="L2178" s="11" t="str">
        <f t="shared" si="35"/>
        <v>Ver Imagen</v>
      </c>
      <c r="M2178" t="s">
        <v>15</v>
      </c>
    </row>
    <row r="2179" spans="1:13" x14ac:dyDescent="0.25">
      <c r="A2179">
        <v>2178</v>
      </c>
      <c r="B2179" t="s">
        <v>4369</v>
      </c>
      <c r="C2179" s="1">
        <v>37.204637704</v>
      </c>
      <c r="D2179" s="1">
        <v>-7.0145781989299998</v>
      </c>
      <c r="E2179" s="3">
        <v>3</v>
      </c>
      <c r="F2179" s="2">
        <v>3</v>
      </c>
      <c r="G2179" s="4">
        <v>3</v>
      </c>
      <c r="H2179" s="13"/>
      <c r="I2179" s="15"/>
      <c r="J2179" s="19">
        <v>3</v>
      </c>
      <c r="K2179" s="2" t="s">
        <v>4370</v>
      </c>
      <c r="L2179" s="11" t="str">
        <f t="shared" si="35"/>
        <v>Ver Imagen</v>
      </c>
      <c r="M2179" t="s">
        <v>15</v>
      </c>
    </row>
    <row r="2180" spans="1:13" x14ac:dyDescent="0.25">
      <c r="A2180">
        <v>2179</v>
      </c>
      <c r="B2180" t="s">
        <v>4371</v>
      </c>
      <c r="C2180" s="1">
        <v>37.2044936084</v>
      </c>
      <c r="D2180" s="1">
        <v>-7.0138410952600001</v>
      </c>
      <c r="E2180" s="3">
        <v>3</v>
      </c>
      <c r="F2180" s="2">
        <v>3</v>
      </c>
      <c r="G2180" s="4">
        <v>3</v>
      </c>
      <c r="H2180" s="13"/>
      <c r="I2180" s="15"/>
      <c r="J2180" s="19">
        <v>3</v>
      </c>
      <c r="K2180" s="2" t="s">
        <v>4372</v>
      </c>
      <c r="L2180" s="11" t="str">
        <f t="shared" si="35"/>
        <v>Ver Imagen</v>
      </c>
      <c r="M2180" t="s">
        <v>15</v>
      </c>
    </row>
    <row r="2181" spans="1:13" x14ac:dyDescent="0.25">
      <c r="A2181">
        <v>2180</v>
      </c>
      <c r="B2181" t="s">
        <v>4373</v>
      </c>
      <c r="C2181" s="1">
        <v>37.204202770899997</v>
      </c>
      <c r="D2181" s="1">
        <v>-7.0122706251600002</v>
      </c>
      <c r="E2181" s="3">
        <v>3</v>
      </c>
      <c r="F2181" s="2">
        <v>3</v>
      </c>
      <c r="G2181" s="4">
        <v>3</v>
      </c>
      <c r="H2181" s="13"/>
      <c r="I2181" s="15"/>
      <c r="J2181" s="19">
        <v>3</v>
      </c>
      <c r="K2181" s="2" t="s">
        <v>4374</v>
      </c>
      <c r="L2181" s="11" t="str">
        <f t="shared" si="35"/>
        <v>Ver Imagen</v>
      </c>
      <c r="M2181" t="s">
        <v>15</v>
      </c>
    </row>
    <row r="2182" spans="1:13" x14ac:dyDescent="0.25">
      <c r="A2182">
        <v>2181</v>
      </c>
      <c r="B2182" t="s">
        <v>4375</v>
      </c>
      <c r="C2182" s="1">
        <v>37.204002276099999</v>
      </c>
      <c r="D2182" s="1">
        <v>-7.0111258568699997</v>
      </c>
      <c r="E2182" s="3">
        <v>3</v>
      </c>
      <c r="F2182" s="2">
        <v>3</v>
      </c>
      <c r="G2182" s="4">
        <v>3</v>
      </c>
      <c r="H2182" s="13"/>
      <c r="I2182" s="15"/>
      <c r="J2182" s="19">
        <v>3</v>
      </c>
      <c r="K2182" s="2" t="s">
        <v>4376</v>
      </c>
      <c r="L2182" s="11" t="str">
        <f t="shared" si="35"/>
        <v>Ver Imagen</v>
      </c>
      <c r="M2182" t="s">
        <v>15</v>
      </c>
    </row>
    <row r="2183" spans="1:13" x14ac:dyDescent="0.25">
      <c r="A2183">
        <v>2182</v>
      </c>
      <c r="B2183" t="s">
        <v>4377</v>
      </c>
      <c r="C2183" s="1">
        <v>37.203862821100003</v>
      </c>
      <c r="D2183" s="1">
        <v>-7.0102980619000004</v>
      </c>
      <c r="E2183" s="3">
        <v>3</v>
      </c>
      <c r="F2183" s="2">
        <v>3</v>
      </c>
      <c r="G2183" s="4">
        <v>3</v>
      </c>
      <c r="H2183" s="13"/>
      <c r="I2183" s="15"/>
      <c r="J2183" s="19">
        <v>3</v>
      </c>
      <c r="K2183" s="2" t="s">
        <v>4378</v>
      </c>
      <c r="L2183" s="11" t="str">
        <f t="shared" si="35"/>
        <v>Ver Imagen</v>
      </c>
      <c r="M2183" t="s">
        <v>15</v>
      </c>
    </row>
    <row r="2184" spans="1:13" x14ac:dyDescent="0.25">
      <c r="A2184">
        <v>2183</v>
      </c>
      <c r="B2184" t="s">
        <v>4379</v>
      </c>
      <c r="C2184" s="1">
        <v>37.203820386499999</v>
      </c>
      <c r="D2184" s="1">
        <v>-7.0100458895099997</v>
      </c>
      <c r="E2184" s="3">
        <v>3</v>
      </c>
      <c r="F2184" s="2">
        <v>3</v>
      </c>
      <c r="G2184" s="4">
        <v>3</v>
      </c>
      <c r="H2184" s="13"/>
      <c r="I2184" s="15"/>
      <c r="J2184" s="19">
        <v>3</v>
      </c>
      <c r="K2184" s="2" t="s">
        <v>4380</v>
      </c>
      <c r="L2184" s="11" t="str">
        <f t="shared" si="35"/>
        <v>Ver Imagen</v>
      </c>
      <c r="M2184" t="s">
        <v>15</v>
      </c>
    </row>
    <row r="2185" spans="1:13" x14ac:dyDescent="0.25">
      <c r="A2185">
        <v>2184</v>
      </c>
      <c r="B2185" t="s">
        <v>4381</v>
      </c>
      <c r="C2185" s="1">
        <v>37.203784822999999</v>
      </c>
      <c r="D2185" s="1">
        <v>-7.0098316147300004</v>
      </c>
      <c r="E2185" s="3">
        <v>3</v>
      </c>
      <c r="F2185" s="2">
        <v>3</v>
      </c>
      <c r="G2185" s="4">
        <v>3</v>
      </c>
      <c r="H2185" s="13"/>
      <c r="I2185" s="15"/>
      <c r="J2185" s="19">
        <v>3</v>
      </c>
      <c r="K2185" s="2" t="s">
        <v>4382</v>
      </c>
      <c r="L2185" s="11" t="str">
        <f t="shared" si="35"/>
        <v>Ver Imagen</v>
      </c>
      <c r="M2185" t="s">
        <v>15</v>
      </c>
    </row>
    <row r="2186" spans="1:13" x14ac:dyDescent="0.25">
      <c r="A2186">
        <v>2185</v>
      </c>
      <c r="B2186" t="s">
        <v>4383</v>
      </c>
      <c r="C2186" s="1">
        <v>37.203706498300001</v>
      </c>
      <c r="D2186" s="1">
        <v>-7.0093476665000001</v>
      </c>
      <c r="E2186" s="3">
        <v>3</v>
      </c>
      <c r="F2186" s="2">
        <v>3</v>
      </c>
      <c r="G2186" s="4">
        <v>3</v>
      </c>
      <c r="H2186" s="13"/>
      <c r="I2186" s="15"/>
      <c r="J2186" s="19">
        <v>3</v>
      </c>
      <c r="K2186" s="2" t="s">
        <v>4384</v>
      </c>
      <c r="L2186" s="11" t="str">
        <f t="shared" si="35"/>
        <v>Ver Imagen</v>
      </c>
      <c r="M2186" t="s">
        <v>15</v>
      </c>
    </row>
    <row r="2187" spans="1:13" x14ac:dyDescent="0.25">
      <c r="A2187">
        <v>2186</v>
      </c>
      <c r="B2187" t="s">
        <v>4385</v>
      </c>
      <c r="C2187" s="1">
        <v>37.203661897000003</v>
      </c>
      <c r="D2187" s="1">
        <v>-7.0090616456300001</v>
      </c>
      <c r="E2187" s="3">
        <v>3</v>
      </c>
      <c r="F2187" s="2">
        <v>3</v>
      </c>
      <c r="G2187" s="4">
        <v>3</v>
      </c>
      <c r="H2187" s="13"/>
      <c r="I2187" s="15"/>
      <c r="J2187" s="19">
        <v>3</v>
      </c>
      <c r="K2187" s="2" t="s">
        <v>4386</v>
      </c>
      <c r="L2187" s="11" t="str">
        <f t="shared" si="35"/>
        <v>Ver Imagen</v>
      </c>
      <c r="M2187" t="s">
        <v>15</v>
      </c>
    </row>
    <row r="2188" spans="1:13" x14ac:dyDescent="0.25">
      <c r="A2188">
        <v>2187</v>
      </c>
      <c r="B2188" t="s">
        <v>4387</v>
      </c>
      <c r="C2188" s="1">
        <v>37.2034084951</v>
      </c>
      <c r="D2188" s="1">
        <v>-7.0073531357799999</v>
      </c>
      <c r="E2188" s="3">
        <v>3</v>
      </c>
      <c r="F2188" s="2">
        <v>3</v>
      </c>
      <c r="G2188" s="4">
        <v>3</v>
      </c>
      <c r="H2188" s="13"/>
      <c r="I2188" s="15"/>
      <c r="J2188" s="19">
        <v>3</v>
      </c>
      <c r="K2188" s="2" t="s">
        <v>4388</v>
      </c>
      <c r="L2188" s="11" t="str">
        <f t="shared" si="35"/>
        <v>Ver Imagen</v>
      </c>
      <c r="M2188" t="s">
        <v>15</v>
      </c>
    </row>
    <row r="2189" spans="1:13" x14ac:dyDescent="0.25">
      <c r="A2189">
        <v>2188</v>
      </c>
      <c r="B2189" t="s">
        <v>4389</v>
      </c>
      <c r="C2189" s="1">
        <v>37.203334809899999</v>
      </c>
      <c r="D2189" s="1">
        <v>-7.0068215173599997</v>
      </c>
      <c r="E2189" s="3">
        <v>3</v>
      </c>
      <c r="F2189" s="2">
        <v>3</v>
      </c>
      <c r="G2189" s="4">
        <v>3</v>
      </c>
      <c r="H2189" s="13"/>
      <c r="I2189" s="15"/>
      <c r="J2189" s="19">
        <v>3</v>
      </c>
      <c r="K2189" s="2" t="s">
        <v>4390</v>
      </c>
      <c r="L2189" s="11" t="str">
        <f t="shared" si="35"/>
        <v>Ver Imagen</v>
      </c>
      <c r="M2189" t="s">
        <v>15</v>
      </c>
    </row>
    <row r="2190" spans="1:13" x14ac:dyDescent="0.25">
      <c r="A2190">
        <v>2189</v>
      </c>
      <c r="B2190" t="s">
        <v>4391</v>
      </c>
      <c r="C2190" s="1">
        <v>37.203304965100003</v>
      </c>
      <c r="D2190" s="1">
        <v>-7.0065959806200002</v>
      </c>
      <c r="E2190" s="3">
        <v>3</v>
      </c>
      <c r="F2190" s="2">
        <v>3</v>
      </c>
      <c r="G2190" s="4">
        <v>3</v>
      </c>
      <c r="H2190" s="13"/>
      <c r="I2190" s="15"/>
      <c r="J2190" s="19">
        <v>3</v>
      </c>
      <c r="K2190" s="2" t="s">
        <v>4392</v>
      </c>
      <c r="L2190" s="11" t="str">
        <f t="shared" si="35"/>
        <v>Ver Imagen</v>
      </c>
      <c r="M2190" t="s">
        <v>15</v>
      </c>
    </row>
    <row r="2191" spans="1:13" x14ac:dyDescent="0.25">
      <c r="A2191">
        <v>2190</v>
      </c>
      <c r="B2191" t="s">
        <v>4393</v>
      </c>
      <c r="C2191" s="1">
        <v>37.203268267200002</v>
      </c>
      <c r="D2191" s="1">
        <v>-7.0063186432100002</v>
      </c>
      <c r="E2191" s="3">
        <v>3</v>
      </c>
      <c r="F2191" s="2">
        <v>3</v>
      </c>
      <c r="G2191" s="4">
        <v>3</v>
      </c>
      <c r="H2191" s="13"/>
      <c r="I2191" s="15"/>
      <c r="J2191" s="19">
        <v>3</v>
      </c>
      <c r="K2191" s="2" t="s">
        <v>4394</v>
      </c>
      <c r="L2191" s="11" t="str">
        <f t="shared" si="35"/>
        <v>Ver Imagen</v>
      </c>
      <c r="M2191" t="s">
        <v>15</v>
      </c>
    </row>
    <row r="2192" spans="1:13" x14ac:dyDescent="0.25">
      <c r="A2192">
        <v>2191</v>
      </c>
      <c r="B2192" t="s">
        <v>4395</v>
      </c>
      <c r="C2192" s="1">
        <v>37.203242091299998</v>
      </c>
      <c r="D2192" s="1">
        <v>-7.0061255267</v>
      </c>
      <c r="E2192" s="3">
        <v>3</v>
      </c>
      <c r="F2192" s="2">
        <v>3</v>
      </c>
      <c r="G2192" s="4">
        <v>3</v>
      </c>
      <c r="H2192" s="13"/>
      <c r="I2192" s="15"/>
      <c r="J2192" s="19">
        <v>3</v>
      </c>
      <c r="K2192" s="2" t="s">
        <v>4396</v>
      </c>
      <c r="L2192" s="11" t="str">
        <f t="shared" si="35"/>
        <v>Ver Imagen</v>
      </c>
      <c r="M2192" t="s">
        <v>15</v>
      </c>
    </row>
    <row r="2193" spans="1:13" x14ac:dyDescent="0.25">
      <c r="A2193">
        <v>2192</v>
      </c>
      <c r="B2193" t="s">
        <v>4397</v>
      </c>
      <c r="C2193" s="1">
        <v>37.203135371599998</v>
      </c>
      <c r="D2193" s="1">
        <v>-7.0053429283900002</v>
      </c>
      <c r="E2193" s="3">
        <v>3</v>
      </c>
      <c r="F2193" s="2">
        <v>3</v>
      </c>
      <c r="G2193" s="4">
        <v>3</v>
      </c>
      <c r="H2193" s="13"/>
      <c r="I2193" s="15"/>
      <c r="J2193" s="19">
        <v>3</v>
      </c>
      <c r="K2193" s="2" t="s">
        <v>4398</v>
      </c>
      <c r="L2193" s="11" t="str">
        <f t="shared" si="35"/>
        <v>Ver Imagen</v>
      </c>
      <c r="M2193" t="s">
        <v>15</v>
      </c>
    </row>
    <row r="2194" spans="1:13" x14ac:dyDescent="0.25">
      <c r="A2194">
        <v>2193</v>
      </c>
      <c r="B2194" t="s">
        <v>4399</v>
      </c>
      <c r="C2194" s="1">
        <v>37.203107306699998</v>
      </c>
      <c r="D2194" s="1">
        <v>-7.0051307236299998</v>
      </c>
      <c r="E2194" s="3">
        <v>3</v>
      </c>
      <c r="F2194" s="2">
        <v>3</v>
      </c>
      <c r="G2194" s="4">
        <v>3</v>
      </c>
      <c r="H2194" s="13"/>
      <c r="I2194" s="15"/>
      <c r="J2194" s="19">
        <v>3</v>
      </c>
      <c r="K2194" s="2" t="s">
        <v>4400</v>
      </c>
      <c r="L2194" s="11" t="str">
        <f t="shared" si="35"/>
        <v>Ver Imagen</v>
      </c>
      <c r="M2194" t="s">
        <v>15</v>
      </c>
    </row>
    <row r="2195" spans="1:13" x14ac:dyDescent="0.25">
      <c r="A2195">
        <v>2194</v>
      </c>
      <c r="B2195" t="s">
        <v>4401</v>
      </c>
      <c r="C2195" s="1">
        <v>37.203043777200001</v>
      </c>
      <c r="D2195" s="1">
        <v>-7.0046265490100001</v>
      </c>
      <c r="E2195" s="3">
        <v>3</v>
      </c>
      <c r="F2195" s="2">
        <v>3</v>
      </c>
      <c r="G2195" s="4">
        <v>3</v>
      </c>
      <c r="H2195" s="13"/>
      <c r="I2195" s="15"/>
      <c r="J2195" s="19">
        <v>3</v>
      </c>
      <c r="K2195" s="2" t="s">
        <v>4402</v>
      </c>
      <c r="L2195" s="11" t="str">
        <f t="shared" si="35"/>
        <v>Ver Imagen</v>
      </c>
      <c r="M2195" t="s">
        <v>15</v>
      </c>
    </row>
    <row r="2196" spans="1:13" x14ac:dyDescent="0.25">
      <c r="A2196">
        <v>2195</v>
      </c>
      <c r="B2196" t="s">
        <v>4403</v>
      </c>
      <c r="C2196" s="1">
        <v>37.203009809999998</v>
      </c>
      <c r="D2196" s="1">
        <v>-7.0043459166700002</v>
      </c>
      <c r="E2196" s="3">
        <v>3</v>
      </c>
      <c r="F2196" s="2">
        <v>3</v>
      </c>
      <c r="G2196" s="4">
        <v>3</v>
      </c>
      <c r="H2196" s="13"/>
      <c r="I2196" s="15"/>
      <c r="J2196" s="19">
        <v>3</v>
      </c>
      <c r="K2196" s="2" t="s">
        <v>4404</v>
      </c>
      <c r="L2196" s="11" t="str">
        <f t="shared" si="35"/>
        <v>Ver Imagen</v>
      </c>
      <c r="M2196" t="s">
        <v>15</v>
      </c>
    </row>
    <row r="2197" spans="1:13" x14ac:dyDescent="0.25">
      <c r="A2197">
        <v>2196</v>
      </c>
      <c r="B2197" t="s">
        <v>4405</v>
      </c>
      <c r="C2197" s="1">
        <v>37.2029290949</v>
      </c>
      <c r="D2197" s="1">
        <v>-7.0036279322099997</v>
      </c>
      <c r="E2197" s="3">
        <v>3</v>
      </c>
      <c r="F2197" s="2">
        <v>3</v>
      </c>
      <c r="G2197" s="4">
        <v>3</v>
      </c>
      <c r="H2197" s="13"/>
      <c r="I2197" s="15"/>
      <c r="J2197" s="19">
        <v>3</v>
      </c>
      <c r="K2197" s="2" t="s">
        <v>4406</v>
      </c>
      <c r="L2197" s="11" t="str">
        <f t="shared" si="35"/>
        <v>Ver Imagen</v>
      </c>
      <c r="M2197" t="s">
        <v>15</v>
      </c>
    </row>
    <row r="2198" spans="1:13" x14ac:dyDescent="0.25">
      <c r="A2198">
        <v>2197</v>
      </c>
      <c r="B2198" t="s">
        <v>4407</v>
      </c>
      <c r="C2198" s="1">
        <v>37.202900967799998</v>
      </c>
      <c r="D2198" s="1">
        <v>-7.0033696822599998</v>
      </c>
      <c r="E2198" s="3">
        <v>3</v>
      </c>
      <c r="F2198" s="2">
        <v>3</v>
      </c>
      <c r="G2198" s="4">
        <v>3</v>
      </c>
      <c r="H2198" s="13"/>
      <c r="I2198" s="15"/>
      <c r="J2198" s="19">
        <v>3</v>
      </c>
      <c r="K2198" s="2" t="s">
        <v>4408</v>
      </c>
      <c r="L2198" s="11" t="str">
        <f t="shared" si="35"/>
        <v>Ver Imagen</v>
      </c>
      <c r="M2198" t="s">
        <v>15</v>
      </c>
    </row>
    <row r="2199" spans="1:13" x14ac:dyDescent="0.25">
      <c r="A2199">
        <v>2198</v>
      </c>
      <c r="B2199" t="s">
        <v>4409</v>
      </c>
      <c r="C2199" s="1">
        <v>37.202840706899998</v>
      </c>
      <c r="D2199" s="1">
        <v>-7.0028206389000003</v>
      </c>
      <c r="E2199" s="3">
        <v>3</v>
      </c>
      <c r="F2199" s="2">
        <v>3</v>
      </c>
      <c r="G2199" s="4">
        <v>3</v>
      </c>
      <c r="H2199" s="13"/>
      <c r="I2199" s="15"/>
      <c r="J2199" s="19">
        <v>3</v>
      </c>
      <c r="K2199" s="2" t="s">
        <v>4410</v>
      </c>
      <c r="L2199" s="11" t="str">
        <f t="shared" si="35"/>
        <v>Ver Imagen</v>
      </c>
      <c r="M2199" t="s">
        <v>15</v>
      </c>
    </row>
    <row r="2200" spans="1:13" x14ac:dyDescent="0.25">
      <c r="A2200">
        <v>2199</v>
      </c>
      <c r="B2200" t="s">
        <v>4411</v>
      </c>
      <c r="C2200" s="1">
        <v>37.202790724899998</v>
      </c>
      <c r="D2200" s="1">
        <v>-7.0023770780100003</v>
      </c>
      <c r="E2200" s="3">
        <v>3</v>
      </c>
      <c r="F2200" s="2">
        <v>3</v>
      </c>
      <c r="G2200" s="4">
        <v>3</v>
      </c>
      <c r="H2200" s="13"/>
      <c r="I2200" s="15"/>
      <c r="J2200" s="19">
        <v>3</v>
      </c>
      <c r="K2200" s="2" t="s">
        <v>4412</v>
      </c>
      <c r="L2200" s="11" t="str">
        <f t="shared" si="35"/>
        <v>Ver Imagen</v>
      </c>
      <c r="M2200" t="s">
        <v>15</v>
      </c>
    </row>
    <row r="2201" spans="1:13" x14ac:dyDescent="0.25">
      <c r="A2201">
        <v>2200</v>
      </c>
      <c r="B2201" t="s">
        <v>4413</v>
      </c>
      <c r="C2201" s="1">
        <v>37.202765262200003</v>
      </c>
      <c r="D2201" s="1">
        <v>-7.0021528046599997</v>
      </c>
      <c r="E2201" s="3">
        <v>3</v>
      </c>
      <c r="F2201" s="2">
        <v>3</v>
      </c>
      <c r="G2201" s="4">
        <v>3</v>
      </c>
      <c r="H2201" s="13"/>
      <c r="I2201" s="15"/>
      <c r="J2201" s="19">
        <v>3</v>
      </c>
      <c r="K2201" s="2" t="s">
        <v>4414</v>
      </c>
      <c r="L2201" s="11" t="str">
        <f t="shared" si="35"/>
        <v>Ver Imagen</v>
      </c>
      <c r="M2201" t="s">
        <v>15</v>
      </c>
    </row>
    <row r="2202" spans="1:13" x14ac:dyDescent="0.25">
      <c r="A2202">
        <v>2201</v>
      </c>
      <c r="B2202" t="s">
        <v>4415</v>
      </c>
      <c r="C2202" s="1">
        <v>37.202641000600003</v>
      </c>
      <c r="D2202" s="1">
        <v>-7.0010713634500004</v>
      </c>
      <c r="E2202" s="3">
        <v>3</v>
      </c>
      <c r="F2202" s="2">
        <v>3</v>
      </c>
      <c r="G2202" s="4">
        <v>3</v>
      </c>
      <c r="H2202" s="13"/>
      <c r="I2202" s="15"/>
      <c r="J2202" s="19">
        <v>3</v>
      </c>
      <c r="K2202" s="2" t="s">
        <v>4416</v>
      </c>
      <c r="L2202" s="11" t="str">
        <f t="shared" si="35"/>
        <v>Ver Imagen</v>
      </c>
      <c r="M2202" t="s">
        <v>15</v>
      </c>
    </row>
    <row r="2203" spans="1:13" x14ac:dyDescent="0.25">
      <c r="A2203">
        <v>2202</v>
      </c>
      <c r="B2203" t="s">
        <v>4417</v>
      </c>
      <c r="C2203" s="1">
        <v>37.202612151499999</v>
      </c>
      <c r="D2203" s="1">
        <v>-7.0008369748100003</v>
      </c>
      <c r="E2203" s="3">
        <v>3</v>
      </c>
      <c r="F2203" s="2">
        <v>3</v>
      </c>
      <c r="G2203" s="4">
        <v>3</v>
      </c>
      <c r="H2203" s="13"/>
      <c r="I2203" s="15"/>
      <c r="J2203" s="19">
        <v>3</v>
      </c>
      <c r="K2203" s="2" t="s">
        <v>4418</v>
      </c>
      <c r="L2203" s="11" t="str">
        <f t="shared" si="35"/>
        <v>Ver Imagen</v>
      </c>
      <c r="M2203" t="s">
        <v>15</v>
      </c>
    </row>
    <row r="2204" spans="1:13" x14ac:dyDescent="0.25">
      <c r="A2204">
        <v>2203</v>
      </c>
      <c r="B2204" t="s">
        <v>4419</v>
      </c>
      <c r="C2204" s="1">
        <v>37.202582056600001</v>
      </c>
      <c r="D2204" s="1">
        <v>-7.0005987322400003</v>
      </c>
      <c r="E2204" s="3">
        <v>3</v>
      </c>
      <c r="F2204" s="2">
        <v>3</v>
      </c>
      <c r="G2204" s="4">
        <v>3</v>
      </c>
      <c r="H2204" s="13"/>
      <c r="I2204" s="15"/>
      <c r="J2204" s="19">
        <v>3</v>
      </c>
      <c r="K2204" s="2" t="s">
        <v>4420</v>
      </c>
      <c r="L2204" s="11" t="str">
        <f t="shared" si="35"/>
        <v>Ver Imagen</v>
      </c>
      <c r="M2204" t="s">
        <v>15</v>
      </c>
    </row>
    <row r="2205" spans="1:13" x14ac:dyDescent="0.25">
      <c r="A2205">
        <v>2204</v>
      </c>
      <c r="B2205" t="s">
        <v>4421</v>
      </c>
      <c r="C2205" s="1">
        <v>37.202513973000002</v>
      </c>
      <c r="D2205" s="1">
        <v>-7.0000701941700001</v>
      </c>
      <c r="E2205" s="3">
        <v>3</v>
      </c>
      <c r="F2205" s="2">
        <v>3</v>
      </c>
      <c r="G2205" s="4">
        <v>3</v>
      </c>
      <c r="H2205" s="13"/>
      <c r="I2205" s="15"/>
      <c r="J2205" s="19">
        <v>3</v>
      </c>
      <c r="K2205" s="2" t="s">
        <v>4422</v>
      </c>
      <c r="L2205" s="11" t="str">
        <f t="shared" si="35"/>
        <v>Ver Imagen</v>
      </c>
      <c r="M2205" t="s">
        <v>15</v>
      </c>
    </row>
    <row r="2206" spans="1:13" x14ac:dyDescent="0.25">
      <c r="A2206">
        <v>2205</v>
      </c>
      <c r="B2206" t="s">
        <v>4423</v>
      </c>
      <c r="C2206" s="1">
        <v>37.202414984800001</v>
      </c>
      <c r="D2206" s="1">
        <v>-6.9992984630799997</v>
      </c>
      <c r="E2206" s="3">
        <v>3</v>
      </c>
      <c r="F2206" s="2">
        <v>3</v>
      </c>
      <c r="G2206" s="4">
        <v>3</v>
      </c>
      <c r="H2206" s="13"/>
      <c r="I2206" s="15"/>
      <c r="J2206" s="19">
        <v>3</v>
      </c>
      <c r="K2206" s="2" t="s">
        <v>4424</v>
      </c>
      <c r="L2206" s="11" t="str">
        <f t="shared" si="35"/>
        <v>Ver Imagen</v>
      </c>
      <c r="M2206" t="s">
        <v>15</v>
      </c>
    </row>
    <row r="2207" spans="1:13" x14ac:dyDescent="0.25">
      <c r="A2207">
        <v>2206</v>
      </c>
      <c r="B2207" t="s">
        <v>4425</v>
      </c>
      <c r="C2207" s="1">
        <v>37.202382825800001</v>
      </c>
      <c r="D2207" s="1">
        <v>-6.9990519814700001</v>
      </c>
      <c r="E2207" s="3">
        <v>3</v>
      </c>
      <c r="F2207" s="2">
        <v>3</v>
      </c>
      <c r="G2207" s="4">
        <v>3</v>
      </c>
      <c r="H2207" s="13"/>
      <c r="I2207" s="15"/>
      <c r="J2207" s="19">
        <v>3</v>
      </c>
      <c r="K2207" s="2" t="s">
        <v>4426</v>
      </c>
      <c r="L2207" s="11" t="str">
        <f t="shared" si="35"/>
        <v>Ver Imagen</v>
      </c>
      <c r="M2207" t="s">
        <v>15</v>
      </c>
    </row>
    <row r="2208" spans="1:13" x14ac:dyDescent="0.25">
      <c r="A2208">
        <v>2207</v>
      </c>
      <c r="B2208" t="s">
        <v>4427</v>
      </c>
      <c r="C2208" s="1">
        <v>37.2023507854</v>
      </c>
      <c r="D2208" s="1">
        <v>-6.9988198536399997</v>
      </c>
      <c r="E2208" s="3">
        <v>3</v>
      </c>
      <c r="F2208" s="2">
        <v>3</v>
      </c>
      <c r="G2208" s="4">
        <v>3</v>
      </c>
      <c r="H2208" s="13"/>
      <c r="I2208" s="15"/>
      <c r="J2208" s="19">
        <v>3</v>
      </c>
      <c r="K2208" s="2" t="s">
        <v>4428</v>
      </c>
      <c r="L2208" s="11" t="str">
        <f t="shared" si="35"/>
        <v>Ver Imagen</v>
      </c>
      <c r="M2208" t="s">
        <v>15</v>
      </c>
    </row>
    <row r="2209" spans="1:13" x14ac:dyDescent="0.25">
      <c r="A2209">
        <v>2208</v>
      </c>
      <c r="B2209" t="s">
        <v>4429</v>
      </c>
      <c r="C2209" s="1">
        <v>37.202310310500003</v>
      </c>
      <c r="D2209" s="1">
        <v>-6.9985379028399999</v>
      </c>
      <c r="E2209" s="3">
        <v>3</v>
      </c>
      <c r="F2209" s="2">
        <v>3</v>
      </c>
      <c r="G2209" s="4">
        <v>3</v>
      </c>
      <c r="H2209" s="13"/>
      <c r="I2209" s="15"/>
      <c r="J2209" s="19">
        <v>3</v>
      </c>
      <c r="K2209" s="2" t="s">
        <v>4430</v>
      </c>
      <c r="L2209" s="11" t="str">
        <f t="shared" si="35"/>
        <v>Ver Imagen</v>
      </c>
      <c r="M2209" t="s">
        <v>15</v>
      </c>
    </row>
    <row r="2210" spans="1:13" x14ac:dyDescent="0.25">
      <c r="A2210">
        <v>2209</v>
      </c>
      <c r="B2210" t="s">
        <v>4431</v>
      </c>
      <c r="C2210" s="1">
        <v>37.202277423600002</v>
      </c>
      <c r="D2210" s="1">
        <v>-6.9983122598199996</v>
      </c>
      <c r="E2210" s="3">
        <v>3</v>
      </c>
      <c r="F2210" s="2">
        <v>3</v>
      </c>
      <c r="G2210" s="4">
        <v>3</v>
      </c>
      <c r="H2210" s="13"/>
      <c r="I2210" s="15"/>
      <c r="J2210" s="19">
        <v>3</v>
      </c>
      <c r="K2210" s="2" t="s">
        <v>4432</v>
      </c>
      <c r="L2210" s="11" t="str">
        <f t="shared" si="35"/>
        <v>Ver Imagen</v>
      </c>
      <c r="M2210" t="s">
        <v>15</v>
      </c>
    </row>
    <row r="2211" spans="1:13" x14ac:dyDescent="0.25">
      <c r="A2211">
        <v>2210</v>
      </c>
      <c r="B2211" t="s">
        <v>4433</v>
      </c>
      <c r="C2211" s="1">
        <v>37.202206518200001</v>
      </c>
      <c r="D2211" s="1">
        <v>-6.9978272802900001</v>
      </c>
      <c r="E2211" s="3">
        <v>3</v>
      </c>
      <c r="F2211" s="2">
        <v>3</v>
      </c>
      <c r="G2211" s="4">
        <v>3</v>
      </c>
      <c r="H2211" s="13"/>
      <c r="I2211" s="15"/>
      <c r="J2211" s="19">
        <v>3</v>
      </c>
      <c r="K2211" s="2" t="s">
        <v>4434</v>
      </c>
      <c r="L2211" s="11" t="str">
        <f t="shared" si="35"/>
        <v>Ver Imagen</v>
      </c>
      <c r="M2211" t="s">
        <v>15</v>
      </c>
    </row>
    <row r="2212" spans="1:13" x14ac:dyDescent="0.25">
      <c r="A2212">
        <v>2211</v>
      </c>
      <c r="B2212" t="s">
        <v>4435</v>
      </c>
      <c r="C2212" s="1">
        <v>37.202133552500001</v>
      </c>
      <c r="D2212" s="1">
        <v>-6.9973306106699997</v>
      </c>
      <c r="E2212" s="3">
        <v>3</v>
      </c>
      <c r="F2212" s="2">
        <v>3</v>
      </c>
      <c r="G2212" s="4">
        <v>3</v>
      </c>
      <c r="H2212" s="13"/>
      <c r="I2212" s="15"/>
      <c r="J2212" s="19">
        <v>3</v>
      </c>
      <c r="K2212" s="2" t="s">
        <v>4436</v>
      </c>
      <c r="L2212" s="11" t="str">
        <f t="shared" si="35"/>
        <v>Ver Imagen</v>
      </c>
      <c r="M2212" t="s">
        <v>15</v>
      </c>
    </row>
    <row r="2213" spans="1:13" x14ac:dyDescent="0.25">
      <c r="A2213">
        <v>2212</v>
      </c>
      <c r="B2213" t="s">
        <v>4437</v>
      </c>
      <c r="C2213" s="1">
        <v>37.202093076799997</v>
      </c>
      <c r="D2213" s="1">
        <v>-6.9970584063199999</v>
      </c>
      <c r="E2213" s="3">
        <v>3</v>
      </c>
      <c r="F2213" s="2">
        <v>3</v>
      </c>
      <c r="G2213" s="4">
        <v>3</v>
      </c>
      <c r="H2213" s="13"/>
      <c r="I2213" s="15"/>
      <c r="J2213" s="19">
        <v>3</v>
      </c>
      <c r="K2213" s="2" t="s">
        <v>4438</v>
      </c>
      <c r="L2213" s="11" t="str">
        <f t="shared" si="35"/>
        <v>Ver Imagen</v>
      </c>
      <c r="M2213" t="s">
        <v>15</v>
      </c>
    </row>
    <row r="2214" spans="1:13" x14ac:dyDescent="0.25">
      <c r="A2214">
        <v>2213</v>
      </c>
      <c r="B2214" t="s">
        <v>4439</v>
      </c>
      <c r="C2214" s="1">
        <v>37.202018187699998</v>
      </c>
      <c r="D2214" s="1">
        <v>-6.9965670268400002</v>
      </c>
      <c r="E2214" s="3">
        <v>3</v>
      </c>
      <c r="F2214" s="2">
        <v>3</v>
      </c>
      <c r="G2214" s="4">
        <v>3</v>
      </c>
      <c r="H2214" s="13"/>
      <c r="I2214" s="15"/>
      <c r="J2214" s="19">
        <v>3</v>
      </c>
      <c r="K2214" s="2" t="s">
        <v>4440</v>
      </c>
      <c r="L2214" s="11" t="str">
        <f t="shared" si="35"/>
        <v>Ver Imagen</v>
      </c>
      <c r="M2214" t="s">
        <v>15</v>
      </c>
    </row>
    <row r="2215" spans="1:13" x14ac:dyDescent="0.25">
      <c r="A2215">
        <v>2214</v>
      </c>
      <c r="B2215" t="s">
        <v>4441</v>
      </c>
      <c r="C2215" s="1">
        <v>37.201979744299997</v>
      </c>
      <c r="D2215" s="1">
        <v>-6.9963245273999997</v>
      </c>
      <c r="E2215" s="3">
        <v>3</v>
      </c>
      <c r="F2215" s="2">
        <v>3</v>
      </c>
      <c r="G2215" s="4">
        <v>3</v>
      </c>
      <c r="H2215" s="13"/>
      <c r="I2215" s="15"/>
      <c r="J2215" s="19">
        <v>3</v>
      </c>
      <c r="K2215" s="2" t="s">
        <v>4442</v>
      </c>
      <c r="L2215" s="11" t="str">
        <f t="shared" si="35"/>
        <v>Ver Imagen</v>
      </c>
      <c r="M2215" t="s">
        <v>15</v>
      </c>
    </row>
    <row r="2216" spans="1:13" x14ac:dyDescent="0.25">
      <c r="A2216">
        <v>2215</v>
      </c>
      <c r="B2216" t="s">
        <v>4443</v>
      </c>
      <c r="C2216" s="1">
        <v>37.229533546500001</v>
      </c>
      <c r="D2216" s="1">
        <v>-7.0206130376600004</v>
      </c>
      <c r="E2216" s="3">
        <v>3</v>
      </c>
      <c r="F2216" s="2">
        <v>3</v>
      </c>
      <c r="G2216" s="4">
        <v>3</v>
      </c>
      <c r="H2216" s="13"/>
      <c r="I2216" s="15"/>
      <c r="J2216" s="19">
        <v>3</v>
      </c>
      <c r="K2216" s="2" t="s">
        <v>4444</v>
      </c>
      <c r="L2216" s="11" t="str">
        <f t="shared" si="35"/>
        <v>Ver Imagen</v>
      </c>
      <c r="M2216" t="s">
        <v>15</v>
      </c>
    </row>
    <row r="2217" spans="1:13" x14ac:dyDescent="0.25">
      <c r="A2217">
        <v>2216</v>
      </c>
      <c r="B2217" t="s">
        <v>4445</v>
      </c>
      <c r="C2217" s="1">
        <v>37.231426945800003</v>
      </c>
      <c r="D2217" s="1">
        <v>-7.0191631107700001</v>
      </c>
      <c r="E2217" s="3">
        <v>3</v>
      </c>
      <c r="F2217" s="2">
        <v>3</v>
      </c>
      <c r="G2217" s="4">
        <v>3</v>
      </c>
      <c r="H2217" s="13"/>
      <c r="I2217" s="15"/>
      <c r="J2217" s="19">
        <v>3</v>
      </c>
      <c r="K2217" s="2" t="s">
        <v>4446</v>
      </c>
      <c r="L2217" s="11" t="str">
        <f t="shared" si="35"/>
        <v>Ver Imagen</v>
      </c>
      <c r="M2217" t="s">
        <v>15</v>
      </c>
    </row>
    <row r="2218" spans="1:13" x14ac:dyDescent="0.25">
      <c r="A2218">
        <v>2217</v>
      </c>
      <c r="B2218" t="s">
        <v>4447</v>
      </c>
      <c r="C2218" s="1">
        <v>37.231990244899997</v>
      </c>
      <c r="D2218" s="1">
        <v>-7.0187449967999997</v>
      </c>
      <c r="E2218" s="3">
        <v>3</v>
      </c>
      <c r="F2218" s="2">
        <v>3</v>
      </c>
      <c r="G2218" s="4">
        <v>3</v>
      </c>
      <c r="H2218" s="13"/>
      <c r="I2218" s="15"/>
      <c r="J2218" s="19">
        <v>3</v>
      </c>
      <c r="K2218" s="2" t="s">
        <v>4448</v>
      </c>
      <c r="L2218" s="11" t="str">
        <f t="shared" si="35"/>
        <v>Ver Imagen</v>
      </c>
      <c r="M2218" t="s">
        <v>15</v>
      </c>
    </row>
    <row r="2219" spans="1:13" x14ac:dyDescent="0.25">
      <c r="A2219">
        <v>2218</v>
      </c>
      <c r="B2219" t="s">
        <v>4449</v>
      </c>
      <c r="C2219" s="1">
        <v>37.232703100099997</v>
      </c>
      <c r="D2219" s="1">
        <v>-7.0183184843599999</v>
      </c>
      <c r="E2219" s="3">
        <v>3</v>
      </c>
      <c r="F2219" s="2">
        <v>3</v>
      </c>
      <c r="G2219" s="4">
        <v>3</v>
      </c>
      <c r="H2219" s="13"/>
      <c r="I2219" s="15"/>
      <c r="J2219" s="19">
        <v>3</v>
      </c>
      <c r="K2219" s="2" t="s">
        <v>4450</v>
      </c>
      <c r="L2219" s="11" t="str">
        <f t="shared" si="35"/>
        <v>Ver Imagen</v>
      </c>
      <c r="M2219" t="s">
        <v>15</v>
      </c>
    </row>
    <row r="2220" spans="1:13" x14ac:dyDescent="0.25">
      <c r="A2220">
        <v>2219</v>
      </c>
      <c r="B2220" t="s">
        <v>4451</v>
      </c>
      <c r="C2220" s="1">
        <v>37.233096107999998</v>
      </c>
      <c r="D2220" s="1">
        <v>-7.0181610118200002</v>
      </c>
      <c r="E2220" s="3">
        <v>3</v>
      </c>
      <c r="F2220" s="2">
        <v>3</v>
      </c>
      <c r="G2220" s="4">
        <v>3</v>
      </c>
      <c r="H2220" s="13"/>
      <c r="I2220" s="15"/>
      <c r="J2220" s="19">
        <v>3</v>
      </c>
      <c r="K2220" s="2" t="s">
        <v>4452</v>
      </c>
      <c r="L2220" s="11" t="str">
        <f t="shared" si="35"/>
        <v>Ver Imagen</v>
      </c>
      <c r="M2220" t="s">
        <v>15</v>
      </c>
    </row>
    <row r="2221" spans="1:13" x14ac:dyDescent="0.25">
      <c r="A2221">
        <v>2220</v>
      </c>
      <c r="B2221" t="s">
        <v>4453</v>
      </c>
      <c r="C2221" s="1">
        <v>37.237712741099998</v>
      </c>
      <c r="D2221" s="1">
        <v>-7.0185717420399998</v>
      </c>
      <c r="E2221" s="3">
        <v>3</v>
      </c>
      <c r="F2221" s="2">
        <v>3</v>
      </c>
      <c r="G2221" s="4">
        <v>3</v>
      </c>
      <c r="H2221" s="13"/>
      <c r="I2221" s="15"/>
      <c r="J2221" s="19">
        <v>3</v>
      </c>
      <c r="K2221" s="2" t="s">
        <v>4454</v>
      </c>
      <c r="L2221" s="11" t="str">
        <f t="shared" si="35"/>
        <v>Ver Imagen</v>
      </c>
      <c r="M2221" t="s">
        <v>15</v>
      </c>
    </row>
    <row r="2222" spans="1:13" x14ac:dyDescent="0.25">
      <c r="A2222">
        <v>2221</v>
      </c>
      <c r="B2222" t="s">
        <v>4455</v>
      </c>
      <c r="C2222" s="1">
        <v>37.242746630699997</v>
      </c>
      <c r="D2222" s="1">
        <v>-7.0183809439999996</v>
      </c>
      <c r="E2222" s="3">
        <v>3</v>
      </c>
      <c r="F2222" s="2">
        <v>3</v>
      </c>
      <c r="G2222" s="4">
        <v>3</v>
      </c>
      <c r="H2222" s="13"/>
      <c r="I2222" s="15"/>
      <c r="J2222" s="19">
        <v>3</v>
      </c>
      <c r="K2222" s="2" t="s">
        <v>4456</v>
      </c>
      <c r="L2222" s="11" t="str">
        <f t="shared" si="35"/>
        <v>Ver Imagen</v>
      </c>
      <c r="M2222" t="s">
        <v>15</v>
      </c>
    </row>
    <row r="2223" spans="1:13" x14ac:dyDescent="0.25">
      <c r="A2223">
        <v>2222</v>
      </c>
      <c r="B2223" t="s">
        <v>4457</v>
      </c>
      <c r="C2223" s="1">
        <v>37.2436100563</v>
      </c>
      <c r="D2223" s="1">
        <v>-7.0183439055400001</v>
      </c>
      <c r="E2223" s="3">
        <v>3</v>
      </c>
      <c r="F2223" s="2">
        <v>3</v>
      </c>
      <c r="G2223" s="4">
        <v>3</v>
      </c>
      <c r="H2223" s="13"/>
      <c r="I2223" s="15"/>
      <c r="J2223" s="19">
        <v>3</v>
      </c>
      <c r="K2223" s="2" t="s">
        <v>4458</v>
      </c>
      <c r="L2223" s="11" t="str">
        <f t="shared" si="35"/>
        <v>Ver Imagen</v>
      </c>
      <c r="M2223" t="s">
        <v>15</v>
      </c>
    </row>
    <row r="2224" spans="1:13" x14ac:dyDescent="0.25">
      <c r="A2224">
        <v>2223</v>
      </c>
      <c r="B2224" t="s">
        <v>4459</v>
      </c>
      <c r="C2224" s="1">
        <v>37.2458013189</v>
      </c>
      <c r="D2224" s="1">
        <v>-7.0182664751799999</v>
      </c>
      <c r="E2224" s="3">
        <v>3</v>
      </c>
      <c r="F2224" s="2">
        <v>3</v>
      </c>
      <c r="G2224" s="4">
        <v>3</v>
      </c>
      <c r="H2224" s="13"/>
      <c r="I2224" s="15"/>
      <c r="J2224" s="19">
        <v>3</v>
      </c>
      <c r="K2224" s="2" t="s">
        <v>4460</v>
      </c>
      <c r="L2224" s="11" t="str">
        <f t="shared" si="35"/>
        <v>Ver Imagen</v>
      </c>
      <c r="M2224" t="s">
        <v>15</v>
      </c>
    </row>
    <row r="2225" spans="1:13" x14ac:dyDescent="0.25">
      <c r="A2225">
        <v>2224</v>
      </c>
      <c r="B2225" t="s">
        <v>4461</v>
      </c>
      <c r="C2225" s="1">
        <v>37.246417161499998</v>
      </c>
      <c r="D2225" s="1">
        <v>-7.0182472743500002</v>
      </c>
      <c r="E2225" s="3">
        <v>3</v>
      </c>
      <c r="F2225" s="2">
        <v>3</v>
      </c>
      <c r="G2225" s="4">
        <v>3</v>
      </c>
      <c r="H2225" s="13"/>
      <c r="I2225" s="15"/>
      <c r="J2225" s="19">
        <v>3</v>
      </c>
      <c r="K2225" s="2" t="s">
        <v>4462</v>
      </c>
      <c r="L2225" s="11" t="str">
        <f t="shared" si="35"/>
        <v>Ver Imagen</v>
      </c>
      <c r="M2225" t="s">
        <v>15</v>
      </c>
    </row>
    <row r="2226" spans="1:13" x14ac:dyDescent="0.25">
      <c r="A2226">
        <v>2225</v>
      </c>
      <c r="B2226" t="s">
        <v>4463</v>
      </c>
      <c r="C2226" s="1">
        <v>37.246803570499999</v>
      </c>
      <c r="D2226" s="1">
        <v>-7.0182331861199998</v>
      </c>
      <c r="E2226" s="3">
        <v>3</v>
      </c>
      <c r="F2226" s="2">
        <v>3</v>
      </c>
      <c r="G2226" s="4">
        <v>3</v>
      </c>
      <c r="H2226" s="13"/>
      <c r="I2226" s="15"/>
      <c r="J2226" s="19">
        <v>3</v>
      </c>
      <c r="K2226" s="2" t="s">
        <v>4464</v>
      </c>
      <c r="L2226" s="11" t="str">
        <f t="shared" si="35"/>
        <v>Ver Imagen</v>
      </c>
      <c r="M2226" t="s">
        <v>15</v>
      </c>
    </row>
    <row r="2227" spans="1:13" x14ac:dyDescent="0.25">
      <c r="A2227">
        <v>2226</v>
      </c>
      <c r="B2227" t="s">
        <v>4465</v>
      </c>
      <c r="C2227" s="1">
        <v>37.2471950929</v>
      </c>
      <c r="D2227" s="1">
        <v>-7.0182186260800004</v>
      </c>
      <c r="E2227" s="3">
        <v>3</v>
      </c>
      <c r="F2227" s="2">
        <v>3</v>
      </c>
      <c r="G2227" s="4">
        <v>3</v>
      </c>
      <c r="H2227" s="13"/>
      <c r="I2227" s="15"/>
      <c r="J2227" s="19">
        <v>3</v>
      </c>
      <c r="K2227" s="2" t="s">
        <v>4466</v>
      </c>
      <c r="L2227" s="11" t="str">
        <f t="shared" si="35"/>
        <v>Ver Imagen</v>
      </c>
      <c r="M2227" t="s">
        <v>15</v>
      </c>
    </row>
    <row r="2228" spans="1:13" x14ac:dyDescent="0.25">
      <c r="A2228">
        <v>2227</v>
      </c>
      <c r="B2228" t="s">
        <v>4467</v>
      </c>
      <c r="C2228" s="1">
        <v>37.2488444321</v>
      </c>
      <c r="D2228" s="1">
        <v>-7.0181276136299999</v>
      </c>
      <c r="E2228" s="3">
        <v>3</v>
      </c>
      <c r="F2228" s="2">
        <v>3</v>
      </c>
      <c r="G2228" s="4">
        <v>3</v>
      </c>
      <c r="H2228" s="13"/>
      <c r="I2228" s="15"/>
      <c r="J2228" s="19">
        <v>3</v>
      </c>
      <c r="K2228" s="2" t="s">
        <v>4468</v>
      </c>
      <c r="L2228" s="11" t="str">
        <f t="shared" si="35"/>
        <v>Ver Imagen</v>
      </c>
      <c r="M2228" t="s">
        <v>15</v>
      </c>
    </row>
    <row r="2229" spans="1:13" x14ac:dyDescent="0.25">
      <c r="A2229">
        <v>2228</v>
      </c>
      <c r="B2229" t="s">
        <v>4469</v>
      </c>
      <c r="C2229" s="1">
        <v>37.249428977900003</v>
      </c>
      <c r="D2229" s="1">
        <v>-7.0180211048199999</v>
      </c>
      <c r="E2229" s="3">
        <v>3</v>
      </c>
      <c r="F2229" s="2">
        <v>3</v>
      </c>
      <c r="G2229" s="4">
        <v>3</v>
      </c>
      <c r="H2229" s="13"/>
      <c r="I2229" s="15"/>
      <c r="J2229" s="19">
        <v>3</v>
      </c>
      <c r="K2229" s="2" t="s">
        <v>4470</v>
      </c>
      <c r="L2229" s="11" t="str">
        <f t="shared" si="35"/>
        <v>Ver Imagen</v>
      </c>
      <c r="M2229" t="s">
        <v>15</v>
      </c>
    </row>
    <row r="2230" spans="1:13" x14ac:dyDescent="0.25">
      <c r="A2230">
        <v>2229</v>
      </c>
      <c r="B2230" t="s">
        <v>4471</v>
      </c>
      <c r="C2230" s="1">
        <v>37.251463883100001</v>
      </c>
      <c r="D2230" s="1">
        <v>-7.0169429716399998</v>
      </c>
      <c r="E2230" s="3">
        <v>3</v>
      </c>
      <c r="F2230" s="2">
        <v>3</v>
      </c>
      <c r="G2230" s="4">
        <v>3</v>
      </c>
      <c r="H2230" s="13"/>
      <c r="I2230" s="15"/>
      <c r="J2230" s="19">
        <v>3</v>
      </c>
      <c r="K2230" s="2" t="s">
        <v>4472</v>
      </c>
      <c r="L2230" s="11" t="str">
        <f t="shared" si="35"/>
        <v>Ver Imagen</v>
      </c>
      <c r="M2230" t="s">
        <v>15</v>
      </c>
    </row>
    <row r="2231" spans="1:13" x14ac:dyDescent="0.25">
      <c r="A2231">
        <v>2230</v>
      </c>
      <c r="B2231" t="s">
        <v>4473</v>
      </c>
      <c r="C2231" s="1">
        <v>37.254392146100002</v>
      </c>
      <c r="D2231" s="1">
        <v>-7.0150801966099996</v>
      </c>
      <c r="E2231" s="3">
        <v>3</v>
      </c>
      <c r="F2231" s="2">
        <v>3</v>
      </c>
      <c r="G2231" s="4">
        <v>3</v>
      </c>
      <c r="H2231" s="13"/>
      <c r="I2231" s="15"/>
      <c r="J2231" s="19">
        <v>3</v>
      </c>
      <c r="K2231" s="2" t="s">
        <v>4474</v>
      </c>
      <c r="L2231" s="11" t="str">
        <f t="shared" si="35"/>
        <v>Ver Imagen</v>
      </c>
      <c r="M2231" t="s">
        <v>15</v>
      </c>
    </row>
    <row r="2232" spans="1:13" x14ac:dyDescent="0.25">
      <c r="A2232">
        <v>2231</v>
      </c>
      <c r="B2232" t="s">
        <v>4475</v>
      </c>
      <c r="C2232" s="1">
        <v>37.256016996299998</v>
      </c>
      <c r="D2232" s="1">
        <v>-7.0140492588100001</v>
      </c>
      <c r="E2232" s="3">
        <v>3</v>
      </c>
      <c r="F2232" s="2">
        <v>3</v>
      </c>
      <c r="G2232" s="4">
        <v>3</v>
      </c>
      <c r="H2232" s="13"/>
      <c r="I2232" s="15"/>
      <c r="J2232" s="19">
        <v>3</v>
      </c>
      <c r="K2232" s="2" t="s">
        <v>4476</v>
      </c>
      <c r="L2232" s="11" t="str">
        <f t="shared" si="35"/>
        <v>Ver Imagen</v>
      </c>
      <c r="M2232" t="s">
        <v>15</v>
      </c>
    </row>
    <row r="2233" spans="1:13" x14ac:dyDescent="0.25">
      <c r="A2233">
        <v>2232</v>
      </c>
      <c r="B2233" t="s">
        <v>4477</v>
      </c>
      <c r="C2233" s="1">
        <v>37.256161616999997</v>
      </c>
      <c r="D2233" s="1">
        <v>-7.0139562975300001</v>
      </c>
      <c r="E2233" s="3">
        <v>3</v>
      </c>
      <c r="F2233" s="2">
        <v>3</v>
      </c>
      <c r="G2233" s="4">
        <v>3</v>
      </c>
      <c r="H2233" s="13"/>
      <c r="I2233" s="15"/>
      <c r="J2233" s="19">
        <v>3</v>
      </c>
      <c r="K2233" s="2" t="s">
        <v>4478</v>
      </c>
      <c r="L2233" s="11" t="str">
        <f t="shared" si="35"/>
        <v>Ver Imagen</v>
      </c>
      <c r="M2233" t="s">
        <v>15</v>
      </c>
    </row>
    <row r="2234" spans="1:13" x14ac:dyDescent="0.25">
      <c r="A2234">
        <v>2233</v>
      </c>
      <c r="B2234" t="s">
        <v>4479</v>
      </c>
      <c r="C2234" s="1">
        <v>37.257054532600002</v>
      </c>
      <c r="D2234" s="1">
        <v>-7.0133849848000001</v>
      </c>
      <c r="E2234" s="3">
        <v>3</v>
      </c>
      <c r="F2234" s="2">
        <v>3</v>
      </c>
      <c r="G2234" s="4">
        <v>3</v>
      </c>
      <c r="H2234" s="13"/>
      <c r="I2234" s="15"/>
      <c r="J2234" s="19">
        <v>3</v>
      </c>
      <c r="K2234" s="2" t="s">
        <v>4480</v>
      </c>
      <c r="L2234" s="11" t="str">
        <f t="shared" si="35"/>
        <v>Ver Imagen</v>
      </c>
      <c r="M2234" t="s">
        <v>15</v>
      </c>
    </row>
    <row r="2235" spans="1:13" x14ac:dyDescent="0.25">
      <c r="A2235">
        <v>2234</v>
      </c>
      <c r="B2235" t="s">
        <v>4481</v>
      </c>
      <c r="C2235" s="1">
        <v>37.260305604800003</v>
      </c>
      <c r="D2235" s="1">
        <v>-7.0113135765000001</v>
      </c>
      <c r="E2235" s="3">
        <v>3</v>
      </c>
      <c r="F2235" s="2">
        <v>3</v>
      </c>
      <c r="G2235" s="4">
        <v>3</v>
      </c>
      <c r="H2235" s="13"/>
      <c r="I2235" s="15"/>
      <c r="J2235" s="19">
        <v>3</v>
      </c>
      <c r="K2235" s="2" t="s">
        <v>4482</v>
      </c>
      <c r="L2235" s="11" t="str">
        <f t="shared" si="35"/>
        <v>Ver Imagen</v>
      </c>
      <c r="M2235" t="s">
        <v>15</v>
      </c>
    </row>
    <row r="2236" spans="1:13" x14ac:dyDescent="0.25">
      <c r="A2236">
        <v>2235</v>
      </c>
      <c r="B2236" t="s">
        <v>4483</v>
      </c>
      <c r="C2236" s="1">
        <v>37.260476003900003</v>
      </c>
      <c r="D2236" s="1">
        <v>-7.0112055357200003</v>
      </c>
      <c r="E2236" s="3">
        <v>3</v>
      </c>
      <c r="F2236" s="2">
        <v>3</v>
      </c>
      <c r="G2236" s="4">
        <v>3</v>
      </c>
      <c r="H2236" s="13"/>
      <c r="I2236" s="15"/>
      <c r="J2236" s="19">
        <v>3</v>
      </c>
      <c r="K2236" s="2" t="s">
        <v>4484</v>
      </c>
      <c r="L2236" s="11" t="str">
        <f t="shared" si="35"/>
        <v>Ver Imagen</v>
      </c>
      <c r="M2236" t="s">
        <v>15</v>
      </c>
    </row>
    <row r="2237" spans="1:13" x14ac:dyDescent="0.25">
      <c r="A2237">
        <v>2236</v>
      </c>
      <c r="B2237" t="s">
        <v>4485</v>
      </c>
      <c r="C2237" s="1">
        <v>37.260866133500002</v>
      </c>
      <c r="D2237" s="1">
        <v>-7.0109559232800001</v>
      </c>
      <c r="E2237" s="3">
        <v>3</v>
      </c>
      <c r="F2237" s="2">
        <v>3</v>
      </c>
      <c r="G2237" s="4">
        <v>3</v>
      </c>
      <c r="H2237" s="13"/>
      <c r="I2237" s="15"/>
      <c r="J2237" s="19">
        <v>3</v>
      </c>
      <c r="K2237" s="2" t="s">
        <v>4486</v>
      </c>
      <c r="L2237" s="11" t="str">
        <f t="shared" si="35"/>
        <v>Ver Imagen</v>
      </c>
      <c r="M2237" t="s">
        <v>15</v>
      </c>
    </row>
    <row r="2238" spans="1:13" x14ac:dyDescent="0.25">
      <c r="A2238">
        <v>2237</v>
      </c>
      <c r="B2238" t="s">
        <v>4487</v>
      </c>
      <c r="C2238" s="1">
        <v>37.261033865900004</v>
      </c>
      <c r="D2238" s="1">
        <v>-7.0108458056799998</v>
      </c>
      <c r="E2238" s="3">
        <v>3</v>
      </c>
      <c r="F2238" s="2">
        <v>3</v>
      </c>
      <c r="G2238" s="4">
        <v>3</v>
      </c>
      <c r="H2238" s="13"/>
      <c r="I2238" s="15"/>
      <c r="J2238" s="19">
        <v>3</v>
      </c>
      <c r="K2238" s="2" t="s">
        <v>4488</v>
      </c>
      <c r="L2238" s="11" t="str">
        <f t="shared" ref="L2238:L2280" si="36">HYPERLINK("3\0\" &amp; K2238, "Ver Imagen")</f>
        <v>Ver Imagen</v>
      </c>
      <c r="M2238" t="s">
        <v>15</v>
      </c>
    </row>
    <row r="2239" spans="1:13" x14ac:dyDescent="0.25">
      <c r="A2239">
        <v>2238</v>
      </c>
      <c r="B2239" t="s">
        <v>4489</v>
      </c>
      <c r="C2239" s="1">
        <v>37.262154708799997</v>
      </c>
      <c r="D2239" s="1">
        <v>-7.0098561900899998</v>
      </c>
      <c r="E2239" s="3">
        <v>3</v>
      </c>
      <c r="F2239" s="2">
        <v>3</v>
      </c>
      <c r="G2239" s="4">
        <v>3</v>
      </c>
      <c r="H2239" s="13"/>
      <c r="I2239" s="15"/>
      <c r="J2239" s="19">
        <v>3</v>
      </c>
      <c r="K2239" s="2" t="s">
        <v>4490</v>
      </c>
      <c r="L2239" s="11" t="str">
        <f t="shared" si="36"/>
        <v>Ver Imagen</v>
      </c>
      <c r="M2239" t="s">
        <v>15</v>
      </c>
    </row>
    <row r="2240" spans="1:13" x14ac:dyDescent="0.25">
      <c r="A2240">
        <v>2239</v>
      </c>
      <c r="B2240" t="s">
        <v>4491</v>
      </c>
      <c r="C2240" s="1">
        <v>37.262301716700001</v>
      </c>
      <c r="D2240" s="1">
        <v>-7.0096708530700003</v>
      </c>
      <c r="E2240" s="3">
        <v>3</v>
      </c>
      <c r="F2240" s="2">
        <v>3</v>
      </c>
      <c r="G2240" s="4">
        <v>3</v>
      </c>
      <c r="H2240" s="13"/>
      <c r="I2240" s="15"/>
      <c r="J2240" s="19">
        <v>3</v>
      </c>
      <c r="K2240" s="2" t="s">
        <v>4492</v>
      </c>
      <c r="L2240" s="11" t="str">
        <f t="shared" si="36"/>
        <v>Ver Imagen</v>
      </c>
      <c r="M2240" t="s">
        <v>15</v>
      </c>
    </row>
    <row r="2241" spans="1:13" x14ac:dyDescent="0.25">
      <c r="A2241">
        <v>2240</v>
      </c>
      <c r="B2241" t="s">
        <v>4493</v>
      </c>
      <c r="C2241" s="1">
        <v>37.262691639700002</v>
      </c>
      <c r="D2241" s="1">
        <v>-7.0090839535100002</v>
      </c>
      <c r="E2241" s="3">
        <v>3</v>
      </c>
      <c r="F2241" s="2">
        <v>3</v>
      </c>
      <c r="G2241" s="4">
        <v>3</v>
      </c>
      <c r="H2241" s="13"/>
      <c r="I2241" s="15"/>
      <c r="J2241" s="19">
        <v>3</v>
      </c>
      <c r="K2241" s="2" t="s">
        <v>4494</v>
      </c>
      <c r="L2241" s="11" t="str">
        <f t="shared" si="36"/>
        <v>Ver Imagen</v>
      </c>
      <c r="M2241" t="s">
        <v>15</v>
      </c>
    </row>
    <row r="2242" spans="1:13" x14ac:dyDescent="0.25">
      <c r="A2242">
        <v>2241</v>
      </c>
      <c r="B2242" t="s">
        <v>4495</v>
      </c>
      <c r="C2242" s="1">
        <v>37.263196354400002</v>
      </c>
      <c r="D2242" s="1">
        <v>-7.00796173095</v>
      </c>
      <c r="E2242" s="3">
        <v>3</v>
      </c>
      <c r="F2242" s="2">
        <v>3</v>
      </c>
      <c r="G2242" s="4">
        <v>3</v>
      </c>
      <c r="H2242" s="13"/>
      <c r="I2242" s="15"/>
      <c r="J2242" s="19">
        <v>3</v>
      </c>
      <c r="K2242" s="2" t="s">
        <v>4496</v>
      </c>
      <c r="L2242" s="11" t="str">
        <f t="shared" si="36"/>
        <v>Ver Imagen</v>
      </c>
      <c r="M2242" t="s">
        <v>15</v>
      </c>
    </row>
    <row r="2243" spans="1:13" x14ac:dyDescent="0.25">
      <c r="A2243">
        <v>2242</v>
      </c>
      <c r="B2243" t="s">
        <v>4497</v>
      </c>
      <c r="C2243" s="1">
        <v>37.263268172099998</v>
      </c>
      <c r="D2243" s="1">
        <v>-7.0077304604300004</v>
      </c>
      <c r="E2243" s="3">
        <v>3</v>
      </c>
      <c r="F2243" s="2">
        <v>3</v>
      </c>
      <c r="G2243" s="4">
        <v>3</v>
      </c>
      <c r="H2243" s="13"/>
      <c r="I2243" s="15"/>
      <c r="J2243" s="19">
        <v>3</v>
      </c>
      <c r="K2243" s="2" t="s">
        <v>4498</v>
      </c>
      <c r="L2243" s="11" t="str">
        <f t="shared" si="36"/>
        <v>Ver Imagen</v>
      </c>
      <c r="M2243" t="s">
        <v>15</v>
      </c>
    </row>
    <row r="2244" spans="1:13" x14ac:dyDescent="0.25">
      <c r="A2244">
        <v>2243</v>
      </c>
      <c r="B2244" t="s">
        <v>4499</v>
      </c>
      <c r="C2244" s="1">
        <v>37.263569398500003</v>
      </c>
      <c r="D2244" s="1">
        <v>-7.0062886072300001</v>
      </c>
      <c r="E2244" s="3">
        <v>3</v>
      </c>
      <c r="F2244" s="2">
        <v>3</v>
      </c>
      <c r="G2244" s="4">
        <v>3</v>
      </c>
      <c r="H2244" s="13"/>
      <c r="I2244" s="15"/>
      <c r="J2244" s="19">
        <v>3</v>
      </c>
      <c r="K2244" s="2" t="s">
        <v>4500</v>
      </c>
      <c r="L2244" s="11" t="str">
        <f t="shared" si="36"/>
        <v>Ver Imagen</v>
      </c>
      <c r="M2244" t="s">
        <v>15</v>
      </c>
    </row>
    <row r="2245" spans="1:13" x14ac:dyDescent="0.25">
      <c r="A2245">
        <v>2244</v>
      </c>
      <c r="B2245" t="s">
        <v>4501</v>
      </c>
      <c r="C2245" s="1">
        <v>37.2636238515</v>
      </c>
      <c r="D2245" s="1">
        <v>-7.0059804658299996</v>
      </c>
      <c r="E2245" s="3">
        <v>3</v>
      </c>
      <c r="F2245" s="2">
        <v>3</v>
      </c>
      <c r="G2245" s="4">
        <v>3</v>
      </c>
      <c r="H2245" s="13"/>
      <c r="I2245" s="15"/>
      <c r="J2245" s="19">
        <v>3</v>
      </c>
      <c r="K2245" s="2" t="s">
        <v>4502</v>
      </c>
      <c r="L2245" s="11" t="str">
        <f t="shared" si="36"/>
        <v>Ver Imagen</v>
      </c>
      <c r="M2245" t="s">
        <v>15</v>
      </c>
    </row>
    <row r="2246" spans="1:13" x14ac:dyDescent="0.25">
      <c r="A2246">
        <v>2245</v>
      </c>
      <c r="B2246" t="s">
        <v>4503</v>
      </c>
      <c r="C2246" s="1">
        <v>37.263925834799998</v>
      </c>
      <c r="D2246" s="1">
        <v>-7.0042874596300004</v>
      </c>
      <c r="E2246" s="3">
        <v>3</v>
      </c>
      <c r="F2246" s="2">
        <v>3</v>
      </c>
      <c r="G2246" s="4">
        <v>3</v>
      </c>
      <c r="H2246" s="13"/>
      <c r="I2246" s="15"/>
      <c r="J2246" s="19">
        <v>3</v>
      </c>
      <c r="K2246" s="2" t="s">
        <v>4504</v>
      </c>
      <c r="L2246" s="11" t="str">
        <f t="shared" si="36"/>
        <v>Ver Imagen</v>
      </c>
      <c r="M2246" t="s">
        <v>15</v>
      </c>
    </row>
    <row r="2247" spans="1:13" x14ac:dyDescent="0.25">
      <c r="A2247">
        <v>2246</v>
      </c>
      <c r="B2247" t="s">
        <v>4505</v>
      </c>
      <c r="C2247" s="1">
        <v>37.263965288599998</v>
      </c>
      <c r="D2247" s="1">
        <v>-7.00406151432</v>
      </c>
      <c r="E2247" s="3">
        <v>3</v>
      </c>
      <c r="F2247" s="2">
        <v>3</v>
      </c>
      <c r="G2247" s="4">
        <v>3</v>
      </c>
      <c r="H2247" s="13"/>
      <c r="I2247" s="15"/>
      <c r="J2247" s="19">
        <v>3</v>
      </c>
      <c r="K2247" s="2" t="s">
        <v>4506</v>
      </c>
      <c r="L2247" s="11" t="str">
        <f t="shared" si="36"/>
        <v>Ver Imagen</v>
      </c>
      <c r="M2247" t="s">
        <v>15</v>
      </c>
    </row>
    <row r="2248" spans="1:13" x14ac:dyDescent="0.25">
      <c r="A2248">
        <v>2247</v>
      </c>
      <c r="B2248" t="s">
        <v>4507</v>
      </c>
      <c r="C2248" s="1">
        <v>37.264274748200002</v>
      </c>
      <c r="D2248" s="1">
        <v>-7.0023050407399996</v>
      </c>
      <c r="E2248" s="3">
        <v>3</v>
      </c>
      <c r="F2248" s="2">
        <v>3</v>
      </c>
      <c r="G2248" s="4">
        <v>3</v>
      </c>
      <c r="H2248" s="13"/>
      <c r="I2248" s="15"/>
      <c r="J2248" s="19">
        <v>3</v>
      </c>
      <c r="K2248" s="2" t="s">
        <v>4508</v>
      </c>
      <c r="L2248" s="11" t="str">
        <f t="shared" si="36"/>
        <v>Ver Imagen</v>
      </c>
      <c r="M2248" t="s">
        <v>15</v>
      </c>
    </row>
    <row r="2249" spans="1:13" x14ac:dyDescent="0.25">
      <c r="A2249">
        <v>2248</v>
      </c>
      <c r="B2249" t="s">
        <v>4509</v>
      </c>
      <c r="C2249" s="1">
        <v>37.264316194599999</v>
      </c>
      <c r="D2249" s="1">
        <v>-7.0020740218700004</v>
      </c>
      <c r="E2249" s="3">
        <v>3</v>
      </c>
      <c r="F2249" s="2">
        <v>3</v>
      </c>
      <c r="G2249" s="4">
        <v>3</v>
      </c>
      <c r="H2249" s="13"/>
      <c r="I2249" s="15"/>
      <c r="J2249" s="19">
        <v>3</v>
      </c>
      <c r="K2249" s="2" t="s">
        <v>4510</v>
      </c>
      <c r="L2249" s="11" t="str">
        <f t="shared" si="36"/>
        <v>Ver Imagen</v>
      </c>
      <c r="M2249" t="s">
        <v>15</v>
      </c>
    </row>
    <row r="2250" spans="1:13" x14ac:dyDescent="0.25">
      <c r="A2250">
        <v>2249</v>
      </c>
      <c r="B2250" t="s">
        <v>4511</v>
      </c>
      <c r="C2250" s="1">
        <v>37.264360312500003</v>
      </c>
      <c r="D2250" s="1">
        <v>-7.00182877621</v>
      </c>
      <c r="E2250" s="3">
        <v>3</v>
      </c>
      <c r="F2250" s="2">
        <v>3</v>
      </c>
      <c r="G2250" s="4">
        <v>3</v>
      </c>
      <c r="H2250" s="13"/>
      <c r="I2250" s="15"/>
      <c r="J2250" s="19">
        <v>3</v>
      </c>
      <c r="K2250" s="2" t="s">
        <v>4512</v>
      </c>
      <c r="L2250" s="11" t="str">
        <f t="shared" si="36"/>
        <v>Ver Imagen</v>
      </c>
      <c r="M2250" t="s">
        <v>15</v>
      </c>
    </row>
    <row r="2251" spans="1:13" x14ac:dyDescent="0.25">
      <c r="A2251">
        <v>2250</v>
      </c>
      <c r="B2251" t="s">
        <v>4513</v>
      </c>
      <c r="C2251" s="1">
        <v>37.264401662099999</v>
      </c>
      <c r="D2251" s="1">
        <v>-7.0015980683899999</v>
      </c>
      <c r="E2251" s="3">
        <v>3</v>
      </c>
      <c r="F2251" s="2">
        <v>3</v>
      </c>
      <c r="G2251" s="4">
        <v>3</v>
      </c>
      <c r="H2251" s="13"/>
      <c r="I2251" s="15"/>
      <c r="J2251" s="19">
        <v>3</v>
      </c>
      <c r="K2251" s="2" t="s">
        <v>4514</v>
      </c>
      <c r="L2251" s="11" t="str">
        <f t="shared" si="36"/>
        <v>Ver Imagen</v>
      </c>
      <c r="M2251" t="s">
        <v>15</v>
      </c>
    </row>
    <row r="2252" spans="1:13" x14ac:dyDescent="0.25">
      <c r="A2252">
        <v>2251</v>
      </c>
      <c r="B2252" t="s">
        <v>4515</v>
      </c>
      <c r="C2252" s="1">
        <v>37.264623636000003</v>
      </c>
      <c r="D2252" s="1">
        <v>-7.0003678150999997</v>
      </c>
      <c r="E2252" s="3">
        <v>3</v>
      </c>
      <c r="F2252" s="2">
        <v>3</v>
      </c>
      <c r="G2252" s="4">
        <v>3</v>
      </c>
      <c r="H2252" s="13"/>
      <c r="I2252" s="15"/>
      <c r="J2252" s="19">
        <v>3</v>
      </c>
      <c r="K2252" s="2" t="s">
        <v>4516</v>
      </c>
      <c r="L2252" s="11" t="str">
        <f t="shared" si="36"/>
        <v>Ver Imagen</v>
      </c>
      <c r="M2252" t="s">
        <v>15</v>
      </c>
    </row>
    <row r="2253" spans="1:13" x14ac:dyDescent="0.25">
      <c r="A2253">
        <v>2252</v>
      </c>
      <c r="B2253" t="s">
        <v>4517</v>
      </c>
      <c r="C2253" s="1">
        <v>37.264760884499999</v>
      </c>
      <c r="D2253" s="1">
        <v>-6.9995984040900003</v>
      </c>
      <c r="E2253" s="3">
        <v>3</v>
      </c>
      <c r="F2253" s="2">
        <v>3</v>
      </c>
      <c r="G2253" s="4">
        <v>3</v>
      </c>
      <c r="H2253" s="13"/>
      <c r="I2253" s="15"/>
      <c r="J2253" s="19">
        <v>3</v>
      </c>
      <c r="K2253" s="2" t="s">
        <v>4518</v>
      </c>
      <c r="L2253" s="11" t="str">
        <f t="shared" si="36"/>
        <v>Ver Imagen</v>
      </c>
      <c r="M2253" t="s">
        <v>15</v>
      </c>
    </row>
    <row r="2254" spans="1:13" x14ac:dyDescent="0.25">
      <c r="A2254">
        <v>2253</v>
      </c>
      <c r="B2254" t="s">
        <v>4519</v>
      </c>
      <c r="C2254" s="1">
        <v>37.264813658599998</v>
      </c>
      <c r="D2254" s="1">
        <v>-6.9992953910100004</v>
      </c>
      <c r="E2254" s="3">
        <v>3</v>
      </c>
      <c r="F2254" s="2">
        <v>3</v>
      </c>
      <c r="G2254" s="4">
        <v>3</v>
      </c>
      <c r="H2254" s="13"/>
      <c r="I2254" s="15"/>
      <c r="J2254" s="19">
        <v>3</v>
      </c>
      <c r="K2254" s="2" t="s">
        <v>4520</v>
      </c>
      <c r="L2254" s="11" t="str">
        <f t="shared" si="36"/>
        <v>Ver Imagen</v>
      </c>
      <c r="M2254" t="s">
        <v>15</v>
      </c>
    </row>
    <row r="2255" spans="1:13" x14ac:dyDescent="0.25">
      <c r="A2255">
        <v>2254</v>
      </c>
      <c r="B2255" t="s">
        <v>4521</v>
      </c>
      <c r="C2255" s="1">
        <v>37.2648486601</v>
      </c>
      <c r="D2255" s="1">
        <v>-6.9990942133400003</v>
      </c>
      <c r="E2255" s="3">
        <v>3</v>
      </c>
      <c r="F2255" s="2">
        <v>3</v>
      </c>
      <c r="G2255" s="4">
        <v>3</v>
      </c>
      <c r="H2255" s="13"/>
      <c r="I2255" s="15"/>
      <c r="J2255" s="19">
        <v>3</v>
      </c>
      <c r="K2255" s="2" t="s">
        <v>4522</v>
      </c>
      <c r="L2255" s="11" t="str">
        <f t="shared" si="36"/>
        <v>Ver Imagen</v>
      </c>
      <c r="M2255" t="s">
        <v>15</v>
      </c>
    </row>
    <row r="2256" spans="1:13" x14ac:dyDescent="0.25">
      <c r="A2256">
        <v>2255</v>
      </c>
      <c r="B2256" t="s">
        <v>4523</v>
      </c>
      <c r="C2256" s="1">
        <v>37.2650604755</v>
      </c>
      <c r="D2256" s="1">
        <v>-6.99788552453</v>
      </c>
      <c r="E2256" s="3">
        <v>3</v>
      </c>
      <c r="F2256" s="2">
        <v>3</v>
      </c>
      <c r="G2256" s="4">
        <v>3</v>
      </c>
      <c r="H2256" s="13"/>
      <c r="I2256" s="15"/>
      <c r="J2256" s="19">
        <v>3</v>
      </c>
      <c r="K2256" s="2" t="s">
        <v>4524</v>
      </c>
      <c r="L2256" s="11" t="str">
        <f t="shared" si="36"/>
        <v>Ver Imagen</v>
      </c>
      <c r="M2256" t="s">
        <v>15</v>
      </c>
    </row>
    <row r="2257" spans="1:13" x14ac:dyDescent="0.25">
      <c r="A2257">
        <v>2256</v>
      </c>
      <c r="B2257" t="s">
        <v>4525</v>
      </c>
      <c r="C2257" s="1">
        <v>37.265544809200001</v>
      </c>
      <c r="D2257" s="1">
        <v>-6.9951668423999998</v>
      </c>
      <c r="E2257" s="3">
        <v>3</v>
      </c>
      <c r="F2257" s="2">
        <v>3</v>
      </c>
      <c r="G2257" s="4">
        <v>3</v>
      </c>
      <c r="H2257" s="13"/>
      <c r="I2257" s="15"/>
      <c r="J2257" s="19">
        <v>3</v>
      </c>
      <c r="K2257" s="2" t="s">
        <v>4526</v>
      </c>
      <c r="L2257" s="11" t="str">
        <f t="shared" si="36"/>
        <v>Ver Imagen</v>
      </c>
      <c r="M2257" t="s">
        <v>15</v>
      </c>
    </row>
    <row r="2258" spans="1:13" x14ac:dyDescent="0.25">
      <c r="A2258">
        <v>2257</v>
      </c>
      <c r="B2258" t="s">
        <v>4527</v>
      </c>
      <c r="C2258" s="1">
        <v>37.265583927900003</v>
      </c>
      <c r="D2258" s="1">
        <v>-6.9949459819599999</v>
      </c>
      <c r="E2258" s="3">
        <v>3</v>
      </c>
      <c r="F2258" s="2">
        <v>3</v>
      </c>
      <c r="G2258" s="4">
        <v>3</v>
      </c>
      <c r="H2258" s="13"/>
      <c r="I2258" s="15"/>
      <c r="J2258" s="19">
        <v>3</v>
      </c>
      <c r="K2258" s="2" t="s">
        <v>4528</v>
      </c>
      <c r="L2258" s="11" t="str">
        <f t="shared" si="36"/>
        <v>Ver Imagen</v>
      </c>
      <c r="M2258" t="s">
        <v>15</v>
      </c>
    </row>
    <row r="2259" spans="1:13" x14ac:dyDescent="0.25">
      <c r="A2259">
        <v>2258</v>
      </c>
      <c r="B2259" t="s">
        <v>4529</v>
      </c>
      <c r="C2259" s="1">
        <v>37.265644721000001</v>
      </c>
      <c r="D2259" s="1">
        <v>-6.9946178927</v>
      </c>
      <c r="E2259" s="3">
        <v>3</v>
      </c>
      <c r="F2259" s="2">
        <v>3</v>
      </c>
      <c r="G2259" s="4">
        <v>3</v>
      </c>
      <c r="H2259" s="13"/>
      <c r="I2259" s="15"/>
      <c r="J2259" s="19">
        <v>3</v>
      </c>
      <c r="K2259" s="2" t="s">
        <v>4530</v>
      </c>
      <c r="L2259" s="11" t="str">
        <f t="shared" si="36"/>
        <v>Ver Imagen</v>
      </c>
      <c r="M2259" t="s">
        <v>15</v>
      </c>
    </row>
    <row r="2260" spans="1:13" x14ac:dyDescent="0.25">
      <c r="A2260">
        <v>2259</v>
      </c>
      <c r="B2260" t="s">
        <v>4531</v>
      </c>
      <c r="C2260" s="1">
        <v>37.265752220400003</v>
      </c>
      <c r="D2260" s="1">
        <v>-6.9941335889999996</v>
      </c>
      <c r="E2260" s="3">
        <v>3</v>
      </c>
      <c r="F2260" s="2">
        <v>3</v>
      </c>
      <c r="G2260" s="4">
        <v>3</v>
      </c>
      <c r="H2260" s="13"/>
      <c r="I2260" s="15"/>
      <c r="J2260" s="19">
        <v>3</v>
      </c>
      <c r="K2260" s="2" t="s">
        <v>4532</v>
      </c>
      <c r="L2260" s="11" t="str">
        <f t="shared" si="36"/>
        <v>Ver Imagen</v>
      </c>
      <c r="M2260" t="s">
        <v>15</v>
      </c>
    </row>
    <row r="2261" spans="1:13" x14ac:dyDescent="0.25">
      <c r="A2261">
        <v>2260</v>
      </c>
      <c r="B2261" t="s">
        <v>4533</v>
      </c>
      <c r="C2261" s="1">
        <v>37.265878924399999</v>
      </c>
      <c r="D2261" s="1">
        <v>-6.9936959312600004</v>
      </c>
      <c r="E2261" s="3">
        <v>3</v>
      </c>
      <c r="F2261" s="2">
        <v>3</v>
      </c>
      <c r="G2261" s="4">
        <v>3</v>
      </c>
      <c r="H2261" s="13"/>
      <c r="I2261" s="15"/>
      <c r="J2261" s="19">
        <v>3</v>
      </c>
      <c r="K2261" s="2" t="s">
        <v>4534</v>
      </c>
      <c r="L2261" s="11" t="str">
        <f t="shared" si="36"/>
        <v>Ver Imagen</v>
      </c>
      <c r="M2261" t="s">
        <v>15</v>
      </c>
    </row>
    <row r="2262" spans="1:13" x14ac:dyDescent="0.25">
      <c r="A2262">
        <v>2261</v>
      </c>
      <c r="B2262" t="s">
        <v>4535</v>
      </c>
      <c r="C2262" s="1">
        <v>37.266367834500002</v>
      </c>
      <c r="D2262" s="1">
        <v>-6.9925797020099996</v>
      </c>
      <c r="E2262" s="3">
        <v>3</v>
      </c>
      <c r="F2262" s="2">
        <v>3</v>
      </c>
      <c r="G2262" s="4">
        <v>3</v>
      </c>
      <c r="H2262" s="13"/>
      <c r="I2262" s="15"/>
      <c r="J2262" s="19">
        <v>3</v>
      </c>
      <c r="K2262" s="2" t="s">
        <v>4536</v>
      </c>
      <c r="L2262" s="11" t="str">
        <f t="shared" si="36"/>
        <v>Ver Imagen</v>
      </c>
      <c r="M2262" t="s">
        <v>15</v>
      </c>
    </row>
    <row r="2263" spans="1:13" x14ac:dyDescent="0.25">
      <c r="A2263">
        <v>2262</v>
      </c>
      <c r="B2263" t="s">
        <v>4537</v>
      </c>
      <c r="C2263" s="1">
        <v>37.266762065400002</v>
      </c>
      <c r="D2263" s="1">
        <v>-6.9919945076800003</v>
      </c>
      <c r="E2263" s="3">
        <v>3</v>
      </c>
      <c r="F2263" s="2">
        <v>3</v>
      </c>
      <c r="G2263" s="4">
        <v>3</v>
      </c>
      <c r="H2263" s="13"/>
      <c r="I2263" s="15"/>
      <c r="J2263" s="19">
        <v>3</v>
      </c>
      <c r="K2263" s="2" t="s">
        <v>4538</v>
      </c>
      <c r="L2263" s="11" t="str">
        <f t="shared" si="36"/>
        <v>Ver Imagen</v>
      </c>
      <c r="M2263" t="s">
        <v>15</v>
      </c>
    </row>
    <row r="2264" spans="1:13" x14ac:dyDescent="0.25">
      <c r="A2264">
        <v>2263</v>
      </c>
      <c r="B2264" t="s">
        <v>4539</v>
      </c>
      <c r="C2264" s="1">
        <v>37.266898962799999</v>
      </c>
      <c r="D2264" s="1">
        <v>-6.9918286781100001</v>
      </c>
      <c r="E2264" s="3">
        <v>3</v>
      </c>
      <c r="F2264" s="2">
        <v>3</v>
      </c>
      <c r="G2264" s="4">
        <v>3</v>
      </c>
      <c r="H2264" s="13"/>
      <c r="I2264" s="15"/>
      <c r="J2264" s="19">
        <v>3</v>
      </c>
      <c r="K2264" s="2" t="s">
        <v>4540</v>
      </c>
      <c r="L2264" s="11" t="str">
        <f t="shared" si="36"/>
        <v>Ver Imagen</v>
      </c>
      <c r="M2264" t="s">
        <v>15</v>
      </c>
    </row>
    <row r="2265" spans="1:13" x14ac:dyDescent="0.25">
      <c r="A2265">
        <v>2264</v>
      </c>
      <c r="B2265" t="s">
        <v>4541</v>
      </c>
      <c r="C2265" s="1">
        <v>37.267205461899998</v>
      </c>
      <c r="D2265" s="1">
        <v>-6.9915069758800001</v>
      </c>
      <c r="E2265" s="3">
        <v>3</v>
      </c>
      <c r="F2265" s="2">
        <v>3</v>
      </c>
      <c r="G2265" s="4">
        <v>3</v>
      </c>
      <c r="H2265" s="13"/>
      <c r="I2265" s="15"/>
      <c r="J2265" s="19">
        <v>3</v>
      </c>
      <c r="K2265" s="2" t="s">
        <v>4542</v>
      </c>
      <c r="L2265" s="11" t="str">
        <f t="shared" si="36"/>
        <v>Ver Imagen</v>
      </c>
      <c r="M2265" t="s">
        <v>15</v>
      </c>
    </row>
    <row r="2266" spans="1:13" x14ac:dyDescent="0.25">
      <c r="A2266">
        <v>2265</v>
      </c>
      <c r="B2266" t="s">
        <v>4543</v>
      </c>
      <c r="C2266" s="1">
        <v>37.268079306499999</v>
      </c>
      <c r="D2266" s="1">
        <v>-6.9908225416600001</v>
      </c>
      <c r="E2266" s="3">
        <v>3</v>
      </c>
      <c r="F2266" s="2">
        <v>3</v>
      </c>
      <c r="G2266" s="4">
        <v>3</v>
      </c>
      <c r="H2266" s="13"/>
      <c r="I2266" s="15"/>
      <c r="J2266" s="19">
        <v>3</v>
      </c>
      <c r="K2266" s="2" t="s">
        <v>4544</v>
      </c>
      <c r="L2266" s="11" t="str">
        <f t="shared" si="36"/>
        <v>Ver Imagen</v>
      </c>
      <c r="M2266" t="s">
        <v>15</v>
      </c>
    </row>
    <row r="2267" spans="1:13" x14ac:dyDescent="0.25">
      <c r="A2267">
        <v>2266</v>
      </c>
      <c r="B2267" t="s">
        <v>4545</v>
      </c>
      <c r="C2267" s="1">
        <v>37.268258453000001</v>
      </c>
      <c r="D2267" s="1">
        <v>-6.9906950501300003</v>
      </c>
      <c r="E2267" s="3">
        <v>3</v>
      </c>
      <c r="F2267" s="2">
        <v>3</v>
      </c>
      <c r="G2267" s="4">
        <v>3</v>
      </c>
      <c r="H2267" s="13"/>
      <c r="I2267" s="15"/>
      <c r="J2267" s="19">
        <v>3</v>
      </c>
      <c r="K2267" s="2" t="s">
        <v>4546</v>
      </c>
      <c r="L2267" s="11" t="str">
        <f t="shared" si="36"/>
        <v>Ver Imagen</v>
      </c>
      <c r="M2267" t="s">
        <v>15</v>
      </c>
    </row>
    <row r="2268" spans="1:13" x14ac:dyDescent="0.25">
      <c r="A2268">
        <v>2267</v>
      </c>
      <c r="B2268" t="s">
        <v>4547</v>
      </c>
      <c r="C2268" s="1">
        <v>37.268425565199998</v>
      </c>
      <c r="D2268" s="1">
        <v>-6.9905764248000004</v>
      </c>
      <c r="E2268" s="3">
        <v>3</v>
      </c>
      <c r="F2268" s="2">
        <v>3</v>
      </c>
      <c r="G2268" s="4">
        <v>3</v>
      </c>
      <c r="H2268" s="13"/>
      <c r="I2268" s="15"/>
      <c r="J2268" s="19">
        <v>3</v>
      </c>
      <c r="K2268" s="2" t="s">
        <v>4548</v>
      </c>
      <c r="L2268" s="11" t="str">
        <f t="shared" si="36"/>
        <v>Ver Imagen</v>
      </c>
      <c r="M2268" t="s">
        <v>15</v>
      </c>
    </row>
    <row r="2269" spans="1:13" x14ac:dyDescent="0.25">
      <c r="A2269">
        <v>2268</v>
      </c>
      <c r="B2269" t="s">
        <v>4549</v>
      </c>
      <c r="C2269" s="1">
        <v>37.271157412000001</v>
      </c>
      <c r="D2269" s="1">
        <v>-6.9884550561700003</v>
      </c>
      <c r="E2269" s="3">
        <v>3</v>
      </c>
      <c r="F2269" s="2">
        <v>3</v>
      </c>
      <c r="G2269" s="4">
        <v>3</v>
      </c>
      <c r="H2269" s="13"/>
      <c r="I2269" s="15"/>
      <c r="J2269" s="19">
        <v>3</v>
      </c>
      <c r="K2269" s="2" t="s">
        <v>4550</v>
      </c>
      <c r="L2269" s="11" t="str">
        <f t="shared" si="36"/>
        <v>Ver Imagen</v>
      </c>
      <c r="M2269" t="s">
        <v>15</v>
      </c>
    </row>
    <row r="2270" spans="1:13" x14ac:dyDescent="0.25">
      <c r="A2270">
        <v>2269</v>
      </c>
      <c r="B2270" t="s">
        <v>4551</v>
      </c>
      <c r="C2270" s="1">
        <v>37.271684367900001</v>
      </c>
      <c r="D2270" s="1">
        <v>-6.9871014453600004</v>
      </c>
      <c r="E2270" s="3">
        <v>3</v>
      </c>
      <c r="F2270" s="2">
        <v>3</v>
      </c>
      <c r="G2270" s="4">
        <v>3</v>
      </c>
      <c r="H2270" s="13"/>
      <c r="I2270" s="15"/>
      <c r="J2270" s="19">
        <v>3</v>
      </c>
      <c r="K2270" s="2" t="s">
        <v>4552</v>
      </c>
      <c r="L2270" s="11" t="str">
        <f t="shared" si="36"/>
        <v>Ver Imagen</v>
      </c>
      <c r="M2270" t="s">
        <v>15</v>
      </c>
    </row>
    <row r="2271" spans="1:13" x14ac:dyDescent="0.25">
      <c r="A2271">
        <v>2270</v>
      </c>
      <c r="B2271" t="s">
        <v>4553</v>
      </c>
      <c r="C2271" s="1">
        <v>37.271714731899998</v>
      </c>
      <c r="D2271" s="1">
        <v>-6.9868679004400001</v>
      </c>
      <c r="E2271" s="3">
        <v>3</v>
      </c>
      <c r="F2271" s="2">
        <v>3</v>
      </c>
      <c r="G2271" s="4">
        <v>3</v>
      </c>
      <c r="H2271" s="13"/>
      <c r="I2271" s="15"/>
      <c r="J2271" s="19">
        <v>3</v>
      </c>
      <c r="K2271" s="2" t="s">
        <v>4554</v>
      </c>
      <c r="L2271" s="11" t="str">
        <f t="shared" si="36"/>
        <v>Ver Imagen</v>
      </c>
      <c r="M2271" t="s">
        <v>15</v>
      </c>
    </row>
    <row r="2272" spans="1:13" x14ac:dyDescent="0.25">
      <c r="A2272">
        <v>2271</v>
      </c>
      <c r="B2272" t="s">
        <v>4555</v>
      </c>
      <c r="C2272" s="1">
        <v>37.271671190900001</v>
      </c>
      <c r="D2272" s="1">
        <v>-6.9855892087799996</v>
      </c>
      <c r="E2272" s="3">
        <v>3</v>
      </c>
      <c r="F2272" s="2">
        <v>3</v>
      </c>
      <c r="G2272" s="4">
        <v>3</v>
      </c>
      <c r="H2272" s="13"/>
      <c r="I2272" s="15"/>
      <c r="J2272" s="19">
        <v>3</v>
      </c>
      <c r="K2272" s="2" t="s">
        <v>4556</v>
      </c>
      <c r="L2272" s="11" t="str">
        <f t="shared" si="36"/>
        <v>Ver Imagen</v>
      </c>
      <c r="M2272" t="s">
        <v>15</v>
      </c>
    </row>
    <row r="2273" spans="1:13" x14ac:dyDescent="0.25">
      <c r="A2273">
        <v>2272</v>
      </c>
      <c r="B2273" t="s">
        <v>4557</v>
      </c>
      <c r="C2273" s="1">
        <v>37.271637519499997</v>
      </c>
      <c r="D2273" s="1">
        <v>-6.9853824099799997</v>
      </c>
      <c r="E2273" s="3">
        <v>3</v>
      </c>
      <c r="F2273" s="2">
        <v>3</v>
      </c>
      <c r="G2273" s="4">
        <v>3</v>
      </c>
      <c r="H2273" s="13"/>
      <c r="I2273" s="15"/>
      <c r="J2273" s="19">
        <v>3</v>
      </c>
      <c r="K2273" s="2" t="s">
        <v>4558</v>
      </c>
      <c r="L2273" s="11" t="str">
        <f t="shared" si="36"/>
        <v>Ver Imagen</v>
      </c>
      <c r="M2273" t="s">
        <v>15</v>
      </c>
    </row>
    <row r="2274" spans="1:13" x14ac:dyDescent="0.25">
      <c r="A2274">
        <v>2273</v>
      </c>
      <c r="B2274" t="s">
        <v>4559</v>
      </c>
      <c r="C2274" s="1">
        <v>37.271475995700001</v>
      </c>
      <c r="D2274" s="1">
        <v>-6.9846493786100003</v>
      </c>
      <c r="E2274" s="3">
        <v>3</v>
      </c>
      <c r="F2274" s="2">
        <v>3</v>
      </c>
      <c r="G2274" s="4">
        <v>3</v>
      </c>
      <c r="H2274" s="13"/>
      <c r="I2274" s="15"/>
      <c r="J2274" s="19">
        <v>3</v>
      </c>
      <c r="K2274" s="2" t="s">
        <v>4560</v>
      </c>
      <c r="L2274" s="11" t="str">
        <f t="shared" si="36"/>
        <v>Ver Imagen</v>
      </c>
      <c r="M2274" t="s">
        <v>15</v>
      </c>
    </row>
    <row r="2275" spans="1:13" x14ac:dyDescent="0.25">
      <c r="A2275">
        <v>2274</v>
      </c>
      <c r="B2275" t="s">
        <v>4561</v>
      </c>
      <c r="C2275" s="1">
        <v>37.270521141400003</v>
      </c>
      <c r="D2275" s="1">
        <v>-6.98127862677</v>
      </c>
      <c r="E2275" s="3">
        <v>3</v>
      </c>
      <c r="F2275" s="2">
        <v>3</v>
      </c>
      <c r="G2275" s="4">
        <v>3</v>
      </c>
      <c r="H2275" s="13"/>
      <c r="I2275" s="15"/>
      <c r="J2275" s="19">
        <v>3</v>
      </c>
      <c r="K2275" s="2" t="s">
        <v>4562</v>
      </c>
      <c r="L2275" s="11" t="str">
        <f t="shared" si="36"/>
        <v>Ver Imagen</v>
      </c>
      <c r="M2275" t="s">
        <v>15</v>
      </c>
    </row>
    <row r="2276" spans="1:13" x14ac:dyDescent="0.25">
      <c r="A2276">
        <v>2275</v>
      </c>
      <c r="B2276" t="s">
        <v>4563</v>
      </c>
      <c r="C2276" s="1">
        <v>37.270461200200003</v>
      </c>
      <c r="D2276" s="1">
        <v>-6.9810749985299996</v>
      </c>
      <c r="E2276" s="3">
        <v>3</v>
      </c>
      <c r="F2276" s="2">
        <v>3</v>
      </c>
      <c r="G2276" s="4">
        <v>3</v>
      </c>
      <c r="H2276" s="13"/>
      <c r="I2276" s="15"/>
      <c r="J2276" s="19">
        <v>3</v>
      </c>
      <c r="K2276" s="2" t="s">
        <v>4564</v>
      </c>
      <c r="L2276" s="11" t="str">
        <f t="shared" si="36"/>
        <v>Ver Imagen</v>
      </c>
      <c r="M2276" t="s">
        <v>15</v>
      </c>
    </row>
    <row r="2277" spans="1:13" x14ac:dyDescent="0.25">
      <c r="A2277">
        <v>2276</v>
      </c>
      <c r="B2277" t="s">
        <v>4565</v>
      </c>
      <c r="C2277" s="1">
        <v>37.270386292200001</v>
      </c>
      <c r="D2277" s="1">
        <v>-6.9808186908399996</v>
      </c>
      <c r="E2277" s="3">
        <v>3</v>
      </c>
      <c r="F2277" s="2">
        <v>3</v>
      </c>
      <c r="G2277" s="4">
        <v>3</v>
      </c>
      <c r="H2277" s="13"/>
      <c r="I2277" s="15"/>
      <c r="J2277" s="19">
        <v>3</v>
      </c>
      <c r="K2277" s="2" t="s">
        <v>4566</v>
      </c>
      <c r="L2277" s="11" t="str">
        <f t="shared" si="36"/>
        <v>Ver Imagen</v>
      </c>
      <c r="M2277" t="s">
        <v>15</v>
      </c>
    </row>
    <row r="2278" spans="1:13" x14ac:dyDescent="0.25">
      <c r="A2278">
        <v>2277</v>
      </c>
      <c r="B2278" t="s">
        <v>4567</v>
      </c>
      <c r="C2278" s="1">
        <v>37.270255354900002</v>
      </c>
      <c r="D2278" s="1">
        <v>-6.9803620952200003</v>
      </c>
      <c r="E2278" s="3">
        <v>3</v>
      </c>
      <c r="F2278" s="2">
        <v>3</v>
      </c>
      <c r="G2278" s="4">
        <v>3</v>
      </c>
      <c r="H2278" s="13"/>
      <c r="I2278" s="15"/>
      <c r="J2278" s="19">
        <v>3</v>
      </c>
      <c r="K2278" s="2" t="s">
        <v>4568</v>
      </c>
      <c r="L2278" s="11" t="str">
        <f t="shared" si="36"/>
        <v>Ver Imagen</v>
      </c>
      <c r="M2278" t="s">
        <v>15</v>
      </c>
    </row>
    <row r="2279" spans="1:13" x14ac:dyDescent="0.25">
      <c r="A2279">
        <v>2278</v>
      </c>
      <c r="B2279" t="s">
        <v>4569</v>
      </c>
      <c r="C2279" s="1">
        <v>37.2701824321</v>
      </c>
      <c r="D2279" s="1">
        <v>-6.9801048465299997</v>
      </c>
      <c r="E2279" s="3">
        <v>3</v>
      </c>
      <c r="F2279" s="2">
        <v>3</v>
      </c>
      <c r="G2279" s="4">
        <v>3</v>
      </c>
      <c r="H2279" s="13"/>
      <c r="I2279" s="15"/>
      <c r="J2279" s="19">
        <v>3</v>
      </c>
      <c r="K2279" s="2" t="s">
        <v>4570</v>
      </c>
      <c r="L2279" s="11" t="str">
        <f t="shared" si="36"/>
        <v>Ver Imagen</v>
      </c>
      <c r="M2279" t="s">
        <v>15</v>
      </c>
    </row>
    <row r="2280" spans="1:13" x14ac:dyDescent="0.25">
      <c r="A2280">
        <v>2279</v>
      </c>
      <c r="B2280" t="s">
        <v>4571</v>
      </c>
      <c r="C2280" s="1">
        <v>37.269978890600001</v>
      </c>
      <c r="D2280" s="1">
        <v>-6.9793901874299999</v>
      </c>
      <c r="E2280" s="3">
        <v>3</v>
      </c>
      <c r="F2280" s="2">
        <v>3</v>
      </c>
      <c r="G2280" s="4">
        <v>3</v>
      </c>
      <c r="H2280" s="13"/>
      <c r="I2280" s="15"/>
      <c r="J2280" s="19">
        <v>3</v>
      </c>
      <c r="K2280" s="2" t="s">
        <v>4572</v>
      </c>
      <c r="L2280" s="11" t="str">
        <f t="shared" si="36"/>
        <v>Ver Imagen</v>
      </c>
      <c r="M2280" t="s">
        <v>15</v>
      </c>
    </row>
    <row r="2281" spans="1:13" x14ac:dyDescent="0.25">
      <c r="A2281">
        <v>2280</v>
      </c>
      <c r="B2281" t="s">
        <v>4573</v>
      </c>
      <c r="C2281" s="1">
        <v>37.446717200400002</v>
      </c>
      <c r="D2281" s="1">
        <v>-7.1383622189300002</v>
      </c>
      <c r="E2281" s="3">
        <v>2</v>
      </c>
      <c r="F2281" s="2">
        <v>3</v>
      </c>
      <c r="G2281" s="4">
        <v>3</v>
      </c>
      <c r="H2281" s="13"/>
      <c r="I2281" s="15"/>
      <c r="J2281" s="19">
        <v>3</v>
      </c>
      <c r="K2281" s="2" t="s">
        <v>4574</v>
      </c>
      <c r="L2281" s="11" t="str">
        <f t="shared" ref="L2281:L2344" si="37">HYPERLINK("3\1\" &amp; K2281, "Ver Imagen")</f>
        <v>Ver Imagen</v>
      </c>
      <c r="M2281" t="s">
        <v>15</v>
      </c>
    </row>
    <row r="2282" spans="1:13" x14ac:dyDescent="0.25">
      <c r="A2282">
        <v>2281</v>
      </c>
      <c r="B2282" t="s">
        <v>4575</v>
      </c>
      <c r="C2282" s="1">
        <v>37.448662208899997</v>
      </c>
      <c r="D2282" s="1">
        <v>-7.1467119721800003</v>
      </c>
      <c r="E2282" s="3">
        <v>2</v>
      </c>
      <c r="F2282" s="2">
        <v>3</v>
      </c>
      <c r="G2282" s="4">
        <v>3</v>
      </c>
      <c r="H2282" s="13"/>
      <c r="I2282" s="15"/>
      <c r="J2282" s="19">
        <v>3</v>
      </c>
      <c r="K2282" s="2" t="s">
        <v>4576</v>
      </c>
      <c r="L2282" s="11" t="str">
        <f t="shared" si="37"/>
        <v>Ver Imagen</v>
      </c>
      <c r="M2282" t="s">
        <v>15</v>
      </c>
    </row>
    <row r="2283" spans="1:13" x14ac:dyDescent="0.25">
      <c r="A2283">
        <v>2282</v>
      </c>
      <c r="B2283" t="s">
        <v>4577</v>
      </c>
      <c r="C2283" s="1">
        <v>37.448482152899999</v>
      </c>
      <c r="D2283" s="1">
        <v>-7.1431602958799996</v>
      </c>
      <c r="E2283" s="3">
        <v>2</v>
      </c>
      <c r="F2283" s="2">
        <v>3</v>
      </c>
      <c r="G2283" s="4">
        <v>3</v>
      </c>
      <c r="H2283" s="13"/>
      <c r="I2283" s="15"/>
      <c r="J2283" s="19">
        <v>3</v>
      </c>
      <c r="K2283" s="2" t="s">
        <v>4578</v>
      </c>
      <c r="L2283" s="11" t="str">
        <f t="shared" si="37"/>
        <v>Ver Imagen</v>
      </c>
      <c r="M2283" t="s">
        <v>15</v>
      </c>
    </row>
    <row r="2284" spans="1:13" x14ac:dyDescent="0.25">
      <c r="A2284">
        <v>2283</v>
      </c>
      <c r="B2284" t="s">
        <v>4579</v>
      </c>
      <c r="C2284" s="1">
        <v>37.448736890100001</v>
      </c>
      <c r="D2284" s="1">
        <v>-7.1482364072099998</v>
      </c>
      <c r="E2284" s="3">
        <v>2</v>
      </c>
      <c r="F2284" s="2">
        <v>3</v>
      </c>
      <c r="G2284" s="4">
        <v>3</v>
      </c>
      <c r="H2284" s="13"/>
      <c r="I2284" s="15"/>
      <c r="J2284" s="19">
        <v>3</v>
      </c>
      <c r="K2284" s="2" t="s">
        <v>4580</v>
      </c>
      <c r="L2284" s="11" t="str">
        <f t="shared" si="37"/>
        <v>Ver Imagen</v>
      </c>
      <c r="M2284" t="s">
        <v>15</v>
      </c>
    </row>
    <row r="2285" spans="1:13" x14ac:dyDescent="0.25">
      <c r="A2285">
        <v>2284</v>
      </c>
      <c r="B2285" t="s">
        <v>4581</v>
      </c>
      <c r="C2285" s="1">
        <v>37.452437275100003</v>
      </c>
      <c r="D2285" s="1">
        <v>-7.16034665848</v>
      </c>
      <c r="E2285" s="3">
        <v>2</v>
      </c>
      <c r="F2285" s="2">
        <v>3</v>
      </c>
      <c r="G2285" s="4">
        <v>3</v>
      </c>
      <c r="H2285" s="13"/>
      <c r="I2285" s="15"/>
      <c r="J2285" s="19">
        <v>3</v>
      </c>
      <c r="K2285" s="2" t="s">
        <v>4582</v>
      </c>
      <c r="L2285" s="11" t="str">
        <f t="shared" si="37"/>
        <v>Ver Imagen</v>
      </c>
      <c r="M2285" t="s">
        <v>15</v>
      </c>
    </row>
    <row r="2286" spans="1:13" x14ac:dyDescent="0.25">
      <c r="A2286">
        <v>2285</v>
      </c>
      <c r="B2286" t="s">
        <v>4583</v>
      </c>
      <c r="C2286" s="1">
        <v>37.280229535300002</v>
      </c>
      <c r="D2286" s="1">
        <v>-7.0054219718899997</v>
      </c>
      <c r="E2286" s="3">
        <v>2</v>
      </c>
      <c r="F2286" s="2">
        <v>3</v>
      </c>
      <c r="G2286" s="4">
        <v>3</v>
      </c>
      <c r="H2286" s="13"/>
      <c r="I2286" s="15"/>
      <c r="J2286" s="19">
        <v>3</v>
      </c>
      <c r="K2286" s="2" t="s">
        <v>4584</v>
      </c>
      <c r="L2286" s="11" t="str">
        <f t="shared" si="37"/>
        <v>Ver Imagen</v>
      </c>
      <c r="M2286" t="s">
        <v>15</v>
      </c>
    </row>
    <row r="2287" spans="1:13" x14ac:dyDescent="0.25">
      <c r="A2287">
        <v>2286</v>
      </c>
      <c r="B2287" t="s">
        <v>4585</v>
      </c>
      <c r="C2287" s="1">
        <v>37.280052246099999</v>
      </c>
      <c r="D2287" s="1">
        <v>-7.0058712734500004</v>
      </c>
      <c r="E2287" s="3">
        <v>2</v>
      </c>
      <c r="F2287" s="2">
        <v>3</v>
      </c>
      <c r="G2287" s="4">
        <v>3</v>
      </c>
      <c r="H2287" s="13"/>
      <c r="I2287" s="15"/>
      <c r="J2287" s="19">
        <v>3</v>
      </c>
      <c r="K2287" s="2" t="s">
        <v>4586</v>
      </c>
      <c r="L2287" s="11" t="str">
        <f t="shared" si="37"/>
        <v>Ver Imagen</v>
      </c>
      <c r="M2287" t="s">
        <v>15</v>
      </c>
    </row>
    <row r="2288" spans="1:13" x14ac:dyDescent="0.25">
      <c r="A2288">
        <v>2287</v>
      </c>
      <c r="B2288" t="s">
        <v>4587</v>
      </c>
      <c r="C2288" s="1">
        <v>37.278976360500003</v>
      </c>
      <c r="D2288" s="1">
        <v>-7.0086193968200003</v>
      </c>
      <c r="E2288" s="3">
        <v>2</v>
      </c>
      <c r="F2288" s="2">
        <v>3</v>
      </c>
      <c r="G2288" s="4">
        <v>3</v>
      </c>
      <c r="H2288" s="13"/>
      <c r="I2288" s="15"/>
      <c r="J2288" s="19">
        <v>3</v>
      </c>
      <c r="K2288" s="2" t="s">
        <v>4588</v>
      </c>
      <c r="L2288" s="11" t="str">
        <f t="shared" si="37"/>
        <v>Ver Imagen</v>
      </c>
      <c r="M2288" t="s">
        <v>15</v>
      </c>
    </row>
    <row r="2289" spans="1:13" x14ac:dyDescent="0.25">
      <c r="A2289">
        <v>2288</v>
      </c>
      <c r="B2289" t="s">
        <v>4589</v>
      </c>
      <c r="C2289" s="1">
        <v>37.276010352900002</v>
      </c>
      <c r="D2289" s="1">
        <v>-7.01461648129</v>
      </c>
      <c r="E2289" s="3">
        <v>3</v>
      </c>
      <c r="F2289" s="2">
        <v>3</v>
      </c>
      <c r="G2289" s="4">
        <v>2</v>
      </c>
      <c r="H2289" s="13"/>
      <c r="I2289" s="15"/>
      <c r="J2289" s="19">
        <v>3</v>
      </c>
      <c r="K2289" s="2" t="s">
        <v>4590</v>
      </c>
      <c r="L2289" s="11" t="str">
        <f t="shared" si="37"/>
        <v>Ver Imagen</v>
      </c>
      <c r="M2289" t="s">
        <v>15</v>
      </c>
    </row>
    <row r="2290" spans="1:13" x14ac:dyDescent="0.25">
      <c r="A2290">
        <v>2289</v>
      </c>
      <c r="B2290" t="s">
        <v>4591</v>
      </c>
      <c r="C2290" s="1">
        <v>37.2759366051</v>
      </c>
      <c r="D2290" s="1">
        <v>-7.0148505490500002</v>
      </c>
      <c r="E2290" s="3">
        <v>2</v>
      </c>
      <c r="F2290" s="2">
        <v>3</v>
      </c>
      <c r="G2290" s="4">
        <v>3</v>
      </c>
      <c r="H2290" s="13"/>
      <c r="I2290" s="15"/>
      <c r="J2290" s="19">
        <v>3</v>
      </c>
      <c r="K2290" s="2" t="s">
        <v>4592</v>
      </c>
      <c r="L2290" s="11" t="str">
        <f t="shared" si="37"/>
        <v>Ver Imagen</v>
      </c>
      <c r="M2290" t="s">
        <v>15</v>
      </c>
    </row>
    <row r="2291" spans="1:13" x14ac:dyDescent="0.25">
      <c r="A2291">
        <v>2290</v>
      </c>
      <c r="B2291" t="s">
        <v>4593</v>
      </c>
      <c r="C2291" s="1">
        <v>37.275985499699999</v>
      </c>
      <c r="D2291" s="1">
        <v>-7.0215216216199998</v>
      </c>
      <c r="E2291" s="3">
        <v>2</v>
      </c>
      <c r="F2291" s="2">
        <v>3</v>
      </c>
      <c r="G2291" s="4">
        <v>3</v>
      </c>
      <c r="H2291" s="13"/>
      <c r="I2291" s="15"/>
      <c r="J2291" s="19">
        <v>3</v>
      </c>
      <c r="K2291" s="2" t="s">
        <v>4594</v>
      </c>
      <c r="L2291" s="11" t="str">
        <f t="shared" si="37"/>
        <v>Ver Imagen</v>
      </c>
      <c r="M2291" t="s">
        <v>15</v>
      </c>
    </row>
    <row r="2292" spans="1:13" x14ac:dyDescent="0.25">
      <c r="A2292">
        <v>2291</v>
      </c>
      <c r="B2292" t="s">
        <v>4595</v>
      </c>
      <c r="C2292" s="1">
        <v>37.276262449500003</v>
      </c>
      <c r="D2292" s="1">
        <v>-7.0234935464100001</v>
      </c>
      <c r="E2292" s="3">
        <v>2</v>
      </c>
      <c r="F2292" s="2">
        <v>3</v>
      </c>
      <c r="G2292" s="4">
        <v>3</v>
      </c>
      <c r="H2292" s="13"/>
      <c r="I2292" s="15"/>
      <c r="J2292" s="19">
        <v>3</v>
      </c>
      <c r="K2292" s="2" t="s">
        <v>4596</v>
      </c>
      <c r="L2292" s="11" t="str">
        <f t="shared" si="37"/>
        <v>Ver Imagen</v>
      </c>
      <c r="M2292" t="s">
        <v>15</v>
      </c>
    </row>
    <row r="2293" spans="1:13" x14ac:dyDescent="0.25">
      <c r="A2293">
        <v>2292</v>
      </c>
      <c r="B2293" t="s">
        <v>4597</v>
      </c>
      <c r="C2293" s="1">
        <v>37.293689005200001</v>
      </c>
      <c r="D2293" s="1">
        <v>-7.0468525891300002</v>
      </c>
      <c r="E2293" s="3">
        <v>2</v>
      </c>
      <c r="F2293" s="2">
        <v>3</v>
      </c>
      <c r="G2293" s="4">
        <v>3</v>
      </c>
      <c r="H2293" s="13"/>
      <c r="I2293" s="15"/>
      <c r="J2293" s="19">
        <v>3</v>
      </c>
      <c r="K2293" s="2" t="s">
        <v>4598</v>
      </c>
      <c r="L2293" s="11" t="str">
        <f t="shared" si="37"/>
        <v>Ver Imagen</v>
      </c>
      <c r="M2293" t="s">
        <v>15</v>
      </c>
    </row>
    <row r="2294" spans="1:13" x14ac:dyDescent="0.25">
      <c r="A2294">
        <v>2293</v>
      </c>
      <c r="B2294" t="s">
        <v>4599</v>
      </c>
      <c r="C2294" s="1">
        <v>37.2939692693</v>
      </c>
      <c r="D2294" s="1">
        <v>-7.0472386257000004</v>
      </c>
      <c r="E2294" s="3">
        <v>2</v>
      </c>
      <c r="F2294" s="2">
        <v>3</v>
      </c>
      <c r="G2294" s="4">
        <v>3</v>
      </c>
      <c r="H2294" s="13"/>
      <c r="I2294" s="15"/>
      <c r="J2294" s="19">
        <v>3</v>
      </c>
      <c r="K2294" s="2" t="s">
        <v>4600</v>
      </c>
      <c r="L2294" s="11" t="str">
        <f t="shared" si="37"/>
        <v>Ver Imagen</v>
      </c>
      <c r="M2294" t="s">
        <v>15</v>
      </c>
    </row>
    <row r="2295" spans="1:13" x14ac:dyDescent="0.25">
      <c r="A2295">
        <v>2294</v>
      </c>
      <c r="B2295" t="s">
        <v>4601</v>
      </c>
      <c r="C2295" s="1">
        <v>37.299496516799998</v>
      </c>
      <c r="D2295" s="1">
        <v>-7.0546630012599998</v>
      </c>
      <c r="E2295" s="3">
        <v>2</v>
      </c>
      <c r="F2295" s="2">
        <v>3</v>
      </c>
      <c r="G2295" s="4">
        <v>3</v>
      </c>
      <c r="H2295" s="13"/>
      <c r="I2295" s="15"/>
      <c r="J2295" s="19">
        <v>3</v>
      </c>
      <c r="K2295" s="2" t="s">
        <v>4602</v>
      </c>
      <c r="L2295" s="11" t="str">
        <f t="shared" si="37"/>
        <v>Ver Imagen</v>
      </c>
      <c r="M2295" t="s">
        <v>15</v>
      </c>
    </row>
    <row r="2296" spans="1:13" x14ac:dyDescent="0.25">
      <c r="A2296">
        <v>2295</v>
      </c>
      <c r="B2296" t="s">
        <v>4603</v>
      </c>
      <c r="C2296" s="1">
        <v>37.308884898999999</v>
      </c>
      <c r="D2296" s="1">
        <v>-7.0574562742899998</v>
      </c>
      <c r="E2296" s="3">
        <v>2</v>
      </c>
      <c r="F2296" s="2">
        <v>3</v>
      </c>
      <c r="G2296" s="4">
        <v>3</v>
      </c>
      <c r="H2296" s="13"/>
      <c r="I2296" s="15"/>
      <c r="J2296" s="19">
        <v>3</v>
      </c>
      <c r="K2296" s="2" t="s">
        <v>4604</v>
      </c>
      <c r="L2296" s="11" t="str">
        <f t="shared" si="37"/>
        <v>Ver Imagen</v>
      </c>
      <c r="M2296" t="s">
        <v>15</v>
      </c>
    </row>
    <row r="2297" spans="1:13" x14ac:dyDescent="0.25">
      <c r="A2297">
        <v>2296</v>
      </c>
      <c r="B2297" t="s">
        <v>4605</v>
      </c>
      <c r="C2297" s="1">
        <v>37.448730918499997</v>
      </c>
      <c r="D2297" s="1">
        <v>-7.1097277156700001</v>
      </c>
      <c r="E2297" s="3">
        <v>2</v>
      </c>
      <c r="F2297" s="2">
        <v>3</v>
      </c>
      <c r="G2297" s="4">
        <v>3</v>
      </c>
      <c r="H2297" s="13"/>
      <c r="I2297" s="15"/>
      <c r="J2297" s="19">
        <v>3</v>
      </c>
      <c r="K2297" s="2" t="s">
        <v>4606</v>
      </c>
      <c r="L2297" s="11" t="str">
        <f t="shared" si="37"/>
        <v>Ver Imagen</v>
      </c>
      <c r="M2297" t="s">
        <v>15</v>
      </c>
    </row>
    <row r="2298" spans="1:13" x14ac:dyDescent="0.25">
      <c r="A2298">
        <v>2297</v>
      </c>
      <c r="B2298" t="s">
        <v>4607</v>
      </c>
      <c r="C2298" s="1">
        <v>37.189971049500002</v>
      </c>
      <c r="D2298" s="1">
        <v>-6.9887687940000003</v>
      </c>
      <c r="E2298" s="3">
        <v>2</v>
      </c>
      <c r="F2298" s="2">
        <v>3</v>
      </c>
      <c r="G2298" s="4">
        <v>3</v>
      </c>
      <c r="H2298" s="13"/>
      <c r="I2298" s="15"/>
      <c r="J2298" s="19">
        <v>3</v>
      </c>
      <c r="K2298" s="2" t="s">
        <v>4608</v>
      </c>
      <c r="L2298" s="11" t="str">
        <f t="shared" si="37"/>
        <v>Ver Imagen</v>
      </c>
      <c r="M2298" t="s">
        <v>15</v>
      </c>
    </row>
    <row r="2299" spans="1:13" x14ac:dyDescent="0.25">
      <c r="A2299">
        <v>2298</v>
      </c>
      <c r="B2299" t="s">
        <v>4609</v>
      </c>
      <c r="C2299" s="1">
        <v>37.193115387500001</v>
      </c>
      <c r="D2299" s="1">
        <v>-6.9955986853400001</v>
      </c>
      <c r="E2299" s="3">
        <v>2</v>
      </c>
      <c r="F2299" s="2">
        <v>3</v>
      </c>
      <c r="G2299" s="4">
        <v>3</v>
      </c>
      <c r="H2299" s="13"/>
      <c r="I2299" s="15"/>
      <c r="J2299" s="19">
        <v>3</v>
      </c>
      <c r="K2299" s="2" t="s">
        <v>4610</v>
      </c>
      <c r="L2299" s="11" t="str">
        <f t="shared" si="37"/>
        <v>Ver Imagen</v>
      </c>
      <c r="M2299" t="s">
        <v>15</v>
      </c>
    </row>
    <row r="2300" spans="1:13" x14ac:dyDescent="0.25">
      <c r="A2300">
        <v>2299</v>
      </c>
      <c r="B2300" t="s">
        <v>4611</v>
      </c>
      <c r="C2300" s="1">
        <v>37.193485568200003</v>
      </c>
      <c r="D2300" s="1">
        <v>-6.9964745948899996</v>
      </c>
      <c r="E2300" s="3">
        <v>2</v>
      </c>
      <c r="F2300" s="2">
        <v>3</v>
      </c>
      <c r="G2300" s="4">
        <v>3</v>
      </c>
      <c r="H2300" s="13"/>
      <c r="I2300" s="15"/>
      <c r="J2300" s="19">
        <v>3</v>
      </c>
      <c r="K2300" s="2" t="s">
        <v>4612</v>
      </c>
      <c r="L2300" s="11" t="str">
        <f t="shared" si="37"/>
        <v>Ver Imagen</v>
      </c>
      <c r="M2300" t="s">
        <v>15</v>
      </c>
    </row>
    <row r="2301" spans="1:13" x14ac:dyDescent="0.25">
      <c r="A2301">
        <v>2300</v>
      </c>
      <c r="B2301" t="s">
        <v>4613</v>
      </c>
      <c r="C2301" s="1">
        <v>37.193771185700001</v>
      </c>
      <c r="D2301" s="1">
        <v>-6.9971567195300004</v>
      </c>
      <c r="E2301" s="3">
        <v>2</v>
      </c>
      <c r="F2301" s="2">
        <v>3</v>
      </c>
      <c r="G2301" s="4">
        <v>3</v>
      </c>
      <c r="H2301" s="13"/>
      <c r="I2301" s="15"/>
      <c r="J2301" s="19">
        <v>3</v>
      </c>
      <c r="K2301" s="2" t="s">
        <v>4614</v>
      </c>
      <c r="L2301" s="11" t="str">
        <f t="shared" si="37"/>
        <v>Ver Imagen</v>
      </c>
      <c r="M2301" t="s">
        <v>15</v>
      </c>
    </row>
    <row r="2302" spans="1:13" x14ac:dyDescent="0.25">
      <c r="A2302">
        <v>2301</v>
      </c>
      <c r="B2302" t="s">
        <v>4615</v>
      </c>
      <c r="C2302" s="1">
        <v>37.195241651700002</v>
      </c>
      <c r="D2302" s="1">
        <v>-7.0007336489599998</v>
      </c>
      <c r="E2302" s="3">
        <v>2</v>
      </c>
      <c r="F2302" s="2">
        <v>3</v>
      </c>
      <c r="G2302" s="4">
        <v>3</v>
      </c>
      <c r="H2302" s="13"/>
      <c r="I2302" s="15"/>
      <c r="J2302" s="19">
        <v>3</v>
      </c>
      <c r="K2302" s="2" t="s">
        <v>4616</v>
      </c>
      <c r="L2302" s="11" t="str">
        <f t="shared" si="37"/>
        <v>Ver Imagen</v>
      </c>
      <c r="M2302" t="s">
        <v>15</v>
      </c>
    </row>
    <row r="2303" spans="1:13" x14ac:dyDescent="0.25">
      <c r="A2303">
        <v>2302</v>
      </c>
      <c r="B2303" t="s">
        <v>4617</v>
      </c>
      <c r="C2303" s="1">
        <v>37.195527312000003</v>
      </c>
      <c r="D2303" s="1">
        <v>-7.0014284151300004</v>
      </c>
      <c r="E2303" s="3">
        <v>2</v>
      </c>
      <c r="F2303" s="2">
        <v>3</v>
      </c>
      <c r="G2303" s="4">
        <v>3</v>
      </c>
      <c r="H2303" s="13"/>
      <c r="I2303" s="15"/>
      <c r="J2303" s="19">
        <v>3</v>
      </c>
      <c r="K2303" s="2" t="s">
        <v>4618</v>
      </c>
      <c r="L2303" s="11" t="str">
        <f t="shared" si="37"/>
        <v>Ver Imagen</v>
      </c>
      <c r="M2303" t="s">
        <v>15</v>
      </c>
    </row>
    <row r="2304" spans="1:13" x14ac:dyDescent="0.25">
      <c r="A2304">
        <v>2303</v>
      </c>
      <c r="B2304" t="s">
        <v>4619</v>
      </c>
      <c r="C2304" s="1">
        <v>37.195626871000002</v>
      </c>
      <c r="D2304" s="1">
        <v>-7.00166955124</v>
      </c>
      <c r="E2304" s="3">
        <v>2</v>
      </c>
      <c r="F2304" s="2">
        <v>3</v>
      </c>
      <c r="G2304" s="4">
        <v>3</v>
      </c>
      <c r="H2304" s="13"/>
      <c r="I2304" s="15"/>
      <c r="J2304" s="19">
        <v>3</v>
      </c>
      <c r="K2304" s="2" t="s">
        <v>4620</v>
      </c>
      <c r="L2304" s="11" t="str">
        <f t="shared" si="37"/>
        <v>Ver Imagen</v>
      </c>
      <c r="M2304" t="s">
        <v>15</v>
      </c>
    </row>
    <row r="2305" spans="1:13" x14ac:dyDescent="0.25">
      <c r="A2305">
        <v>2304</v>
      </c>
      <c r="B2305" t="s">
        <v>4621</v>
      </c>
      <c r="C2305" s="1">
        <v>37.1957044858</v>
      </c>
      <c r="D2305" s="1">
        <v>-7.0018564437000004</v>
      </c>
      <c r="E2305" s="3">
        <v>2</v>
      </c>
      <c r="F2305" s="2">
        <v>3</v>
      </c>
      <c r="G2305" s="4">
        <v>3</v>
      </c>
      <c r="H2305" s="13"/>
      <c r="I2305" s="15"/>
      <c r="J2305" s="19">
        <v>3</v>
      </c>
      <c r="K2305" s="2" t="s">
        <v>4622</v>
      </c>
      <c r="L2305" s="11" t="str">
        <f t="shared" si="37"/>
        <v>Ver Imagen</v>
      </c>
      <c r="M2305" t="s">
        <v>15</v>
      </c>
    </row>
    <row r="2306" spans="1:13" x14ac:dyDescent="0.25">
      <c r="A2306">
        <v>2305</v>
      </c>
      <c r="B2306" t="s">
        <v>4623</v>
      </c>
      <c r="C2306" s="1">
        <v>37.195796022400003</v>
      </c>
      <c r="D2306" s="1">
        <v>-7.0020759141699997</v>
      </c>
      <c r="E2306" s="3">
        <v>2</v>
      </c>
      <c r="F2306" s="2">
        <v>3</v>
      </c>
      <c r="G2306" s="4">
        <v>3</v>
      </c>
      <c r="H2306" s="13"/>
      <c r="I2306" s="15"/>
      <c r="J2306" s="19">
        <v>3</v>
      </c>
      <c r="K2306" s="2" t="s">
        <v>4624</v>
      </c>
      <c r="L2306" s="11" t="str">
        <f t="shared" si="37"/>
        <v>Ver Imagen</v>
      </c>
      <c r="M2306" t="s">
        <v>15</v>
      </c>
    </row>
    <row r="2307" spans="1:13" x14ac:dyDescent="0.25">
      <c r="A2307">
        <v>2306</v>
      </c>
      <c r="B2307" t="s">
        <v>4625</v>
      </c>
      <c r="C2307" s="1">
        <v>37.1960129267</v>
      </c>
      <c r="D2307" s="1">
        <v>-7.0025775224200002</v>
      </c>
      <c r="E2307" s="3">
        <v>2</v>
      </c>
      <c r="F2307" s="2">
        <v>3</v>
      </c>
      <c r="G2307" s="4">
        <v>3</v>
      </c>
      <c r="H2307" s="13"/>
      <c r="I2307" s="15"/>
      <c r="J2307" s="19">
        <v>3</v>
      </c>
      <c r="K2307" s="2" t="s">
        <v>4626</v>
      </c>
      <c r="L2307" s="11" t="str">
        <f t="shared" si="37"/>
        <v>Ver Imagen</v>
      </c>
      <c r="M2307" t="s">
        <v>15</v>
      </c>
    </row>
    <row r="2308" spans="1:13" x14ac:dyDescent="0.25">
      <c r="A2308">
        <v>2307</v>
      </c>
      <c r="B2308" t="s">
        <v>4627</v>
      </c>
      <c r="C2308" s="1">
        <v>37.196104335000001</v>
      </c>
      <c r="D2308" s="1">
        <v>-7.0027789739599999</v>
      </c>
      <c r="E2308" s="3">
        <v>2</v>
      </c>
      <c r="F2308" s="2">
        <v>3</v>
      </c>
      <c r="G2308" s="4">
        <v>3</v>
      </c>
      <c r="H2308" s="13"/>
      <c r="I2308" s="15"/>
      <c r="J2308" s="19">
        <v>3</v>
      </c>
      <c r="K2308" s="2" t="s">
        <v>4628</v>
      </c>
      <c r="L2308" s="11" t="str">
        <f t="shared" si="37"/>
        <v>Ver Imagen</v>
      </c>
      <c r="M2308" t="s">
        <v>15</v>
      </c>
    </row>
    <row r="2309" spans="1:13" x14ac:dyDescent="0.25">
      <c r="A2309">
        <v>2308</v>
      </c>
      <c r="B2309" t="s">
        <v>4629</v>
      </c>
      <c r="C2309" s="1">
        <v>37.196403212699998</v>
      </c>
      <c r="D2309" s="1">
        <v>-7.0034521994999999</v>
      </c>
      <c r="E2309" s="3">
        <v>2</v>
      </c>
      <c r="F2309" s="2">
        <v>3</v>
      </c>
      <c r="G2309" s="4">
        <v>3</v>
      </c>
      <c r="H2309" s="13"/>
      <c r="I2309" s="15"/>
      <c r="J2309" s="19">
        <v>3</v>
      </c>
      <c r="K2309" s="2" t="s">
        <v>4630</v>
      </c>
      <c r="L2309" s="11" t="str">
        <f t="shared" si="37"/>
        <v>Ver Imagen</v>
      </c>
      <c r="M2309" t="s">
        <v>15</v>
      </c>
    </row>
    <row r="2310" spans="1:13" x14ac:dyDescent="0.25">
      <c r="A2310">
        <v>2309</v>
      </c>
      <c r="B2310" t="s">
        <v>4631</v>
      </c>
      <c r="C2310" s="1">
        <v>37.1964859805</v>
      </c>
      <c r="D2310" s="1">
        <v>-7.00365134824</v>
      </c>
      <c r="E2310" s="3">
        <v>2</v>
      </c>
      <c r="F2310" s="2">
        <v>3</v>
      </c>
      <c r="G2310" s="4">
        <v>3</v>
      </c>
      <c r="H2310" s="13"/>
      <c r="I2310" s="15"/>
      <c r="J2310" s="19">
        <v>3</v>
      </c>
      <c r="K2310" s="2" t="s">
        <v>4632</v>
      </c>
      <c r="L2310" s="11" t="str">
        <f t="shared" si="37"/>
        <v>Ver Imagen</v>
      </c>
      <c r="M2310" t="s">
        <v>15</v>
      </c>
    </row>
    <row r="2311" spans="1:13" x14ac:dyDescent="0.25">
      <c r="A2311">
        <v>2310</v>
      </c>
      <c r="B2311" t="s">
        <v>4633</v>
      </c>
      <c r="C2311" s="1">
        <v>37.196583269900003</v>
      </c>
      <c r="D2311" s="1">
        <v>-7.0038902692700002</v>
      </c>
      <c r="E2311" s="3">
        <v>2</v>
      </c>
      <c r="F2311" s="2">
        <v>3</v>
      </c>
      <c r="G2311" s="4">
        <v>3</v>
      </c>
      <c r="H2311" s="13"/>
      <c r="I2311" s="15"/>
      <c r="J2311" s="19">
        <v>3</v>
      </c>
      <c r="K2311" s="2" t="s">
        <v>4634</v>
      </c>
      <c r="L2311" s="11" t="str">
        <f t="shared" si="37"/>
        <v>Ver Imagen</v>
      </c>
      <c r="M2311" t="s">
        <v>15</v>
      </c>
    </row>
    <row r="2312" spans="1:13" x14ac:dyDescent="0.25">
      <c r="A2312">
        <v>2311</v>
      </c>
      <c r="B2312" t="s">
        <v>4635</v>
      </c>
      <c r="C2312" s="1">
        <v>37.196672254900001</v>
      </c>
      <c r="D2312" s="1">
        <v>-7.0041150178700002</v>
      </c>
      <c r="E2312" s="3">
        <v>2</v>
      </c>
      <c r="F2312" s="2">
        <v>3</v>
      </c>
      <c r="G2312" s="4">
        <v>3</v>
      </c>
      <c r="H2312" s="13"/>
      <c r="I2312" s="15"/>
      <c r="J2312" s="19">
        <v>3</v>
      </c>
      <c r="K2312" s="2" t="s">
        <v>4636</v>
      </c>
      <c r="L2312" s="11" t="str">
        <f t="shared" si="37"/>
        <v>Ver Imagen</v>
      </c>
      <c r="M2312" t="s">
        <v>15</v>
      </c>
    </row>
    <row r="2313" spans="1:13" x14ac:dyDescent="0.25">
      <c r="A2313">
        <v>2312</v>
      </c>
      <c r="B2313" t="s">
        <v>4637</v>
      </c>
      <c r="C2313" s="1">
        <v>37.196841898499997</v>
      </c>
      <c r="D2313" s="1">
        <v>-7.0045486910100001</v>
      </c>
      <c r="E2313" s="3">
        <v>2</v>
      </c>
      <c r="F2313" s="2">
        <v>3</v>
      </c>
      <c r="G2313" s="4">
        <v>3</v>
      </c>
      <c r="H2313" s="13"/>
      <c r="I2313" s="15"/>
      <c r="J2313" s="19">
        <v>3</v>
      </c>
      <c r="K2313" s="2" t="s">
        <v>4638</v>
      </c>
      <c r="L2313" s="11" t="str">
        <f t="shared" si="37"/>
        <v>Ver Imagen</v>
      </c>
      <c r="M2313" t="s">
        <v>15</v>
      </c>
    </row>
    <row r="2314" spans="1:13" x14ac:dyDescent="0.25">
      <c r="A2314">
        <v>2313</v>
      </c>
      <c r="B2314" t="s">
        <v>4639</v>
      </c>
      <c r="C2314" s="1">
        <v>37.196947717500002</v>
      </c>
      <c r="D2314" s="1">
        <v>-7.00481426199</v>
      </c>
      <c r="E2314" s="3">
        <v>2</v>
      </c>
      <c r="F2314" s="2">
        <v>3</v>
      </c>
      <c r="G2314" s="4">
        <v>3</v>
      </c>
      <c r="H2314" s="13"/>
      <c r="I2314" s="15"/>
      <c r="J2314" s="19">
        <v>3</v>
      </c>
      <c r="K2314" s="2" t="s">
        <v>4640</v>
      </c>
      <c r="L2314" s="11" t="str">
        <f t="shared" si="37"/>
        <v>Ver Imagen</v>
      </c>
      <c r="M2314" t="s">
        <v>15</v>
      </c>
    </row>
    <row r="2315" spans="1:13" x14ac:dyDescent="0.25">
      <c r="A2315">
        <v>2314</v>
      </c>
      <c r="B2315" t="s">
        <v>4641</v>
      </c>
      <c r="C2315" s="1">
        <v>37.197013668300002</v>
      </c>
      <c r="D2315" s="1">
        <v>-7.0049778921900003</v>
      </c>
      <c r="E2315" s="3">
        <v>2</v>
      </c>
      <c r="F2315" s="2">
        <v>3</v>
      </c>
      <c r="G2315" s="4">
        <v>3</v>
      </c>
      <c r="H2315" s="13"/>
      <c r="I2315" s="15"/>
      <c r="J2315" s="19">
        <v>3</v>
      </c>
      <c r="K2315" s="2" t="s">
        <v>4642</v>
      </c>
      <c r="L2315" s="11" t="str">
        <f t="shared" si="37"/>
        <v>Ver Imagen</v>
      </c>
      <c r="M2315" t="s">
        <v>15</v>
      </c>
    </row>
    <row r="2316" spans="1:13" x14ac:dyDescent="0.25">
      <c r="A2316">
        <v>2315</v>
      </c>
      <c r="B2316" t="s">
        <v>4643</v>
      </c>
      <c r="C2316" s="1">
        <v>37.1975099884</v>
      </c>
      <c r="D2316" s="1">
        <v>-7.0061400130899996</v>
      </c>
      <c r="E2316" s="3">
        <v>2</v>
      </c>
      <c r="F2316" s="2">
        <v>3</v>
      </c>
      <c r="G2316" s="4">
        <v>3</v>
      </c>
      <c r="H2316" s="13"/>
      <c r="I2316" s="15"/>
      <c r="J2316" s="19">
        <v>3</v>
      </c>
      <c r="K2316" s="2" t="s">
        <v>4644</v>
      </c>
      <c r="L2316" s="11" t="str">
        <f t="shared" si="37"/>
        <v>Ver Imagen</v>
      </c>
      <c r="M2316" t="s">
        <v>15</v>
      </c>
    </row>
    <row r="2317" spans="1:13" x14ac:dyDescent="0.25">
      <c r="A2317">
        <v>2316</v>
      </c>
      <c r="B2317" t="s">
        <v>4645</v>
      </c>
      <c r="C2317" s="1">
        <v>37.1978038922</v>
      </c>
      <c r="D2317" s="1">
        <v>-7.0067726128999999</v>
      </c>
      <c r="E2317" s="3">
        <v>2</v>
      </c>
      <c r="F2317" s="2">
        <v>3</v>
      </c>
      <c r="G2317" s="4">
        <v>3</v>
      </c>
      <c r="H2317" s="13"/>
      <c r="I2317" s="15"/>
      <c r="J2317" s="19">
        <v>3</v>
      </c>
      <c r="K2317" s="2" t="s">
        <v>4646</v>
      </c>
      <c r="L2317" s="11" t="str">
        <f t="shared" si="37"/>
        <v>Ver Imagen</v>
      </c>
      <c r="M2317" t="s">
        <v>15</v>
      </c>
    </row>
    <row r="2318" spans="1:13" x14ac:dyDescent="0.25">
      <c r="A2318">
        <v>2317</v>
      </c>
      <c r="B2318" t="s">
        <v>4647</v>
      </c>
      <c r="C2318" s="1">
        <v>37.197909406400001</v>
      </c>
      <c r="D2318" s="1">
        <v>-7.0069904976000004</v>
      </c>
      <c r="E2318" s="3">
        <v>2</v>
      </c>
      <c r="F2318" s="2">
        <v>3</v>
      </c>
      <c r="G2318" s="4">
        <v>3</v>
      </c>
      <c r="H2318" s="13"/>
      <c r="I2318" s="15"/>
      <c r="J2318" s="19">
        <v>3</v>
      </c>
      <c r="K2318" s="2" t="s">
        <v>4648</v>
      </c>
      <c r="L2318" s="11" t="str">
        <f t="shared" si="37"/>
        <v>Ver Imagen</v>
      </c>
      <c r="M2318" t="s">
        <v>15</v>
      </c>
    </row>
    <row r="2319" spans="1:13" x14ac:dyDescent="0.25">
      <c r="A2319">
        <v>2318</v>
      </c>
      <c r="B2319" t="s">
        <v>4649</v>
      </c>
      <c r="C2319" s="1">
        <v>37.1980110497</v>
      </c>
      <c r="D2319" s="1">
        <v>-7.00719728324</v>
      </c>
      <c r="E2319" s="3">
        <v>2</v>
      </c>
      <c r="F2319" s="2">
        <v>3</v>
      </c>
      <c r="G2319" s="4">
        <v>3</v>
      </c>
      <c r="H2319" s="13"/>
      <c r="I2319" s="15"/>
      <c r="J2319" s="19">
        <v>3</v>
      </c>
      <c r="K2319" s="2" t="s">
        <v>4650</v>
      </c>
      <c r="L2319" s="11" t="str">
        <f t="shared" si="37"/>
        <v>Ver Imagen</v>
      </c>
      <c r="M2319" t="s">
        <v>15</v>
      </c>
    </row>
    <row r="2320" spans="1:13" x14ac:dyDescent="0.25">
      <c r="A2320">
        <v>2319</v>
      </c>
      <c r="B2320" t="s">
        <v>4651</v>
      </c>
      <c r="C2320" s="1">
        <v>37.198134524300002</v>
      </c>
      <c r="D2320" s="1">
        <v>-7.0074456205600004</v>
      </c>
      <c r="E2320" s="3">
        <v>2</v>
      </c>
      <c r="F2320" s="2">
        <v>3</v>
      </c>
      <c r="G2320" s="4">
        <v>3</v>
      </c>
      <c r="H2320" s="13"/>
      <c r="I2320" s="15"/>
      <c r="J2320" s="19">
        <v>3</v>
      </c>
      <c r="K2320" s="2" t="s">
        <v>4652</v>
      </c>
      <c r="L2320" s="11" t="str">
        <f t="shared" si="37"/>
        <v>Ver Imagen</v>
      </c>
      <c r="M2320" t="s">
        <v>15</v>
      </c>
    </row>
    <row r="2321" spans="1:13" x14ac:dyDescent="0.25">
      <c r="A2321">
        <v>2320</v>
      </c>
      <c r="B2321" t="s">
        <v>4653</v>
      </c>
      <c r="C2321" s="1">
        <v>37.198226044400002</v>
      </c>
      <c r="D2321" s="1">
        <v>-7.00762892903</v>
      </c>
      <c r="E2321" s="3">
        <v>2</v>
      </c>
      <c r="F2321" s="2">
        <v>3</v>
      </c>
      <c r="G2321" s="4">
        <v>3</v>
      </c>
      <c r="H2321" s="13"/>
      <c r="I2321" s="15"/>
      <c r="J2321" s="19">
        <v>3</v>
      </c>
      <c r="K2321" s="2" t="s">
        <v>4654</v>
      </c>
      <c r="L2321" s="11" t="str">
        <f t="shared" si="37"/>
        <v>Ver Imagen</v>
      </c>
      <c r="M2321" t="s">
        <v>15</v>
      </c>
    </row>
    <row r="2322" spans="1:13" x14ac:dyDescent="0.25">
      <c r="A2322">
        <v>2321</v>
      </c>
      <c r="B2322" t="s">
        <v>4655</v>
      </c>
      <c r="C2322" s="1">
        <v>37.198432807899998</v>
      </c>
      <c r="D2322" s="1">
        <v>-7.0080365092200001</v>
      </c>
      <c r="E2322" s="3">
        <v>2</v>
      </c>
      <c r="F2322" s="2">
        <v>3</v>
      </c>
      <c r="G2322" s="4">
        <v>3</v>
      </c>
      <c r="H2322" s="13"/>
      <c r="I2322" s="15"/>
      <c r="J2322" s="19">
        <v>3</v>
      </c>
      <c r="K2322" s="2" t="s">
        <v>4656</v>
      </c>
      <c r="L2322" s="11" t="str">
        <f t="shared" si="37"/>
        <v>Ver Imagen</v>
      </c>
      <c r="M2322" t="s">
        <v>15</v>
      </c>
    </row>
    <row r="2323" spans="1:13" x14ac:dyDescent="0.25">
      <c r="A2323">
        <v>2322</v>
      </c>
      <c r="B2323" t="s">
        <v>4657</v>
      </c>
      <c r="C2323" s="1">
        <v>37.1985640479</v>
      </c>
      <c r="D2323" s="1">
        <v>-7.00829131292</v>
      </c>
      <c r="E2323" s="3">
        <v>2</v>
      </c>
      <c r="F2323" s="2">
        <v>3</v>
      </c>
      <c r="G2323" s="4">
        <v>3</v>
      </c>
      <c r="H2323" s="13"/>
      <c r="I2323" s="15"/>
      <c r="J2323" s="19">
        <v>3</v>
      </c>
      <c r="K2323" s="2" t="s">
        <v>4658</v>
      </c>
      <c r="L2323" s="11" t="str">
        <f t="shared" si="37"/>
        <v>Ver Imagen</v>
      </c>
      <c r="M2323" t="s">
        <v>15</v>
      </c>
    </row>
    <row r="2324" spans="1:13" x14ac:dyDescent="0.25">
      <c r="A2324">
        <v>2323</v>
      </c>
      <c r="B2324" t="s">
        <v>4659</v>
      </c>
      <c r="C2324" s="1">
        <v>37.198668867800002</v>
      </c>
      <c r="D2324" s="1">
        <v>-7.0084923478299999</v>
      </c>
      <c r="E2324" s="3">
        <v>2</v>
      </c>
      <c r="F2324" s="2">
        <v>3</v>
      </c>
      <c r="G2324" s="4">
        <v>3</v>
      </c>
      <c r="H2324" s="13"/>
      <c r="I2324" s="15"/>
      <c r="J2324" s="19">
        <v>3</v>
      </c>
      <c r="K2324" s="2" t="s">
        <v>4660</v>
      </c>
      <c r="L2324" s="11" t="str">
        <f t="shared" si="37"/>
        <v>Ver Imagen</v>
      </c>
      <c r="M2324" t="s">
        <v>15</v>
      </c>
    </row>
    <row r="2325" spans="1:13" x14ac:dyDescent="0.25">
      <c r="A2325">
        <v>2324</v>
      </c>
      <c r="B2325" t="s">
        <v>4661</v>
      </c>
      <c r="C2325" s="1">
        <v>37.1987758426</v>
      </c>
      <c r="D2325" s="1">
        <v>-7.00869203289</v>
      </c>
      <c r="E2325" s="3">
        <v>2</v>
      </c>
      <c r="F2325" s="2">
        <v>3</v>
      </c>
      <c r="G2325" s="4">
        <v>3</v>
      </c>
      <c r="H2325" s="13"/>
      <c r="I2325" s="15"/>
      <c r="J2325" s="19">
        <v>3</v>
      </c>
      <c r="K2325" s="2" t="s">
        <v>4662</v>
      </c>
      <c r="L2325" s="11" t="str">
        <f t="shared" si="37"/>
        <v>Ver Imagen</v>
      </c>
      <c r="M2325" t="s">
        <v>15</v>
      </c>
    </row>
    <row r="2326" spans="1:13" x14ac:dyDescent="0.25">
      <c r="A2326">
        <v>2325</v>
      </c>
      <c r="B2326" t="s">
        <v>4663</v>
      </c>
      <c r="C2326" s="1">
        <v>37.198886968799997</v>
      </c>
      <c r="D2326" s="1">
        <v>-7.00889329532</v>
      </c>
      <c r="E2326" s="3">
        <v>2</v>
      </c>
      <c r="F2326" s="2">
        <v>3</v>
      </c>
      <c r="G2326" s="4">
        <v>3</v>
      </c>
      <c r="H2326" s="13"/>
      <c r="I2326" s="15"/>
      <c r="J2326" s="19">
        <v>3</v>
      </c>
      <c r="K2326" s="2" t="s">
        <v>4664</v>
      </c>
      <c r="L2326" s="11" t="str">
        <f t="shared" si="37"/>
        <v>Ver Imagen</v>
      </c>
      <c r="M2326" t="s">
        <v>15</v>
      </c>
    </row>
    <row r="2327" spans="1:13" x14ac:dyDescent="0.25">
      <c r="A2327">
        <v>2326</v>
      </c>
      <c r="B2327" t="s">
        <v>4665</v>
      </c>
      <c r="C2327" s="1">
        <v>37.199020124900002</v>
      </c>
      <c r="D2327" s="1">
        <v>-7.0091278741799998</v>
      </c>
      <c r="E2327" s="3">
        <v>2</v>
      </c>
      <c r="F2327" s="2">
        <v>3</v>
      </c>
      <c r="G2327" s="4">
        <v>3</v>
      </c>
      <c r="H2327" s="13"/>
      <c r="I2327" s="15"/>
      <c r="J2327" s="19">
        <v>3</v>
      </c>
      <c r="K2327" s="2" t="s">
        <v>4666</v>
      </c>
      <c r="L2327" s="11" t="str">
        <f t="shared" si="37"/>
        <v>Ver Imagen</v>
      </c>
      <c r="M2327" t="s">
        <v>15</v>
      </c>
    </row>
    <row r="2328" spans="1:13" x14ac:dyDescent="0.25">
      <c r="A2328">
        <v>2327</v>
      </c>
      <c r="B2328" t="s">
        <v>4667</v>
      </c>
      <c r="C2328" s="1">
        <v>37.199368534900003</v>
      </c>
      <c r="D2328" s="1">
        <v>-7.00972052921</v>
      </c>
      <c r="E2328" s="3">
        <v>2</v>
      </c>
      <c r="F2328" s="2">
        <v>3</v>
      </c>
      <c r="G2328" s="4">
        <v>3</v>
      </c>
      <c r="H2328" s="13"/>
      <c r="I2328" s="15"/>
      <c r="J2328" s="19">
        <v>3</v>
      </c>
      <c r="K2328" s="2" t="s">
        <v>4668</v>
      </c>
      <c r="L2328" s="11" t="str">
        <f t="shared" si="37"/>
        <v>Ver Imagen</v>
      </c>
      <c r="M2328" t="s">
        <v>15</v>
      </c>
    </row>
    <row r="2329" spans="1:13" x14ac:dyDescent="0.25">
      <c r="A2329">
        <v>2328</v>
      </c>
      <c r="B2329" t="s">
        <v>4669</v>
      </c>
      <c r="C2329" s="1">
        <v>37.199605785300001</v>
      </c>
      <c r="D2329" s="1">
        <v>-7.0101170482299997</v>
      </c>
      <c r="E2329" s="3">
        <v>2</v>
      </c>
      <c r="F2329" s="2">
        <v>3</v>
      </c>
      <c r="G2329" s="4">
        <v>3</v>
      </c>
      <c r="H2329" s="13"/>
      <c r="I2329" s="15"/>
      <c r="J2329" s="19">
        <v>3</v>
      </c>
      <c r="K2329" s="2" t="s">
        <v>4670</v>
      </c>
      <c r="L2329" s="11" t="str">
        <f t="shared" si="37"/>
        <v>Ver Imagen</v>
      </c>
      <c r="M2329" t="s">
        <v>15</v>
      </c>
    </row>
    <row r="2330" spans="1:13" x14ac:dyDescent="0.25">
      <c r="A2330">
        <v>2329</v>
      </c>
      <c r="B2330" t="s">
        <v>4671</v>
      </c>
      <c r="C2330" s="1">
        <v>37.199764118099999</v>
      </c>
      <c r="D2330" s="1">
        <v>-7.0103768355899998</v>
      </c>
      <c r="E2330" s="3">
        <v>2</v>
      </c>
      <c r="F2330" s="2">
        <v>3</v>
      </c>
      <c r="G2330" s="4">
        <v>3</v>
      </c>
      <c r="H2330" s="13"/>
      <c r="I2330" s="15"/>
      <c r="J2330" s="19">
        <v>3</v>
      </c>
      <c r="K2330" s="2" t="s">
        <v>4672</v>
      </c>
      <c r="L2330" s="11" t="str">
        <f t="shared" si="37"/>
        <v>Ver Imagen</v>
      </c>
      <c r="M2330" t="s">
        <v>15</v>
      </c>
    </row>
    <row r="2331" spans="1:13" x14ac:dyDescent="0.25">
      <c r="A2331">
        <v>2330</v>
      </c>
      <c r="B2331" t="s">
        <v>4673</v>
      </c>
      <c r="C2331" s="1">
        <v>37.200375028899998</v>
      </c>
      <c r="D2331" s="1">
        <v>-7.0113339004000004</v>
      </c>
      <c r="E2331" s="3">
        <v>2</v>
      </c>
      <c r="F2331" s="2">
        <v>3</v>
      </c>
      <c r="G2331" s="4">
        <v>3</v>
      </c>
      <c r="H2331" s="13"/>
      <c r="I2331" s="15"/>
      <c r="J2331" s="19">
        <v>3</v>
      </c>
      <c r="K2331" s="2" t="s">
        <v>4674</v>
      </c>
      <c r="L2331" s="11" t="str">
        <f t="shared" si="37"/>
        <v>Ver Imagen</v>
      </c>
      <c r="M2331" t="s">
        <v>15</v>
      </c>
    </row>
    <row r="2332" spans="1:13" x14ac:dyDescent="0.25">
      <c r="A2332">
        <v>2331</v>
      </c>
      <c r="B2332" t="s">
        <v>4675</v>
      </c>
      <c r="C2332" s="1">
        <v>37.200506019199999</v>
      </c>
      <c r="D2332" s="1">
        <v>-7.01153418079</v>
      </c>
      <c r="E2332" s="3">
        <v>2</v>
      </c>
      <c r="F2332" s="2">
        <v>3</v>
      </c>
      <c r="G2332" s="4">
        <v>3</v>
      </c>
      <c r="H2332" s="13"/>
      <c r="I2332" s="15"/>
      <c r="J2332" s="19">
        <v>3</v>
      </c>
      <c r="K2332" s="2" t="s">
        <v>4676</v>
      </c>
      <c r="L2332" s="11" t="str">
        <f t="shared" si="37"/>
        <v>Ver Imagen</v>
      </c>
      <c r="M2332" t="s">
        <v>15</v>
      </c>
    </row>
    <row r="2333" spans="1:13" x14ac:dyDescent="0.25">
      <c r="A2333">
        <v>2332</v>
      </c>
      <c r="B2333" t="s">
        <v>4677</v>
      </c>
      <c r="C2333" s="1">
        <v>37.2008896217</v>
      </c>
      <c r="D2333" s="1">
        <v>-7.0121176049200002</v>
      </c>
      <c r="E2333" s="3">
        <v>2</v>
      </c>
      <c r="F2333" s="2">
        <v>3</v>
      </c>
      <c r="G2333" s="4">
        <v>3</v>
      </c>
      <c r="H2333" s="13"/>
      <c r="I2333" s="15"/>
      <c r="J2333" s="19">
        <v>3</v>
      </c>
      <c r="K2333" s="2" t="s">
        <v>4678</v>
      </c>
      <c r="L2333" s="11" t="str">
        <f t="shared" si="37"/>
        <v>Ver Imagen</v>
      </c>
      <c r="M2333" t="s">
        <v>15</v>
      </c>
    </row>
    <row r="2334" spans="1:13" x14ac:dyDescent="0.25">
      <c r="A2334">
        <v>2333</v>
      </c>
      <c r="B2334" t="s">
        <v>4679</v>
      </c>
      <c r="C2334" s="1">
        <v>37.201002843300003</v>
      </c>
      <c r="D2334" s="1">
        <v>-7.0122903450500003</v>
      </c>
      <c r="E2334" s="3">
        <v>2</v>
      </c>
      <c r="F2334" s="2">
        <v>3</v>
      </c>
      <c r="G2334" s="4">
        <v>3</v>
      </c>
      <c r="H2334" s="13"/>
      <c r="I2334" s="15"/>
      <c r="J2334" s="19">
        <v>3</v>
      </c>
      <c r="K2334" s="2" t="s">
        <v>4680</v>
      </c>
      <c r="L2334" s="11" t="str">
        <f t="shared" si="37"/>
        <v>Ver Imagen</v>
      </c>
      <c r="M2334" t="s">
        <v>15</v>
      </c>
    </row>
    <row r="2335" spans="1:13" x14ac:dyDescent="0.25">
      <c r="A2335">
        <v>2334</v>
      </c>
      <c r="B2335" t="s">
        <v>4681</v>
      </c>
      <c r="C2335" s="1">
        <v>37.201146004599998</v>
      </c>
      <c r="D2335" s="1">
        <v>-7.0125094781000001</v>
      </c>
      <c r="E2335" s="3">
        <v>2</v>
      </c>
      <c r="F2335" s="2">
        <v>3</v>
      </c>
      <c r="G2335" s="4">
        <v>3</v>
      </c>
      <c r="H2335" s="13"/>
      <c r="I2335" s="15"/>
      <c r="J2335" s="19">
        <v>3</v>
      </c>
      <c r="K2335" s="2" t="s">
        <v>4682</v>
      </c>
      <c r="L2335" s="11" t="str">
        <f t="shared" si="37"/>
        <v>Ver Imagen</v>
      </c>
      <c r="M2335" t="s">
        <v>15</v>
      </c>
    </row>
    <row r="2336" spans="1:13" x14ac:dyDescent="0.25">
      <c r="A2336">
        <v>2335</v>
      </c>
      <c r="B2336" t="s">
        <v>4683</v>
      </c>
      <c r="C2336" s="1">
        <v>37.201301340199997</v>
      </c>
      <c r="D2336" s="1">
        <v>-7.0127475731800004</v>
      </c>
      <c r="E2336" s="3">
        <v>2</v>
      </c>
      <c r="F2336" s="2">
        <v>3</v>
      </c>
      <c r="G2336" s="4">
        <v>3</v>
      </c>
      <c r="H2336" s="13"/>
      <c r="I2336" s="15"/>
      <c r="J2336" s="19">
        <v>3</v>
      </c>
      <c r="K2336" s="2" t="s">
        <v>4684</v>
      </c>
      <c r="L2336" s="11" t="str">
        <f t="shared" si="37"/>
        <v>Ver Imagen</v>
      </c>
      <c r="M2336" t="s">
        <v>15</v>
      </c>
    </row>
    <row r="2337" spans="1:13" x14ac:dyDescent="0.25">
      <c r="A2337">
        <v>2336</v>
      </c>
      <c r="B2337" t="s">
        <v>4685</v>
      </c>
      <c r="C2337" s="1">
        <v>37.201399246900003</v>
      </c>
      <c r="D2337" s="1">
        <v>-7.0128977313999998</v>
      </c>
      <c r="E2337" s="3">
        <v>2</v>
      </c>
      <c r="F2337" s="2">
        <v>3</v>
      </c>
      <c r="G2337" s="4">
        <v>3</v>
      </c>
      <c r="H2337" s="13"/>
      <c r="I2337" s="15"/>
      <c r="J2337" s="19">
        <v>3</v>
      </c>
      <c r="K2337" s="2" t="s">
        <v>4686</v>
      </c>
      <c r="L2337" s="11" t="str">
        <f t="shared" si="37"/>
        <v>Ver Imagen</v>
      </c>
      <c r="M2337" t="s">
        <v>15</v>
      </c>
    </row>
    <row r="2338" spans="1:13" x14ac:dyDescent="0.25">
      <c r="A2338">
        <v>2337</v>
      </c>
      <c r="B2338" t="s">
        <v>4687</v>
      </c>
      <c r="C2338" s="1">
        <v>37.2015245288</v>
      </c>
      <c r="D2338" s="1">
        <v>-7.0130900365600004</v>
      </c>
      <c r="E2338" s="3">
        <v>2</v>
      </c>
      <c r="F2338" s="2">
        <v>3</v>
      </c>
      <c r="G2338" s="4">
        <v>3</v>
      </c>
      <c r="H2338" s="13"/>
      <c r="I2338" s="15"/>
      <c r="J2338" s="19">
        <v>3</v>
      </c>
      <c r="K2338" s="2" t="s">
        <v>4688</v>
      </c>
      <c r="L2338" s="11" t="str">
        <f t="shared" si="37"/>
        <v>Ver Imagen</v>
      </c>
      <c r="M2338" t="s">
        <v>15</v>
      </c>
    </row>
    <row r="2339" spans="1:13" x14ac:dyDescent="0.25">
      <c r="A2339">
        <v>2338</v>
      </c>
      <c r="B2339" t="s">
        <v>4689</v>
      </c>
      <c r="C2339" s="1">
        <v>37.201650826700003</v>
      </c>
      <c r="D2339" s="1">
        <v>-7.0132835876000001</v>
      </c>
      <c r="E2339" s="3">
        <v>2</v>
      </c>
      <c r="F2339" s="2">
        <v>3</v>
      </c>
      <c r="G2339" s="4">
        <v>3</v>
      </c>
      <c r="H2339" s="13"/>
      <c r="I2339" s="15"/>
      <c r="J2339" s="19">
        <v>3</v>
      </c>
      <c r="K2339" s="2" t="s">
        <v>4690</v>
      </c>
      <c r="L2339" s="11" t="str">
        <f t="shared" si="37"/>
        <v>Ver Imagen</v>
      </c>
      <c r="M2339" t="s">
        <v>15</v>
      </c>
    </row>
    <row r="2340" spans="1:13" x14ac:dyDescent="0.25">
      <c r="A2340">
        <v>2339</v>
      </c>
      <c r="B2340" t="s">
        <v>4691</v>
      </c>
      <c r="C2340" s="1">
        <v>37.201764662499997</v>
      </c>
      <c r="D2340" s="1">
        <v>-7.01345793591</v>
      </c>
      <c r="E2340" s="3">
        <v>2</v>
      </c>
      <c r="F2340" s="2">
        <v>3</v>
      </c>
      <c r="G2340" s="4">
        <v>3</v>
      </c>
      <c r="H2340" s="13"/>
      <c r="I2340" s="15"/>
      <c r="J2340" s="19">
        <v>3</v>
      </c>
      <c r="K2340" s="2" t="s">
        <v>4692</v>
      </c>
      <c r="L2340" s="11" t="str">
        <f t="shared" si="37"/>
        <v>Ver Imagen</v>
      </c>
      <c r="M2340" t="s">
        <v>15</v>
      </c>
    </row>
    <row r="2341" spans="1:13" x14ac:dyDescent="0.25">
      <c r="A2341">
        <v>2340</v>
      </c>
      <c r="B2341" t="s">
        <v>4693</v>
      </c>
      <c r="C2341" s="1">
        <v>37.201908224699999</v>
      </c>
      <c r="D2341" s="1">
        <v>-7.0136783857799996</v>
      </c>
      <c r="E2341" s="3">
        <v>2</v>
      </c>
      <c r="F2341" s="2">
        <v>3</v>
      </c>
      <c r="G2341" s="4">
        <v>3</v>
      </c>
      <c r="H2341" s="13"/>
      <c r="I2341" s="15"/>
      <c r="J2341" s="19">
        <v>3</v>
      </c>
      <c r="K2341" s="2" t="s">
        <v>4694</v>
      </c>
      <c r="L2341" s="11" t="str">
        <f t="shared" si="37"/>
        <v>Ver Imagen</v>
      </c>
      <c r="M2341" t="s">
        <v>15</v>
      </c>
    </row>
    <row r="2342" spans="1:13" x14ac:dyDescent="0.25">
      <c r="A2342">
        <v>2341</v>
      </c>
      <c r="B2342" t="s">
        <v>4695</v>
      </c>
      <c r="C2342" s="1">
        <v>37.202160039100001</v>
      </c>
      <c r="D2342" s="1">
        <v>-7.0140656715</v>
      </c>
      <c r="E2342" s="3">
        <v>2</v>
      </c>
      <c r="F2342" s="2">
        <v>3</v>
      </c>
      <c r="G2342" s="4">
        <v>3</v>
      </c>
      <c r="H2342" s="13"/>
      <c r="I2342" s="15"/>
      <c r="J2342" s="19">
        <v>3</v>
      </c>
      <c r="K2342" s="2" t="s">
        <v>4696</v>
      </c>
      <c r="L2342" s="11" t="str">
        <f t="shared" si="37"/>
        <v>Ver Imagen</v>
      </c>
      <c r="M2342" t="s">
        <v>15</v>
      </c>
    </row>
    <row r="2343" spans="1:13" x14ac:dyDescent="0.25">
      <c r="A2343">
        <v>2342</v>
      </c>
      <c r="B2343" t="s">
        <v>4697</v>
      </c>
      <c r="C2343" s="1">
        <v>37.202300316799999</v>
      </c>
      <c r="D2343" s="1">
        <v>-7.0142816285</v>
      </c>
      <c r="E2343" s="3">
        <v>2</v>
      </c>
      <c r="F2343" s="2">
        <v>3</v>
      </c>
      <c r="G2343" s="4">
        <v>3</v>
      </c>
      <c r="H2343" s="13"/>
      <c r="I2343" s="15"/>
      <c r="J2343" s="19">
        <v>3</v>
      </c>
      <c r="K2343" s="2" t="s">
        <v>4698</v>
      </c>
      <c r="L2343" s="11" t="str">
        <f t="shared" si="37"/>
        <v>Ver Imagen</v>
      </c>
      <c r="M2343" t="s">
        <v>15</v>
      </c>
    </row>
    <row r="2344" spans="1:13" x14ac:dyDescent="0.25">
      <c r="A2344">
        <v>2343</v>
      </c>
      <c r="B2344" t="s">
        <v>4699</v>
      </c>
      <c r="C2344" s="1">
        <v>37.202557481900001</v>
      </c>
      <c r="D2344" s="1">
        <v>-7.0146763931100002</v>
      </c>
      <c r="E2344" s="3">
        <v>2</v>
      </c>
      <c r="F2344" s="2">
        <v>3</v>
      </c>
      <c r="G2344" s="4">
        <v>3</v>
      </c>
      <c r="H2344" s="13"/>
      <c r="I2344" s="15"/>
      <c r="J2344" s="19">
        <v>3</v>
      </c>
      <c r="K2344" s="2" t="s">
        <v>4700</v>
      </c>
      <c r="L2344" s="11" t="str">
        <f t="shared" si="37"/>
        <v>Ver Imagen</v>
      </c>
      <c r="M2344" t="s">
        <v>15</v>
      </c>
    </row>
    <row r="2345" spans="1:13" x14ac:dyDescent="0.25">
      <c r="A2345">
        <v>2344</v>
      </c>
      <c r="B2345" t="s">
        <v>4701</v>
      </c>
      <c r="C2345" s="1">
        <v>37.203305360500003</v>
      </c>
      <c r="D2345" s="1">
        <v>-7.0158166162700004</v>
      </c>
      <c r="E2345" s="3">
        <v>2</v>
      </c>
      <c r="F2345" s="2">
        <v>3</v>
      </c>
      <c r="G2345" s="4">
        <v>3</v>
      </c>
      <c r="H2345" s="13"/>
      <c r="I2345" s="15"/>
      <c r="J2345" s="19">
        <v>3</v>
      </c>
      <c r="K2345" s="2" t="s">
        <v>4702</v>
      </c>
      <c r="L2345" s="11" t="str">
        <f t="shared" ref="L2345:L2408" si="38">HYPERLINK("3\1\" &amp; K2345, "Ver Imagen")</f>
        <v>Ver Imagen</v>
      </c>
      <c r="M2345" t="s">
        <v>15</v>
      </c>
    </row>
    <row r="2346" spans="1:13" x14ac:dyDescent="0.25">
      <c r="A2346">
        <v>2345</v>
      </c>
      <c r="B2346" t="s">
        <v>4703</v>
      </c>
      <c r="C2346" s="1">
        <v>37.203698002300001</v>
      </c>
      <c r="D2346" s="1">
        <v>-7.0164234691100003</v>
      </c>
      <c r="E2346" s="3">
        <v>2</v>
      </c>
      <c r="F2346" s="2">
        <v>3</v>
      </c>
      <c r="G2346" s="4">
        <v>3</v>
      </c>
      <c r="H2346" s="13"/>
      <c r="I2346" s="15"/>
      <c r="J2346" s="19">
        <v>3</v>
      </c>
      <c r="K2346" s="2" t="s">
        <v>4704</v>
      </c>
      <c r="L2346" s="11" t="str">
        <f t="shared" si="38"/>
        <v>Ver Imagen</v>
      </c>
      <c r="M2346" t="s">
        <v>15</v>
      </c>
    </row>
    <row r="2347" spans="1:13" x14ac:dyDescent="0.25">
      <c r="A2347">
        <v>2346</v>
      </c>
      <c r="B2347" t="s">
        <v>4705</v>
      </c>
      <c r="C2347" s="1">
        <v>37.203963679899999</v>
      </c>
      <c r="D2347" s="1">
        <v>-7.0168350352999997</v>
      </c>
      <c r="E2347" s="3">
        <v>2</v>
      </c>
      <c r="F2347" s="2">
        <v>3</v>
      </c>
      <c r="G2347" s="4">
        <v>3</v>
      </c>
      <c r="H2347" s="13"/>
      <c r="I2347" s="15"/>
      <c r="J2347" s="19">
        <v>3</v>
      </c>
      <c r="K2347" s="2" t="s">
        <v>4706</v>
      </c>
      <c r="L2347" s="11" t="str">
        <f t="shared" si="38"/>
        <v>Ver Imagen</v>
      </c>
      <c r="M2347" t="s">
        <v>15</v>
      </c>
    </row>
    <row r="2348" spans="1:13" x14ac:dyDescent="0.25">
      <c r="A2348">
        <v>2347</v>
      </c>
      <c r="B2348" t="s">
        <v>4707</v>
      </c>
      <c r="C2348" s="1">
        <v>37.204717879100002</v>
      </c>
      <c r="D2348" s="1">
        <v>-7.0180006432899997</v>
      </c>
      <c r="E2348" s="3">
        <v>2</v>
      </c>
      <c r="F2348" s="2">
        <v>3</v>
      </c>
      <c r="G2348" s="4">
        <v>3</v>
      </c>
      <c r="H2348" s="13"/>
      <c r="I2348" s="15"/>
      <c r="J2348" s="19">
        <v>3</v>
      </c>
      <c r="K2348" s="2" t="s">
        <v>4708</v>
      </c>
      <c r="L2348" s="11" t="str">
        <f t="shared" si="38"/>
        <v>Ver Imagen</v>
      </c>
      <c r="M2348" t="s">
        <v>15</v>
      </c>
    </row>
    <row r="2349" spans="1:13" x14ac:dyDescent="0.25">
      <c r="A2349">
        <v>2348</v>
      </c>
      <c r="B2349" t="s">
        <v>4709</v>
      </c>
      <c r="C2349" s="1">
        <v>37.206442652500002</v>
      </c>
      <c r="D2349" s="1">
        <v>-7.0208177671999996</v>
      </c>
      <c r="E2349" s="3">
        <v>2</v>
      </c>
      <c r="F2349" s="2">
        <v>3</v>
      </c>
      <c r="G2349" s="4">
        <v>3</v>
      </c>
      <c r="H2349" s="13"/>
      <c r="I2349" s="15"/>
      <c r="J2349" s="19">
        <v>3</v>
      </c>
      <c r="K2349" s="2" t="s">
        <v>4710</v>
      </c>
      <c r="L2349" s="11" t="str">
        <f t="shared" si="38"/>
        <v>Ver Imagen</v>
      </c>
      <c r="M2349" t="s">
        <v>15</v>
      </c>
    </row>
    <row r="2350" spans="1:13" x14ac:dyDescent="0.25">
      <c r="A2350">
        <v>2349</v>
      </c>
      <c r="B2350" t="s">
        <v>4711</v>
      </c>
      <c r="C2350" s="1">
        <v>37.2067159968</v>
      </c>
      <c r="D2350" s="1">
        <v>-7.0212297727699999</v>
      </c>
      <c r="E2350" s="3">
        <v>2</v>
      </c>
      <c r="F2350" s="2">
        <v>3</v>
      </c>
      <c r="G2350" s="4">
        <v>3</v>
      </c>
      <c r="H2350" s="13"/>
      <c r="I2350" s="15"/>
      <c r="J2350" s="19">
        <v>3</v>
      </c>
      <c r="K2350" s="2" t="s">
        <v>4712</v>
      </c>
      <c r="L2350" s="11" t="str">
        <f t="shared" si="38"/>
        <v>Ver Imagen</v>
      </c>
      <c r="M2350" t="s">
        <v>15</v>
      </c>
    </row>
    <row r="2351" spans="1:13" x14ac:dyDescent="0.25">
      <c r="A2351">
        <v>2350</v>
      </c>
      <c r="B2351" t="s">
        <v>4713</v>
      </c>
      <c r="C2351" s="1">
        <v>37.206825371699999</v>
      </c>
      <c r="D2351" s="1">
        <v>-7.0213808022500004</v>
      </c>
      <c r="E2351" s="3">
        <v>2</v>
      </c>
      <c r="F2351" s="2">
        <v>3</v>
      </c>
      <c r="G2351" s="4">
        <v>3</v>
      </c>
      <c r="H2351" s="13"/>
      <c r="I2351" s="15"/>
      <c r="J2351" s="19">
        <v>3</v>
      </c>
      <c r="K2351" s="2" t="s">
        <v>4714</v>
      </c>
      <c r="L2351" s="11" t="str">
        <f t="shared" si="38"/>
        <v>Ver Imagen</v>
      </c>
      <c r="M2351" t="s">
        <v>15</v>
      </c>
    </row>
    <row r="2352" spans="1:13" x14ac:dyDescent="0.25">
      <c r="A2352">
        <v>2351</v>
      </c>
      <c r="B2352" t="s">
        <v>4715</v>
      </c>
      <c r="C2352" s="1">
        <v>37.208241035500002</v>
      </c>
      <c r="D2352" s="1">
        <v>-7.02345407451</v>
      </c>
      <c r="E2352" s="3">
        <v>2</v>
      </c>
      <c r="F2352" s="2">
        <v>3</v>
      </c>
      <c r="G2352" s="4">
        <v>3</v>
      </c>
      <c r="H2352" s="13"/>
      <c r="I2352" s="15"/>
      <c r="J2352" s="19">
        <v>3</v>
      </c>
      <c r="K2352" s="2" t="s">
        <v>4716</v>
      </c>
      <c r="L2352" s="11" t="str">
        <f t="shared" si="38"/>
        <v>Ver Imagen</v>
      </c>
      <c r="M2352" t="s">
        <v>15</v>
      </c>
    </row>
    <row r="2353" spans="1:13" x14ac:dyDescent="0.25">
      <c r="A2353">
        <v>2352</v>
      </c>
      <c r="B2353" t="s">
        <v>4717</v>
      </c>
      <c r="C2353" s="1">
        <v>37.208260190899999</v>
      </c>
      <c r="D2353" s="1">
        <v>-7.0237189797099999</v>
      </c>
      <c r="E2353" s="3">
        <v>2</v>
      </c>
      <c r="F2353" s="2">
        <v>3</v>
      </c>
      <c r="G2353" s="4">
        <v>3</v>
      </c>
      <c r="H2353" s="13"/>
      <c r="I2353" s="15"/>
      <c r="J2353" s="19">
        <v>3</v>
      </c>
      <c r="K2353" s="2" t="s">
        <v>4718</v>
      </c>
      <c r="L2353" s="11" t="str">
        <f t="shared" si="38"/>
        <v>Ver Imagen</v>
      </c>
      <c r="M2353" t="s">
        <v>15</v>
      </c>
    </row>
    <row r="2354" spans="1:13" x14ac:dyDescent="0.25">
      <c r="A2354">
        <v>2353</v>
      </c>
      <c r="B2354" t="s">
        <v>4719</v>
      </c>
      <c r="C2354" s="1">
        <v>37.208297108300002</v>
      </c>
      <c r="D2354" s="1">
        <v>-7.02445251309</v>
      </c>
      <c r="E2354" s="3">
        <v>2</v>
      </c>
      <c r="F2354" s="2">
        <v>3</v>
      </c>
      <c r="G2354" s="4">
        <v>3</v>
      </c>
      <c r="H2354" s="13"/>
      <c r="I2354" s="15"/>
      <c r="J2354" s="19">
        <v>3</v>
      </c>
      <c r="K2354" s="2" t="s">
        <v>4720</v>
      </c>
      <c r="L2354" s="11" t="str">
        <f t="shared" si="38"/>
        <v>Ver Imagen</v>
      </c>
      <c r="M2354" t="s">
        <v>15</v>
      </c>
    </row>
    <row r="2355" spans="1:13" x14ac:dyDescent="0.25">
      <c r="A2355">
        <v>2354</v>
      </c>
      <c r="B2355" t="s">
        <v>4721</v>
      </c>
      <c r="C2355" s="1">
        <v>37.208479236999999</v>
      </c>
      <c r="D2355" s="1">
        <v>-7.02516786244</v>
      </c>
      <c r="E2355" s="3">
        <v>2</v>
      </c>
      <c r="F2355" s="2">
        <v>3</v>
      </c>
      <c r="G2355" s="4">
        <v>3</v>
      </c>
      <c r="H2355" s="13"/>
      <c r="I2355" s="15"/>
      <c r="J2355" s="19">
        <v>3</v>
      </c>
      <c r="K2355" s="2" t="s">
        <v>4722</v>
      </c>
      <c r="L2355" s="11" t="str">
        <f t="shared" si="38"/>
        <v>Ver Imagen</v>
      </c>
      <c r="M2355" t="s">
        <v>15</v>
      </c>
    </row>
    <row r="2356" spans="1:13" x14ac:dyDescent="0.25">
      <c r="A2356">
        <v>2355</v>
      </c>
      <c r="B2356" t="s">
        <v>4723</v>
      </c>
      <c r="C2356" s="1">
        <v>37.208567148699998</v>
      </c>
      <c r="D2356" s="1">
        <v>-7.0254393545299996</v>
      </c>
      <c r="E2356" s="3">
        <v>2</v>
      </c>
      <c r="F2356" s="2">
        <v>3</v>
      </c>
      <c r="G2356" s="4">
        <v>3</v>
      </c>
      <c r="H2356" s="13"/>
      <c r="I2356" s="15"/>
      <c r="J2356" s="19">
        <v>3</v>
      </c>
      <c r="K2356" s="2" t="s">
        <v>4724</v>
      </c>
      <c r="L2356" s="11" t="str">
        <f t="shared" si="38"/>
        <v>Ver Imagen</v>
      </c>
      <c r="M2356" t="s">
        <v>15</v>
      </c>
    </row>
    <row r="2357" spans="1:13" x14ac:dyDescent="0.25">
      <c r="A2357">
        <v>2356</v>
      </c>
      <c r="B2357" t="s">
        <v>4725</v>
      </c>
      <c r="C2357" s="1">
        <v>37.2087918211</v>
      </c>
      <c r="D2357" s="1">
        <v>-7.0263676337599996</v>
      </c>
      <c r="E2357" s="3">
        <v>2</v>
      </c>
      <c r="F2357" s="2">
        <v>3</v>
      </c>
      <c r="G2357" s="4">
        <v>3</v>
      </c>
      <c r="H2357" s="13"/>
      <c r="I2357" s="15"/>
      <c r="J2357" s="19">
        <v>3</v>
      </c>
      <c r="K2357" s="2" t="s">
        <v>4726</v>
      </c>
      <c r="L2357" s="11" t="str">
        <f t="shared" si="38"/>
        <v>Ver Imagen</v>
      </c>
      <c r="M2357" t="s">
        <v>15</v>
      </c>
    </row>
    <row r="2358" spans="1:13" x14ac:dyDescent="0.25">
      <c r="A2358">
        <v>2357</v>
      </c>
      <c r="B2358" t="s">
        <v>4727</v>
      </c>
      <c r="C2358" s="1">
        <v>37.208932428700003</v>
      </c>
      <c r="D2358" s="1">
        <v>-7.0270955117199998</v>
      </c>
      <c r="E2358" s="3">
        <v>2</v>
      </c>
      <c r="F2358" s="2">
        <v>3</v>
      </c>
      <c r="G2358" s="4">
        <v>3</v>
      </c>
      <c r="H2358" s="13"/>
      <c r="I2358" s="15"/>
      <c r="J2358" s="19">
        <v>3</v>
      </c>
      <c r="K2358" s="2" t="s">
        <v>4728</v>
      </c>
      <c r="L2358" s="11" t="str">
        <f t="shared" si="38"/>
        <v>Ver Imagen</v>
      </c>
      <c r="M2358" t="s">
        <v>15</v>
      </c>
    </row>
    <row r="2359" spans="1:13" x14ac:dyDescent="0.25">
      <c r="A2359">
        <v>2358</v>
      </c>
      <c r="B2359" t="s">
        <v>4729</v>
      </c>
      <c r="C2359" s="1">
        <v>37.217913030299997</v>
      </c>
      <c r="D2359" s="1">
        <v>-7.1220109848100002</v>
      </c>
      <c r="E2359" s="3">
        <v>2</v>
      </c>
      <c r="F2359" s="2">
        <v>3</v>
      </c>
      <c r="G2359" s="4">
        <v>3</v>
      </c>
      <c r="H2359" s="13"/>
      <c r="I2359" s="15"/>
      <c r="J2359" s="19">
        <v>3</v>
      </c>
      <c r="K2359" s="2" t="s">
        <v>4730</v>
      </c>
      <c r="L2359" s="11" t="str">
        <f t="shared" si="38"/>
        <v>Ver Imagen</v>
      </c>
      <c r="M2359" t="s">
        <v>15</v>
      </c>
    </row>
    <row r="2360" spans="1:13" x14ac:dyDescent="0.25">
      <c r="A2360">
        <v>2359</v>
      </c>
      <c r="B2360" t="s">
        <v>4731</v>
      </c>
      <c r="C2360" s="1">
        <v>37.218049152900001</v>
      </c>
      <c r="D2360" s="1">
        <v>-7.1202889430500003</v>
      </c>
      <c r="E2360" s="3">
        <v>2</v>
      </c>
      <c r="F2360" s="2">
        <v>3</v>
      </c>
      <c r="G2360" s="4">
        <v>3</v>
      </c>
      <c r="H2360" s="13"/>
      <c r="I2360" s="15"/>
      <c r="J2360" s="19">
        <v>3</v>
      </c>
      <c r="K2360" s="2" t="s">
        <v>4732</v>
      </c>
      <c r="L2360" s="11" t="str">
        <f t="shared" si="38"/>
        <v>Ver Imagen</v>
      </c>
      <c r="M2360" t="s">
        <v>15</v>
      </c>
    </row>
    <row r="2361" spans="1:13" x14ac:dyDescent="0.25">
      <c r="A2361">
        <v>2360</v>
      </c>
      <c r="B2361" t="s">
        <v>4733</v>
      </c>
      <c r="C2361" s="1">
        <v>37.2180684279</v>
      </c>
      <c r="D2361" s="1">
        <v>-7.1200239824900002</v>
      </c>
      <c r="E2361" s="3">
        <v>2</v>
      </c>
      <c r="F2361" s="2">
        <v>3</v>
      </c>
      <c r="G2361" s="4">
        <v>3</v>
      </c>
      <c r="H2361" s="13"/>
      <c r="I2361" s="15"/>
      <c r="J2361" s="19">
        <v>3</v>
      </c>
      <c r="K2361" s="2" t="s">
        <v>4734</v>
      </c>
      <c r="L2361" s="11" t="str">
        <f t="shared" si="38"/>
        <v>Ver Imagen</v>
      </c>
      <c r="M2361" t="s">
        <v>15</v>
      </c>
    </row>
    <row r="2362" spans="1:13" x14ac:dyDescent="0.25">
      <c r="A2362">
        <v>2361</v>
      </c>
      <c r="B2362" t="s">
        <v>4735</v>
      </c>
      <c r="C2362" s="1">
        <v>37.218089622599997</v>
      </c>
      <c r="D2362" s="1">
        <v>-7.1197622870300004</v>
      </c>
      <c r="E2362" s="3">
        <v>3</v>
      </c>
      <c r="F2362" s="2">
        <v>3</v>
      </c>
      <c r="G2362" s="4">
        <v>2</v>
      </c>
      <c r="H2362" s="13"/>
      <c r="I2362" s="15"/>
      <c r="J2362" s="19">
        <v>3</v>
      </c>
      <c r="K2362" s="2" t="s">
        <v>4736</v>
      </c>
      <c r="L2362" s="11" t="str">
        <f t="shared" si="38"/>
        <v>Ver Imagen</v>
      </c>
      <c r="M2362" t="s">
        <v>15</v>
      </c>
    </row>
    <row r="2363" spans="1:13" x14ac:dyDescent="0.25">
      <c r="A2363">
        <v>2362</v>
      </c>
      <c r="B2363" t="s">
        <v>4737</v>
      </c>
      <c r="C2363" s="1">
        <v>37.217045483</v>
      </c>
      <c r="D2363" s="1">
        <v>-7.0999430146</v>
      </c>
      <c r="E2363" s="3">
        <v>2</v>
      </c>
      <c r="F2363" s="2">
        <v>3</v>
      </c>
      <c r="G2363" s="4">
        <v>3</v>
      </c>
      <c r="H2363" s="13"/>
      <c r="I2363" s="15"/>
      <c r="J2363" s="19">
        <v>3</v>
      </c>
      <c r="K2363" s="2" t="s">
        <v>4738</v>
      </c>
      <c r="L2363" s="11" t="str">
        <f t="shared" si="38"/>
        <v>Ver Imagen</v>
      </c>
      <c r="M2363" t="s">
        <v>15</v>
      </c>
    </row>
    <row r="2364" spans="1:13" x14ac:dyDescent="0.25">
      <c r="A2364">
        <v>2363</v>
      </c>
      <c r="B2364" t="s">
        <v>4739</v>
      </c>
      <c r="C2364" s="1">
        <v>37.216085141999997</v>
      </c>
      <c r="D2364" s="1">
        <v>-7.0896770261100004</v>
      </c>
      <c r="E2364" s="3">
        <v>2</v>
      </c>
      <c r="F2364" s="2">
        <v>3</v>
      </c>
      <c r="G2364" s="4">
        <v>3</v>
      </c>
      <c r="H2364" s="13"/>
      <c r="I2364" s="15"/>
      <c r="J2364" s="19">
        <v>3</v>
      </c>
      <c r="K2364" s="2" t="s">
        <v>4740</v>
      </c>
      <c r="L2364" s="11" t="str">
        <f t="shared" si="38"/>
        <v>Ver Imagen</v>
      </c>
      <c r="M2364" t="s">
        <v>15</v>
      </c>
    </row>
    <row r="2365" spans="1:13" x14ac:dyDescent="0.25">
      <c r="A2365">
        <v>2364</v>
      </c>
      <c r="B2365" t="s">
        <v>4741</v>
      </c>
      <c r="C2365" s="1">
        <v>37.215911067699999</v>
      </c>
      <c r="D2365" s="1">
        <v>-7.0829151272099997</v>
      </c>
      <c r="E2365" s="3">
        <v>2</v>
      </c>
      <c r="F2365" s="2">
        <v>3</v>
      </c>
      <c r="G2365" s="4">
        <v>3</v>
      </c>
      <c r="H2365" s="13"/>
      <c r="I2365" s="15"/>
      <c r="J2365" s="19">
        <v>3</v>
      </c>
      <c r="K2365" s="2" t="s">
        <v>4742</v>
      </c>
      <c r="L2365" s="11" t="str">
        <f t="shared" si="38"/>
        <v>Ver Imagen</v>
      </c>
      <c r="M2365" t="s">
        <v>15</v>
      </c>
    </row>
    <row r="2366" spans="1:13" x14ac:dyDescent="0.25">
      <c r="A2366">
        <v>2365</v>
      </c>
      <c r="B2366" t="s">
        <v>4743</v>
      </c>
      <c r="C2366" s="1">
        <v>37.215835693599999</v>
      </c>
      <c r="D2366" s="1">
        <v>-7.0826640414000002</v>
      </c>
      <c r="E2366" s="3">
        <v>2</v>
      </c>
      <c r="F2366" s="2">
        <v>3</v>
      </c>
      <c r="G2366" s="4">
        <v>3</v>
      </c>
      <c r="H2366" s="13"/>
      <c r="I2366" s="15"/>
      <c r="J2366" s="19">
        <v>3</v>
      </c>
      <c r="K2366" s="2" t="s">
        <v>4744</v>
      </c>
      <c r="L2366" s="11" t="str">
        <f t="shared" si="38"/>
        <v>Ver Imagen</v>
      </c>
      <c r="M2366" t="s">
        <v>15</v>
      </c>
    </row>
    <row r="2367" spans="1:13" x14ac:dyDescent="0.25">
      <c r="A2367">
        <v>2366</v>
      </c>
      <c r="B2367" t="s">
        <v>4745</v>
      </c>
      <c r="C2367" s="1">
        <v>37.2136954614</v>
      </c>
      <c r="D2367" s="1">
        <v>-7.07187224805</v>
      </c>
      <c r="E2367" s="3">
        <v>2</v>
      </c>
      <c r="F2367" s="2">
        <v>3</v>
      </c>
      <c r="G2367" s="4">
        <v>3</v>
      </c>
      <c r="H2367" s="13"/>
      <c r="I2367" s="15"/>
      <c r="J2367" s="19">
        <v>3</v>
      </c>
      <c r="K2367" s="2" t="s">
        <v>4746</v>
      </c>
      <c r="L2367" s="11" t="str">
        <f t="shared" si="38"/>
        <v>Ver Imagen</v>
      </c>
      <c r="M2367" t="s">
        <v>15</v>
      </c>
    </row>
    <row r="2368" spans="1:13" x14ac:dyDescent="0.25">
      <c r="A2368">
        <v>2367</v>
      </c>
      <c r="B2368" t="s">
        <v>4747</v>
      </c>
      <c r="C2368" s="1">
        <v>37.213088427400002</v>
      </c>
      <c r="D2368" s="1">
        <v>-7.0621746788999999</v>
      </c>
      <c r="E2368" s="3">
        <v>2</v>
      </c>
      <c r="F2368" s="2">
        <v>3</v>
      </c>
      <c r="G2368" s="4">
        <v>3</v>
      </c>
      <c r="H2368" s="13"/>
      <c r="I2368" s="15"/>
      <c r="J2368" s="19">
        <v>3</v>
      </c>
      <c r="K2368" s="2" t="s">
        <v>4748</v>
      </c>
      <c r="L2368" s="11" t="str">
        <f t="shared" si="38"/>
        <v>Ver Imagen</v>
      </c>
      <c r="M2368" t="s">
        <v>15</v>
      </c>
    </row>
    <row r="2369" spans="1:13" x14ac:dyDescent="0.25">
      <c r="A2369">
        <v>2368</v>
      </c>
      <c r="B2369" t="s">
        <v>4749</v>
      </c>
      <c r="C2369" s="1">
        <v>37.211871019599997</v>
      </c>
      <c r="D2369" s="1">
        <v>-7.0587019592900004</v>
      </c>
      <c r="E2369" s="3">
        <v>2</v>
      </c>
      <c r="F2369" s="2">
        <v>3</v>
      </c>
      <c r="G2369" s="4">
        <v>3</v>
      </c>
      <c r="H2369" s="13"/>
      <c r="I2369" s="15"/>
      <c r="J2369" s="19">
        <v>3</v>
      </c>
      <c r="K2369" s="2" t="s">
        <v>4750</v>
      </c>
      <c r="L2369" s="11" t="str">
        <f t="shared" si="38"/>
        <v>Ver Imagen</v>
      </c>
      <c r="M2369" t="s">
        <v>15</v>
      </c>
    </row>
    <row r="2370" spans="1:13" x14ac:dyDescent="0.25">
      <c r="A2370">
        <v>2369</v>
      </c>
      <c r="B2370" t="s">
        <v>4751</v>
      </c>
      <c r="C2370" s="1">
        <v>37.211608810599998</v>
      </c>
      <c r="D2370" s="1">
        <v>-7.0579751630500001</v>
      </c>
      <c r="E2370" s="3">
        <v>2</v>
      </c>
      <c r="F2370" s="2">
        <v>3</v>
      </c>
      <c r="G2370" s="4">
        <v>3</v>
      </c>
      <c r="H2370" s="13"/>
      <c r="I2370" s="15"/>
      <c r="J2370" s="19">
        <v>3</v>
      </c>
      <c r="K2370" s="2" t="s">
        <v>4752</v>
      </c>
      <c r="L2370" s="11" t="str">
        <f t="shared" si="38"/>
        <v>Ver Imagen</v>
      </c>
      <c r="M2370" t="s">
        <v>15</v>
      </c>
    </row>
    <row r="2371" spans="1:13" x14ac:dyDescent="0.25">
      <c r="A2371">
        <v>2370</v>
      </c>
      <c r="B2371" t="s">
        <v>4753</v>
      </c>
      <c r="C2371" s="1">
        <v>37.211480896200001</v>
      </c>
      <c r="D2371" s="1">
        <v>-7.0575488268699997</v>
      </c>
      <c r="E2371" s="3">
        <v>2</v>
      </c>
      <c r="F2371" s="2">
        <v>3</v>
      </c>
      <c r="G2371" s="4">
        <v>3</v>
      </c>
      <c r="H2371" s="13"/>
      <c r="I2371" s="15"/>
      <c r="J2371" s="19">
        <v>3</v>
      </c>
      <c r="K2371" s="2" t="s">
        <v>4754</v>
      </c>
      <c r="L2371" s="11" t="str">
        <f t="shared" si="38"/>
        <v>Ver Imagen</v>
      </c>
      <c r="M2371" t="s">
        <v>15</v>
      </c>
    </row>
    <row r="2372" spans="1:13" x14ac:dyDescent="0.25">
      <c r="A2372">
        <v>2371</v>
      </c>
      <c r="B2372" t="s">
        <v>4755</v>
      </c>
      <c r="C2372" s="1">
        <v>37.2113618355</v>
      </c>
      <c r="D2372" s="1">
        <v>-7.0570334681100002</v>
      </c>
      <c r="E2372" s="3">
        <v>2</v>
      </c>
      <c r="F2372" s="2">
        <v>3</v>
      </c>
      <c r="G2372" s="4">
        <v>3</v>
      </c>
      <c r="H2372" s="13"/>
      <c r="I2372" s="15"/>
      <c r="J2372" s="19">
        <v>3</v>
      </c>
      <c r="K2372" s="2" t="s">
        <v>4756</v>
      </c>
      <c r="L2372" s="11" t="str">
        <f t="shared" si="38"/>
        <v>Ver Imagen</v>
      </c>
      <c r="M2372" t="s">
        <v>15</v>
      </c>
    </row>
    <row r="2373" spans="1:13" x14ac:dyDescent="0.25">
      <c r="A2373">
        <v>2372</v>
      </c>
      <c r="B2373" t="s">
        <v>4757</v>
      </c>
      <c r="C2373" s="1">
        <v>37.211099234000002</v>
      </c>
      <c r="D2373" s="1">
        <v>-7.0550094975200004</v>
      </c>
      <c r="E2373" s="3">
        <v>2</v>
      </c>
      <c r="F2373" s="2">
        <v>3</v>
      </c>
      <c r="G2373" s="4">
        <v>3</v>
      </c>
      <c r="H2373" s="13"/>
      <c r="I2373" s="15"/>
      <c r="J2373" s="19">
        <v>3</v>
      </c>
      <c r="K2373" s="2" t="s">
        <v>4758</v>
      </c>
      <c r="L2373" s="11" t="str">
        <f t="shared" si="38"/>
        <v>Ver Imagen</v>
      </c>
      <c r="M2373" t="s">
        <v>15</v>
      </c>
    </row>
    <row r="2374" spans="1:13" x14ac:dyDescent="0.25">
      <c r="A2374">
        <v>2373</v>
      </c>
      <c r="B2374" t="s">
        <v>4759</v>
      </c>
      <c r="C2374" s="1">
        <v>37.211039875300003</v>
      </c>
      <c r="D2374" s="1">
        <v>-7.0545478703700004</v>
      </c>
      <c r="E2374" s="3">
        <v>2</v>
      </c>
      <c r="F2374" s="2">
        <v>3</v>
      </c>
      <c r="G2374" s="4">
        <v>3</v>
      </c>
      <c r="H2374" s="13"/>
      <c r="I2374" s="15"/>
      <c r="J2374" s="19">
        <v>3</v>
      </c>
      <c r="K2374" s="2" t="s">
        <v>4760</v>
      </c>
      <c r="L2374" s="11" t="str">
        <f t="shared" si="38"/>
        <v>Ver Imagen</v>
      </c>
      <c r="M2374" t="s">
        <v>15</v>
      </c>
    </row>
    <row r="2375" spans="1:13" x14ac:dyDescent="0.25">
      <c r="A2375">
        <v>2374</v>
      </c>
      <c r="B2375" t="s">
        <v>4761</v>
      </c>
      <c r="C2375" s="1">
        <v>37.210787920999998</v>
      </c>
      <c r="D2375" s="1">
        <v>-7.0527967546300001</v>
      </c>
      <c r="E2375" s="3">
        <v>2</v>
      </c>
      <c r="F2375" s="2">
        <v>3</v>
      </c>
      <c r="G2375" s="4">
        <v>3</v>
      </c>
      <c r="H2375" s="13"/>
      <c r="I2375" s="15"/>
      <c r="J2375" s="19">
        <v>3</v>
      </c>
      <c r="K2375" s="2" t="s">
        <v>4762</v>
      </c>
      <c r="L2375" s="11" t="str">
        <f t="shared" si="38"/>
        <v>Ver Imagen</v>
      </c>
      <c r="M2375" t="s">
        <v>15</v>
      </c>
    </row>
    <row r="2376" spans="1:13" x14ac:dyDescent="0.25">
      <c r="A2376">
        <v>2375</v>
      </c>
      <c r="B2376" t="s">
        <v>4763</v>
      </c>
      <c r="C2376" s="1">
        <v>37.211200071999997</v>
      </c>
      <c r="D2376" s="1">
        <v>-7.0503761051599998</v>
      </c>
      <c r="E2376" s="3">
        <v>2</v>
      </c>
      <c r="F2376" s="2">
        <v>3</v>
      </c>
      <c r="G2376" s="4">
        <v>3</v>
      </c>
      <c r="H2376" s="13"/>
      <c r="I2376" s="15"/>
      <c r="J2376" s="19">
        <v>3</v>
      </c>
      <c r="K2376" s="2" t="s">
        <v>4764</v>
      </c>
      <c r="L2376" s="11" t="str">
        <f t="shared" si="38"/>
        <v>Ver Imagen</v>
      </c>
      <c r="M2376" t="s">
        <v>15</v>
      </c>
    </row>
    <row r="2377" spans="1:13" x14ac:dyDescent="0.25">
      <c r="A2377">
        <v>2376</v>
      </c>
      <c r="B2377" t="s">
        <v>4765</v>
      </c>
      <c r="C2377" s="1">
        <v>37.211760231900001</v>
      </c>
      <c r="D2377" s="1">
        <v>-7.0479818164300001</v>
      </c>
      <c r="E2377" s="3">
        <v>2</v>
      </c>
      <c r="F2377" s="2">
        <v>3</v>
      </c>
      <c r="G2377" s="4">
        <v>3</v>
      </c>
      <c r="H2377" s="13"/>
      <c r="I2377" s="15"/>
      <c r="J2377" s="19">
        <v>3</v>
      </c>
      <c r="K2377" s="2" t="s">
        <v>4766</v>
      </c>
      <c r="L2377" s="11" t="str">
        <f t="shared" si="38"/>
        <v>Ver Imagen</v>
      </c>
      <c r="M2377" t="s">
        <v>15</v>
      </c>
    </row>
    <row r="2378" spans="1:13" x14ac:dyDescent="0.25">
      <c r="A2378">
        <v>2377</v>
      </c>
      <c r="B2378" t="s">
        <v>4767</v>
      </c>
      <c r="C2378" s="1">
        <v>37.211733865200003</v>
      </c>
      <c r="D2378" s="1">
        <v>-7.0477027998899997</v>
      </c>
      <c r="E2378" s="3">
        <v>2</v>
      </c>
      <c r="F2378" s="2">
        <v>3</v>
      </c>
      <c r="G2378" s="4">
        <v>3</v>
      </c>
      <c r="H2378" s="13"/>
      <c r="I2378" s="15"/>
      <c r="J2378" s="19">
        <v>3</v>
      </c>
      <c r="K2378" s="2" t="s">
        <v>4768</v>
      </c>
      <c r="L2378" s="11" t="str">
        <f t="shared" si="38"/>
        <v>Ver Imagen</v>
      </c>
      <c r="M2378" t="s">
        <v>15</v>
      </c>
    </row>
    <row r="2379" spans="1:13" x14ac:dyDescent="0.25">
      <c r="A2379">
        <v>2378</v>
      </c>
      <c r="B2379" t="s">
        <v>4769</v>
      </c>
      <c r="C2379" s="1">
        <v>37.211559397999999</v>
      </c>
      <c r="D2379" s="1">
        <v>-7.0467145394899999</v>
      </c>
      <c r="E2379" s="3">
        <v>2</v>
      </c>
      <c r="F2379" s="2">
        <v>3</v>
      </c>
      <c r="G2379" s="4">
        <v>3</v>
      </c>
      <c r="H2379" s="13"/>
      <c r="I2379" s="15"/>
      <c r="J2379" s="19">
        <v>3</v>
      </c>
      <c r="K2379" s="2" t="s">
        <v>4770</v>
      </c>
      <c r="L2379" s="11" t="str">
        <f t="shared" si="38"/>
        <v>Ver Imagen</v>
      </c>
      <c r="M2379" t="s">
        <v>15</v>
      </c>
    </row>
    <row r="2380" spans="1:13" x14ac:dyDescent="0.25">
      <c r="A2380">
        <v>2379</v>
      </c>
      <c r="B2380" t="s">
        <v>4771</v>
      </c>
      <c r="C2380" s="1">
        <v>37.2110275597</v>
      </c>
      <c r="D2380" s="1">
        <v>-7.0445062961699998</v>
      </c>
      <c r="E2380" s="3">
        <v>2</v>
      </c>
      <c r="F2380" s="2">
        <v>3</v>
      </c>
      <c r="G2380" s="4">
        <v>3</v>
      </c>
      <c r="H2380" s="13"/>
      <c r="I2380" s="15"/>
      <c r="J2380" s="19">
        <v>3</v>
      </c>
      <c r="K2380" s="2" t="s">
        <v>4772</v>
      </c>
      <c r="L2380" s="11" t="str">
        <f t="shared" si="38"/>
        <v>Ver Imagen</v>
      </c>
      <c r="M2380" t="s">
        <v>15</v>
      </c>
    </row>
    <row r="2381" spans="1:13" x14ac:dyDescent="0.25">
      <c r="A2381">
        <v>2380</v>
      </c>
      <c r="B2381" t="s">
        <v>4773</v>
      </c>
      <c r="C2381" s="1">
        <v>37.210461176000003</v>
      </c>
      <c r="D2381" s="1">
        <v>-7.04298017171</v>
      </c>
      <c r="E2381" s="3">
        <v>2</v>
      </c>
      <c r="F2381" s="2">
        <v>3</v>
      </c>
      <c r="G2381" s="4">
        <v>3</v>
      </c>
      <c r="H2381" s="13"/>
      <c r="I2381" s="15"/>
      <c r="J2381" s="19">
        <v>3</v>
      </c>
      <c r="K2381" s="2" t="s">
        <v>4774</v>
      </c>
      <c r="L2381" s="11" t="str">
        <f t="shared" si="38"/>
        <v>Ver Imagen</v>
      </c>
      <c r="M2381" t="s">
        <v>15</v>
      </c>
    </row>
    <row r="2382" spans="1:13" x14ac:dyDescent="0.25">
      <c r="A2382">
        <v>2381</v>
      </c>
      <c r="B2382" t="s">
        <v>4775</v>
      </c>
      <c r="C2382" s="1">
        <v>37.209335008799997</v>
      </c>
      <c r="D2382" s="1">
        <v>-7.0399669170900001</v>
      </c>
      <c r="E2382" s="3">
        <v>2</v>
      </c>
      <c r="F2382" s="2">
        <v>3</v>
      </c>
      <c r="G2382" s="4">
        <v>3</v>
      </c>
      <c r="H2382" s="13"/>
      <c r="I2382" s="15"/>
      <c r="J2382" s="19">
        <v>3</v>
      </c>
      <c r="K2382" s="2" t="s">
        <v>4776</v>
      </c>
      <c r="L2382" s="11" t="str">
        <f t="shared" si="38"/>
        <v>Ver Imagen</v>
      </c>
      <c r="M2382" t="s">
        <v>15</v>
      </c>
    </row>
    <row r="2383" spans="1:13" x14ac:dyDescent="0.25">
      <c r="A2383">
        <v>2382</v>
      </c>
      <c r="B2383" t="s">
        <v>4777</v>
      </c>
      <c r="C2383" s="1">
        <v>37.209236680399997</v>
      </c>
      <c r="D2383" s="1">
        <v>-7.0397107931900003</v>
      </c>
      <c r="E2383" s="3">
        <v>2</v>
      </c>
      <c r="F2383" s="2">
        <v>3</v>
      </c>
      <c r="G2383" s="4">
        <v>3</v>
      </c>
      <c r="H2383" s="13"/>
      <c r="I2383" s="15"/>
      <c r="J2383" s="19">
        <v>3</v>
      </c>
      <c r="K2383" s="2" t="s">
        <v>4778</v>
      </c>
      <c r="L2383" s="11" t="str">
        <f t="shared" si="38"/>
        <v>Ver Imagen</v>
      </c>
      <c r="M2383" t="s">
        <v>15</v>
      </c>
    </row>
    <row r="2384" spans="1:13" x14ac:dyDescent="0.25">
      <c r="A2384">
        <v>2383</v>
      </c>
      <c r="B2384" t="s">
        <v>4779</v>
      </c>
      <c r="C2384" s="1">
        <v>37.209154330700002</v>
      </c>
      <c r="D2384" s="1">
        <v>-7.0395016756300004</v>
      </c>
      <c r="E2384" s="3">
        <v>2</v>
      </c>
      <c r="F2384" s="2">
        <v>3</v>
      </c>
      <c r="G2384" s="4">
        <v>3</v>
      </c>
      <c r="H2384" s="13"/>
      <c r="I2384" s="15"/>
      <c r="J2384" s="19">
        <v>3</v>
      </c>
      <c r="K2384" s="2" t="s">
        <v>4780</v>
      </c>
      <c r="L2384" s="11" t="str">
        <f t="shared" si="38"/>
        <v>Ver Imagen</v>
      </c>
      <c r="M2384" t="s">
        <v>15</v>
      </c>
    </row>
    <row r="2385" spans="1:13" x14ac:dyDescent="0.25">
      <c r="A2385">
        <v>2384</v>
      </c>
      <c r="B2385" t="s">
        <v>4781</v>
      </c>
      <c r="C2385" s="1">
        <v>37.208188092</v>
      </c>
      <c r="D2385" s="1">
        <v>-7.0370134979800003</v>
      </c>
      <c r="E2385" s="3">
        <v>2</v>
      </c>
      <c r="F2385" s="2">
        <v>3</v>
      </c>
      <c r="G2385" s="4">
        <v>3</v>
      </c>
      <c r="H2385" s="13"/>
      <c r="I2385" s="15"/>
      <c r="J2385" s="19">
        <v>3</v>
      </c>
      <c r="K2385" s="2" t="s">
        <v>4782</v>
      </c>
      <c r="L2385" s="11" t="str">
        <f t="shared" si="38"/>
        <v>Ver Imagen</v>
      </c>
      <c r="M2385" t="s">
        <v>15</v>
      </c>
    </row>
    <row r="2386" spans="1:13" x14ac:dyDescent="0.25">
      <c r="A2386">
        <v>2385</v>
      </c>
      <c r="B2386" t="s">
        <v>4783</v>
      </c>
      <c r="C2386" s="1">
        <v>37.207928210399999</v>
      </c>
      <c r="D2386" s="1">
        <v>-7.0363434970499998</v>
      </c>
      <c r="E2386" s="3">
        <v>3</v>
      </c>
      <c r="F2386" s="2">
        <v>3</v>
      </c>
      <c r="G2386" s="4">
        <v>2</v>
      </c>
      <c r="H2386" s="13"/>
      <c r="I2386" s="15"/>
      <c r="J2386" s="19">
        <v>3</v>
      </c>
      <c r="K2386" s="2" t="s">
        <v>4784</v>
      </c>
      <c r="L2386" s="11" t="str">
        <f t="shared" si="38"/>
        <v>Ver Imagen</v>
      </c>
      <c r="M2386" t="s">
        <v>15</v>
      </c>
    </row>
    <row r="2387" spans="1:13" x14ac:dyDescent="0.25">
      <c r="A2387">
        <v>2386</v>
      </c>
      <c r="B2387" t="s">
        <v>4785</v>
      </c>
      <c r="C2387" s="1">
        <v>37.2076529518</v>
      </c>
      <c r="D2387" s="1">
        <v>-7.0356238824800004</v>
      </c>
      <c r="E2387" s="3">
        <v>3</v>
      </c>
      <c r="F2387" s="2">
        <v>3</v>
      </c>
      <c r="G2387" s="4">
        <v>2</v>
      </c>
      <c r="H2387" s="13"/>
      <c r="I2387" s="15"/>
      <c r="J2387" s="19">
        <v>3</v>
      </c>
      <c r="K2387" s="2" t="s">
        <v>4786</v>
      </c>
      <c r="L2387" s="11" t="str">
        <f t="shared" si="38"/>
        <v>Ver Imagen</v>
      </c>
      <c r="M2387" t="s">
        <v>15</v>
      </c>
    </row>
    <row r="2388" spans="1:13" x14ac:dyDescent="0.25">
      <c r="A2388">
        <v>2387</v>
      </c>
      <c r="B2388" t="s">
        <v>4787</v>
      </c>
      <c r="C2388" s="1">
        <v>37.207392838300002</v>
      </c>
      <c r="D2388" s="1">
        <v>-7.0349581994700001</v>
      </c>
      <c r="E2388" s="3">
        <v>2</v>
      </c>
      <c r="F2388" s="2">
        <v>3</v>
      </c>
      <c r="G2388" s="4">
        <v>3</v>
      </c>
      <c r="H2388" s="13"/>
      <c r="I2388" s="15"/>
      <c r="J2388" s="19">
        <v>3</v>
      </c>
      <c r="K2388" s="2" t="s">
        <v>4788</v>
      </c>
      <c r="L2388" s="11" t="str">
        <f t="shared" si="38"/>
        <v>Ver Imagen</v>
      </c>
      <c r="M2388" t="s">
        <v>15</v>
      </c>
    </row>
    <row r="2389" spans="1:13" x14ac:dyDescent="0.25">
      <c r="A2389">
        <v>2388</v>
      </c>
      <c r="B2389" t="s">
        <v>4789</v>
      </c>
      <c r="C2389" s="1">
        <v>37.206429742700003</v>
      </c>
      <c r="D2389" s="1">
        <v>-7.0324567846199999</v>
      </c>
      <c r="E2389" s="3">
        <v>2</v>
      </c>
      <c r="F2389" s="2">
        <v>3</v>
      </c>
      <c r="G2389" s="4">
        <v>3</v>
      </c>
      <c r="H2389" s="13"/>
      <c r="I2389" s="15"/>
      <c r="J2389" s="19">
        <v>3</v>
      </c>
      <c r="K2389" s="2" t="s">
        <v>4790</v>
      </c>
      <c r="L2389" s="11" t="str">
        <f t="shared" si="38"/>
        <v>Ver Imagen</v>
      </c>
      <c r="M2389" t="s">
        <v>15</v>
      </c>
    </row>
    <row r="2390" spans="1:13" x14ac:dyDescent="0.25">
      <c r="A2390">
        <v>2389</v>
      </c>
      <c r="B2390" t="s">
        <v>4791</v>
      </c>
      <c r="C2390" s="1">
        <v>37.2059820411</v>
      </c>
      <c r="D2390" s="1">
        <v>-7.0313025662499999</v>
      </c>
      <c r="E2390" s="3">
        <v>2</v>
      </c>
      <c r="F2390" s="2">
        <v>3</v>
      </c>
      <c r="G2390" s="4">
        <v>3</v>
      </c>
      <c r="H2390" s="13"/>
      <c r="I2390" s="15"/>
      <c r="J2390" s="19">
        <v>3</v>
      </c>
      <c r="K2390" s="2" t="s">
        <v>4792</v>
      </c>
      <c r="L2390" s="11" t="str">
        <f t="shared" si="38"/>
        <v>Ver Imagen</v>
      </c>
      <c r="M2390" t="s">
        <v>15</v>
      </c>
    </row>
    <row r="2391" spans="1:13" x14ac:dyDescent="0.25">
      <c r="A2391">
        <v>2390</v>
      </c>
      <c r="B2391" t="s">
        <v>4793</v>
      </c>
      <c r="C2391" s="1">
        <v>37.205889938200002</v>
      </c>
      <c r="D2391" s="1">
        <v>-7.0310583087099996</v>
      </c>
      <c r="E2391" s="3">
        <v>2</v>
      </c>
      <c r="F2391" s="2">
        <v>3</v>
      </c>
      <c r="G2391" s="4">
        <v>3</v>
      </c>
      <c r="H2391" s="13"/>
      <c r="I2391" s="15"/>
      <c r="J2391" s="19">
        <v>3</v>
      </c>
      <c r="K2391" s="2" t="s">
        <v>4794</v>
      </c>
      <c r="L2391" s="11" t="str">
        <f t="shared" si="38"/>
        <v>Ver Imagen</v>
      </c>
      <c r="M2391" t="s">
        <v>15</v>
      </c>
    </row>
    <row r="2392" spans="1:13" x14ac:dyDescent="0.25">
      <c r="A2392">
        <v>2391</v>
      </c>
      <c r="B2392" t="s">
        <v>4795</v>
      </c>
      <c r="C2392" s="1">
        <v>37.205461956199997</v>
      </c>
      <c r="D2392" s="1">
        <v>-7.0299435074299996</v>
      </c>
      <c r="E2392" s="3">
        <v>2</v>
      </c>
      <c r="F2392" s="2">
        <v>3</v>
      </c>
      <c r="G2392" s="4">
        <v>3</v>
      </c>
      <c r="H2392" s="13"/>
      <c r="I2392" s="15"/>
      <c r="J2392" s="19">
        <v>3</v>
      </c>
      <c r="K2392" s="2" t="s">
        <v>4796</v>
      </c>
      <c r="L2392" s="11" t="str">
        <f t="shared" si="38"/>
        <v>Ver Imagen</v>
      </c>
      <c r="M2392" t="s">
        <v>15</v>
      </c>
    </row>
    <row r="2393" spans="1:13" x14ac:dyDescent="0.25">
      <c r="A2393">
        <v>2392</v>
      </c>
      <c r="B2393" t="s">
        <v>4797</v>
      </c>
      <c r="C2393" s="1">
        <v>37.205203321299997</v>
      </c>
      <c r="D2393" s="1">
        <v>-7.0292546420399997</v>
      </c>
      <c r="E2393" s="3">
        <v>2</v>
      </c>
      <c r="F2393" s="2">
        <v>3</v>
      </c>
      <c r="G2393" s="4">
        <v>3</v>
      </c>
      <c r="H2393" s="13"/>
      <c r="I2393" s="15"/>
      <c r="J2393" s="19">
        <v>3</v>
      </c>
      <c r="K2393" s="2" t="s">
        <v>4798</v>
      </c>
      <c r="L2393" s="11" t="str">
        <f t="shared" si="38"/>
        <v>Ver Imagen</v>
      </c>
      <c r="M2393" t="s">
        <v>15</v>
      </c>
    </row>
    <row r="2394" spans="1:13" x14ac:dyDescent="0.25">
      <c r="A2394">
        <v>2393</v>
      </c>
      <c r="B2394" t="s">
        <v>4799</v>
      </c>
      <c r="C2394" s="1">
        <v>37.205119044699998</v>
      </c>
      <c r="D2394" s="1">
        <v>-7.0290374959899999</v>
      </c>
      <c r="E2394" s="3">
        <v>2</v>
      </c>
      <c r="F2394" s="2">
        <v>3</v>
      </c>
      <c r="G2394" s="4">
        <v>3</v>
      </c>
      <c r="H2394" s="13"/>
      <c r="I2394" s="15"/>
      <c r="J2394" s="19">
        <v>3</v>
      </c>
      <c r="K2394" s="2" t="s">
        <v>4800</v>
      </c>
      <c r="L2394" s="11" t="str">
        <f t="shared" si="38"/>
        <v>Ver Imagen</v>
      </c>
      <c r="M2394" t="s">
        <v>15</v>
      </c>
    </row>
    <row r="2395" spans="1:13" x14ac:dyDescent="0.25">
      <c r="A2395">
        <v>2394</v>
      </c>
      <c r="B2395" t="s">
        <v>4801</v>
      </c>
      <c r="C2395" s="1">
        <v>37.204813897400001</v>
      </c>
      <c r="D2395" s="1">
        <v>-7.0283779540799998</v>
      </c>
      <c r="E2395" s="3">
        <v>2</v>
      </c>
      <c r="F2395" s="2">
        <v>3</v>
      </c>
      <c r="G2395" s="4">
        <v>3</v>
      </c>
      <c r="H2395" s="13"/>
      <c r="I2395" s="15"/>
      <c r="J2395" s="19">
        <v>3</v>
      </c>
      <c r="K2395" s="2" t="s">
        <v>4802</v>
      </c>
      <c r="L2395" s="11" t="str">
        <f t="shared" si="38"/>
        <v>Ver Imagen</v>
      </c>
      <c r="M2395" t="s">
        <v>15</v>
      </c>
    </row>
    <row r="2396" spans="1:13" x14ac:dyDescent="0.25">
      <c r="A2396">
        <v>2395</v>
      </c>
      <c r="B2396" t="s">
        <v>4803</v>
      </c>
      <c r="C2396" s="1">
        <v>37.200923971800002</v>
      </c>
      <c r="D2396" s="1">
        <v>-7.01810042339</v>
      </c>
      <c r="E2396" s="3">
        <v>2</v>
      </c>
      <c r="F2396" s="2">
        <v>3</v>
      </c>
      <c r="G2396" s="4">
        <v>3</v>
      </c>
      <c r="H2396" s="13"/>
      <c r="I2396" s="15"/>
      <c r="J2396" s="19">
        <v>3</v>
      </c>
      <c r="K2396" s="2" t="s">
        <v>4804</v>
      </c>
      <c r="L2396" s="11" t="str">
        <f t="shared" si="38"/>
        <v>Ver Imagen</v>
      </c>
      <c r="M2396" t="s">
        <v>15</v>
      </c>
    </row>
    <row r="2397" spans="1:13" x14ac:dyDescent="0.25">
      <c r="A2397">
        <v>2396</v>
      </c>
      <c r="B2397" t="s">
        <v>4805</v>
      </c>
      <c r="C2397" s="1">
        <v>37.200831379100002</v>
      </c>
      <c r="D2397" s="1">
        <v>-7.0178604389299997</v>
      </c>
      <c r="E2397" s="3">
        <v>2</v>
      </c>
      <c r="F2397" s="2">
        <v>3</v>
      </c>
      <c r="G2397" s="4">
        <v>3</v>
      </c>
      <c r="H2397" s="13"/>
      <c r="I2397" s="15"/>
      <c r="J2397" s="19">
        <v>3</v>
      </c>
      <c r="K2397" s="2" t="s">
        <v>4806</v>
      </c>
      <c r="L2397" s="11" t="str">
        <f t="shared" si="38"/>
        <v>Ver Imagen</v>
      </c>
      <c r="M2397" t="s">
        <v>15</v>
      </c>
    </row>
    <row r="2398" spans="1:13" x14ac:dyDescent="0.25">
      <c r="A2398">
        <v>2397</v>
      </c>
      <c r="B2398" t="s">
        <v>4807</v>
      </c>
      <c r="C2398" s="1">
        <v>37.198380440699999</v>
      </c>
      <c r="D2398" s="1">
        <v>-7.0114875846900002</v>
      </c>
      <c r="E2398" s="3">
        <v>2</v>
      </c>
      <c r="F2398" s="2">
        <v>3</v>
      </c>
      <c r="G2398" s="4">
        <v>3</v>
      </c>
      <c r="H2398" s="13"/>
      <c r="I2398" s="15"/>
      <c r="J2398" s="19">
        <v>3</v>
      </c>
      <c r="K2398" s="2" t="s">
        <v>4808</v>
      </c>
      <c r="L2398" s="11" t="str">
        <f t="shared" si="38"/>
        <v>Ver Imagen</v>
      </c>
      <c r="M2398" t="s">
        <v>15</v>
      </c>
    </row>
    <row r="2399" spans="1:13" x14ac:dyDescent="0.25">
      <c r="A2399">
        <v>2398</v>
      </c>
      <c r="B2399" t="s">
        <v>4809</v>
      </c>
      <c r="C2399" s="1">
        <v>37.197940750000001</v>
      </c>
      <c r="D2399" s="1">
        <v>-7.0103541413799997</v>
      </c>
      <c r="E2399" s="3">
        <v>2</v>
      </c>
      <c r="F2399" s="2">
        <v>3</v>
      </c>
      <c r="G2399" s="4">
        <v>3</v>
      </c>
      <c r="H2399" s="13"/>
      <c r="I2399" s="15"/>
      <c r="J2399" s="19">
        <v>3</v>
      </c>
      <c r="K2399" s="2" t="s">
        <v>4810</v>
      </c>
      <c r="L2399" s="11" t="str">
        <f t="shared" si="38"/>
        <v>Ver Imagen</v>
      </c>
      <c r="M2399" t="s">
        <v>15</v>
      </c>
    </row>
    <row r="2400" spans="1:13" x14ac:dyDescent="0.25">
      <c r="A2400">
        <v>2399</v>
      </c>
      <c r="B2400" t="s">
        <v>4811</v>
      </c>
      <c r="C2400" s="1">
        <v>37.197861522899998</v>
      </c>
      <c r="D2400" s="1">
        <v>-7.0101470293199997</v>
      </c>
      <c r="E2400" s="3">
        <v>2</v>
      </c>
      <c r="F2400" s="2">
        <v>3</v>
      </c>
      <c r="G2400" s="4">
        <v>3</v>
      </c>
      <c r="H2400" s="13"/>
      <c r="I2400" s="15"/>
      <c r="J2400" s="19">
        <v>3</v>
      </c>
      <c r="K2400" s="2" t="s">
        <v>4812</v>
      </c>
      <c r="L2400" s="11" t="str">
        <f t="shared" si="38"/>
        <v>Ver Imagen</v>
      </c>
      <c r="M2400" t="s">
        <v>15</v>
      </c>
    </row>
    <row r="2401" spans="1:13" x14ac:dyDescent="0.25">
      <c r="A2401">
        <v>2400</v>
      </c>
      <c r="B2401" t="s">
        <v>4813</v>
      </c>
      <c r="C2401" s="1">
        <v>37.287950324400001</v>
      </c>
      <c r="D2401" s="1">
        <v>-7.1415840136400002</v>
      </c>
      <c r="E2401" s="3">
        <v>2</v>
      </c>
      <c r="F2401" s="2">
        <v>3</v>
      </c>
      <c r="G2401" s="4">
        <v>3</v>
      </c>
      <c r="H2401" s="13"/>
      <c r="I2401" s="15"/>
      <c r="J2401" s="19">
        <v>3</v>
      </c>
      <c r="K2401" s="2" t="s">
        <v>4814</v>
      </c>
      <c r="L2401" s="11" t="str">
        <f t="shared" si="38"/>
        <v>Ver Imagen</v>
      </c>
      <c r="M2401" t="s">
        <v>15</v>
      </c>
    </row>
    <row r="2402" spans="1:13" x14ac:dyDescent="0.25">
      <c r="A2402">
        <v>2401</v>
      </c>
      <c r="B2402" t="s">
        <v>4815</v>
      </c>
      <c r="C2402" s="1">
        <v>37.285315324400003</v>
      </c>
      <c r="D2402" s="1">
        <v>-7.1424952369600003</v>
      </c>
      <c r="E2402" s="3">
        <v>2</v>
      </c>
      <c r="F2402" s="2">
        <v>3</v>
      </c>
      <c r="G2402" s="4">
        <v>3</v>
      </c>
      <c r="H2402" s="13"/>
      <c r="I2402" s="15"/>
      <c r="J2402" s="19">
        <v>3</v>
      </c>
      <c r="K2402" s="2" t="s">
        <v>4816</v>
      </c>
      <c r="L2402" s="11" t="str">
        <f t="shared" si="38"/>
        <v>Ver Imagen</v>
      </c>
      <c r="M2402" t="s">
        <v>15</v>
      </c>
    </row>
    <row r="2403" spans="1:13" x14ac:dyDescent="0.25">
      <c r="A2403">
        <v>2402</v>
      </c>
      <c r="B2403" t="s">
        <v>4817</v>
      </c>
      <c r="C2403" s="1">
        <v>37.285201300700002</v>
      </c>
      <c r="D2403" s="1">
        <v>-7.1426828854600002</v>
      </c>
      <c r="E2403" s="3">
        <v>2</v>
      </c>
      <c r="F2403" s="2">
        <v>3</v>
      </c>
      <c r="G2403" s="4">
        <v>3</v>
      </c>
      <c r="H2403" s="13"/>
      <c r="I2403" s="15"/>
      <c r="J2403" s="19">
        <v>3</v>
      </c>
      <c r="K2403" s="2" t="s">
        <v>4818</v>
      </c>
      <c r="L2403" s="11" t="str">
        <f t="shared" si="38"/>
        <v>Ver Imagen</v>
      </c>
      <c r="M2403" t="s">
        <v>15</v>
      </c>
    </row>
    <row r="2404" spans="1:13" x14ac:dyDescent="0.25">
      <c r="A2404">
        <v>2403</v>
      </c>
      <c r="B2404" t="s">
        <v>4819</v>
      </c>
      <c r="C2404" s="1">
        <v>37.2849856347</v>
      </c>
      <c r="D2404" s="1">
        <v>-7.1430796339600002</v>
      </c>
      <c r="E2404" s="3">
        <v>2</v>
      </c>
      <c r="F2404" s="2">
        <v>3</v>
      </c>
      <c r="G2404" s="4">
        <v>3</v>
      </c>
      <c r="H2404" s="13"/>
      <c r="I2404" s="15"/>
      <c r="J2404" s="19">
        <v>3</v>
      </c>
      <c r="K2404" s="2" t="s">
        <v>4820</v>
      </c>
      <c r="L2404" s="11" t="str">
        <f t="shared" si="38"/>
        <v>Ver Imagen</v>
      </c>
      <c r="M2404" t="s">
        <v>15</v>
      </c>
    </row>
    <row r="2405" spans="1:13" x14ac:dyDescent="0.25">
      <c r="A2405">
        <v>2404</v>
      </c>
      <c r="B2405" t="s">
        <v>4821</v>
      </c>
      <c r="C2405" s="1">
        <v>37.279735198399997</v>
      </c>
      <c r="D2405" s="1">
        <v>-7.1453779577800001</v>
      </c>
      <c r="E2405" s="3">
        <v>2</v>
      </c>
      <c r="F2405" s="2">
        <v>3</v>
      </c>
      <c r="G2405" s="4">
        <v>3</v>
      </c>
      <c r="H2405" s="13"/>
      <c r="I2405" s="15"/>
      <c r="J2405" s="19">
        <v>3</v>
      </c>
      <c r="K2405" s="2" t="s">
        <v>4822</v>
      </c>
      <c r="L2405" s="11" t="str">
        <f t="shared" si="38"/>
        <v>Ver Imagen</v>
      </c>
      <c r="M2405" t="s">
        <v>15</v>
      </c>
    </row>
    <row r="2406" spans="1:13" x14ac:dyDescent="0.25">
      <c r="A2406">
        <v>2405</v>
      </c>
      <c r="B2406" t="s">
        <v>4823</v>
      </c>
      <c r="C2406" s="1">
        <v>37.277737791</v>
      </c>
      <c r="D2406" s="1">
        <v>-7.14365305917</v>
      </c>
      <c r="E2406" s="3">
        <v>2</v>
      </c>
      <c r="F2406" s="2">
        <v>3</v>
      </c>
      <c r="G2406" s="4">
        <v>3</v>
      </c>
      <c r="H2406" s="13"/>
      <c r="I2406" s="15"/>
      <c r="J2406" s="19">
        <v>3</v>
      </c>
      <c r="K2406" s="2" t="s">
        <v>4824</v>
      </c>
      <c r="L2406" s="11" t="str">
        <f t="shared" si="38"/>
        <v>Ver Imagen</v>
      </c>
      <c r="M2406" t="s">
        <v>15</v>
      </c>
    </row>
    <row r="2407" spans="1:13" x14ac:dyDescent="0.25">
      <c r="A2407">
        <v>2406</v>
      </c>
      <c r="B2407" t="s">
        <v>4825</v>
      </c>
      <c r="C2407" s="1">
        <v>37.277181757800001</v>
      </c>
      <c r="D2407" s="1">
        <v>-7.1433315832000002</v>
      </c>
      <c r="E2407" s="3">
        <v>3</v>
      </c>
      <c r="F2407" s="2">
        <v>3</v>
      </c>
      <c r="G2407" s="4">
        <v>2</v>
      </c>
      <c r="H2407" s="13"/>
      <c r="I2407" s="15"/>
      <c r="J2407" s="19">
        <v>3</v>
      </c>
      <c r="K2407" s="2" t="s">
        <v>4826</v>
      </c>
      <c r="L2407" s="11" t="str">
        <f t="shared" si="38"/>
        <v>Ver Imagen</v>
      </c>
      <c r="M2407" t="s">
        <v>15</v>
      </c>
    </row>
    <row r="2408" spans="1:13" x14ac:dyDescent="0.25">
      <c r="A2408">
        <v>2407</v>
      </c>
      <c r="B2408" t="s">
        <v>4827</v>
      </c>
      <c r="C2408" s="1">
        <v>37.274465653299998</v>
      </c>
      <c r="D2408" s="1">
        <v>-7.1424288552100004</v>
      </c>
      <c r="E2408" s="3">
        <v>2</v>
      </c>
      <c r="F2408" s="2">
        <v>3</v>
      </c>
      <c r="G2408" s="4">
        <v>3</v>
      </c>
      <c r="H2408" s="13"/>
      <c r="I2408" s="15"/>
      <c r="J2408" s="19">
        <v>3</v>
      </c>
      <c r="K2408" s="2" t="s">
        <v>4828</v>
      </c>
      <c r="L2408" s="11" t="str">
        <f t="shared" si="38"/>
        <v>Ver Imagen</v>
      </c>
      <c r="M2408" t="s">
        <v>15</v>
      </c>
    </row>
    <row r="2409" spans="1:13" x14ac:dyDescent="0.25">
      <c r="A2409">
        <v>2408</v>
      </c>
      <c r="B2409" t="s">
        <v>4829</v>
      </c>
      <c r="C2409" s="1">
        <v>37.274293768100002</v>
      </c>
      <c r="D2409" s="1">
        <v>-7.1423518537300001</v>
      </c>
      <c r="E2409" s="3">
        <v>3</v>
      </c>
      <c r="F2409" s="2">
        <v>3</v>
      </c>
      <c r="G2409" s="4">
        <v>2</v>
      </c>
      <c r="H2409" s="13"/>
      <c r="I2409" s="15"/>
      <c r="J2409" s="19">
        <v>3</v>
      </c>
      <c r="K2409" s="2" t="s">
        <v>4830</v>
      </c>
      <c r="L2409" s="11" t="str">
        <f t="shared" ref="L2409:L2472" si="39">HYPERLINK("3\1\" &amp; K2409, "Ver Imagen")</f>
        <v>Ver Imagen</v>
      </c>
      <c r="M2409" t="s">
        <v>15</v>
      </c>
    </row>
    <row r="2410" spans="1:13" x14ac:dyDescent="0.25">
      <c r="A2410">
        <v>2409</v>
      </c>
      <c r="B2410" t="s">
        <v>4831</v>
      </c>
      <c r="C2410" s="1">
        <v>37.2657364915</v>
      </c>
      <c r="D2410" s="1">
        <v>-7.13268324511</v>
      </c>
      <c r="E2410" s="3">
        <v>2</v>
      </c>
      <c r="F2410" s="2">
        <v>3</v>
      </c>
      <c r="G2410" s="4">
        <v>3</v>
      </c>
      <c r="H2410" s="13"/>
      <c r="I2410" s="15"/>
      <c r="J2410" s="19">
        <v>3</v>
      </c>
      <c r="K2410" s="2" t="s">
        <v>4832</v>
      </c>
      <c r="L2410" s="11" t="str">
        <f t="shared" si="39"/>
        <v>Ver Imagen</v>
      </c>
      <c r="M2410" t="s">
        <v>15</v>
      </c>
    </row>
    <row r="2411" spans="1:13" x14ac:dyDescent="0.25">
      <c r="A2411">
        <v>2410</v>
      </c>
      <c r="B2411" t="s">
        <v>4833</v>
      </c>
      <c r="C2411" s="1">
        <v>37.2637864768</v>
      </c>
      <c r="D2411" s="1">
        <v>-7.1314640768400004</v>
      </c>
      <c r="E2411" s="3">
        <v>2</v>
      </c>
      <c r="F2411" s="2">
        <v>3</v>
      </c>
      <c r="G2411" s="4">
        <v>3</v>
      </c>
      <c r="H2411" s="13"/>
      <c r="I2411" s="15"/>
      <c r="J2411" s="19">
        <v>3</v>
      </c>
      <c r="K2411" s="2" t="s">
        <v>4834</v>
      </c>
      <c r="L2411" s="11" t="str">
        <f t="shared" si="39"/>
        <v>Ver Imagen</v>
      </c>
      <c r="M2411" t="s">
        <v>15</v>
      </c>
    </row>
    <row r="2412" spans="1:13" x14ac:dyDescent="0.25">
      <c r="A2412">
        <v>2411</v>
      </c>
      <c r="B2412" t="s">
        <v>4835</v>
      </c>
      <c r="C2412" s="1">
        <v>37.263394061100001</v>
      </c>
      <c r="D2412" s="1">
        <v>-7.1312114904500001</v>
      </c>
      <c r="E2412" s="3">
        <v>3</v>
      </c>
      <c r="F2412" s="2">
        <v>3</v>
      </c>
      <c r="G2412" s="4">
        <v>2</v>
      </c>
      <c r="H2412" s="13"/>
      <c r="I2412" s="15"/>
      <c r="J2412" s="19">
        <v>3</v>
      </c>
      <c r="K2412" s="2" t="s">
        <v>4836</v>
      </c>
      <c r="L2412" s="11" t="str">
        <f t="shared" si="39"/>
        <v>Ver Imagen</v>
      </c>
      <c r="M2412" t="s">
        <v>15</v>
      </c>
    </row>
    <row r="2413" spans="1:13" x14ac:dyDescent="0.25">
      <c r="A2413">
        <v>2412</v>
      </c>
      <c r="B2413" t="s">
        <v>4837</v>
      </c>
      <c r="C2413" s="1">
        <v>37.259618879199998</v>
      </c>
      <c r="D2413" s="1">
        <v>-7.1288490309899997</v>
      </c>
      <c r="E2413" s="3">
        <v>2</v>
      </c>
      <c r="F2413" s="2">
        <v>3</v>
      </c>
      <c r="G2413" s="4">
        <v>3</v>
      </c>
      <c r="H2413" s="13"/>
      <c r="I2413" s="15"/>
      <c r="J2413" s="19">
        <v>3</v>
      </c>
      <c r="K2413" s="2" t="s">
        <v>4838</v>
      </c>
      <c r="L2413" s="11" t="str">
        <f t="shared" si="39"/>
        <v>Ver Imagen</v>
      </c>
      <c r="M2413" t="s">
        <v>15</v>
      </c>
    </row>
    <row r="2414" spans="1:13" x14ac:dyDescent="0.25">
      <c r="A2414">
        <v>2413</v>
      </c>
      <c r="B2414" t="s">
        <v>4839</v>
      </c>
      <c r="C2414" s="1">
        <v>37.249104656699998</v>
      </c>
      <c r="D2414" s="1">
        <v>-7.1274165304399997</v>
      </c>
      <c r="E2414" s="3">
        <v>2</v>
      </c>
      <c r="F2414" s="2">
        <v>3</v>
      </c>
      <c r="G2414" s="4">
        <v>3</v>
      </c>
      <c r="H2414" s="13"/>
      <c r="I2414" s="15"/>
      <c r="J2414" s="19">
        <v>3</v>
      </c>
      <c r="K2414" s="2" t="s">
        <v>4840</v>
      </c>
      <c r="L2414" s="11" t="str">
        <f t="shared" si="39"/>
        <v>Ver Imagen</v>
      </c>
      <c r="M2414" t="s">
        <v>15</v>
      </c>
    </row>
    <row r="2415" spans="1:13" x14ac:dyDescent="0.25">
      <c r="A2415">
        <v>2414</v>
      </c>
      <c r="B2415" t="s">
        <v>4841</v>
      </c>
      <c r="C2415" s="1">
        <v>37.247297403499999</v>
      </c>
      <c r="D2415" s="1">
        <v>-7.1276832144500002</v>
      </c>
      <c r="E2415" s="3">
        <v>2</v>
      </c>
      <c r="F2415" s="2">
        <v>3</v>
      </c>
      <c r="G2415" s="4">
        <v>3</v>
      </c>
      <c r="H2415" s="13"/>
      <c r="I2415" s="15"/>
      <c r="J2415" s="19">
        <v>3</v>
      </c>
      <c r="K2415" s="2" t="s">
        <v>4842</v>
      </c>
      <c r="L2415" s="11" t="str">
        <f t="shared" si="39"/>
        <v>Ver Imagen</v>
      </c>
      <c r="M2415" t="s">
        <v>15</v>
      </c>
    </row>
    <row r="2416" spans="1:13" x14ac:dyDescent="0.25">
      <c r="A2416">
        <v>2415</v>
      </c>
      <c r="B2416" t="s">
        <v>4843</v>
      </c>
      <c r="C2416" s="1">
        <v>37.238649444300002</v>
      </c>
      <c r="D2416" s="1">
        <v>-7.1284388117199997</v>
      </c>
      <c r="E2416" s="3">
        <v>2</v>
      </c>
      <c r="F2416" s="2">
        <v>3</v>
      </c>
      <c r="G2416" s="4">
        <v>3</v>
      </c>
      <c r="H2416" s="13"/>
      <c r="I2416" s="15"/>
      <c r="J2416" s="19">
        <v>3</v>
      </c>
      <c r="K2416" s="2" t="s">
        <v>4844</v>
      </c>
      <c r="L2416" s="11" t="str">
        <f t="shared" si="39"/>
        <v>Ver Imagen</v>
      </c>
      <c r="M2416" t="s">
        <v>15</v>
      </c>
    </row>
    <row r="2417" spans="1:13" x14ac:dyDescent="0.25">
      <c r="A2417">
        <v>2416</v>
      </c>
      <c r="B2417" t="s">
        <v>4845</v>
      </c>
      <c r="C2417" s="1">
        <v>37.237633762100003</v>
      </c>
      <c r="D2417" s="1">
        <v>-7.1283394487000002</v>
      </c>
      <c r="E2417" s="3">
        <v>2</v>
      </c>
      <c r="F2417" s="2">
        <v>3</v>
      </c>
      <c r="G2417" s="4">
        <v>3</v>
      </c>
      <c r="H2417" s="13"/>
      <c r="I2417" s="15"/>
      <c r="J2417" s="19">
        <v>3</v>
      </c>
      <c r="K2417" s="2" t="s">
        <v>4846</v>
      </c>
      <c r="L2417" s="11" t="str">
        <f t="shared" si="39"/>
        <v>Ver Imagen</v>
      </c>
      <c r="M2417" t="s">
        <v>15</v>
      </c>
    </row>
    <row r="2418" spans="1:13" x14ac:dyDescent="0.25">
      <c r="A2418">
        <v>2417</v>
      </c>
      <c r="B2418" t="s">
        <v>4847</v>
      </c>
      <c r="C2418" s="1">
        <v>37.226265450500001</v>
      </c>
      <c r="D2418" s="1">
        <v>-7.1261603185700002</v>
      </c>
      <c r="E2418" s="3">
        <v>2</v>
      </c>
      <c r="F2418" s="2">
        <v>3</v>
      </c>
      <c r="G2418" s="4">
        <v>3</v>
      </c>
      <c r="H2418" s="13"/>
      <c r="I2418" s="15"/>
      <c r="J2418" s="19">
        <v>3</v>
      </c>
      <c r="K2418" s="2" t="s">
        <v>4848</v>
      </c>
      <c r="L2418" s="11" t="str">
        <f t="shared" si="39"/>
        <v>Ver Imagen</v>
      </c>
      <c r="M2418" t="s">
        <v>15</v>
      </c>
    </row>
    <row r="2419" spans="1:13" x14ac:dyDescent="0.25">
      <c r="A2419">
        <v>2418</v>
      </c>
      <c r="B2419" t="s">
        <v>4849</v>
      </c>
      <c r="C2419" s="1">
        <v>37.225913233500002</v>
      </c>
      <c r="D2419" s="1">
        <v>-7.1260543632599997</v>
      </c>
      <c r="E2419" s="3">
        <v>2</v>
      </c>
      <c r="F2419" s="2">
        <v>3</v>
      </c>
      <c r="G2419" s="4">
        <v>3</v>
      </c>
      <c r="H2419" s="13"/>
      <c r="I2419" s="15"/>
      <c r="J2419" s="19">
        <v>3</v>
      </c>
      <c r="K2419" s="2" t="s">
        <v>4850</v>
      </c>
      <c r="L2419" s="11" t="str">
        <f t="shared" si="39"/>
        <v>Ver Imagen</v>
      </c>
      <c r="M2419" t="s">
        <v>15</v>
      </c>
    </row>
    <row r="2420" spans="1:13" x14ac:dyDescent="0.25">
      <c r="A2420">
        <v>2419</v>
      </c>
      <c r="B2420" t="s">
        <v>4851</v>
      </c>
      <c r="C2420" s="1">
        <v>37.225705098600002</v>
      </c>
      <c r="D2420" s="1">
        <v>-7.1259929204699999</v>
      </c>
      <c r="E2420" s="3">
        <v>3</v>
      </c>
      <c r="F2420" s="2">
        <v>3</v>
      </c>
      <c r="G2420" s="4">
        <v>2</v>
      </c>
      <c r="H2420" s="13"/>
      <c r="I2420" s="15"/>
      <c r="J2420" s="19">
        <v>3</v>
      </c>
      <c r="K2420" s="2" t="s">
        <v>4852</v>
      </c>
      <c r="L2420" s="11" t="str">
        <f t="shared" si="39"/>
        <v>Ver Imagen</v>
      </c>
      <c r="M2420" t="s">
        <v>15</v>
      </c>
    </row>
    <row r="2421" spans="1:13" x14ac:dyDescent="0.25">
      <c r="A2421">
        <v>2420</v>
      </c>
      <c r="B2421" t="s">
        <v>4853</v>
      </c>
      <c r="C2421" s="1">
        <v>37.224377804699998</v>
      </c>
      <c r="D2421" s="1">
        <v>-7.1254629409100003</v>
      </c>
      <c r="E2421" s="3">
        <v>3</v>
      </c>
      <c r="F2421" s="2">
        <v>3</v>
      </c>
      <c r="G2421" s="4">
        <v>2</v>
      </c>
      <c r="H2421" s="13"/>
      <c r="I2421" s="15"/>
      <c r="J2421" s="19">
        <v>3</v>
      </c>
      <c r="K2421" s="2" t="s">
        <v>4854</v>
      </c>
      <c r="L2421" s="11" t="str">
        <f t="shared" si="39"/>
        <v>Ver Imagen</v>
      </c>
      <c r="M2421" t="s">
        <v>15</v>
      </c>
    </row>
    <row r="2422" spans="1:13" x14ac:dyDescent="0.25">
      <c r="A2422">
        <v>2421</v>
      </c>
      <c r="B2422" t="s">
        <v>4855</v>
      </c>
      <c r="C2422" s="1">
        <v>37.442884683400003</v>
      </c>
      <c r="D2422" s="1">
        <v>-7.0941544904900002</v>
      </c>
      <c r="E2422" s="3">
        <v>3</v>
      </c>
      <c r="F2422" s="2">
        <v>3</v>
      </c>
      <c r="G2422" s="4">
        <v>2</v>
      </c>
      <c r="H2422" s="13"/>
      <c r="I2422" s="15"/>
      <c r="J2422" s="19">
        <v>3</v>
      </c>
      <c r="K2422" s="2" t="s">
        <v>4856</v>
      </c>
      <c r="L2422" s="11" t="str">
        <f t="shared" si="39"/>
        <v>Ver Imagen</v>
      </c>
      <c r="M2422" t="s">
        <v>15</v>
      </c>
    </row>
    <row r="2423" spans="1:13" x14ac:dyDescent="0.25">
      <c r="A2423">
        <v>2422</v>
      </c>
      <c r="B2423" t="s">
        <v>4857</v>
      </c>
      <c r="C2423" s="1">
        <v>37.440657278899998</v>
      </c>
      <c r="D2423" s="1">
        <v>-7.0890205377699997</v>
      </c>
      <c r="E2423" s="3">
        <v>3</v>
      </c>
      <c r="F2423" s="2">
        <v>3</v>
      </c>
      <c r="G2423" s="4">
        <v>2</v>
      </c>
      <c r="H2423" s="13"/>
      <c r="I2423" s="15"/>
      <c r="J2423" s="19">
        <v>3</v>
      </c>
      <c r="K2423" s="2" t="s">
        <v>4858</v>
      </c>
      <c r="L2423" s="11" t="str">
        <f t="shared" si="39"/>
        <v>Ver Imagen</v>
      </c>
      <c r="M2423" t="s">
        <v>15</v>
      </c>
    </row>
    <row r="2424" spans="1:13" x14ac:dyDescent="0.25">
      <c r="A2424">
        <v>2423</v>
      </c>
      <c r="B2424" t="s">
        <v>4859</v>
      </c>
      <c r="C2424" s="1">
        <v>37.440351504200002</v>
      </c>
      <c r="D2424" s="1">
        <v>-7.0883799331599997</v>
      </c>
      <c r="E2424" s="3">
        <v>3</v>
      </c>
      <c r="F2424" s="2">
        <v>3</v>
      </c>
      <c r="G2424" s="4">
        <v>2</v>
      </c>
      <c r="H2424" s="13"/>
      <c r="I2424" s="15"/>
      <c r="J2424" s="19">
        <v>3</v>
      </c>
      <c r="K2424" s="2" t="s">
        <v>4860</v>
      </c>
      <c r="L2424" s="11" t="str">
        <f t="shared" si="39"/>
        <v>Ver Imagen</v>
      </c>
      <c r="M2424" t="s">
        <v>15</v>
      </c>
    </row>
    <row r="2425" spans="1:13" x14ac:dyDescent="0.25">
      <c r="A2425">
        <v>2424</v>
      </c>
      <c r="B2425" t="s">
        <v>4861</v>
      </c>
      <c r="C2425" s="1">
        <v>37.439198896400001</v>
      </c>
      <c r="D2425" s="1">
        <v>-7.0859565040800003</v>
      </c>
      <c r="E2425" s="3">
        <v>3</v>
      </c>
      <c r="F2425" s="2">
        <v>3</v>
      </c>
      <c r="G2425" s="4">
        <v>2</v>
      </c>
      <c r="H2425" s="13"/>
      <c r="I2425" s="15"/>
      <c r="J2425" s="19">
        <v>3</v>
      </c>
      <c r="K2425" s="2" t="s">
        <v>4862</v>
      </c>
      <c r="L2425" s="11" t="str">
        <f t="shared" si="39"/>
        <v>Ver Imagen</v>
      </c>
      <c r="M2425" t="s">
        <v>15</v>
      </c>
    </row>
    <row r="2426" spans="1:13" x14ac:dyDescent="0.25">
      <c r="A2426">
        <v>2425</v>
      </c>
      <c r="B2426" t="s">
        <v>4863</v>
      </c>
      <c r="C2426" s="1">
        <v>37.437614224699999</v>
      </c>
      <c r="D2426" s="1">
        <v>-7.0816027455199997</v>
      </c>
      <c r="E2426" s="3">
        <v>2</v>
      </c>
      <c r="F2426" s="2">
        <v>3</v>
      </c>
      <c r="G2426" s="4">
        <v>3</v>
      </c>
      <c r="H2426" s="13"/>
      <c r="I2426" s="15"/>
      <c r="J2426" s="19">
        <v>3</v>
      </c>
      <c r="K2426" s="2" t="s">
        <v>4864</v>
      </c>
      <c r="L2426" s="11" t="str">
        <f t="shared" si="39"/>
        <v>Ver Imagen</v>
      </c>
      <c r="M2426" t="s">
        <v>15</v>
      </c>
    </row>
    <row r="2427" spans="1:13" x14ac:dyDescent="0.25">
      <c r="A2427">
        <v>2426</v>
      </c>
      <c r="B2427" t="s">
        <v>4865</v>
      </c>
      <c r="C2427" s="1">
        <v>37.436689250000001</v>
      </c>
      <c r="D2427" s="1">
        <v>-7.0789667123399997</v>
      </c>
      <c r="E2427" s="3">
        <v>3</v>
      </c>
      <c r="F2427" s="2">
        <v>3</v>
      </c>
      <c r="G2427" s="4">
        <v>2</v>
      </c>
      <c r="H2427" s="13"/>
      <c r="I2427" s="15"/>
      <c r="J2427" s="19">
        <v>3</v>
      </c>
      <c r="K2427" s="2" t="s">
        <v>4866</v>
      </c>
      <c r="L2427" s="11" t="str">
        <f t="shared" si="39"/>
        <v>Ver Imagen</v>
      </c>
      <c r="M2427" t="s">
        <v>15</v>
      </c>
    </row>
    <row r="2428" spans="1:13" x14ac:dyDescent="0.25">
      <c r="A2428">
        <v>2427</v>
      </c>
      <c r="B2428" t="s">
        <v>4867</v>
      </c>
      <c r="C2428" s="1">
        <v>37.436521036499997</v>
      </c>
      <c r="D2428" s="1">
        <v>-7.0784810127200002</v>
      </c>
      <c r="E2428" s="3">
        <v>3</v>
      </c>
      <c r="F2428" s="2">
        <v>3</v>
      </c>
      <c r="G2428" s="4">
        <v>2</v>
      </c>
      <c r="H2428" s="13"/>
      <c r="I2428" s="15"/>
      <c r="J2428" s="19">
        <v>3</v>
      </c>
      <c r="K2428" s="2" t="s">
        <v>4868</v>
      </c>
      <c r="L2428" s="11" t="str">
        <f t="shared" si="39"/>
        <v>Ver Imagen</v>
      </c>
      <c r="M2428" t="s">
        <v>15</v>
      </c>
    </row>
    <row r="2429" spans="1:13" x14ac:dyDescent="0.25">
      <c r="A2429">
        <v>2428</v>
      </c>
      <c r="B2429" t="s">
        <v>4869</v>
      </c>
      <c r="C2429" s="1">
        <v>37.436123762599998</v>
      </c>
      <c r="D2429" s="1">
        <v>-7.0773463024999996</v>
      </c>
      <c r="E2429" s="3">
        <v>3</v>
      </c>
      <c r="F2429" s="2">
        <v>3</v>
      </c>
      <c r="G2429" s="4">
        <v>2</v>
      </c>
      <c r="H2429" s="13"/>
      <c r="I2429" s="15"/>
      <c r="J2429" s="19">
        <v>3</v>
      </c>
      <c r="K2429" s="2" t="s">
        <v>4870</v>
      </c>
      <c r="L2429" s="11" t="str">
        <f t="shared" si="39"/>
        <v>Ver Imagen</v>
      </c>
      <c r="M2429" t="s">
        <v>15</v>
      </c>
    </row>
    <row r="2430" spans="1:13" x14ac:dyDescent="0.25">
      <c r="A2430">
        <v>2429</v>
      </c>
      <c r="B2430" t="s">
        <v>4871</v>
      </c>
      <c r="C2430" s="1">
        <v>37.222645232399998</v>
      </c>
      <c r="D2430" s="1">
        <v>-7.0556412034499996</v>
      </c>
      <c r="E2430" s="3">
        <v>3</v>
      </c>
      <c r="F2430" s="2">
        <v>3</v>
      </c>
      <c r="G2430" s="4">
        <v>2</v>
      </c>
      <c r="H2430" s="13"/>
      <c r="I2430" s="15"/>
      <c r="J2430" s="19">
        <v>3</v>
      </c>
      <c r="K2430" s="2" t="s">
        <v>4872</v>
      </c>
      <c r="L2430" s="11" t="str">
        <f t="shared" si="39"/>
        <v>Ver Imagen</v>
      </c>
      <c r="M2430" t="s">
        <v>15</v>
      </c>
    </row>
    <row r="2431" spans="1:13" x14ac:dyDescent="0.25">
      <c r="A2431">
        <v>2430</v>
      </c>
      <c r="B2431" t="s">
        <v>4873</v>
      </c>
      <c r="C2431" s="1">
        <v>37.225019612899999</v>
      </c>
      <c r="D2431" s="1">
        <v>-7.0577393544199998</v>
      </c>
      <c r="E2431" s="3">
        <v>3</v>
      </c>
      <c r="F2431" s="2">
        <v>3</v>
      </c>
      <c r="G2431" s="4">
        <v>2</v>
      </c>
      <c r="H2431" s="13"/>
      <c r="I2431" s="15"/>
      <c r="J2431" s="19">
        <v>3</v>
      </c>
      <c r="K2431" s="2" t="s">
        <v>4874</v>
      </c>
      <c r="L2431" s="11" t="str">
        <f t="shared" si="39"/>
        <v>Ver Imagen</v>
      </c>
      <c r="M2431" t="s">
        <v>15</v>
      </c>
    </row>
    <row r="2432" spans="1:13" x14ac:dyDescent="0.25">
      <c r="A2432">
        <v>2431</v>
      </c>
      <c r="B2432" t="s">
        <v>4875</v>
      </c>
      <c r="C2432" s="1">
        <v>37.225159651299997</v>
      </c>
      <c r="D2432" s="1">
        <v>-7.0579757777800003</v>
      </c>
      <c r="E2432" s="3">
        <v>3</v>
      </c>
      <c r="F2432" s="2">
        <v>3</v>
      </c>
      <c r="G2432" s="4">
        <v>2</v>
      </c>
      <c r="H2432" s="13"/>
      <c r="I2432" s="15"/>
      <c r="J2432" s="19">
        <v>3</v>
      </c>
      <c r="K2432" s="2" t="s">
        <v>4876</v>
      </c>
      <c r="L2432" s="11" t="str">
        <f t="shared" si="39"/>
        <v>Ver Imagen</v>
      </c>
      <c r="M2432" t="s">
        <v>15</v>
      </c>
    </row>
    <row r="2433" spans="1:13" x14ac:dyDescent="0.25">
      <c r="A2433">
        <v>2432</v>
      </c>
      <c r="B2433" t="s">
        <v>4877</v>
      </c>
      <c r="C2433" s="1">
        <v>37.435089818599998</v>
      </c>
      <c r="D2433" s="1">
        <v>-7.0702987203000003</v>
      </c>
      <c r="E2433" s="3">
        <v>3</v>
      </c>
      <c r="F2433" s="2">
        <v>3</v>
      </c>
      <c r="G2433" s="4">
        <v>2</v>
      </c>
      <c r="H2433" s="13"/>
      <c r="I2433" s="15"/>
      <c r="J2433" s="19">
        <v>3</v>
      </c>
      <c r="K2433" s="2" t="s">
        <v>4878</v>
      </c>
      <c r="L2433" s="11" t="str">
        <f t="shared" si="39"/>
        <v>Ver Imagen</v>
      </c>
      <c r="M2433" t="s">
        <v>15</v>
      </c>
    </row>
    <row r="2434" spans="1:13" x14ac:dyDescent="0.25">
      <c r="A2434">
        <v>2433</v>
      </c>
      <c r="B2434" t="s">
        <v>4879</v>
      </c>
      <c r="C2434" s="1">
        <v>37.434737203799997</v>
      </c>
      <c r="D2434" s="1">
        <v>-7.0689719651500003</v>
      </c>
      <c r="E2434" s="3">
        <v>3</v>
      </c>
      <c r="F2434" s="2">
        <v>3</v>
      </c>
      <c r="G2434" s="4">
        <v>2</v>
      </c>
      <c r="H2434" s="13"/>
      <c r="I2434" s="15"/>
      <c r="J2434" s="19">
        <v>3</v>
      </c>
      <c r="K2434" s="2" t="s">
        <v>4880</v>
      </c>
      <c r="L2434" s="11" t="str">
        <f t="shared" si="39"/>
        <v>Ver Imagen</v>
      </c>
      <c r="M2434" t="s">
        <v>15</v>
      </c>
    </row>
    <row r="2435" spans="1:13" x14ac:dyDescent="0.25">
      <c r="A2435">
        <v>2434</v>
      </c>
      <c r="B2435" t="s">
        <v>4881</v>
      </c>
      <c r="C2435" s="1">
        <v>37.434414546200003</v>
      </c>
      <c r="D2435" s="1">
        <v>-7.0681295065800001</v>
      </c>
      <c r="E2435" s="3">
        <v>2</v>
      </c>
      <c r="F2435" s="2">
        <v>3</v>
      </c>
      <c r="G2435" s="4">
        <v>3</v>
      </c>
      <c r="H2435" s="13"/>
      <c r="I2435" s="15"/>
      <c r="J2435" s="19">
        <v>3</v>
      </c>
      <c r="K2435" s="2" t="s">
        <v>4882</v>
      </c>
      <c r="L2435" s="11" t="str">
        <f t="shared" si="39"/>
        <v>Ver Imagen</v>
      </c>
      <c r="M2435" t="s">
        <v>15</v>
      </c>
    </row>
    <row r="2436" spans="1:13" x14ac:dyDescent="0.25">
      <c r="A2436">
        <v>2435</v>
      </c>
      <c r="B2436" t="s">
        <v>4883</v>
      </c>
      <c r="C2436" s="1">
        <v>37.434299918299999</v>
      </c>
      <c r="D2436" s="1">
        <v>-7.0678640703099997</v>
      </c>
      <c r="E2436" s="3">
        <v>2</v>
      </c>
      <c r="F2436" s="2">
        <v>3</v>
      </c>
      <c r="G2436" s="4">
        <v>3</v>
      </c>
      <c r="H2436" s="13"/>
      <c r="I2436" s="15"/>
      <c r="J2436" s="19">
        <v>3</v>
      </c>
      <c r="K2436" s="2" t="s">
        <v>4884</v>
      </c>
      <c r="L2436" s="11" t="str">
        <f t="shared" si="39"/>
        <v>Ver Imagen</v>
      </c>
      <c r="M2436" t="s">
        <v>15</v>
      </c>
    </row>
    <row r="2437" spans="1:13" x14ac:dyDescent="0.25">
      <c r="A2437">
        <v>2436</v>
      </c>
      <c r="B2437" t="s">
        <v>4885</v>
      </c>
      <c r="C2437" s="1">
        <v>37.434226156100003</v>
      </c>
      <c r="D2437" s="1">
        <v>-7.0676985030899999</v>
      </c>
      <c r="E2437" s="3">
        <v>2</v>
      </c>
      <c r="F2437" s="2">
        <v>3</v>
      </c>
      <c r="G2437" s="4">
        <v>3</v>
      </c>
      <c r="H2437" s="13"/>
      <c r="I2437" s="15"/>
      <c r="J2437" s="19">
        <v>3</v>
      </c>
      <c r="K2437" s="2" t="s">
        <v>4886</v>
      </c>
      <c r="L2437" s="11" t="str">
        <f t="shared" si="39"/>
        <v>Ver Imagen</v>
      </c>
      <c r="M2437" t="s">
        <v>15</v>
      </c>
    </row>
    <row r="2438" spans="1:13" x14ac:dyDescent="0.25">
      <c r="A2438">
        <v>2437</v>
      </c>
      <c r="B2438" t="s">
        <v>4887</v>
      </c>
      <c r="C2438" s="1">
        <v>37.434124646599997</v>
      </c>
      <c r="D2438" s="1">
        <v>-7.06747448557</v>
      </c>
      <c r="E2438" s="3">
        <v>2</v>
      </c>
      <c r="F2438" s="2">
        <v>3</v>
      </c>
      <c r="G2438" s="4">
        <v>3</v>
      </c>
      <c r="H2438" s="13"/>
      <c r="I2438" s="15"/>
      <c r="J2438" s="19">
        <v>3</v>
      </c>
      <c r="K2438" s="2" t="s">
        <v>4888</v>
      </c>
      <c r="L2438" s="11" t="str">
        <f t="shared" si="39"/>
        <v>Ver Imagen</v>
      </c>
      <c r="M2438" t="s">
        <v>15</v>
      </c>
    </row>
    <row r="2439" spans="1:13" x14ac:dyDescent="0.25">
      <c r="A2439">
        <v>2438</v>
      </c>
      <c r="B2439" t="s">
        <v>4889</v>
      </c>
      <c r="C2439" s="1">
        <v>37.433591469900001</v>
      </c>
      <c r="D2439" s="1">
        <v>-7.0663119868999997</v>
      </c>
      <c r="E2439" s="3">
        <v>3</v>
      </c>
      <c r="F2439" s="2">
        <v>3</v>
      </c>
      <c r="G2439" s="4">
        <v>2</v>
      </c>
      <c r="H2439" s="13"/>
      <c r="I2439" s="15"/>
      <c r="J2439" s="19">
        <v>3</v>
      </c>
      <c r="K2439" s="2" t="s">
        <v>4890</v>
      </c>
      <c r="L2439" s="11" t="str">
        <f t="shared" si="39"/>
        <v>Ver Imagen</v>
      </c>
      <c r="M2439" t="s">
        <v>15</v>
      </c>
    </row>
    <row r="2440" spans="1:13" x14ac:dyDescent="0.25">
      <c r="A2440">
        <v>2439</v>
      </c>
      <c r="B2440" t="s">
        <v>4891</v>
      </c>
      <c r="C2440" s="1">
        <v>37.4335063025</v>
      </c>
      <c r="D2440" s="1">
        <v>-7.0661244727500003</v>
      </c>
      <c r="E2440" s="3">
        <v>3</v>
      </c>
      <c r="F2440" s="2">
        <v>3</v>
      </c>
      <c r="G2440" s="4">
        <v>2</v>
      </c>
      <c r="H2440" s="13"/>
      <c r="I2440" s="15"/>
      <c r="J2440" s="19">
        <v>3</v>
      </c>
      <c r="K2440" s="2" t="s">
        <v>4892</v>
      </c>
      <c r="L2440" s="11" t="str">
        <f t="shared" si="39"/>
        <v>Ver Imagen</v>
      </c>
      <c r="M2440" t="s">
        <v>15</v>
      </c>
    </row>
    <row r="2441" spans="1:13" x14ac:dyDescent="0.25">
      <c r="A2441">
        <v>2440</v>
      </c>
      <c r="B2441" t="s">
        <v>4893</v>
      </c>
      <c r="C2441" s="1">
        <v>37.4334219546</v>
      </c>
      <c r="D2441" s="1">
        <v>-7.0659393671600004</v>
      </c>
      <c r="E2441" s="3">
        <v>3</v>
      </c>
      <c r="F2441" s="2">
        <v>3</v>
      </c>
      <c r="G2441" s="4">
        <v>2</v>
      </c>
      <c r="H2441" s="13"/>
      <c r="I2441" s="15"/>
      <c r="J2441" s="19">
        <v>3</v>
      </c>
      <c r="K2441" s="2" t="s">
        <v>4894</v>
      </c>
      <c r="L2441" s="11" t="str">
        <f t="shared" si="39"/>
        <v>Ver Imagen</v>
      </c>
      <c r="M2441" t="s">
        <v>15</v>
      </c>
    </row>
    <row r="2442" spans="1:13" x14ac:dyDescent="0.25">
      <c r="A2442">
        <v>2441</v>
      </c>
      <c r="B2442" t="s">
        <v>4895</v>
      </c>
      <c r="C2442" s="1">
        <v>37.232127153</v>
      </c>
      <c r="D2442" s="1">
        <v>-7.0642571174000004</v>
      </c>
      <c r="E2442" s="3">
        <v>3</v>
      </c>
      <c r="F2442" s="2">
        <v>3</v>
      </c>
      <c r="G2442" s="4">
        <v>2</v>
      </c>
      <c r="H2442" s="13"/>
      <c r="I2442" s="15"/>
      <c r="J2442" s="19">
        <v>3</v>
      </c>
      <c r="K2442" s="2" t="s">
        <v>4896</v>
      </c>
      <c r="L2442" s="11" t="str">
        <f t="shared" si="39"/>
        <v>Ver Imagen</v>
      </c>
      <c r="M2442" t="s">
        <v>15</v>
      </c>
    </row>
    <row r="2443" spans="1:13" x14ac:dyDescent="0.25">
      <c r="A2443">
        <v>2442</v>
      </c>
      <c r="B2443" t="s">
        <v>4897</v>
      </c>
      <c r="C2443" s="1">
        <v>37.232286036600001</v>
      </c>
      <c r="D2443" s="1">
        <v>-7.0644491452700002</v>
      </c>
      <c r="E2443" s="3">
        <v>3</v>
      </c>
      <c r="F2443" s="2">
        <v>3</v>
      </c>
      <c r="G2443" s="4">
        <v>2</v>
      </c>
      <c r="H2443" s="13"/>
      <c r="I2443" s="15"/>
      <c r="J2443" s="19">
        <v>3</v>
      </c>
      <c r="K2443" s="2" t="s">
        <v>4898</v>
      </c>
      <c r="L2443" s="11" t="str">
        <f t="shared" si="39"/>
        <v>Ver Imagen</v>
      </c>
      <c r="M2443" t="s">
        <v>15</v>
      </c>
    </row>
    <row r="2444" spans="1:13" x14ac:dyDescent="0.25">
      <c r="A2444">
        <v>2443</v>
      </c>
      <c r="B2444" t="s">
        <v>4899</v>
      </c>
      <c r="C2444" s="1">
        <v>37.433015175000001</v>
      </c>
      <c r="D2444" s="1">
        <v>-7.0650547427700001</v>
      </c>
      <c r="E2444" s="3">
        <v>3</v>
      </c>
      <c r="F2444" s="2">
        <v>3</v>
      </c>
      <c r="G2444" s="4">
        <v>2</v>
      </c>
      <c r="H2444" s="13"/>
      <c r="I2444" s="15"/>
      <c r="J2444" s="19">
        <v>3</v>
      </c>
      <c r="K2444" s="2" t="s">
        <v>4900</v>
      </c>
      <c r="L2444" s="11" t="str">
        <f t="shared" si="39"/>
        <v>Ver Imagen</v>
      </c>
      <c r="M2444" t="s">
        <v>15</v>
      </c>
    </row>
    <row r="2445" spans="1:13" x14ac:dyDescent="0.25">
      <c r="A2445">
        <v>2444</v>
      </c>
      <c r="B2445" t="s">
        <v>4901</v>
      </c>
      <c r="C2445" s="1">
        <v>37.225237720099997</v>
      </c>
      <c r="D2445" s="1">
        <v>-7.0275018708900001</v>
      </c>
      <c r="E2445" s="3">
        <v>3</v>
      </c>
      <c r="F2445" s="2">
        <v>3</v>
      </c>
      <c r="G2445" s="4">
        <v>2</v>
      </c>
      <c r="H2445" s="13"/>
      <c r="I2445" s="15"/>
      <c r="J2445" s="19">
        <v>3</v>
      </c>
      <c r="K2445" s="2" t="s">
        <v>4902</v>
      </c>
      <c r="L2445" s="11" t="str">
        <f t="shared" si="39"/>
        <v>Ver Imagen</v>
      </c>
      <c r="M2445" t="s">
        <v>15</v>
      </c>
    </row>
    <row r="2446" spans="1:13" x14ac:dyDescent="0.25">
      <c r="A2446">
        <v>2445</v>
      </c>
      <c r="B2446" t="s">
        <v>4903</v>
      </c>
      <c r="C2446" s="1">
        <v>37.432607992000001</v>
      </c>
      <c r="D2446" s="1">
        <v>-7.0641716381600004</v>
      </c>
      <c r="E2446" s="3">
        <v>2</v>
      </c>
      <c r="F2446" s="2">
        <v>3</v>
      </c>
      <c r="G2446" s="4">
        <v>3</v>
      </c>
      <c r="H2446" s="13"/>
      <c r="I2446" s="15"/>
      <c r="J2446" s="19">
        <v>3</v>
      </c>
      <c r="K2446" s="2" t="s">
        <v>4904</v>
      </c>
      <c r="L2446" s="11" t="str">
        <f t="shared" si="39"/>
        <v>Ver Imagen</v>
      </c>
      <c r="M2446" t="s">
        <v>15</v>
      </c>
    </row>
    <row r="2447" spans="1:13" x14ac:dyDescent="0.25">
      <c r="A2447">
        <v>2446</v>
      </c>
      <c r="B2447" t="s">
        <v>4905</v>
      </c>
      <c r="C2447" s="1">
        <v>37.225347874800001</v>
      </c>
      <c r="D2447" s="1">
        <v>-7.0297660295300002</v>
      </c>
      <c r="E2447" s="3">
        <v>3</v>
      </c>
      <c r="F2447" s="2">
        <v>3</v>
      </c>
      <c r="G2447" s="4">
        <v>2</v>
      </c>
      <c r="H2447" s="13"/>
      <c r="I2447" s="15"/>
      <c r="J2447" s="19">
        <v>3</v>
      </c>
      <c r="K2447" s="2" t="s">
        <v>4906</v>
      </c>
      <c r="L2447" s="11" t="str">
        <f t="shared" si="39"/>
        <v>Ver Imagen</v>
      </c>
      <c r="M2447" t="s">
        <v>15</v>
      </c>
    </row>
    <row r="2448" spans="1:13" x14ac:dyDescent="0.25">
      <c r="A2448">
        <v>2447</v>
      </c>
      <c r="B2448" t="s">
        <v>4907</v>
      </c>
      <c r="C2448" s="1">
        <v>37.2252572059</v>
      </c>
      <c r="D2448" s="1">
        <v>-7.0315662504900001</v>
      </c>
      <c r="E2448" s="3">
        <v>2</v>
      </c>
      <c r="F2448" s="2">
        <v>3</v>
      </c>
      <c r="G2448" s="4">
        <v>3</v>
      </c>
      <c r="H2448" s="13"/>
      <c r="I2448" s="15"/>
      <c r="J2448" s="19">
        <v>3</v>
      </c>
      <c r="K2448" s="2" t="s">
        <v>4908</v>
      </c>
      <c r="L2448" s="11" t="str">
        <f t="shared" si="39"/>
        <v>Ver Imagen</v>
      </c>
      <c r="M2448" t="s">
        <v>15</v>
      </c>
    </row>
    <row r="2449" spans="1:13" x14ac:dyDescent="0.25">
      <c r="A2449">
        <v>2448</v>
      </c>
      <c r="B2449" t="s">
        <v>4909</v>
      </c>
      <c r="C2449" s="1">
        <v>37.225236221499998</v>
      </c>
      <c r="D2449" s="1">
        <v>-7.0318133287500002</v>
      </c>
      <c r="E2449" s="3">
        <v>2</v>
      </c>
      <c r="F2449" s="2">
        <v>3</v>
      </c>
      <c r="G2449" s="4">
        <v>3</v>
      </c>
      <c r="H2449" s="13"/>
      <c r="I2449" s="15"/>
      <c r="J2449" s="19">
        <v>3</v>
      </c>
      <c r="K2449" s="2" t="s">
        <v>4910</v>
      </c>
      <c r="L2449" s="11" t="str">
        <f t="shared" si="39"/>
        <v>Ver Imagen</v>
      </c>
      <c r="M2449" t="s">
        <v>15</v>
      </c>
    </row>
    <row r="2450" spans="1:13" x14ac:dyDescent="0.25">
      <c r="A2450">
        <v>2449</v>
      </c>
      <c r="B2450" t="s">
        <v>4911</v>
      </c>
      <c r="C2450" s="1">
        <v>37.224745156700003</v>
      </c>
      <c r="D2450" s="1">
        <v>-7.0340000293199996</v>
      </c>
      <c r="E2450" s="3">
        <v>2</v>
      </c>
      <c r="F2450" s="2">
        <v>3</v>
      </c>
      <c r="G2450" s="4">
        <v>3</v>
      </c>
      <c r="H2450" s="13"/>
      <c r="I2450" s="15"/>
      <c r="J2450" s="19">
        <v>3</v>
      </c>
      <c r="K2450" s="2" t="s">
        <v>4912</v>
      </c>
      <c r="L2450" s="11" t="str">
        <f t="shared" si="39"/>
        <v>Ver Imagen</v>
      </c>
      <c r="M2450" t="s">
        <v>15</v>
      </c>
    </row>
    <row r="2451" spans="1:13" x14ac:dyDescent="0.25">
      <c r="A2451">
        <v>2450</v>
      </c>
      <c r="B2451" t="s">
        <v>4913</v>
      </c>
      <c r="C2451" s="1">
        <v>37.225395261999999</v>
      </c>
      <c r="D2451" s="1">
        <v>-7.0414252881800001</v>
      </c>
      <c r="E2451" s="3">
        <v>2</v>
      </c>
      <c r="F2451" s="2">
        <v>3</v>
      </c>
      <c r="G2451" s="4">
        <v>3</v>
      </c>
      <c r="H2451" s="13"/>
      <c r="I2451" s="15"/>
      <c r="J2451" s="19">
        <v>3</v>
      </c>
      <c r="K2451" s="2" t="s">
        <v>4914</v>
      </c>
      <c r="L2451" s="11" t="str">
        <f t="shared" si="39"/>
        <v>Ver Imagen</v>
      </c>
      <c r="M2451" t="s">
        <v>15</v>
      </c>
    </row>
    <row r="2452" spans="1:13" x14ac:dyDescent="0.25">
      <c r="A2452">
        <v>2451</v>
      </c>
      <c r="B2452" t="s">
        <v>4915</v>
      </c>
      <c r="C2452" s="1">
        <v>37.225872528300002</v>
      </c>
      <c r="D2452" s="1">
        <v>-7.0425220849199999</v>
      </c>
      <c r="E2452" s="3">
        <v>2</v>
      </c>
      <c r="F2452" s="2">
        <v>3</v>
      </c>
      <c r="G2452" s="4">
        <v>3</v>
      </c>
      <c r="H2452" s="13"/>
      <c r="I2452" s="15"/>
      <c r="J2452" s="19">
        <v>3</v>
      </c>
      <c r="K2452" s="2" t="s">
        <v>4916</v>
      </c>
      <c r="L2452" s="11" t="str">
        <f t="shared" si="39"/>
        <v>Ver Imagen</v>
      </c>
      <c r="M2452" t="s">
        <v>15</v>
      </c>
    </row>
    <row r="2453" spans="1:13" x14ac:dyDescent="0.25">
      <c r="A2453">
        <v>2452</v>
      </c>
      <c r="B2453" t="s">
        <v>4917</v>
      </c>
      <c r="C2453" s="1">
        <v>37.225970537099997</v>
      </c>
      <c r="D2453" s="1">
        <v>-7.0427361684700003</v>
      </c>
      <c r="E2453" s="3">
        <v>2</v>
      </c>
      <c r="F2453" s="2">
        <v>3</v>
      </c>
      <c r="G2453" s="4">
        <v>3</v>
      </c>
      <c r="H2453" s="13"/>
      <c r="I2453" s="15"/>
      <c r="J2453" s="19">
        <v>3</v>
      </c>
      <c r="K2453" s="2" t="s">
        <v>4918</v>
      </c>
      <c r="L2453" s="11" t="str">
        <f t="shared" si="39"/>
        <v>Ver Imagen</v>
      </c>
      <c r="M2453" t="s">
        <v>15</v>
      </c>
    </row>
    <row r="2454" spans="1:13" x14ac:dyDescent="0.25">
      <c r="A2454">
        <v>2453</v>
      </c>
      <c r="B2454" t="s">
        <v>4919</v>
      </c>
      <c r="C2454" s="1">
        <v>37.229014693800003</v>
      </c>
      <c r="D2454" s="1">
        <v>-7.0470686879900004</v>
      </c>
      <c r="E2454" s="3">
        <v>2</v>
      </c>
      <c r="F2454" s="2">
        <v>3</v>
      </c>
      <c r="G2454" s="4">
        <v>3</v>
      </c>
      <c r="H2454" s="13"/>
      <c r="I2454" s="15"/>
      <c r="J2454" s="19">
        <v>3</v>
      </c>
      <c r="K2454" s="2" t="s">
        <v>4920</v>
      </c>
      <c r="L2454" s="11" t="str">
        <f t="shared" si="39"/>
        <v>Ver Imagen</v>
      </c>
      <c r="M2454" t="s">
        <v>15</v>
      </c>
    </row>
    <row r="2455" spans="1:13" x14ac:dyDescent="0.25">
      <c r="A2455">
        <v>2454</v>
      </c>
      <c r="B2455" t="s">
        <v>4921</v>
      </c>
      <c r="C2455" s="1">
        <v>37.232294404999998</v>
      </c>
      <c r="D2455" s="1">
        <v>-7.0528423733299999</v>
      </c>
      <c r="E2455" s="3">
        <v>2</v>
      </c>
      <c r="F2455" s="2">
        <v>3</v>
      </c>
      <c r="G2455" s="4">
        <v>3</v>
      </c>
      <c r="H2455" s="13"/>
      <c r="I2455" s="15"/>
      <c r="J2455" s="19">
        <v>3</v>
      </c>
      <c r="K2455" s="2" t="s">
        <v>4922</v>
      </c>
      <c r="L2455" s="11" t="str">
        <f t="shared" si="39"/>
        <v>Ver Imagen</v>
      </c>
      <c r="M2455" t="s">
        <v>15</v>
      </c>
    </row>
    <row r="2456" spans="1:13" x14ac:dyDescent="0.25">
      <c r="A2456">
        <v>2455</v>
      </c>
      <c r="B2456" t="s">
        <v>4923</v>
      </c>
      <c r="C2456" s="1">
        <v>37.475783230600001</v>
      </c>
      <c r="D2456" s="1">
        <v>-7.1258362476099997</v>
      </c>
      <c r="E2456" s="3">
        <v>3</v>
      </c>
      <c r="F2456" s="2">
        <v>3</v>
      </c>
      <c r="G2456" s="4">
        <v>2</v>
      </c>
      <c r="H2456" s="13"/>
      <c r="I2456" s="15"/>
      <c r="J2456" s="19">
        <v>3</v>
      </c>
      <c r="K2456" s="2" t="s">
        <v>4924</v>
      </c>
      <c r="L2456" s="11" t="str">
        <f t="shared" si="39"/>
        <v>Ver Imagen</v>
      </c>
      <c r="M2456" t="s">
        <v>15</v>
      </c>
    </row>
    <row r="2457" spans="1:13" x14ac:dyDescent="0.25">
      <c r="A2457">
        <v>2456</v>
      </c>
      <c r="B2457" t="s">
        <v>4925</v>
      </c>
      <c r="C2457" s="1">
        <v>37.475143019699999</v>
      </c>
      <c r="D2457" s="1">
        <v>-7.1259741027799999</v>
      </c>
      <c r="E2457" s="3">
        <v>3</v>
      </c>
      <c r="F2457" s="2">
        <v>3</v>
      </c>
      <c r="G2457" s="4">
        <v>2</v>
      </c>
      <c r="H2457" s="13"/>
      <c r="I2457" s="15"/>
      <c r="J2457" s="19">
        <v>3</v>
      </c>
      <c r="K2457" s="2" t="s">
        <v>4926</v>
      </c>
      <c r="L2457" s="11" t="str">
        <f t="shared" si="39"/>
        <v>Ver Imagen</v>
      </c>
      <c r="M2457" t="s">
        <v>15</v>
      </c>
    </row>
    <row r="2458" spans="1:13" x14ac:dyDescent="0.25">
      <c r="A2458">
        <v>2457</v>
      </c>
      <c r="B2458" t="s">
        <v>4927</v>
      </c>
      <c r="C2458" s="1">
        <v>37.474957051099999</v>
      </c>
      <c r="D2458" s="1">
        <v>-7.1260153652199998</v>
      </c>
      <c r="E2458" s="3">
        <v>3</v>
      </c>
      <c r="F2458" s="2">
        <v>3</v>
      </c>
      <c r="G2458" s="4">
        <v>2</v>
      </c>
      <c r="H2458" s="13"/>
      <c r="I2458" s="15"/>
      <c r="J2458" s="19">
        <v>3</v>
      </c>
      <c r="K2458" s="2" t="s">
        <v>4928</v>
      </c>
      <c r="L2458" s="11" t="str">
        <f t="shared" si="39"/>
        <v>Ver Imagen</v>
      </c>
      <c r="M2458" t="s">
        <v>15</v>
      </c>
    </row>
    <row r="2459" spans="1:13" x14ac:dyDescent="0.25">
      <c r="A2459">
        <v>2458</v>
      </c>
      <c r="B2459" t="s">
        <v>4929</v>
      </c>
      <c r="C2459" s="1">
        <v>37.469742924999998</v>
      </c>
      <c r="D2459" s="1">
        <v>-7.1244520738699997</v>
      </c>
      <c r="E2459" s="3">
        <v>3</v>
      </c>
      <c r="F2459" s="2">
        <v>3</v>
      </c>
      <c r="G2459" s="4">
        <v>2</v>
      </c>
      <c r="H2459" s="13"/>
      <c r="I2459" s="15"/>
      <c r="J2459" s="19">
        <v>3</v>
      </c>
      <c r="K2459" s="2" t="s">
        <v>4930</v>
      </c>
      <c r="L2459" s="11" t="str">
        <f t="shared" si="39"/>
        <v>Ver Imagen</v>
      </c>
      <c r="M2459" t="s">
        <v>15</v>
      </c>
    </row>
    <row r="2460" spans="1:13" x14ac:dyDescent="0.25">
      <c r="A2460">
        <v>2459</v>
      </c>
      <c r="B2460" t="s">
        <v>4931</v>
      </c>
      <c r="C2460" s="1">
        <v>37.467540077400002</v>
      </c>
      <c r="D2460" s="1">
        <v>-7.1230247536600002</v>
      </c>
      <c r="E2460" s="3">
        <v>3</v>
      </c>
      <c r="F2460" s="2">
        <v>3</v>
      </c>
      <c r="G2460" s="4">
        <v>2</v>
      </c>
      <c r="H2460" s="13"/>
      <c r="I2460" s="15"/>
      <c r="J2460" s="19">
        <v>3</v>
      </c>
      <c r="K2460" s="2" t="s">
        <v>4932</v>
      </c>
      <c r="L2460" s="11" t="str">
        <f t="shared" si="39"/>
        <v>Ver Imagen</v>
      </c>
      <c r="M2460" t="s">
        <v>15</v>
      </c>
    </row>
    <row r="2461" spans="1:13" x14ac:dyDescent="0.25">
      <c r="A2461">
        <v>2460</v>
      </c>
      <c r="B2461" t="s">
        <v>4933</v>
      </c>
      <c r="C2461" s="1">
        <v>37.451989920099997</v>
      </c>
      <c r="D2461" s="1">
        <v>-7.1274645613000001</v>
      </c>
      <c r="E2461" s="3">
        <v>3</v>
      </c>
      <c r="F2461" s="2">
        <v>3</v>
      </c>
      <c r="G2461" s="4">
        <v>2</v>
      </c>
      <c r="H2461" s="13"/>
      <c r="I2461" s="15"/>
      <c r="J2461" s="19">
        <v>3</v>
      </c>
      <c r="K2461" s="2" t="s">
        <v>4934</v>
      </c>
      <c r="L2461" s="11" t="str">
        <f t="shared" si="39"/>
        <v>Ver Imagen</v>
      </c>
      <c r="M2461" t="s">
        <v>15</v>
      </c>
    </row>
    <row r="2462" spans="1:13" x14ac:dyDescent="0.25">
      <c r="A2462">
        <v>2461</v>
      </c>
      <c r="B2462" t="s">
        <v>4935</v>
      </c>
      <c r="C2462" s="1">
        <v>37.495415258000001</v>
      </c>
      <c r="D2462" s="1">
        <v>-7.2762850383100002</v>
      </c>
      <c r="E2462" s="3">
        <v>3</v>
      </c>
      <c r="F2462" s="2">
        <v>3</v>
      </c>
      <c r="G2462" s="4">
        <v>2</v>
      </c>
      <c r="H2462" s="13"/>
      <c r="I2462" s="15"/>
      <c r="J2462" s="19">
        <v>3</v>
      </c>
      <c r="K2462" s="2" t="s">
        <v>4936</v>
      </c>
      <c r="L2462" s="11" t="str">
        <f t="shared" si="39"/>
        <v>Ver Imagen</v>
      </c>
      <c r="M2462" t="s">
        <v>15</v>
      </c>
    </row>
    <row r="2463" spans="1:13" x14ac:dyDescent="0.25">
      <c r="A2463">
        <v>2462</v>
      </c>
      <c r="B2463" t="s">
        <v>4937</v>
      </c>
      <c r="C2463" s="1">
        <v>37.495672130199999</v>
      </c>
      <c r="D2463" s="1">
        <v>-7.27377371648</v>
      </c>
      <c r="E2463" s="3">
        <v>3</v>
      </c>
      <c r="F2463" s="2">
        <v>3</v>
      </c>
      <c r="G2463" s="4">
        <v>2</v>
      </c>
      <c r="H2463" s="13"/>
      <c r="I2463" s="15"/>
      <c r="J2463" s="19">
        <v>3</v>
      </c>
      <c r="K2463" s="2" t="s">
        <v>4938</v>
      </c>
      <c r="L2463" s="11" t="str">
        <f t="shared" si="39"/>
        <v>Ver Imagen</v>
      </c>
      <c r="M2463" t="s">
        <v>15</v>
      </c>
    </row>
    <row r="2464" spans="1:13" x14ac:dyDescent="0.25">
      <c r="A2464">
        <v>2463</v>
      </c>
      <c r="B2464" t="s">
        <v>4939</v>
      </c>
      <c r="C2464" s="1">
        <v>37.495836259599997</v>
      </c>
      <c r="D2464" s="1">
        <v>-7.2681155829400002</v>
      </c>
      <c r="E2464" s="3">
        <v>2</v>
      </c>
      <c r="F2464" s="2">
        <v>3</v>
      </c>
      <c r="G2464" s="4">
        <v>3</v>
      </c>
      <c r="H2464" s="13"/>
      <c r="I2464" s="15"/>
      <c r="J2464" s="19">
        <v>3</v>
      </c>
      <c r="K2464" s="2" t="s">
        <v>4940</v>
      </c>
      <c r="L2464" s="11" t="str">
        <f t="shared" si="39"/>
        <v>Ver Imagen</v>
      </c>
      <c r="M2464" t="s">
        <v>15</v>
      </c>
    </row>
    <row r="2465" spans="1:13" x14ac:dyDescent="0.25">
      <c r="A2465">
        <v>2464</v>
      </c>
      <c r="B2465" t="s">
        <v>4941</v>
      </c>
      <c r="C2465" s="1">
        <v>37.4972238318</v>
      </c>
      <c r="D2465" s="1">
        <v>-7.2680524097200001</v>
      </c>
      <c r="E2465" s="3">
        <v>2</v>
      </c>
      <c r="F2465" s="2">
        <v>3</v>
      </c>
      <c r="G2465" s="4">
        <v>3</v>
      </c>
      <c r="H2465" s="13"/>
      <c r="I2465" s="15"/>
      <c r="J2465" s="19">
        <v>3</v>
      </c>
      <c r="K2465" s="2" t="s">
        <v>4942</v>
      </c>
      <c r="L2465" s="11" t="str">
        <f t="shared" si="39"/>
        <v>Ver Imagen</v>
      </c>
      <c r="M2465" t="s">
        <v>15</v>
      </c>
    </row>
    <row r="2466" spans="1:13" x14ac:dyDescent="0.25">
      <c r="A2466">
        <v>2465</v>
      </c>
      <c r="B2466" t="s">
        <v>4943</v>
      </c>
      <c r="C2466" s="1">
        <v>37.191187990000003</v>
      </c>
      <c r="D2466" s="1">
        <v>-6.97784052019</v>
      </c>
      <c r="E2466" s="3">
        <v>2</v>
      </c>
      <c r="F2466" s="2">
        <v>3</v>
      </c>
      <c r="G2466" s="4">
        <v>3</v>
      </c>
      <c r="H2466" s="13"/>
      <c r="I2466" s="15"/>
      <c r="J2466" s="19">
        <v>3</v>
      </c>
      <c r="K2466" s="2" t="s">
        <v>4944</v>
      </c>
      <c r="L2466" s="11" t="str">
        <f t="shared" si="39"/>
        <v>Ver Imagen</v>
      </c>
      <c r="M2466" t="s">
        <v>15</v>
      </c>
    </row>
    <row r="2467" spans="1:13" x14ac:dyDescent="0.25">
      <c r="A2467">
        <v>2466</v>
      </c>
      <c r="B2467" t="s">
        <v>4945</v>
      </c>
      <c r="C2467" s="1">
        <v>37.501340797899999</v>
      </c>
      <c r="D2467" s="1">
        <v>-7.2666439265299996</v>
      </c>
      <c r="E2467" s="3">
        <v>2</v>
      </c>
      <c r="F2467" s="2">
        <v>3</v>
      </c>
      <c r="G2467" s="4">
        <v>3</v>
      </c>
      <c r="H2467" s="13"/>
      <c r="I2467" s="15"/>
      <c r="J2467" s="19">
        <v>3</v>
      </c>
      <c r="K2467" s="2" t="s">
        <v>4946</v>
      </c>
      <c r="L2467" s="11" t="str">
        <f t="shared" si="39"/>
        <v>Ver Imagen</v>
      </c>
      <c r="M2467" t="s">
        <v>15</v>
      </c>
    </row>
    <row r="2468" spans="1:13" x14ac:dyDescent="0.25">
      <c r="A2468">
        <v>2467</v>
      </c>
      <c r="B2468" t="s">
        <v>4947</v>
      </c>
      <c r="C2468" s="1">
        <v>37.501547986200002</v>
      </c>
      <c r="D2468" s="1">
        <v>-7.2665731719600002</v>
      </c>
      <c r="E2468" s="3">
        <v>3</v>
      </c>
      <c r="F2468" s="2">
        <v>3</v>
      </c>
      <c r="G2468" s="4">
        <v>2</v>
      </c>
      <c r="H2468" s="13"/>
      <c r="I2468" s="15"/>
      <c r="J2468" s="19">
        <v>3</v>
      </c>
      <c r="K2468" s="2" t="s">
        <v>4948</v>
      </c>
      <c r="L2468" s="11" t="str">
        <f t="shared" si="39"/>
        <v>Ver Imagen</v>
      </c>
      <c r="M2468" t="s">
        <v>15</v>
      </c>
    </row>
    <row r="2469" spans="1:13" x14ac:dyDescent="0.25">
      <c r="A2469">
        <v>2468</v>
      </c>
      <c r="B2469" t="s">
        <v>4949</v>
      </c>
      <c r="C2469" s="1">
        <v>37.267393984400002</v>
      </c>
      <c r="D2469" s="1">
        <v>-6.9579634063800002</v>
      </c>
      <c r="E2469" s="3">
        <v>2</v>
      </c>
      <c r="F2469" s="2">
        <v>3</v>
      </c>
      <c r="G2469" s="4">
        <v>3</v>
      </c>
      <c r="H2469" s="13"/>
      <c r="I2469" s="15"/>
      <c r="J2469" s="19">
        <v>3</v>
      </c>
      <c r="K2469" s="2" t="s">
        <v>4950</v>
      </c>
      <c r="L2469" s="11" t="str">
        <f t="shared" si="39"/>
        <v>Ver Imagen</v>
      </c>
      <c r="M2469" t="s">
        <v>15</v>
      </c>
    </row>
    <row r="2470" spans="1:13" x14ac:dyDescent="0.25">
      <c r="A2470">
        <v>2469</v>
      </c>
      <c r="B2470" t="s">
        <v>4951</v>
      </c>
      <c r="C2470" s="1">
        <v>37.506654820100003</v>
      </c>
      <c r="D2470" s="1">
        <v>-7.2654190572099999</v>
      </c>
      <c r="E2470" s="3">
        <v>2</v>
      </c>
      <c r="F2470" s="2">
        <v>3</v>
      </c>
      <c r="G2470" s="4">
        <v>3</v>
      </c>
      <c r="H2470" s="13"/>
      <c r="I2470" s="15"/>
      <c r="J2470" s="19">
        <v>3</v>
      </c>
      <c r="K2470" s="2" t="s">
        <v>4952</v>
      </c>
      <c r="L2470" s="11" t="str">
        <f t="shared" si="39"/>
        <v>Ver Imagen</v>
      </c>
      <c r="M2470" t="s">
        <v>15</v>
      </c>
    </row>
    <row r="2471" spans="1:13" x14ac:dyDescent="0.25">
      <c r="A2471">
        <v>2470</v>
      </c>
      <c r="B2471" t="s">
        <v>4953</v>
      </c>
      <c r="C2471" s="1">
        <v>37.507032009900001</v>
      </c>
      <c r="D2471" s="1">
        <v>-7.2656124791199996</v>
      </c>
      <c r="E2471" s="3">
        <v>2</v>
      </c>
      <c r="F2471" s="2">
        <v>3</v>
      </c>
      <c r="G2471" s="4">
        <v>3</v>
      </c>
      <c r="H2471" s="13"/>
      <c r="I2471" s="15"/>
      <c r="J2471" s="19">
        <v>3</v>
      </c>
      <c r="K2471" s="2" t="s">
        <v>4954</v>
      </c>
      <c r="L2471" s="11" t="str">
        <f t="shared" si="39"/>
        <v>Ver Imagen</v>
      </c>
      <c r="M2471" t="s">
        <v>15</v>
      </c>
    </row>
    <row r="2472" spans="1:13" x14ac:dyDescent="0.25">
      <c r="A2472">
        <v>2471</v>
      </c>
      <c r="B2472" t="s">
        <v>4955</v>
      </c>
      <c r="C2472" s="1">
        <v>37.510041630300002</v>
      </c>
      <c r="D2472" s="1">
        <v>-7.2675994096899998</v>
      </c>
      <c r="E2472" s="3">
        <v>2</v>
      </c>
      <c r="F2472" s="2">
        <v>3</v>
      </c>
      <c r="G2472" s="4">
        <v>3</v>
      </c>
      <c r="H2472" s="13"/>
      <c r="I2472" s="15"/>
      <c r="J2472" s="19">
        <v>3</v>
      </c>
      <c r="K2472" s="2" t="s">
        <v>4956</v>
      </c>
      <c r="L2472" s="11" t="str">
        <f t="shared" si="39"/>
        <v>Ver Imagen</v>
      </c>
      <c r="M2472" t="s">
        <v>15</v>
      </c>
    </row>
    <row r="2473" spans="1:13" x14ac:dyDescent="0.25">
      <c r="A2473">
        <v>2472</v>
      </c>
      <c r="B2473" t="s">
        <v>4957</v>
      </c>
      <c r="C2473" s="1">
        <v>37.5135420318</v>
      </c>
      <c r="D2473" s="1">
        <v>-7.2689516275399999</v>
      </c>
      <c r="E2473" s="3">
        <v>3</v>
      </c>
      <c r="F2473" s="2">
        <v>3</v>
      </c>
      <c r="G2473" s="4">
        <v>2</v>
      </c>
      <c r="H2473" s="13"/>
      <c r="I2473" s="15"/>
      <c r="J2473" s="19">
        <v>3</v>
      </c>
      <c r="K2473" s="2" t="s">
        <v>4958</v>
      </c>
      <c r="L2473" s="11" t="str">
        <f t="shared" ref="L2473:L2536" si="40">HYPERLINK("3\1\" &amp; K2473, "Ver Imagen")</f>
        <v>Ver Imagen</v>
      </c>
      <c r="M2473" t="s">
        <v>15</v>
      </c>
    </row>
    <row r="2474" spans="1:13" x14ac:dyDescent="0.25">
      <c r="A2474">
        <v>2473</v>
      </c>
      <c r="B2474" t="s">
        <v>4959</v>
      </c>
      <c r="C2474" s="1">
        <v>37.523470819099998</v>
      </c>
      <c r="D2474" s="1">
        <v>-7.2589446938600002</v>
      </c>
      <c r="E2474" s="3">
        <v>2</v>
      </c>
      <c r="F2474" s="2">
        <v>3</v>
      </c>
      <c r="G2474" s="4">
        <v>3</v>
      </c>
      <c r="H2474" s="13"/>
      <c r="I2474" s="15"/>
      <c r="J2474" s="19">
        <v>3</v>
      </c>
      <c r="K2474" s="2" t="s">
        <v>4960</v>
      </c>
      <c r="L2474" s="11" t="str">
        <f t="shared" si="40"/>
        <v>Ver Imagen</v>
      </c>
      <c r="M2474" t="s">
        <v>15</v>
      </c>
    </row>
    <row r="2475" spans="1:13" x14ac:dyDescent="0.25">
      <c r="A2475">
        <v>2474</v>
      </c>
      <c r="B2475" t="s">
        <v>4961</v>
      </c>
      <c r="C2475" s="1">
        <v>37.5253416085</v>
      </c>
      <c r="D2475" s="1">
        <v>-7.2566679682000004</v>
      </c>
      <c r="E2475" s="3">
        <v>2</v>
      </c>
      <c r="F2475" s="2">
        <v>3</v>
      </c>
      <c r="G2475" s="4">
        <v>3</v>
      </c>
      <c r="H2475" s="13"/>
      <c r="I2475" s="15"/>
      <c r="J2475" s="19">
        <v>3</v>
      </c>
      <c r="K2475" s="2" t="s">
        <v>4962</v>
      </c>
      <c r="L2475" s="11" t="str">
        <f t="shared" si="40"/>
        <v>Ver Imagen</v>
      </c>
      <c r="M2475" t="s">
        <v>15</v>
      </c>
    </row>
    <row r="2476" spans="1:13" x14ac:dyDescent="0.25">
      <c r="A2476">
        <v>2475</v>
      </c>
      <c r="B2476" t="s">
        <v>4963</v>
      </c>
      <c r="C2476" s="1">
        <v>37.187527211199999</v>
      </c>
      <c r="D2476" s="1">
        <v>-6.9786611564800003</v>
      </c>
      <c r="E2476" s="3">
        <v>2</v>
      </c>
      <c r="F2476" s="2">
        <v>3</v>
      </c>
      <c r="G2476" s="4">
        <v>3</v>
      </c>
      <c r="H2476" s="13"/>
      <c r="I2476" s="15"/>
      <c r="J2476" s="19">
        <v>3</v>
      </c>
      <c r="K2476" s="2" t="s">
        <v>4964</v>
      </c>
      <c r="L2476" s="11" t="str">
        <f t="shared" si="40"/>
        <v>Ver Imagen</v>
      </c>
      <c r="M2476" t="s">
        <v>15</v>
      </c>
    </row>
    <row r="2477" spans="1:13" x14ac:dyDescent="0.25">
      <c r="A2477">
        <v>2476</v>
      </c>
      <c r="B2477" t="s">
        <v>4965</v>
      </c>
      <c r="C2477" s="1">
        <v>37.2660637436</v>
      </c>
      <c r="D2477" s="1">
        <v>-6.9935117059599996</v>
      </c>
      <c r="E2477" s="3">
        <v>2</v>
      </c>
      <c r="F2477" s="2">
        <v>3</v>
      </c>
      <c r="G2477" s="4">
        <v>3</v>
      </c>
      <c r="H2477" s="13"/>
      <c r="I2477" s="15"/>
      <c r="J2477" s="19">
        <v>3</v>
      </c>
      <c r="K2477" s="2" t="s">
        <v>4966</v>
      </c>
      <c r="L2477" s="11" t="str">
        <f t="shared" si="40"/>
        <v>Ver Imagen</v>
      </c>
      <c r="M2477" t="s">
        <v>15</v>
      </c>
    </row>
    <row r="2478" spans="1:13" x14ac:dyDescent="0.25">
      <c r="A2478">
        <v>2477</v>
      </c>
      <c r="B2478" t="s">
        <v>4967</v>
      </c>
      <c r="C2478" s="1">
        <v>37.262920866599998</v>
      </c>
      <c r="D2478" s="1">
        <v>-7.0089561291000004</v>
      </c>
      <c r="E2478" s="3">
        <v>2</v>
      </c>
      <c r="F2478" s="2">
        <v>3</v>
      </c>
      <c r="G2478" s="4">
        <v>3</v>
      </c>
      <c r="H2478" s="13"/>
      <c r="I2478" s="15"/>
      <c r="J2478" s="19">
        <v>3</v>
      </c>
      <c r="K2478" s="2" t="s">
        <v>4968</v>
      </c>
      <c r="L2478" s="11" t="str">
        <f t="shared" si="40"/>
        <v>Ver Imagen</v>
      </c>
      <c r="M2478" t="s">
        <v>15</v>
      </c>
    </row>
    <row r="2479" spans="1:13" x14ac:dyDescent="0.25">
      <c r="A2479">
        <v>2478</v>
      </c>
      <c r="B2479" t="s">
        <v>4969</v>
      </c>
      <c r="C2479" s="1">
        <v>37.262833160900001</v>
      </c>
      <c r="D2479" s="1">
        <v>-7.0091266225700002</v>
      </c>
      <c r="E2479" s="3">
        <v>2</v>
      </c>
      <c r="F2479" s="2">
        <v>3</v>
      </c>
      <c r="G2479" s="4">
        <v>3</v>
      </c>
      <c r="H2479" s="13"/>
      <c r="I2479" s="15"/>
      <c r="J2479" s="19">
        <v>3</v>
      </c>
      <c r="K2479" s="2" t="s">
        <v>4970</v>
      </c>
      <c r="L2479" s="11" t="str">
        <f t="shared" si="40"/>
        <v>Ver Imagen</v>
      </c>
      <c r="M2479" t="s">
        <v>15</v>
      </c>
    </row>
    <row r="2480" spans="1:13" x14ac:dyDescent="0.25">
      <c r="A2480">
        <v>2479</v>
      </c>
      <c r="B2480" t="s">
        <v>4971</v>
      </c>
      <c r="C2480" s="1">
        <v>37.256066453400003</v>
      </c>
      <c r="D2480" s="1">
        <v>-7.0142072715100001</v>
      </c>
      <c r="E2480" s="3">
        <v>2</v>
      </c>
      <c r="F2480" s="2">
        <v>3</v>
      </c>
      <c r="G2480" s="4">
        <v>3</v>
      </c>
      <c r="H2480" s="13"/>
      <c r="I2480" s="15"/>
      <c r="J2480" s="19">
        <v>3</v>
      </c>
      <c r="K2480" s="2" t="s">
        <v>4972</v>
      </c>
      <c r="L2480" s="11" t="str">
        <f t="shared" si="40"/>
        <v>Ver Imagen</v>
      </c>
      <c r="M2480" t="s">
        <v>15</v>
      </c>
    </row>
    <row r="2481" spans="1:13" x14ac:dyDescent="0.25">
      <c r="A2481">
        <v>2480</v>
      </c>
      <c r="B2481" t="s">
        <v>4973</v>
      </c>
      <c r="C2481" s="1">
        <v>37.255706130299998</v>
      </c>
      <c r="D2481" s="1">
        <v>-7.0144391935700003</v>
      </c>
      <c r="E2481" s="3">
        <v>2</v>
      </c>
      <c r="F2481" s="2">
        <v>3</v>
      </c>
      <c r="G2481" s="4">
        <v>3</v>
      </c>
      <c r="H2481" s="13"/>
      <c r="I2481" s="15"/>
      <c r="J2481" s="19">
        <v>3</v>
      </c>
      <c r="K2481" s="2" t="s">
        <v>4974</v>
      </c>
      <c r="L2481" s="11" t="str">
        <f t="shared" si="40"/>
        <v>Ver Imagen</v>
      </c>
      <c r="M2481" t="s">
        <v>15</v>
      </c>
    </row>
    <row r="2482" spans="1:13" x14ac:dyDescent="0.25">
      <c r="A2482">
        <v>2481</v>
      </c>
      <c r="B2482" t="s">
        <v>4975</v>
      </c>
      <c r="C2482" s="1">
        <v>37.255528085199998</v>
      </c>
      <c r="D2482" s="1">
        <v>-7.0145540195300002</v>
      </c>
      <c r="E2482" s="3">
        <v>2</v>
      </c>
      <c r="F2482" s="2">
        <v>3</v>
      </c>
      <c r="G2482" s="4">
        <v>3</v>
      </c>
      <c r="H2482" s="13"/>
      <c r="I2482" s="15"/>
      <c r="J2482" s="19">
        <v>3</v>
      </c>
      <c r="K2482" s="2" t="s">
        <v>4976</v>
      </c>
      <c r="L2482" s="11" t="str">
        <f t="shared" si="40"/>
        <v>Ver Imagen</v>
      </c>
      <c r="M2482" t="s">
        <v>15</v>
      </c>
    </row>
    <row r="2483" spans="1:13" x14ac:dyDescent="0.25">
      <c r="A2483">
        <v>2482</v>
      </c>
      <c r="B2483" t="s">
        <v>4977</v>
      </c>
      <c r="C2483" s="1">
        <v>37.203979214100002</v>
      </c>
      <c r="D2483" s="1">
        <v>-7.0101281187</v>
      </c>
      <c r="E2483" s="3">
        <v>2</v>
      </c>
      <c r="F2483" s="2">
        <v>3</v>
      </c>
      <c r="G2483" s="4">
        <v>3</v>
      </c>
      <c r="H2483" s="13"/>
      <c r="I2483" s="15"/>
      <c r="J2483" s="19">
        <v>3</v>
      </c>
      <c r="K2483" s="2" t="s">
        <v>4978</v>
      </c>
      <c r="L2483" s="11" t="str">
        <f t="shared" si="40"/>
        <v>Ver Imagen</v>
      </c>
      <c r="M2483" t="s">
        <v>15</v>
      </c>
    </row>
    <row r="2484" spans="1:13" x14ac:dyDescent="0.25">
      <c r="A2484">
        <v>2483</v>
      </c>
      <c r="B2484" t="s">
        <v>4979</v>
      </c>
      <c r="C2484" s="1">
        <v>37.252176392400003</v>
      </c>
      <c r="D2484" s="1">
        <v>-7.0164888337700004</v>
      </c>
      <c r="E2484" s="3">
        <v>2</v>
      </c>
      <c r="F2484" s="2">
        <v>3</v>
      </c>
      <c r="G2484" s="4">
        <v>3</v>
      </c>
      <c r="H2484" s="13"/>
      <c r="I2484" s="15"/>
      <c r="J2484" s="19">
        <v>3</v>
      </c>
      <c r="K2484" s="2" t="s">
        <v>4980</v>
      </c>
      <c r="L2484" s="11" t="str">
        <f t="shared" si="40"/>
        <v>Ver Imagen</v>
      </c>
      <c r="M2484" t="s">
        <v>15</v>
      </c>
    </row>
    <row r="2485" spans="1:13" x14ac:dyDescent="0.25">
      <c r="A2485">
        <v>2484</v>
      </c>
      <c r="B2485" t="s">
        <v>4981</v>
      </c>
      <c r="C2485" s="1">
        <v>37.254932647300002</v>
      </c>
      <c r="D2485" s="1">
        <v>-7.0147330569699999</v>
      </c>
      <c r="E2485" s="3">
        <v>2</v>
      </c>
      <c r="F2485" s="2">
        <v>3</v>
      </c>
      <c r="G2485" s="4">
        <v>3</v>
      </c>
      <c r="H2485" s="13"/>
      <c r="I2485" s="15"/>
      <c r="J2485" s="19">
        <v>3</v>
      </c>
      <c r="K2485" s="2" t="s">
        <v>4982</v>
      </c>
      <c r="L2485" s="11" t="str">
        <f t="shared" si="40"/>
        <v>Ver Imagen</v>
      </c>
      <c r="M2485" t="s">
        <v>15</v>
      </c>
    </row>
    <row r="2486" spans="1:13" x14ac:dyDescent="0.25">
      <c r="A2486">
        <v>2485</v>
      </c>
      <c r="B2486" t="s">
        <v>4983</v>
      </c>
      <c r="C2486" s="1">
        <v>37.264146595699998</v>
      </c>
      <c r="D2486" s="1">
        <v>-7.0030271981099999</v>
      </c>
      <c r="E2486" s="3">
        <v>2</v>
      </c>
      <c r="F2486" s="2">
        <v>3</v>
      </c>
      <c r="G2486" s="4">
        <v>3</v>
      </c>
      <c r="H2486" s="13"/>
      <c r="I2486" s="15"/>
      <c r="J2486" s="19">
        <v>3</v>
      </c>
      <c r="K2486" s="2" t="s">
        <v>4984</v>
      </c>
      <c r="L2486" s="11" t="str">
        <f t="shared" si="40"/>
        <v>Ver Imagen</v>
      </c>
      <c r="M2486" t="s">
        <v>15</v>
      </c>
    </row>
    <row r="2487" spans="1:13" x14ac:dyDescent="0.25">
      <c r="A2487">
        <v>2486</v>
      </c>
      <c r="B2487" t="s">
        <v>4985</v>
      </c>
      <c r="C2487" s="1">
        <v>37.2649299363</v>
      </c>
      <c r="D2487" s="1">
        <v>-6.9986274180299999</v>
      </c>
      <c r="E2487" s="3">
        <v>2</v>
      </c>
      <c r="F2487" s="2">
        <v>3</v>
      </c>
      <c r="G2487" s="4">
        <v>3</v>
      </c>
      <c r="H2487" s="13"/>
      <c r="I2487" s="15"/>
      <c r="J2487" s="19">
        <v>3</v>
      </c>
      <c r="K2487" s="2" t="s">
        <v>4986</v>
      </c>
      <c r="L2487" s="11" t="str">
        <f t="shared" si="40"/>
        <v>Ver Imagen</v>
      </c>
      <c r="M2487" t="s">
        <v>15</v>
      </c>
    </row>
    <row r="2488" spans="1:13" x14ac:dyDescent="0.25">
      <c r="A2488">
        <v>2487</v>
      </c>
      <c r="B2488" t="s">
        <v>4987</v>
      </c>
      <c r="C2488" s="1">
        <v>37.271346320100001</v>
      </c>
      <c r="D2488" s="1">
        <v>-6.9841610647500003</v>
      </c>
      <c r="E2488" s="3">
        <v>2</v>
      </c>
      <c r="F2488" s="2">
        <v>3</v>
      </c>
      <c r="G2488" s="4">
        <v>3</v>
      </c>
      <c r="H2488" s="13"/>
      <c r="I2488" s="15"/>
      <c r="J2488" s="19">
        <v>3</v>
      </c>
      <c r="K2488" s="2" t="s">
        <v>4988</v>
      </c>
      <c r="L2488" s="11" t="str">
        <f t="shared" si="40"/>
        <v>Ver Imagen</v>
      </c>
      <c r="M2488" t="s">
        <v>15</v>
      </c>
    </row>
    <row r="2489" spans="1:13" x14ac:dyDescent="0.25">
      <c r="A2489">
        <v>2488</v>
      </c>
      <c r="B2489" t="s">
        <v>4989</v>
      </c>
      <c r="C2489" s="1">
        <v>37.447098555700002</v>
      </c>
      <c r="D2489" s="1">
        <v>-7.1297685986200001</v>
      </c>
      <c r="E2489" s="3">
        <v>3</v>
      </c>
      <c r="F2489" s="2">
        <v>4</v>
      </c>
      <c r="G2489" s="4">
        <v>3</v>
      </c>
      <c r="H2489" s="13"/>
      <c r="I2489" s="15"/>
      <c r="J2489" s="19">
        <v>3</v>
      </c>
      <c r="K2489" s="2" t="s">
        <v>4990</v>
      </c>
      <c r="L2489" s="11" t="str">
        <f t="shared" si="40"/>
        <v>Ver Imagen</v>
      </c>
      <c r="M2489" t="s">
        <v>15</v>
      </c>
    </row>
    <row r="2490" spans="1:13" x14ac:dyDescent="0.25">
      <c r="A2490">
        <v>2489</v>
      </c>
      <c r="B2490" t="s">
        <v>4991</v>
      </c>
      <c r="C2490" s="1">
        <v>37.446314006999998</v>
      </c>
      <c r="D2490" s="1">
        <v>-7.1340164367699996</v>
      </c>
      <c r="E2490" s="3">
        <v>2</v>
      </c>
      <c r="F2490" s="2">
        <v>3</v>
      </c>
      <c r="G2490" s="4">
        <v>3</v>
      </c>
      <c r="H2490" s="13"/>
      <c r="I2490" s="15"/>
      <c r="J2490" s="19">
        <v>3</v>
      </c>
      <c r="K2490" s="2" t="s">
        <v>4992</v>
      </c>
      <c r="L2490" s="11" t="str">
        <f t="shared" si="40"/>
        <v>Ver Imagen</v>
      </c>
      <c r="M2490" t="s">
        <v>15</v>
      </c>
    </row>
    <row r="2491" spans="1:13" x14ac:dyDescent="0.25">
      <c r="A2491">
        <v>2490</v>
      </c>
      <c r="B2491" t="s">
        <v>4993</v>
      </c>
      <c r="C2491" s="1">
        <v>37.447140566599998</v>
      </c>
      <c r="D2491" s="1">
        <v>-7.1287802784999998</v>
      </c>
      <c r="E2491" s="3">
        <v>2</v>
      </c>
      <c r="F2491" s="2">
        <v>3</v>
      </c>
      <c r="G2491" s="4">
        <v>3</v>
      </c>
      <c r="H2491" s="13"/>
      <c r="I2491" s="15"/>
      <c r="J2491" s="19">
        <v>3</v>
      </c>
      <c r="K2491" s="2" t="s">
        <v>4994</v>
      </c>
      <c r="L2491" s="11" t="str">
        <f t="shared" si="40"/>
        <v>Ver Imagen</v>
      </c>
      <c r="M2491" t="s">
        <v>15</v>
      </c>
    </row>
    <row r="2492" spans="1:13" x14ac:dyDescent="0.25">
      <c r="A2492">
        <v>2491</v>
      </c>
      <c r="B2492" t="s">
        <v>4995</v>
      </c>
      <c r="C2492" s="1">
        <v>37.4471486646</v>
      </c>
      <c r="D2492" s="1">
        <v>-7.1292189502100003</v>
      </c>
      <c r="E2492" s="3">
        <v>3</v>
      </c>
      <c r="F2492" s="2">
        <v>4</v>
      </c>
      <c r="G2492" s="4">
        <v>3</v>
      </c>
      <c r="H2492" s="13"/>
      <c r="I2492" s="15"/>
      <c r="J2492" s="19">
        <v>3</v>
      </c>
      <c r="K2492" s="2" t="s">
        <v>4996</v>
      </c>
      <c r="L2492" s="11" t="str">
        <f t="shared" si="40"/>
        <v>Ver Imagen</v>
      </c>
      <c r="M2492" t="s">
        <v>15</v>
      </c>
    </row>
    <row r="2493" spans="1:13" x14ac:dyDescent="0.25">
      <c r="A2493">
        <v>2492</v>
      </c>
      <c r="B2493" t="s">
        <v>4997</v>
      </c>
      <c r="C2493" s="1">
        <v>37.447135338300001</v>
      </c>
      <c r="D2493" s="1">
        <v>-7.1295157687900002</v>
      </c>
      <c r="E2493" s="3">
        <v>3</v>
      </c>
      <c r="F2493" s="2">
        <v>4</v>
      </c>
      <c r="G2493" s="4">
        <v>3</v>
      </c>
      <c r="H2493" s="13"/>
      <c r="I2493" s="15"/>
      <c r="J2493" s="19">
        <v>3</v>
      </c>
      <c r="K2493" s="2" t="s">
        <v>4998</v>
      </c>
      <c r="L2493" s="11" t="str">
        <f t="shared" si="40"/>
        <v>Ver Imagen</v>
      </c>
      <c r="M2493" t="s">
        <v>15</v>
      </c>
    </row>
    <row r="2494" spans="1:13" x14ac:dyDescent="0.25">
      <c r="A2494">
        <v>2493</v>
      </c>
      <c r="B2494" t="s">
        <v>4999</v>
      </c>
      <c r="C2494" s="1">
        <v>37.446544813999999</v>
      </c>
      <c r="D2494" s="1">
        <v>-7.1324477159799997</v>
      </c>
      <c r="E2494" s="3">
        <v>3</v>
      </c>
      <c r="F2494" s="2">
        <v>4</v>
      </c>
      <c r="G2494" s="4">
        <v>3</v>
      </c>
      <c r="H2494" s="13"/>
      <c r="I2494" s="15"/>
      <c r="J2494" s="19">
        <v>3</v>
      </c>
      <c r="K2494" s="2" t="s">
        <v>5000</v>
      </c>
      <c r="L2494" s="11" t="str">
        <f t="shared" si="40"/>
        <v>Ver Imagen</v>
      </c>
      <c r="M2494" t="s">
        <v>15</v>
      </c>
    </row>
    <row r="2495" spans="1:13" x14ac:dyDescent="0.25">
      <c r="A2495">
        <v>2494</v>
      </c>
      <c r="B2495" t="s">
        <v>5001</v>
      </c>
      <c r="C2495" s="1">
        <v>37.446303667499997</v>
      </c>
      <c r="D2495" s="1">
        <v>-7.13694729829</v>
      </c>
      <c r="E2495" s="3">
        <v>2</v>
      </c>
      <c r="F2495" s="2">
        <v>3</v>
      </c>
      <c r="G2495" s="4">
        <v>3</v>
      </c>
      <c r="H2495" s="13"/>
      <c r="I2495" s="15"/>
      <c r="J2495" s="19">
        <v>3</v>
      </c>
      <c r="K2495" s="2" t="s">
        <v>5002</v>
      </c>
      <c r="L2495" s="11" t="str">
        <f t="shared" si="40"/>
        <v>Ver Imagen</v>
      </c>
      <c r="M2495" t="s">
        <v>15</v>
      </c>
    </row>
    <row r="2496" spans="1:13" x14ac:dyDescent="0.25">
      <c r="A2496">
        <v>2495</v>
      </c>
      <c r="B2496" t="s">
        <v>5003</v>
      </c>
      <c r="C2496" s="1">
        <v>37.446379677400003</v>
      </c>
      <c r="D2496" s="1">
        <v>-7.1372080971500003</v>
      </c>
      <c r="E2496" s="3">
        <v>3</v>
      </c>
      <c r="F2496" s="2">
        <v>4</v>
      </c>
      <c r="G2496" s="4">
        <v>3</v>
      </c>
      <c r="H2496" s="13"/>
      <c r="I2496" s="15"/>
      <c r="J2496" s="19">
        <v>3</v>
      </c>
      <c r="K2496" s="2" t="s">
        <v>5004</v>
      </c>
      <c r="L2496" s="11" t="str">
        <f t="shared" si="40"/>
        <v>Ver Imagen</v>
      </c>
      <c r="M2496" t="s">
        <v>15</v>
      </c>
    </row>
    <row r="2497" spans="1:13" x14ac:dyDescent="0.25">
      <c r="A2497">
        <v>2496</v>
      </c>
      <c r="B2497" t="s">
        <v>5005</v>
      </c>
      <c r="C2497" s="1">
        <v>37.446441489900003</v>
      </c>
      <c r="D2497" s="1">
        <v>-7.1374133287300001</v>
      </c>
      <c r="E2497" s="3">
        <v>2</v>
      </c>
      <c r="F2497" s="2">
        <v>3</v>
      </c>
      <c r="G2497" s="4">
        <v>3</v>
      </c>
      <c r="H2497" s="13"/>
      <c r="I2497" s="15"/>
      <c r="J2497" s="19">
        <v>3</v>
      </c>
      <c r="K2497" s="2" t="s">
        <v>5006</v>
      </c>
      <c r="L2497" s="11" t="str">
        <f t="shared" si="40"/>
        <v>Ver Imagen</v>
      </c>
      <c r="M2497" t="s">
        <v>15</v>
      </c>
    </row>
    <row r="2498" spans="1:13" x14ac:dyDescent="0.25">
      <c r="A2498">
        <v>2497</v>
      </c>
      <c r="B2498" t="s">
        <v>5007</v>
      </c>
      <c r="C2498" s="1">
        <v>37.446524997399997</v>
      </c>
      <c r="D2498" s="1">
        <v>-7.1376953976299999</v>
      </c>
      <c r="E2498" s="3">
        <v>2</v>
      </c>
      <c r="F2498" s="2">
        <v>3</v>
      </c>
      <c r="G2498" s="4">
        <v>3</v>
      </c>
      <c r="H2498" s="13"/>
      <c r="I2498" s="15"/>
      <c r="J2498" s="19">
        <v>3</v>
      </c>
      <c r="K2498" s="2" t="s">
        <v>5008</v>
      </c>
      <c r="L2498" s="11" t="str">
        <f t="shared" si="40"/>
        <v>Ver Imagen</v>
      </c>
      <c r="M2498" t="s">
        <v>15</v>
      </c>
    </row>
    <row r="2499" spans="1:13" x14ac:dyDescent="0.25">
      <c r="A2499">
        <v>2498</v>
      </c>
      <c r="B2499" t="s">
        <v>5009</v>
      </c>
      <c r="C2499" s="1">
        <v>37.448548519600003</v>
      </c>
      <c r="D2499" s="1">
        <v>-7.1444460418700002</v>
      </c>
      <c r="E2499" s="3">
        <v>2</v>
      </c>
      <c r="F2499" s="2">
        <v>3</v>
      </c>
      <c r="G2499" s="4">
        <v>3</v>
      </c>
      <c r="H2499" s="13"/>
      <c r="I2499" s="15"/>
      <c r="J2499" s="19">
        <v>3</v>
      </c>
      <c r="K2499" s="2" t="s">
        <v>5010</v>
      </c>
      <c r="L2499" s="11" t="str">
        <f t="shared" si="40"/>
        <v>Ver Imagen</v>
      </c>
      <c r="M2499" t="s">
        <v>15</v>
      </c>
    </row>
    <row r="2500" spans="1:13" x14ac:dyDescent="0.25">
      <c r="A2500">
        <v>2499</v>
      </c>
      <c r="B2500" t="s">
        <v>5011</v>
      </c>
      <c r="C2500" s="1">
        <v>37.448674989099999</v>
      </c>
      <c r="D2500" s="1">
        <v>-7.1469808129099999</v>
      </c>
      <c r="E2500" s="3">
        <v>3</v>
      </c>
      <c r="F2500" s="2">
        <v>3</v>
      </c>
      <c r="G2500" s="4">
        <v>4</v>
      </c>
      <c r="H2500" s="13"/>
      <c r="I2500" s="15"/>
      <c r="J2500" s="19">
        <v>3</v>
      </c>
      <c r="K2500" s="2" t="s">
        <v>5012</v>
      </c>
      <c r="L2500" s="11" t="str">
        <f t="shared" si="40"/>
        <v>Ver Imagen</v>
      </c>
      <c r="M2500" t="s">
        <v>15</v>
      </c>
    </row>
    <row r="2501" spans="1:13" x14ac:dyDescent="0.25">
      <c r="A2501">
        <v>2500</v>
      </c>
      <c r="B2501" t="s">
        <v>5013</v>
      </c>
      <c r="C2501" s="1">
        <v>37.448769001400002</v>
      </c>
      <c r="D2501" s="1">
        <v>-7.1487472950299997</v>
      </c>
      <c r="E2501" s="3">
        <v>2</v>
      </c>
      <c r="F2501" s="2">
        <v>3</v>
      </c>
      <c r="G2501" s="4">
        <v>3</v>
      </c>
      <c r="H2501" s="13"/>
      <c r="I2501" s="15"/>
      <c r="J2501" s="19">
        <v>3</v>
      </c>
      <c r="K2501" s="2" t="s">
        <v>5014</v>
      </c>
      <c r="L2501" s="11" t="str">
        <f t="shared" si="40"/>
        <v>Ver Imagen</v>
      </c>
      <c r="M2501" t="s">
        <v>15</v>
      </c>
    </row>
    <row r="2502" spans="1:13" x14ac:dyDescent="0.25">
      <c r="A2502">
        <v>2501</v>
      </c>
      <c r="B2502" t="s">
        <v>5015</v>
      </c>
      <c r="C2502" s="1">
        <v>37.449966505500001</v>
      </c>
      <c r="D2502" s="1">
        <v>-7.1522066419500003</v>
      </c>
      <c r="E2502" s="3">
        <v>2</v>
      </c>
      <c r="F2502" s="2">
        <v>3</v>
      </c>
      <c r="G2502" s="4">
        <v>3</v>
      </c>
      <c r="H2502" s="13"/>
      <c r="I2502" s="15"/>
      <c r="J2502" s="19">
        <v>3</v>
      </c>
      <c r="K2502" s="2" t="s">
        <v>5016</v>
      </c>
      <c r="L2502" s="11" t="str">
        <f t="shared" si="40"/>
        <v>Ver Imagen</v>
      </c>
      <c r="M2502" t="s">
        <v>15</v>
      </c>
    </row>
    <row r="2503" spans="1:13" x14ac:dyDescent="0.25">
      <c r="A2503">
        <v>2502</v>
      </c>
      <c r="B2503" t="s">
        <v>5017</v>
      </c>
      <c r="C2503" s="1">
        <v>37.450059712200002</v>
      </c>
      <c r="D2503" s="1">
        <v>-7.1523584359500001</v>
      </c>
      <c r="E2503" s="3">
        <v>2</v>
      </c>
      <c r="F2503" s="2">
        <v>3</v>
      </c>
      <c r="G2503" s="4">
        <v>3</v>
      </c>
      <c r="H2503" s="13"/>
      <c r="I2503" s="15"/>
      <c r="J2503" s="19">
        <v>3</v>
      </c>
      <c r="K2503" s="2" t="s">
        <v>5018</v>
      </c>
      <c r="L2503" s="11" t="str">
        <f t="shared" si="40"/>
        <v>Ver Imagen</v>
      </c>
      <c r="M2503" t="s">
        <v>15</v>
      </c>
    </row>
    <row r="2504" spans="1:13" x14ac:dyDescent="0.25">
      <c r="A2504">
        <v>2503</v>
      </c>
      <c r="B2504" t="s">
        <v>5019</v>
      </c>
      <c r="C2504" s="1">
        <v>37.452085726699998</v>
      </c>
      <c r="D2504" s="1">
        <v>-7.1586900349800002</v>
      </c>
      <c r="E2504" s="3">
        <v>2</v>
      </c>
      <c r="F2504" s="2">
        <v>3</v>
      </c>
      <c r="G2504" s="4">
        <v>3</v>
      </c>
      <c r="H2504" s="13"/>
      <c r="I2504" s="15"/>
      <c r="J2504" s="19">
        <v>3</v>
      </c>
      <c r="K2504" s="2" t="s">
        <v>5020</v>
      </c>
      <c r="L2504" s="11" t="str">
        <f t="shared" si="40"/>
        <v>Ver Imagen</v>
      </c>
      <c r="M2504" t="s">
        <v>15</v>
      </c>
    </row>
    <row r="2505" spans="1:13" x14ac:dyDescent="0.25">
      <c r="A2505">
        <v>2504</v>
      </c>
      <c r="B2505" t="s">
        <v>5021</v>
      </c>
      <c r="C2505" s="1">
        <v>37.453385342600001</v>
      </c>
      <c r="D2505" s="1">
        <v>-7.16255661864</v>
      </c>
      <c r="E2505" s="3">
        <v>2</v>
      </c>
      <c r="F2505" s="2">
        <v>3</v>
      </c>
      <c r="G2505" s="4">
        <v>3</v>
      </c>
      <c r="H2505" s="13"/>
      <c r="I2505" s="15"/>
      <c r="J2505" s="19">
        <v>3</v>
      </c>
      <c r="K2505" s="2" t="s">
        <v>5022</v>
      </c>
      <c r="L2505" s="11" t="str">
        <f t="shared" si="40"/>
        <v>Ver Imagen</v>
      </c>
      <c r="M2505" t="s">
        <v>15</v>
      </c>
    </row>
    <row r="2506" spans="1:13" x14ac:dyDescent="0.25">
      <c r="A2506">
        <v>2505</v>
      </c>
      <c r="B2506" t="s">
        <v>5023</v>
      </c>
      <c r="C2506" s="1">
        <v>37.4536132331</v>
      </c>
      <c r="D2506" s="1">
        <v>-7.1630079386999999</v>
      </c>
      <c r="E2506" s="3">
        <v>2</v>
      </c>
      <c r="F2506" s="2">
        <v>3</v>
      </c>
      <c r="G2506" s="4">
        <v>3</v>
      </c>
      <c r="H2506" s="13"/>
      <c r="I2506" s="15"/>
      <c r="J2506" s="19">
        <v>3</v>
      </c>
      <c r="K2506" s="2" t="s">
        <v>5024</v>
      </c>
      <c r="L2506" s="11" t="str">
        <f t="shared" si="40"/>
        <v>Ver Imagen</v>
      </c>
      <c r="M2506" t="s">
        <v>15</v>
      </c>
    </row>
    <row r="2507" spans="1:13" x14ac:dyDescent="0.25">
      <c r="A2507">
        <v>2506</v>
      </c>
      <c r="B2507" t="s">
        <v>5025</v>
      </c>
      <c r="C2507" s="1">
        <v>37.453746182000003</v>
      </c>
      <c r="D2507" s="1">
        <v>-7.1632649099499996</v>
      </c>
      <c r="E2507" s="3">
        <v>2</v>
      </c>
      <c r="F2507" s="2">
        <v>3</v>
      </c>
      <c r="G2507" s="4">
        <v>3</v>
      </c>
      <c r="H2507" s="13"/>
      <c r="I2507" s="15"/>
      <c r="J2507" s="19">
        <v>3</v>
      </c>
      <c r="K2507" s="2" t="s">
        <v>5026</v>
      </c>
      <c r="L2507" s="11" t="str">
        <f t="shared" si="40"/>
        <v>Ver Imagen</v>
      </c>
      <c r="M2507" t="s">
        <v>15</v>
      </c>
    </row>
    <row r="2508" spans="1:13" x14ac:dyDescent="0.25">
      <c r="A2508">
        <v>2507</v>
      </c>
      <c r="B2508" t="s">
        <v>5027</v>
      </c>
      <c r="C2508" s="1">
        <v>37.455131069799997</v>
      </c>
      <c r="D2508" s="1">
        <v>-7.1657361797799997</v>
      </c>
      <c r="E2508" s="3">
        <v>2</v>
      </c>
      <c r="F2508" s="2">
        <v>3</v>
      </c>
      <c r="G2508" s="4">
        <v>3</v>
      </c>
      <c r="H2508" s="13"/>
      <c r="I2508" s="15"/>
      <c r="J2508" s="19">
        <v>3</v>
      </c>
      <c r="K2508" s="2" t="s">
        <v>5028</v>
      </c>
      <c r="L2508" s="11" t="str">
        <f t="shared" si="40"/>
        <v>Ver Imagen</v>
      </c>
      <c r="M2508" t="s">
        <v>15</v>
      </c>
    </row>
    <row r="2509" spans="1:13" x14ac:dyDescent="0.25">
      <c r="A2509">
        <v>2508</v>
      </c>
      <c r="B2509" t="s">
        <v>5029</v>
      </c>
      <c r="C2509" s="1">
        <v>37.455825958699997</v>
      </c>
      <c r="D2509" s="1">
        <v>-7.1665849027900004</v>
      </c>
      <c r="E2509" s="3">
        <v>2</v>
      </c>
      <c r="F2509" s="2">
        <v>3</v>
      </c>
      <c r="G2509" s="4">
        <v>3</v>
      </c>
      <c r="H2509" s="13"/>
      <c r="I2509" s="15"/>
      <c r="J2509" s="19">
        <v>3</v>
      </c>
      <c r="K2509" s="2" t="s">
        <v>5030</v>
      </c>
      <c r="L2509" s="11" t="str">
        <f t="shared" si="40"/>
        <v>Ver Imagen</v>
      </c>
      <c r="M2509" t="s">
        <v>15</v>
      </c>
    </row>
    <row r="2510" spans="1:13" x14ac:dyDescent="0.25">
      <c r="A2510">
        <v>2509</v>
      </c>
      <c r="B2510" t="s">
        <v>5031</v>
      </c>
      <c r="C2510" s="1">
        <v>37.456417500199997</v>
      </c>
      <c r="D2510" s="1">
        <v>-7.1673114300199998</v>
      </c>
      <c r="E2510" s="3">
        <v>2</v>
      </c>
      <c r="F2510" s="2">
        <v>3</v>
      </c>
      <c r="G2510" s="4">
        <v>3</v>
      </c>
      <c r="H2510" s="13"/>
      <c r="I2510" s="15"/>
      <c r="J2510" s="19">
        <v>3</v>
      </c>
      <c r="K2510" s="2" t="s">
        <v>5032</v>
      </c>
      <c r="L2510" s="11" t="str">
        <f t="shared" si="40"/>
        <v>Ver Imagen</v>
      </c>
      <c r="M2510" t="s">
        <v>15</v>
      </c>
    </row>
    <row r="2511" spans="1:13" x14ac:dyDescent="0.25">
      <c r="A2511">
        <v>2510</v>
      </c>
      <c r="B2511" t="s">
        <v>5033</v>
      </c>
      <c r="C2511" s="1">
        <v>37.456664031599999</v>
      </c>
      <c r="D2511" s="1">
        <v>-7.1676188410800004</v>
      </c>
      <c r="E2511" s="3">
        <v>2</v>
      </c>
      <c r="F2511" s="2">
        <v>3</v>
      </c>
      <c r="G2511" s="4">
        <v>3</v>
      </c>
      <c r="H2511" s="13"/>
      <c r="I2511" s="15"/>
      <c r="J2511" s="19">
        <v>3</v>
      </c>
      <c r="K2511" s="2" t="s">
        <v>5034</v>
      </c>
      <c r="L2511" s="11" t="str">
        <f t="shared" si="40"/>
        <v>Ver Imagen</v>
      </c>
      <c r="M2511" t="s">
        <v>15</v>
      </c>
    </row>
    <row r="2512" spans="1:13" x14ac:dyDescent="0.25">
      <c r="A2512">
        <v>2511</v>
      </c>
      <c r="B2512" t="s">
        <v>5035</v>
      </c>
      <c r="C2512" s="1">
        <v>37.4572703121</v>
      </c>
      <c r="D2512" s="1">
        <v>-7.1683713722100002</v>
      </c>
      <c r="E2512" s="3">
        <v>2</v>
      </c>
      <c r="F2512" s="2">
        <v>3</v>
      </c>
      <c r="G2512" s="4">
        <v>3</v>
      </c>
      <c r="H2512" s="13"/>
      <c r="I2512" s="15"/>
      <c r="J2512" s="19">
        <v>3</v>
      </c>
      <c r="K2512" s="2" t="s">
        <v>5036</v>
      </c>
      <c r="L2512" s="11" t="str">
        <f t="shared" si="40"/>
        <v>Ver Imagen</v>
      </c>
      <c r="M2512" t="s">
        <v>15</v>
      </c>
    </row>
    <row r="2513" spans="1:13" x14ac:dyDescent="0.25">
      <c r="A2513">
        <v>2512</v>
      </c>
      <c r="B2513" t="s">
        <v>5037</v>
      </c>
      <c r="C2513" s="1">
        <v>37.457708320800002</v>
      </c>
      <c r="D2513" s="1">
        <v>-7.1689069820800002</v>
      </c>
      <c r="E2513" s="3">
        <v>2</v>
      </c>
      <c r="F2513" s="2">
        <v>3</v>
      </c>
      <c r="G2513" s="4">
        <v>3</v>
      </c>
      <c r="H2513" s="13"/>
      <c r="I2513" s="15"/>
      <c r="J2513" s="19">
        <v>3</v>
      </c>
      <c r="K2513" s="2" t="s">
        <v>5038</v>
      </c>
      <c r="L2513" s="11" t="str">
        <f t="shared" si="40"/>
        <v>Ver Imagen</v>
      </c>
      <c r="M2513" t="s">
        <v>15</v>
      </c>
    </row>
    <row r="2514" spans="1:13" x14ac:dyDescent="0.25">
      <c r="A2514">
        <v>2513</v>
      </c>
      <c r="B2514" t="s">
        <v>5039</v>
      </c>
      <c r="C2514" s="1">
        <v>37.458145890099999</v>
      </c>
      <c r="D2514" s="1">
        <v>-7.1694447661899998</v>
      </c>
      <c r="E2514" s="3">
        <v>2</v>
      </c>
      <c r="F2514" s="2">
        <v>3</v>
      </c>
      <c r="G2514" s="4">
        <v>3</v>
      </c>
      <c r="H2514" s="13"/>
      <c r="I2514" s="15"/>
      <c r="J2514" s="19">
        <v>3</v>
      </c>
      <c r="K2514" s="2" t="s">
        <v>5040</v>
      </c>
      <c r="L2514" s="11" t="str">
        <f t="shared" si="40"/>
        <v>Ver Imagen</v>
      </c>
      <c r="M2514" t="s">
        <v>15</v>
      </c>
    </row>
    <row r="2515" spans="1:13" x14ac:dyDescent="0.25">
      <c r="A2515">
        <v>2514</v>
      </c>
      <c r="B2515" t="s">
        <v>5041</v>
      </c>
      <c r="C2515" s="1">
        <v>37.459455172399998</v>
      </c>
      <c r="D2515" s="1">
        <v>-7.1710509679200003</v>
      </c>
      <c r="E2515" s="3">
        <v>2</v>
      </c>
      <c r="F2515" s="2">
        <v>3</v>
      </c>
      <c r="G2515" s="4">
        <v>3</v>
      </c>
      <c r="H2515" s="13"/>
      <c r="I2515" s="15"/>
      <c r="J2515" s="19">
        <v>3</v>
      </c>
      <c r="K2515" s="2" t="s">
        <v>5042</v>
      </c>
      <c r="L2515" s="11" t="str">
        <f t="shared" si="40"/>
        <v>Ver Imagen</v>
      </c>
      <c r="M2515" t="s">
        <v>15</v>
      </c>
    </row>
    <row r="2516" spans="1:13" x14ac:dyDescent="0.25">
      <c r="A2516">
        <v>2515</v>
      </c>
      <c r="B2516" t="s">
        <v>5043</v>
      </c>
      <c r="C2516" s="1">
        <v>37.460339043600001</v>
      </c>
      <c r="D2516" s="1">
        <v>-7.1723939771099996</v>
      </c>
      <c r="E2516" s="3">
        <v>2</v>
      </c>
      <c r="F2516" s="2">
        <v>3</v>
      </c>
      <c r="G2516" s="4">
        <v>3</v>
      </c>
      <c r="H2516" s="13"/>
      <c r="I2516" s="15"/>
      <c r="J2516" s="19">
        <v>3</v>
      </c>
      <c r="K2516" s="2" t="s">
        <v>5044</v>
      </c>
      <c r="L2516" s="11" t="str">
        <f t="shared" si="40"/>
        <v>Ver Imagen</v>
      </c>
      <c r="M2516" t="s">
        <v>15</v>
      </c>
    </row>
    <row r="2517" spans="1:13" x14ac:dyDescent="0.25">
      <c r="A2517">
        <v>2516</v>
      </c>
      <c r="B2517" t="s">
        <v>5045</v>
      </c>
      <c r="C2517" s="1">
        <v>37.461122650999997</v>
      </c>
      <c r="D2517" s="1">
        <v>-7.1736840646399997</v>
      </c>
      <c r="E2517" s="3">
        <v>2</v>
      </c>
      <c r="F2517" s="2">
        <v>3</v>
      </c>
      <c r="G2517" s="4">
        <v>3</v>
      </c>
      <c r="H2517" s="13"/>
      <c r="I2517" s="15"/>
      <c r="J2517" s="19">
        <v>3</v>
      </c>
      <c r="K2517" s="2" t="s">
        <v>5046</v>
      </c>
      <c r="L2517" s="11" t="str">
        <f t="shared" si="40"/>
        <v>Ver Imagen</v>
      </c>
      <c r="M2517" t="s">
        <v>15</v>
      </c>
    </row>
    <row r="2518" spans="1:13" x14ac:dyDescent="0.25">
      <c r="A2518">
        <v>2517</v>
      </c>
      <c r="B2518" t="s">
        <v>5047</v>
      </c>
      <c r="C2518" s="1">
        <v>37.461217787700001</v>
      </c>
      <c r="D2518" s="1">
        <v>-7.1738417978499998</v>
      </c>
      <c r="E2518" s="3">
        <v>2</v>
      </c>
      <c r="F2518" s="2">
        <v>3</v>
      </c>
      <c r="G2518" s="4">
        <v>3</v>
      </c>
      <c r="H2518" s="13"/>
      <c r="I2518" s="15"/>
      <c r="J2518" s="19">
        <v>3</v>
      </c>
      <c r="K2518" s="2" t="s">
        <v>5048</v>
      </c>
      <c r="L2518" s="11" t="str">
        <f t="shared" si="40"/>
        <v>Ver Imagen</v>
      </c>
      <c r="M2518" t="s">
        <v>15</v>
      </c>
    </row>
    <row r="2519" spans="1:13" x14ac:dyDescent="0.25">
      <c r="A2519">
        <v>2518</v>
      </c>
      <c r="B2519" t="s">
        <v>5049</v>
      </c>
      <c r="C2519" s="1">
        <v>37.461325625000001</v>
      </c>
      <c r="D2519" s="1">
        <v>-7.1740209120599996</v>
      </c>
      <c r="E2519" s="3">
        <v>2</v>
      </c>
      <c r="F2519" s="2">
        <v>3</v>
      </c>
      <c r="G2519" s="4">
        <v>3</v>
      </c>
      <c r="H2519" s="13"/>
      <c r="I2519" s="15"/>
      <c r="J2519" s="19">
        <v>3</v>
      </c>
      <c r="K2519" s="2" t="s">
        <v>5050</v>
      </c>
      <c r="L2519" s="11" t="str">
        <f t="shared" si="40"/>
        <v>Ver Imagen</v>
      </c>
      <c r="M2519" t="s">
        <v>15</v>
      </c>
    </row>
    <row r="2520" spans="1:13" x14ac:dyDescent="0.25">
      <c r="A2520">
        <v>2519</v>
      </c>
      <c r="B2520" t="s">
        <v>5051</v>
      </c>
      <c r="C2520" s="1">
        <v>37.462225692600001</v>
      </c>
      <c r="D2520" s="1">
        <v>-7.1755012468699997</v>
      </c>
      <c r="E2520" s="3">
        <v>2</v>
      </c>
      <c r="F2520" s="2">
        <v>3</v>
      </c>
      <c r="G2520" s="4">
        <v>3</v>
      </c>
      <c r="H2520" s="13"/>
      <c r="I2520" s="15"/>
      <c r="J2520" s="19">
        <v>3</v>
      </c>
      <c r="K2520" s="2" t="s">
        <v>5052</v>
      </c>
      <c r="L2520" s="11" t="str">
        <f t="shared" si="40"/>
        <v>Ver Imagen</v>
      </c>
      <c r="M2520" t="s">
        <v>15</v>
      </c>
    </row>
    <row r="2521" spans="1:13" x14ac:dyDescent="0.25">
      <c r="A2521">
        <v>2520</v>
      </c>
      <c r="B2521" t="s">
        <v>5053</v>
      </c>
      <c r="C2521" s="1">
        <v>37.463759775600003</v>
      </c>
      <c r="D2521" s="1">
        <v>-7.1780625986900004</v>
      </c>
      <c r="E2521" s="3">
        <v>2</v>
      </c>
      <c r="F2521" s="2">
        <v>3</v>
      </c>
      <c r="G2521" s="4">
        <v>3</v>
      </c>
      <c r="H2521" s="13"/>
      <c r="I2521" s="15"/>
      <c r="J2521" s="19">
        <v>3</v>
      </c>
      <c r="K2521" s="2" t="s">
        <v>5054</v>
      </c>
      <c r="L2521" s="11" t="str">
        <f t="shared" si="40"/>
        <v>Ver Imagen</v>
      </c>
      <c r="M2521" t="s">
        <v>15</v>
      </c>
    </row>
    <row r="2522" spans="1:13" x14ac:dyDescent="0.25">
      <c r="A2522">
        <v>2521</v>
      </c>
      <c r="B2522" t="s">
        <v>5055</v>
      </c>
      <c r="C2522" s="1">
        <v>37.464043823899999</v>
      </c>
      <c r="D2522" s="1">
        <v>-7.1785972843800003</v>
      </c>
      <c r="E2522" s="3">
        <v>2</v>
      </c>
      <c r="F2522" s="2">
        <v>3</v>
      </c>
      <c r="G2522" s="4">
        <v>3</v>
      </c>
      <c r="H2522" s="13"/>
      <c r="I2522" s="15"/>
      <c r="J2522" s="19">
        <v>3</v>
      </c>
      <c r="K2522" s="2" t="s">
        <v>5056</v>
      </c>
      <c r="L2522" s="11" t="str">
        <f t="shared" si="40"/>
        <v>Ver Imagen</v>
      </c>
      <c r="M2522" t="s">
        <v>15</v>
      </c>
    </row>
    <row r="2523" spans="1:13" x14ac:dyDescent="0.25">
      <c r="A2523">
        <v>2522</v>
      </c>
      <c r="B2523" t="s">
        <v>5057</v>
      </c>
      <c r="C2523" s="1">
        <v>37.465168393500001</v>
      </c>
      <c r="D2523" s="1">
        <v>-7.18062079121</v>
      </c>
      <c r="E2523" s="3">
        <v>2</v>
      </c>
      <c r="F2523" s="2">
        <v>3</v>
      </c>
      <c r="G2523" s="4">
        <v>3</v>
      </c>
      <c r="H2523" s="13"/>
      <c r="I2523" s="15"/>
      <c r="J2523" s="19">
        <v>3</v>
      </c>
      <c r="K2523" s="2" t="s">
        <v>5058</v>
      </c>
      <c r="L2523" s="11" t="str">
        <f t="shared" si="40"/>
        <v>Ver Imagen</v>
      </c>
      <c r="M2523" t="s">
        <v>15</v>
      </c>
    </row>
    <row r="2524" spans="1:13" x14ac:dyDescent="0.25">
      <c r="A2524">
        <v>2523</v>
      </c>
      <c r="B2524" t="s">
        <v>5059</v>
      </c>
      <c r="C2524" s="1">
        <v>37.466416206399998</v>
      </c>
      <c r="D2524" s="1">
        <v>-7.1829473485199999</v>
      </c>
      <c r="E2524" s="3">
        <v>2</v>
      </c>
      <c r="F2524" s="2">
        <v>3</v>
      </c>
      <c r="G2524" s="4">
        <v>3</v>
      </c>
      <c r="H2524" s="13"/>
      <c r="I2524" s="15"/>
      <c r="J2524" s="19">
        <v>3</v>
      </c>
      <c r="K2524" s="2" t="s">
        <v>5060</v>
      </c>
      <c r="L2524" s="11" t="str">
        <f t="shared" si="40"/>
        <v>Ver Imagen</v>
      </c>
      <c r="M2524" t="s">
        <v>15</v>
      </c>
    </row>
    <row r="2525" spans="1:13" x14ac:dyDescent="0.25">
      <c r="A2525">
        <v>2524</v>
      </c>
      <c r="B2525" t="s">
        <v>5061</v>
      </c>
      <c r="C2525" s="1">
        <v>37.448881102500003</v>
      </c>
      <c r="D2525" s="1">
        <v>-7.1494814950199999</v>
      </c>
      <c r="E2525" s="3">
        <v>4</v>
      </c>
      <c r="F2525" s="2">
        <v>3</v>
      </c>
      <c r="G2525" s="4">
        <v>3</v>
      </c>
      <c r="H2525" s="13"/>
      <c r="I2525" s="15"/>
      <c r="J2525" s="19">
        <v>3</v>
      </c>
      <c r="K2525" s="2" t="s">
        <v>5062</v>
      </c>
      <c r="L2525" s="11" t="str">
        <f t="shared" si="40"/>
        <v>Ver Imagen</v>
      </c>
      <c r="M2525" t="s">
        <v>15</v>
      </c>
    </row>
    <row r="2526" spans="1:13" x14ac:dyDescent="0.25">
      <c r="A2526">
        <v>2525</v>
      </c>
      <c r="B2526" t="s">
        <v>5063</v>
      </c>
      <c r="C2526" s="1">
        <v>37.477656687100001</v>
      </c>
      <c r="D2526" s="1">
        <v>-7.2049056085599998</v>
      </c>
      <c r="E2526" s="3">
        <v>2</v>
      </c>
      <c r="F2526" s="2">
        <v>3</v>
      </c>
      <c r="G2526" s="4">
        <v>3</v>
      </c>
      <c r="H2526" s="13"/>
      <c r="I2526" s="15"/>
      <c r="J2526" s="19">
        <v>3</v>
      </c>
      <c r="K2526" s="2" t="s">
        <v>5064</v>
      </c>
      <c r="L2526" s="11" t="str">
        <f t="shared" si="40"/>
        <v>Ver Imagen</v>
      </c>
      <c r="M2526" t="s">
        <v>15</v>
      </c>
    </row>
    <row r="2527" spans="1:13" x14ac:dyDescent="0.25">
      <c r="A2527">
        <v>2526</v>
      </c>
      <c r="B2527" t="s">
        <v>5065</v>
      </c>
      <c r="C2527" s="1">
        <v>37.4785016935</v>
      </c>
      <c r="D2527" s="1">
        <v>-7.2068797057099996</v>
      </c>
      <c r="E2527" s="3">
        <v>2</v>
      </c>
      <c r="F2527" s="2">
        <v>3</v>
      </c>
      <c r="G2527" s="4">
        <v>3</v>
      </c>
      <c r="H2527" s="13"/>
      <c r="I2527" s="15"/>
      <c r="J2527" s="19">
        <v>3</v>
      </c>
      <c r="K2527" s="2" t="s">
        <v>5066</v>
      </c>
      <c r="L2527" s="11" t="str">
        <f t="shared" si="40"/>
        <v>Ver Imagen</v>
      </c>
      <c r="M2527" t="s">
        <v>15</v>
      </c>
    </row>
    <row r="2528" spans="1:13" x14ac:dyDescent="0.25">
      <c r="A2528">
        <v>2527</v>
      </c>
      <c r="B2528" t="s">
        <v>5067</v>
      </c>
      <c r="C2528" s="1">
        <v>37.478735200800003</v>
      </c>
      <c r="D2528" s="1">
        <v>-7.2074188424900001</v>
      </c>
      <c r="E2528" s="3">
        <v>2</v>
      </c>
      <c r="F2528" s="2">
        <v>3</v>
      </c>
      <c r="G2528" s="4">
        <v>3</v>
      </c>
      <c r="H2528" s="13"/>
      <c r="I2528" s="15"/>
      <c r="J2528" s="19">
        <v>3</v>
      </c>
      <c r="K2528" s="2" t="s">
        <v>5068</v>
      </c>
      <c r="L2528" s="11" t="str">
        <f t="shared" si="40"/>
        <v>Ver Imagen</v>
      </c>
      <c r="M2528" t="s">
        <v>15</v>
      </c>
    </row>
    <row r="2529" spans="1:13" x14ac:dyDescent="0.25">
      <c r="A2529">
        <v>2528</v>
      </c>
      <c r="B2529" t="s">
        <v>5069</v>
      </c>
      <c r="C2529" s="1">
        <v>37.4793789426</v>
      </c>
      <c r="D2529" s="1">
        <v>-7.2089434419399998</v>
      </c>
      <c r="E2529" s="3">
        <v>2</v>
      </c>
      <c r="F2529" s="2">
        <v>3</v>
      </c>
      <c r="G2529" s="4">
        <v>3</v>
      </c>
      <c r="H2529" s="13"/>
      <c r="I2529" s="15"/>
      <c r="J2529" s="19">
        <v>3</v>
      </c>
      <c r="K2529" s="2" t="s">
        <v>5070</v>
      </c>
      <c r="L2529" s="11" t="str">
        <f t="shared" si="40"/>
        <v>Ver Imagen</v>
      </c>
      <c r="M2529" t="s">
        <v>15</v>
      </c>
    </row>
    <row r="2530" spans="1:13" x14ac:dyDescent="0.25">
      <c r="A2530">
        <v>2529</v>
      </c>
      <c r="B2530" t="s">
        <v>5071</v>
      </c>
      <c r="C2530" s="1">
        <v>37.479471958600001</v>
      </c>
      <c r="D2530" s="1">
        <v>-7.2091519782300004</v>
      </c>
      <c r="E2530" s="3">
        <v>2</v>
      </c>
      <c r="F2530" s="2">
        <v>3</v>
      </c>
      <c r="G2530" s="4">
        <v>3</v>
      </c>
      <c r="H2530" s="13"/>
      <c r="I2530" s="15"/>
      <c r="J2530" s="19">
        <v>3</v>
      </c>
      <c r="K2530" s="2" t="s">
        <v>5072</v>
      </c>
      <c r="L2530" s="11" t="str">
        <f t="shared" si="40"/>
        <v>Ver Imagen</v>
      </c>
      <c r="M2530" t="s">
        <v>15</v>
      </c>
    </row>
    <row r="2531" spans="1:13" x14ac:dyDescent="0.25">
      <c r="A2531">
        <v>2530</v>
      </c>
      <c r="B2531" t="s">
        <v>5073</v>
      </c>
      <c r="C2531" s="1">
        <v>37.480065738999997</v>
      </c>
      <c r="D2531" s="1">
        <v>-7.2105124617599996</v>
      </c>
      <c r="E2531" s="3">
        <v>2</v>
      </c>
      <c r="F2531" s="2">
        <v>3</v>
      </c>
      <c r="G2531" s="4">
        <v>3</v>
      </c>
      <c r="H2531" s="13"/>
      <c r="I2531" s="15"/>
      <c r="J2531" s="19">
        <v>3</v>
      </c>
      <c r="K2531" s="2" t="s">
        <v>5074</v>
      </c>
      <c r="L2531" s="11" t="str">
        <f t="shared" si="40"/>
        <v>Ver Imagen</v>
      </c>
      <c r="M2531" t="s">
        <v>15</v>
      </c>
    </row>
    <row r="2532" spans="1:13" x14ac:dyDescent="0.25">
      <c r="A2532">
        <v>2531</v>
      </c>
      <c r="B2532" t="s">
        <v>5075</v>
      </c>
      <c r="C2532" s="1">
        <v>37.480241272100002</v>
      </c>
      <c r="D2532" s="1">
        <v>-7.2109200503800004</v>
      </c>
      <c r="E2532" s="3">
        <v>2</v>
      </c>
      <c r="F2532" s="2">
        <v>3</v>
      </c>
      <c r="G2532" s="4">
        <v>3</v>
      </c>
      <c r="H2532" s="13"/>
      <c r="I2532" s="15"/>
      <c r="J2532" s="19">
        <v>3</v>
      </c>
      <c r="K2532" s="2" t="s">
        <v>5076</v>
      </c>
      <c r="L2532" s="11" t="str">
        <f t="shared" si="40"/>
        <v>Ver Imagen</v>
      </c>
      <c r="M2532" t="s">
        <v>15</v>
      </c>
    </row>
    <row r="2533" spans="1:13" x14ac:dyDescent="0.25">
      <c r="A2533">
        <v>2532</v>
      </c>
      <c r="B2533" t="s">
        <v>5077</v>
      </c>
      <c r="C2533" s="1">
        <v>37.480450230400002</v>
      </c>
      <c r="D2533" s="1">
        <v>-7.2114030522999997</v>
      </c>
      <c r="E2533" s="3">
        <v>2</v>
      </c>
      <c r="F2533" s="2">
        <v>3</v>
      </c>
      <c r="G2533" s="4">
        <v>3</v>
      </c>
      <c r="H2533" s="13"/>
      <c r="I2533" s="15"/>
      <c r="J2533" s="19">
        <v>3</v>
      </c>
      <c r="K2533" s="2" t="s">
        <v>5078</v>
      </c>
      <c r="L2533" s="11" t="str">
        <f t="shared" si="40"/>
        <v>Ver Imagen</v>
      </c>
      <c r="M2533" t="s">
        <v>15</v>
      </c>
    </row>
    <row r="2534" spans="1:13" x14ac:dyDescent="0.25">
      <c r="A2534">
        <v>2533</v>
      </c>
      <c r="B2534" t="s">
        <v>5079</v>
      </c>
      <c r="C2534" s="1">
        <v>37.480641609700001</v>
      </c>
      <c r="D2534" s="1">
        <v>-7.2118813129900001</v>
      </c>
      <c r="E2534" s="3">
        <v>2</v>
      </c>
      <c r="F2534" s="2">
        <v>3</v>
      </c>
      <c r="G2534" s="4">
        <v>3</v>
      </c>
      <c r="H2534" s="13"/>
      <c r="I2534" s="15"/>
      <c r="J2534" s="19">
        <v>3</v>
      </c>
      <c r="K2534" s="2" t="s">
        <v>5080</v>
      </c>
      <c r="L2534" s="11" t="str">
        <f t="shared" si="40"/>
        <v>Ver Imagen</v>
      </c>
      <c r="M2534" t="s">
        <v>15</v>
      </c>
    </row>
    <row r="2535" spans="1:13" x14ac:dyDescent="0.25">
      <c r="A2535">
        <v>2534</v>
      </c>
      <c r="B2535" t="s">
        <v>5081</v>
      </c>
      <c r="C2535" s="1">
        <v>37.481249928899999</v>
      </c>
      <c r="D2535" s="1">
        <v>-7.2135362381499997</v>
      </c>
      <c r="E2535" s="3">
        <v>2</v>
      </c>
      <c r="F2535" s="2">
        <v>3</v>
      </c>
      <c r="G2535" s="4">
        <v>3</v>
      </c>
      <c r="H2535" s="13"/>
      <c r="I2535" s="15"/>
      <c r="J2535" s="19">
        <v>3</v>
      </c>
      <c r="K2535" s="2" t="s">
        <v>5082</v>
      </c>
      <c r="L2535" s="11" t="str">
        <f t="shared" si="40"/>
        <v>Ver Imagen</v>
      </c>
      <c r="M2535" t="s">
        <v>15</v>
      </c>
    </row>
    <row r="2536" spans="1:13" x14ac:dyDescent="0.25">
      <c r="A2536">
        <v>2535</v>
      </c>
      <c r="B2536" t="s">
        <v>5083</v>
      </c>
      <c r="C2536" s="1">
        <v>37.481399118100001</v>
      </c>
      <c r="D2536" s="1">
        <v>-7.2139391010500002</v>
      </c>
      <c r="E2536" s="3">
        <v>2</v>
      </c>
      <c r="F2536" s="2">
        <v>3</v>
      </c>
      <c r="G2536" s="4">
        <v>3</v>
      </c>
      <c r="H2536" s="13"/>
      <c r="I2536" s="15"/>
      <c r="J2536" s="19">
        <v>3</v>
      </c>
      <c r="K2536" s="2" t="s">
        <v>5084</v>
      </c>
      <c r="L2536" s="11" t="str">
        <f t="shared" si="40"/>
        <v>Ver Imagen</v>
      </c>
      <c r="M2536" t="s">
        <v>15</v>
      </c>
    </row>
    <row r="2537" spans="1:13" x14ac:dyDescent="0.25">
      <c r="A2537">
        <v>2536</v>
      </c>
      <c r="B2537" t="s">
        <v>5085</v>
      </c>
      <c r="C2537" s="1">
        <v>37.482520308300003</v>
      </c>
      <c r="D2537" s="1">
        <v>-7.2177371234600001</v>
      </c>
      <c r="E2537" s="3">
        <v>2</v>
      </c>
      <c r="F2537" s="2">
        <v>3</v>
      </c>
      <c r="G2537" s="4">
        <v>3</v>
      </c>
      <c r="H2537" s="13"/>
      <c r="I2537" s="15"/>
      <c r="J2537" s="19">
        <v>3</v>
      </c>
      <c r="K2537" s="2" t="s">
        <v>5086</v>
      </c>
      <c r="L2537" s="11" t="str">
        <f t="shared" ref="L2537:L2600" si="41">HYPERLINK("3\1\" &amp; K2537, "Ver Imagen")</f>
        <v>Ver Imagen</v>
      </c>
      <c r="M2537" t="s">
        <v>15</v>
      </c>
    </row>
    <row r="2538" spans="1:13" x14ac:dyDescent="0.25">
      <c r="A2538">
        <v>2537</v>
      </c>
      <c r="B2538" t="s">
        <v>5087</v>
      </c>
      <c r="C2538" s="1">
        <v>37.482631340099999</v>
      </c>
      <c r="D2538" s="1">
        <v>-7.2182994109200003</v>
      </c>
      <c r="E2538" s="3">
        <v>2</v>
      </c>
      <c r="F2538" s="2">
        <v>3</v>
      </c>
      <c r="G2538" s="4">
        <v>3</v>
      </c>
      <c r="H2538" s="13"/>
      <c r="I2538" s="15"/>
      <c r="J2538" s="19">
        <v>3</v>
      </c>
      <c r="K2538" s="2" t="s">
        <v>5088</v>
      </c>
      <c r="L2538" s="11" t="str">
        <f t="shared" si="41"/>
        <v>Ver Imagen</v>
      </c>
      <c r="M2538" t="s">
        <v>15</v>
      </c>
    </row>
    <row r="2539" spans="1:13" x14ac:dyDescent="0.25">
      <c r="A2539">
        <v>2538</v>
      </c>
      <c r="B2539" t="s">
        <v>5089</v>
      </c>
      <c r="C2539" s="1">
        <v>37.483299158999998</v>
      </c>
      <c r="D2539" s="1">
        <v>-7.2216884055300001</v>
      </c>
      <c r="E2539" s="3">
        <v>2</v>
      </c>
      <c r="F2539" s="2">
        <v>3</v>
      </c>
      <c r="G2539" s="4">
        <v>3</v>
      </c>
      <c r="H2539" s="13"/>
      <c r="I2539" s="15"/>
      <c r="J2539" s="19">
        <v>3</v>
      </c>
      <c r="K2539" s="2" t="s">
        <v>5090</v>
      </c>
      <c r="L2539" s="11" t="str">
        <f t="shared" si="41"/>
        <v>Ver Imagen</v>
      </c>
      <c r="M2539" t="s">
        <v>15</v>
      </c>
    </row>
    <row r="2540" spans="1:13" x14ac:dyDescent="0.25">
      <c r="A2540">
        <v>2539</v>
      </c>
      <c r="B2540" t="s">
        <v>5091</v>
      </c>
      <c r="C2540" s="1">
        <v>37.483583700700002</v>
      </c>
      <c r="D2540" s="1">
        <v>-7.2231496154199997</v>
      </c>
      <c r="E2540" s="3">
        <v>2</v>
      </c>
      <c r="F2540" s="2">
        <v>3</v>
      </c>
      <c r="G2540" s="4">
        <v>3</v>
      </c>
      <c r="H2540" s="13"/>
      <c r="I2540" s="15"/>
      <c r="J2540" s="19">
        <v>3</v>
      </c>
      <c r="K2540" s="2" t="s">
        <v>5092</v>
      </c>
      <c r="L2540" s="11" t="str">
        <f t="shared" si="41"/>
        <v>Ver Imagen</v>
      </c>
      <c r="M2540" t="s">
        <v>15</v>
      </c>
    </row>
    <row r="2541" spans="1:13" x14ac:dyDescent="0.25">
      <c r="A2541">
        <v>2540</v>
      </c>
      <c r="B2541" t="s">
        <v>5093</v>
      </c>
      <c r="C2541" s="1">
        <v>37.4836295729</v>
      </c>
      <c r="D2541" s="1">
        <v>-7.2233845306499997</v>
      </c>
      <c r="E2541" s="3">
        <v>2</v>
      </c>
      <c r="F2541" s="2">
        <v>3</v>
      </c>
      <c r="G2541" s="4">
        <v>3</v>
      </c>
      <c r="H2541" s="13"/>
      <c r="I2541" s="15"/>
      <c r="J2541" s="19">
        <v>3</v>
      </c>
      <c r="K2541" s="2" t="s">
        <v>5094</v>
      </c>
      <c r="L2541" s="11" t="str">
        <f t="shared" si="41"/>
        <v>Ver Imagen</v>
      </c>
      <c r="M2541" t="s">
        <v>15</v>
      </c>
    </row>
    <row r="2542" spans="1:13" x14ac:dyDescent="0.25">
      <c r="A2542">
        <v>2541</v>
      </c>
      <c r="B2542" t="s">
        <v>5095</v>
      </c>
      <c r="C2542" s="1">
        <v>37.4845421331</v>
      </c>
      <c r="D2542" s="1">
        <v>-7.2280952786899997</v>
      </c>
      <c r="E2542" s="3">
        <v>2</v>
      </c>
      <c r="F2542" s="2">
        <v>3</v>
      </c>
      <c r="G2542" s="4">
        <v>3</v>
      </c>
      <c r="H2542" s="13"/>
      <c r="I2542" s="15"/>
      <c r="J2542" s="19">
        <v>3</v>
      </c>
      <c r="K2542" s="2" t="s">
        <v>5096</v>
      </c>
      <c r="L2542" s="11" t="str">
        <f t="shared" si="41"/>
        <v>Ver Imagen</v>
      </c>
      <c r="M2542" t="s">
        <v>15</v>
      </c>
    </row>
    <row r="2543" spans="1:13" x14ac:dyDescent="0.25">
      <c r="A2543">
        <v>2542</v>
      </c>
      <c r="B2543" t="s">
        <v>5097</v>
      </c>
      <c r="C2543" s="1">
        <v>37.484642778400001</v>
      </c>
      <c r="D2543" s="1">
        <v>-7.2286070990900004</v>
      </c>
      <c r="E2543" s="3">
        <v>2</v>
      </c>
      <c r="F2543" s="2">
        <v>3</v>
      </c>
      <c r="G2543" s="4">
        <v>3</v>
      </c>
      <c r="H2543" s="13"/>
      <c r="I2543" s="15"/>
      <c r="J2543" s="19">
        <v>3</v>
      </c>
      <c r="K2543" s="2" t="s">
        <v>5098</v>
      </c>
      <c r="L2543" s="11" t="str">
        <f t="shared" si="41"/>
        <v>Ver Imagen</v>
      </c>
      <c r="M2543" t="s">
        <v>15</v>
      </c>
    </row>
    <row r="2544" spans="1:13" x14ac:dyDescent="0.25">
      <c r="A2544">
        <v>2543</v>
      </c>
      <c r="B2544" t="s">
        <v>5099</v>
      </c>
      <c r="C2544" s="1">
        <v>37.485878375699997</v>
      </c>
      <c r="D2544" s="1">
        <v>-7.2350491340099996</v>
      </c>
      <c r="E2544" s="3">
        <v>2</v>
      </c>
      <c r="F2544" s="2">
        <v>3</v>
      </c>
      <c r="G2544" s="4">
        <v>3</v>
      </c>
      <c r="H2544" s="13"/>
      <c r="I2544" s="15"/>
      <c r="J2544" s="19">
        <v>3</v>
      </c>
      <c r="K2544" s="2" t="s">
        <v>5100</v>
      </c>
      <c r="L2544" s="11" t="str">
        <f t="shared" si="41"/>
        <v>Ver Imagen</v>
      </c>
      <c r="M2544" t="s">
        <v>15</v>
      </c>
    </row>
    <row r="2545" spans="1:13" x14ac:dyDescent="0.25">
      <c r="A2545">
        <v>2544</v>
      </c>
      <c r="B2545" t="s">
        <v>5101</v>
      </c>
      <c r="C2545" s="1">
        <v>37.487503627700001</v>
      </c>
      <c r="D2545" s="1">
        <v>-7.2441500058499999</v>
      </c>
      <c r="E2545" s="3">
        <v>2</v>
      </c>
      <c r="F2545" s="2">
        <v>3</v>
      </c>
      <c r="G2545" s="4">
        <v>3</v>
      </c>
      <c r="H2545" s="13"/>
      <c r="I2545" s="15"/>
      <c r="J2545" s="19">
        <v>3</v>
      </c>
      <c r="K2545" s="2" t="s">
        <v>5102</v>
      </c>
      <c r="L2545" s="11" t="str">
        <f t="shared" si="41"/>
        <v>Ver Imagen</v>
      </c>
      <c r="M2545" t="s">
        <v>15</v>
      </c>
    </row>
    <row r="2546" spans="1:13" x14ac:dyDescent="0.25">
      <c r="A2546">
        <v>2545</v>
      </c>
      <c r="B2546" t="s">
        <v>5103</v>
      </c>
      <c r="C2546" s="1">
        <v>37.4878612567</v>
      </c>
      <c r="D2546" s="1">
        <v>-7.2450526418600001</v>
      </c>
      <c r="E2546" s="3">
        <v>2</v>
      </c>
      <c r="F2546" s="2">
        <v>3</v>
      </c>
      <c r="G2546" s="4">
        <v>3</v>
      </c>
      <c r="H2546" s="13"/>
      <c r="I2546" s="15"/>
      <c r="J2546" s="19">
        <v>3</v>
      </c>
      <c r="K2546" s="2" t="s">
        <v>5104</v>
      </c>
      <c r="L2546" s="11" t="str">
        <f t="shared" si="41"/>
        <v>Ver Imagen</v>
      </c>
      <c r="M2546" t="s">
        <v>15</v>
      </c>
    </row>
    <row r="2547" spans="1:13" x14ac:dyDescent="0.25">
      <c r="A2547">
        <v>2546</v>
      </c>
      <c r="B2547" t="s">
        <v>5105</v>
      </c>
      <c r="C2547" s="1">
        <v>37.488591977900001</v>
      </c>
      <c r="D2547" s="1">
        <v>-7.2469049081800003</v>
      </c>
      <c r="E2547" s="3">
        <v>2</v>
      </c>
      <c r="F2547" s="2">
        <v>3</v>
      </c>
      <c r="G2547" s="4">
        <v>3</v>
      </c>
      <c r="H2547" s="13"/>
      <c r="I2547" s="15"/>
      <c r="J2547" s="19">
        <v>3</v>
      </c>
      <c r="K2547" s="2" t="s">
        <v>5106</v>
      </c>
      <c r="L2547" s="11" t="str">
        <f t="shared" si="41"/>
        <v>Ver Imagen</v>
      </c>
      <c r="M2547" t="s">
        <v>15</v>
      </c>
    </row>
    <row r="2548" spans="1:13" x14ac:dyDescent="0.25">
      <c r="A2548">
        <v>2547</v>
      </c>
      <c r="B2548" t="s">
        <v>5107</v>
      </c>
      <c r="C2548" s="1">
        <v>37.4889108343</v>
      </c>
      <c r="D2548" s="1">
        <v>-7.2475055478100003</v>
      </c>
      <c r="E2548" s="3">
        <v>2</v>
      </c>
      <c r="F2548" s="2">
        <v>3</v>
      </c>
      <c r="G2548" s="4">
        <v>3</v>
      </c>
      <c r="H2548" s="13"/>
      <c r="I2548" s="15"/>
      <c r="J2548" s="19">
        <v>3</v>
      </c>
      <c r="K2548" s="2" t="s">
        <v>5108</v>
      </c>
      <c r="L2548" s="11" t="str">
        <f t="shared" si="41"/>
        <v>Ver Imagen</v>
      </c>
      <c r="M2548" t="s">
        <v>15</v>
      </c>
    </row>
    <row r="2549" spans="1:13" x14ac:dyDescent="0.25">
      <c r="A2549">
        <v>2548</v>
      </c>
      <c r="B2549" t="s">
        <v>5109</v>
      </c>
      <c r="C2549" s="1">
        <v>37.492543443199999</v>
      </c>
      <c r="D2549" s="1">
        <v>-7.2620865873099998</v>
      </c>
      <c r="E2549" s="3">
        <v>2</v>
      </c>
      <c r="F2549" s="2">
        <v>3</v>
      </c>
      <c r="G2549" s="4">
        <v>3</v>
      </c>
      <c r="H2549" s="13"/>
      <c r="I2549" s="15"/>
      <c r="J2549" s="19">
        <v>3</v>
      </c>
      <c r="K2549" s="2" t="s">
        <v>5110</v>
      </c>
      <c r="L2549" s="11" t="str">
        <f t="shared" si="41"/>
        <v>Ver Imagen</v>
      </c>
      <c r="M2549" t="s">
        <v>15</v>
      </c>
    </row>
    <row r="2550" spans="1:13" x14ac:dyDescent="0.25">
      <c r="A2550">
        <v>2549</v>
      </c>
      <c r="B2550" t="s">
        <v>5111</v>
      </c>
      <c r="C2550" s="1">
        <v>37.492807629700003</v>
      </c>
      <c r="D2550" s="1">
        <v>-7.2625681552000003</v>
      </c>
      <c r="E2550" s="3">
        <v>2</v>
      </c>
      <c r="F2550" s="2">
        <v>3</v>
      </c>
      <c r="G2550" s="4">
        <v>3</v>
      </c>
      <c r="H2550" s="13"/>
      <c r="I2550" s="15"/>
      <c r="J2550" s="19">
        <v>3</v>
      </c>
      <c r="K2550" s="2" t="s">
        <v>5112</v>
      </c>
      <c r="L2550" s="11" t="str">
        <f t="shared" si="41"/>
        <v>Ver Imagen</v>
      </c>
      <c r="M2550" t="s">
        <v>15</v>
      </c>
    </row>
    <row r="2551" spans="1:13" x14ac:dyDescent="0.25">
      <c r="A2551">
        <v>2550</v>
      </c>
      <c r="B2551" t="s">
        <v>5113</v>
      </c>
      <c r="C2551" s="1">
        <v>37.494305867100003</v>
      </c>
      <c r="D2551" s="1">
        <v>-7.2658538807599999</v>
      </c>
      <c r="E2551" s="3">
        <v>2</v>
      </c>
      <c r="F2551" s="2">
        <v>3</v>
      </c>
      <c r="G2551" s="4">
        <v>3</v>
      </c>
      <c r="H2551" s="13"/>
      <c r="I2551" s="15"/>
      <c r="J2551" s="19">
        <v>3</v>
      </c>
      <c r="K2551" s="2" t="s">
        <v>5114</v>
      </c>
      <c r="L2551" s="11" t="str">
        <f t="shared" si="41"/>
        <v>Ver Imagen</v>
      </c>
      <c r="M2551" t="s">
        <v>15</v>
      </c>
    </row>
    <row r="2552" spans="1:13" x14ac:dyDescent="0.25">
      <c r="A2552">
        <v>2551</v>
      </c>
      <c r="B2552" t="s">
        <v>5115</v>
      </c>
      <c r="C2552" s="1">
        <v>37.494771061100003</v>
      </c>
      <c r="D2552" s="1">
        <v>-7.2666468292299999</v>
      </c>
      <c r="E2552" s="3">
        <v>2</v>
      </c>
      <c r="F2552" s="2">
        <v>3</v>
      </c>
      <c r="G2552" s="4">
        <v>3</v>
      </c>
      <c r="H2552" s="13"/>
      <c r="I2552" s="15"/>
      <c r="J2552" s="19">
        <v>3</v>
      </c>
      <c r="K2552" s="2" t="s">
        <v>5116</v>
      </c>
      <c r="L2552" s="11" t="str">
        <f t="shared" si="41"/>
        <v>Ver Imagen</v>
      </c>
      <c r="M2552" t="s">
        <v>15</v>
      </c>
    </row>
    <row r="2553" spans="1:13" x14ac:dyDescent="0.25">
      <c r="A2553">
        <v>2552</v>
      </c>
      <c r="B2553" t="s">
        <v>5117</v>
      </c>
      <c r="C2553" s="1">
        <v>37.278967000400002</v>
      </c>
      <c r="D2553" s="1">
        <v>-6.9943703490300004</v>
      </c>
      <c r="E2553" s="3">
        <v>3</v>
      </c>
      <c r="F2553" s="2">
        <v>2</v>
      </c>
      <c r="G2553" s="4">
        <v>3</v>
      </c>
      <c r="H2553" s="13"/>
      <c r="I2553" s="15"/>
      <c r="J2553" s="19">
        <v>3</v>
      </c>
      <c r="K2553" s="2" t="s">
        <v>5118</v>
      </c>
      <c r="L2553" s="11" t="str">
        <f t="shared" si="41"/>
        <v>Ver Imagen</v>
      </c>
      <c r="M2553" t="s">
        <v>15</v>
      </c>
    </row>
    <row r="2554" spans="1:13" x14ac:dyDescent="0.25">
      <c r="A2554">
        <v>2553</v>
      </c>
      <c r="B2554" t="s">
        <v>5119</v>
      </c>
      <c r="C2554" s="1">
        <v>37.279123802199997</v>
      </c>
      <c r="D2554" s="1">
        <v>-6.9949128760999999</v>
      </c>
      <c r="E2554" s="3">
        <v>3</v>
      </c>
      <c r="F2554" s="2">
        <v>2</v>
      </c>
      <c r="G2554" s="4">
        <v>3</v>
      </c>
      <c r="H2554" s="13"/>
      <c r="I2554" s="15"/>
      <c r="J2554" s="19">
        <v>3</v>
      </c>
      <c r="K2554" s="2" t="s">
        <v>5120</v>
      </c>
      <c r="L2554" s="11" t="str">
        <f t="shared" si="41"/>
        <v>Ver Imagen</v>
      </c>
      <c r="M2554" t="s">
        <v>15</v>
      </c>
    </row>
    <row r="2555" spans="1:13" x14ac:dyDescent="0.25">
      <c r="A2555">
        <v>2554</v>
      </c>
      <c r="B2555" t="s">
        <v>5121</v>
      </c>
      <c r="C2555" s="1">
        <v>37.280490479900003</v>
      </c>
      <c r="D2555" s="1">
        <v>-7.0017311546699998</v>
      </c>
      <c r="E2555" s="3">
        <v>3</v>
      </c>
      <c r="F2555" s="2">
        <v>2</v>
      </c>
      <c r="G2555" s="4">
        <v>3</v>
      </c>
      <c r="H2555" s="13"/>
      <c r="I2555" s="15"/>
      <c r="J2555" s="19">
        <v>3</v>
      </c>
      <c r="K2555" s="2" t="s">
        <v>5122</v>
      </c>
      <c r="L2555" s="11" t="str">
        <f t="shared" si="41"/>
        <v>Ver Imagen</v>
      </c>
      <c r="M2555" t="s">
        <v>15</v>
      </c>
    </row>
    <row r="2556" spans="1:13" x14ac:dyDescent="0.25">
      <c r="A2556">
        <v>2555</v>
      </c>
      <c r="B2556" t="s">
        <v>5123</v>
      </c>
      <c r="C2556" s="1">
        <v>37.280535169099998</v>
      </c>
      <c r="D2556" s="1">
        <v>-7.0020060444799999</v>
      </c>
      <c r="E2556" s="3">
        <v>2</v>
      </c>
      <c r="F2556" s="2">
        <v>3</v>
      </c>
      <c r="G2556" s="4">
        <v>3</v>
      </c>
      <c r="H2556" s="13"/>
      <c r="I2556" s="15"/>
      <c r="J2556" s="19">
        <v>3</v>
      </c>
      <c r="K2556" s="2" t="s">
        <v>5124</v>
      </c>
      <c r="L2556" s="11" t="str">
        <f t="shared" si="41"/>
        <v>Ver Imagen</v>
      </c>
      <c r="M2556" t="s">
        <v>15</v>
      </c>
    </row>
    <row r="2557" spans="1:13" x14ac:dyDescent="0.25">
      <c r="A2557">
        <v>2556</v>
      </c>
      <c r="B2557" t="s">
        <v>5125</v>
      </c>
      <c r="C2557" s="1">
        <v>37.280662171499998</v>
      </c>
      <c r="D2557" s="1">
        <v>-7.0039811025200001</v>
      </c>
      <c r="E2557" s="3">
        <v>3</v>
      </c>
      <c r="F2557" s="2">
        <v>2</v>
      </c>
      <c r="G2557" s="4">
        <v>3</v>
      </c>
      <c r="H2557" s="13"/>
      <c r="I2557" s="15"/>
      <c r="J2557" s="19">
        <v>3</v>
      </c>
      <c r="K2557" s="2" t="s">
        <v>5126</v>
      </c>
      <c r="L2557" s="11" t="str">
        <f t="shared" si="41"/>
        <v>Ver Imagen</v>
      </c>
      <c r="M2557" t="s">
        <v>15</v>
      </c>
    </row>
    <row r="2558" spans="1:13" x14ac:dyDescent="0.25">
      <c r="A2558">
        <v>2557</v>
      </c>
      <c r="B2558" t="s">
        <v>5127</v>
      </c>
      <c r="C2558" s="1">
        <v>37.280613454700003</v>
      </c>
      <c r="D2558" s="1">
        <v>-7.0042658254900001</v>
      </c>
      <c r="E2558" s="3">
        <v>3</v>
      </c>
      <c r="F2558" s="2">
        <v>2</v>
      </c>
      <c r="G2558" s="4">
        <v>3</v>
      </c>
      <c r="H2558" s="13"/>
      <c r="I2558" s="15"/>
      <c r="J2558" s="19">
        <v>3</v>
      </c>
      <c r="K2558" s="2" t="s">
        <v>5128</v>
      </c>
      <c r="L2558" s="11" t="str">
        <f t="shared" si="41"/>
        <v>Ver Imagen</v>
      </c>
      <c r="M2558" t="s">
        <v>15</v>
      </c>
    </row>
    <row r="2559" spans="1:13" x14ac:dyDescent="0.25">
      <c r="A2559">
        <v>2558</v>
      </c>
      <c r="B2559" t="s">
        <v>5129</v>
      </c>
      <c r="C2559" s="1">
        <v>37.280554469000002</v>
      </c>
      <c r="D2559" s="1">
        <v>-7.0045083011199996</v>
      </c>
      <c r="E2559" s="3">
        <v>2</v>
      </c>
      <c r="F2559" s="2">
        <v>3</v>
      </c>
      <c r="G2559" s="4">
        <v>3</v>
      </c>
      <c r="H2559" s="13"/>
      <c r="I2559" s="15"/>
      <c r="J2559" s="19">
        <v>3</v>
      </c>
      <c r="K2559" s="2" t="s">
        <v>5130</v>
      </c>
      <c r="L2559" s="11" t="str">
        <f t="shared" si="41"/>
        <v>Ver Imagen</v>
      </c>
      <c r="M2559" t="s">
        <v>15</v>
      </c>
    </row>
    <row r="2560" spans="1:13" x14ac:dyDescent="0.25">
      <c r="A2560">
        <v>2559</v>
      </c>
      <c r="B2560" t="s">
        <v>5131</v>
      </c>
      <c r="C2560" s="1">
        <v>37.279777252499997</v>
      </c>
      <c r="D2560" s="1">
        <v>-7.0065722388099996</v>
      </c>
      <c r="E2560" s="3">
        <v>2</v>
      </c>
      <c r="F2560" s="2">
        <v>3</v>
      </c>
      <c r="G2560" s="4">
        <v>3</v>
      </c>
      <c r="H2560" s="13"/>
      <c r="I2560" s="15"/>
      <c r="J2560" s="19">
        <v>3</v>
      </c>
      <c r="K2560" s="2" t="s">
        <v>5132</v>
      </c>
      <c r="L2560" s="11" t="str">
        <f t="shared" si="41"/>
        <v>Ver Imagen</v>
      </c>
      <c r="M2560" t="s">
        <v>15</v>
      </c>
    </row>
    <row r="2561" spans="1:13" x14ac:dyDescent="0.25">
      <c r="A2561">
        <v>2560</v>
      </c>
      <c r="B2561" t="s">
        <v>5133</v>
      </c>
      <c r="C2561" s="1">
        <v>37.278787954099997</v>
      </c>
      <c r="D2561" s="1">
        <v>-7.0091002787900001</v>
      </c>
      <c r="E2561" s="3">
        <v>2</v>
      </c>
      <c r="F2561" s="2">
        <v>3</v>
      </c>
      <c r="G2561" s="4">
        <v>3</v>
      </c>
      <c r="H2561" s="13"/>
      <c r="I2561" s="15"/>
      <c r="J2561" s="19">
        <v>3</v>
      </c>
      <c r="K2561" s="2" t="s">
        <v>5134</v>
      </c>
      <c r="L2561" s="11" t="str">
        <f t="shared" si="41"/>
        <v>Ver Imagen</v>
      </c>
      <c r="M2561" t="s">
        <v>15</v>
      </c>
    </row>
    <row r="2562" spans="1:13" x14ac:dyDescent="0.25">
      <c r="A2562">
        <v>2561</v>
      </c>
      <c r="B2562" t="s">
        <v>5135</v>
      </c>
      <c r="C2562" s="1">
        <v>37.278700416500001</v>
      </c>
      <c r="D2562" s="1">
        <v>-7.0093146314699997</v>
      </c>
      <c r="E2562" s="3">
        <v>2</v>
      </c>
      <c r="F2562" s="2">
        <v>3</v>
      </c>
      <c r="G2562" s="4">
        <v>3</v>
      </c>
      <c r="H2562" s="13"/>
      <c r="I2562" s="15"/>
      <c r="J2562" s="19">
        <v>3</v>
      </c>
      <c r="K2562" s="2" t="s">
        <v>5136</v>
      </c>
      <c r="L2562" s="11" t="str">
        <f t="shared" si="41"/>
        <v>Ver Imagen</v>
      </c>
      <c r="M2562" t="s">
        <v>15</v>
      </c>
    </row>
    <row r="2563" spans="1:13" x14ac:dyDescent="0.25">
      <c r="A2563">
        <v>2562</v>
      </c>
      <c r="B2563" t="s">
        <v>5137</v>
      </c>
      <c r="C2563" s="1">
        <v>37.278294437699998</v>
      </c>
      <c r="D2563" s="1">
        <v>-7.0101823527000002</v>
      </c>
      <c r="E2563" s="3">
        <v>2</v>
      </c>
      <c r="F2563" s="2">
        <v>3</v>
      </c>
      <c r="G2563" s="4">
        <v>3</v>
      </c>
      <c r="H2563" s="13"/>
      <c r="I2563" s="15"/>
      <c r="J2563" s="19">
        <v>3</v>
      </c>
      <c r="K2563" s="2" t="s">
        <v>5138</v>
      </c>
      <c r="L2563" s="11" t="str">
        <f t="shared" si="41"/>
        <v>Ver Imagen</v>
      </c>
      <c r="M2563" t="s">
        <v>15</v>
      </c>
    </row>
    <row r="2564" spans="1:13" x14ac:dyDescent="0.25">
      <c r="A2564">
        <v>2563</v>
      </c>
      <c r="B2564" t="s">
        <v>5139</v>
      </c>
      <c r="C2564" s="1">
        <v>37.278060780700002</v>
      </c>
      <c r="D2564" s="1">
        <v>-7.0106176331899999</v>
      </c>
      <c r="E2564" s="3">
        <v>2</v>
      </c>
      <c r="F2564" s="2">
        <v>3</v>
      </c>
      <c r="G2564" s="4">
        <v>3</v>
      </c>
      <c r="H2564" s="13"/>
      <c r="I2564" s="15"/>
      <c r="J2564" s="19">
        <v>3</v>
      </c>
      <c r="K2564" s="2" t="s">
        <v>5140</v>
      </c>
      <c r="L2564" s="11" t="str">
        <f t="shared" si="41"/>
        <v>Ver Imagen</v>
      </c>
      <c r="M2564" t="s">
        <v>15</v>
      </c>
    </row>
    <row r="2565" spans="1:13" x14ac:dyDescent="0.25">
      <c r="A2565">
        <v>2564</v>
      </c>
      <c r="B2565" t="s">
        <v>5141</v>
      </c>
      <c r="C2565" s="1">
        <v>37.277852503399998</v>
      </c>
      <c r="D2565" s="1">
        <v>-7.0109955715599996</v>
      </c>
      <c r="E2565" s="3">
        <v>2</v>
      </c>
      <c r="F2565" s="2">
        <v>3</v>
      </c>
      <c r="G2565" s="4">
        <v>3</v>
      </c>
      <c r="H2565" s="13"/>
      <c r="I2565" s="15"/>
      <c r="J2565" s="19">
        <v>3</v>
      </c>
      <c r="K2565" s="2" t="s">
        <v>5142</v>
      </c>
      <c r="L2565" s="11" t="str">
        <f t="shared" si="41"/>
        <v>Ver Imagen</v>
      </c>
      <c r="M2565" t="s">
        <v>15</v>
      </c>
    </row>
    <row r="2566" spans="1:13" x14ac:dyDescent="0.25">
      <c r="A2566">
        <v>2565</v>
      </c>
      <c r="B2566" t="s">
        <v>5143</v>
      </c>
      <c r="C2566" s="1">
        <v>37.277735413199999</v>
      </c>
      <c r="D2566" s="1">
        <v>-7.0112077986700001</v>
      </c>
      <c r="E2566" s="3">
        <v>2</v>
      </c>
      <c r="F2566" s="2">
        <v>3</v>
      </c>
      <c r="G2566" s="4">
        <v>3</v>
      </c>
      <c r="H2566" s="13"/>
      <c r="I2566" s="15"/>
      <c r="J2566" s="19">
        <v>3</v>
      </c>
      <c r="K2566" s="2" t="s">
        <v>5144</v>
      </c>
      <c r="L2566" s="11" t="str">
        <f t="shared" si="41"/>
        <v>Ver Imagen</v>
      </c>
      <c r="M2566" t="s">
        <v>15</v>
      </c>
    </row>
    <row r="2567" spans="1:13" x14ac:dyDescent="0.25">
      <c r="A2567">
        <v>2566</v>
      </c>
      <c r="B2567" t="s">
        <v>5145</v>
      </c>
      <c r="C2567" s="1">
        <v>37.277606653100001</v>
      </c>
      <c r="D2567" s="1">
        <v>-7.0114421553600002</v>
      </c>
      <c r="E2567" s="3">
        <v>2</v>
      </c>
      <c r="F2567" s="2">
        <v>3</v>
      </c>
      <c r="G2567" s="4">
        <v>3</v>
      </c>
      <c r="H2567" s="13"/>
      <c r="I2567" s="15"/>
      <c r="J2567" s="19">
        <v>3</v>
      </c>
      <c r="K2567" s="2" t="s">
        <v>5146</v>
      </c>
      <c r="L2567" s="11" t="str">
        <f t="shared" si="41"/>
        <v>Ver Imagen</v>
      </c>
      <c r="M2567" t="s">
        <v>15</v>
      </c>
    </row>
    <row r="2568" spans="1:13" x14ac:dyDescent="0.25">
      <c r="A2568">
        <v>2567</v>
      </c>
      <c r="B2568" t="s">
        <v>5147</v>
      </c>
      <c r="C2568" s="1">
        <v>37.277382656199997</v>
      </c>
      <c r="D2568" s="1">
        <v>-7.0118551267499996</v>
      </c>
      <c r="E2568" s="3">
        <v>2</v>
      </c>
      <c r="F2568" s="2">
        <v>3</v>
      </c>
      <c r="G2568" s="4">
        <v>3</v>
      </c>
      <c r="H2568" s="13"/>
      <c r="I2568" s="15"/>
      <c r="J2568" s="19">
        <v>3</v>
      </c>
      <c r="K2568" s="2" t="s">
        <v>5148</v>
      </c>
      <c r="L2568" s="11" t="str">
        <f t="shared" si="41"/>
        <v>Ver Imagen</v>
      </c>
      <c r="M2568" t="s">
        <v>15</v>
      </c>
    </row>
    <row r="2569" spans="1:13" x14ac:dyDescent="0.25">
      <c r="A2569">
        <v>2568</v>
      </c>
      <c r="B2569" t="s">
        <v>5149</v>
      </c>
      <c r="C2569" s="1">
        <v>37.277165786300003</v>
      </c>
      <c r="D2569" s="1">
        <v>-7.0122478991300001</v>
      </c>
      <c r="E2569" s="3">
        <v>3</v>
      </c>
      <c r="F2569" s="2">
        <v>3</v>
      </c>
      <c r="G2569" s="4">
        <v>4</v>
      </c>
      <c r="H2569" s="13"/>
      <c r="I2569" s="15"/>
      <c r="J2569" s="19">
        <v>3</v>
      </c>
      <c r="K2569" s="2" t="s">
        <v>5150</v>
      </c>
      <c r="L2569" s="11" t="str">
        <f t="shared" si="41"/>
        <v>Ver Imagen</v>
      </c>
      <c r="M2569" t="s">
        <v>15</v>
      </c>
    </row>
    <row r="2570" spans="1:13" x14ac:dyDescent="0.25">
      <c r="A2570">
        <v>2569</v>
      </c>
      <c r="B2570" t="s">
        <v>5151</v>
      </c>
      <c r="C2570" s="1">
        <v>37.276926983400003</v>
      </c>
      <c r="D2570" s="1">
        <v>-7.0126833454200002</v>
      </c>
      <c r="E2570" s="3">
        <v>2</v>
      </c>
      <c r="F2570" s="2">
        <v>3</v>
      </c>
      <c r="G2570" s="4">
        <v>3</v>
      </c>
      <c r="H2570" s="13"/>
      <c r="I2570" s="15"/>
      <c r="J2570" s="19">
        <v>3</v>
      </c>
      <c r="K2570" s="2" t="s">
        <v>5152</v>
      </c>
      <c r="L2570" s="11" t="str">
        <f t="shared" si="41"/>
        <v>Ver Imagen</v>
      </c>
      <c r="M2570" t="s">
        <v>15</v>
      </c>
    </row>
    <row r="2571" spans="1:13" x14ac:dyDescent="0.25">
      <c r="A2571">
        <v>2570</v>
      </c>
      <c r="B2571" t="s">
        <v>5153</v>
      </c>
      <c r="C2571" s="1">
        <v>37.276596556900003</v>
      </c>
      <c r="D2571" s="1">
        <v>-7.0133098115100001</v>
      </c>
      <c r="E2571" s="3">
        <v>2</v>
      </c>
      <c r="F2571" s="2">
        <v>3</v>
      </c>
      <c r="G2571" s="4">
        <v>3</v>
      </c>
      <c r="H2571" s="13"/>
      <c r="I2571" s="15"/>
      <c r="J2571" s="19">
        <v>3</v>
      </c>
      <c r="K2571" s="2" t="s">
        <v>5154</v>
      </c>
      <c r="L2571" s="11" t="str">
        <f t="shared" si="41"/>
        <v>Ver Imagen</v>
      </c>
      <c r="M2571" t="s">
        <v>15</v>
      </c>
    </row>
    <row r="2572" spans="1:13" x14ac:dyDescent="0.25">
      <c r="A2572">
        <v>2571</v>
      </c>
      <c r="B2572" t="s">
        <v>5155</v>
      </c>
      <c r="C2572" s="1">
        <v>37.275929684899999</v>
      </c>
      <c r="D2572" s="1">
        <v>-7.0150846867899999</v>
      </c>
      <c r="E2572" s="3">
        <v>2</v>
      </c>
      <c r="F2572" s="2">
        <v>3</v>
      </c>
      <c r="G2572" s="4">
        <v>3</v>
      </c>
      <c r="H2572" s="13"/>
      <c r="I2572" s="15"/>
      <c r="J2572" s="19">
        <v>3</v>
      </c>
      <c r="K2572" s="2" t="s">
        <v>5156</v>
      </c>
      <c r="L2572" s="11" t="str">
        <f t="shared" si="41"/>
        <v>Ver Imagen</v>
      </c>
      <c r="M2572" t="s">
        <v>15</v>
      </c>
    </row>
    <row r="2573" spans="1:13" x14ac:dyDescent="0.25">
      <c r="A2573">
        <v>2572</v>
      </c>
      <c r="B2573" t="s">
        <v>5157</v>
      </c>
      <c r="C2573" s="1">
        <v>37.275509760799999</v>
      </c>
      <c r="D2573" s="1">
        <v>-7.0158111511900003</v>
      </c>
      <c r="E2573" s="3">
        <v>2</v>
      </c>
      <c r="F2573" s="2">
        <v>3</v>
      </c>
      <c r="G2573" s="4">
        <v>3</v>
      </c>
      <c r="H2573" s="13"/>
      <c r="I2573" s="15"/>
      <c r="J2573" s="19">
        <v>3</v>
      </c>
      <c r="K2573" s="2" t="s">
        <v>5158</v>
      </c>
      <c r="L2573" s="11" t="str">
        <f t="shared" si="41"/>
        <v>Ver Imagen</v>
      </c>
      <c r="M2573" t="s">
        <v>15</v>
      </c>
    </row>
    <row r="2574" spans="1:13" x14ac:dyDescent="0.25">
      <c r="A2574">
        <v>2573</v>
      </c>
      <c r="B2574" t="s">
        <v>5159</v>
      </c>
      <c r="C2574" s="1">
        <v>37.276086768399999</v>
      </c>
      <c r="D2574" s="1">
        <v>-7.0222580617399997</v>
      </c>
      <c r="E2574" s="3">
        <v>2</v>
      </c>
      <c r="F2574" s="2">
        <v>3</v>
      </c>
      <c r="G2574" s="4">
        <v>3</v>
      </c>
      <c r="H2574" s="13"/>
      <c r="I2574" s="15"/>
      <c r="J2574" s="19">
        <v>3</v>
      </c>
      <c r="K2574" s="2" t="s">
        <v>5160</v>
      </c>
      <c r="L2574" s="11" t="str">
        <f t="shared" si="41"/>
        <v>Ver Imagen</v>
      </c>
      <c r="M2574" t="s">
        <v>15</v>
      </c>
    </row>
    <row r="2575" spans="1:13" x14ac:dyDescent="0.25">
      <c r="A2575">
        <v>2574</v>
      </c>
      <c r="B2575" t="s">
        <v>5161</v>
      </c>
      <c r="C2575" s="1">
        <v>37.284798289800001</v>
      </c>
      <c r="D2575" s="1">
        <v>-7.03971221781</v>
      </c>
      <c r="E2575" s="3">
        <v>3</v>
      </c>
      <c r="F2575" s="2">
        <v>4</v>
      </c>
      <c r="G2575" s="4">
        <v>3</v>
      </c>
      <c r="H2575" s="13"/>
      <c r="I2575" s="15"/>
      <c r="J2575" s="19">
        <v>3</v>
      </c>
      <c r="K2575" s="2" t="s">
        <v>5162</v>
      </c>
      <c r="L2575" s="11" t="str">
        <f t="shared" si="41"/>
        <v>Ver Imagen</v>
      </c>
      <c r="M2575" t="s">
        <v>15</v>
      </c>
    </row>
    <row r="2576" spans="1:13" x14ac:dyDescent="0.25">
      <c r="A2576">
        <v>2575</v>
      </c>
      <c r="B2576" t="s">
        <v>5163</v>
      </c>
      <c r="C2576" s="1">
        <v>37.287678450900003</v>
      </c>
      <c r="D2576" s="1">
        <v>-7.0422729749100004</v>
      </c>
      <c r="E2576" s="3">
        <v>3</v>
      </c>
      <c r="F2576" s="2">
        <v>3</v>
      </c>
      <c r="G2576" s="4">
        <v>4</v>
      </c>
      <c r="H2576" s="13"/>
      <c r="I2576" s="15"/>
      <c r="J2576" s="19">
        <v>3</v>
      </c>
      <c r="K2576" s="2" t="s">
        <v>5164</v>
      </c>
      <c r="L2576" s="11" t="str">
        <f t="shared" si="41"/>
        <v>Ver Imagen</v>
      </c>
      <c r="M2576" t="s">
        <v>15</v>
      </c>
    </row>
    <row r="2577" spans="1:13" x14ac:dyDescent="0.25">
      <c r="A2577">
        <v>2576</v>
      </c>
      <c r="B2577" t="s">
        <v>5165</v>
      </c>
      <c r="C2577" s="1">
        <v>37.287883465500002</v>
      </c>
      <c r="D2577" s="1">
        <v>-7.0423764918099998</v>
      </c>
      <c r="E2577" s="3">
        <v>2</v>
      </c>
      <c r="F2577" s="2">
        <v>3</v>
      </c>
      <c r="G2577" s="4">
        <v>3</v>
      </c>
      <c r="H2577" s="13"/>
      <c r="I2577" s="15"/>
      <c r="J2577" s="19">
        <v>3</v>
      </c>
      <c r="K2577" s="2" t="s">
        <v>5166</v>
      </c>
      <c r="L2577" s="11" t="str">
        <f t="shared" si="41"/>
        <v>Ver Imagen</v>
      </c>
      <c r="M2577" t="s">
        <v>15</v>
      </c>
    </row>
    <row r="2578" spans="1:13" x14ac:dyDescent="0.25">
      <c r="A2578">
        <v>2577</v>
      </c>
      <c r="B2578" t="s">
        <v>5167</v>
      </c>
      <c r="C2578" s="1">
        <v>37.289779324000001</v>
      </c>
      <c r="D2578" s="1">
        <v>-7.0445998672399996</v>
      </c>
      <c r="E2578" s="3">
        <v>2</v>
      </c>
      <c r="F2578" s="2">
        <v>3</v>
      </c>
      <c r="G2578" s="4">
        <v>3</v>
      </c>
      <c r="H2578" s="13"/>
      <c r="I2578" s="15"/>
      <c r="J2578" s="19">
        <v>3</v>
      </c>
      <c r="K2578" s="2" t="s">
        <v>5168</v>
      </c>
      <c r="L2578" s="11" t="str">
        <f t="shared" si="41"/>
        <v>Ver Imagen</v>
      </c>
      <c r="M2578" t="s">
        <v>15</v>
      </c>
    </row>
    <row r="2579" spans="1:13" x14ac:dyDescent="0.25">
      <c r="A2579">
        <v>2578</v>
      </c>
      <c r="B2579" t="s">
        <v>5169</v>
      </c>
      <c r="C2579" s="1">
        <v>37.295492651700002</v>
      </c>
      <c r="D2579" s="1">
        <v>-7.0492134110900002</v>
      </c>
      <c r="E2579" s="3">
        <v>2</v>
      </c>
      <c r="F2579" s="2">
        <v>3</v>
      </c>
      <c r="G2579" s="4">
        <v>3</v>
      </c>
      <c r="H2579" s="13"/>
      <c r="I2579" s="15"/>
      <c r="J2579" s="19">
        <v>3</v>
      </c>
      <c r="K2579" s="2" t="s">
        <v>5170</v>
      </c>
      <c r="L2579" s="11" t="str">
        <f t="shared" si="41"/>
        <v>Ver Imagen</v>
      </c>
      <c r="M2579" t="s">
        <v>15</v>
      </c>
    </row>
    <row r="2580" spans="1:13" x14ac:dyDescent="0.25">
      <c r="A2580">
        <v>2579</v>
      </c>
      <c r="B2580" t="s">
        <v>5171</v>
      </c>
      <c r="C2580" s="1">
        <v>37.3003968206</v>
      </c>
      <c r="D2580" s="1">
        <v>-7.0556882051800001</v>
      </c>
      <c r="E2580" s="3">
        <v>2</v>
      </c>
      <c r="F2580" s="2">
        <v>3</v>
      </c>
      <c r="G2580" s="4">
        <v>3</v>
      </c>
      <c r="H2580" s="13"/>
      <c r="I2580" s="15"/>
      <c r="J2580" s="19">
        <v>3</v>
      </c>
      <c r="K2580" s="2" t="s">
        <v>5172</v>
      </c>
      <c r="L2580" s="11" t="str">
        <f t="shared" si="41"/>
        <v>Ver Imagen</v>
      </c>
      <c r="M2580" t="s">
        <v>15</v>
      </c>
    </row>
    <row r="2581" spans="1:13" x14ac:dyDescent="0.25">
      <c r="A2581">
        <v>2580</v>
      </c>
      <c r="B2581" t="s">
        <v>5173</v>
      </c>
      <c r="C2581" s="1">
        <v>37.300546538299997</v>
      </c>
      <c r="D2581" s="1">
        <v>-7.0558285290600002</v>
      </c>
      <c r="E2581" s="3">
        <v>2</v>
      </c>
      <c r="F2581" s="2">
        <v>3</v>
      </c>
      <c r="G2581" s="4">
        <v>3</v>
      </c>
      <c r="H2581" s="13"/>
      <c r="I2581" s="15"/>
      <c r="J2581" s="19">
        <v>3</v>
      </c>
      <c r="K2581" s="2" t="s">
        <v>5174</v>
      </c>
      <c r="L2581" s="11" t="str">
        <f t="shared" si="41"/>
        <v>Ver Imagen</v>
      </c>
      <c r="M2581" t="s">
        <v>15</v>
      </c>
    </row>
    <row r="2582" spans="1:13" x14ac:dyDescent="0.25">
      <c r="A2582">
        <v>2581</v>
      </c>
      <c r="B2582" t="s">
        <v>5175</v>
      </c>
      <c r="C2582" s="1">
        <v>37.311452316599997</v>
      </c>
      <c r="D2582" s="1">
        <v>-7.0595034301000004</v>
      </c>
      <c r="E2582" s="3">
        <v>3</v>
      </c>
      <c r="F2582" s="2">
        <v>2</v>
      </c>
      <c r="G2582" s="4">
        <v>3</v>
      </c>
      <c r="H2582" s="13"/>
      <c r="I2582" s="15"/>
      <c r="J2582" s="19">
        <v>3</v>
      </c>
      <c r="K2582" s="2" t="s">
        <v>5176</v>
      </c>
      <c r="L2582" s="11" t="str">
        <f t="shared" si="41"/>
        <v>Ver Imagen</v>
      </c>
      <c r="M2582" t="s">
        <v>15</v>
      </c>
    </row>
    <row r="2583" spans="1:13" x14ac:dyDescent="0.25">
      <c r="A2583">
        <v>2582</v>
      </c>
      <c r="B2583" t="s">
        <v>5177</v>
      </c>
      <c r="C2583" s="1">
        <v>37.448526607700003</v>
      </c>
      <c r="D2583" s="1">
        <v>-7.10961518538</v>
      </c>
      <c r="E2583" s="3">
        <v>2</v>
      </c>
      <c r="F2583" s="2">
        <v>3</v>
      </c>
      <c r="G2583" s="4">
        <v>3</v>
      </c>
      <c r="H2583" s="13"/>
      <c r="I2583" s="15"/>
      <c r="J2583" s="19">
        <v>3</v>
      </c>
      <c r="K2583" s="2" t="s">
        <v>5178</v>
      </c>
      <c r="L2583" s="11" t="str">
        <f t="shared" si="41"/>
        <v>Ver Imagen</v>
      </c>
      <c r="M2583" t="s">
        <v>15</v>
      </c>
    </row>
    <row r="2584" spans="1:13" x14ac:dyDescent="0.25">
      <c r="A2584">
        <v>2583</v>
      </c>
      <c r="B2584" t="s">
        <v>5179</v>
      </c>
      <c r="C2584" s="1">
        <v>37.447814085300003</v>
      </c>
      <c r="D2584" s="1">
        <v>-7.1091824524799998</v>
      </c>
      <c r="E2584" s="3">
        <v>2</v>
      </c>
      <c r="F2584" s="2">
        <v>3</v>
      </c>
      <c r="G2584" s="4">
        <v>3</v>
      </c>
      <c r="H2584" s="13"/>
      <c r="I2584" s="15"/>
      <c r="J2584" s="19">
        <v>3</v>
      </c>
      <c r="K2584" s="2" t="s">
        <v>5180</v>
      </c>
      <c r="L2584" s="11" t="str">
        <f t="shared" si="41"/>
        <v>Ver Imagen</v>
      </c>
      <c r="M2584" t="s">
        <v>15</v>
      </c>
    </row>
    <row r="2585" spans="1:13" x14ac:dyDescent="0.25">
      <c r="A2585">
        <v>2584</v>
      </c>
      <c r="B2585" t="s">
        <v>5181</v>
      </c>
      <c r="C2585" s="1">
        <v>37.447615256100001</v>
      </c>
      <c r="D2585" s="1">
        <v>-7.1090368606299998</v>
      </c>
      <c r="E2585" s="3">
        <v>2</v>
      </c>
      <c r="F2585" s="2">
        <v>3</v>
      </c>
      <c r="G2585" s="4">
        <v>3</v>
      </c>
      <c r="H2585" s="13"/>
      <c r="I2585" s="15"/>
      <c r="J2585" s="19">
        <v>3</v>
      </c>
      <c r="K2585" s="2" t="s">
        <v>5182</v>
      </c>
      <c r="L2585" s="11" t="str">
        <f t="shared" si="41"/>
        <v>Ver Imagen</v>
      </c>
      <c r="M2585" t="s">
        <v>15</v>
      </c>
    </row>
    <row r="2586" spans="1:13" x14ac:dyDescent="0.25">
      <c r="A2586">
        <v>2585</v>
      </c>
      <c r="B2586" t="s">
        <v>5183</v>
      </c>
      <c r="C2586" s="1">
        <v>37.447447056100003</v>
      </c>
      <c r="D2586" s="1">
        <v>-7.1089148688200003</v>
      </c>
      <c r="E2586" s="3">
        <v>2</v>
      </c>
      <c r="F2586" s="2">
        <v>3</v>
      </c>
      <c r="G2586" s="4">
        <v>3</v>
      </c>
      <c r="H2586" s="13"/>
      <c r="I2586" s="15"/>
      <c r="J2586" s="19">
        <v>3</v>
      </c>
      <c r="K2586" s="2" t="s">
        <v>5184</v>
      </c>
      <c r="L2586" s="11" t="str">
        <f t="shared" si="41"/>
        <v>Ver Imagen</v>
      </c>
      <c r="M2586" t="s">
        <v>15</v>
      </c>
    </row>
    <row r="2587" spans="1:13" x14ac:dyDescent="0.25">
      <c r="A2587">
        <v>2586</v>
      </c>
      <c r="B2587" t="s">
        <v>5185</v>
      </c>
      <c r="C2587" s="1">
        <v>37.447277436299998</v>
      </c>
      <c r="D2587" s="1">
        <v>-7.1087893756799998</v>
      </c>
      <c r="E2587" s="3">
        <v>2</v>
      </c>
      <c r="F2587" s="2">
        <v>3</v>
      </c>
      <c r="G2587" s="4">
        <v>3</v>
      </c>
      <c r="H2587" s="13"/>
      <c r="I2587" s="15"/>
      <c r="J2587" s="19">
        <v>3</v>
      </c>
      <c r="K2587" s="2" t="s">
        <v>5186</v>
      </c>
      <c r="L2587" s="11" t="str">
        <f t="shared" si="41"/>
        <v>Ver Imagen</v>
      </c>
      <c r="M2587" t="s">
        <v>15</v>
      </c>
    </row>
    <row r="2588" spans="1:13" x14ac:dyDescent="0.25">
      <c r="A2588">
        <v>2587</v>
      </c>
      <c r="B2588" t="s">
        <v>5187</v>
      </c>
      <c r="C2588" s="1">
        <v>37.4471408008</v>
      </c>
      <c r="D2588" s="1">
        <v>-7.1086538800100003</v>
      </c>
      <c r="E2588" s="3">
        <v>2</v>
      </c>
      <c r="F2588" s="2">
        <v>3</v>
      </c>
      <c r="G2588" s="4">
        <v>3</v>
      </c>
      <c r="H2588" s="13"/>
      <c r="I2588" s="15"/>
      <c r="J2588" s="19">
        <v>3</v>
      </c>
      <c r="K2588" s="2" t="s">
        <v>5188</v>
      </c>
      <c r="L2588" s="11" t="str">
        <f t="shared" si="41"/>
        <v>Ver Imagen</v>
      </c>
      <c r="M2588" t="s">
        <v>15</v>
      </c>
    </row>
    <row r="2589" spans="1:13" x14ac:dyDescent="0.25">
      <c r="A2589">
        <v>2588</v>
      </c>
      <c r="B2589" t="s">
        <v>5189</v>
      </c>
      <c r="C2589" s="1">
        <v>37.447007541200001</v>
      </c>
      <c r="D2589" s="1">
        <v>-7.1084376199300001</v>
      </c>
      <c r="E2589" s="3">
        <v>2</v>
      </c>
      <c r="F2589" s="2">
        <v>3</v>
      </c>
      <c r="G2589" s="4">
        <v>3</v>
      </c>
      <c r="H2589" s="13"/>
      <c r="I2589" s="15"/>
      <c r="J2589" s="19">
        <v>3</v>
      </c>
      <c r="K2589" s="2" t="s">
        <v>5190</v>
      </c>
      <c r="L2589" s="11" t="str">
        <f t="shared" si="41"/>
        <v>Ver Imagen</v>
      </c>
      <c r="M2589" t="s">
        <v>15</v>
      </c>
    </row>
    <row r="2590" spans="1:13" x14ac:dyDescent="0.25">
      <c r="A2590">
        <v>2589</v>
      </c>
      <c r="B2590" t="s">
        <v>5191</v>
      </c>
      <c r="C2590" s="1">
        <v>37.269619190900002</v>
      </c>
      <c r="D2590" s="1">
        <v>-6.9781350029000002</v>
      </c>
      <c r="E2590" s="3">
        <v>3</v>
      </c>
      <c r="F2590" s="2">
        <v>4</v>
      </c>
      <c r="G2590" s="4">
        <v>3</v>
      </c>
      <c r="H2590" s="13"/>
      <c r="I2590" s="15"/>
      <c r="J2590" s="19">
        <v>3</v>
      </c>
      <c r="K2590" s="2" t="s">
        <v>5192</v>
      </c>
      <c r="L2590" s="11" t="str">
        <f t="shared" si="41"/>
        <v>Ver Imagen</v>
      </c>
      <c r="M2590" t="s">
        <v>15</v>
      </c>
    </row>
    <row r="2591" spans="1:13" x14ac:dyDescent="0.25">
      <c r="A2591">
        <v>2590</v>
      </c>
      <c r="B2591" t="s">
        <v>5193</v>
      </c>
      <c r="C2591" s="1">
        <v>37.2681097233</v>
      </c>
      <c r="D2591" s="1">
        <v>-6.9715278035499999</v>
      </c>
      <c r="E2591" s="3">
        <v>3</v>
      </c>
      <c r="F2591" s="2">
        <v>4</v>
      </c>
      <c r="G2591" s="4">
        <v>3</v>
      </c>
      <c r="H2591" s="13"/>
      <c r="I2591" s="15"/>
      <c r="J2591" s="19">
        <v>3</v>
      </c>
      <c r="K2591" s="2" t="s">
        <v>5194</v>
      </c>
      <c r="L2591" s="11" t="str">
        <f t="shared" si="41"/>
        <v>Ver Imagen</v>
      </c>
      <c r="M2591" t="s">
        <v>15</v>
      </c>
    </row>
    <row r="2592" spans="1:13" x14ac:dyDescent="0.25">
      <c r="A2592">
        <v>2591</v>
      </c>
      <c r="B2592" t="s">
        <v>5195</v>
      </c>
      <c r="C2592" s="1">
        <v>37.268082097499999</v>
      </c>
      <c r="D2592" s="1">
        <v>-6.9713472310900002</v>
      </c>
      <c r="E2592" s="3">
        <v>3</v>
      </c>
      <c r="F2592" s="2">
        <v>4</v>
      </c>
      <c r="G2592" s="4">
        <v>3</v>
      </c>
      <c r="H2592" s="13"/>
      <c r="I2592" s="15"/>
      <c r="J2592" s="19">
        <v>3</v>
      </c>
      <c r="K2592" s="2" t="s">
        <v>5196</v>
      </c>
      <c r="L2592" s="11" t="str">
        <f t="shared" si="41"/>
        <v>Ver Imagen</v>
      </c>
      <c r="M2592" t="s">
        <v>15</v>
      </c>
    </row>
    <row r="2593" spans="1:13" x14ac:dyDescent="0.25">
      <c r="A2593">
        <v>2592</v>
      </c>
      <c r="B2593" t="s">
        <v>5197</v>
      </c>
      <c r="C2593" s="1">
        <v>37.268043832799997</v>
      </c>
      <c r="D2593" s="1">
        <v>-6.9710907453699997</v>
      </c>
      <c r="E2593" s="3">
        <v>3</v>
      </c>
      <c r="F2593" s="2">
        <v>4</v>
      </c>
      <c r="G2593" s="4">
        <v>3</v>
      </c>
      <c r="H2593" s="13"/>
      <c r="I2593" s="15"/>
      <c r="J2593" s="19">
        <v>3</v>
      </c>
      <c r="K2593" s="2" t="s">
        <v>5198</v>
      </c>
      <c r="L2593" s="11" t="str">
        <f t="shared" si="41"/>
        <v>Ver Imagen</v>
      </c>
      <c r="M2593" t="s">
        <v>15</v>
      </c>
    </row>
    <row r="2594" spans="1:13" x14ac:dyDescent="0.25">
      <c r="A2594">
        <v>2593</v>
      </c>
      <c r="B2594" t="s">
        <v>5199</v>
      </c>
      <c r="C2594" s="1">
        <v>37.267488290400003</v>
      </c>
      <c r="D2594" s="1">
        <v>-6.9625142702199998</v>
      </c>
      <c r="E2594" s="3">
        <v>2</v>
      </c>
      <c r="F2594" s="2">
        <v>3</v>
      </c>
      <c r="G2594" s="4">
        <v>3</v>
      </c>
      <c r="H2594" s="13"/>
      <c r="I2594" s="15"/>
      <c r="J2594" s="19">
        <v>3</v>
      </c>
      <c r="K2594" s="2" t="s">
        <v>5200</v>
      </c>
      <c r="L2594" s="11" t="str">
        <f t="shared" si="41"/>
        <v>Ver Imagen</v>
      </c>
      <c r="M2594" t="s">
        <v>15</v>
      </c>
    </row>
    <row r="2595" spans="1:13" x14ac:dyDescent="0.25">
      <c r="A2595">
        <v>2594</v>
      </c>
      <c r="B2595" t="s">
        <v>5201</v>
      </c>
      <c r="C2595" s="1">
        <v>37.267283633200002</v>
      </c>
      <c r="D2595" s="1">
        <v>-6.9600016035800003</v>
      </c>
      <c r="E2595" s="3">
        <v>2</v>
      </c>
      <c r="F2595" s="2">
        <v>3</v>
      </c>
      <c r="G2595" s="4">
        <v>3</v>
      </c>
      <c r="H2595" s="13"/>
      <c r="I2595" s="15"/>
      <c r="J2595" s="19">
        <v>3</v>
      </c>
      <c r="K2595" s="2" t="s">
        <v>5202</v>
      </c>
      <c r="L2595" s="11" t="str">
        <f t="shared" si="41"/>
        <v>Ver Imagen</v>
      </c>
      <c r="M2595" t="s">
        <v>15</v>
      </c>
    </row>
    <row r="2596" spans="1:13" x14ac:dyDescent="0.25">
      <c r="A2596">
        <v>2595</v>
      </c>
      <c r="B2596" t="s">
        <v>5203</v>
      </c>
      <c r="C2596" s="1">
        <v>37.266991732199998</v>
      </c>
      <c r="D2596" s="1">
        <v>-6.9585729871000002</v>
      </c>
      <c r="E2596" s="3">
        <v>2</v>
      </c>
      <c r="F2596" s="2">
        <v>3</v>
      </c>
      <c r="G2596" s="4">
        <v>3</v>
      </c>
      <c r="H2596" s="13"/>
      <c r="I2596" s="15"/>
      <c r="J2596" s="19">
        <v>3</v>
      </c>
      <c r="K2596" s="2" t="s">
        <v>5204</v>
      </c>
      <c r="L2596" s="11" t="str">
        <f t="shared" si="41"/>
        <v>Ver Imagen</v>
      </c>
      <c r="M2596" t="s">
        <v>15</v>
      </c>
    </row>
    <row r="2597" spans="1:13" x14ac:dyDescent="0.25">
      <c r="A2597">
        <v>2596</v>
      </c>
      <c r="B2597" t="s">
        <v>5205</v>
      </c>
      <c r="C2597" s="1">
        <v>37.266895071900002</v>
      </c>
      <c r="D2597" s="1">
        <v>-6.9583543140900002</v>
      </c>
      <c r="E2597" s="3">
        <v>3</v>
      </c>
      <c r="F2597" s="2">
        <v>4</v>
      </c>
      <c r="G2597" s="4">
        <v>3</v>
      </c>
      <c r="H2597" s="13"/>
      <c r="I2597" s="15"/>
      <c r="J2597" s="19">
        <v>3</v>
      </c>
      <c r="K2597" s="2" t="s">
        <v>5206</v>
      </c>
      <c r="L2597" s="11" t="str">
        <f t="shared" si="41"/>
        <v>Ver Imagen</v>
      </c>
      <c r="M2597" t="s">
        <v>15</v>
      </c>
    </row>
    <row r="2598" spans="1:13" x14ac:dyDescent="0.25">
      <c r="A2598">
        <v>2597</v>
      </c>
      <c r="B2598" t="s">
        <v>5207</v>
      </c>
      <c r="C2598" s="1">
        <v>37.266601190300001</v>
      </c>
      <c r="D2598" s="1">
        <v>-6.9577077168999999</v>
      </c>
      <c r="E2598" s="3">
        <v>2</v>
      </c>
      <c r="F2598" s="2">
        <v>3</v>
      </c>
      <c r="G2598" s="4">
        <v>3</v>
      </c>
      <c r="H2598" s="13"/>
      <c r="I2598" s="15"/>
      <c r="J2598" s="19">
        <v>3</v>
      </c>
      <c r="K2598" s="2" t="s">
        <v>5208</v>
      </c>
      <c r="L2598" s="11" t="str">
        <f t="shared" si="41"/>
        <v>Ver Imagen</v>
      </c>
      <c r="M2598" t="s">
        <v>15</v>
      </c>
    </row>
    <row r="2599" spans="1:13" x14ac:dyDescent="0.25">
      <c r="A2599">
        <v>2598</v>
      </c>
      <c r="B2599" t="s">
        <v>5209</v>
      </c>
      <c r="C2599" s="1">
        <v>37.189878800099997</v>
      </c>
      <c r="D2599" s="1">
        <v>-6.9885615094200002</v>
      </c>
      <c r="E2599" s="3">
        <v>2</v>
      </c>
      <c r="F2599" s="2">
        <v>3</v>
      </c>
      <c r="G2599" s="4">
        <v>3</v>
      </c>
      <c r="H2599" s="13"/>
      <c r="I2599" s="15"/>
      <c r="J2599" s="19">
        <v>3</v>
      </c>
      <c r="K2599" s="2" t="s">
        <v>5210</v>
      </c>
      <c r="L2599" s="11" t="str">
        <f t="shared" si="41"/>
        <v>Ver Imagen</v>
      </c>
      <c r="M2599" t="s">
        <v>15</v>
      </c>
    </row>
    <row r="2600" spans="1:13" x14ac:dyDescent="0.25">
      <c r="A2600">
        <v>2599</v>
      </c>
      <c r="B2600" t="s">
        <v>5211</v>
      </c>
      <c r="C2600" s="1">
        <v>37.190182440800001</v>
      </c>
      <c r="D2600" s="1">
        <v>-6.9892408010100002</v>
      </c>
      <c r="E2600" s="3">
        <v>2</v>
      </c>
      <c r="F2600" s="2">
        <v>3</v>
      </c>
      <c r="G2600" s="4">
        <v>3</v>
      </c>
      <c r="H2600" s="13"/>
      <c r="I2600" s="15"/>
      <c r="J2600" s="19">
        <v>3</v>
      </c>
      <c r="K2600" s="2" t="s">
        <v>5212</v>
      </c>
      <c r="L2600" s="11" t="str">
        <f t="shared" si="41"/>
        <v>Ver Imagen</v>
      </c>
      <c r="M2600" t="s">
        <v>15</v>
      </c>
    </row>
    <row r="2601" spans="1:13" x14ac:dyDescent="0.25">
      <c r="A2601">
        <v>2600</v>
      </c>
      <c r="B2601" t="s">
        <v>5213</v>
      </c>
      <c r="C2601" s="1">
        <v>37.190288133899998</v>
      </c>
      <c r="D2601" s="1">
        <v>-6.9894765304900002</v>
      </c>
      <c r="E2601" s="3">
        <v>2</v>
      </c>
      <c r="F2601" s="2">
        <v>3</v>
      </c>
      <c r="G2601" s="4">
        <v>3</v>
      </c>
      <c r="H2601" s="13"/>
      <c r="I2601" s="15"/>
      <c r="J2601" s="19">
        <v>3</v>
      </c>
      <c r="K2601" s="2" t="s">
        <v>5214</v>
      </c>
      <c r="L2601" s="11" t="str">
        <f t="shared" ref="L2601:L2664" si="42">HYPERLINK("3\1\" &amp; K2601, "Ver Imagen")</f>
        <v>Ver Imagen</v>
      </c>
      <c r="M2601" t="s">
        <v>15</v>
      </c>
    </row>
    <row r="2602" spans="1:13" x14ac:dyDescent="0.25">
      <c r="A2602">
        <v>2601</v>
      </c>
      <c r="B2602" t="s">
        <v>5215</v>
      </c>
      <c r="C2602" s="1">
        <v>37.190362070500001</v>
      </c>
      <c r="D2602" s="1">
        <v>-6.98963989698</v>
      </c>
      <c r="E2602" s="3">
        <v>2</v>
      </c>
      <c r="F2602" s="2">
        <v>3</v>
      </c>
      <c r="G2602" s="4">
        <v>3</v>
      </c>
      <c r="H2602" s="13"/>
      <c r="I2602" s="15"/>
      <c r="J2602" s="19">
        <v>3</v>
      </c>
      <c r="K2602" s="2" t="s">
        <v>5216</v>
      </c>
      <c r="L2602" s="11" t="str">
        <f t="shared" si="42"/>
        <v>Ver Imagen</v>
      </c>
      <c r="M2602" t="s">
        <v>15</v>
      </c>
    </row>
    <row r="2603" spans="1:13" x14ac:dyDescent="0.25">
      <c r="A2603">
        <v>2602</v>
      </c>
      <c r="B2603" t="s">
        <v>5217</v>
      </c>
      <c r="C2603" s="1">
        <v>37.190473603299999</v>
      </c>
      <c r="D2603" s="1">
        <v>-6.9898789545</v>
      </c>
      <c r="E2603" s="3">
        <v>2</v>
      </c>
      <c r="F2603" s="2">
        <v>3</v>
      </c>
      <c r="G2603" s="4">
        <v>3</v>
      </c>
      <c r="H2603" s="13"/>
      <c r="I2603" s="15"/>
      <c r="J2603" s="19">
        <v>3</v>
      </c>
      <c r="K2603" s="2" t="s">
        <v>5218</v>
      </c>
      <c r="L2603" s="11" t="str">
        <f t="shared" si="42"/>
        <v>Ver Imagen</v>
      </c>
      <c r="M2603" t="s">
        <v>15</v>
      </c>
    </row>
    <row r="2604" spans="1:13" x14ac:dyDescent="0.25">
      <c r="A2604">
        <v>2603</v>
      </c>
      <c r="B2604" t="s">
        <v>5219</v>
      </c>
      <c r="C2604" s="1">
        <v>37.190574663200003</v>
      </c>
      <c r="D2604" s="1">
        <v>-6.9900912317400001</v>
      </c>
      <c r="E2604" s="3">
        <v>2</v>
      </c>
      <c r="F2604" s="2">
        <v>3</v>
      </c>
      <c r="G2604" s="4">
        <v>3</v>
      </c>
      <c r="H2604" s="13"/>
      <c r="I2604" s="15"/>
      <c r="J2604" s="19">
        <v>3</v>
      </c>
      <c r="K2604" s="2" t="s">
        <v>5220</v>
      </c>
      <c r="L2604" s="11" t="str">
        <f t="shared" si="42"/>
        <v>Ver Imagen</v>
      </c>
      <c r="M2604" t="s">
        <v>15</v>
      </c>
    </row>
    <row r="2605" spans="1:13" x14ac:dyDescent="0.25">
      <c r="A2605">
        <v>2604</v>
      </c>
      <c r="B2605" t="s">
        <v>5221</v>
      </c>
      <c r="C2605" s="1">
        <v>37.192040092200003</v>
      </c>
      <c r="D2605" s="1">
        <v>-6.9931427337400001</v>
      </c>
      <c r="E2605" s="3">
        <v>2</v>
      </c>
      <c r="F2605" s="2">
        <v>3</v>
      </c>
      <c r="G2605" s="4">
        <v>3</v>
      </c>
      <c r="H2605" s="13"/>
      <c r="I2605" s="15"/>
      <c r="J2605" s="19">
        <v>3</v>
      </c>
      <c r="K2605" s="2" t="s">
        <v>5222</v>
      </c>
      <c r="L2605" s="11" t="str">
        <f t="shared" si="42"/>
        <v>Ver Imagen</v>
      </c>
      <c r="M2605" t="s">
        <v>15</v>
      </c>
    </row>
    <row r="2606" spans="1:13" x14ac:dyDescent="0.25">
      <c r="A2606">
        <v>2605</v>
      </c>
      <c r="B2606" t="s">
        <v>5223</v>
      </c>
      <c r="C2606" s="1">
        <v>37.192550029700001</v>
      </c>
      <c r="D2606" s="1">
        <v>-6.9942323210200001</v>
      </c>
      <c r="E2606" s="3">
        <v>3</v>
      </c>
      <c r="F2606" s="2">
        <v>3</v>
      </c>
      <c r="G2606" s="4">
        <v>4</v>
      </c>
      <c r="H2606" s="13"/>
      <c r="I2606" s="15"/>
      <c r="J2606" s="19">
        <v>3</v>
      </c>
      <c r="K2606" s="2" t="s">
        <v>5224</v>
      </c>
      <c r="L2606" s="11" t="str">
        <f t="shared" si="42"/>
        <v>Ver Imagen</v>
      </c>
      <c r="M2606" t="s">
        <v>15</v>
      </c>
    </row>
    <row r="2607" spans="1:13" x14ac:dyDescent="0.25">
      <c r="A2607">
        <v>2606</v>
      </c>
      <c r="B2607" t="s">
        <v>5225</v>
      </c>
      <c r="C2607" s="1">
        <v>37.192743650499999</v>
      </c>
      <c r="D2607" s="1">
        <v>-6.9946794028400001</v>
      </c>
      <c r="E2607" s="3">
        <v>2</v>
      </c>
      <c r="F2607" s="2">
        <v>3</v>
      </c>
      <c r="G2607" s="4">
        <v>3</v>
      </c>
      <c r="H2607" s="13"/>
      <c r="I2607" s="15"/>
      <c r="J2607" s="19">
        <v>3</v>
      </c>
      <c r="K2607" s="2" t="s">
        <v>5226</v>
      </c>
      <c r="L2607" s="11" t="str">
        <f t="shared" si="42"/>
        <v>Ver Imagen</v>
      </c>
      <c r="M2607" t="s">
        <v>15</v>
      </c>
    </row>
    <row r="2608" spans="1:13" x14ac:dyDescent="0.25">
      <c r="A2608">
        <v>2607</v>
      </c>
      <c r="B2608" t="s">
        <v>5227</v>
      </c>
      <c r="C2608" s="1">
        <v>37.193199168699998</v>
      </c>
      <c r="D2608" s="1">
        <v>-6.9958156984600004</v>
      </c>
      <c r="E2608" s="3">
        <v>2</v>
      </c>
      <c r="F2608" s="2">
        <v>3</v>
      </c>
      <c r="G2608" s="4">
        <v>3</v>
      </c>
      <c r="H2608" s="13"/>
      <c r="I2608" s="15"/>
      <c r="J2608" s="19">
        <v>3</v>
      </c>
      <c r="K2608" s="2" t="s">
        <v>5228</v>
      </c>
      <c r="L2608" s="11" t="str">
        <f t="shared" si="42"/>
        <v>Ver Imagen</v>
      </c>
      <c r="M2608" t="s">
        <v>15</v>
      </c>
    </row>
    <row r="2609" spans="1:13" x14ac:dyDescent="0.25">
      <c r="A2609">
        <v>2608</v>
      </c>
      <c r="B2609" t="s">
        <v>5229</v>
      </c>
      <c r="C2609" s="1">
        <v>37.1938583194</v>
      </c>
      <c r="D2609" s="1">
        <v>-6.9973673977699997</v>
      </c>
      <c r="E2609" s="3">
        <v>3</v>
      </c>
      <c r="F2609" s="2">
        <v>2</v>
      </c>
      <c r="G2609" s="4">
        <v>3</v>
      </c>
      <c r="H2609" s="13"/>
      <c r="I2609" s="15"/>
      <c r="J2609" s="19">
        <v>3</v>
      </c>
      <c r="K2609" s="2" t="s">
        <v>5230</v>
      </c>
      <c r="L2609" s="11" t="str">
        <f t="shared" si="42"/>
        <v>Ver Imagen</v>
      </c>
      <c r="M2609" t="s">
        <v>15</v>
      </c>
    </row>
    <row r="2610" spans="1:13" x14ac:dyDescent="0.25">
      <c r="A2610">
        <v>2609</v>
      </c>
      <c r="B2610" t="s">
        <v>5231</v>
      </c>
      <c r="C2610" s="1">
        <v>37.194963737000002</v>
      </c>
      <c r="D2610" s="1">
        <v>-7.0000576704700004</v>
      </c>
      <c r="E2610" s="3">
        <v>2</v>
      </c>
      <c r="F2610" s="2">
        <v>3</v>
      </c>
      <c r="G2610" s="4">
        <v>3</v>
      </c>
      <c r="H2610" s="13"/>
      <c r="I2610" s="15"/>
      <c r="J2610" s="19">
        <v>3</v>
      </c>
      <c r="K2610" s="2" t="s">
        <v>5232</v>
      </c>
      <c r="L2610" s="11" t="str">
        <f t="shared" si="42"/>
        <v>Ver Imagen</v>
      </c>
      <c r="M2610" t="s">
        <v>15</v>
      </c>
    </row>
    <row r="2611" spans="1:13" x14ac:dyDescent="0.25">
      <c r="A2611">
        <v>2610</v>
      </c>
      <c r="B2611" t="s">
        <v>5233</v>
      </c>
      <c r="C2611" s="1">
        <v>37.195345455199998</v>
      </c>
      <c r="D2611" s="1">
        <v>-7.0009859156400003</v>
      </c>
      <c r="E2611" s="3">
        <v>2</v>
      </c>
      <c r="F2611" s="2">
        <v>3</v>
      </c>
      <c r="G2611" s="4">
        <v>3</v>
      </c>
      <c r="H2611" s="13"/>
      <c r="I2611" s="15"/>
      <c r="J2611" s="19">
        <v>3</v>
      </c>
      <c r="K2611" s="2" t="s">
        <v>5234</v>
      </c>
      <c r="L2611" s="11" t="str">
        <f t="shared" si="42"/>
        <v>Ver Imagen</v>
      </c>
      <c r="M2611" t="s">
        <v>15</v>
      </c>
    </row>
    <row r="2612" spans="1:13" x14ac:dyDescent="0.25">
      <c r="A2612">
        <v>2611</v>
      </c>
      <c r="B2612" t="s">
        <v>5235</v>
      </c>
      <c r="C2612" s="1">
        <v>37.197103212599998</v>
      </c>
      <c r="D2612" s="1">
        <v>-7.0051994618300002</v>
      </c>
      <c r="E2612" s="3">
        <v>2</v>
      </c>
      <c r="F2612" s="2">
        <v>3</v>
      </c>
      <c r="G2612" s="4">
        <v>3</v>
      </c>
      <c r="H2612" s="13"/>
      <c r="I2612" s="15"/>
      <c r="J2612" s="19">
        <v>3</v>
      </c>
      <c r="K2612" s="2" t="s">
        <v>5236</v>
      </c>
      <c r="L2612" s="11" t="str">
        <f t="shared" si="42"/>
        <v>Ver Imagen</v>
      </c>
      <c r="M2612" t="s">
        <v>15</v>
      </c>
    </row>
    <row r="2613" spans="1:13" x14ac:dyDescent="0.25">
      <c r="A2613">
        <v>2612</v>
      </c>
      <c r="B2613" t="s">
        <v>5237</v>
      </c>
      <c r="C2613" s="1">
        <v>37.197301421600002</v>
      </c>
      <c r="D2613" s="1">
        <v>-7.0056690375399997</v>
      </c>
      <c r="E2613" s="3">
        <v>2</v>
      </c>
      <c r="F2613" s="2">
        <v>3</v>
      </c>
      <c r="G2613" s="4">
        <v>3</v>
      </c>
      <c r="H2613" s="13"/>
      <c r="I2613" s="15"/>
      <c r="J2613" s="19">
        <v>3</v>
      </c>
      <c r="K2613" s="2" t="s">
        <v>5238</v>
      </c>
      <c r="L2613" s="11" t="str">
        <f t="shared" si="42"/>
        <v>Ver Imagen</v>
      </c>
      <c r="M2613" t="s">
        <v>15</v>
      </c>
    </row>
    <row r="2614" spans="1:13" x14ac:dyDescent="0.25">
      <c r="A2614">
        <v>2613</v>
      </c>
      <c r="B2614" t="s">
        <v>5239</v>
      </c>
      <c r="C2614" s="1">
        <v>37.199280020499998</v>
      </c>
      <c r="D2614" s="1">
        <v>-7.00957166272</v>
      </c>
      <c r="E2614" s="3">
        <v>2</v>
      </c>
      <c r="F2614" s="2">
        <v>3</v>
      </c>
      <c r="G2614" s="4">
        <v>3</v>
      </c>
      <c r="H2614" s="13"/>
      <c r="I2614" s="15"/>
      <c r="J2614" s="19">
        <v>3</v>
      </c>
      <c r="K2614" s="2" t="s">
        <v>5240</v>
      </c>
      <c r="L2614" s="11" t="str">
        <f t="shared" si="42"/>
        <v>Ver Imagen</v>
      </c>
      <c r="M2614" t="s">
        <v>15</v>
      </c>
    </row>
    <row r="2615" spans="1:13" x14ac:dyDescent="0.25">
      <c r="A2615">
        <v>2614</v>
      </c>
      <c r="B2615" t="s">
        <v>5241</v>
      </c>
      <c r="C2615" s="1">
        <v>37.199499263200003</v>
      </c>
      <c r="D2615" s="1">
        <v>-7.0099395570900001</v>
      </c>
      <c r="E2615" s="3">
        <v>2</v>
      </c>
      <c r="F2615" s="2">
        <v>3</v>
      </c>
      <c r="G2615" s="4">
        <v>3</v>
      </c>
      <c r="H2615" s="13"/>
      <c r="I2615" s="15"/>
      <c r="J2615" s="19">
        <v>3</v>
      </c>
      <c r="K2615" s="2" t="s">
        <v>5242</v>
      </c>
      <c r="L2615" s="11" t="str">
        <f t="shared" si="42"/>
        <v>Ver Imagen</v>
      </c>
      <c r="M2615" t="s">
        <v>15</v>
      </c>
    </row>
    <row r="2616" spans="1:13" x14ac:dyDescent="0.25">
      <c r="A2616">
        <v>2615</v>
      </c>
      <c r="B2616" t="s">
        <v>5243</v>
      </c>
      <c r="C2616" s="1">
        <v>37.199902033999997</v>
      </c>
      <c r="D2616" s="1">
        <v>-7.0105976676499999</v>
      </c>
      <c r="E2616" s="3">
        <v>2</v>
      </c>
      <c r="F2616" s="2">
        <v>3</v>
      </c>
      <c r="G2616" s="4">
        <v>3</v>
      </c>
      <c r="H2616" s="13"/>
      <c r="I2616" s="15"/>
      <c r="J2616" s="19">
        <v>3</v>
      </c>
      <c r="K2616" s="2" t="s">
        <v>5244</v>
      </c>
      <c r="L2616" s="11" t="str">
        <f t="shared" si="42"/>
        <v>Ver Imagen</v>
      </c>
      <c r="M2616" t="s">
        <v>15</v>
      </c>
    </row>
    <row r="2617" spans="1:13" x14ac:dyDescent="0.25">
      <c r="A2617">
        <v>2616</v>
      </c>
      <c r="B2617" t="s">
        <v>5245</v>
      </c>
      <c r="C2617" s="1">
        <v>37.2007601014</v>
      </c>
      <c r="D2617" s="1">
        <v>-7.0119208250299998</v>
      </c>
      <c r="E2617" s="3">
        <v>3</v>
      </c>
      <c r="F2617" s="2">
        <v>3</v>
      </c>
      <c r="G2617" s="4">
        <v>4</v>
      </c>
      <c r="H2617" s="13"/>
      <c r="I2617" s="15"/>
      <c r="J2617" s="19">
        <v>3</v>
      </c>
      <c r="K2617" s="2" t="s">
        <v>5246</v>
      </c>
      <c r="L2617" s="11" t="str">
        <f t="shared" si="42"/>
        <v>Ver Imagen</v>
      </c>
      <c r="M2617" t="s">
        <v>15</v>
      </c>
    </row>
    <row r="2618" spans="1:13" x14ac:dyDescent="0.25">
      <c r="A2618">
        <v>2617</v>
      </c>
      <c r="B2618" t="s">
        <v>5247</v>
      </c>
      <c r="C2618" s="1">
        <v>37.202933248699999</v>
      </c>
      <c r="D2618" s="1">
        <v>-7.0152530350399998</v>
      </c>
      <c r="E2618" s="3">
        <v>3</v>
      </c>
      <c r="F2618" s="2">
        <v>3</v>
      </c>
      <c r="G2618" s="4">
        <v>4</v>
      </c>
      <c r="H2618" s="13"/>
      <c r="I2618" s="15"/>
      <c r="J2618" s="19">
        <v>3</v>
      </c>
      <c r="K2618" s="2" t="s">
        <v>5248</v>
      </c>
      <c r="L2618" s="11" t="str">
        <f t="shared" si="42"/>
        <v>Ver Imagen</v>
      </c>
      <c r="M2618" t="s">
        <v>15</v>
      </c>
    </row>
    <row r="2619" spans="1:13" x14ac:dyDescent="0.25">
      <c r="A2619">
        <v>2618</v>
      </c>
      <c r="B2619" t="s">
        <v>5249</v>
      </c>
      <c r="C2619" s="1">
        <v>37.203044587299999</v>
      </c>
      <c r="D2619" s="1">
        <v>-7.0154213978</v>
      </c>
      <c r="E2619" s="3">
        <v>3</v>
      </c>
      <c r="F2619" s="2">
        <v>2</v>
      </c>
      <c r="G2619" s="4">
        <v>3</v>
      </c>
      <c r="H2619" s="13"/>
      <c r="I2619" s="15"/>
      <c r="J2619" s="19">
        <v>3</v>
      </c>
      <c r="K2619" s="2" t="s">
        <v>5250</v>
      </c>
      <c r="L2619" s="11" t="str">
        <f t="shared" si="42"/>
        <v>Ver Imagen</v>
      </c>
      <c r="M2619" t="s">
        <v>15</v>
      </c>
    </row>
    <row r="2620" spans="1:13" x14ac:dyDescent="0.25">
      <c r="A2620">
        <v>2619</v>
      </c>
      <c r="B2620" t="s">
        <v>5251</v>
      </c>
      <c r="C2620" s="1">
        <v>37.203584536599998</v>
      </c>
      <c r="D2620" s="1">
        <v>-7.0162474191399999</v>
      </c>
      <c r="E2620" s="3">
        <v>3</v>
      </c>
      <c r="F2620" s="2">
        <v>4</v>
      </c>
      <c r="G2620" s="4">
        <v>3</v>
      </c>
      <c r="H2620" s="13"/>
      <c r="I2620" s="15"/>
      <c r="J2620" s="19">
        <v>3</v>
      </c>
      <c r="K2620" s="2" t="s">
        <v>5252</v>
      </c>
      <c r="L2620" s="11" t="str">
        <f t="shared" si="42"/>
        <v>Ver Imagen</v>
      </c>
      <c r="M2620" t="s">
        <v>15</v>
      </c>
    </row>
    <row r="2621" spans="1:13" x14ac:dyDescent="0.25">
      <c r="A2621">
        <v>2620</v>
      </c>
      <c r="B2621" t="s">
        <v>5253</v>
      </c>
      <c r="C2621" s="1">
        <v>37.204459720999999</v>
      </c>
      <c r="D2621" s="1">
        <v>-7.0176023543200001</v>
      </c>
      <c r="E2621" s="3">
        <v>3</v>
      </c>
      <c r="F2621" s="2">
        <v>4</v>
      </c>
      <c r="G2621" s="4">
        <v>3</v>
      </c>
      <c r="H2621" s="13"/>
      <c r="I2621" s="15"/>
      <c r="J2621" s="19">
        <v>3</v>
      </c>
      <c r="K2621" s="2" t="s">
        <v>5254</v>
      </c>
      <c r="L2621" s="11" t="str">
        <f t="shared" si="42"/>
        <v>Ver Imagen</v>
      </c>
      <c r="M2621" t="s">
        <v>15</v>
      </c>
    </row>
    <row r="2622" spans="1:13" x14ac:dyDescent="0.25">
      <c r="A2622">
        <v>2621</v>
      </c>
      <c r="B2622" t="s">
        <v>5255</v>
      </c>
      <c r="C2622" s="1">
        <v>37.205202839199998</v>
      </c>
      <c r="D2622" s="1">
        <v>-7.01874923988</v>
      </c>
      <c r="E2622" s="3">
        <v>3</v>
      </c>
      <c r="F2622" s="2">
        <v>4</v>
      </c>
      <c r="G2622" s="4">
        <v>3</v>
      </c>
      <c r="H2622" s="13"/>
      <c r="I2622" s="15"/>
      <c r="J2622" s="19">
        <v>3</v>
      </c>
      <c r="K2622" s="2" t="s">
        <v>5256</v>
      </c>
      <c r="L2622" s="11" t="str">
        <f t="shared" si="42"/>
        <v>Ver Imagen</v>
      </c>
      <c r="M2622" t="s">
        <v>15</v>
      </c>
    </row>
    <row r="2623" spans="1:13" x14ac:dyDescent="0.25">
      <c r="A2623">
        <v>2622</v>
      </c>
      <c r="B2623" t="s">
        <v>5257</v>
      </c>
      <c r="C2623" s="1">
        <v>37.205866202800003</v>
      </c>
      <c r="D2623" s="1">
        <v>-7.0197985599399999</v>
      </c>
      <c r="E2623" s="3">
        <v>2</v>
      </c>
      <c r="F2623" s="2">
        <v>3</v>
      </c>
      <c r="G2623" s="4">
        <v>3</v>
      </c>
      <c r="H2623" s="13"/>
      <c r="I2623" s="15"/>
      <c r="J2623" s="19">
        <v>3</v>
      </c>
      <c r="K2623" s="2" t="s">
        <v>5258</v>
      </c>
      <c r="L2623" s="11" t="str">
        <f t="shared" si="42"/>
        <v>Ver Imagen</v>
      </c>
      <c r="M2623" t="s">
        <v>15</v>
      </c>
    </row>
    <row r="2624" spans="1:13" x14ac:dyDescent="0.25">
      <c r="A2624">
        <v>2623</v>
      </c>
      <c r="B2624" t="s">
        <v>5259</v>
      </c>
      <c r="C2624" s="1">
        <v>37.208348034300002</v>
      </c>
      <c r="D2624" s="1">
        <v>-7.0247269319900001</v>
      </c>
      <c r="E2624" s="3">
        <v>2</v>
      </c>
      <c r="F2624" s="2">
        <v>3</v>
      </c>
      <c r="G2624" s="4">
        <v>3</v>
      </c>
      <c r="H2624" s="13"/>
      <c r="I2624" s="15"/>
      <c r="J2624" s="19">
        <v>3</v>
      </c>
      <c r="K2624" s="2" t="s">
        <v>5260</v>
      </c>
      <c r="L2624" s="11" t="str">
        <f t="shared" si="42"/>
        <v>Ver Imagen</v>
      </c>
      <c r="M2624" t="s">
        <v>15</v>
      </c>
    </row>
    <row r="2625" spans="1:13" x14ac:dyDescent="0.25">
      <c r="A2625">
        <v>2624</v>
      </c>
      <c r="B2625" t="s">
        <v>5261</v>
      </c>
      <c r="C2625" s="1">
        <v>37.208876503299997</v>
      </c>
      <c r="D2625" s="1">
        <v>-7.0268814810100002</v>
      </c>
      <c r="E2625" s="3">
        <v>3</v>
      </c>
      <c r="F2625" s="2">
        <v>4</v>
      </c>
      <c r="G2625" s="4">
        <v>3</v>
      </c>
      <c r="H2625" s="13"/>
      <c r="I2625" s="15"/>
      <c r="J2625" s="19">
        <v>3</v>
      </c>
      <c r="K2625" s="2" t="s">
        <v>5262</v>
      </c>
      <c r="L2625" s="11" t="str">
        <f t="shared" si="42"/>
        <v>Ver Imagen</v>
      </c>
      <c r="M2625" t="s">
        <v>15</v>
      </c>
    </row>
    <row r="2626" spans="1:13" x14ac:dyDescent="0.25">
      <c r="A2626">
        <v>2625</v>
      </c>
      <c r="B2626" t="s">
        <v>5263</v>
      </c>
      <c r="C2626" s="1">
        <v>37.218263229100003</v>
      </c>
      <c r="D2626" s="1">
        <v>-7.1231866562199997</v>
      </c>
      <c r="E2626" s="3">
        <v>3</v>
      </c>
      <c r="F2626" s="2">
        <v>3</v>
      </c>
      <c r="G2626" s="4">
        <v>4</v>
      </c>
      <c r="H2626" s="13"/>
      <c r="I2626" s="15"/>
      <c r="J2626" s="19">
        <v>3</v>
      </c>
      <c r="K2626" s="2" t="s">
        <v>5264</v>
      </c>
      <c r="L2626" s="11" t="str">
        <f t="shared" si="42"/>
        <v>Ver Imagen</v>
      </c>
      <c r="M2626" t="s">
        <v>15</v>
      </c>
    </row>
    <row r="2627" spans="1:13" x14ac:dyDescent="0.25">
      <c r="A2627">
        <v>2626</v>
      </c>
      <c r="B2627" t="s">
        <v>5265</v>
      </c>
      <c r="C2627" s="1">
        <v>37.218114282800002</v>
      </c>
      <c r="D2627" s="1">
        <v>-7.1185699933700004</v>
      </c>
      <c r="E2627" s="3">
        <v>3</v>
      </c>
      <c r="F2627" s="2">
        <v>2</v>
      </c>
      <c r="G2627" s="4">
        <v>3</v>
      </c>
      <c r="H2627" s="13"/>
      <c r="I2627" s="15"/>
      <c r="J2627" s="19">
        <v>3</v>
      </c>
      <c r="K2627" s="2" t="s">
        <v>5266</v>
      </c>
      <c r="L2627" s="11" t="str">
        <f t="shared" si="42"/>
        <v>Ver Imagen</v>
      </c>
      <c r="M2627" t="s">
        <v>15</v>
      </c>
    </row>
    <row r="2628" spans="1:13" x14ac:dyDescent="0.25">
      <c r="A2628">
        <v>2627</v>
      </c>
      <c r="B2628" t="s">
        <v>5267</v>
      </c>
      <c r="C2628" s="1">
        <v>37.217582298899998</v>
      </c>
      <c r="D2628" s="1">
        <v>-7.1117272315799998</v>
      </c>
      <c r="E2628" s="3">
        <v>2</v>
      </c>
      <c r="F2628" s="2">
        <v>3</v>
      </c>
      <c r="G2628" s="4">
        <v>3</v>
      </c>
      <c r="H2628" s="13"/>
      <c r="I2628" s="15"/>
      <c r="J2628" s="19">
        <v>3</v>
      </c>
      <c r="K2628" s="2" t="s">
        <v>5268</v>
      </c>
      <c r="L2628" s="11" t="str">
        <f t="shared" si="42"/>
        <v>Ver Imagen</v>
      </c>
      <c r="M2628" t="s">
        <v>15</v>
      </c>
    </row>
    <row r="2629" spans="1:13" x14ac:dyDescent="0.25">
      <c r="A2629">
        <v>2628</v>
      </c>
      <c r="B2629" t="s">
        <v>5269</v>
      </c>
      <c r="C2629" s="1">
        <v>37.216646697900003</v>
      </c>
      <c r="D2629" s="1">
        <v>-7.0938896504500004</v>
      </c>
      <c r="E2629" s="3">
        <v>2</v>
      </c>
      <c r="F2629" s="2">
        <v>3</v>
      </c>
      <c r="G2629" s="4">
        <v>3</v>
      </c>
      <c r="H2629" s="13"/>
      <c r="I2629" s="15"/>
      <c r="J2629" s="19">
        <v>3</v>
      </c>
      <c r="K2629" s="2" t="s">
        <v>5270</v>
      </c>
      <c r="L2629" s="11" t="str">
        <f t="shared" si="42"/>
        <v>Ver Imagen</v>
      </c>
      <c r="M2629" t="s">
        <v>15</v>
      </c>
    </row>
    <row r="2630" spans="1:13" x14ac:dyDescent="0.25">
      <c r="A2630">
        <v>2629</v>
      </c>
      <c r="B2630" t="s">
        <v>5271</v>
      </c>
      <c r="C2630" s="1">
        <v>37.216306555599999</v>
      </c>
      <c r="D2630" s="1">
        <v>-7.0914515532599998</v>
      </c>
      <c r="E2630" s="3">
        <v>2</v>
      </c>
      <c r="F2630" s="2">
        <v>3</v>
      </c>
      <c r="G2630" s="4">
        <v>3</v>
      </c>
      <c r="H2630" s="13"/>
      <c r="I2630" s="15"/>
      <c r="J2630" s="19">
        <v>3</v>
      </c>
      <c r="K2630" s="2" t="s">
        <v>5272</v>
      </c>
      <c r="L2630" s="11" t="str">
        <f t="shared" si="42"/>
        <v>Ver Imagen</v>
      </c>
      <c r="M2630" t="s">
        <v>15</v>
      </c>
    </row>
    <row r="2631" spans="1:13" x14ac:dyDescent="0.25">
      <c r="A2631">
        <v>2630</v>
      </c>
      <c r="B2631" t="s">
        <v>5273</v>
      </c>
      <c r="C2631" s="1">
        <v>37.211221459199997</v>
      </c>
      <c r="D2631" s="1">
        <v>-7.0560421440900001</v>
      </c>
      <c r="E2631" s="3">
        <v>2</v>
      </c>
      <c r="F2631" s="2">
        <v>3</v>
      </c>
      <c r="G2631" s="4">
        <v>3</v>
      </c>
      <c r="H2631" s="13"/>
      <c r="I2631" s="15"/>
      <c r="J2631" s="19">
        <v>3</v>
      </c>
      <c r="K2631" s="2" t="s">
        <v>5274</v>
      </c>
      <c r="L2631" s="11" t="str">
        <f t="shared" si="42"/>
        <v>Ver Imagen</v>
      </c>
      <c r="M2631" t="s">
        <v>15</v>
      </c>
    </row>
    <row r="2632" spans="1:13" x14ac:dyDescent="0.25">
      <c r="A2632">
        <v>2631</v>
      </c>
      <c r="B2632" t="s">
        <v>5275</v>
      </c>
      <c r="C2632" s="1">
        <v>37.211164817399997</v>
      </c>
      <c r="D2632" s="1">
        <v>-7.0555505721599996</v>
      </c>
      <c r="E2632" s="3">
        <v>2</v>
      </c>
      <c r="F2632" s="2">
        <v>3</v>
      </c>
      <c r="G2632" s="4">
        <v>3</v>
      </c>
      <c r="H2632" s="13"/>
      <c r="I2632" s="15"/>
      <c r="J2632" s="19">
        <v>3</v>
      </c>
      <c r="K2632" s="2" t="s">
        <v>5276</v>
      </c>
      <c r="L2632" s="11" t="str">
        <f t="shared" si="42"/>
        <v>Ver Imagen</v>
      </c>
      <c r="M2632" t="s">
        <v>15</v>
      </c>
    </row>
    <row r="2633" spans="1:13" x14ac:dyDescent="0.25">
      <c r="A2633">
        <v>2632</v>
      </c>
      <c r="B2633" t="s">
        <v>5277</v>
      </c>
      <c r="C2633" s="1">
        <v>37.210791743999998</v>
      </c>
      <c r="D2633" s="1">
        <v>-7.05306888458</v>
      </c>
      <c r="E2633" s="3">
        <v>3</v>
      </c>
      <c r="F2633" s="2">
        <v>4</v>
      </c>
      <c r="G2633" s="4">
        <v>3</v>
      </c>
      <c r="H2633" s="13"/>
      <c r="I2633" s="15"/>
      <c r="J2633" s="19">
        <v>3</v>
      </c>
      <c r="K2633" s="2" t="s">
        <v>5278</v>
      </c>
      <c r="L2633" s="11" t="str">
        <f t="shared" si="42"/>
        <v>Ver Imagen</v>
      </c>
      <c r="M2633" t="s">
        <v>15</v>
      </c>
    </row>
    <row r="2634" spans="1:13" x14ac:dyDescent="0.25">
      <c r="A2634">
        <v>2633</v>
      </c>
      <c r="B2634" t="s">
        <v>5279</v>
      </c>
      <c r="C2634" s="1">
        <v>37.2111125853</v>
      </c>
      <c r="D2634" s="1">
        <v>-7.0505557362999998</v>
      </c>
      <c r="E2634" s="3">
        <v>2</v>
      </c>
      <c r="F2634" s="2">
        <v>3</v>
      </c>
      <c r="G2634" s="4">
        <v>3</v>
      </c>
      <c r="H2634" s="13"/>
      <c r="I2634" s="15"/>
      <c r="J2634" s="19">
        <v>3</v>
      </c>
      <c r="K2634" s="2" t="s">
        <v>5280</v>
      </c>
      <c r="L2634" s="11" t="str">
        <f t="shared" si="42"/>
        <v>Ver Imagen</v>
      </c>
      <c r="M2634" t="s">
        <v>15</v>
      </c>
    </row>
    <row r="2635" spans="1:13" x14ac:dyDescent="0.25">
      <c r="A2635">
        <v>2634</v>
      </c>
      <c r="B2635" t="s">
        <v>5281</v>
      </c>
      <c r="C2635" s="1">
        <v>37.211767956599999</v>
      </c>
      <c r="D2635" s="1">
        <v>-7.0482153027500001</v>
      </c>
      <c r="E2635" s="3">
        <v>3</v>
      </c>
      <c r="F2635" s="2">
        <v>3</v>
      </c>
      <c r="G2635" s="4">
        <v>4</v>
      </c>
      <c r="H2635" s="13"/>
      <c r="I2635" s="15"/>
      <c r="J2635" s="19">
        <v>3</v>
      </c>
      <c r="K2635" s="2" t="s">
        <v>5282</v>
      </c>
      <c r="L2635" s="11" t="str">
        <f t="shared" si="42"/>
        <v>Ver Imagen</v>
      </c>
      <c r="M2635" t="s">
        <v>15</v>
      </c>
    </row>
    <row r="2636" spans="1:13" x14ac:dyDescent="0.25">
      <c r="A2636">
        <v>2635</v>
      </c>
      <c r="B2636" t="s">
        <v>5283</v>
      </c>
      <c r="C2636" s="1">
        <v>37.211264413499997</v>
      </c>
      <c r="D2636" s="1">
        <v>-7.04522350417</v>
      </c>
      <c r="E2636" s="3">
        <v>3</v>
      </c>
      <c r="F2636" s="2">
        <v>4</v>
      </c>
      <c r="G2636" s="4">
        <v>3</v>
      </c>
      <c r="H2636" s="13"/>
      <c r="I2636" s="15"/>
      <c r="J2636" s="19">
        <v>3</v>
      </c>
      <c r="K2636" s="2" t="s">
        <v>5284</v>
      </c>
      <c r="L2636" s="11" t="str">
        <f t="shared" si="42"/>
        <v>Ver Imagen</v>
      </c>
      <c r="M2636" t="s">
        <v>15</v>
      </c>
    </row>
    <row r="2637" spans="1:13" x14ac:dyDescent="0.25">
      <c r="A2637">
        <v>2636</v>
      </c>
      <c r="B2637" t="s">
        <v>5285</v>
      </c>
      <c r="C2637" s="1">
        <v>37.210365585600002</v>
      </c>
      <c r="D2637" s="1">
        <v>-7.0427242462599997</v>
      </c>
      <c r="E2637" s="3">
        <v>3</v>
      </c>
      <c r="F2637" s="2">
        <v>4</v>
      </c>
      <c r="G2637" s="4">
        <v>3</v>
      </c>
      <c r="H2637" s="13"/>
      <c r="I2637" s="15"/>
      <c r="J2637" s="19">
        <v>3</v>
      </c>
      <c r="K2637" s="2" t="s">
        <v>5286</v>
      </c>
      <c r="L2637" s="11" t="str">
        <f t="shared" si="42"/>
        <v>Ver Imagen</v>
      </c>
      <c r="M2637" t="s">
        <v>15</v>
      </c>
    </row>
    <row r="2638" spans="1:13" x14ac:dyDescent="0.25">
      <c r="A2638">
        <v>2637</v>
      </c>
      <c r="B2638" t="s">
        <v>5287</v>
      </c>
      <c r="C2638" s="1">
        <v>37.208973028300001</v>
      </c>
      <c r="D2638" s="1">
        <v>-7.0390393813200003</v>
      </c>
      <c r="E2638" s="3">
        <v>3</v>
      </c>
      <c r="F2638" s="2">
        <v>3</v>
      </c>
      <c r="G2638" s="4">
        <v>4</v>
      </c>
      <c r="H2638" s="13"/>
      <c r="I2638" s="15"/>
      <c r="J2638" s="19">
        <v>3</v>
      </c>
      <c r="K2638" s="2" t="s">
        <v>5288</v>
      </c>
      <c r="L2638" s="11" t="str">
        <f t="shared" si="42"/>
        <v>Ver Imagen</v>
      </c>
      <c r="M2638" t="s">
        <v>15</v>
      </c>
    </row>
    <row r="2639" spans="1:13" x14ac:dyDescent="0.25">
      <c r="A2639">
        <v>2638</v>
      </c>
      <c r="B2639" t="s">
        <v>5289</v>
      </c>
      <c r="C2639" s="1">
        <v>37.208873119300002</v>
      </c>
      <c r="D2639" s="1">
        <v>-7.0387851114400002</v>
      </c>
      <c r="E2639" s="3">
        <v>3</v>
      </c>
      <c r="F2639" s="2">
        <v>4</v>
      </c>
      <c r="G2639" s="4">
        <v>3</v>
      </c>
      <c r="H2639" s="13"/>
      <c r="I2639" s="15"/>
      <c r="J2639" s="19">
        <v>3</v>
      </c>
      <c r="K2639" s="2" t="s">
        <v>5290</v>
      </c>
      <c r="L2639" s="11" t="str">
        <f t="shared" si="42"/>
        <v>Ver Imagen</v>
      </c>
      <c r="M2639" t="s">
        <v>15</v>
      </c>
    </row>
    <row r="2640" spans="1:13" x14ac:dyDescent="0.25">
      <c r="A2640">
        <v>2639</v>
      </c>
      <c r="B2640" t="s">
        <v>5291</v>
      </c>
      <c r="C2640" s="1">
        <v>37.206604644700001</v>
      </c>
      <c r="D2640" s="1">
        <v>-7.0329082924900002</v>
      </c>
      <c r="E2640" s="3">
        <v>3</v>
      </c>
      <c r="F2640" s="2">
        <v>3</v>
      </c>
      <c r="G2640" s="4">
        <v>4</v>
      </c>
      <c r="H2640" s="13"/>
      <c r="I2640" s="15"/>
      <c r="J2640" s="19">
        <v>3</v>
      </c>
      <c r="K2640" s="2" t="s">
        <v>5292</v>
      </c>
      <c r="L2640" s="11" t="str">
        <f t="shared" si="42"/>
        <v>Ver Imagen</v>
      </c>
      <c r="M2640" t="s">
        <v>15</v>
      </c>
    </row>
    <row r="2641" spans="1:13" x14ac:dyDescent="0.25">
      <c r="A2641">
        <v>2640</v>
      </c>
      <c r="B2641" t="s">
        <v>5293</v>
      </c>
      <c r="C2641" s="1">
        <v>37.206154424799998</v>
      </c>
      <c r="D2641" s="1">
        <v>-7.0317501130700002</v>
      </c>
      <c r="E2641" s="3">
        <v>3</v>
      </c>
      <c r="F2641" s="2">
        <v>4</v>
      </c>
      <c r="G2641" s="4">
        <v>3</v>
      </c>
      <c r="H2641" s="13"/>
      <c r="I2641" s="15"/>
      <c r="J2641" s="19">
        <v>3</v>
      </c>
      <c r="K2641" s="2" t="s">
        <v>5294</v>
      </c>
      <c r="L2641" s="11" t="str">
        <f t="shared" si="42"/>
        <v>Ver Imagen</v>
      </c>
      <c r="M2641" t="s">
        <v>15</v>
      </c>
    </row>
    <row r="2642" spans="1:13" x14ac:dyDescent="0.25">
      <c r="A2642">
        <v>2641</v>
      </c>
      <c r="B2642" t="s">
        <v>5295</v>
      </c>
      <c r="C2642" s="1">
        <v>37.278972728699998</v>
      </c>
      <c r="D2642" s="1">
        <v>-7.1445904049999998</v>
      </c>
      <c r="E2642" s="3">
        <v>3</v>
      </c>
      <c r="F2642" s="2">
        <v>4</v>
      </c>
      <c r="G2642" s="4">
        <v>3</v>
      </c>
      <c r="H2642" s="13"/>
      <c r="I2642" s="15"/>
      <c r="J2642" s="19">
        <v>3</v>
      </c>
      <c r="K2642" s="2" t="s">
        <v>5296</v>
      </c>
      <c r="L2642" s="11" t="str">
        <f t="shared" si="42"/>
        <v>Ver Imagen</v>
      </c>
      <c r="M2642" t="s">
        <v>15</v>
      </c>
    </row>
    <row r="2643" spans="1:13" x14ac:dyDescent="0.25">
      <c r="A2643">
        <v>2642</v>
      </c>
      <c r="B2643" t="s">
        <v>5297</v>
      </c>
      <c r="C2643" s="1">
        <v>37.278074316400001</v>
      </c>
      <c r="D2643" s="1">
        <v>-7.1439059360800004</v>
      </c>
      <c r="E2643" s="3">
        <v>3</v>
      </c>
      <c r="F2643" s="2">
        <v>4</v>
      </c>
      <c r="G2643" s="4">
        <v>3</v>
      </c>
      <c r="H2643" s="13"/>
      <c r="I2643" s="15"/>
      <c r="J2643" s="19">
        <v>3</v>
      </c>
      <c r="K2643" s="2" t="s">
        <v>5298</v>
      </c>
      <c r="L2643" s="11" t="str">
        <f t="shared" si="42"/>
        <v>Ver Imagen</v>
      </c>
      <c r="M2643" t="s">
        <v>15</v>
      </c>
    </row>
    <row r="2644" spans="1:13" x14ac:dyDescent="0.25">
      <c r="A2644">
        <v>2643</v>
      </c>
      <c r="B2644" t="s">
        <v>5299</v>
      </c>
      <c r="C2644" s="1">
        <v>37.272591361000003</v>
      </c>
      <c r="D2644" s="1">
        <v>-7.1415587489699996</v>
      </c>
      <c r="E2644" s="3">
        <v>3</v>
      </c>
      <c r="F2644" s="2">
        <v>4</v>
      </c>
      <c r="G2644" s="4">
        <v>3</v>
      </c>
      <c r="H2644" s="13"/>
      <c r="I2644" s="15"/>
      <c r="J2644" s="19">
        <v>3</v>
      </c>
      <c r="K2644" s="2" t="s">
        <v>5300</v>
      </c>
      <c r="L2644" s="11" t="str">
        <f t="shared" si="42"/>
        <v>Ver Imagen</v>
      </c>
      <c r="M2644" t="s">
        <v>15</v>
      </c>
    </row>
    <row r="2645" spans="1:13" x14ac:dyDescent="0.25">
      <c r="A2645">
        <v>2644</v>
      </c>
      <c r="B2645" t="s">
        <v>5301</v>
      </c>
      <c r="C2645" s="1">
        <v>37.271200797100001</v>
      </c>
      <c r="D2645" s="1">
        <v>-7.1404659523699996</v>
      </c>
      <c r="E2645" s="3">
        <v>3</v>
      </c>
      <c r="F2645" s="2">
        <v>2</v>
      </c>
      <c r="G2645" s="4">
        <v>3</v>
      </c>
      <c r="H2645" s="13"/>
      <c r="I2645" s="15"/>
      <c r="J2645" s="19">
        <v>3</v>
      </c>
      <c r="K2645" s="2" t="s">
        <v>5302</v>
      </c>
      <c r="L2645" s="11" t="str">
        <f t="shared" si="42"/>
        <v>Ver Imagen</v>
      </c>
      <c r="M2645" t="s">
        <v>15</v>
      </c>
    </row>
    <row r="2646" spans="1:13" x14ac:dyDescent="0.25">
      <c r="A2646">
        <v>2645</v>
      </c>
      <c r="B2646" t="s">
        <v>5303</v>
      </c>
      <c r="C2646" s="1">
        <v>37.270510628799997</v>
      </c>
      <c r="D2646" s="1">
        <v>-7.1399408145400001</v>
      </c>
      <c r="E2646" s="3">
        <v>3</v>
      </c>
      <c r="F2646" s="2">
        <v>4</v>
      </c>
      <c r="G2646" s="4">
        <v>3</v>
      </c>
      <c r="H2646" s="13"/>
      <c r="I2646" s="15"/>
      <c r="J2646" s="19">
        <v>3</v>
      </c>
      <c r="K2646" s="2" t="s">
        <v>5304</v>
      </c>
      <c r="L2646" s="11" t="str">
        <f t="shared" si="42"/>
        <v>Ver Imagen</v>
      </c>
      <c r="M2646" t="s">
        <v>15</v>
      </c>
    </row>
    <row r="2647" spans="1:13" x14ac:dyDescent="0.25">
      <c r="A2647">
        <v>2646</v>
      </c>
      <c r="B2647" t="s">
        <v>5305</v>
      </c>
      <c r="C2647" s="1">
        <v>37.264116595899999</v>
      </c>
      <c r="D2647" s="1">
        <v>-7.13167178458</v>
      </c>
      <c r="E2647" s="3">
        <v>3</v>
      </c>
      <c r="F2647" s="2">
        <v>4</v>
      </c>
      <c r="G2647" s="4">
        <v>3</v>
      </c>
      <c r="H2647" s="13"/>
      <c r="I2647" s="15"/>
      <c r="J2647" s="19">
        <v>3</v>
      </c>
      <c r="K2647" s="2" t="s">
        <v>5306</v>
      </c>
      <c r="L2647" s="11" t="str">
        <f t="shared" si="42"/>
        <v>Ver Imagen</v>
      </c>
      <c r="M2647" t="s">
        <v>15</v>
      </c>
    </row>
    <row r="2648" spans="1:13" x14ac:dyDescent="0.25">
      <c r="A2648">
        <v>2647</v>
      </c>
      <c r="B2648" t="s">
        <v>5307</v>
      </c>
      <c r="C2648" s="1">
        <v>37.262132517300003</v>
      </c>
      <c r="D2648" s="1">
        <v>-7.1304248109300001</v>
      </c>
      <c r="E2648" s="3">
        <v>3</v>
      </c>
      <c r="F2648" s="2">
        <v>4</v>
      </c>
      <c r="G2648" s="4">
        <v>3</v>
      </c>
      <c r="H2648" s="13"/>
      <c r="I2648" s="15"/>
      <c r="J2648" s="19">
        <v>3</v>
      </c>
      <c r="K2648" s="2" t="s">
        <v>5308</v>
      </c>
      <c r="L2648" s="11" t="str">
        <f t="shared" si="42"/>
        <v>Ver Imagen</v>
      </c>
      <c r="M2648" t="s">
        <v>15</v>
      </c>
    </row>
    <row r="2649" spans="1:13" x14ac:dyDescent="0.25">
      <c r="A2649">
        <v>2648</v>
      </c>
      <c r="B2649" t="s">
        <v>5309</v>
      </c>
      <c r="C2649" s="1">
        <v>37.261781155800001</v>
      </c>
      <c r="D2649" s="1">
        <v>-7.1302030624399997</v>
      </c>
      <c r="E2649" s="3">
        <v>3</v>
      </c>
      <c r="F2649" s="2">
        <v>4</v>
      </c>
      <c r="G2649" s="4">
        <v>3</v>
      </c>
      <c r="H2649" s="13"/>
      <c r="I2649" s="15"/>
      <c r="J2649" s="19">
        <v>3</v>
      </c>
      <c r="K2649" s="2" t="s">
        <v>5310</v>
      </c>
      <c r="L2649" s="11" t="str">
        <f t="shared" si="42"/>
        <v>Ver Imagen</v>
      </c>
      <c r="M2649" t="s">
        <v>15</v>
      </c>
    </row>
    <row r="2650" spans="1:13" x14ac:dyDescent="0.25">
      <c r="A2650">
        <v>2649</v>
      </c>
      <c r="B2650" t="s">
        <v>5311</v>
      </c>
      <c r="C2650" s="1">
        <v>37.261291098800001</v>
      </c>
      <c r="D2650" s="1">
        <v>-7.1297951528499999</v>
      </c>
      <c r="E2650" s="3">
        <v>4</v>
      </c>
      <c r="F2650" s="2">
        <v>3</v>
      </c>
      <c r="G2650" s="4">
        <v>3</v>
      </c>
      <c r="H2650" s="13"/>
      <c r="I2650" s="15"/>
      <c r="J2650" s="19">
        <v>3</v>
      </c>
      <c r="K2650" s="2" t="s">
        <v>5312</v>
      </c>
      <c r="L2650" s="11" t="str">
        <f t="shared" si="42"/>
        <v>Ver Imagen</v>
      </c>
      <c r="M2650" t="s">
        <v>15</v>
      </c>
    </row>
    <row r="2651" spans="1:13" x14ac:dyDescent="0.25">
      <c r="A2651">
        <v>2650</v>
      </c>
      <c r="B2651" t="s">
        <v>5313</v>
      </c>
      <c r="C2651" s="1">
        <v>37.260910159300003</v>
      </c>
      <c r="D2651" s="1">
        <v>-7.1295693149600003</v>
      </c>
      <c r="E2651" s="3">
        <v>4</v>
      </c>
      <c r="F2651" s="2">
        <v>3</v>
      </c>
      <c r="G2651" s="4">
        <v>3</v>
      </c>
      <c r="H2651" s="13"/>
      <c r="I2651" s="15"/>
      <c r="J2651" s="19">
        <v>3</v>
      </c>
      <c r="K2651" s="2" t="s">
        <v>5314</v>
      </c>
      <c r="L2651" s="11" t="str">
        <f t="shared" si="42"/>
        <v>Ver Imagen</v>
      </c>
      <c r="M2651" t="s">
        <v>15</v>
      </c>
    </row>
    <row r="2652" spans="1:13" x14ac:dyDescent="0.25">
      <c r="A2652">
        <v>2651</v>
      </c>
      <c r="B2652" t="s">
        <v>5315</v>
      </c>
      <c r="C2652" s="1">
        <v>37.260134261200001</v>
      </c>
      <c r="D2652" s="1">
        <v>-7.1291543153300001</v>
      </c>
      <c r="E2652" s="3">
        <v>3</v>
      </c>
      <c r="F2652" s="2">
        <v>3</v>
      </c>
      <c r="G2652" s="4">
        <v>2</v>
      </c>
      <c r="H2652" s="13"/>
      <c r="I2652" s="15"/>
      <c r="J2652" s="19">
        <v>3</v>
      </c>
      <c r="K2652" s="2" t="s">
        <v>5316</v>
      </c>
      <c r="L2652" s="11" t="str">
        <f t="shared" si="42"/>
        <v>Ver Imagen</v>
      </c>
      <c r="M2652" t="s">
        <v>15</v>
      </c>
    </row>
    <row r="2653" spans="1:13" x14ac:dyDescent="0.25">
      <c r="A2653">
        <v>2652</v>
      </c>
      <c r="B2653" t="s">
        <v>5317</v>
      </c>
      <c r="C2653" s="1">
        <v>37.249305960299999</v>
      </c>
      <c r="D2653" s="1">
        <v>-7.1273858109499999</v>
      </c>
      <c r="E2653" s="3">
        <v>3</v>
      </c>
      <c r="F2653" s="2">
        <v>2</v>
      </c>
      <c r="G2653" s="4">
        <v>3</v>
      </c>
      <c r="H2653" s="13"/>
      <c r="I2653" s="15"/>
      <c r="J2653" s="19">
        <v>3</v>
      </c>
      <c r="K2653" s="2" t="s">
        <v>5318</v>
      </c>
      <c r="L2653" s="11" t="str">
        <f t="shared" si="42"/>
        <v>Ver Imagen</v>
      </c>
      <c r="M2653" t="s">
        <v>15</v>
      </c>
    </row>
    <row r="2654" spans="1:13" x14ac:dyDescent="0.25">
      <c r="A2654">
        <v>2653</v>
      </c>
      <c r="B2654" t="s">
        <v>5319</v>
      </c>
      <c r="C2654" s="1">
        <v>37.238428462599998</v>
      </c>
      <c r="D2654" s="1">
        <v>-7.1284173978599998</v>
      </c>
      <c r="E2654" s="3">
        <v>3</v>
      </c>
      <c r="F2654" s="2">
        <v>2</v>
      </c>
      <c r="G2654" s="4">
        <v>3</v>
      </c>
      <c r="H2654" s="13"/>
      <c r="I2654" s="15"/>
      <c r="J2654" s="19">
        <v>3</v>
      </c>
      <c r="K2654" s="2" t="s">
        <v>5320</v>
      </c>
      <c r="L2654" s="11" t="str">
        <f t="shared" si="42"/>
        <v>Ver Imagen</v>
      </c>
      <c r="M2654" t="s">
        <v>15</v>
      </c>
    </row>
    <row r="2655" spans="1:13" x14ac:dyDescent="0.25">
      <c r="A2655">
        <v>2654</v>
      </c>
      <c r="B2655" t="s">
        <v>5321</v>
      </c>
      <c r="C2655" s="1">
        <v>37.2280631609</v>
      </c>
      <c r="D2655" s="1">
        <v>-7.12674873942</v>
      </c>
      <c r="E2655" s="3">
        <v>4</v>
      </c>
      <c r="F2655" s="2">
        <v>3</v>
      </c>
      <c r="G2655" s="4">
        <v>3</v>
      </c>
      <c r="H2655" s="13"/>
      <c r="I2655" s="15"/>
      <c r="J2655" s="19">
        <v>3</v>
      </c>
      <c r="K2655" s="2" t="s">
        <v>5322</v>
      </c>
      <c r="L2655" s="11" t="str">
        <f t="shared" si="42"/>
        <v>Ver Imagen</v>
      </c>
      <c r="M2655" t="s">
        <v>15</v>
      </c>
    </row>
    <row r="2656" spans="1:13" x14ac:dyDescent="0.25">
      <c r="A2656">
        <v>2655</v>
      </c>
      <c r="B2656" t="s">
        <v>5323</v>
      </c>
      <c r="C2656" s="1">
        <v>37.221297019700003</v>
      </c>
      <c r="D2656" s="1">
        <v>-7.1256420818499997</v>
      </c>
      <c r="E2656" s="3">
        <v>4</v>
      </c>
      <c r="F2656" s="2">
        <v>3</v>
      </c>
      <c r="G2656" s="4">
        <v>3</v>
      </c>
      <c r="H2656" s="13"/>
      <c r="I2656" s="15"/>
      <c r="J2656" s="19">
        <v>3</v>
      </c>
      <c r="K2656" s="2" t="s">
        <v>5324</v>
      </c>
      <c r="L2656" s="11" t="str">
        <f t="shared" si="42"/>
        <v>Ver Imagen</v>
      </c>
      <c r="M2656" t="s">
        <v>15</v>
      </c>
    </row>
    <row r="2657" spans="1:13" x14ac:dyDescent="0.25">
      <c r="A2657">
        <v>2656</v>
      </c>
      <c r="B2657" t="s">
        <v>5325</v>
      </c>
      <c r="C2657" s="1">
        <v>37.443407327300001</v>
      </c>
      <c r="D2657" s="1">
        <v>-7.0955173474000004</v>
      </c>
      <c r="E2657" s="3">
        <v>3</v>
      </c>
      <c r="F2657" s="2">
        <v>2</v>
      </c>
      <c r="G2657" s="4">
        <v>3</v>
      </c>
      <c r="H2657" s="13"/>
      <c r="I2657" s="15"/>
      <c r="J2657" s="19">
        <v>3</v>
      </c>
      <c r="K2657" s="2" t="s">
        <v>5326</v>
      </c>
      <c r="L2657" s="11" t="str">
        <f t="shared" si="42"/>
        <v>Ver Imagen</v>
      </c>
      <c r="M2657" t="s">
        <v>15</v>
      </c>
    </row>
    <row r="2658" spans="1:13" x14ac:dyDescent="0.25">
      <c r="A2658">
        <v>2657</v>
      </c>
      <c r="B2658" t="s">
        <v>5327</v>
      </c>
      <c r="C2658" s="1">
        <v>37.441371554299998</v>
      </c>
      <c r="D2658" s="1">
        <v>-7.0905430911899998</v>
      </c>
      <c r="E2658" s="3">
        <v>3</v>
      </c>
      <c r="F2658" s="2">
        <v>2</v>
      </c>
      <c r="G2658" s="4">
        <v>3</v>
      </c>
      <c r="H2658" s="13"/>
      <c r="I2658" s="15"/>
      <c r="J2658" s="19">
        <v>3</v>
      </c>
      <c r="K2658" s="2" t="s">
        <v>5328</v>
      </c>
      <c r="L2658" s="11" t="str">
        <f t="shared" si="42"/>
        <v>Ver Imagen</v>
      </c>
      <c r="M2658" t="s">
        <v>15</v>
      </c>
    </row>
    <row r="2659" spans="1:13" x14ac:dyDescent="0.25">
      <c r="A2659">
        <v>2658</v>
      </c>
      <c r="B2659" t="s">
        <v>5329</v>
      </c>
      <c r="C2659" s="1">
        <v>37.441269656199999</v>
      </c>
      <c r="D2659" s="1">
        <v>-7.0903248826</v>
      </c>
      <c r="E2659" s="3">
        <v>3</v>
      </c>
      <c r="F2659" s="2">
        <v>2</v>
      </c>
      <c r="G2659" s="4">
        <v>3</v>
      </c>
      <c r="H2659" s="13"/>
      <c r="I2659" s="15"/>
      <c r="J2659" s="19">
        <v>3</v>
      </c>
      <c r="K2659" s="2" t="s">
        <v>5330</v>
      </c>
      <c r="L2659" s="11" t="str">
        <f t="shared" si="42"/>
        <v>Ver Imagen</v>
      </c>
      <c r="M2659" t="s">
        <v>15</v>
      </c>
    </row>
    <row r="2660" spans="1:13" x14ac:dyDescent="0.25">
      <c r="A2660">
        <v>2659</v>
      </c>
      <c r="B2660" t="s">
        <v>5331</v>
      </c>
      <c r="C2660" s="1">
        <v>37.227130243300003</v>
      </c>
      <c r="D2660" s="1">
        <v>-7.0607849171600003</v>
      </c>
      <c r="E2660" s="3">
        <v>3</v>
      </c>
      <c r="F2660" s="2">
        <v>2</v>
      </c>
      <c r="G2660" s="4">
        <v>3</v>
      </c>
      <c r="H2660" s="13"/>
      <c r="I2660" s="15"/>
      <c r="J2660" s="19">
        <v>3</v>
      </c>
      <c r="K2660" s="2" t="s">
        <v>5332</v>
      </c>
      <c r="L2660" s="11" t="str">
        <f t="shared" si="42"/>
        <v>Ver Imagen</v>
      </c>
      <c r="M2660" t="s">
        <v>15</v>
      </c>
    </row>
    <row r="2661" spans="1:13" x14ac:dyDescent="0.25">
      <c r="A2661">
        <v>2660</v>
      </c>
      <c r="B2661" t="s">
        <v>5333</v>
      </c>
      <c r="C2661" s="1">
        <v>37.227505252699999</v>
      </c>
      <c r="D2661" s="1">
        <v>-7.0609610149500002</v>
      </c>
      <c r="E2661" s="3">
        <v>3</v>
      </c>
      <c r="F2661" s="2">
        <v>2</v>
      </c>
      <c r="G2661" s="4">
        <v>3</v>
      </c>
      <c r="H2661" s="13"/>
      <c r="I2661" s="15"/>
      <c r="J2661" s="19">
        <v>3</v>
      </c>
      <c r="K2661" s="2" t="s">
        <v>5334</v>
      </c>
      <c r="L2661" s="11" t="str">
        <f t="shared" si="42"/>
        <v>Ver Imagen</v>
      </c>
      <c r="M2661" t="s">
        <v>15</v>
      </c>
    </row>
    <row r="2662" spans="1:13" x14ac:dyDescent="0.25">
      <c r="A2662">
        <v>2661</v>
      </c>
      <c r="B2662" t="s">
        <v>5335</v>
      </c>
      <c r="C2662" s="1">
        <v>37.229101829599998</v>
      </c>
      <c r="D2662" s="1">
        <v>-7.0625196492400004</v>
      </c>
      <c r="E2662" s="3">
        <v>3</v>
      </c>
      <c r="F2662" s="2">
        <v>2</v>
      </c>
      <c r="G2662" s="4">
        <v>3</v>
      </c>
      <c r="H2662" s="13"/>
      <c r="I2662" s="15"/>
      <c r="J2662" s="19">
        <v>3</v>
      </c>
      <c r="K2662" s="2" t="s">
        <v>5336</v>
      </c>
      <c r="L2662" s="11" t="str">
        <f t="shared" si="42"/>
        <v>Ver Imagen</v>
      </c>
      <c r="M2662" t="s">
        <v>15</v>
      </c>
    </row>
    <row r="2663" spans="1:13" x14ac:dyDescent="0.25">
      <c r="A2663">
        <v>2662</v>
      </c>
      <c r="B2663" t="s">
        <v>5337</v>
      </c>
      <c r="C2663" s="1">
        <v>37.229217987299997</v>
      </c>
      <c r="D2663" s="1">
        <v>-7.0626515380599999</v>
      </c>
      <c r="E2663" s="3">
        <v>3</v>
      </c>
      <c r="F2663" s="2">
        <v>2</v>
      </c>
      <c r="G2663" s="4">
        <v>3</v>
      </c>
      <c r="H2663" s="13"/>
      <c r="I2663" s="15"/>
      <c r="J2663" s="19">
        <v>3</v>
      </c>
      <c r="K2663" s="2" t="s">
        <v>5338</v>
      </c>
      <c r="L2663" s="11" t="str">
        <f t="shared" si="42"/>
        <v>Ver Imagen</v>
      </c>
      <c r="M2663" t="s">
        <v>15</v>
      </c>
    </row>
    <row r="2664" spans="1:13" x14ac:dyDescent="0.25">
      <c r="A2664">
        <v>2663</v>
      </c>
      <c r="B2664" t="s">
        <v>5339</v>
      </c>
      <c r="C2664" s="1">
        <v>37.229564044999996</v>
      </c>
      <c r="D2664" s="1">
        <v>-7.0629851321299997</v>
      </c>
      <c r="E2664" s="3">
        <v>3</v>
      </c>
      <c r="F2664" s="2">
        <v>2</v>
      </c>
      <c r="G2664" s="4">
        <v>3</v>
      </c>
      <c r="H2664" s="13"/>
      <c r="I2664" s="15"/>
      <c r="J2664" s="19">
        <v>3</v>
      </c>
      <c r="K2664" s="2" t="s">
        <v>5340</v>
      </c>
      <c r="L2664" s="11" t="str">
        <f t="shared" si="42"/>
        <v>Ver Imagen</v>
      </c>
      <c r="M2664" t="s">
        <v>15</v>
      </c>
    </row>
    <row r="2665" spans="1:13" x14ac:dyDescent="0.25">
      <c r="A2665">
        <v>2664</v>
      </c>
      <c r="B2665" t="s">
        <v>5341</v>
      </c>
      <c r="C2665" s="1">
        <v>37.2299189473</v>
      </c>
      <c r="D2665" s="1">
        <v>-7.0632038130900003</v>
      </c>
      <c r="E2665" s="3">
        <v>3</v>
      </c>
      <c r="F2665" s="2">
        <v>2</v>
      </c>
      <c r="G2665" s="4">
        <v>3</v>
      </c>
      <c r="H2665" s="13"/>
      <c r="I2665" s="15"/>
      <c r="J2665" s="19">
        <v>3</v>
      </c>
      <c r="K2665" s="2" t="s">
        <v>5342</v>
      </c>
      <c r="L2665" s="11" t="str">
        <f t="shared" ref="L2665:L2728" si="43">HYPERLINK("3\1\" &amp; K2665, "Ver Imagen")</f>
        <v>Ver Imagen</v>
      </c>
      <c r="M2665" t="s">
        <v>15</v>
      </c>
    </row>
    <row r="2666" spans="1:13" x14ac:dyDescent="0.25">
      <c r="A2666">
        <v>2665</v>
      </c>
      <c r="B2666" t="s">
        <v>5343</v>
      </c>
      <c r="C2666" s="1">
        <v>37.2301140629</v>
      </c>
      <c r="D2666" s="1">
        <v>-7.0632771997299999</v>
      </c>
      <c r="E2666" s="3">
        <v>3</v>
      </c>
      <c r="F2666" s="2">
        <v>2</v>
      </c>
      <c r="G2666" s="4">
        <v>3</v>
      </c>
      <c r="H2666" s="13"/>
      <c r="I2666" s="15"/>
      <c r="J2666" s="19">
        <v>3</v>
      </c>
      <c r="K2666" s="2" t="s">
        <v>5344</v>
      </c>
      <c r="L2666" s="11" t="str">
        <f t="shared" si="43"/>
        <v>Ver Imagen</v>
      </c>
      <c r="M2666" t="s">
        <v>15</v>
      </c>
    </row>
    <row r="2667" spans="1:13" x14ac:dyDescent="0.25">
      <c r="A2667">
        <v>2666</v>
      </c>
      <c r="B2667" t="s">
        <v>5345</v>
      </c>
      <c r="C2667" s="1">
        <v>37.231658558900001</v>
      </c>
      <c r="D2667" s="1">
        <v>-7.0638203610300003</v>
      </c>
      <c r="E2667" s="3">
        <v>3</v>
      </c>
      <c r="F2667" s="2">
        <v>2</v>
      </c>
      <c r="G2667" s="4">
        <v>3</v>
      </c>
      <c r="H2667" s="13"/>
      <c r="I2667" s="15"/>
      <c r="J2667" s="19">
        <v>3</v>
      </c>
      <c r="K2667" s="2" t="s">
        <v>5346</v>
      </c>
      <c r="L2667" s="11" t="str">
        <f t="shared" si="43"/>
        <v>Ver Imagen</v>
      </c>
      <c r="M2667" t="s">
        <v>15</v>
      </c>
    </row>
    <row r="2668" spans="1:13" x14ac:dyDescent="0.25">
      <c r="A2668">
        <v>2667</v>
      </c>
      <c r="B2668" t="s">
        <v>5347</v>
      </c>
      <c r="C2668" s="1">
        <v>37.231834302199999</v>
      </c>
      <c r="D2668" s="1">
        <v>-7.0639694935800001</v>
      </c>
      <c r="E2668" s="3">
        <v>3</v>
      </c>
      <c r="F2668" s="2">
        <v>2</v>
      </c>
      <c r="G2668" s="4">
        <v>3</v>
      </c>
      <c r="H2668" s="13"/>
      <c r="I2668" s="15"/>
      <c r="J2668" s="19">
        <v>3</v>
      </c>
      <c r="K2668" s="2" t="s">
        <v>5348</v>
      </c>
      <c r="L2668" s="11" t="str">
        <f t="shared" si="43"/>
        <v>Ver Imagen</v>
      </c>
      <c r="M2668" t="s">
        <v>15</v>
      </c>
    </row>
    <row r="2669" spans="1:13" x14ac:dyDescent="0.25">
      <c r="A2669">
        <v>2668</v>
      </c>
      <c r="B2669" t="s">
        <v>5349</v>
      </c>
      <c r="C2669" s="1">
        <v>37.232424460899999</v>
      </c>
      <c r="D2669" s="1">
        <v>-7.0646542853899996</v>
      </c>
      <c r="E2669" s="3">
        <v>3</v>
      </c>
      <c r="F2669" s="2">
        <v>2</v>
      </c>
      <c r="G2669" s="4">
        <v>3</v>
      </c>
      <c r="H2669" s="13"/>
      <c r="I2669" s="15"/>
      <c r="J2669" s="19">
        <v>3</v>
      </c>
      <c r="K2669" s="2" t="s">
        <v>5350</v>
      </c>
      <c r="L2669" s="11" t="str">
        <f t="shared" si="43"/>
        <v>Ver Imagen</v>
      </c>
      <c r="M2669" t="s">
        <v>15</v>
      </c>
    </row>
    <row r="2670" spans="1:13" x14ac:dyDescent="0.25">
      <c r="A2670">
        <v>2669</v>
      </c>
      <c r="B2670" t="s">
        <v>5351</v>
      </c>
      <c r="C2670" s="1">
        <v>37.432503064199999</v>
      </c>
      <c r="D2670" s="1">
        <v>-7.0639438059400002</v>
      </c>
      <c r="E2670" s="3">
        <v>3</v>
      </c>
      <c r="F2670" s="2">
        <v>4</v>
      </c>
      <c r="G2670" s="4">
        <v>3</v>
      </c>
      <c r="H2670" s="13"/>
      <c r="I2670" s="15"/>
      <c r="J2670" s="19">
        <v>3</v>
      </c>
      <c r="K2670" s="2" t="s">
        <v>5352</v>
      </c>
      <c r="L2670" s="11" t="str">
        <f t="shared" si="43"/>
        <v>Ver Imagen</v>
      </c>
      <c r="M2670" t="s">
        <v>15</v>
      </c>
    </row>
    <row r="2671" spans="1:13" x14ac:dyDescent="0.25">
      <c r="A2671">
        <v>2670</v>
      </c>
      <c r="B2671" t="s">
        <v>5353</v>
      </c>
      <c r="C2671" s="1">
        <v>37.225321264800002</v>
      </c>
      <c r="D2671" s="1">
        <v>-7.0290248911699997</v>
      </c>
      <c r="E2671" s="3">
        <v>3</v>
      </c>
      <c r="F2671" s="2">
        <v>2</v>
      </c>
      <c r="G2671" s="4">
        <v>3</v>
      </c>
      <c r="H2671" s="13"/>
      <c r="I2671" s="15"/>
      <c r="J2671" s="19">
        <v>3</v>
      </c>
      <c r="K2671" s="2" t="s">
        <v>5354</v>
      </c>
      <c r="L2671" s="11" t="str">
        <f t="shared" si="43"/>
        <v>Ver Imagen</v>
      </c>
      <c r="M2671" t="s">
        <v>15</v>
      </c>
    </row>
    <row r="2672" spans="1:13" x14ac:dyDescent="0.25">
      <c r="A2672">
        <v>2671</v>
      </c>
      <c r="B2672" t="s">
        <v>5355</v>
      </c>
      <c r="C2672" s="1">
        <v>37.225298379999998</v>
      </c>
      <c r="D2672" s="1">
        <v>-7.0310635133400003</v>
      </c>
      <c r="E2672" s="3">
        <v>3</v>
      </c>
      <c r="F2672" s="2">
        <v>2</v>
      </c>
      <c r="G2672" s="4">
        <v>3</v>
      </c>
      <c r="H2672" s="13"/>
      <c r="I2672" s="15"/>
      <c r="J2672" s="19">
        <v>3</v>
      </c>
      <c r="K2672" s="2" t="s">
        <v>5356</v>
      </c>
      <c r="L2672" s="11" t="str">
        <f t="shared" si="43"/>
        <v>Ver Imagen</v>
      </c>
      <c r="M2672" t="s">
        <v>15</v>
      </c>
    </row>
    <row r="2673" spans="1:13" x14ac:dyDescent="0.25">
      <c r="A2673">
        <v>2672</v>
      </c>
      <c r="B2673" t="s">
        <v>5357</v>
      </c>
      <c r="C2673" s="1">
        <v>37.224901430899997</v>
      </c>
      <c r="D2673" s="1">
        <v>-7.03352448463</v>
      </c>
      <c r="E2673" s="3">
        <v>3</v>
      </c>
      <c r="F2673" s="2">
        <v>2</v>
      </c>
      <c r="G2673" s="4">
        <v>3</v>
      </c>
      <c r="H2673" s="13"/>
      <c r="I2673" s="15"/>
      <c r="J2673" s="19">
        <v>3</v>
      </c>
      <c r="K2673" s="2" t="s">
        <v>5358</v>
      </c>
      <c r="L2673" s="11" t="str">
        <f t="shared" si="43"/>
        <v>Ver Imagen</v>
      </c>
      <c r="M2673" t="s">
        <v>15</v>
      </c>
    </row>
    <row r="2674" spans="1:13" x14ac:dyDescent="0.25">
      <c r="A2674">
        <v>2673</v>
      </c>
      <c r="B2674" t="s">
        <v>5359</v>
      </c>
      <c r="C2674" s="1">
        <v>37.431901247100001</v>
      </c>
      <c r="D2674" s="1">
        <v>-7.0626401167599999</v>
      </c>
      <c r="E2674" s="3">
        <v>3</v>
      </c>
      <c r="F2674" s="2">
        <v>2</v>
      </c>
      <c r="G2674" s="4">
        <v>3</v>
      </c>
      <c r="H2674" s="13"/>
      <c r="I2674" s="15"/>
      <c r="J2674" s="19">
        <v>3</v>
      </c>
      <c r="K2674" s="2" t="s">
        <v>5360</v>
      </c>
      <c r="L2674" s="11" t="str">
        <f t="shared" si="43"/>
        <v>Ver Imagen</v>
      </c>
      <c r="M2674" t="s">
        <v>15</v>
      </c>
    </row>
    <row r="2675" spans="1:13" x14ac:dyDescent="0.25">
      <c r="A2675">
        <v>2674</v>
      </c>
      <c r="B2675" t="s">
        <v>5361</v>
      </c>
      <c r="C2675" s="1">
        <v>37.224641961700002</v>
      </c>
      <c r="D2675" s="1">
        <v>-7.0353407971699999</v>
      </c>
      <c r="E2675" s="3">
        <v>4</v>
      </c>
      <c r="F2675" s="2">
        <v>3</v>
      </c>
      <c r="G2675" s="4">
        <v>3</v>
      </c>
      <c r="H2675" s="13"/>
      <c r="I2675" s="15"/>
      <c r="J2675" s="19">
        <v>3</v>
      </c>
      <c r="K2675" s="2" t="s">
        <v>5362</v>
      </c>
      <c r="L2675" s="11" t="str">
        <f t="shared" si="43"/>
        <v>Ver Imagen</v>
      </c>
      <c r="M2675" t="s">
        <v>15</v>
      </c>
    </row>
    <row r="2676" spans="1:13" x14ac:dyDescent="0.25">
      <c r="A2676">
        <v>2675</v>
      </c>
      <c r="B2676" t="s">
        <v>5363</v>
      </c>
      <c r="C2676" s="1">
        <v>37.224651399300001</v>
      </c>
      <c r="D2676" s="1">
        <v>-7.0355992339800002</v>
      </c>
      <c r="E2676" s="3">
        <v>4</v>
      </c>
      <c r="F2676" s="2">
        <v>3</v>
      </c>
      <c r="G2676" s="4">
        <v>3</v>
      </c>
      <c r="H2676" s="13"/>
      <c r="I2676" s="15"/>
      <c r="J2676" s="19">
        <v>3</v>
      </c>
      <c r="K2676" s="2" t="s">
        <v>5364</v>
      </c>
      <c r="L2676" s="11" t="str">
        <f t="shared" si="43"/>
        <v>Ver Imagen</v>
      </c>
      <c r="M2676" t="s">
        <v>15</v>
      </c>
    </row>
    <row r="2677" spans="1:13" x14ac:dyDescent="0.25">
      <c r="A2677">
        <v>2676</v>
      </c>
      <c r="B2677" t="s">
        <v>5365</v>
      </c>
      <c r="C2677" s="1">
        <v>37.224585938799997</v>
      </c>
      <c r="D2677" s="1">
        <v>-7.0357880652900002</v>
      </c>
      <c r="E2677" s="3">
        <v>4</v>
      </c>
      <c r="F2677" s="2">
        <v>3</v>
      </c>
      <c r="G2677" s="4">
        <v>3</v>
      </c>
      <c r="H2677" s="13"/>
      <c r="I2677" s="15"/>
      <c r="J2677" s="19">
        <v>3</v>
      </c>
      <c r="K2677" s="2" t="s">
        <v>5366</v>
      </c>
      <c r="L2677" s="11" t="str">
        <f t="shared" si="43"/>
        <v>Ver Imagen</v>
      </c>
      <c r="M2677" t="s">
        <v>15</v>
      </c>
    </row>
    <row r="2678" spans="1:13" x14ac:dyDescent="0.25">
      <c r="A2678">
        <v>2677</v>
      </c>
      <c r="B2678" t="s">
        <v>5367</v>
      </c>
      <c r="C2678" s="1">
        <v>37.224564197500001</v>
      </c>
      <c r="D2678" s="1">
        <v>-7.0362266139500003</v>
      </c>
      <c r="E2678" s="3">
        <v>3</v>
      </c>
      <c r="F2678" s="2">
        <v>2</v>
      </c>
      <c r="G2678" s="4">
        <v>3</v>
      </c>
      <c r="H2678" s="13"/>
      <c r="I2678" s="15"/>
      <c r="J2678" s="19">
        <v>3</v>
      </c>
      <c r="K2678" s="2" t="s">
        <v>5368</v>
      </c>
      <c r="L2678" s="11" t="str">
        <f t="shared" si="43"/>
        <v>Ver Imagen</v>
      </c>
      <c r="M2678" t="s">
        <v>15</v>
      </c>
    </row>
    <row r="2679" spans="1:13" x14ac:dyDescent="0.25">
      <c r="A2679">
        <v>2678</v>
      </c>
      <c r="B2679" t="s">
        <v>5369</v>
      </c>
      <c r="C2679" s="1">
        <v>37.224636143300003</v>
      </c>
      <c r="D2679" s="1">
        <v>-7.0377520217800003</v>
      </c>
      <c r="E2679" s="3">
        <v>3</v>
      </c>
      <c r="F2679" s="2">
        <v>2</v>
      </c>
      <c r="G2679" s="4">
        <v>3</v>
      </c>
      <c r="H2679" s="13"/>
      <c r="I2679" s="15"/>
      <c r="J2679" s="19">
        <v>3</v>
      </c>
      <c r="K2679" s="2" t="s">
        <v>5370</v>
      </c>
      <c r="L2679" s="11" t="str">
        <f t="shared" si="43"/>
        <v>Ver Imagen</v>
      </c>
      <c r="M2679" t="s">
        <v>15</v>
      </c>
    </row>
    <row r="2680" spans="1:13" x14ac:dyDescent="0.25">
      <c r="A2680">
        <v>2679</v>
      </c>
      <c r="B2680" t="s">
        <v>5371</v>
      </c>
      <c r="C2680" s="1">
        <v>37.2247203752</v>
      </c>
      <c r="D2680" s="1">
        <v>-7.0387813335800002</v>
      </c>
      <c r="E2680" s="3">
        <v>3</v>
      </c>
      <c r="F2680" s="2">
        <v>2</v>
      </c>
      <c r="G2680" s="4">
        <v>3</v>
      </c>
      <c r="H2680" s="13"/>
      <c r="I2680" s="15"/>
      <c r="J2680" s="19">
        <v>3</v>
      </c>
      <c r="K2680" s="2" t="s">
        <v>5372</v>
      </c>
      <c r="L2680" s="11" t="str">
        <f t="shared" si="43"/>
        <v>Ver Imagen</v>
      </c>
      <c r="M2680" t="s">
        <v>15</v>
      </c>
    </row>
    <row r="2681" spans="1:13" x14ac:dyDescent="0.25">
      <c r="A2681">
        <v>2680</v>
      </c>
      <c r="B2681" t="s">
        <v>5373</v>
      </c>
      <c r="C2681" s="1">
        <v>37.227244379399998</v>
      </c>
      <c r="D2681" s="1">
        <v>-7.0449938906799998</v>
      </c>
      <c r="E2681" s="3">
        <v>3</v>
      </c>
      <c r="F2681" s="2">
        <v>2</v>
      </c>
      <c r="G2681" s="4">
        <v>3</v>
      </c>
      <c r="H2681" s="13"/>
      <c r="I2681" s="15"/>
      <c r="J2681" s="19">
        <v>3</v>
      </c>
      <c r="K2681" s="2" t="s">
        <v>5374</v>
      </c>
      <c r="L2681" s="11" t="str">
        <f t="shared" si="43"/>
        <v>Ver Imagen</v>
      </c>
      <c r="M2681" t="s">
        <v>15</v>
      </c>
    </row>
    <row r="2682" spans="1:13" x14ac:dyDescent="0.25">
      <c r="A2682">
        <v>2681</v>
      </c>
      <c r="B2682" t="s">
        <v>5375</v>
      </c>
      <c r="C2682" s="1">
        <v>37.227893678100003</v>
      </c>
      <c r="D2682" s="1">
        <v>-7.0456150640499997</v>
      </c>
      <c r="E2682" s="3">
        <v>3</v>
      </c>
      <c r="F2682" s="2">
        <v>2</v>
      </c>
      <c r="G2682" s="4">
        <v>3</v>
      </c>
      <c r="H2682" s="13"/>
      <c r="I2682" s="15"/>
      <c r="J2682" s="19">
        <v>3</v>
      </c>
      <c r="K2682" s="2" t="s">
        <v>5376</v>
      </c>
      <c r="L2682" s="11" t="str">
        <f t="shared" si="43"/>
        <v>Ver Imagen</v>
      </c>
      <c r="M2682" t="s">
        <v>15</v>
      </c>
    </row>
    <row r="2683" spans="1:13" x14ac:dyDescent="0.25">
      <c r="A2683">
        <v>2682</v>
      </c>
      <c r="B2683" t="s">
        <v>5377</v>
      </c>
      <c r="C2683" s="1">
        <v>37.230108500199997</v>
      </c>
      <c r="D2683" s="1">
        <v>-7.0488874373900003</v>
      </c>
      <c r="E2683" s="3">
        <v>3</v>
      </c>
      <c r="F2683" s="2">
        <v>2</v>
      </c>
      <c r="G2683" s="4">
        <v>3</v>
      </c>
      <c r="H2683" s="13"/>
      <c r="I2683" s="15"/>
      <c r="J2683" s="19">
        <v>3</v>
      </c>
      <c r="K2683" s="2" t="s">
        <v>5378</v>
      </c>
      <c r="L2683" s="11" t="str">
        <f t="shared" si="43"/>
        <v>Ver Imagen</v>
      </c>
      <c r="M2683" t="s">
        <v>15</v>
      </c>
    </row>
    <row r="2684" spans="1:13" x14ac:dyDescent="0.25">
      <c r="A2684">
        <v>2683</v>
      </c>
      <c r="B2684" t="s">
        <v>5379</v>
      </c>
      <c r="C2684" s="1">
        <v>37.230592009900001</v>
      </c>
      <c r="D2684" s="1">
        <v>-7.0496984983199997</v>
      </c>
      <c r="E2684" s="3">
        <v>3</v>
      </c>
      <c r="F2684" s="2">
        <v>2</v>
      </c>
      <c r="G2684" s="4">
        <v>3</v>
      </c>
      <c r="H2684" s="13"/>
      <c r="I2684" s="15"/>
      <c r="J2684" s="19">
        <v>3</v>
      </c>
      <c r="K2684" s="2" t="s">
        <v>5380</v>
      </c>
      <c r="L2684" s="11" t="str">
        <f t="shared" si="43"/>
        <v>Ver Imagen</v>
      </c>
      <c r="M2684" t="s">
        <v>15</v>
      </c>
    </row>
    <row r="2685" spans="1:13" x14ac:dyDescent="0.25">
      <c r="A2685">
        <v>2684</v>
      </c>
      <c r="B2685" t="s">
        <v>5381</v>
      </c>
      <c r="C2685" s="1">
        <v>37.231055455899998</v>
      </c>
      <c r="D2685" s="1">
        <v>-7.0505215251199997</v>
      </c>
      <c r="E2685" s="3">
        <v>3</v>
      </c>
      <c r="F2685" s="2">
        <v>2</v>
      </c>
      <c r="G2685" s="4">
        <v>3</v>
      </c>
      <c r="H2685" s="13"/>
      <c r="I2685" s="15"/>
      <c r="J2685" s="19">
        <v>3</v>
      </c>
      <c r="K2685" s="2" t="s">
        <v>5382</v>
      </c>
      <c r="L2685" s="11" t="str">
        <f t="shared" si="43"/>
        <v>Ver Imagen</v>
      </c>
      <c r="M2685" t="s">
        <v>15</v>
      </c>
    </row>
    <row r="2686" spans="1:13" x14ac:dyDescent="0.25">
      <c r="A2686">
        <v>2685</v>
      </c>
      <c r="B2686" t="s">
        <v>5383</v>
      </c>
      <c r="C2686" s="1">
        <v>37.231391572600003</v>
      </c>
      <c r="D2686" s="1">
        <v>-7.0511606149199997</v>
      </c>
      <c r="E2686" s="3">
        <v>3</v>
      </c>
      <c r="F2686" s="2">
        <v>2</v>
      </c>
      <c r="G2686" s="4">
        <v>3</v>
      </c>
      <c r="H2686" s="13"/>
      <c r="I2686" s="15"/>
      <c r="J2686" s="19">
        <v>3</v>
      </c>
      <c r="K2686" s="2" t="s">
        <v>5384</v>
      </c>
      <c r="L2686" s="11" t="str">
        <f t="shared" si="43"/>
        <v>Ver Imagen</v>
      </c>
      <c r="M2686" t="s">
        <v>15</v>
      </c>
    </row>
    <row r="2687" spans="1:13" x14ac:dyDescent="0.25">
      <c r="A2687">
        <v>2686</v>
      </c>
      <c r="B2687" t="s">
        <v>5385</v>
      </c>
      <c r="C2687" s="1">
        <v>37.231618343599997</v>
      </c>
      <c r="D2687" s="1">
        <v>-7.0515879204700003</v>
      </c>
      <c r="E2687" s="3">
        <v>3</v>
      </c>
      <c r="F2687" s="2">
        <v>2</v>
      </c>
      <c r="G2687" s="4">
        <v>3</v>
      </c>
      <c r="H2687" s="13"/>
      <c r="I2687" s="15"/>
      <c r="J2687" s="19">
        <v>3</v>
      </c>
      <c r="K2687" s="2" t="s">
        <v>5386</v>
      </c>
      <c r="L2687" s="11" t="str">
        <f t="shared" si="43"/>
        <v>Ver Imagen</v>
      </c>
      <c r="M2687" t="s">
        <v>15</v>
      </c>
    </row>
    <row r="2688" spans="1:13" x14ac:dyDescent="0.25">
      <c r="A2688">
        <v>2687</v>
      </c>
      <c r="B2688" t="s">
        <v>5387</v>
      </c>
      <c r="C2688" s="1">
        <v>37.231734164000002</v>
      </c>
      <c r="D2688" s="1">
        <v>-7.0517983132299999</v>
      </c>
      <c r="E2688" s="3">
        <v>3</v>
      </c>
      <c r="F2688" s="2">
        <v>2</v>
      </c>
      <c r="G2688" s="4">
        <v>3</v>
      </c>
      <c r="H2688" s="13"/>
      <c r="I2688" s="15"/>
      <c r="J2688" s="19">
        <v>3</v>
      </c>
      <c r="K2688" s="2" t="s">
        <v>5388</v>
      </c>
      <c r="L2688" s="11" t="str">
        <f t="shared" si="43"/>
        <v>Ver Imagen</v>
      </c>
      <c r="M2688" t="s">
        <v>15</v>
      </c>
    </row>
    <row r="2689" spans="1:13" x14ac:dyDescent="0.25">
      <c r="A2689">
        <v>2688</v>
      </c>
      <c r="B2689" t="s">
        <v>5389</v>
      </c>
      <c r="C2689" s="1">
        <v>37.2319482292</v>
      </c>
      <c r="D2689" s="1">
        <v>-7.0522005671799999</v>
      </c>
      <c r="E2689" s="3">
        <v>3</v>
      </c>
      <c r="F2689" s="2">
        <v>2</v>
      </c>
      <c r="G2689" s="4">
        <v>3</v>
      </c>
      <c r="H2689" s="13"/>
      <c r="I2689" s="15"/>
      <c r="J2689" s="19">
        <v>3</v>
      </c>
      <c r="K2689" s="2" t="s">
        <v>5390</v>
      </c>
      <c r="L2689" s="11" t="str">
        <f t="shared" si="43"/>
        <v>Ver Imagen</v>
      </c>
      <c r="M2689" t="s">
        <v>15</v>
      </c>
    </row>
    <row r="2690" spans="1:13" x14ac:dyDescent="0.25">
      <c r="A2690">
        <v>2689</v>
      </c>
      <c r="B2690" t="s">
        <v>5391</v>
      </c>
      <c r="C2690" s="1">
        <v>37.232070579599998</v>
      </c>
      <c r="D2690" s="1">
        <v>-7.0524309907999996</v>
      </c>
      <c r="E2690" s="3">
        <v>3</v>
      </c>
      <c r="F2690" s="2">
        <v>2</v>
      </c>
      <c r="G2690" s="4">
        <v>3</v>
      </c>
      <c r="H2690" s="13"/>
      <c r="I2690" s="15"/>
      <c r="J2690" s="19">
        <v>3</v>
      </c>
      <c r="K2690" s="2" t="s">
        <v>5392</v>
      </c>
      <c r="L2690" s="11" t="str">
        <f t="shared" si="43"/>
        <v>Ver Imagen</v>
      </c>
      <c r="M2690" t="s">
        <v>15</v>
      </c>
    </row>
    <row r="2691" spans="1:13" x14ac:dyDescent="0.25">
      <c r="A2691">
        <v>2690</v>
      </c>
      <c r="B2691" t="s">
        <v>5393</v>
      </c>
      <c r="C2691" s="1">
        <v>37.232401727000003</v>
      </c>
      <c r="D2691" s="1">
        <v>-7.0530398982199998</v>
      </c>
      <c r="E2691" s="3">
        <v>3</v>
      </c>
      <c r="F2691" s="2">
        <v>2</v>
      </c>
      <c r="G2691" s="4">
        <v>3</v>
      </c>
      <c r="H2691" s="13"/>
      <c r="I2691" s="15"/>
      <c r="J2691" s="19">
        <v>3</v>
      </c>
      <c r="K2691" s="2" t="s">
        <v>5394</v>
      </c>
      <c r="L2691" s="11" t="str">
        <f t="shared" si="43"/>
        <v>Ver Imagen</v>
      </c>
      <c r="M2691" t="s">
        <v>15</v>
      </c>
    </row>
    <row r="2692" spans="1:13" x14ac:dyDescent="0.25">
      <c r="A2692">
        <v>2691</v>
      </c>
      <c r="B2692" t="s">
        <v>5395</v>
      </c>
      <c r="C2692" s="1">
        <v>37.233151241599998</v>
      </c>
      <c r="D2692" s="1">
        <v>-7.0548621537400003</v>
      </c>
      <c r="E2692" s="3">
        <v>3</v>
      </c>
      <c r="F2692" s="2">
        <v>2</v>
      </c>
      <c r="G2692" s="4">
        <v>3</v>
      </c>
      <c r="H2692" s="13"/>
      <c r="I2692" s="15"/>
      <c r="J2692" s="19">
        <v>3</v>
      </c>
      <c r="K2692" s="2" t="s">
        <v>5396</v>
      </c>
      <c r="L2692" s="11" t="str">
        <f t="shared" si="43"/>
        <v>Ver Imagen</v>
      </c>
      <c r="M2692" t="s">
        <v>15</v>
      </c>
    </row>
    <row r="2693" spans="1:13" x14ac:dyDescent="0.25">
      <c r="A2693">
        <v>2692</v>
      </c>
      <c r="B2693" t="s">
        <v>5397</v>
      </c>
      <c r="C2693" s="1">
        <v>37.233396789899999</v>
      </c>
      <c r="D2693" s="1">
        <v>-7.05580807744</v>
      </c>
      <c r="E2693" s="3">
        <v>3</v>
      </c>
      <c r="F2693" s="2">
        <v>2</v>
      </c>
      <c r="G2693" s="4">
        <v>3</v>
      </c>
      <c r="H2693" s="13"/>
      <c r="I2693" s="15"/>
      <c r="J2693" s="19">
        <v>3</v>
      </c>
      <c r="K2693" s="2" t="s">
        <v>5398</v>
      </c>
      <c r="L2693" s="11" t="str">
        <f t="shared" si="43"/>
        <v>Ver Imagen</v>
      </c>
      <c r="M2693" t="s">
        <v>15</v>
      </c>
    </row>
    <row r="2694" spans="1:13" x14ac:dyDescent="0.25">
      <c r="A2694">
        <v>2693</v>
      </c>
      <c r="B2694" t="s">
        <v>5399</v>
      </c>
      <c r="C2694" s="1">
        <v>37.233526442699997</v>
      </c>
      <c r="D2694" s="1">
        <v>-7.0563040798200003</v>
      </c>
      <c r="E2694" s="3">
        <v>3</v>
      </c>
      <c r="F2694" s="2">
        <v>2</v>
      </c>
      <c r="G2694" s="4">
        <v>3</v>
      </c>
      <c r="H2694" s="13"/>
      <c r="I2694" s="15"/>
      <c r="J2694" s="19">
        <v>3</v>
      </c>
      <c r="K2694" s="2" t="s">
        <v>5400</v>
      </c>
      <c r="L2694" s="11" t="str">
        <f t="shared" si="43"/>
        <v>Ver Imagen</v>
      </c>
      <c r="M2694" t="s">
        <v>15</v>
      </c>
    </row>
    <row r="2695" spans="1:13" x14ac:dyDescent="0.25">
      <c r="A2695">
        <v>2694</v>
      </c>
      <c r="B2695" t="s">
        <v>5401</v>
      </c>
      <c r="C2695" s="1">
        <v>37.233903140499997</v>
      </c>
      <c r="D2695" s="1">
        <v>-7.0577444211499998</v>
      </c>
      <c r="E2695" s="3">
        <v>3</v>
      </c>
      <c r="F2695" s="2">
        <v>2</v>
      </c>
      <c r="G2695" s="4">
        <v>3</v>
      </c>
      <c r="H2695" s="13"/>
      <c r="I2695" s="15"/>
      <c r="J2695" s="19">
        <v>3</v>
      </c>
      <c r="K2695" s="2" t="s">
        <v>5402</v>
      </c>
      <c r="L2695" s="11" t="str">
        <f t="shared" si="43"/>
        <v>Ver Imagen</v>
      </c>
      <c r="M2695" t="s">
        <v>15</v>
      </c>
    </row>
    <row r="2696" spans="1:13" x14ac:dyDescent="0.25">
      <c r="A2696">
        <v>2695</v>
      </c>
      <c r="B2696" t="s">
        <v>5403</v>
      </c>
      <c r="C2696" s="1">
        <v>37.233957095500003</v>
      </c>
      <c r="D2696" s="1">
        <v>-7.0579820822799997</v>
      </c>
      <c r="E2696" s="3">
        <v>3</v>
      </c>
      <c r="F2696" s="2">
        <v>2</v>
      </c>
      <c r="G2696" s="4">
        <v>3</v>
      </c>
      <c r="H2696" s="13"/>
      <c r="I2696" s="15"/>
      <c r="J2696" s="19">
        <v>3</v>
      </c>
      <c r="K2696" s="2" t="s">
        <v>5404</v>
      </c>
      <c r="L2696" s="11" t="str">
        <f t="shared" si="43"/>
        <v>Ver Imagen</v>
      </c>
      <c r="M2696" t="s">
        <v>15</v>
      </c>
    </row>
    <row r="2697" spans="1:13" x14ac:dyDescent="0.25">
      <c r="A2697">
        <v>2696</v>
      </c>
      <c r="B2697" t="s">
        <v>5405</v>
      </c>
      <c r="C2697" s="1">
        <v>37.234012880400002</v>
      </c>
      <c r="D2697" s="1">
        <v>-7.0582528469300003</v>
      </c>
      <c r="E2697" s="3">
        <v>3</v>
      </c>
      <c r="F2697" s="2">
        <v>2</v>
      </c>
      <c r="G2697" s="4">
        <v>3</v>
      </c>
      <c r="H2697" s="13"/>
      <c r="I2697" s="15"/>
      <c r="J2697" s="19">
        <v>3</v>
      </c>
      <c r="K2697" s="2" t="s">
        <v>5406</v>
      </c>
      <c r="L2697" s="11" t="str">
        <f t="shared" si="43"/>
        <v>Ver Imagen</v>
      </c>
      <c r="M2697" t="s">
        <v>15</v>
      </c>
    </row>
    <row r="2698" spans="1:13" x14ac:dyDescent="0.25">
      <c r="A2698">
        <v>2697</v>
      </c>
      <c r="B2698" t="s">
        <v>5407</v>
      </c>
      <c r="C2698" s="1">
        <v>37.234055238099998</v>
      </c>
      <c r="D2698" s="1">
        <v>-7.0584848521300003</v>
      </c>
      <c r="E2698" s="3">
        <v>3</v>
      </c>
      <c r="F2698" s="2">
        <v>2</v>
      </c>
      <c r="G2698" s="4">
        <v>3</v>
      </c>
      <c r="H2698" s="13"/>
      <c r="I2698" s="15"/>
      <c r="J2698" s="19">
        <v>3</v>
      </c>
      <c r="K2698" s="2" t="s">
        <v>5408</v>
      </c>
      <c r="L2698" s="11" t="str">
        <f t="shared" si="43"/>
        <v>Ver Imagen</v>
      </c>
      <c r="M2698" t="s">
        <v>15</v>
      </c>
    </row>
    <row r="2699" spans="1:13" x14ac:dyDescent="0.25">
      <c r="A2699">
        <v>2698</v>
      </c>
      <c r="B2699" t="s">
        <v>5409</v>
      </c>
      <c r="C2699" s="1">
        <v>37.234132292300004</v>
      </c>
      <c r="D2699" s="1">
        <v>-7.0592410957</v>
      </c>
      <c r="E2699" s="3">
        <v>3</v>
      </c>
      <c r="F2699" s="2">
        <v>2</v>
      </c>
      <c r="G2699" s="4">
        <v>3</v>
      </c>
      <c r="H2699" s="13"/>
      <c r="I2699" s="15"/>
      <c r="J2699" s="19">
        <v>3</v>
      </c>
      <c r="K2699" s="2" t="s">
        <v>5410</v>
      </c>
      <c r="L2699" s="11" t="str">
        <f t="shared" si="43"/>
        <v>Ver Imagen</v>
      </c>
      <c r="M2699" t="s">
        <v>15</v>
      </c>
    </row>
    <row r="2700" spans="1:13" x14ac:dyDescent="0.25">
      <c r="A2700">
        <v>2699</v>
      </c>
      <c r="B2700" t="s">
        <v>5411</v>
      </c>
      <c r="C2700" s="1">
        <v>37.234130123500002</v>
      </c>
      <c r="D2700" s="1">
        <v>-7.0602595507699997</v>
      </c>
      <c r="E2700" s="3">
        <v>3</v>
      </c>
      <c r="F2700" s="2">
        <v>2</v>
      </c>
      <c r="G2700" s="4">
        <v>3</v>
      </c>
      <c r="H2700" s="13"/>
      <c r="I2700" s="15"/>
      <c r="J2700" s="19">
        <v>3</v>
      </c>
      <c r="K2700" s="2" t="s">
        <v>5412</v>
      </c>
      <c r="L2700" s="11" t="str">
        <f t="shared" si="43"/>
        <v>Ver Imagen</v>
      </c>
      <c r="M2700" t="s">
        <v>15</v>
      </c>
    </row>
    <row r="2701" spans="1:13" x14ac:dyDescent="0.25">
      <c r="A2701">
        <v>2700</v>
      </c>
      <c r="B2701" t="s">
        <v>5413</v>
      </c>
      <c r="C2701" s="1">
        <v>37.234126956700003</v>
      </c>
      <c r="D2701" s="1">
        <v>-7.0605111001300003</v>
      </c>
      <c r="E2701" s="3">
        <v>3</v>
      </c>
      <c r="F2701" s="2">
        <v>2</v>
      </c>
      <c r="G2701" s="4">
        <v>3</v>
      </c>
      <c r="H2701" s="13"/>
      <c r="I2701" s="15"/>
      <c r="J2701" s="19">
        <v>3</v>
      </c>
      <c r="K2701" s="2" t="s">
        <v>5414</v>
      </c>
      <c r="L2701" s="11" t="str">
        <f t="shared" si="43"/>
        <v>Ver Imagen</v>
      </c>
      <c r="M2701" t="s">
        <v>15</v>
      </c>
    </row>
    <row r="2702" spans="1:13" x14ac:dyDescent="0.25">
      <c r="A2702">
        <v>2701</v>
      </c>
      <c r="B2702" t="s">
        <v>5415</v>
      </c>
      <c r="C2702" s="1">
        <v>37.234123336800003</v>
      </c>
      <c r="D2702" s="1">
        <v>-7.0607671142699999</v>
      </c>
      <c r="E2702" s="3">
        <v>3</v>
      </c>
      <c r="F2702" s="2">
        <v>2</v>
      </c>
      <c r="G2702" s="4">
        <v>3</v>
      </c>
      <c r="H2702" s="13"/>
      <c r="I2702" s="15"/>
      <c r="J2702" s="19">
        <v>3</v>
      </c>
      <c r="K2702" s="2" t="s">
        <v>5416</v>
      </c>
      <c r="L2702" s="11" t="str">
        <f t="shared" si="43"/>
        <v>Ver Imagen</v>
      </c>
      <c r="M2702" t="s">
        <v>15</v>
      </c>
    </row>
    <row r="2703" spans="1:13" x14ac:dyDescent="0.25">
      <c r="A2703">
        <v>2702</v>
      </c>
      <c r="B2703" t="s">
        <v>5417</v>
      </c>
      <c r="C2703" s="1">
        <v>37.2341152455</v>
      </c>
      <c r="D2703" s="1">
        <v>-7.0612776784499998</v>
      </c>
      <c r="E2703" s="3">
        <v>3</v>
      </c>
      <c r="F2703" s="2">
        <v>4</v>
      </c>
      <c r="G2703" s="4">
        <v>3</v>
      </c>
      <c r="H2703" s="13"/>
      <c r="I2703" s="15"/>
      <c r="J2703" s="19">
        <v>3</v>
      </c>
      <c r="K2703" s="2" t="s">
        <v>5418</v>
      </c>
      <c r="L2703" s="11" t="str">
        <f t="shared" si="43"/>
        <v>Ver Imagen</v>
      </c>
      <c r="M2703" t="s">
        <v>15</v>
      </c>
    </row>
    <row r="2704" spans="1:13" x14ac:dyDescent="0.25">
      <c r="A2704">
        <v>2703</v>
      </c>
      <c r="B2704" t="s">
        <v>5419</v>
      </c>
      <c r="C2704" s="1">
        <v>37.234005001600003</v>
      </c>
      <c r="D2704" s="1">
        <v>-7.06457878382</v>
      </c>
      <c r="E2704" s="3">
        <v>3</v>
      </c>
      <c r="F2704" s="2">
        <v>2</v>
      </c>
      <c r="G2704" s="4">
        <v>3</v>
      </c>
      <c r="H2704" s="13"/>
      <c r="I2704" s="15"/>
      <c r="J2704" s="19">
        <v>3</v>
      </c>
      <c r="K2704" s="2" t="s">
        <v>5420</v>
      </c>
      <c r="L2704" s="11" t="str">
        <f t="shared" si="43"/>
        <v>Ver Imagen</v>
      </c>
      <c r="M2704" t="s">
        <v>15</v>
      </c>
    </row>
    <row r="2705" spans="1:13" x14ac:dyDescent="0.25">
      <c r="A2705">
        <v>2704</v>
      </c>
      <c r="B2705" t="s">
        <v>5421</v>
      </c>
      <c r="C2705" s="1">
        <v>37.233594963900003</v>
      </c>
      <c r="D2705" s="1">
        <v>-7.0681204840699996</v>
      </c>
      <c r="E2705" s="3">
        <v>3</v>
      </c>
      <c r="F2705" s="2">
        <v>2</v>
      </c>
      <c r="G2705" s="4">
        <v>3</v>
      </c>
      <c r="H2705" s="13"/>
      <c r="I2705" s="15"/>
      <c r="J2705" s="19">
        <v>3</v>
      </c>
      <c r="K2705" s="2" t="s">
        <v>5422</v>
      </c>
      <c r="L2705" s="11" t="str">
        <f t="shared" si="43"/>
        <v>Ver Imagen</v>
      </c>
      <c r="M2705" t="s">
        <v>15</v>
      </c>
    </row>
    <row r="2706" spans="1:13" x14ac:dyDescent="0.25">
      <c r="A2706">
        <v>2705</v>
      </c>
      <c r="B2706" t="s">
        <v>5423</v>
      </c>
      <c r="C2706" s="1">
        <v>37.2336381649</v>
      </c>
      <c r="D2706" s="1">
        <v>-7.0683532963699998</v>
      </c>
      <c r="E2706" s="3">
        <v>3</v>
      </c>
      <c r="F2706" s="2">
        <v>2</v>
      </c>
      <c r="G2706" s="4">
        <v>3</v>
      </c>
      <c r="H2706" s="13"/>
      <c r="I2706" s="15"/>
      <c r="J2706" s="19">
        <v>3</v>
      </c>
      <c r="K2706" s="2" t="s">
        <v>5424</v>
      </c>
      <c r="L2706" s="11" t="str">
        <f t="shared" si="43"/>
        <v>Ver Imagen</v>
      </c>
      <c r="M2706" t="s">
        <v>15</v>
      </c>
    </row>
    <row r="2707" spans="1:13" x14ac:dyDescent="0.25">
      <c r="A2707">
        <v>2706</v>
      </c>
      <c r="B2707" t="s">
        <v>5425</v>
      </c>
      <c r="C2707" s="1">
        <v>37.233843606699999</v>
      </c>
      <c r="D2707" s="1">
        <v>-7.0691180347699998</v>
      </c>
      <c r="E2707" s="3">
        <v>3</v>
      </c>
      <c r="F2707" s="2">
        <v>2</v>
      </c>
      <c r="G2707" s="4">
        <v>3</v>
      </c>
      <c r="H2707" s="13"/>
      <c r="I2707" s="15"/>
      <c r="J2707" s="19">
        <v>3</v>
      </c>
      <c r="K2707" s="2" t="s">
        <v>5426</v>
      </c>
      <c r="L2707" s="11" t="str">
        <f t="shared" si="43"/>
        <v>Ver Imagen</v>
      </c>
      <c r="M2707" t="s">
        <v>15</v>
      </c>
    </row>
    <row r="2708" spans="1:13" x14ac:dyDescent="0.25">
      <c r="A2708">
        <v>2707</v>
      </c>
      <c r="B2708" t="s">
        <v>5427</v>
      </c>
      <c r="C2708" s="1">
        <v>37.233898835399998</v>
      </c>
      <c r="D2708" s="1">
        <v>-7.0693160054300002</v>
      </c>
      <c r="E2708" s="3">
        <v>3</v>
      </c>
      <c r="F2708" s="2">
        <v>2</v>
      </c>
      <c r="G2708" s="4">
        <v>3</v>
      </c>
      <c r="H2708" s="13"/>
      <c r="I2708" s="15"/>
      <c r="J2708" s="19">
        <v>3</v>
      </c>
      <c r="K2708" s="2" t="s">
        <v>5428</v>
      </c>
      <c r="L2708" s="11" t="str">
        <f t="shared" si="43"/>
        <v>Ver Imagen</v>
      </c>
      <c r="M2708" t="s">
        <v>15</v>
      </c>
    </row>
    <row r="2709" spans="1:13" x14ac:dyDescent="0.25">
      <c r="A2709">
        <v>2708</v>
      </c>
      <c r="B2709" t="s">
        <v>5429</v>
      </c>
      <c r="C2709" s="1">
        <v>37.234041052999999</v>
      </c>
      <c r="D2709" s="1">
        <v>-7.0698200525199999</v>
      </c>
      <c r="E2709" s="3">
        <v>3</v>
      </c>
      <c r="F2709" s="2">
        <v>2</v>
      </c>
      <c r="G2709" s="4">
        <v>3</v>
      </c>
      <c r="H2709" s="13"/>
      <c r="I2709" s="15"/>
      <c r="J2709" s="19">
        <v>3</v>
      </c>
      <c r="K2709" s="2" t="s">
        <v>5430</v>
      </c>
      <c r="L2709" s="11" t="str">
        <f t="shared" si="43"/>
        <v>Ver Imagen</v>
      </c>
      <c r="M2709" t="s">
        <v>15</v>
      </c>
    </row>
    <row r="2710" spans="1:13" x14ac:dyDescent="0.25">
      <c r="A2710">
        <v>2709</v>
      </c>
      <c r="B2710" t="s">
        <v>5431</v>
      </c>
      <c r="C2710" s="1">
        <v>37.234103578499997</v>
      </c>
      <c r="D2710" s="1">
        <v>-7.0700413705900003</v>
      </c>
      <c r="E2710" s="3">
        <v>3</v>
      </c>
      <c r="F2710" s="2">
        <v>2</v>
      </c>
      <c r="G2710" s="4">
        <v>3</v>
      </c>
      <c r="H2710" s="13"/>
      <c r="I2710" s="15"/>
      <c r="J2710" s="19">
        <v>3</v>
      </c>
      <c r="K2710" s="2" t="s">
        <v>5432</v>
      </c>
      <c r="L2710" s="11" t="str">
        <f t="shared" si="43"/>
        <v>Ver Imagen</v>
      </c>
      <c r="M2710" t="s">
        <v>15</v>
      </c>
    </row>
    <row r="2711" spans="1:13" x14ac:dyDescent="0.25">
      <c r="A2711">
        <v>2710</v>
      </c>
      <c r="B2711" t="s">
        <v>5433</v>
      </c>
      <c r="C2711" s="1">
        <v>37.234376339199997</v>
      </c>
      <c r="D2711" s="1">
        <v>-7.0710143722799996</v>
      </c>
      <c r="E2711" s="3">
        <v>3</v>
      </c>
      <c r="F2711" s="2">
        <v>2</v>
      </c>
      <c r="G2711" s="4">
        <v>3</v>
      </c>
      <c r="H2711" s="13"/>
      <c r="I2711" s="15"/>
      <c r="J2711" s="19">
        <v>3</v>
      </c>
      <c r="K2711" s="2" t="s">
        <v>5434</v>
      </c>
      <c r="L2711" s="11" t="str">
        <f t="shared" si="43"/>
        <v>Ver Imagen</v>
      </c>
      <c r="M2711" t="s">
        <v>15</v>
      </c>
    </row>
    <row r="2712" spans="1:13" x14ac:dyDescent="0.25">
      <c r="A2712">
        <v>2711</v>
      </c>
      <c r="B2712" t="s">
        <v>5435</v>
      </c>
      <c r="C2712" s="1">
        <v>37.234437210599999</v>
      </c>
      <c r="D2712" s="1">
        <v>-7.0712332825399997</v>
      </c>
      <c r="E2712" s="3">
        <v>3</v>
      </c>
      <c r="F2712" s="2">
        <v>2</v>
      </c>
      <c r="G2712" s="4">
        <v>3</v>
      </c>
      <c r="H2712" s="13"/>
      <c r="I2712" s="15"/>
      <c r="J2712" s="19">
        <v>3</v>
      </c>
      <c r="K2712" s="2" t="s">
        <v>5436</v>
      </c>
      <c r="L2712" s="11" t="str">
        <f t="shared" si="43"/>
        <v>Ver Imagen</v>
      </c>
      <c r="M2712" t="s">
        <v>15</v>
      </c>
    </row>
    <row r="2713" spans="1:13" x14ac:dyDescent="0.25">
      <c r="A2713">
        <v>2712</v>
      </c>
      <c r="B2713" t="s">
        <v>5437</v>
      </c>
      <c r="C2713" s="1">
        <v>37.234783281799999</v>
      </c>
      <c r="D2713" s="1">
        <v>-7.0724344955199996</v>
      </c>
      <c r="E2713" s="3">
        <v>3</v>
      </c>
      <c r="F2713" s="2">
        <v>2</v>
      </c>
      <c r="G2713" s="4">
        <v>3</v>
      </c>
      <c r="H2713" s="13"/>
      <c r="I2713" s="15"/>
      <c r="J2713" s="19">
        <v>3</v>
      </c>
      <c r="K2713" s="2" t="s">
        <v>5438</v>
      </c>
      <c r="L2713" s="11" t="str">
        <f t="shared" si="43"/>
        <v>Ver Imagen</v>
      </c>
      <c r="M2713" t="s">
        <v>15</v>
      </c>
    </row>
    <row r="2714" spans="1:13" x14ac:dyDescent="0.25">
      <c r="A2714">
        <v>2713</v>
      </c>
      <c r="B2714" t="s">
        <v>5439</v>
      </c>
      <c r="C2714" s="1">
        <v>37.237235805799997</v>
      </c>
      <c r="D2714" s="1">
        <v>-7.0770221982299999</v>
      </c>
      <c r="E2714" s="3">
        <v>3</v>
      </c>
      <c r="F2714" s="2">
        <v>3</v>
      </c>
      <c r="G2714" s="4">
        <v>4</v>
      </c>
      <c r="H2714" s="13"/>
      <c r="I2714" s="15"/>
      <c r="J2714" s="19">
        <v>3</v>
      </c>
      <c r="K2714" s="2" t="s">
        <v>5440</v>
      </c>
      <c r="L2714" s="11" t="str">
        <f t="shared" si="43"/>
        <v>Ver Imagen</v>
      </c>
      <c r="M2714" t="s">
        <v>15</v>
      </c>
    </row>
    <row r="2715" spans="1:13" x14ac:dyDescent="0.25">
      <c r="A2715">
        <v>2714</v>
      </c>
      <c r="B2715" t="s">
        <v>5441</v>
      </c>
      <c r="C2715" s="1">
        <v>37.238592279300001</v>
      </c>
      <c r="D2715" s="1">
        <v>-7.0792715994300002</v>
      </c>
      <c r="E2715" s="3">
        <v>3</v>
      </c>
      <c r="F2715" s="2">
        <v>2</v>
      </c>
      <c r="G2715" s="4">
        <v>3</v>
      </c>
      <c r="H2715" s="13"/>
      <c r="I2715" s="15"/>
      <c r="J2715" s="19">
        <v>3</v>
      </c>
      <c r="K2715" s="2" t="s">
        <v>5442</v>
      </c>
      <c r="L2715" s="11" t="str">
        <f t="shared" si="43"/>
        <v>Ver Imagen</v>
      </c>
      <c r="M2715" t="s">
        <v>15</v>
      </c>
    </row>
    <row r="2716" spans="1:13" x14ac:dyDescent="0.25">
      <c r="A2716">
        <v>2715</v>
      </c>
      <c r="B2716" t="s">
        <v>5443</v>
      </c>
      <c r="C2716" s="1">
        <v>37.238857200799998</v>
      </c>
      <c r="D2716" s="1">
        <v>-7.0796668302499999</v>
      </c>
      <c r="E2716" s="3">
        <v>3</v>
      </c>
      <c r="F2716" s="2">
        <v>2</v>
      </c>
      <c r="G2716" s="4">
        <v>3</v>
      </c>
      <c r="H2716" s="13"/>
      <c r="I2716" s="15"/>
      <c r="J2716" s="19">
        <v>3</v>
      </c>
      <c r="K2716" s="2" t="s">
        <v>5444</v>
      </c>
      <c r="L2716" s="11" t="str">
        <f t="shared" si="43"/>
        <v>Ver Imagen</v>
      </c>
      <c r="M2716" t="s">
        <v>15</v>
      </c>
    </row>
    <row r="2717" spans="1:13" x14ac:dyDescent="0.25">
      <c r="A2717">
        <v>2716</v>
      </c>
      <c r="B2717" t="s">
        <v>5445</v>
      </c>
      <c r="C2717" s="1">
        <v>37.238996068799999</v>
      </c>
      <c r="D2717" s="1">
        <v>-7.0798744333099997</v>
      </c>
      <c r="E2717" s="3">
        <v>3</v>
      </c>
      <c r="F2717" s="2">
        <v>2</v>
      </c>
      <c r="G2717" s="4">
        <v>3</v>
      </c>
      <c r="H2717" s="13"/>
      <c r="I2717" s="15"/>
      <c r="J2717" s="19">
        <v>3</v>
      </c>
      <c r="K2717" s="2" t="s">
        <v>5446</v>
      </c>
      <c r="L2717" s="11" t="str">
        <f t="shared" si="43"/>
        <v>Ver Imagen</v>
      </c>
      <c r="M2717" t="s">
        <v>15</v>
      </c>
    </row>
    <row r="2718" spans="1:13" x14ac:dyDescent="0.25">
      <c r="A2718">
        <v>2717</v>
      </c>
      <c r="B2718" t="s">
        <v>5447</v>
      </c>
      <c r="C2718" s="1">
        <v>37.239618916300003</v>
      </c>
      <c r="D2718" s="1">
        <v>-7.0808220888799998</v>
      </c>
      <c r="E2718" s="3">
        <v>3</v>
      </c>
      <c r="F2718" s="2">
        <v>2</v>
      </c>
      <c r="G2718" s="4">
        <v>3</v>
      </c>
      <c r="H2718" s="13"/>
      <c r="I2718" s="15"/>
      <c r="J2718" s="19">
        <v>3</v>
      </c>
      <c r="K2718" s="2" t="s">
        <v>5448</v>
      </c>
      <c r="L2718" s="11" t="str">
        <f t="shared" si="43"/>
        <v>Ver Imagen</v>
      </c>
      <c r="M2718" t="s">
        <v>15</v>
      </c>
    </row>
    <row r="2719" spans="1:13" x14ac:dyDescent="0.25">
      <c r="A2719">
        <v>2718</v>
      </c>
      <c r="B2719" t="s">
        <v>5449</v>
      </c>
      <c r="C2719" s="1">
        <v>37.240009768500002</v>
      </c>
      <c r="D2719" s="1">
        <v>-7.0814169842999997</v>
      </c>
      <c r="E2719" s="3">
        <v>3</v>
      </c>
      <c r="F2719" s="2">
        <v>2</v>
      </c>
      <c r="G2719" s="4">
        <v>3</v>
      </c>
      <c r="H2719" s="13"/>
      <c r="I2719" s="15"/>
      <c r="J2719" s="19">
        <v>3</v>
      </c>
      <c r="K2719" s="2" t="s">
        <v>5450</v>
      </c>
      <c r="L2719" s="11" t="str">
        <f t="shared" si="43"/>
        <v>Ver Imagen</v>
      </c>
      <c r="M2719" t="s">
        <v>15</v>
      </c>
    </row>
    <row r="2720" spans="1:13" x14ac:dyDescent="0.25">
      <c r="A2720">
        <v>2719</v>
      </c>
      <c r="B2720" t="s">
        <v>5451</v>
      </c>
      <c r="C2720" s="1">
        <v>37.241159995399997</v>
      </c>
      <c r="D2720" s="1">
        <v>-7.0831583312699999</v>
      </c>
      <c r="E2720" s="3">
        <v>3</v>
      </c>
      <c r="F2720" s="2">
        <v>2</v>
      </c>
      <c r="G2720" s="4">
        <v>3</v>
      </c>
      <c r="H2720" s="13"/>
      <c r="I2720" s="15"/>
      <c r="J2720" s="19">
        <v>3</v>
      </c>
      <c r="K2720" s="2" t="s">
        <v>5452</v>
      </c>
      <c r="L2720" s="11" t="str">
        <f t="shared" si="43"/>
        <v>Ver Imagen</v>
      </c>
      <c r="M2720" t="s">
        <v>15</v>
      </c>
    </row>
    <row r="2721" spans="1:13" x14ac:dyDescent="0.25">
      <c r="A2721">
        <v>2720</v>
      </c>
      <c r="B2721" t="s">
        <v>5453</v>
      </c>
      <c r="C2721" s="1">
        <v>37.2412968322</v>
      </c>
      <c r="D2721" s="1">
        <v>-7.0833672127399998</v>
      </c>
      <c r="E2721" s="3">
        <v>3</v>
      </c>
      <c r="F2721" s="2">
        <v>2</v>
      </c>
      <c r="G2721" s="4">
        <v>3</v>
      </c>
      <c r="H2721" s="13"/>
      <c r="I2721" s="15"/>
      <c r="J2721" s="19">
        <v>3</v>
      </c>
      <c r="K2721" s="2" t="s">
        <v>5454</v>
      </c>
      <c r="L2721" s="11" t="str">
        <f t="shared" si="43"/>
        <v>Ver Imagen</v>
      </c>
      <c r="M2721" t="s">
        <v>15</v>
      </c>
    </row>
    <row r="2722" spans="1:13" x14ac:dyDescent="0.25">
      <c r="A2722">
        <v>2721</v>
      </c>
      <c r="B2722" t="s">
        <v>5455</v>
      </c>
      <c r="C2722" s="1">
        <v>37.242296242499997</v>
      </c>
      <c r="D2722" s="1">
        <v>-7.0852770678199999</v>
      </c>
      <c r="E2722" s="3">
        <v>3</v>
      </c>
      <c r="F2722" s="2">
        <v>2</v>
      </c>
      <c r="G2722" s="4">
        <v>3</v>
      </c>
      <c r="H2722" s="13"/>
      <c r="I2722" s="15"/>
      <c r="J2722" s="19">
        <v>3</v>
      </c>
      <c r="K2722" s="2" t="s">
        <v>5456</v>
      </c>
      <c r="L2722" s="11" t="str">
        <f t="shared" si="43"/>
        <v>Ver Imagen</v>
      </c>
      <c r="M2722" t="s">
        <v>15</v>
      </c>
    </row>
    <row r="2723" spans="1:13" x14ac:dyDescent="0.25">
      <c r="A2723">
        <v>2722</v>
      </c>
      <c r="B2723" t="s">
        <v>5457</v>
      </c>
      <c r="C2723" s="1">
        <v>37.242363970500001</v>
      </c>
      <c r="D2723" s="1">
        <v>-7.08549437869</v>
      </c>
      <c r="E2723" s="3">
        <v>3</v>
      </c>
      <c r="F2723" s="2">
        <v>2</v>
      </c>
      <c r="G2723" s="4">
        <v>3</v>
      </c>
      <c r="H2723" s="13"/>
      <c r="I2723" s="15"/>
      <c r="J2723" s="19">
        <v>3</v>
      </c>
      <c r="K2723" s="2" t="s">
        <v>5458</v>
      </c>
      <c r="L2723" s="11" t="str">
        <f t="shared" si="43"/>
        <v>Ver Imagen</v>
      </c>
      <c r="M2723" t="s">
        <v>15</v>
      </c>
    </row>
    <row r="2724" spans="1:13" x14ac:dyDescent="0.25">
      <c r="A2724">
        <v>2723</v>
      </c>
      <c r="B2724" t="s">
        <v>5459</v>
      </c>
      <c r="C2724" s="1">
        <v>37.242433225500001</v>
      </c>
      <c r="D2724" s="1">
        <v>-7.0857355844500001</v>
      </c>
      <c r="E2724" s="3">
        <v>3</v>
      </c>
      <c r="F2724" s="2">
        <v>2</v>
      </c>
      <c r="G2724" s="4">
        <v>3</v>
      </c>
      <c r="H2724" s="13"/>
      <c r="I2724" s="15"/>
      <c r="J2724" s="19">
        <v>3</v>
      </c>
      <c r="K2724" s="2" t="s">
        <v>5460</v>
      </c>
      <c r="L2724" s="11" t="str">
        <f t="shared" si="43"/>
        <v>Ver Imagen</v>
      </c>
      <c r="M2724" t="s">
        <v>15</v>
      </c>
    </row>
    <row r="2725" spans="1:13" x14ac:dyDescent="0.25">
      <c r="A2725">
        <v>2724</v>
      </c>
      <c r="B2725" t="s">
        <v>5461</v>
      </c>
      <c r="C2725" s="1">
        <v>37.242496654299998</v>
      </c>
      <c r="D2725" s="1">
        <v>-7.0859673193999999</v>
      </c>
      <c r="E2725" s="3">
        <v>3</v>
      </c>
      <c r="F2725" s="2">
        <v>2</v>
      </c>
      <c r="G2725" s="4">
        <v>3</v>
      </c>
      <c r="H2725" s="13"/>
      <c r="I2725" s="15"/>
      <c r="J2725" s="19">
        <v>3</v>
      </c>
      <c r="K2725" s="2" t="s">
        <v>5462</v>
      </c>
      <c r="L2725" s="11" t="str">
        <f t="shared" si="43"/>
        <v>Ver Imagen</v>
      </c>
      <c r="M2725" t="s">
        <v>15</v>
      </c>
    </row>
    <row r="2726" spans="1:13" x14ac:dyDescent="0.25">
      <c r="A2726">
        <v>2725</v>
      </c>
      <c r="B2726" t="s">
        <v>5463</v>
      </c>
      <c r="C2726" s="1">
        <v>37.242624181799997</v>
      </c>
      <c r="D2726" s="1">
        <v>-7.0864505742099997</v>
      </c>
      <c r="E2726" s="3">
        <v>4</v>
      </c>
      <c r="F2726" s="2">
        <v>3</v>
      </c>
      <c r="G2726" s="4">
        <v>3</v>
      </c>
      <c r="H2726" s="13"/>
      <c r="I2726" s="15"/>
      <c r="J2726" s="19">
        <v>3</v>
      </c>
      <c r="K2726" s="2" t="s">
        <v>5464</v>
      </c>
      <c r="L2726" s="11" t="str">
        <f t="shared" si="43"/>
        <v>Ver Imagen</v>
      </c>
      <c r="M2726" t="s">
        <v>15</v>
      </c>
    </row>
    <row r="2727" spans="1:13" x14ac:dyDescent="0.25">
      <c r="A2727">
        <v>2726</v>
      </c>
      <c r="B2727" t="s">
        <v>5465</v>
      </c>
      <c r="C2727" s="1">
        <v>37.242693774999999</v>
      </c>
      <c r="D2727" s="1">
        <v>-7.0867106147000003</v>
      </c>
      <c r="E2727" s="3">
        <v>3</v>
      </c>
      <c r="F2727" s="2">
        <v>4</v>
      </c>
      <c r="G2727" s="4">
        <v>3</v>
      </c>
      <c r="H2727" s="13"/>
      <c r="I2727" s="15"/>
      <c r="J2727" s="19">
        <v>3</v>
      </c>
      <c r="K2727" s="2" t="s">
        <v>5466</v>
      </c>
      <c r="L2727" s="11" t="str">
        <f t="shared" si="43"/>
        <v>Ver Imagen</v>
      </c>
      <c r="M2727" t="s">
        <v>15</v>
      </c>
    </row>
    <row r="2728" spans="1:13" x14ac:dyDescent="0.25">
      <c r="A2728">
        <v>2727</v>
      </c>
      <c r="B2728" t="s">
        <v>5467</v>
      </c>
      <c r="C2728" s="1">
        <v>37.242752666000001</v>
      </c>
      <c r="D2728" s="1">
        <v>-7.0869305524100001</v>
      </c>
      <c r="E2728" s="3">
        <v>4</v>
      </c>
      <c r="F2728" s="2">
        <v>3</v>
      </c>
      <c r="G2728" s="4">
        <v>3</v>
      </c>
      <c r="H2728" s="13"/>
      <c r="I2728" s="15"/>
      <c r="J2728" s="19">
        <v>3</v>
      </c>
      <c r="K2728" s="2" t="s">
        <v>5468</v>
      </c>
      <c r="L2728" s="11" t="str">
        <f t="shared" si="43"/>
        <v>Ver Imagen</v>
      </c>
      <c r="M2728" t="s">
        <v>15</v>
      </c>
    </row>
    <row r="2729" spans="1:13" x14ac:dyDescent="0.25">
      <c r="A2729">
        <v>2728</v>
      </c>
      <c r="B2729" t="s">
        <v>5469</v>
      </c>
      <c r="C2729" s="1">
        <v>37.2428256225</v>
      </c>
      <c r="D2729" s="1">
        <v>-7.08720015935</v>
      </c>
      <c r="E2729" s="3">
        <v>3</v>
      </c>
      <c r="F2729" s="2">
        <v>2</v>
      </c>
      <c r="G2729" s="4">
        <v>3</v>
      </c>
      <c r="H2729" s="13"/>
      <c r="I2729" s="15"/>
      <c r="J2729" s="19">
        <v>3</v>
      </c>
      <c r="K2729" s="2" t="s">
        <v>5470</v>
      </c>
      <c r="L2729" s="11" t="str">
        <f t="shared" ref="L2729:L2792" si="44">HYPERLINK("3\1\" &amp; K2729, "Ver Imagen")</f>
        <v>Ver Imagen</v>
      </c>
      <c r="M2729" t="s">
        <v>15</v>
      </c>
    </row>
    <row r="2730" spans="1:13" x14ac:dyDescent="0.25">
      <c r="A2730">
        <v>2729</v>
      </c>
      <c r="B2730" t="s">
        <v>5471</v>
      </c>
      <c r="C2730" s="1">
        <v>37.243615869199999</v>
      </c>
      <c r="D2730" s="1">
        <v>-7.0892050207499997</v>
      </c>
      <c r="E2730" s="3">
        <v>3</v>
      </c>
      <c r="F2730" s="2">
        <v>2</v>
      </c>
      <c r="G2730" s="4">
        <v>3</v>
      </c>
      <c r="H2730" s="13"/>
      <c r="I2730" s="15"/>
      <c r="J2730" s="19">
        <v>3</v>
      </c>
      <c r="K2730" s="2" t="s">
        <v>5472</v>
      </c>
      <c r="L2730" s="11" t="str">
        <f t="shared" si="44"/>
        <v>Ver Imagen</v>
      </c>
      <c r="M2730" t="s">
        <v>15</v>
      </c>
    </row>
    <row r="2731" spans="1:13" x14ac:dyDescent="0.25">
      <c r="A2731">
        <v>2730</v>
      </c>
      <c r="B2731" t="s">
        <v>5473</v>
      </c>
      <c r="C2731" s="1">
        <v>37.244917190700001</v>
      </c>
      <c r="D2731" s="1">
        <v>-7.0917921425500001</v>
      </c>
      <c r="E2731" s="3">
        <v>3</v>
      </c>
      <c r="F2731" s="2">
        <v>2</v>
      </c>
      <c r="G2731" s="4">
        <v>3</v>
      </c>
      <c r="H2731" s="13"/>
      <c r="I2731" s="15"/>
      <c r="J2731" s="19">
        <v>3</v>
      </c>
      <c r="K2731" s="2" t="s">
        <v>5474</v>
      </c>
      <c r="L2731" s="11" t="str">
        <f t="shared" si="44"/>
        <v>Ver Imagen</v>
      </c>
      <c r="M2731" t="s">
        <v>15</v>
      </c>
    </row>
    <row r="2732" spans="1:13" x14ac:dyDescent="0.25">
      <c r="A2732">
        <v>2731</v>
      </c>
      <c r="B2732" t="s">
        <v>5475</v>
      </c>
      <c r="C2732" s="1">
        <v>37.2454909665</v>
      </c>
      <c r="D2732" s="1">
        <v>-7.0947425147400001</v>
      </c>
      <c r="E2732" s="3">
        <v>3</v>
      </c>
      <c r="F2732" s="2">
        <v>3</v>
      </c>
      <c r="G2732" s="4">
        <v>4</v>
      </c>
      <c r="H2732" s="13"/>
      <c r="I2732" s="15"/>
      <c r="J2732" s="19">
        <v>3</v>
      </c>
      <c r="K2732" s="2" t="s">
        <v>5476</v>
      </c>
      <c r="L2732" s="11" t="str">
        <f t="shared" si="44"/>
        <v>Ver Imagen</v>
      </c>
      <c r="M2732" t="s">
        <v>15</v>
      </c>
    </row>
    <row r="2733" spans="1:13" x14ac:dyDescent="0.25">
      <c r="A2733">
        <v>2732</v>
      </c>
      <c r="B2733" t="s">
        <v>5477</v>
      </c>
      <c r="C2733" s="1">
        <v>37.2455075198</v>
      </c>
      <c r="D2733" s="1">
        <v>-7.0949578503500002</v>
      </c>
      <c r="E2733" s="3">
        <v>3</v>
      </c>
      <c r="F2733" s="2">
        <v>2</v>
      </c>
      <c r="G2733" s="4">
        <v>3</v>
      </c>
      <c r="H2733" s="13"/>
      <c r="I2733" s="15"/>
      <c r="J2733" s="19">
        <v>3</v>
      </c>
      <c r="K2733" s="2" t="s">
        <v>5478</v>
      </c>
      <c r="L2733" s="11" t="str">
        <f t="shared" si="44"/>
        <v>Ver Imagen</v>
      </c>
      <c r="M2733" t="s">
        <v>15</v>
      </c>
    </row>
    <row r="2734" spans="1:13" x14ac:dyDescent="0.25">
      <c r="A2734">
        <v>2733</v>
      </c>
      <c r="B2734" t="s">
        <v>5479</v>
      </c>
      <c r="C2734" s="1">
        <v>37.245527760900003</v>
      </c>
      <c r="D2734" s="1">
        <v>-7.0952193838099999</v>
      </c>
      <c r="E2734" s="3">
        <v>3</v>
      </c>
      <c r="F2734" s="2">
        <v>2</v>
      </c>
      <c r="G2734" s="4">
        <v>3</v>
      </c>
      <c r="H2734" s="13"/>
      <c r="I2734" s="15"/>
      <c r="J2734" s="19">
        <v>3</v>
      </c>
      <c r="K2734" s="2" t="s">
        <v>5480</v>
      </c>
      <c r="L2734" s="11" t="str">
        <f t="shared" si="44"/>
        <v>Ver Imagen</v>
      </c>
      <c r="M2734" t="s">
        <v>15</v>
      </c>
    </row>
    <row r="2735" spans="1:13" x14ac:dyDescent="0.25">
      <c r="A2735">
        <v>2734</v>
      </c>
      <c r="B2735" t="s">
        <v>5481</v>
      </c>
      <c r="C2735" s="1">
        <v>37.245605848700002</v>
      </c>
      <c r="D2735" s="1">
        <v>-7.0962431815700002</v>
      </c>
      <c r="E2735" s="3">
        <v>3</v>
      </c>
      <c r="F2735" s="2">
        <v>2</v>
      </c>
      <c r="G2735" s="4">
        <v>3</v>
      </c>
      <c r="H2735" s="13"/>
      <c r="I2735" s="15"/>
      <c r="J2735" s="19">
        <v>3</v>
      </c>
      <c r="K2735" s="2" t="s">
        <v>5482</v>
      </c>
      <c r="L2735" s="11" t="str">
        <f t="shared" si="44"/>
        <v>Ver Imagen</v>
      </c>
      <c r="M2735" t="s">
        <v>15</v>
      </c>
    </row>
    <row r="2736" spans="1:13" x14ac:dyDescent="0.25">
      <c r="A2736">
        <v>2735</v>
      </c>
      <c r="B2736" t="s">
        <v>5483</v>
      </c>
      <c r="C2736" s="1">
        <v>37.245627061900002</v>
      </c>
      <c r="D2736" s="1">
        <v>-7.0965061692100004</v>
      </c>
      <c r="E2736" s="3">
        <v>3</v>
      </c>
      <c r="F2736" s="2">
        <v>2</v>
      </c>
      <c r="G2736" s="4">
        <v>3</v>
      </c>
      <c r="H2736" s="13"/>
      <c r="I2736" s="15"/>
      <c r="J2736" s="19">
        <v>3</v>
      </c>
      <c r="K2736" s="2" t="s">
        <v>5484</v>
      </c>
      <c r="L2736" s="11" t="str">
        <f t="shared" si="44"/>
        <v>Ver Imagen</v>
      </c>
      <c r="M2736" t="s">
        <v>15</v>
      </c>
    </row>
    <row r="2737" spans="1:13" x14ac:dyDescent="0.25">
      <c r="A2737">
        <v>2736</v>
      </c>
      <c r="B2737" t="s">
        <v>5485</v>
      </c>
      <c r="C2737" s="1">
        <v>37.245713421799998</v>
      </c>
      <c r="D2737" s="1">
        <v>-7.0972526185899998</v>
      </c>
      <c r="E2737" s="3">
        <v>3</v>
      </c>
      <c r="F2737" s="2">
        <v>3</v>
      </c>
      <c r="G2737" s="4">
        <v>4</v>
      </c>
      <c r="H2737" s="13"/>
      <c r="I2737" s="15"/>
      <c r="J2737" s="19">
        <v>3</v>
      </c>
      <c r="K2737" s="2" t="s">
        <v>5486</v>
      </c>
      <c r="L2737" s="11" t="str">
        <f t="shared" si="44"/>
        <v>Ver Imagen</v>
      </c>
      <c r="M2737" t="s">
        <v>15</v>
      </c>
    </row>
    <row r="2738" spans="1:13" x14ac:dyDescent="0.25">
      <c r="A2738">
        <v>2737</v>
      </c>
      <c r="B2738" t="s">
        <v>5487</v>
      </c>
      <c r="C2738" s="1">
        <v>37.245808928499997</v>
      </c>
      <c r="D2738" s="1">
        <v>-7.0977237127199997</v>
      </c>
      <c r="E2738" s="3">
        <v>3</v>
      </c>
      <c r="F2738" s="2">
        <v>2</v>
      </c>
      <c r="G2738" s="4">
        <v>3</v>
      </c>
      <c r="H2738" s="13"/>
      <c r="I2738" s="15"/>
      <c r="J2738" s="19">
        <v>3</v>
      </c>
      <c r="K2738" s="2" t="s">
        <v>5488</v>
      </c>
      <c r="L2738" s="11" t="str">
        <f t="shared" si="44"/>
        <v>Ver Imagen</v>
      </c>
      <c r="M2738" t="s">
        <v>15</v>
      </c>
    </row>
    <row r="2739" spans="1:13" x14ac:dyDescent="0.25">
      <c r="A2739">
        <v>2738</v>
      </c>
      <c r="B2739" t="s">
        <v>5489</v>
      </c>
      <c r="C2739" s="1">
        <v>37.245954150400003</v>
      </c>
      <c r="D2739" s="1">
        <v>-7.0981629163199997</v>
      </c>
      <c r="E2739" s="3">
        <v>3</v>
      </c>
      <c r="F2739" s="2">
        <v>2</v>
      </c>
      <c r="G2739" s="4">
        <v>3</v>
      </c>
      <c r="H2739" s="13"/>
      <c r="I2739" s="15"/>
      <c r="J2739" s="19">
        <v>3</v>
      </c>
      <c r="K2739" s="2" t="s">
        <v>5490</v>
      </c>
      <c r="L2739" s="11" t="str">
        <f t="shared" si="44"/>
        <v>Ver Imagen</v>
      </c>
      <c r="M2739" t="s">
        <v>15</v>
      </c>
    </row>
    <row r="2740" spans="1:13" x14ac:dyDescent="0.25">
      <c r="A2740">
        <v>2739</v>
      </c>
      <c r="B2740" t="s">
        <v>5491</v>
      </c>
      <c r="C2740" s="1">
        <v>37.246410426099999</v>
      </c>
      <c r="D2740" s="1">
        <v>-7.0990385589100002</v>
      </c>
      <c r="E2740" s="3">
        <v>3</v>
      </c>
      <c r="F2740" s="2">
        <v>2</v>
      </c>
      <c r="G2740" s="4">
        <v>3</v>
      </c>
      <c r="H2740" s="13"/>
      <c r="I2740" s="15"/>
      <c r="J2740" s="19">
        <v>3</v>
      </c>
      <c r="K2740" s="2" t="s">
        <v>5492</v>
      </c>
      <c r="L2740" s="11" t="str">
        <f t="shared" si="44"/>
        <v>Ver Imagen</v>
      </c>
      <c r="M2740" t="s">
        <v>15</v>
      </c>
    </row>
    <row r="2741" spans="1:13" x14ac:dyDescent="0.25">
      <c r="A2741">
        <v>2740</v>
      </c>
      <c r="B2741" t="s">
        <v>5493</v>
      </c>
      <c r="C2741" s="1">
        <v>37.246535139199999</v>
      </c>
      <c r="D2741" s="1">
        <v>-7.0992355996700001</v>
      </c>
      <c r="E2741" s="3">
        <v>3</v>
      </c>
      <c r="F2741" s="2">
        <v>2</v>
      </c>
      <c r="G2741" s="4">
        <v>3</v>
      </c>
      <c r="H2741" s="13"/>
      <c r="I2741" s="15"/>
      <c r="J2741" s="19">
        <v>3</v>
      </c>
      <c r="K2741" s="2" t="s">
        <v>5494</v>
      </c>
      <c r="L2741" s="11" t="str">
        <f t="shared" si="44"/>
        <v>Ver Imagen</v>
      </c>
      <c r="M2741" t="s">
        <v>15</v>
      </c>
    </row>
    <row r="2742" spans="1:13" x14ac:dyDescent="0.25">
      <c r="A2742">
        <v>2741</v>
      </c>
      <c r="B2742" t="s">
        <v>5495</v>
      </c>
      <c r="C2742" s="1">
        <v>37.246916054000003</v>
      </c>
      <c r="D2742" s="1">
        <v>-7.09981862293</v>
      </c>
      <c r="E2742" s="3">
        <v>3</v>
      </c>
      <c r="F2742" s="2">
        <v>2</v>
      </c>
      <c r="G2742" s="4">
        <v>3</v>
      </c>
      <c r="H2742" s="13"/>
      <c r="I2742" s="15"/>
      <c r="J2742" s="19">
        <v>3</v>
      </c>
      <c r="K2742" s="2" t="s">
        <v>5496</v>
      </c>
      <c r="L2742" s="11" t="str">
        <f t="shared" si="44"/>
        <v>Ver Imagen</v>
      </c>
      <c r="M2742" t="s">
        <v>15</v>
      </c>
    </row>
    <row r="2743" spans="1:13" x14ac:dyDescent="0.25">
      <c r="A2743">
        <v>2742</v>
      </c>
      <c r="B2743" t="s">
        <v>5497</v>
      </c>
      <c r="C2743" s="1">
        <v>37.247167129899999</v>
      </c>
      <c r="D2743" s="1">
        <v>-7.10019974181</v>
      </c>
      <c r="E2743" s="3">
        <v>3</v>
      </c>
      <c r="F2743" s="2">
        <v>2</v>
      </c>
      <c r="G2743" s="4">
        <v>3</v>
      </c>
      <c r="H2743" s="13"/>
      <c r="I2743" s="15"/>
      <c r="J2743" s="19">
        <v>3</v>
      </c>
      <c r="K2743" s="2" t="s">
        <v>5498</v>
      </c>
      <c r="L2743" s="11" t="str">
        <f t="shared" si="44"/>
        <v>Ver Imagen</v>
      </c>
      <c r="M2743" t="s">
        <v>15</v>
      </c>
    </row>
    <row r="2744" spans="1:13" x14ac:dyDescent="0.25">
      <c r="A2744">
        <v>2743</v>
      </c>
      <c r="B2744" t="s">
        <v>5499</v>
      </c>
      <c r="C2744" s="1">
        <v>37.247954064699996</v>
      </c>
      <c r="D2744" s="1">
        <v>-7.1013748857200003</v>
      </c>
      <c r="E2744" s="3">
        <v>3</v>
      </c>
      <c r="F2744" s="2">
        <v>2</v>
      </c>
      <c r="G2744" s="4">
        <v>3</v>
      </c>
      <c r="H2744" s="13"/>
      <c r="I2744" s="15"/>
      <c r="J2744" s="19">
        <v>3</v>
      </c>
      <c r="K2744" s="2" t="s">
        <v>5500</v>
      </c>
      <c r="L2744" s="11" t="str">
        <f t="shared" si="44"/>
        <v>Ver Imagen</v>
      </c>
      <c r="M2744" t="s">
        <v>15</v>
      </c>
    </row>
    <row r="2745" spans="1:13" x14ac:dyDescent="0.25">
      <c r="A2745">
        <v>2744</v>
      </c>
      <c r="B2745" t="s">
        <v>5501</v>
      </c>
      <c r="C2745" s="1">
        <v>37.248577746899997</v>
      </c>
      <c r="D2745" s="1">
        <v>-7.1019946979700004</v>
      </c>
      <c r="E2745" s="3">
        <v>3</v>
      </c>
      <c r="F2745" s="2">
        <v>2</v>
      </c>
      <c r="G2745" s="4">
        <v>3</v>
      </c>
      <c r="H2745" s="13"/>
      <c r="I2745" s="15"/>
      <c r="J2745" s="19">
        <v>3</v>
      </c>
      <c r="K2745" s="2" t="s">
        <v>5502</v>
      </c>
      <c r="L2745" s="11" t="str">
        <f t="shared" si="44"/>
        <v>Ver Imagen</v>
      </c>
      <c r="M2745" t="s">
        <v>15</v>
      </c>
    </row>
    <row r="2746" spans="1:13" x14ac:dyDescent="0.25">
      <c r="A2746">
        <v>2745</v>
      </c>
      <c r="B2746" t="s">
        <v>5503</v>
      </c>
      <c r="C2746" s="1">
        <v>37.249489062000002</v>
      </c>
      <c r="D2746" s="1">
        <v>-7.1025365969200003</v>
      </c>
      <c r="E2746" s="3">
        <v>3</v>
      </c>
      <c r="F2746" s="2">
        <v>2</v>
      </c>
      <c r="G2746" s="4">
        <v>3</v>
      </c>
      <c r="H2746" s="13"/>
      <c r="I2746" s="15"/>
      <c r="J2746" s="19">
        <v>3</v>
      </c>
      <c r="K2746" s="2" t="s">
        <v>5504</v>
      </c>
      <c r="L2746" s="11" t="str">
        <f t="shared" si="44"/>
        <v>Ver Imagen</v>
      </c>
      <c r="M2746" t="s">
        <v>15</v>
      </c>
    </row>
    <row r="2747" spans="1:13" x14ac:dyDescent="0.25">
      <c r="A2747">
        <v>2746</v>
      </c>
      <c r="B2747" t="s">
        <v>5505</v>
      </c>
      <c r="C2747" s="1">
        <v>37.249688032999998</v>
      </c>
      <c r="D2747" s="1">
        <v>-7.10265237646</v>
      </c>
      <c r="E2747" s="3">
        <v>3</v>
      </c>
      <c r="F2747" s="2">
        <v>2</v>
      </c>
      <c r="G2747" s="4">
        <v>3</v>
      </c>
      <c r="H2747" s="13"/>
      <c r="I2747" s="15"/>
      <c r="J2747" s="19">
        <v>3</v>
      </c>
      <c r="K2747" s="2" t="s">
        <v>5506</v>
      </c>
      <c r="L2747" s="11" t="str">
        <f t="shared" si="44"/>
        <v>Ver Imagen</v>
      </c>
      <c r="M2747" t="s">
        <v>15</v>
      </c>
    </row>
    <row r="2748" spans="1:13" x14ac:dyDescent="0.25">
      <c r="A2748">
        <v>2747</v>
      </c>
      <c r="B2748" t="s">
        <v>5507</v>
      </c>
      <c r="C2748" s="1">
        <v>37.250415972500001</v>
      </c>
      <c r="D2748" s="1">
        <v>-7.1030724884299996</v>
      </c>
      <c r="E2748" s="3">
        <v>3</v>
      </c>
      <c r="F2748" s="2">
        <v>2</v>
      </c>
      <c r="G2748" s="4">
        <v>3</v>
      </c>
      <c r="H2748" s="13"/>
      <c r="I2748" s="15"/>
      <c r="J2748" s="19">
        <v>3</v>
      </c>
      <c r="K2748" s="2" t="s">
        <v>5508</v>
      </c>
      <c r="L2748" s="11" t="str">
        <f t="shared" si="44"/>
        <v>Ver Imagen</v>
      </c>
      <c r="M2748" t="s">
        <v>15</v>
      </c>
    </row>
    <row r="2749" spans="1:13" x14ac:dyDescent="0.25">
      <c r="A2749">
        <v>2748</v>
      </c>
      <c r="B2749" t="s">
        <v>5509</v>
      </c>
      <c r="C2749" s="1">
        <v>37.250609882900001</v>
      </c>
      <c r="D2749" s="1">
        <v>-7.1031863121600001</v>
      </c>
      <c r="E2749" s="3">
        <v>3</v>
      </c>
      <c r="F2749" s="2">
        <v>2</v>
      </c>
      <c r="G2749" s="4">
        <v>3</v>
      </c>
      <c r="H2749" s="13"/>
      <c r="I2749" s="15"/>
      <c r="J2749" s="19">
        <v>3</v>
      </c>
      <c r="K2749" s="2" t="s">
        <v>5510</v>
      </c>
      <c r="L2749" s="11" t="str">
        <f t="shared" si="44"/>
        <v>Ver Imagen</v>
      </c>
      <c r="M2749" t="s">
        <v>15</v>
      </c>
    </row>
    <row r="2750" spans="1:13" x14ac:dyDescent="0.25">
      <c r="A2750">
        <v>2749</v>
      </c>
      <c r="B2750" t="s">
        <v>5511</v>
      </c>
      <c r="C2750" s="1">
        <v>37.250783235900002</v>
      </c>
      <c r="D2750" s="1">
        <v>-7.1032883613299997</v>
      </c>
      <c r="E2750" s="3">
        <v>3</v>
      </c>
      <c r="F2750" s="2">
        <v>2</v>
      </c>
      <c r="G2750" s="4">
        <v>3</v>
      </c>
      <c r="H2750" s="13"/>
      <c r="I2750" s="15"/>
      <c r="J2750" s="19">
        <v>3</v>
      </c>
      <c r="K2750" s="2" t="s">
        <v>5512</v>
      </c>
      <c r="L2750" s="11" t="str">
        <f t="shared" si="44"/>
        <v>Ver Imagen</v>
      </c>
      <c r="M2750" t="s">
        <v>15</v>
      </c>
    </row>
    <row r="2751" spans="1:13" x14ac:dyDescent="0.25">
      <c r="A2751">
        <v>2750</v>
      </c>
      <c r="B2751" t="s">
        <v>5513</v>
      </c>
      <c r="C2751" s="1">
        <v>37.250963473200002</v>
      </c>
      <c r="D2751" s="1">
        <v>-7.1033929370899997</v>
      </c>
      <c r="E2751" s="3">
        <v>3</v>
      </c>
      <c r="F2751" s="2">
        <v>2</v>
      </c>
      <c r="G2751" s="4">
        <v>3</v>
      </c>
      <c r="H2751" s="13"/>
      <c r="I2751" s="15"/>
      <c r="J2751" s="19">
        <v>3</v>
      </c>
      <c r="K2751" s="2" t="s">
        <v>5514</v>
      </c>
      <c r="L2751" s="11" t="str">
        <f t="shared" si="44"/>
        <v>Ver Imagen</v>
      </c>
      <c r="M2751" t="s">
        <v>15</v>
      </c>
    </row>
    <row r="2752" spans="1:13" x14ac:dyDescent="0.25">
      <c r="A2752">
        <v>2751</v>
      </c>
      <c r="B2752" t="s">
        <v>5515</v>
      </c>
      <c r="C2752" s="1">
        <v>37.252954905499998</v>
      </c>
      <c r="D2752" s="1">
        <v>-7.1057576353099998</v>
      </c>
      <c r="E2752" s="3">
        <v>3</v>
      </c>
      <c r="F2752" s="2">
        <v>2</v>
      </c>
      <c r="G2752" s="4">
        <v>3</v>
      </c>
      <c r="H2752" s="13"/>
      <c r="I2752" s="15"/>
      <c r="J2752" s="19">
        <v>3</v>
      </c>
      <c r="K2752" s="2" t="s">
        <v>5516</v>
      </c>
      <c r="L2752" s="11" t="str">
        <f t="shared" si="44"/>
        <v>Ver Imagen</v>
      </c>
      <c r="M2752" t="s">
        <v>15</v>
      </c>
    </row>
    <row r="2753" spans="1:13" x14ac:dyDescent="0.25">
      <c r="A2753">
        <v>2752</v>
      </c>
      <c r="B2753" t="s">
        <v>5517</v>
      </c>
      <c r="C2753" s="1">
        <v>37.253952870799999</v>
      </c>
      <c r="D2753" s="1">
        <v>-7.1076319977500004</v>
      </c>
      <c r="E2753" s="3">
        <v>3</v>
      </c>
      <c r="F2753" s="2">
        <v>2</v>
      </c>
      <c r="G2753" s="4">
        <v>3</v>
      </c>
      <c r="H2753" s="13"/>
      <c r="I2753" s="15"/>
      <c r="J2753" s="19">
        <v>3</v>
      </c>
      <c r="K2753" s="2" t="s">
        <v>5518</v>
      </c>
      <c r="L2753" s="11" t="str">
        <f t="shared" si="44"/>
        <v>Ver Imagen</v>
      </c>
      <c r="M2753" t="s">
        <v>15</v>
      </c>
    </row>
    <row r="2754" spans="1:13" x14ac:dyDescent="0.25">
      <c r="A2754">
        <v>2753</v>
      </c>
      <c r="B2754" t="s">
        <v>5519</v>
      </c>
      <c r="C2754" s="1">
        <v>37.254112090100001</v>
      </c>
      <c r="D2754" s="1">
        <v>-7.1078386561200002</v>
      </c>
      <c r="E2754" s="3">
        <v>3</v>
      </c>
      <c r="F2754" s="2">
        <v>2</v>
      </c>
      <c r="G2754" s="4">
        <v>3</v>
      </c>
      <c r="H2754" s="13"/>
      <c r="I2754" s="15"/>
      <c r="J2754" s="19">
        <v>3</v>
      </c>
      <c r="K2754" s="2" t="s">
        <v>5520</v>
      </c>
      <c r="L2754" s="11" t="str">
        <f t="shared" si="44"/>
        <v>Ver Imagen</v>
      </c>
      <c r="M2754" t="s">
        <v>15</v>
      </c>
    </row>
    <row r="2755" spans="1:13" x14ac:dyDescent="0.25">
      <c r="A2755">
        <v>2754</v>
      </c>
      <c r="B2755" t="s">
        <v>5521</v>
      </c>
      <c r="C2755" s="1">
        <v>37.2542400301</v>
      </c>
      <c r="D2755" s="1">
        <v>-7.1080040440200003</v>
      </c>
      <c r="E2755" s="3">
        <v>3</v>
      </c>
      <c r="F2755" s="2">
        <v>2</v>
      </c>
      <c r="G2755" s="4">
        <v>3</v>
      </c>
      <c r="H2755" s="13"/>
      <c r="I2755" s="15"/>
      <c r="J2755" s="19">
        <v>3</v>
      </c>
      <c r="K2755" s="2" t="s">
        <v>5522</v>
      </c>
      <c r="L2755" s="11" t="str">
        <f t="shared" si="44"/>
        <v>Ver Imagen</v>
      </c>
      <c r="M2755" t="s">
        <v>15</v>
      </c>
    </row>
    <row r="2756" spans="1:13" x14ac:dyDescent="0.25">
      <c r="A2756">
        <v>2755</v>
      </c>
      <c r="B2756" t="s">
        <v>5523</v>
      </c>
      <c r="C2756" s="1">
        <v>37.255017230299998</v>
      </c>
      <c r="D2756" s="1">
        <v>-7.1090050800200002</v>
      </c>
      <c r="E2756" s="3">
        <v>3</v>
      </c>
      <c r="F2756" s="2">
        <v>2</v>
      </c>
      <c r="G2756" s="4">
        <v>3</v>
      </c>
      <c r="H2756" s="13"/>
      <c r="I2756" s="15"/>
      <c r="J2756" s="19">
        <v>3</v>
      </c>
      <c r="K2756" s="2" t="s">
        <v>5524</v>
      </c>
      <c r="L2756" s="11" t="str">
        <f t="shared" si="44"/>
        <v>Ver Imagen</v>
      </c>
      <c r="M2756" t="s">
        <v>15</v>
      </c>
    </row>
    <row r="2757" spans="1:13" x14ac:dyDescent="0.25">
      <c r="A2757">
        <v>2756</v>
      </c>
      <c r="B2757" t="s">
        <v>5525</v>
      </c>
      <c r="C2757" s="1">
        <v>37.2553552575</v>
      </c>
      <c r="D2757" s="1">
        <v>-7.1114229986300002</v>
      </c>
      <c r="E2757" s="3">
        <v>3</v>
      </c>
      <c r="F2757" s="2">
        <v>2</v>
      </c>
      <c r="G2757" s="4">
        <v>3</v>
      </c>
      <c r="H2757" s="13"/>
      <c r="I2757" s="15"/>
      <c r="J2757" s="19">
        <v>3</v>
      </c>
      <c r="K2757" s="2" t="s">
        <v>5526</v>
      </c>
      <c r="L2757" s="11" t="str">
        <f t="shared" si="44"/>
        <v>Ver Imagen</v>
      </c>
      <c r="M2757" t="s">
        <v>15</v>
      </c>
    </row>
    <row r="2758" spans="1:13" x14ac:dyDescent="0.25">
      <c r="A2758">
        <v>2757</v>
      </c>
      <c r="B2758" t="s">
        <v>5527</v>
      </c>
      <c r="C2758" s="1">
        <v>37.2552290609</v>
      </c>
      <c r="D2758" s="1">
        <v>-7.1121757000799999</v>
      </c>
      <c r="E2758" s="3">
        <v>3</v>
      </c>
      <c r="F2758" s="2">
        <v>2</v>
      </c>
      <c r="G2758" s="4">
        <v>3</v>
      </c>
      <c r="H2758" s="13"/>
      <c r="I2758" s="15"/>
      <c r="J2758" s="19">
        <v>3</v>
      </c>
      <c r="K2758" s="2" t="s">
        <v>5528</v>
      </c>
      <c r="L2758" s="11" t="str">
        <f t="shared" si="44"/>
        <v>Ver Imagen</v>
      </c>
      <c r="M2758" t="s">
        <v>15</v>
      </c>
    </row>
    <row r="2759" spans="1:13" x14ac:dyDescent="0.25">
      <c r="A2759">
        <v>2758</v>
      </c>
      <c r="B2759" t="s">
        <v>5529</v>
      </c>
      <c r="C2759" s="1">
        <v>37.255176644599999</v>
      </c>
      <c r="D2759" s="1">
        <v>-7.1124121644300002</v>
      </c>
      <c r="E2759" s="3">
        <v>3</v>
      </c>
      <c r="F2759" s="2">
        <v>2</v>
      </c>
      <c r="G2759" s="4">
        <v>3</v>
      </c>
      <c r="H2759" s="13"/>
      <c r="I2759" s="15"/>
      <c r="J2759" s="19">
        <v>3</v>
      </c>
      <c r="K2759" s="2" t="s">
        <v>5530</v>
      </c>
      <c r="L2759" s="11" t="str">
        <f t="shared" si="44"/>
        <v>Ver Imagen</v>
      </c>
      <c r="M2759" t="s">
        <v>15</v>
      </c>
    </row>
    <row r="2760" spans="1:13" x14ac:dyDescent="0.25">
      <c r="A2760">
        <v>2759</v>
      </c>
      <c r="B2760" t="s">
        <v>5531</v>
      </c>
      <c r="C2760" s="1">
        <v>37.254816972</v>
      </c>
      <c r="D2760" s="1">
        <v>-7.1138695318899998</v>
      </c>
      <c r="E2760" s="3">
        <v>3</v>
      </c>
      <c r="F2760" s="2">
        <v>2</v>
      </c>
      <c r="G2760" s="4">
        <v>3</v>
      </c>
      <c r="H2760" s="13"/>
      <c r="I2760" s="15"/>
      <c r="J2760" s="19">
        <v>3</v>
      </c>
      <c r="K2760" s="2" t="s">
        <v>5532</v>
      </c>
      <c r="L2760" s="11" t="str">
        <f t="shared" si="44"/>
        <v>Ver Imagen</v>
      </c>
      <c r="M2760" t="s">
        <v>15</v>
      </c>
    </row>
    <row r="2761" spans="1:13" x14ac:dyDescent="0.25">
      <c r="A2761">
        <v>2760</v>
      </c>
      <c r="B2761" t="s">
        <v>5533</v>
      </c>
      <c r="C2761" s="1">
        <v>37.254654361999997</v>
      </c>
      <c r="D2761" s="1">
        <v>-7.1145888346900001</v>
      </c>
      <c r="E2761" s="3">
        <v>3</v>
      </c>
      <c r="F2761" s="2">
        <v>2</v>
      </c>
      <c r="G2761" s="4">
        <v>3</v>
      </c>
      <c r="H2761" s="13"/>
      <c r="I2761" s="15"/>
      <c r="J2761" s="19">
        <v>3</v>
      </c>
      <c r="K2761" s="2" t="s">
        <v>5534</v>
      </c>
      <c r="L2761" s="11" t="str">
        <f t="shared" si="44"/>
        <v>Ver Imagen</v>
      </c>
      <c r="M2761" t="s">
        <v>15</v>
      </c>
    </row>
    <row r="2762" spans="1:13" x14ac:dyDescent="0.25">
      <c r="A2762">
        <v>2761</v>
      </c>
      <c r="B2762" t="s">
        <v>5535</v>
      </c>
      <c r="C2762" s="1">
        <v>37.254586906500002</v>
      </c>
      <c r="D2762" s="1">
        <v>-7.11508469334</v>
      </c>
      <c r="E2762" s="3">
        <v>3</v>
      </c>
      <c r="F2762" s="2">
        <v>2</v>
      </c>
      <c r="G2762" s="4">
        <v>3</v>
      </c>
      <c r="H2762" s="13"/>
      <c r="I2762" s="15"/>
      <c r="J2762" s="19">
        <v>3</v>
      </c>
      <c r="K2762" s="2" t="s">
        <v>5536</v>
      </c>
      <c r="L2762" s="11" t="str">
        <f t="shared" si="44"/>
        <v>Ver Imagen</v>
      </c>
      <c r="M2762" t="s">
        <v>15</v>
      </c>
    </row>
    <row r="2763" spans="1:13" x14ac:dyDescent="0.25">
      <c r="A2763">
        <v>2762</v>
      </c>
      <c r="B2763" t="s">
        <v>5537</v>
      </c>
      <c r="C2763" s="1">
        <v>37.254587540499998</v>
      </c>
      <c r="D2763" s="1">
        <v>-7.1158222197400001</v>
      </c>
      <c r="E2763" s="3">
        <v>3</v>
      </c>
      <c r="F2763" s="2">
        <v>2</v>
      </c>
      <c r="G2763" s="4">
        <v>3</v>
      </c>
      <c r="H2763" s="13"/>
      <c r="I2763" s="15"/>
      <c r="J2763" s="19">
        <v>3</v>
      </c>
      <c r="K2763" s="2" t="s">
        <v>5538</v>
      </c>
      <c r="L2763" s="11" t="str">
        <f t="shared" si="44"/>
        <v>Ver Imagen</v>
      </c>
      <c r="M2763" t="s">
        <v>15</v>
      </c>
    </row>
    <row r="2764" spans="1:13" x14ac:dyDescent="0.25">
      <c r="A2764">
        <v>2763</v>
      </c>
      <c r="B2764" t="s">
        <v>5539</v>
      </c>
      <c r="C2764" s="1">
        <v>37.254725580600002</v>
      </c>
      <c r="D2764" s="1">
        <v>-7.1165572179099996</v>
      </c>
      <c r="E2764" s="3">
        <v>3</v>
      </c>
      <c r="F2764" s="2">
        <v>2</v>
      </c>
      <c r="G2764" s="4">
        <v>3</v>
      </c>
      <c r="H2764" s="13"/>
      <c r="I2764" s="15"/>
      <c r="J2764" s="19">
        <v>3</v>
      </c>
      <c r="K2764" s="2" t="s">
        <v>5540</v>
      </c>
      <c r="L2764" s="11" t="str">
        <f t="shared" si="44"/>
        <v>Ver Imagen</v>
      </c>
      <c r="M2764" t="s">
        <v>15</v>
      </c>
    </row>
    <row r="2765" spans="1:13" x14ac:dyDescent="0.25">
      <c r="A2765">
        <v>2764</v>
      </c>
      <c r="B2765" t="s">
        <v>5541</v>
      </c>
      <c r="C2765" s="1">
        <v>37.254796602799999</v>
      </c>
      <c r="D2765" s="1">
        <v>-7.1167805174699996</v>
      </c>
      <c r="E2765" s="3">
        <v>3</v>
      </c>
      <c r="F2765" s="2">
        <v>2</v>
      </c>
      <c r="G2765" s="4">
        <v>3</v>
      </c>
      <c r="H2765" s="13"/>
      <c r="I2765" s="15"/>
      <c r="J2765" s="19">
        <v>3</v>
      </c>
      <c r="K2765" s="2" t="s">
        <v>5542</v>
      </c>
      <c r="L2765" s="11" t="str">
        <f t="shared" si="44"/>
        <v>Ver Imagen</v>
      </c>
      <c r="M2765" t="s">
        <v>15</v>
      </c>
    </row>
    <row r="2766" spans="1:13" x14ac:dyDescent="0.25">
      <c r="A2766">
        <v>2765</v>
      </c>
      <c r="B2766" t="s">
        <v>5543</v>
      </c>
      <c r="C2766" s="1">
        <v>37.2548965744</v>
      </c>
      <c r="D2766" s="1">
        <v>-7.1170327351999996</v>
      </c>
      <c r="E2766" s="3">
        <v>3</v>
      </c>
      <c r="F2766" s="2">
        <v>2</v>
      </c>
      <c r="G2766" s="4">
        <v>3</v>
      </c>
      <c r="H2766" s="13"/>
      <c r="I2766" s="15"/>
      <c r="J2766" s="19">
        <v>3</v>
      </c>
      <c r="K2766" s="2" t="s">
        <v>5544</v>
      </c>
      <c r="L2766" s="11" t="str">
        <f t="shared" si="44"/>
        <v>Ver Imagen</v>
      </c>
      <c r="M2766" t="s">
        <v>15</v>
      </c>
    </row>
    <row r="2767" spans="1:13" x14ac:dyDescent="0.25">
      <c r="A2767">
        <v>2766</v>
      </c>
      <c r="B2767" t="s">
        <v>5545</v>
      </c>
      <c r="C2767" s="1">
        <v>37.255688388800003</v>
      </c>
      <c r="D2767" s="1">
        <v>-7.1181386727399998</v>
      </c>
      <c r="E2767" s="3">
        <v>3</v>
      </c>
      <c r="F2767" s="2">
        <v>2</v>
      </c>
      <c r="G2767" s="4">
        <v>3</v>
      </c>
      <c r="H2767" s="13"/>
      <c r="I2767" s="15"/>
      <c r="J2767" s="19">
        <v>3</v>
      </c>
      <c r="K2767" s="2" t="s">
        <v>5546</v>
      </c>
      <c r="L2767" s="11" t="str">
        <f t="shared" si="44"/>
        <v>Ver Imagen</v>
      </c>
      <c r="M2767" t="s">
        <v>15</v>
      </c>
    </row>
    <row r="2768" spans="1:13" x14ac:dyDescent="0.25">
      <c r="A2768">
        <v>2767</v>
      </c>
      <c r="B2768" t="s">
        <v>5547</v>
      </c>
      <c r="C2768" s="1">
        <v>37.256728768999999</v>
      </c>
      <c r="D2768" s="1">
        <v>-7.1189304981300001</v>
      </c>
      <c r="E2768" s="3">
        <v>3</v>
      </c>
      <c r="F2768" s="2">
        <v>3</v>
      </c>
      <c r="G2768" s="4">
        <v>4</v>
      </c>
      <c r="H2768" s="13"/>
      <c r="I2768" s="15"/>
      <c r="J2768" s="19">
        <v>3</v>
      </c>
      <c r="K2768" s="2" t="s">
        <v>5548</v>
      </c>
      <c r="L2768" s="11" t="str">
        <f t="shared" si="44"/>
        <v>Ver Imagen</v>
      </c>
      <c r="M2768" t="s">
        <v>15</v>
      </c>
    </row>
    <row r="2769" spans="1:13" x14ac:dyDescent="0.25">
      <c r="A2769">
        <v>2768</v>
      </c>
      <c r="B2769" t="s">
        <v>5549</v>
      </c>
      <c r="C2769" s="1">
        <v>37.258379206299999</v>
      </c>
      <c r="D2769" s="1">
        <v>-7.1203471930399997</v>
      </c>
      <c r="E2769" s="3">
        <v>3</v>
      </c>
      <c r="F2769" s="2">
        <v>2</v>
      </c>
      <c r="G2769" s="4">
        <v>3</v>
      </c>
      <c r="H2769" s="13"/>
      <c r="I2769" s="15"/>
      <c r="J2769" s="19">
        <v>3</v>
      </c>
      <c r="K2769" s="2" t="s">
        <v>5550</v>
      </c>
      <c r="L2769" s="11" t="str">
        <f t="shared" si="44"/>
        <v>Ver Imagen</v>
      </c>
      <c r="M2769" t="s">
        <v>15</v>
      </c>
    </row>
    <row r="2770" spans="1:13" x14ac:dyDescent="0.25">
      <c r="A2770">
        <v>2769</v>
      </c>
      <c r="B2770" t="s">
        <v>5551</v>
      </c>
      <c r="C2770" s="1">
        <v>37.258771158199998</v>
      </c>
      <c r="D2770" s="1">
        <v>-7.12205072241</v>
      </c>
      <c r="E2770" s="3">
        <v>3</v>
      </c>
      <c r="F2770" s="2">
        <v>3</v>
      </c>
      <c r="G2770" s="4">
        <v>4</v>
      </c>
      <c r="H2770" s="13"/>
      <c r="I2770" s="15"/>
      <c r="J2770" s="19">
        <v>3</v>
      </c>
      <c r="K2770" s="2" t="s">
        <v>5552</v>
      </c>
      <c r="L2770" s="11" t="str">
        <f t="shared" si="44"/>
        <v>Ver Imagen</v>
      </c>
      <c r="M2770" t="s">
        <v>15</v>
      </c>
    </row>
    <row r="2771" spans="1:13" x14ac:dyDescent="0.25">
      <c r="A2771">
        <v>2770</v>
      </c>
      <c r="B2771" t="s">
        <v>5553</v>
      </c>
      <c r="C2771" s="1">
        <v>37.258814873699997</v>
      </c>
      <c r="D2771" s="1">
        <v>-7.1225588864400002</v>
      </c>
      <c r="E2771" s="3">
        <v>3</v>
      </c>
      <c r="F2771" s="2">
        <v>2</v>
      </c>
      <c r="G2771" s="4">
        <v>3</v>
      </c>
      <c r="H2771" s="13"/>
      <c r="I2771" s="15"/>
      <c r="J2771" s="19">
        <v>3</v>
      </c>
      <c r="K2771" s="2" t="s">
        <v>5554</v>
      </c>
      <c r="L2771" s="11" t="str">
        <f t="shared" si="44"/>
        <v>Ver Imagen</v>
      </c>
      <c r="M2771" t="s">
        <v>15</v>
      </c>
    </row>
    <row r="2772" spans="1:13" x14ac:dyDescent="0.25">
      <c r="A2772">
        <v>2771</v>
      </c>
      <c r="B2772" t="s">
        <v>5555</v>
      </c>
      <c r="C2772" s="1">
        <v>37.259451672899999</v>
      </c>
      <c r="D2772" s="1">
        <v>-7.1259461872100003</v>
      </c>
      <c r="E2772" s="3">
        <v>3</v>
      </c>
      <c r="F2772" s="2">
        <v>2</v>
      </c>
      <c r="G2772" s="4">
        <v>3</v>
      </c>
      <c r="H2772" s="13"/>
      <c r="I2772" s="15"/>
      <c r="J2772" s="19">
        <v>3</v>
      </c>
      <c r="K2772" s="2" t="s">
        <v>5556</v>
      </c>
      <c r="L2772" s="11" t="str">
        <f t="shared" si="44"/>
        <v>Ver Imagen</v>
      </c>
      <c r="M2772" t="s">
        <v>15</v>
      </c>
    </row>
    <row r="2773" spans="1:13" x14ac:dyDescent="0.25">
      <c r="A2773">
        <v>2772</v>
      </c>
      <c r="B2773" t="s">
        <v>5557</v>
      </c>
      <c r="C2773" s="1">
        <v>37.259588233300001</v>
      </c>
      <c r="D2773" s="1">
        <v>-7.12614345187</v>
      </c>
      <c r="E2773" s="3">
        <v>3</v>
      </c>
      <c r="F2773" s="2">
        <v>2</v>
      </c>
      <c r="G2773" s="4">
        <v>3</v>
      </c>
      <c r="H2773" s="13"/>
      <c r="I2773" s="15"/>
      <c r="J2773" s="19">
        <v>3</v>
      </c>
      <c r="K2773" s="2" t="s">
        <v>5558</v>
      </c>
      <c r="L2773" s="11" t="str">
        <f t="shared" si="44"/>
        <v>Ver Imagen</v>
      </c>
      <c r="M2773" t="s">
        <v>15</v>
      </c>
    </row>
    <row r="2774" spans="1:13" x14ac:dyDescent="0.25">
      <c r="A2774">
        <v>2773</v>
      </c>
      <c r="B2774" t="s">
        <v>5559</v>
      </c>
      <c r="C2774" s="1">
        <v>37.2600381142</v>
      </c>
      <c r="D2774" s="1">
        <v>-7.12663906496</v>
      </c>
      <c r="E2774" s="3">
        <v>3</v>
      </c>
      <c r="F2774" s="2">
        <v>2</v>
      </c>
      <c r="G2774" s="4">
        <v>3</v>
      </c>
      <c r="H2774" s="13"/>
      <c r="I2774" s="15"/>
      <c r="J2774" s="19">
        <v>3</v>
      </c>
      <c r="K2774" s="2" t="s">
        <v>5560</v>
      </c>
      <c r="L2774" s="11" t="str">
        <f t="shared" si="44"/>
        <v>Ver Imagen</v>
      </c>
      <c r="M2774" t="s">
        <v>15</v>
      </c>
    </row>
    <row r="2775" spans="1:13" x14ac:dyDescent="0.25">
      <c r="A2775">
        <v>2774</v>
      </c>
      <c r="B2775" t="s">
        <v>5561</v>
      </c>
      <c r="C2775" s="1">
        <v>37.260214742599999</v>
      </c>
      <c r="D2775" s="1">
        <v>-7.1268130864600003</v>
      </c>
      <c r="E2775" s="3">
        <v>3</v>
      </c>
      <c r="F2775" s="2">
        <v>2</v>
      </c>
      <c r="G2775" s="4">
        <v>3</v>
      </c>
      <c r="H2775" s="13"/>
      <c r="I2775" s="15"/>
      <c r="J2775" s="19">
        <v>3</v>
      </c>
      <c r="K2775" s="2" t="s">
        <v>5562</v>
      </c>
      <c r="L2775" s="11" t="str">
        <f t="shared" si="44"/>
        <v>Ver Imagen</v>
      </c>
      <c r="M2775" t="s">
        <v>15</v>
      </c>
    </row>
    <row r="2776" spans="1:13" x14ac:dyDescent="0.25">
      <c r="A2776">
        <v>2775</v>
      </c>
      <c r="B2776" t="s">
        <v>5563</v>
      </c>
      <c r="C2776" s="1">
        <v>37.261088552399997</v>
      </c>
      <c r="D2776" s="1">
        <v>-7.12838764378</v>
      </c>
      <c r="E2776" s="3">
        <v>3</v>
      </c>
      <c r="F2776" s="2">
        <v>2</v>
      </c>
      <c r="G2776" s="4">
        <v>3</v>
      </c>
      <c r="H2776" s="13"/>
      <c r="I2776" s="15"/>
      <c r="J2776" s="19">
        <v>3</v>
      </c>
      <c r="K2776" s="2" t="s">
        <v>5564</v>
      </c>
      <c r="L2776" s="11" t="str">
        <f t="shared" si="44"/>
        <v>Ver Imagen</v>
      </c>
      <c r="M2776" t="s">
        <v>15</v>
      </c>
    </row>
    <row r="2777" spans="1:13" x14ac:dyDescent="0.25">
      <c r="A2777">
        <v>2776</v>
      </c>
      <c r="B2777" t="s">
        <v>5565</v>
      </c>
      <c r="C2777" s="1">
        <v>37.444067727300002</v>
      </c>
      <c r="D2777" s="1">
        <v>-7.0997454269300002</v>
      </c>
      <c r="E2777" s="3">
        <v>3</v>
      </c>
      <c r="F2777" s="2">
        <v>2</v>
      </c>
      <c r="G2777" s="4">
        <v>3</v>
      </c>
      <c r="H2777" s="13"/>
      <c r="I2777" s="15"/>
      <c r="J2777" s="19">
        <v>3</v>
      </c>
      <c r="K2777" s="2" t="s">
        <v>5566</v>
      </c>
      <c r="L2777" s="11" t="str">
        <f t="shared" si="44"/>
        <v>Ver Imagen</v>
      </c>
      <c r="M2777" t="s">
        <v>15</v>
      </c>
    </row>
    <row r="2778" spans="1:13" x14ac:dyDescent="0.25">
      <c r="A2778">
        <v>2777</v>
      </c>
      <c r="B2778" t="s">
        <v>5567</v>
      </c>
      <c r="C2778" s="1">
        <v>37.444056271999997</v>
      </c>
      <c r="D2778" s="1">
        <v>-7.0994268940899996</v>
      </c>
      <c r="E2778" s="3">
        <v>3</v>
      </c>
      <c r="F2778" s="2">
        <v>2</v>
      </c>
      <c r="G2778" s="4">
        <v>3</v>
      </c>
      <c r="H2778" s="13"/>
      <c r="I2778" s="15"/>
      <c r="J2778" s="19">
        <v>3</v>
      </c>
      <c r="K2778" s="2" t="s">
        <v>5568</v>
      </c>
      <c r="L2778" s="11" t="str">
        <f t="shared" si="44"/>
        <v>Ver Imagen</v>
      </c>
      <c r="M2778" t="s">
        <v>15</v>
      </c>
    </row>
    <row r="2779" spans="1:13" x14ac:dyDescent="0.25">
      <c r="A2779">
        <v>2778</v>
      </c>
      <c r="B2779" t="s">
        <v>5569</v>
      </c>
      <c r="C2779" s="1">
        <v>37.444032081000003</v>
      </c>
      <c r="D2779" s="1">
        <v>-7.0989607720199999</v>
      </c>
      <c r="E2779" s="3">
        <v>3</v>
      </c>
      <c r="F2779" s="2">
        <v>2</v>
      </c>
      <c r="G2779" s="4">
        <v>3</v>
      </c>
      <c r="H2779" s="13"/>
      <c r="I2779" s="15"/>
      <c r="J2779" s="19">
        <v>3</v>
      </c>
      <c r="K2779" s="2" t="s">
        <v>5570</v>
      </c>
      <c r="L2779" s="11" t="str">
        <f t="shared" si="44"/>
        <v>Ver Imagen</v>
      </c>
      <c r="M2779" t="s">
        <v>15</v>
      </c>
    </row>
    <row r="2780" spans="1:13" x14ac:dyDescent="0.25">
      <c r="A2780">
        <v>2779</v>
      </c>
      <c r="B2780" t="s">
        <v>5571</v>
      </c>
      <c r="C2780" s="1">
        <v>37.4440136849</v>
      </c>
      <c r="D2780" s="1">
        <v>-7.0986537733399997</v>
      </c>
      <c r="E2780" s="3">
        <v>3</v>
      </c>
      <c r="F2780" s="2">
        <v>2</v>
      </c>
      <c r="G2780" s="4">
        <v>3</v>
      </c>
      <c r="H2780" s="13"/>
      <c r="I2780" s="15"/>
      <c r="J2780" s="19">
        <v>3</v>
      </c>
      <c r="K2780" s="2" t="s">
        <v>5572</v>
      </c>
      <c r="L2780" s="11" t="str">
        <f t="shared" si="44"/>
        <v>Ver Imagen</v>
      </c>
      <c r="M2780" t="s">
        <v>15</v>
      </c>
    </row>
    <row r="2781" spans="1:13" x14ac:dyDescent="0.25">
      <c r="A2781">
        <v>2780</v>
      </c>
      <c r="B2781" t="s">
        <v>5573</v>
      </c>
      <c r="C2781" s="1">
        <v>37.443965066300002</v>
      </c>
      <c r="D2781" s="1">
        <v>-7.0976954789500004</v>
      </c>
      <c r="E2781" s="3">
        <v>3</v>
      </c>
      <c r="F2781" s="2">
        <v>2</v>
      </c>
      <c r="G2781" s="4">
        <v>3</v>
      </c>
      <c r="H2781" s="13"/>
      <c r="I2781" s="15"/>
      <c r="J2781" s="19">
        <v>3</v>
      </c>
      <c r="K2781" s="2" t="s">
        <v>5574</v>
      </c>
      <c r="L2781" s="11" t="str">
        <f t="shared" si="44"/>
        <v>Ver Imagen</v>
      </c>
      <c r="M2781" t="s">
        <v>15</v>
      </c>
    </row>
    <row r="2782" spans="1:13" x14ac:dyDescent="0.25">
      <c r="A2782">
        <v>2781</v>
      </c>
      <c r="B2782" t="s">
        <v>5575</v>
      </c>
      <c r="C2782" s="1">
        <v>37.482610791299997</v>
      </c>
      <c r="D2782" s="1">
        <v>-7.1286572677800004</v>
      </c>
      <c r="E2782" s="3">
        <v>3</v>
      </c>
      <c r="F2782" s="2">
        <v>2</v>
      </c>
      <c r="G2782" s="4">
        <v>3</v>
      </c>
      <c r="H2782" s="13"/>
      <c r="I2782" s="15"/>
      <c r="J2782" s="19">
        <v>3</v>
      </c>
      <c r="K2782" s="2" t="s">
        <v>5576</v>
      </c>
      <c r="L2782" s="11" t="str">
        <f t="shared" si="44"/>
        <v>Ver Imagen</v>
      </c>
      <c r="M2782" t="s">
        <v>15</v>
      </c>
    </row>
    <row r="2783" spans="1:13" x14ac:dyDescent="0.25">
      <c r="A2783">
        <v>2782</v>
      </c>
      <c r="B2783" t="s">
        <v>5577</v>
      </c>
      <c r="C2783" s="1">
        <v>37.476360260600003</v>
      </c>
      <c r="D2783" s="1">
        <v>-7.1257605256899996</v>
      </c>
      <c r="E2783" s="3">
        <v>3</v>
      </c>
      <c r="F2783" s="2">
        <v>2</v>
      </c>
      <c r="G2783" s="4">
        <v>3</v>
      </c>
      <c r="H2783" s="13"/>
      <c r="I2783" s="15"/>
      <c r="J2783" s="19">
        <v>3</v>
      </c>
      <c r="K2783" s="2" t="s">
        <v>5578</v>
      </c>
      <c r="L2783" s="11" t="str">
        <f t="shared" si="44"/>
        <v>Ver Imagen</v>
      </c>
      <c r="M2783" t="s">
        <v>15</v>
      </c>
    </row>
    <row r="2784" spans="1:13" x14ac:dyDescent="0.25">
      <c r="A2784">
        <v>2783</v>
      </c>
      <c r="B2784" t="s">
        <v>5579</v>
      </c>
      <c r="C2784" s="1">
        <v>37.475561131600003</v>
      </c>
      <c r="D2784" s="1">
        <v>-7.1258819838700003</v>
      </c>
      <c r="E2784" s="3">
        <v>3</v>
      </c>
      <c r="F2784" s="2">
        <v>2</v>
      </c>
      <c r="G2784" s="4">
        <v>3</v>
      </c>
      <c r="H2784" s="13"/>
      <c r="I2784" s="15"/>
      <c r="J2784" s="19">
        <v>3</v>
      </c>
      <c r="K2784" s="2" t="s">
        <v>5580</v>
      </c>
      <c r="L2784" s="11" t="str">
        <f t="shared" si="44"/>
        <v>Ver Imagen</v>
      </c>
      <c r="M2784" t="s">
        <v>15</v>
      </c>
    </row>
    <row r="2785" spans="1:13" x14ac:dyDescent="0.25">
      <c r="A2785">
        <v>2784</v>
      </c>
      <c r="B2785" t="s">
        <v>5581</v>
      </c>
      <c r="C2785" s="1">
        <v>37.473942855099999</v>
      </c>
      <c r="D2785" s="1">
        <v>-7.12623591955</v>
      </c>
      <c r="E2785" s="3">
        <v>3</v>
      </c>
      <c r="F2785" s="2">
        <v>2</v>
      </c>
      <c r="G2785" s="4">
        <v>3</v>
      </c>
      <c r="H2785" s="13"/>
      <c r="I2785" s="15"/>
      <c r="J2785" s="19">
        <v>3</v>
      </c>
      <c r="K2785" s="2" t="s">
        <v>5582</v>
      </c>
      <c r="L2785" s="11" t="str">
        <f t="shared" si="44"/>
        <v>Ver Imagen</v>
      </c>
      <c r="M2785" t="s">
        <v>15</v>
      </c>
    </row>
    <row r="2786" spans="1:13" x14ac:dyDescent="0.25">
      <c r="A2786">
        <v>2785</v>
      </c>
      <c r="B2786" t="s">
        <v>5583</v>
      </c>
      <c r="C2786" s="1">
        <v>37.472171039300001</v>
      </c>
      <c r="D2786" s="1">
        <v>-7.1262922658000001</v>
      </c>
      <c r="E2786" s="3">
        <v>3</v>
      </c>
      <c r="F2786" s="2">
        <v>2</v>
      </c>
      <c r="G2786" s="4">
        <v>3</v>
      </c>
      <c r="H2786" s="13"/>
      <c r="I2786" s="15"/>
      <c r="J2786" s="19">
        <v>3</v>
      </c>
      <c r="K2786" s="2" t="s">
        <v>5584</v>
      </c>
      <c r="L2786" s="11" t="str">
        <f t="shared" si="44"/>
        <v>Ver Imagen</v>
      </c>
      <c r="M2786" t="s">
        <v>15</v>
      </c>
    </row>
    <row r="2787" spans="1:13" x14ac:dyDescent="0.25">
      <c r="A2787">
        <v>2786</v>
      </c>
      <c r="B2787" t="s">
        <v>5585</v>
      </c>
      <c r="C2787" s="1">
        <v>37.468133165899999</v>
      </c>
      <c r="D2787" s="1">
        <v>-7.1233786173900002</v>
      </c>
      <c r="E2787" s="3">
        <v>3</v>
      </c>
      <c r="F2787" s="2">
        <v>4</v>
      </c>
      <c r="G2787" s="4">
        <v>3</v>
      </c>
      <c r="H2787" s="13"/>
      <c r="I2787" s="15"/>
      <c r="J2787" s="19">
        <v>3</v>
      </c>
      <c r="K2787" s="2" t="s">
        <v>5586</v>
      </c>
      <c r="L2787" s="11" t="str">
        <f t="shared" si="44"/>
        <v>Ver Imagen</v>
      </c>
      <c r="M2787" t="s">
        <v>15</v>
      </c>
    </row>
    <row r="2788" spans="1:13" x14ac:dyDescent="0.25">
      <c r="A2788">
        <v>2787</v>
      </c>
      <c r="B2788" t="s">
        <v>5587</v>
      </c>
      <c r="C2788" s="1">
        <v>37.456088206499999</v>
      </c>
      <c r="D2788" s="1">
        <v>-7.1263273477700002</v>
      </c>
      <c r="E2788" s="3">
        <v>3</v>
      </c>
      <c r="F2788" s="2">
        <v>3</v>
      </c>
      <c r="G2788" s="4">
        <v>2</v>
      </c>
      <c r="H2788" s="13"/>
      <c r="I2788" s="15"/>
      <c r="J2788" s="19">
        <v>3</v>
      </c>
      <c r="K2788" s="2" t="s">
        <v>5588</v>
      </c>
      <c r="L2788" s="11" t="str">
        <f t="shared" si="44"/>
        <v>Ver Imagen</v>
      </c>
      <c r="M2788" t="s">
        <v>15</v>
      </c>
    </row>
    <row r="2789" spans="1:13" x14ac:dyDescent="0.25">
      <c r="A2789">
        <v>2788</v>
      </c>
      <c r="B2789" t="s">
        <v>5589</v>
      </c>
      <c r="C2789" s="1">
        <v>37.4499114969</v>
      </c>
      <c r="D2789" s="1">
        <v>-7.1272149496599999</v>
      </c>
      <c r="E2789" s="3">
        <v>3</v>
      </c>
      <c r="F2789" s="2">
        <v>2</v>
      </c>
      <c r="G2789" s="4">
        <v>3</v>
      </c>
      <c r="H2789" s="13"/>
      <c r="I2789" s="15"/>
      <c r="J2789" s="19">
        <v>3</v>
      </c>
      <c r="K2789" s="2" t="s">
        <v>5590</v>
      </c>
      <c r="L2789" s="11" t="str">
        <f t="shared" si="44"/>
        <v>Ver Imagen</v>
      </c>
      <c r="M2789" t="s">
        <v>15</v>
      </c>
    </row>
    <row r="2790" spans="1:13" x14ac:dyDescent="0.25">
      <c r="A2790">
        <v>2789</v>
      </c>
      <c r="B2790" t="s">
        <v>5591</v>
      </c>
      <c r="C2790" s="1">
        <v>37.495718599600004</v>
      </c>
      <c r="D2790" s="1">
        <v>-7.2742840499500003</v>
      </c>
      <c r="E2790" s="3">
        <v>3</v>
      </c>
      <c r="F2790" s="2">
        <v>2</v>
      </c>
      <c r="G2790" s="4">
        <v>3</v>
      </c>
      <c r="H2790" s="13"/>
      <c r="I2790" s="15"/>
      <c r="J2790" s="19">
        <v>3</v>
      </c>
      <c r="K2790" s="2" t="s">
        <v>5592</v>
      </c>
      <c r="L2790" s="11" t="str">
        <f t="shared" si="44"/>
        <v>Ver Imagen</v>
      </c>
      <c r="M2790" t="s">
        <v>15</v>
      </c>
    </row>
    <row r="2791" spans="1:13" x14ac:dyDescent="0.25">
      <c r="A2791">
        <v>2790</v>
      </c>
      <c r="B2791" t="s">
        <v>5593</v>
      </c>
      <c r="C2791" s="1">
        <v>37.4953632287</v>
      </c>
      <c r="D2791" s="1">
        <v>-7.2710215971199998</v>
      </c>
      <c r="E2791" s="3">
        <v>3</v>
      </c>
      <c r="F2791" s="2">
        <v>2</v>
      </c>
      <c r="G2791" s="4">
        <v>3</v>
      </c>
      <c r="H2791" s="13"/>
      <c r="I2791" s="15"/>
      <c r="J2791" s="19">
        <v>3</v>
      </c>
      <c r="K2791" s="2" t="s">
        <v>5594</v>
      </c>
      <c r="L2791" s="11" t="str">
        <f t="shared" si="44"/>
        <v>Ver Imagen</v>
      </c>
      <c r="M2791" t="s">
        <v>15</v>
      </c>
    </row>
    <row r="2792" spans="1:13" x14ac:dyDescent="0.25">
      <c r="A2792">
        <v>2791</v>
      </c>
      <c r="B2792" t="s">
        <v>5595</v>
      </c>
      <c r="C2792" s="1">
        <v>37.495489126700001</v>
      </c>
      <c r="D2792" s="1">
        <v>-7.2697268885500002</v>
      </c>
      <c r="E2792" s="3">
        <v>3</v>
      </c>
      <c r="F2792" s="2">
        <v>2</v>
      </c>
      <c r="G2792" s="4">
        <v>3</v>
      </c>
      <c r="H2792" s="13"/>
      <c r="I2792" s="15"/>
      <c r="J2792" s="19">
        <v>3</v>
      </c>
      <c r="K2792" s="2" t="s">
        <v>5596</v>
      </c>
      <c r="L2792" s="11" t="str">
        <f t="shared" si="44"/>
        <v>Ver Imagen</v>
      </c>
      <c r="M2792" t="s">
        <v>15</v>
      </c>
    </row>
    <row r="2793" spans="1:13" x14ac:dyDescent="0.25">
      <c r="A2793">
        <v>2792</v>
      </c>
      <c r="B2793" t="s">
        <v>5597</v>
      </c>
      <c r="C2793" s="1">
        <v>37.495482569300002</v>
      </c>
      <c r="D2793" s="1">
        <v>-7.2694470668199997</v>
      </c>
      <c r="E2793" s="3">
        <v>3</v>
      </c>
      <c r="F2793" s="2">
        <v>3</v>
      </c>
      <c r="G2793" s="4">
        <v>4</v>
      </c>
      <c r="H2793" s="13"/>
      <c r="I2793" s="15"/>
      <c r="J2793" s="19">
        <v>3</v>
      </c>
      <c r="K2793" s="2" t="s">
        <v>5598</v>
      </c>
      <c r="L2793" s="11" t="str">
        <f t="shared" ref="L2793:L2856" si="45">HYPERLINK("3\1\" &amp; K2793, "Ver Imagen")</f>
        <v>Ver Imagen</v>
      </c>
      <c r="M2793" t="s">
        <v>15</v>
      </c>
    </row>
    <row r="2794" spans="1:13" x14ac:dyDescent="0.25">
      <c r="A2794">
        <v>2793</v>
      </c>
      <c r="B2794" t="s">
        <v>5599</v>
      </c>
      <c r="C2794" s="1">
        <v>37.495389189400001</v>
      </c>
      <c r="D2794" s="1">
        <v>-7.2686925486999998</v>
      </c>
      <c r="E2794" s="3">
        <v>3</v>
      </c>
      <c r="F2794" s="2">
        <v>3</v>
      </c>
      <c r="G2794" s="4">
        <v>4</v>
      </c>
      <c r="H2794" s="13"/>
      <c r="I2794" s="15"/>
      <c r="J2794" s="19">
        <v>3</v>
      </c>
      <c r="K2794" s="2" t="s">
        <v>5600</v>
      </c>
      <c r="L2794" s="11" t="str">
        <f t="shared" si="45"/>
        <v>Ver Imagen</v>
      </c>
      <c r="M2794" t="s">
        <v>15</v>
      </c>
    </row>
    <row r="2795" spans="1:13" x14ac:dyDescent="0.25">
      <c r="A2795">
        <v>2794</v>
      </c>
      <c r="B2795" t="s">
        <v>5601</v>
      </c>
      <c r="C2795" s="1">
        <v>37.495305291400001</v>
      </c>
      <c r="D2795" s="1">
        <v>-7.2682363706000004</v>
      </c>
      <c r="E2795" s="3">
        <v>4</v>
      </c>
      <c r="F2795" s="2">
        <v>3</v>
      </c>
      <c r="G2795" s="4">
        <v>3</v>
      </c>
      <c r="H2795" s="13"/>
      <c r="I2795" s="15"/>
      <c r="J2795" s="19">
        <v>3</v>
      </c>
      <c r="K2795" s="2" t="s">
        <v>5602</v>
      </c>
      <c r="L2795" s="11" t="str">
        <f t="shared" si="45"/>
        <v>Ver Imagen</v>
      </c>
      <c r="M2795" t="s">
        <v>15</v>
      </c>
    </row>
    <row r="2796" spans="1:13" x14ac:dyDescent="0.25">
      <c r="A2796">
        <v>2795</v>
      </c>
      <c r="B2796" t="s">
        <v>5603</v>
      </c>
      <c r="C2796" s="1">
        <v>37.496041905600002</v>
      </c>
      <c r="D2796" s="1">
        <v>-7.2681693877800004</v>
      </c>
      <c r="E2796" s="3">
        <v>3</v>
      </c>
      <c r="F2796" s="2">
        <v>3</v>
      </c>
      <c r="G2796" s="4">
        <v>4</v>
      </c>
      <c r="H2796" s="13"/>
      <c r="I2796" s="15"/>
      <c r="J2796" s="19">
        <v>3</v>
      </c>
      <c r="K2796" s="2" t="s">
        <v>5604</v>
      </c>
      <c r="L2796" s="11" t="str">
        <f t="shared" si="45"/>
        <v>Ver Imagen</v>
      </c>
      <c r="M2796" t="s">
        <v>15</v>
      </c>
    </row>
    <row r="2797" spans="1:13" x14ac:dyDescent="0.25">
      <c r="A2797">
        <v>2796</v>
      </c>
      <c r="B2797" t="s">
        <v>5605</v>
      </c>
      <c r="C2797" s="1">
        <v>37.497427849600001</v>
      </c>
      <c r="D2797" s="1">
        <v>-7.2679834810099999</v>
      </c>
      <c r="E2797" s="3">
        <v>3</v>
      </c>
      <c r="F2797" s="2">
        <v>3</v>
      </c>
      <c r="G2797" s="4">
        <v>2</v>
      </c>
      <c r="H2797" s="13"/>
      <c r="I2797" s="15"/>
      <c r="J2797" s="19">
        <v>3</v>
      </c>
      <c r="K2797" s="2" t="s">
        <v>5606</v>
      </c>
      <c r="L2797" s="11" t="str">
        <f t="shared" si="45"/>
        <v>Ver Imagen</v>
      </c>
      <c r="M2797" t="s">
        <v>15</v>
      </c>
    </row>
    <row r="2798" spans="1:13" x14ac:dyDescent="0.25">
      <c r="A2798">
        <v>2797</v>
      </c>
      <c r="B2798" t="s">
        <v>5607</v>
      </c>
      <c r="C2798" s="1">
        <v>37.497824212899999</v>
      </c>
      <c r="D2798" s="1">
        <v>-7.2678467386700003</v>
      </c>
      <c r="E2798" s="3">
        <v>3</v>
      </c>
      <c r="F2798" s="2">
        <v>3</v>
      </c>
      <c r="G2798" s="4">
        <v>2</v>
      </c>
      <c r="H2798" s="13"/>
      <c r="I2798" s="15"/>
      <c r="J2798" s="19">
        <v>3</v>
      </c>
      <c r="K2798" s="2" t="s">
        <v>5608</v>
      </c>
      <c r="L2798" s="11" t="str">
        <f t="shared" si="45"/>
        <v>Ver Imagen</v>
      </c>
      <c r="M2798" t="s">
        <v>15</v>
      </c>
    </row>
    <row r="2799" spans="1:13" x14ac:dyDescent="0.25">
      <c r="A2799">
        <v>2798</v>
      </c>
      <c r="B2799" t="s">
        <v>5609</v>
      </c>
      <c r="C2799" s="1">
        <v>37.198990172899997</v>
      </c>
      <c r="D2799" s="1">
        <v>-6.9828264921900001</v>
      </c>
      <c r="E2799" s="3">
        <v>3</v>
      </c>
      <c r="F2799" s="2">
        <v>2</v>
      </c>
      <c r="G2799" s="4">
        <v>3</v>
      </c>
      <c r="H2799" s="13"/>
      <c r="I2799" s="15"/>
      <c r="J2799" s="19">
        <v>3</v>
      </c>
      <c r="K2799" s="2" t="s">
        <v>5610</v>
      </c>
      <c r="L2799" s="11" t="str">
        <f t="shared" si="45"/>
        <v>Ver Imagen</v>
      </c>
      <c r="M2799" t="s">
        <v>15</v>
      </c>
    </row>
    <row r="2800" spans="1:13" x14ac:dyDescent="0.25">
      <c r="A2800">
        <v>2799</v>
      </c>
      <c r="B2800" t="s">
        <v>5611</v>
      </c>
      <c r="C2800" s="1">
        <v>37.198621598400003</v>
      </c>
      <c r="D2800" s="1">
        <v>-6.9818994653799997</v>
      </c>
      <c r="E2800" s="3">
        <v>3</v>
      </c>
      <c r="F2800" s="2">
        <v>2</v>
      </c>
      <c r="G2800" s="4">
        <v>3</v>
      </c>
      <c r="H2800" s="13"/>
      <c r="I2800" s="15"/>
      <c r="J2800" s="19">
        <v>3</v>
      </c>
      <c r="K2800" s="2" t="s">
        <v>5612</v>
      </c>
      <c r="L2800" s="11" t="str">
        <f t="shared" si="45"/>
        <v>Ver Imagen</v>
      </c>
      <c r="M2800" t="s">
        <v>15</v>
      </c>
    </row>
    <row r="2801" spans="1:13" x14ac:dyDescent="0.25">
      <c r="A2801">
        <v>2800</v>
      </c>
      <c r="B2801" t="s">
        <v>5613</v>
      </c>
      <c r="C2801" s="1">
        <v>37.197951912900002</v>
      </c>
      <c r="D2801" s="1">
        <v>-6.9806417667299998</v>
      </c>
      <c r="E2801" s="3">
        <v>3</v>
      </c>
      <c r="F2801" s="2">
        <v>2</v>
      </c>
      <c r="G2801" s="4">
        <v>3</v>
      </c>
      <c r="H2801" s="13"/>
      <c r="I2801" s="15"/>
      <c r="J2801" s="19">
        <v>3</v>
      </c>
      <c r="K2801" s="2" t="s">
        <v>5614</v>
      </c>
      <c r="L2801" s="11" t="str">
        <f t="shared" si="45"/>
        <v>Ver Imagen</v>
      </c>
      <c r="M2801" t="s">
        <v>15</v>
      </c>
    </row>
    <row r="2802" spans="1:13" x14ac:dyDescent="0.25">
      <c r="A2802">
        <v>2801</v>
      </c>
      <c r="B2802" t="s">
        <v>5615</v>
      </c>
      <c r="C2802" s="1">
        <v>37.197411216399999</v>
      </c>
      <c r="D2802" s="1">
        <v>-6.9799110143699998</v>
      </c>
      <c r="E2802" s="3">
        <v>3</v>
      </c>
      <c r="F2802" s="2">
        <v>2</v>
      </c>
      <c r="G2802" s="4">
        <v>3</v>
      </c>
      <c r="H2802" s="13"/>
      <c r="I2802" s="15"/>
      <c r="J2802" s="19">
        <v>3</v>
      </c>
      <c r="K2802" s="2" t="s">
        <v>5616</v>
      </c>
      <c r="L2802" s="11" t="str">
        <f t="shared" si="45"/>
        <v>Ver Imagen</v>
      </c>
      <c r="M2802" t="s">
        <v>15</v>
      </c>
    </row>
    <row r="2803" spans="1:13" x14ac:dyDescent="0.25">
      <c r="A2803">
        <v>2802</v>
      </c>
      <c r="B2803" t="s">
        <v>5617</v>
      </c>
      <c r="C2803" s="1">
        <v>37.196783906100002</v>
      </c>
      <c r="D2803" s="1">
        <v>-6.9792484460799997</v>
      </c>
      <c r="E2803" s="3">
        <v>3</v>
      </c>
      <c r="F2803" s="2">
        <v>2</v>
      </c>
      <c r="G2803" s="4">
        <v>3</v>
      </c>
      <c r="H2803" s="13"/>
      <c r="I2803" s="15"/>
      <c r="J2803" s="19">
        <v>3</v>
      </c>
      <c r="K2803" s="2" t="s">
        <v>5618</v>
      </c>
      <c r="L2803" s="11" t="str">
        <f t="shared" si="45"/>
        <v>Ver Imagen</v>
      </c>
      <c r="M2803" t="s">
        <v>15</v>
      </c>
    </row>
    <row r="2804" spans="1:13" x14ac:dyDescent="0.25">
      <c r="A2804">
        <v>2803</v>
      </c>
      <c r="B2804" t="s">
        <v>5619</v>
      </c>
      <c r="C2804" s="1">
        <v>37.196298318700002</v>
      </c>
      <c r="D2804" s="1">
        <v>-6.9788396672199999</v>
      </c>
      <c r="E2804" s="3">
        <v>3</v>
      </c>
      <c r="F2804" s="2">
        <v>2</v>
      </c>
      <c r="G2804" s="4">
        <v>3</v>
      </c>
      <c r="H2804" s="13"/>
      <c r="I2804" s="15"/>
      <c r="J2804" s="19">
        <v>3</v>
      </c>
      <c r="K2804" s="2" t="s">
        <v>5620</v>
      </c>
      <c r="L2804" s="11" t="str">
        <f t="shared" si="45"/>
        <v>Ver Imagen</v>
      </c>
      <c r="M2804" t="s">
        <v>15</v>
      </c>
    </row>
    <row r="2805" spans="1:13" x14ac:dyDescent="0.25">
      <c r="A2805">
        <v>2804</v>
      </c>
      <c r="B2805" t="s">
        <v>5621</v>
      </c>
      <c r="C2805" s="1">
        <v>37.195922554600003</v>
      </c>
      <c r="D2805" s="1">
        <v>-6.9785745236499999</v>
      </c>
      <c r="E2805" s="3">
        <v>3</v>
      </c>
      <c r="F2805" s="2">
        <v>2</v>
      </c>
      <c r="G2805" s="4">
        <v>3</v>
      </c>
      <c r="H2805" s="13"/>
      <c r="I2805" s="15"/>
      <c r="J2805" s="19">
        <v>3</v>
      </c>
      <c r="K2805" s="2" t="s">
        <v>5622</v>
      </c>
      <c r="L2805" s="11" t="str">
        <f t="shared" si="45"/>
        <v>Ver Imagen</v>
      </c>
      <c r="M2805" t="s">
        <v>15</v>
      </c>
    </row>
    <row r="2806" spans="1:13" x14ac:dyDescent="0.25">
      <c r="A2806">
        <v>2805</v>
      </c>
      <c r="B2806" t="s">
        <v>5623</v>
      </c>
      <c r="C2806" s="1">
        <v>37.195574657100003</v>
      </c>
      <c r="D2806" s="1">
        <v>-6.9783590176699999</v>
      </c>
      <c r="E2806" s="3">
        <v>3</v>
      </c>
      <c r="F2806" s="2">
        <v>2</v>
      </c>
      <c r="G2806" s="4">
        <v>3</v>
      </c>
      <c r="H2806" s="13"/>
      <c r="I2806" s="15"/>
      <c r="J2806" s="19">
        <v>3</v>
      </c>
      <c r="K2806" s="2" t="s">
        <v>5624</v>
      </c>
      <c r="L2806" s="11" t="str">
        <f t="shared" si="45"/>
        <v>Ver Imagen</v>
      </c>
      <c r="M2806" t="s">
        <v>15</v>
      </c>
    </row>
    <row r="2807" spans="1:13" x14ac:dyDescent="0.25">
      <c r="A2807">
        <v>2806</v>
      </c>
      <c r="B2807" t="s">
        <v>5625</v>
      </c>
      <c r="C2807" s="1">
        <v>37.1910143964</v>
      </c>
      <c r="D2807" s="1">
        <v>-6.9778787971999998</v>
      </c>
      <c r="E2807" s="3">
        <v>3</v>
      </c>
      <c r="F2807" s="2">
        <v>2</v>
      </c>
      <c r="G2807" s="4">
        <v>3</v>
      </c>
      <c r="H2807" s="13"/>
      <c r="I2807" s="15"/>
      <c r="J2807" s="19">
        <v>3</v>
      </c>
      <c r="K2807" s="2" t="s">
        <v>5626</v>
      </c>
      <c r="L2807" s="11" t="str">
        <f t="shared" si="45"/>
        <v>Ver Imagen</v>
      </c>
      <c r="M2807" t="s">
        <v>15</v>
      </c>
    </row>
    <row r="2808" spans="1:13" x14ac:dyDescent="0.25">
      <c r="A2808">
        <v>2807</v>
      </c>
      <c r="B2808" t="s">
        <v>5627</v>
      </c>
      <c r="C2808" s="1">
        <v>37.189045760200003</v>
      </c>
      <c r="D2808" s="1">
        <v>-6.9784106759700002</v>
      </c>
      <c r="E2808" s="3">
        <v>3</v>
      </c>
      <c r="F2808" s="2">
        <v>2</v>
      </c>
      <c r="G2808" s="4">
        <v>3</v>
      </c>
      <c r="H2808" s="13"/>
      <c r="I2808" s="15"/>
      <c r="J2808" s="19">
        <v>3</v>
      </c>
      <c r="K2808" s="2" t="s">
        <v>5628</v>
      </c>
      <c r="L2808" s="11" t="str">
        <f t="shared" si="45"/>
        <v>Ver Imagen</v>
      </c>
      <c r="M2808" t="s">
        <v>15</v>
      </c>
    </row>
    <row r="2809" spans="1:13" x14ac:dyDescent="0.25">
      <c r="A2809">
        <v>2808</v>
      </c>
      <c r="B2809" t="s">
        <v>5629</v>
      </c>
      <c r="C2809" s="1">
        <v>37.188833348700001</v>
      </c>
      <c r="D2809" s="1">
        <v>-6.9784718893299997</v>
      </c>
      <c r="E2809" s="3">
        <v>3</v>
      </c>
      <c r="F2809" s="2">
        <v>2</v>
      </c>
      <c r="G2809" s="4">
        <v>3</v>
      </c>
      <c r="H2809" s="13"/>
      <c r="I2809" s="15"/>
      <c r="J2809" s="19">
        <v>3</v>
      </c>
      <c r="K2809" s="2" t="s">
        <v>5630</v>
      </c>
      <c r="L2809" s="11" t="str">
        <f t="shared" si="45"/>
        <v>Ver Imagen</v>
      </c>
      <c r="M2809" t="s">
        <v>15</v>
      </c>
    </row>
    <row r="2810" spans="1:13" x14ac:dyDescent="0.25">
      <c r="A2810">
        <v>2809</v>
      </c>
      <c r="B2810" t="s">
        <v>5631</v>
      </c>
      <c r="C2810" s="1">
        <v>37.501148951499999</v>
      </c>
      <c r="D2810" s="1">
        <v>-7.2667086270199999</v>
      </c>
      <c r="E2810" s="3">
        <v>3</v>
      </c>
      <c r="F2810" s="2">
        <v>2</v>
      </c>
      <c r="G2810" s="4">
        <v>3</v>
      </c>
      <c r="H2810" s="13"/>
      <c r="I2810" s="15"/>
      <c r="J2810" s="19">
        <v>3</v>
      </c>
      <c r="K2810" s="2" t="s">
        <v>5632</v>
      </c>
      <c r="L2810" s="11" t="str">
        <f t="shared" si="45"/>
        <v>Ver Imagen</v>
      </c>
      <c r="M2810" t="s">
        <v>15</v>
      </c>
    </row>
    <row r="2811" spans="1:13" x14ac:dyDescent="0.25">
      <c r="A2811">
        <v>2810</v>
      </c>
      <c r="B2811" t="s">
        <v>5633</v>
      </c>
      <c r="C2811" s="1">
        <v>37.501699332199998</v>
      </c>
      <c r="D2811" s="1">
        <v>-7.2665213026400002</v>
      </c>
      <c r="E2811" s="3">
        <v>3</v>
      </c>
      <c r="F2811" s="2">
        <v>2</v>
      </c>
      <c r="G2811" s="4">
        <v>3</v>
      </c>
      <c r="H2811" s="13"/>
      <c r="I2811" s="15"/>
      <c r="J2811" s="19">
        <v>3</v>
      </c>
      <c r="K2811" s="2" t="s">
        <v>5634</v>
      </c>
      <c r="L2811" s="11" t="str">
        <f t="shared" si="45"/>
        <v>Ver Imagen</v>
      </c>
      <c r="M2811" t="s">
        <v>15</v>
      </c>
    </row>
    <row r="2812" spans="1:13" x14ac:dyDescent="0.25">
      <c r="A2812">
        <v>2811</v>
      </c>
      <c r="B2812" t="s">
        <v>5635</v>
      </c>
      <c r="C2812" s="1">
        <v>37.502505083499997</v>
      </c>
      <c r="D2812" s="1">
        <v>-7.2662434218899996</v>
      </c>
      <c r="E2812" s="3">
        <v>2</v>
      </c>
      <c r="F2812" s="2">
        <v>3</v>
      </c>
      <c r="G2812" s="4">
        <v>3</v>
      </c>
      <c r="H2812" s="13"/>
      <c r="I2812" s="15"/>
      <c r="J2812" s="19">
        <v>3</v>
      </c>
      <c r="K2812" s="2" t="s">
        <v>5636</v>
      </c>
      <c r="L2812" s="11" t="str">
        <f t="shared" si="45"/>
        <v>Ver Imagen</v>
      </c>
      <c r="M2812" t="s">
        <v>15</v>
      </c>
    </row>
    <row r="2813" spans="1:13" x14ac:dyDescent="0.25">
      <c r="A2813">
        <v>2812</v>
      </c>
      <c r="B2813" t="s">
        <v>5637</v>
      </c>
      <c r="C2813" s="1">
        <v>37.502891379399998</v>
      </c>
      <c r="D2813" s="1">
        <v>-7.2661148225599996</v>
      </c>
      <c r="E2813" s="3">
        <v>2</v>
      </c>
      <c r="F2813" s="2">
        <v>3</v>
      </c>
      <c r="G2813" s="4">
        <v>3</v>
      </c>
      <c r="H2813" s="13"/>
      <c r="I2813" s="15"/>
      <c r="J2813" s="19">
        <v>3</v>
      </c>
      <c r="K2813" s="2" t="s">
        <v>5638</v>
      </c>
      <c r="L2813" s="11" t="str">
        <f t="shared" si="45"/>
        <v>Ver Imagen</v>
      </c>
      <c r="M2813" t="s">
        <v>15</v>
      </c>
    </row>
    <row r="2814" spans="1:13" x14ac:dyDescent="0.25">
      <c r="A2814">
        <v>2813</v>
      </c>
      <c r="B2814" t="s">
        <v>5639</v>
      </c>
      <c r="C2814" s="1">
        <v>37.515280651899999</v>
      </c>
      <c r="D2814" s="1">
        <v>-7.2685338613299999</v>
      </c>
      <c r="E2814" s="3">
        <v>3</v>
      </c>
      <c r="F2814" s="2">
        <v>2</v>
      </c>
      <c r="G2814" s="4">
        <v>3</v>
      </c>
      <c r="H2814" s="13"/>
      <c r="I2814" s="15"/>
      <c r="J2814" s="19">
        <v>3</v>
      </c>
      <c r="K2814" s="2" t="s">
        <v>5640</v>
      </c>
      <c r="L2814" s="11" t="str">
        <f t="shared" si="45"/>
        <v>Ver Imagen</v>
      </c>
      <c r="M2814" t="s">
        <v>15</v>
      </c>
    </row>
    <row r="2815" spans="1:13" x14ac:dyDescent="0.25">
      <c r="A2815">
        <v>2814</v>
      </c>
      <c r="B2815" t="s">
        <v>5641</v>
      </c>
      <c r="C2815" s="1">
        <v>37.267678553099998</v>
      </c>
      <c r="D2815" s="1">
        <v>-6.9653188999999998</v>
      </c>
      <c r="E2815" s="3">
        <v>3</v>
      </c>
      <c r="F2815" s="2">
        <v>2</v>
      </c>
      <c r="G2815" s="4">
        <v>3</v>
      </c>
      <c r="H2815" s="13"/>
      <c r="I2815" s="15"/>
      <c r="J2815" s="19">
        <v>3</v>
      </c>
      <c r="K2815" s="2" t="s">
        <v>5642</v>
      </c>
      <c r="L2815" s="11" t="str">
        <f t="shared" si="45"/>
        <v>Ver Imagen</v>
      </c>
      <c r="M2815" t="s">
        <v>15</v>
      </c>
    </row>
    <row r="2816" spans="1:13" x14ac:dyDescent="0.25">
      <c r="A2816">
        <v>2815</v>
      </c>
      <c r="B2816" t="s">
        <v>5643</v>
      </c>
      <c r="C2816" s="1">
        <v>37.523087429599997</v>
      </c>
      <c r="D2816" s="1">
        <v>-7.2591263797499996</v>
      </c>
      <c r="E2816" s="3">
        <v>3</v>
      </c>
      <c r="F2816" s="2">
        <v>2</v>
      </c>
      <c r="G2816" s="4">
        <v>3</v>
      </c>
      <c r="H2816" s="13"/>
      <c r="I2816" s="15"/>
      <c r="J2816" s="19">
        <v>3</v>
      </c>
      <c r="K2816" s="2" t="s">
        <v>5644</v>
      </c>
      <c r="L2816" s="11" t="str">
        <f t="shared" si="45"/>
        <v>Ver Imagen</v>
      </c>
      <c r="M2816" t="s">
        <v>15</v>
      </c>
    </row>
    <row r="2817" spans="1:13" x14ac:dyDescent="0.25">
      <c r="A2817">
        <v>2816</v>
      </c>
      <c r="B2817" t="s">
        <v>5645</v>
      </c>
      <c r="C2817" s="1">
        <v>37.267835831200003</v>
      </c>
      <c r="D2817" s="1">
        <v>-6.9681257138800001</v>
      </c>
      <c r="E2817" s="3">
        <v>3</v>
      </c>
      <c r="F2817" s="2">
        <v>2</v>
      </c>
      <c r="G2817" s="4">
        <v>3</v>
      </c>
      <c r="H2817" s="13"/>
      <c r="I2817" s="15"/>
      <c r="J2817" s="19">
        <v>3</v>
      </c>
      <c r="K2817" s="2" t="s">
        <v>5646</v>
      </c>
      <c r="L2817" s="11" t="str">
        <f t="shared" si="45"/>
        <v>Ver Imagen</v>
      </c>
      <c r="M2817" t="s">
        <v>15</v>
      </c>
    </row>
    <row r="2818" spans="1:13" x14ac:dyDescent="0.25">
      <c r="A2818">
        <v>2817</v>
      </c>
      <c r="B2818" t="s">
        <v>5647</v>
      </c>
      <c r="C2818" s="1">
        <v>37.267859732300003</v>
      </c>
      <c r="D2818" s="1">
        <v>-6.96838096902</v>
      </c>
      <c r="E2818" s="3">
        <v>3</v>
      </c>
      <c r="F2818" s="2">
        <v>2</v>
      </c>
      <c r="G2818" s="4">
        <v>3</v>
      </c>
      <c r="H2818" s="13"/>
      <c r="I2818" s="15"/>
      <c r="J2818" s="19">
        <v>3</v>
      </c>
      <c r="K2818" s="2" t="s">
        <v>5648</v>
      </c>
      <c r="L2818" s="11" t="str">
        <f t="shared" si="45"/>
        <v>Ver Imagen</v>
      </c>
      <c r="M2818" t="s">
        <v>15</v>
      </c>
    </row>
    <row r="2819" spans="1:13" x14ac:dyDescent="0.25">
      <c r="A2819">
        <v>2818</v>
      </c>
      <c r="B2819" t="s">
        <v>5649</v>
      </c>
      <c r="C2819" s="1">
        <v>37.267905306899998</v>
      </c>
      <c r="D2819" s="1">
        <v>-6.9688716192499998</v>
      </c>
      <c r="E2819" s="3">
        <v>3</v>
      </c>
      <c r="F2819" s="2">
        <v>2</v>
      </c>
      <c r="G2819" s="4">
        <v>3</v>
      </c>
      <c r="H2819" s="13"/>
      <c r="I2819" s="15"/>
      <c r="J2819" s="19">
        <v>3</v>
      </c>
      <c r="K2819" s="2" t="s">
        <v>5650</v>
      </c>
      <c r="L2819" s="11" t="str">
        <f t="shared" si="45"/>
        <v>Ver Imagen</v>
      </c>
      <c r="M2819" t="s">
        <v>15</v>
      </c>
    </row>
    <row r="2820" spans="1:13" x14ac:dyDescent="0.25">
      <c r="A2820">
        <v>2819</v>
      </c>
      <c r="B2820" t="s">
        <v>5651</v>
      </c>
      <c r="C2820" s="1">
        <v>37.268042982600001</v>
      </c>
      <c r="D2820" s="1">
        <v>-6.9701391304799998</v>
      </c>
      <c r="E2820" s="3">
        <v>3</v>
      </c>
      <c r="F2820" s="2">
        <v>2</v>
      </c>
      <c r="G2820" s="4">
        <v>3</v>
      </c>
      <c r="H2820" s="13"/>
      <c r="I2820" s="15"/>
      <c r="J2820" s="19">
        <v>3</v>
      </c>
      <c r="K2820" s="2" t="s">
        <v>5652</v>
      </c>
      <c r="L2820" s="11" t="str">
        <f t="shared" si="45"/>
        <v>Ver Imagen</v>
      </c>
      <c r="M2820" t="s">
        <v>15</v>
      </c>
    </row>
    <row r="2821" spans="1:13" x14ac:dyDescent="0.25">
      <c r="A2821">
        <v>2820</v>
      </c>
      <c r="B2821" t="s">
        <v>5653</v>
      </c>
      <c r="C2821" s="1">
        <v>37.268137602199999</v>
      </c>
      <c r="D2821" s="1">
        <v>-6.9708761877200001</v>
      </c>
      <c r="E2821" s="3">
        <v>3</v>
      </c>
      <c r="F2821" s="2">
        <v>2</v>
      </c>
      <c r="G2821" s="4">
        <v>3</v>
      </c>
      <c r="H2821" s="13"/>
      <c r="I2821" s="15"/>
      <c r="J2821" s="19">
        <v>3</v>
      </c>
      <c r="K2821" s="2" t="s">
        <v>5654</v>
      </c>
      <c r="L2821" s="11" t="str">
        <f t="shared" si="45"/>
        <v>Ver Imagen</v>
      </c>
      <c r="M2821" t="s">
        <v>15</v>
      </c>
    </row>
    <row r="2822" spans="1:13" x14ac:dyDescent="0.25">
      <c r="A2822">
        <v>2821</v>
      </c>
      <c r="B2822" t="s">
        <v>5655</v>
      </c>
      <c r="C2822" s="1">
        <v>37.268174433799999</v>
      </c>
      <c r="D2822" s="1">
        <v>-6.97113955796</v>
      </c>
      <c r="E2822" s="3">
        <v>3</v>
      </c>
      <c r="F2822" s="2">
        <v>2</v>
      </c>
      <c r="G2822" s="4">
        <v>3</v>
      </c>
      <c r="H2822" s="13"/>
      <c r="I2822" s="15"/>
      <c r="J2822" s="19">
        <v>3</v>
      </c>
      <c r="K2822" s="2" t="s">
        <v>5656</v>
      </c>
      <c r="L2822" s="11" t="str">
        <f t="shared" si="45"/>
        <v>Ver Imagen</v>
      </c>
      <c r="M2822" t="s">
        <v>15</v>
      </c>
    </row>
    <row r="2823" spans="1:13" x14ac:dyDescent="0.25">
      <c r="A2823">
        <v>2822</v>
      </c>
      <c r="B2823" t="s">
        <v>5657</v>
      </c>
      <c r="C2823" s="1">
        <v>37.268249733600001</v>
      </c>
      <c r="D2823" s="1">
        <v>-6.9716441256300001</v>
      </c>
      <c r="E2823" s="3">
        <v>3</v>
      </c>
      <c r="F2823" s="2">
        <v>2</v>
      </c>
      <c r="G2823" s="4">
        <v>3</v>
      </c>
      <c r="H2823" s="13"/>
      <c r="I2823" s="15"/>
      <c r="J2823" s="19">
        <v>3</v>
      </c>
      <c r="K2823" s="2" t="s">
        <v>5658</v>
      </c>
      <c r="L2823" s="11" t="str">
        <f t="shared" si="45"/>
        <v>Ver Imagen</v>
      </c>
      <c r="M2823" t="s">
        <v>15</v>
      </c>
    </row>
    <row r="2824" spans="1:13" x14ac:dyDescent="0.25">
      <c r="A2824">
        <v>2823</v>
      </c>
      <c r="B2824" t="s">
        <v>5659</v>
      </c>
      <c r="C2824" s="1">
        <v>37.2683320963</v>
      </c>
      <c r="D2824" s="1">
        <v>-6.9721470653099997</v>
      </c>
      <c r="E2824" s="3">
        <v>3</v>
      </c>
      <c r="F2824" s="2">
        <v>2</v>
      </c>
      <c r="G2824" s="4">
        <v>3</v>
      </c>
      <c r="H2824" s="13"/>
      <c r="I2824" s="15"/>
      <c r="J2824" s="19">
        <v>3</v>
      </c>
      <c r="K2824" s="2" t="s">
        <v>5660</v>
      </c>
      <c r="L2824" s="11" t="str">
        <f t="shared" si="45"/>
        <v>Ver Imagen</v>
      </c>
      <c r="M2824" t="s">
        <v>15</v>
      </c>
    </row>
    <row r="2825" spans="1:13" x14ac:dyDescent="0.25">
      <c r="A2825">
        <v>2824</v>
      </c>
      <c r="B2825" t="s">
        <v>5661</v>
      </c>
      <c r="C2825" s="1">
        <v>37.268605840799999</v>
      </c>
      <c r="D2825" s="1">
        <v>-6.97361999545</v>
      </c>
      <c r="E2825" s="3">
        <v>3</v>
      </c>
      <c r="F2825" s="2">
        <v>2</v>
      </c>
      <c r="G2825" s="4">
        <v>3</v>
      </c>
      <c r="H2825" s="13"/>
      <c r="I2825" s="15"/>
      <c r="J2825" s="19">
        <v>3</v>
      </c>
      <c r="K2825" s="2" t="s">
        <v>5662</v>
      </c>
      <c r="L2825" s="11" t="str">
        <f t="shared" si="45"/>
        <v>Ver Imagen</v>
      </c>
      <c r="M2825" t="s">
        <v>15</v>
      </c>
    </row>
    <row r="2826" spans="1:13" x14ac:dyDescent="0.25">
      <c r="A2826">
        <v>2825</v>
      </c>
      <c r="B2826" t="s">
        <v>5663</v>
      </c>
      <c r="C2826" s="1">
        <v>37.268657247299998</v>
      </c>
      <c r="D2826" s="1">
        <v>-6.9738755429900001</v>
      </c>
      <c r="E2826" s="3">
        <v>3</v>
      </c>
      <c r="F2826" s="2">
        <v>2</v>
      </c>
      <c r="G2826" s="4">
        <v>3</v>
      </c>
      <c r="H2826" s="13"/>
      <c r="I2826" s="15"/>
      <c r="J2826" s="19">
        <v>3</v>
      </c>
      <c r="K2826" s="2" t="s">
        <v>5664</v>
      </c>
      <c r="L2826" s="11" t="str">
        <f t="shared" si="45"/>
        <v>Ver Imagen</v>
      </c>
      <c r="M2826" t="s">
        <v>15</v>
      </c>
    </row>
    <row r="2827" spans="1:13" x14ac:dyDescent="0.25">
      <c r="A2827">
        <v>2826</v>
      </c>
      <c r="B2827" t="s">
        <v>5665</v>
      </c>
      <c r="C2827" s="1">
        <v>37.268863150000001</v>
      </c>
      <c r="D2827" s="1">
        <v>-6.9748269972700001</v>
      </c>
      <c r="E2827" s="3">
        <v>3</v>
      </c>
      <c r="F2827" s="2">
        <v>2</v>
      </c>
      <c r="G2827" s="4">
        <v>3</v>
      </c>
      <c r="H2827" s="13"/>
      <c r="I2827" s="15"/>
      <c r="J2827" s="19">
        <v>3</v>
      </c>
      <c r="K2827" s="2" t="s">
        <v>5666</v>
      </c>
      <c r="L2827" s="11" t="str">
        <f t="shared" si="45"/>
        <v>Ver Imagen</v>
      </c>
      <c r="M2827" t="s">
        <v>15</v>
      </c>
    </row>
    <row r="2828" spans="1:13" x14ac:dyDescent="0.25">
      <c r="A2828">
        <v>2827</v>
      </c>
      <c r="B2828" t="s">
        <v>5667</v>
      </c>
      <c r="C2828" s="1">
        <v>37.268976842999997</v>
      </c>
      <c r="D2828" s="1">
        <v>-6.9753189862699996</v>
      </c>
      <c r="E2828" s="3">
        <v>3</v>
      </c>
      <c r="F2828" s="2">
        <v>2</v>
      </c>
      <c r="G2828" s="4">
        <v>3</v>
      </c>
      <c r="H2828" s="13"/>
      <c r="I2828" s="15"/>
      <c r="J2828" s="19">
        <v>3</v>
      </c>
      <c r="K2828" s="2" t="s">
        <v>5668</v>
      </c>
      <c r="L2828" s="11" t="str">
        <f t="shared" si="45"/>
        <v>Ver Imagen</v>
      </c>
      <c r="M2828" t="s">
        <v>15</v>
      </c>
    </row>
    <row r="2829" spans="1:13" x14ac:dyDescent="0.25">
      <c r="A2829">
        <v>2828</v>
      </c>
      <c r="B2829" t="s">
        <v>5669</v>
      </c>
      <c r="C2829" s="1">
        <v>37.2693508642</v>
      </c>
      <c r="D2829" s="1">
        <v>-6.9767622329999996</v>
      </c>
      <c r="E2829" s="3">
        <v>4</v>
      </c>
      <c r="F2829" s="2">
        <v>3</v>
      </c>
      <c r="G2829" s="4">
        <v>3</v>
      </c>
      <c r="H2829" s="13"/>
      <c r="I2829" s="15"/>
      <c r="J2829" s="19">
        <v>3</v>
      </c>
      <c r="K2829" s="2" t="s">
        <v>5670</v>
      </c>
      <c r="L2829" s="11" t="str">
        <f t="shared" si="45"/>
        <v>Ver Imagen</v>
      </c>
      <c r="M2829" t="s">
        <v>15</v>
      </c>
    </row>
    <row r="2830" spans="1:13" x14ac:dyDescent="0.25">
      <c r="A2830">
        <v>2829</v>
      </c>
      <c r="B2830" t="s">
        <v>5671</v>
      </c>
      <c r="C2830" s="1">
        <v>37.2696839356</v>
      </c>
      <c r="D2830" s="1">
        <v>-6.9779340045899998</v>
      </c>
      <c r="E2830" s="3">
        <v>3</v>
      </c>
      <c r="F2830" s="2">
        <v>2</v>
      </c>
      <c r="G2830" s="4">
        <v>3</v>
      </c>
      <c r="H2830" s="13"/>
      <c r="I2830" s="15"/>
      <c r="J2830" s="19">
        <v>3</v>
      </c>
      <c r="K2830" s="2" t="s">
        <v>5672</v>
      </c>
      <c r="L2830" s="11" t="str">
        <f t="shared" si="45"/>
        <v>Ver Imagen</v>
      </c>
      <c r="M2830" t="s">
        <v>15</v>
      </c>
    </row>
    <row r="2831" spans="1:13" x14ac:dyDescent="0.25">
      <c r="A2831">
        <v>2830</v>
      </c>
      <c r="B2831" t="s">
        <v>5673</v>
      </c>
      <c r="C2831" s="1">
        <v>37.269959131699999</v>
      </c>
      <c r="D2831" s="1">
        <v>-6.9789007970399997</v>
      </c>
      <c r="E2831" s="3">
        <v>3</v>
      </c>
      <c r="F2831" s="2">
        <v>4</v>
      </c>
      <c r="G2831" s="4">
        <v>3</v>
      </c>
      <c r="H2831" s="13"/>
      <c r="I2831" s="15"/>
      <c r="J2831" s="19">
        <v>3</v>
      </c>
      <c r="K2831" s="2" t="s">
        <v>5674</v>
      </c>
      <c r="L2831" s="11" t="str">
        <f t="shared" si="45"/>
        <v>Ver Imagen</v>
      </c>
      <c r="M2831" t="s">
        <v>15</v>
      </c>
    </row>
    <row r="2832" spans="1:13" x14ac:dyDescent="0.25">
      <c r="A2832">
        <v>2831</v>
      </c>
      <c r="B2832" t="s">
        <v>5675</v>
      </c>
      <c r="C2832" s="1">
        <v>37.270718996900001</v>
      </c>
      <c r="D2832" s="1">
        <v>-6.9815457567600001</v>
      </c>
      <c r="E2832" s="3">
        <v>3</v>
      </c>
      <c r="F2832" s="2">
        <v>2</v>
      </c>
      <c r="G2832" s="4">
        <v>3</v>
      </c>
      <c r="H2832" s="13"/>
      <c r="I2832" s="15"/>
      <c r="J2832" s="19">
        <v>3</v>
      </c>
      <c r="K2832" s="2" t="s">
        <v>5676</v>
      </c>
      <c r="L2832" s="11" t="str">
        <f t="shared" si="45"/>
        <v>Ver Imagen</v>
      </c>
      <c r="M2832" t="s">
        <v>15</v>
      </c>
    </row>
    <row r="2833" spans="1:13" x14ac:dyDescent="0.25">
      <c r="A2833">
        <v>2832</v>
      </c>
      <c r="B2833" t="s">
        <v>5677</v>
      </c>
      <c r="C2833" s="1">
        <v>37.270850531199997</v>
      </c>
      <c r="D2833" s="1">
        <v>-6.9819992399400004</v>
      </c>
      <c r="E2833" s="3">
        <v>3</v>
      </c>
      <c r="F2833" s="2">
        <v>2</v>
      </c>
      <c r="G2833" s="4">
        <v>3</v>
      </c>
      <c r="H2833" s="13"/>
      <c r="I2833" s="15"/>
      <c r="J2833" s="19">
        <v>3</v>
      </c>
      <c r="K2833" s="2" t="s">
        <v>5678</v>
      </c>
      <c r="L2833" s="11" t="str">
        <f t="shared" si="45"/>
        <v>Ver Imagen</v>
      </c>
      <c r="M2833" t="s">
        <v>15</v>
      </c>
    </row>
    <row r="2834" spans="1:13" x14ac:dyDescent="0.25">
      <c r="A2834">
        <v>2833</v>
      </c>
      <c r="B2834" t="s">
        <v>5679</v>
      </c>
      <c r="C2834" s="1">
        <v>37.271593564600003</v>
      </c>
      <c r="D2834" s="1">
        <v>-6.98462235567</v>
      </c>
      <c r="E2834" s="3">
        <v>3</v>
      </c>
      <c r="F2834" s="2">
        <v>2</v>
      </c>
      <c r="G2834" s="4">
        <v>3</v>
      </c>
      <c r="H2834" s="13"/>
      <c r="I2834" s="15"/>
      <c r="J2834" s="19">
        <v>3</v>
      </c>
      <c r="K2834" s="2" t="s">
        <v>5680</v>
      </c>
      <c r="L2834" s="11" t="str">
        <f t="shared" si="45"/>
        <v>Ver Imagen</v>
      </c>
      <c r="M2834" t="s">
        <v>15</v>
      </c>
    </row>
    <row r="2835" spans="1:13" x14ac:dyDescent="0.25">
      <c r="A2835">
        <v>2834</v>
      </c>
      <c r="B2835" t="s">
        <v>5681</v>
      </c>
      <c r="C2835" s="1">
        <v>37.271665345400002</v>
      </c>
      <c r="D2835" s="1">
        <v>-6.9849204882400002</v>
      </c>
      <c r="E2835" s="3">
        <v>3</v>
      </c>
      <c r="F2835" s="2">
        <v>2</v>
      </c>
      <c r="G2835" s="4">
        <v>3</v>
      </c>
      <c r="H2835" s="13"/>
      <c r="I2835" s="15"/>
      <c r="J2835" s="19">
        <v>3</v>
      </c>
      <c r="K2835" s="2" t="s">
        <v>5682</v>
      </c>
      <c r="L2835" s="11" t="str">
        <f t="shared" si="45"/>
        <v>Ver Imagen</v>
      </c>
      <c r="M2835" t="s">
        <v>15</v>
      </c>
    </row>
    <row r="2836" spans="1:13" x14ac:dyDescent="0.25">
      <c r="A2836">
        <v>2835</v>
      </c>
      <c r="B2836" t="s">
        <v>5683</v>
      </c>
      <c r="C2836" s="1">
        <v>37.268703606899997</v>
      </c>
      <c r="D2836" s="1">
        <v>-6.99055964232</v>
      </c>
      <c r="E2836" s="3">
        <v>3</v>
      </c>
      <c r="F2836" s="2">
        <v>2</v>
      </c>
      <c r="G2836" s="4">
        <v>3</v>
      </c>
      <c r="H2836" s="13"/>
      <c r="I2836" s="15"/>
      <c r="J2836" s="19">
        <v>3</v>
      </c>
      <c r="K2836" s="2" t="s">
        <v>5684</v>
      </c>
      <c r="L2836" s="11" t="str">
        <f t="shared" si="45"/>
        <v>Ver Imagen</v>
      </c>
      <c r="M2836" t="s">
        <v>15</v>
      </c>
    </row>
    <row r="2837" spans="1:13" x14ac:dyDescent="0.25">
      <c r="A2837">
        <v>2836</v>
      </c>
      <c r="B2837" t="s">
        <v>5685</v>
      </c>
      <c r="C2837" s="1">
        <v>37.187960210200004</v>
      </c>
      <c r="D2837" s="1">
        <v>-6.9782808227800004</v>
      </c>
      <c r="E2837" s="3">
        <v>3</v>
      </c>
      <c r="F2837" s="2">
        <v>2</v>
      </c>
      <c r="G2837" s="4">
        <v>3</v>
      </c>
      <c r="H2837" s="13"/>
      <c r="I2837" s="15"/>
      <c r="J2837" s="19">
        <v>3</v>
      </c>
      <c r="K2837" s="2" t="s">
        <v>5686</v>
      </c>
      <c r="L2837" s="11" t="str">
        <f t="shared" si="45"/>
        <v>Ver Imagen</v>
      </c>
      <c r="M2837" t="s">
        <v>15</v>
      </c>
    </row>
    <row r="2838" spans="1:13" x14ac:dyDescent="0.25">
      <c r="A2838">
        <v>2837</v>
      </c>
      <c r="B2838" t="s">
        <v>5687</v>
      </c>
      <c r="C2838" s="1">
        <v>37.191556838799997</v>
      </c>
      <c r="D2838" s="1">
        <v>-6.9775947251000003</v>
      </c>
      <c r="E2838" s="3">
        <v>3</v>
      </c>
      <c r="F2838" s="2">
        <v>2</v>
      </c>
      <c r="G2838" s="4">
        <v>3</v>
      </c>
      <c r="H2838" s="13"/>
      <c r="I2838" s="15"/>
      <c r="J2838" s="19">
        <v>3</v>
      </c>
      <c r="K2838" s="2" t="s">
        <v>5688</v>
      </c>
      <c r="L2838" s="11" t="str">
        <f t="shared" si="45"/>
        <v>Ver Imagen</v>
      </c>
      <c r="M2838" t="s">
        <v>15</v>
      </c>
    </row>
    <row r="2839" spans="1:13" x14ac:dyDescent="0.25">
      <c r="A2839">
        <v>2838</v>
      </c>
      <c r="B2839" t="s">
        <v>5689</v>
      </c>
      <c r="C2839" s="1">
        <v>37.192578635799997</v>
      </c>
      <c r="D2839" s="1">
        <v>-6.9774802319499996</v>
      </c>
      <c r="E2839" s="3">
        <v>3</v>
      </c>
      <c r="F2839" s="2">
        <v>2</v>
      </c>
      <c r="G2839" s="4">
        <v>3</v>
      </c>
      <c r="H2839" s="13"/>
      <c r="I2839" s="15"/>
      <c r="J2839" s="19">
        <v>3</v>
      </c>
      <c r="K2839" s="2" t="s">
        <v>5690</v>
      </c>
      <c r="L2839" s="11" t="str">
        <f t="shared" si="45"/>
        <v>Ver Imagen</v>
      </c>
      <c r="M2839" t="s">
        <v>15</v>
      </c>
    </row>
    <row r="2840" spans="1:13" x14ac:dyDescent="0.25">
      <c r="A2840">
        <v>2839</v>
      </c>
      <c r="B2840" t="s">
        <v>5691</v>
      </c>
      <c r="C2840" s="1">
        <v>37.193002683300001</v>
      </c>
      <c r="D2840" s="1">
        <v>-6.9774731311</v>
      </c>
      <c r="E2840" s="3">
        <v>3</v>
      </c>
      <c r="F2840" s="2">
        <v>2</v>
      </c>
      <c r="G2840" s="4">
        <v>3</v>
      </c>
      <c r="H2840" s="13"/>
      <c r="I2840" s="15"/>
      <c r="J2840" s="19">
        <v>3</v>
      </c>
      <c r="K2840" s="2" t="s">
        <v>5692</v>
      </c>
      <c r="L2840" s="11" t="str">
        <f t="shared" si="45"/>
        <v>Ver Imagen</v>
      </c>
      <c r="M2840" t="s">
        <v>15</v>
      </c>
    </row>
    <row r="2841" spans="1:13" x14ac:dyDescent="0.25">
      <c r="A2841">
        <v>2840</v>
      </c>
      <c r="B2841" t="s">
        <v>5693</v>
      </c>
      <c r="C2841" s="1">
        <v>37.194583534300001</v>
      </c>
      <c r="D2841" s="1">
        <v>-6.9777407389099997</v>
      </c>
      <c r="E2841" s="3">
        <v>3</v>
      </c>
      <c r="F2841" s="2">
        <v>2</v>
      </c>
      <c r="G2841" s="4">
        <v>3</v>
      </c>
      <c r="H2841" s="13"/>
      <c r="I2841" s="15"/>
      <c r="J2841" s="19">
        <v>3</v>
      </c>
      <c r="K2841" s="2" t="s">
        <v>5694</v>
      </c>
      <c r="L2841" s="11" t="str">
        <f t="shared" si="45"/>
        <v>Ver Imagen</v>
      </c>
      <c r="M2841" t="s">
        <v>15</v>
      </c>
    </row>
    <row r="2842" spans="1:13" x14ac:dyDescent="0.25">
      <c r="A2842">
        <v>2841</v>
      </c>
      <c r="B2842" t="s">
        <v>5695</v>
      </c>
      <c r="C2842" s="1">
        <v>37.1949727983</v>
      </c>
      <c r="D2842" s="1">
        <v>-6.9778822308999997</v>
      </c>
      <c r="E2842" s="3">
        <v>3</v>
      </c>
      <c r="F2842" s="2">
        <v>2</v>
      </c>
      <c r="G2842" s="4">
        <v>3</v>
      </c>
      <c r="H2842" s="13"/>
      <c r="I2842" s="15"/>
      <c r="J2842" s="19">
        <v>3</v>
      </c>
      <c r="K2842" s="2" t="s">
        <v>5696</v>
      </c>
      <c r="L2842" s="11" t="str">
        <f t="shared" si="45"/>
        <v>Ver Imagen</v>
      </c>
      <c r="M2842" t="s">
        <v>15</v>
      </c>
    </row>
    <row r="2843" spans="1:13" x14ac:dyDescent="0.25">
      <c r="A2843">
        <v>2842</v>
      </c>
      <c r="B2843" t="s">
        <v>5697</v>
      </c>
      <c r="C2843" s="1">
        <v>37.195335816700002</v>
      </c>
      <c r="D2843" s="1">
        <v>-6.9780419018300002</v>
      </c>
      <c r="E2843" s="3">
        <v>3</v>
      </c>
      <c r="F2843" s="2">
        <v>2</v>
      </c>
      <c r="G2843" s="4">
        <v>3</v>
      </c>
      <c r="H2843" s="13"/>
      <c r="I2843" s="15"/>
      <c r="J2843" s="19">
        <v>3</v>
      </c>
      <c r="K2843" s="2" t="s">
        <v>5698</v>
      </c>
      <c r="L2843" s="11" t="str">
        <f t="shared" si="45"/>
        <v>Ver Imagen</v>
      </c>
      <c r="M2843" t="s">
        <v>15</v>
      </c>
    </row>
    <row r="2844" spans="1:13" x14ac:dyDescent="0.25">
      <c r="A2844">
        <v>2843</v>
      </c>
      <c r="B2844" t="s">
        <v>5699</v>
      </c>
      <c r="C2844" s="1">
        <v>37.264733328200002</v>
      </c>
      <c r="D2844" s="1">
        <v>-7.0004177923200004</v>
      </c>
      <c r="E2844" s="3">
        <v>3</v>
      </c>
      <c r="F2844" s="2">
        <v>2</v>
      </c>
      <c r="G2844" s="4">
        <v>3</v>
      </c>
      <c r="H2844" s="13"/>
      <c r="I2844" s="15"/>
      <c r="J2844" s="19">
        <v>3</v>
      </c>
      <c r="K2844" s="2" t="s">
        <v>5700</v>
      </c>
      <c r="L2844" s="11" t="str">
        <f t="shared" si="45"/>
        <v>Ver Imagen</v>
      </c>
      <c r="M2844" t="s">
        <v>15</v>
      </c>
    </row>
    <row r="2845" spans="1:13" x14ac:dyDescent="0.25">
      <c r="A2845">
        <v>2844</v>
      </c>
      <c r="B2845" t="s">
        <v>5701</v>
      </c>
      <c r="C2845" s="1">
        <v>37.264466559200002</v>
      </c>
      <c r="D2845" s="1">
        <v>-7.0019072257600001</v>
      </c>
      <c r="E2845" s="3">
        <v>3</v>
      </c>
      <c r="F2845" s="2">
        <v>2</v>
      </c>
      <c r="G2845" s="4">
        <v>3</v>
      </c>
      <c r="H2845" s="13"/>
      <c r="I2845" s="15"/>
      <c r="J2845" s="19">
        <v>3</v>
      </c>
      <c r="K2845" s="2" t="s">
        <v>5702</v>
      </c>
      <c r="L2845" s="11" t="str">
        <f t="shared" si="45"/>
        <v>Ver Imagen</v>
      </c>
      <c r="M2845" t="s">
        <v>15</v>
      </c>
    </row>
    <row r="2846" spans="1:13" x14ac:dyDescent="0.25">
      <c r="A2846">
        <v>2845</v>
      </c>
      <c r="B2846" t="s">
        <v>5703</v>
      </c>
      <c r="C2846" s="1">
        <v>37.264375147599999</v>
      </c>
      <c r="D2846" s="1">
        <v>-7.0024154019999996</v>
      </c>
      <c r="E2846" s="3">
        <v>3</v>
      </c>
      <c r="F2846" s="2">
        <v>2</v>
      </c>
      <c r="G2846" s="4">
        <v>3</v>
      </c>
      <c r="H2846" s="13"/>
      <c r="I2846" s="15"/>
      <c r="J2846" s="19">
        <v>3</v>
      </c>
      <c r="K2846" s="2" t="s">
        <v>5704</v>
      </c>
      <c r="L2846" s="11" t="str">
        <f t="shared" si="45"/>
        <v>Ver Imagen</v>
      </c>
      <c r="M2846" t="s">
        <v>15</v>
      </c>
    </row>
    <row r="2847" spans="1:13" x14ac:dyDescent="0.25">
      <c r="A2847">
        <v>2846</v>
      </c>
      <c r="B2847" t="s">
        <v>5705</v>
      </c>
      <c r="C2847" s="1">
        <v>37.264331405199997</v>
      </c>
      <c r="D2847" s="1">
        <v>-7.0026575428499997</v>
      </c>
      <c r="E2847" s="3">
        <v>3</v>
      </c>
      <c r="F2847" s="2">
        <v>2</v>
      </c>
      <c r="G2847" s="4">
        <v>3</v>
      </c>
      <c r="H2847" s="13"/>
      <c r="I2847" s="15"/>
      <c r="J2847" s="19">
        <v>3</v>
      </c>
      <c r="K2847" s="2" t="s">
        <v>5706</v>
      </c>
      <c r="L2847" s="11" t="str">
        <f t="shared" si="45"/>
        <v>Ver Imagen</v>
      </c>
      <c r="M2847" t="s">
        <v>15</v>
      </c>
    </row>
    <row r="2848" spans="1:13" x14ac:dyDescent="0.25">
      <c r="A2848">
        <v>2847</v>
      </c>
      <c r="B2848" t="s">
        <v>5707</v>
      </c>
      <c r="C2848" s="1">
        <v>37.263974182600002</v>
      </c>
      <c r="D2848" s="1">
        <v>-7.0046766522299997</v>
      </c>
      <c r="E2848" s="3">
        <v>3</v>
      </c>
      <c r="F2848" s="2">
        <v>2</v>
      </c>
      <c r="G2848" s="4">
        <v>3</v>
      </c>
      <c r="H2848" s="13"/>
      <c r="I2848" s="15"/>
      <c r="J2848" s="19">
        <v>3</v>
      </c>
      <c r="K2848" s="2" t="s">
        <v>5708</v>
      </c>
      <c r="L2848" s="11" t="str">
        <f t="shared" si="45"/>
        <v>Ver Imagen</v>
      </c>
      <c r="M2848" t="s">
        <v>15</v>
      </c>
    </row>
    <row r="2849" spans="1:13" x14ac:dyDescent="0.25">
      <c r="A2849">
        <v>2848</v>
      </c>
      <c r="B2849" t="s">
        <v>5709</v>
      </c>
      <c r="C2849" s="1">
        <v>37.197695508700001</v>
      </c>
      <c r="D2849" s="1">
        <v>-6.9800010811600002</v>
      </c>
      <c r="E2849" s="3">
        <v>3</v>
      </c>
      <c r="F2849" s="2">
        <v>2</v>
      </c>
      <c r="G2849" s="4">
        <v>3</v>
      </c>
      <c r="H2849" s="13"/>
      <c r="I2849" s="15"/>
      <c r="J2849" s="19">
        <v>3</v>
      </c>
      <c r="K2849" s="2" t="s">
        <v>5710</v>
      </c>
      <c r="L2849" s="11" t="str">
        <f t="shared" si="45"/>
        <v>Ver Imagen</v>
      </c>
      <c r="M2849" t="s">
        <v>15</v>
      </c>
    </row>
    <row r="2850" spans="1:13" x14ac:dyDescent="0.25">
      <c r="A2850">
        <v>2849</v>
      </c>
      <c r="B2850" t="s">
        <v>5711</v>
      </c>
      <c r="C2850" s="1">
        <v>37.197834299100002</v>
      </c>
      <c r="D2850" s="1">
        <v>-6.9801853060400001</v>
      </c>
      <c r="E2850" s="3">
        <v>3</v>
      </c>
      <c r="F2850" s="2">
        <v>2</v>
      </c>
      <c r="G2850" s="4">
        <v>3</v>
      </c>
      <c r="H2850" s="13"/>
      <c r="I2850" s="15"/>
      <c r="J2850" s="19">
        <v>3</v>
      </c>
      <c r="K2850" s="2" t="s">
        <v>5712</v>
      </c>
      <c r="L2850" s="11" t="str">
        <f t="shared" si="45"/>
        <v>Ver Imagen</v>
      </c>
      <c r="M2850" t="s">
        <v>15</v>
      </c>
    </row>
    <row r="2851" spans="1:13" x14ac:dyDescent="0.25">
      <c r="A2851">
        <v>2850</v>
      </c>
      <c r="B2851" t="s">
        <v>5713</v>
      </c>
      <c r="C2851" s="1">
        <v>37.197961111399998</v>
      </c>
      <c r="D2851" s="1">
        <v>-6.98036584927</v>
      </c>
      <c r="E2851" s="3">
        <v>3</v>
      </c>
      <c r="F2851" s="2">
        <v>2</v>
      </c>
      <c r="G2851" s="4">
        <v>3</v>
      </c>
      <c r="H2851" s="13"/>
      <c r="I2851" s="15"/>
      <c r="J2851" s="19">
        <v>3</v>
      </c>
      <c r="K2851" s="2" t="s">
        <v>5714</v>
      </c>
      <c r="L2851" s="11" t="str">
        <f t="shared" si="45"/>
        <v>Ver Imagen</v>
      </c>
      <c r="M2851" t="s">
        <v>15</v>
      </c>
    </row>
    <row r="2852" spans="1:13" x14ac:dyDescent="0.25">
      <c r="A2852">
        <v>2851</v>
      </c>
      <c r="B2852" t="s">
        <v>5715</v>
      </c>
      <c r="C2852" s="1">
        <v>37.263477325499998</v>
      </c>
      <c r="D2852" s="1">
        <v>-7.0073702726400002</v>
      </c>
      <c r="E2852" s="3">
        <v>3</v>
      </c>
      <c r="F2852" s="2">
        <v>2</v>
      </c>
      <c r="G2852" s="4">
        <v>3</v>
      </c>
      <c r="H2852" s="13"/>
      <c r="I2852" s="15"/>
      <c r="J2852" s="19">
        <v>3</v>
      </c>
      <c r="K2852" s="2" t="s">
        <v>5716</v>
      </c>
      <c r="L2852" s="11" t="str">
        <f t="shared" si="45"/>
        <v>Ver Imagen</v>
      </c>
      <c r="M2852" t="s">
        <v>15</v>
      </c>
    </row>
    <row r="2853" spans="1:13" x14ac:dyDescent="0.25">
      <c r="A2853">
        <v>2852</v>
      </c>
      <c r="B2853" t="s">
        <v>5717</v>
      </c>
      <c r="C2853" s="1">
        <v>37.198555369899999</v>
      </c>
      <c r="D2853" s="1">
        <v>-6.9813837614500001</v>
      </c>
      <c r="E2853" s="3">
        <v>3</v>
      </c>
      <c r="F2853" s="2">
        <v>2</v>
      </c>
      <c r="G2853" s="4">
        <v>3</v>
      </c>
      <c r="H2853" s="13"/>
      <c r="I2853" s="15"/>
      <c r="J2853" s="19">
        <v>3</v>
      </c>
      <c r="K2853" s="2" t="s">
        <v>5718</v>
      </c>
      <c r="L2853" s="11" t="str">
        <f t="shared" si="45"/>
        <v>Ver Imagen</v>
      </c>
      <c r="M2853" t="s">
        <v>15</v>
      </c>
    </row>
    <row r="2854" spans="1:13" x14ac:dyDescent="0.25">
      <c r="A2854">
        <v>2853</v>
      </c>
      <c r="B2854" t="s">
        <v>5719</v>
      </c>
      <c r="C2854" s="1">
        <v>37.2625507383</v>
      </c>
      <c r="D2854" s="1">
        <v>-7.0095936112599997</v>
      </c>
      <c r="E2854" s="3">
        <v>3</v>
      </c>
      <c r="F2854" s="2">
        <v>2</v>
      </c>
      <c r="G2854" s="4">
        <v>3</v>
      </c>
      <c r="H2854" s="13"/>
      <c r="I2854" s="15"/>
      <c r="J2854" s="19">
        <v>3</v>
      </c>
      <c r="K2854" s="2" t="s">
        <v>5720</v>
      </c>
      <c r="L2854" s="11" t="str">
        <f t="shared" si="45"/>
        <v>Ver Imagen</v>
      </c>
      <c r="M2854" t="s">
        <v>15</v>
      </c>
    </row>
    <row r="2855" spans="1:13" x14ac:dyDescent="0.25">
      <c r="A2855">
        <v>2854</v>
      </c>
      <c r="B2855" t="s">
        <v>5721</v>
      </c>
      <c r="C2855" s="1">
        <v>37.260612697299997</v>
      </c>
      <c r="D2855" s="1">
        <v>-7.0113186504299998</v>
      </c>
      <c r="E2855" s="3">
        <v>3</v>
      </c>
      <c r="F2855" s="2">
        <v>2</v>
      </c>
      <c r="G2855" s="4">
        <v>3</v>
      </c>
      <c r="H2855" s="13"/>
      <c r="I2855" s="15"/>
      <c r="J2855" s="19">
        <v>3</v>
      </c>
      <c r="K2855" s="2" t="s">
        <v>5722</v>
      </c>
      <c r="L2855" s="11" t="str">
        <f t="shared" si="45"/>
        <v>Ver Imagen</v>
      </c>
      <c r="M2855" t="s">
        <v>15</v>
      </c>
    </row>
    <row r="2856" spans="1:13" x14ac:dyDescent="0.25">
      <c r="A2856">
        <v>2855</v>
      </c>
      <c r="B2856" t="s">
        <v>5723</v>
      </c>
      <c r="C2856" s="1">
        <v>37.200065760999998</v>
      </c>
      <c r="D2856" s="1">
        <v>-6.9861054334199997</v>
      </c>
      <c r="E2856" s="3">
        <v>3</v>
      </c>
      <c r="F2856" s="2">
        <v>2</v>
      </c>
      <c r="G2856" s="4">
        <v>3</v>
      </c>
      <c r="H2856" s="13"/>
      <c r="I2856" s="15"/>
      <c r="J2856" s="19">
        <v>3</v>
      </c>
      <c r="K2856" s="2" t="s">
        <v>5724</v>
      </c>
      <c r="L2856" s="11" t="str">
        <f t="shared" si="45"/>
        <v>Ver Imagen</v>
      </c>
      <c r="M2856" t="s">
        <v>15</v>
      </c>
    </row>
    <row r="2857" spans="1:13" x14ac:dyDescent="0.25">
      <c r="A2857">
        <v>2856</v>
      </c>
      <c r="B2857" t="s">
        <v>5725</v>
      </c>
      <c r="C2857" s="1">
        <v>37.2001359673</v>
      </c>
      <c r="D2857" s="1">
        <v>-6.9863942763700004</v>
      </c>
      <c r="E2857" s="3">
        <v>3</v>
      </c>
      <c r="F2857" s="2">
        <v>2</v>
      </c>
      <c r="G2857" s="4">
        <v>3</v>
      </c>
      <c r="H2857" s="13"/>
      <c r="I2857" s="15"/>
      <c r="J2857" s="19">
        <v>3</v>
      </c>
      <c r="K2857" s="2" t="s">
        <v>5726</v>
      </c>
      <c r="L2857" s="11" t="str">
        <f t="shared" ref="L2857:L2920" si="46">HYPERLINK("3\1\" &amp; K2857, "Ver Imagen")</f>
        <v>Ver Imagen</v>
      </c>
      <c r="M2857" t="s">
        <v>15</v>
      </c>
    </row>
    <row r="2858" spans="1:13" x14ac:dyDescent="0.25">
      <c r="A2858">
        <v>2857</v>
      </c>
      <c r="B2858" t="s">
        <v>5727</v>
      </c>
      <c r="C2858" s="1">
        <v>37.200627330000003</v>
      </c>
      <c r="D2858" s="1">
        <v>-6.9885026841900002</v>
      </c>
      <c r="E2858" s="3">
        <v>3</v>
      </c>
      <c r="F2858" s="2">
        <v>2</v>
      </c>
      <c r="G2858" s="4">
        <v>3</v>
      </c>
      <c r="H2858" s="13"/>
      <c r="I2858" s="15"/>
      <c r="J2858" s="19">
        <v>3</v>
      </c>
      <c r="K2858" s="2" t="s">
        <v>5728</v>
      </c>
      <c r="L2858" s="11" t="str">
        <f t="shared" si="46"/>
        <v>Ver Imagen</v>
      </c>
      <c r="M2858" t="s">
        <v>15</v>
      </c>
    </row>
    <row r="2859" spans="1:13" x14ac:dyDescent="0.25">
      <c r="A2859">
        <v>2858</v>
      </c>
      <c r="B2859" t="s">
        <v>5729</v>
      </c>
      <c r="C2859" s="1">
        <v>37.258070909099999</v>
      </c>
      <c r="D2859" s="1">
        <v>-7.0129360719199996</v>
      </c>
      <c r="E2859" s="3">
        <v>3</v>
      </c>
      <c r="F2859" s="2">
        <v>2</v>
      </c>
      <c r="G2859" s="4">
        <v>3</v>
      </c>
      <c r="H2859" s="13"/>
      <c r="I2859" s="15"/>
      <c r="J2859" s="19">
        <v>3</v>
      </c>
      <c r="K2859" s="2" t="s">
        <v>5730</v>
      </c>
      <c r="L2859" s="11" t="str">
        <f t="shared" si="46"/>
        <v>Ver Imagen</v>
      </c>
      <c r="M2859" t="s">
        <v>15</v>
      </c>
    </row>
    <row r="2860" spans="1:13" x14ac:dyDescent="0.25">
      <c r="A2860">
        <v>2859</v>
      </c>
      <c r="B2860" t="s">
        <v>5731</v>
      </c>
      <c r="C2860" s="1">
        <v>37.2015302816</v>
      </c>
      <c r="D2860" s="1">
        <v>-6.9928766203599997</v>
      </c>
      <c r="E2860" s="3">
        <v>3</v>
      </c>
      <c r="F2860" s="2">
        <v>2</v>
      </c>
      <c r="G2860" s="4">
        <v>3</v>
      </c>
      <c r="H2860" s="13"/>
      <c r="I2860" s="15"/>
      <c r="J2860" s="19">
        <v>3</v>
      </c>
      <c r="K2860" s="2" t="s">
        <v>5732</v>
      </c>
      <c r="L2860" s="11" t="str">
        <f t="shared" si="46"/>
        <v>Ver Imagen</v>
      </c>
      <c r="M2860" t="s">
        <v>15</v>
      </c>
    </row>
    <row r="2861" spans="1:13" x14ac:dyDescent="0.25">
      <c r="A2861">
        <v>2860</v>
      </c>
      <c r="B2861" t="s">
        <v>5733</v>
      </c>
      <c r="C2861" s="1">
        <v>37.2024821917</v>
      </c>
      <c r="D2861" s="1">
        <v>-6.9986748037400002</v>
      </c>
      <c r="E2861" s="3">
        <v>3</v>
      </c>
      <c r="F2861" s="2">
        <v>2</v>
      </c>
      <c r="G2861" s="4">
        <v>3</v>
      </c>
      <c r="H2861" s="13"/>
      <c r="I2861" s="15"/>
      <c r="J2861" s="19">
        <v>3</v>
      </c>
      <c r="K2861" s="2" t="s">
        <v>5734</v>
      </c>
      <c r="L2861" s="11" t="str">
        <f t="shared" si="46"/>
        <v>Ver Imagen</v>
      </c>
      <c r="M2861" t="s">
        <v>15</v>
      </c>
    </row>
    <row r="2862" spans="1:13" x14ac:dyDescent="0.25">
      <c r="A2862">
        <v>2861</v>
      </c>
      <c r="B2862" t="s">
        <v>5735</v>
      </c>
      <c r="C2862" s="1">
        <v>37.202708907500003</v>
      </c>
      <c r="D2862" s="1">
        <v>-7.0003853579699999</v>
      </c>
      <c r="E2862" s="3">
        <v>3</v>
      </c>
      <c r="F2862" s="2">
        <v>2</v>
      </c>
      <c r="G2862" s="4">
        <v>3</v>
      </c>
      <c r="H2862" s="13"/>
      <c r="I2862" s="15"/>
      <c r="J2862" s="19">
        <v>3</v>
      </c>
      <c r="K2862" s="2" t="s">
        <v>5736</v>
      </c>
      <c r="L2862" s="11" t="str">
        <f t="shared" si="46"/>
        <v>Ver Imagen</v>
      </c>
      <c r="M2862" t="s">
        <v>15</v>
      </c>
    </row>
    <row r="2863" spans="1:13" x14ac:dyDescent="0.25">
      <c r="A2863">
        <v>2862</v>
      </c>
      <c r="B2863" t="s">
        <v>5737</v>
      </c>
      <c r="C2863" s="1">
        <v>37.202943020299998</v>
      </c>
      <c r="D2863" s="1">
        <v>-7.0024085283700002</v>
      </c>
      <c r="E2863" s="3">
        <v>3</v>
      </c>
      <c r="F2863" s="2">
        <v>2</v>
      </c>
      <c r="G2863" s="4">
        <v>3</v>
      </c>
      <c r="H2863" s="13"/>
      <c r="I2863" s="15"/>
      <c r="J2863" s="19">
        <v>3</v>
      </c>
      <c r="K2863" s="2" t="s">
        <v>5738</v>
      </c>
      <c r="L2863" s="11" t="str">
        <f t="shared" si="46"/>
        <v>Ver Imagen</v>
      </c>
      <c r="M2863" t="s">
        <v>15</v>
      </c>
    </row>
    <row r="2864" spans="1:13" x14ac:dyDescent="0.25">
      <c r="A2864">
        <v>2863</v>
      </c>
      <c r="B2864" t="s">
        <v>5739</v>
      </c>
      <c r="C2864" s="1">
        <v>37.2029952352</v>
      </c>
      <c r="D2864" s="1">
        <v>-7.0029104334200003</v>
      </c>
      <c r="E2864" s="3">
        <v>3</v>
      </c>
      <c r="F2864" s="2">
        <v>2</v>
      </c>
      <c r="G2864" s="4">
        <v>3</v>
      </c>
      <c r="H2864" s="13"/>
      <c r="I2864" s="15"/>
      <c r="J2864" s="19">
        <v>3</v>
      </c>
      <c r="K2864" s="2" t="s">
        <v>5740</v>
      </c>
      <c r="L2864" s="11" t="str">
        <f t="shared" si="46"/>
        <v>Ver Imagen</v>
      </c>
      <c r="M2864" t="s">
        <v>15</v>
      </c>
    </row>
    <row r="2865" spans="1:13" x14ac:dyDescent="0.25">
      <c r="A2865">
        <v>2864</v>
      </c>
      <c r="B2865" t="s">
        <v>5741</v>
      </c>
      <c r="C2865" s="1">
        <v>37.2548310082</v>
      </c>
      <c r="D2865" s="1">
        <v>-7.0150021249499996</v>
      </c>
      <c r="E2865" s="3">
        <v>3</v>
      </c>
      <c r="F2865" s="2">
        <v>4</v>
      </c>
      <c r="G2865" s="4">
        <v>3</v>
      </c>
      <c r="H2865" s="13"/>
      <c r="I2865" s="15"/>
      <c r="J2865" s="19">
        <v>3</v>
      </c>
      <c r="K2865" s="2" t="s">
        <v>5742</v>
      </c>
      <c r="L2865" s="11" t="str">
        <f t="shared" si="46"/>
        <v>Ver Imagen</v>
      </c>
      <c r="M2865" t="s">
        <v>15</v>
      </c>
    </row>
    <row r="2866" spans="1:13" x14ac:dyDescent="0.25">
      <c r="A2866">
        <v>2865</v>
      </c>
      <c r="B2866" t="s">
        <v>5743</v>
      </c>
      <c r="C2866" s="1">
        <v>37.251588218599998</v>
      </c>
      <c r="D2866" s="1">
        <v>-7.0170801896099997</v>
      </c>
      <c r="E2866" s="3">
        <v>3</v>
      </c>
      <c r="F2866" s="2">
        <v>3</v>
      </c>
      <c r="G2866" s="4">
        <v>4</v>
      </c>
      <c r="H2866" s="13"/>
      <c r="I2866" s="15"/>
      <c r="J2866" s="19">
        <v>3</v>
      </c>
      <c r="K2866" s="2" t="s">
        <v>5744</v>
      </c>
      <c r="L2866" s="11" t="str">
        <f t="shared" si="46"/>
        <v>Ver Imagen</v>
      </c>
      <c r="M2866" t="s">
        <v>15</v>
      </c>
    </row>
    <row r="2867" spans="1:13" x14ac:dyDescent="0.25">
      <c r="A2867">
        <v>2866</v>
      </c>
      <c r="B2867" t="s">
        <v>5745</v>
      </c>
      <c r="C2867" s="1">
        <v>37.2510372144</v>
      </c>
      <c r="D2867" s="1">
        <v>-7.0174289313199996</v>
      </c>
      <c r="E2867" s="3">
        <v>3</v>
      </c>
      <c r="F2867" s="2">
        <v>4</v>
      </c>
      <c r="G2867" s="4">
        <v>3</v>
      </c>
      <c r="H2867" s="13"/>
      <c r="I2867" s="15"/>
      <c r="J2867" s="19">
        <v>3</v>
      </c>
      <c r="K2867" s="2" t="s">
        <v>5746</v>
      </c>
      <c r="L2867" s="11" t="str">
        <f t="shared" si="46"/>
        <v>Ver Imagen</v>
      </c>
      <c r="M2867" t="s">
        <v>15</v>
      </c>
    </row>
    <row r="2868" spans="1:13" x14ac:dyDescent="0.25">
      <c r="A2868">
        <v>2867</v>
      </c>
      <c r="B2868" t="s">
        <v>5747</v>
      </c>
      <c r="C2868" s="1">
        <v>37.250866284799997</v>
      </c>
      <c r="D2868" s="1">
        <v>-7.0175347979499998</v>
      </c>
      <c r="E2868" s="3">
        <v>3</v>
      </c>
      <c r="F2868" s="2">
        <v>4</v>
      </c>
      <c r="G2868" s="4">
        <v>3</v>
      </c>
      <c r="H2868" s="13"/>
      <c r="I2868" s="15"/>
      <c r="J2868" s="19">
        <v>3</v>
      </c>
      <c r="K2868" s="2" t="s">
        <v>5748</v>
      </c>
      <c r="L2868" s="11" t="str">
        <f t="shared" si="46"/>
        <v>Ver Imagen</v>
      </c>
      <c r="M2868" t="s">
        <v>15</v>
      </c>
    </row>
    <row r="2869" spans="1:13" x14ac:dyDescent="0.25">
      <c r="A2869">
        <v>2868</v>
      </c>
      <c r="B2869" t="s">
        <v>5749</v>
      </c>
      <c r="C2869" s="1">
        <v>37.250290999500002</v>
      </c>
      <c r="D2869" s="1">
        <v>-7.0178755766099998</v>
      </c>
      <c r="E2869" s="3">
        <v>3</v>
      </c>
      <c r="F2869" s="2">
        <v>2</v>
      </c>
      <c r="G2869" s="4">
        <v>3</v>
      </c>
      <c r="H2869" s="13"/>
      <c r="I2869" s="15"/>
      <c r="J2869" s="19">
        <v>3</v>
      </c>
      <c r="K2869" s="2" t="s">
        <v>5750</v>
      </c>
      <c r="L2869" s="11" t="str">
        <f t="shared" si="46"/>
        <v>Ver Imagen</v>
      </c>
      <c r="M2869" t="s">
        <v>15</v>
      </c>
    </row>
    <row r="2870" spans="1:13" x14ac:dyDescent="0.25">
      <c r="A2870">
        <v>2869</v>
      </c>
      <c r="B2870" t="s">
        <v>5751</v>
      </c>
      <c r="C2870" s="1">
        <v>37.250105568999999</v>
      </c>
      <c r="D2870" s="1">
        <v>-7.0179697609999998</v>
      </c>
      <c r="E2870" s="3">
        <v>3</v>
      </c>
      <c r="F2870" s="2">
        <v>2</v>
      </c>
      <c r="G2870" s="4">
        <v>3</v>
      </c>
      <c r="H2870" s="13"/>
      <c r="I2870" s="15"/>
      <c r="J2870" s="19">
        <v>3</v>
      </c>
      <c r="K2870" s="2" t="s">
        <v>5752</v>
      </c>
      <c r="L2870" s="11" t="str">
        <f t="shared" si="46"/>
        <v>Ver Imagen</v>
      </c>
      <c r="M2870" t="s">
        <v>15</v>
      </c>
    </row>
    <row r="2871" spans="1:13" x14ac:dyDescent="0.25">
      <c r="A2871">
        <v>2870</v>
      </c>
      <c r="B2871" t="s">
        <v>5753</v>
      </c>
      <c r="C2871" s="1">
        <v>37.246324725599997</v>
      </c>
      <c r="D2871" s="1">
        <v>-7.0184401426100003</v>
      </c>
      <c r="E2871" s="3">
        <v>3</v>
      </c>
      <c r="F2871" s="2">
        <v>4</v>
      </c>
      <c r="G2871" s="4">
        <v>3</v>
      </c>
      <c r="H2871" s="13"/>
      <c r="I2871" s="15"/>
      <c r="J2871" s="19">
        <v>3</v>
      </c>
      <c r="K2871" s="2" t="s">
        <v>5754</v>
      </c>
      <c r="L2871" s="11" t="str">
        <f t="shared" si="46"/>
        <v>Ver Imagen</v>
      </c>
      <c r="M2871" t="s">
        <v>15</v>
      </c>
    </row>
    <row r="2872" spans="1:13" x14ac:dyDescent="0.25">
      <c r="A2872">
        <v>2871</v>
      </c>
      <c r="B2872" t="s">
        <v>5755</v>
      </c>
      <c r="C2872" s="1">
        <v>37.244061971699999</v>
      </c>
      <c r="D2872" s="1">
        <v>-7.0185229368800002</v>
      </c>
      <c r="E2872" s="3">
        <v>3</v>
      </c>
      <c r="F2872" s="2">
        <v>4</v>
      </c>
      <c r="G2872" s="4">
        <v>3</v>
      </c>
      <c r="H2872" s="13"/>
      <c r="I2872" s="15"/>
      <c r="J2872" s="19">
        <v>3</v>
      </c>
      <c r="K2872" s="2" t="s">
        <v>5756</v>
      </c>
      <c r="L2872" s="11" t="str">
        <f t="shared" si="46"/>
        <v>Ver Imagen</v>
      </c>
      <c r="M2872" t="s">
        <v>15</v>
      </c>
    </row>
    <row r="2873" spans="1:13" x14ac:dyDescent="0.25">
      <c r="A2873">
        <v>2872</v>
      </c>
      <c r="B2873" t="s">
        <v>5757</v>
      </c>
      <c r="C2873" s="1">
        <v>37.242448543400002</v>
      </c>
      <c r="D2873" s="1">
        <v>-7.0185817286500001</v>
      </c>
      <c r="E2873" s="3">
        <v>3</v>
      </c>
      <c r="F2873" s="2">
        <v>4</v>
      </c>
      <c r="G2873" s="4">
        <v>3</v>
      </c>
      <c r="H2873" s="13"/>
      <c r="I2873" s="15"/>
      <c r="J2873" s="19">
        <v>3</v>
      </c>
      <c r="K2873" s="2" t="s">
        <v>5758</v>
      </c>
      <c r="L2873" s="11" t="str">
        <f t="shared" si="46"/>
        <v>Ver Imagen</v>
      </c>
      <c r="M2873" t="s">
        <v>15</v>
      </c>
    </row>
    <row r="2874" spans="1:13" x14ac:dyDescent="0.25">
      <c r="A2874">
        <v>2873</v>
      </c>
      <c r="B2874" t="s">
        <v>5759</v>
      </c>
      <c r="C2874" s="1">
        <v>37.205299790200002</v>
      </c>
      <c r="D2874" s="1">
        <v>-7.0170003252399997</v>
      </c>
      <c r="E2874" s="3">
        <v>3</v>
      </c>
      <c r="F2874" s="2">
        <v>2</v>
      </c>
      <c r="G2874" s="4">
        <v>3</v>
      </c>
      <c r="H2874" s="13"/>
      <c r="I2874" s="15"/>
      <c r="J2874" s="19">
        <v>3</v>
      </c>
      <c r="K2874" s="2" t="s">
        <v>5760</v>
      </c>
      <c r="L2874" s="11" t="str">
        <f t="shared" si="46"/>
        <v>Ver Imagen</v>
      </c>
      <c r="M2874" t="s">
        <v>15</v>
      </c>
    </row>
    <row r="2875" spans="1:13" x14ac:dyDescent="0.25">
      <c r="A2875">
        <v>2874</v>
      </c>
      <c r="B2875" t="s">
        <v>5761</v>
      </c>
      <c r="C2875" s="1">
        <v>37.205845673299997</v>
      </c>
      <c r="D2875" s="1">
        <v>-7.01885605932</v>
      </c>
      <c r="E2875" s="3">
        <v>3</v>
      </c>
      <c r="F2875" s="2">
        <v>2</v>
      </c>
      <c r="G2875" s="4">
        <v>3</v>
      </c>
      <c r="H2875" s="13"/>
      <c r="I2875" s="15"/>
      <c r="J2875" s="19">
        <v>3</v>
      </c>
      <c r="K2875" s="2" t="s">
        <v>5762</v>
      </c>
      <c r="L2875" s="11" t="str">
        <f t="shared" si="46"/>
        <v>Ver Imagen</v>
      </c>
      <c r="M2875" t="s">
        <v>15</v>
      </c>
    </row>
    <row r="2876" spans="1:13" x14ac:dyDescent="0.25">
      <c r="A2876">
        <v>2875</v>
      </c>
      <c r="B2876" t="s">
        <v>5763</v>
      </c>
      <c r="C2876" s="1">
        <v>37.2397782428</v>
      </c>
      <c r="D2876" s="1">
        <v>-7.0186855106500001</v>
      </c>
      <c r="E2876" s="3">
        <v>3</v>
      </c>
      <c r="F2876" s="2">
        <v>2</v>
      </c>
      <c r="G2876" s="4">
        <v>3</v>
      </c>
      <c r="H2876" s="13"/>
      <c r="I2876" s="15"/>
      <c r="J2876" s="19">
        <v>3</v>
      </c>
      <c r="K2876" s="2" t="s">
        <v>5764</v>
      </c>
      <c r="L2876" s="11" t="str">
        <f t="shared" si="46"/>
        <v>Ver Imagen</v>
      </c>
      <c r="M2876" t="s">
        <v>15</v>
      </c>
    </row>
    <row r="2877" spans="1:13" x14ac:dyDescent="0.25">
      <c r="A2877">
        <v>2876</v>
      </c>
      <c r="B2877" t="s">
        <v>5765</v>
      </c>
      <c r="C2877" s="1">
        <v>37.206236949500003</v>
      </c>
      <c r="D2877" s="1">
        <v>-7.0198018624199996</v>
      </c>
      <c r="E2877" s="3">
        <v>3</v>
      </c>
      <c r="F2877" s="2">
        <v>2</v>
      </c>
      <c r="G2877" s="4">
        <v>3</v>
      </c>
      <c r="H2877" s="13"/>
      <c r="I2877" s="15"/>
      <c r="J2877" s="19">
        <v>3</v>
      </c>
      <c r="K2877" s="2" t="s">
        <v>5766</v>
      </c>
      <c r="L2877" s="11" t="str">
        <f t="shared" si="46"/>
        <v>Ver Imagen</v>
      </c>
      <c r="M2877" t="s">
        <v>15</v>
      </c>
    </row>
    <row r="2878" spans="1:13" x14ac:dyDescent="0.25">
      <c r="A2878">
        <v>2877</v>
      </c>
      <c r="B2878" t="s">
        <v>5767</v>
      </c>
      <c r="C2878" s="1">
        <v>37.206459425699997</v>
      </c>
      <c r="D2878" s="1">
        <v>-7.0202497103499999</v>
      </c>
      <c r="E2878" s="3">
        <v>3</v>
      </c>
      <c r="F2878" s="2">
        <v>2</v>
      </c>
      <c r="G2878" s="4">
        <v>3</v>
      </c>
      <c r="H2878" s="13"/>
      <c r="I2878" s="15"/>
      <c r="J2878" s="19">
        <v>3</v>
      </c>
      <c r="K2878" s="2" t="s">
        <v>5768</v>
      </c>
      <c r="L2878" s="11" t="str">
        <f t="shared" si="46"/>
        <v>Ver Imagen</v>
      </c>
      <c r="M2878" t="s">
        <v>15</v>
      </c>
    </row>
    <row r="2879" spans="1:13" x14ac:dyDescent="0.25">
      <c r="A2879">
        <v>2878</v>
      </c>
      <c r="B2879" t="s">
        <v>5769</v>
      </c>
      <c r="C2879" s="1">
        <v>37.206674054899999</v>
      </c>
      <c r="D2879" s="1">
        <v>-7.0206331214800004</v>
      </c>
      <c r="E2879" s="3">
        <v>3</v>
      </c>
      <c r="F2879" s="2">
        <v>2</v>
      </c>
      <c r="G2879" s="4">
        <v>3</v>
      </c>
      <c r="H2879" s="13"/>
      <c r="I2879" s="15"/>
      <c r="J2879" s="19">
        <v>3</v>
      </c>
      <c r="K2879" s="2" t="s">
        <v>5770</v>
      </c>
      <c r="L2879" s="11" t="str">
        <f t="shared" si="46"/>
        <v>Ver Imagen</v>
      </c>
      <c r="M2879" t="s">
        <v>15</v>
      </c>
    </row>
    <row r="2880" spans="1:13" x14ac:dyDescent="0.25">
      <c r="A2880">
        <v>2879</v>
      </c>
      <c r="B2880" t="s">
        <v>5771</v>
      </c>
      <c r="C2880" s="1">
        <v>37.237180452499999</v>
      </c>
      <c r="D2880" s="1">
        <v>-7.0187395444999998</v>
      </c>
      <c r="E2880" s="3">
        <v>3</v>
      </c>
      <c r="F2880" s="2">
        <v>2</v>
      </c>
      <c r="G2880" s="4">
        <v>3</v>
      </c>
      <c r="H2880" s="13"/>
      <c r="I2880" s="15"/>
      <c r="J2880" s="19">
        <v>3</v>
      </c>
      <c r="K2880" s="2" t="s">
        <v>5772</v>
      </c>
      <c r="L2880" s="11" t="str">
        <f t="shared" si="46"/>
        <v>Ver Imagen</v>
      </c>
      <c r="M2880" t="s">
        <v>15</v>
      </c>
    </row>
    <row r="2881" spans="1:13" x14ac:dyDescent="0.25">
      <c r="A2881">
        <v>2880</v>
      </c>
      <c r="B2881" t="s">
        <v>5773</v>
      </c>
      <c r="C2881" s="1">
        <v>37.207068436699998</v>
      </c>
      <c r="D2881" s="1">
        <v>-7.0212217284899996</v>
      </c>
      <c r="E2881" s="3">
        <v>3</v>
      </c>
      <c r="F2881" s="2">
        <v>2</v>
      </c>
      <c r="G2881" s="4">
        <v>3</v>
      </c>
      <c r="H2881" s="13"/>
      <c r="I2881" s="15"/>
      <c r="J2881" s="19">
        <v>3</v>
      </c>
      <c r="K2881" s="2" t="s">
        <v>5774</v>
      </c>
      <c r="L2881" s="11" t="str">
        <f t="shared" si="46"/>
        <v>Ver Imagen</v>
      </c>
      <c r="M2881" t="s">
        <v>15</v>
      </c>
    </row>
    <row r="2882" spans="1:13" x14ac:dyDescent="0.25">
      <c r="A2882">
        <v>2881</v>
      </c>
      <c r="B2882" t="s">
        <v>5775</v>
      </c>
      <c r="C2882" s="1">
        <v>37.2075087009</v>
      </c>
      <c r="D2882" s="1">
        <v>-7.0217587009900004</v>
      </c>
      <c r="E2882" s="3">
        <v>3</v>
      </c>
      <c r="F2882" s="2">
        <v>2</v>
      </c>
      <c r="G2882" s="4">
        <v>3</v>
      </c>
      <c r="H2882" s="13"/>
      <c r="I2882" s="15"/>
      <c r="J2882" s="19">
        <v>3</v>
      </c>
      <c r="K2882" s="2" t="s">
        <v>5776</v>
      </c>
      <c r="L2882" s="11" t="str">
        <f t="shared" si="46"/>
        <v>Ver Imagen</v>
      </c>
      <c r="M2882" t="s">
        <v>15</v>
      </c>
    </row>
    <row r="2883" spans="1:13" x14ac:dyDescent="0.25">
      <c r="A2883">
        <v>2882</v>
      </c>
      <c r="B2883" t="s">
        <v>5777</v>
      </c>
      <c r="C2883" s="1">
        <v>37.234341001600001</v>
      </c>
      <c r="D2883" s="1">
        <v>-7.0181751767399998</v>
      </c>
      <c r="E2883" s="3">
        <v>3</v>
      </c>
      <c r="F2883" s="2">
        <v>2</v>
      </c>
      <c r="G2883" s="4">
        <v>3</v>
      </c>
      <c r="H2883" s="13"/>
      <c r="I2883" s="15"/>
      <c r="J2883" s="19">
        <v>3</v>
      </c>
      <c r="K2883" s="2" t="s">
        <v>5778</v>
      </c>
      <c r="L2883" s="11" t="str">
        <f t="shared" si="46"/>
        <v>Ver Imagen</v>
      </c>
      <c r="M2883" t="s">
        <v>15</v>
      </c>
    </row>
    <row r="2884" spans="1:13" x14ac:dyDescent="0.25">
      <c r="A2884">
        <v>2883</v>
      </c>
      <c r="B2884" t="s">
        <v>5779</v>
      </c>
      <c r="C2884" s="1">
        <v>37.2076581261</v>
      </c>
      <c r="D2884" s="1">
        <v>-7.0219216384800003</v>
      </c>
      <c r="E2884" s="3">
        <v>3</v>
      </c>
      <c r="F2884" s="2">
        <v>2</v>
      </c>
      <c r="G2884" s="4">
        <v>3</v>
      </c>
      <c r="H2884" s="13"/>
      <c r="I2884" s="15"/>
      <c r="J2884" s="19">
        <v>3</v>
      </c>
      <c r="K2884" s="2" t="s">
        <v>5780</v>
      </c>
      <c r="L2884" s="11" t="str">
        <f t="shared" si="46"/>
        <v>Ver Imagen</v>
      </c>
      <c r="M2884" t="s">
        <v>15</v>
      </c>
    </row>
    <row r="2885" spans="1:13" x14ac:dyDescent="0.25">
      <c r="A2885">
        <v>2884</v>
      </c>
      <c r="B2885" t="s">
        <v>5781</v>
      </c>
      <c r="C2885" s="1">
        <v>37.207818056199997</v>
      </c>
      <c r="D2885" s="1">
        <v>-7.0220860638999998</v>
      </c>
      <c r="E2885" s="3">
        <v>3</v>
      </c>
      <c r="F2885" s="2">
        <v>2</v>
      </c>
      <c r="G2885" s="4">
        <v>3</v>
      </c>
      <c r="H2885" s="13"/>
      <c r="I2885" s="15"/>
      <c r="J2885" s="19">
        <v>3</v>
      </c>
      <c r="K2885" s="2" t="s">
        <v>5782</v>
      </c>
      <c r="L2885" s="11" t="str">
        <f t="shared" si="46"/>
        <v>Ver Imagen</v>
      </c>
      <c r="M2885" t="s">
        <v>15</v>
      </c>
    </row>
    <row r="2886" spans="1:13" x14ac:dyDescent="0.25">
      <c r="A2886">
        <v>2885</v>
      </c>
      <c r="B2886" t="s">
        <v>5783</v>
      </c>
      <c r="C2886" s="1">
        <v>37.234148675699998</v>
      </c>
      <c r="D2886" s="1">
        <v>-7.0181673957999999</v>
      </c>
      <c r="E2886" s="3">
        <v>3</v>
      </c>
      <c r="F2886" s="2">
        <v>2</v>
      </c>
      <c r="G2886" s="4">
        <v>3</v>
      </c>
      <c r="H2886" s="13"/>
      <c r="I2886" s="15"/>
      <c r="J2886" s="19">
        <v>3</v>
      </c>
      <c r="K2886" s="2" t="s">
        <v>5784</v>
      </c>
      <c r="L2886" s="11" t="str">
        <f t="shared" si="46"/>
        <v>Ver Imagen</v>
      </c>
      <c r="M2886" t="s">
        <v>15</v>
      </c>
    </row>
    <row r="2887" spans="1:13" x14ac:dyDescent="0.25">
      <c r="A2887">
        <v>2886</v>
      </c>
      <c r="B2887" t="s">
        <v>5785</v>
      </c>
      <c r="C2887" s="1">
        <v>37.2339818847</v>
      </c>
      <c r="D2887" s="1">
        <v>-7.0181703141599998</v>
      </c>
      <c r="E2887" s="3">
        <v>3</v>
      </c>
      <c r="F2887" s="2">
        <v>2</v>
      </c>
      <c r="G2887" s="4">
        <v>3</v>
      </c>
      <c r="H2887" s="13"/>
      <c r="I2887" s="15"/>
      <c r="J2887" s="19">
        <v>3</v>
      </c>
      <c r="K2887" s="2" t="s">
        <v>5786</v>
      </c>
      <c r="L2887" s="11" t="str">
        <f t="shared" si="46"/>
        <v>Ver Imagen</v>
      </c>
      <c r="M2887" t="s">
        <v>15</v>
      </c>
    </row>
    <row r="2888" spans="1:13" x14ac:dyDescent="0.25">
      <c r="A2888">
        <v>2887</v>
      </c>
      <c r="B2888" t="s">
        <v>5787</v>
      </c>
      <c r="C2888" s="1">
        <v>37.233596052700001</v>
      </c>
      <c r="D2888" s="1">
        <v>-7.01821236319</v>
      </c>
      <c r="E2888" s="3">
        <v>3</v>
      </c>
      <c r="F2888" s="2">
        <v>2</v>
      </c>
      <c r="G2888" s="4">
        <v>3</v>
      </c>
      <c r="H2888" s="13"/>
      <c r="I2888" s="15"/>
      <c r="J2888" s="19">
        <v>3</v>
      </c>
      <c r="K2888" s="2" t="s">
        <v>5788</v>
      </c>
      <c r="L2888" s="11" t="str">
        <f t="shared" si="46"/>
        <v>Ver Imagen</v>
      </c>
      <c r="M2888" t="s">
        <v>15</v>
      </c>
    </row>
    <row r="2889" spans="1:13" x14ac:dyDescent="0.25">
      <c r="A2889">
        <v>2888</v>
      </c>
      <c r="B2889" t="s">
        <v>5789</v>
      </c>
      <c r="C2889" s="1">
        <v>37.2333846756</v>
      </c>
      <c r="D2889" s="1">
        <v>-7.0182559701200002</v>
      </c>
      <c r="E2889" s="3">
        <v>3</v>
      </c>
      <c r="F2889" s="2">
        <v>2</v>
      </c>
      <c r="G2889" s="4">
        <v>3</v>
      </c>
      <c r="H2889" s="13"/>
      <c r="I2889" s="15"/>
      <c r="J2889" s="19">
        <v>3</v>
      </c>
      <c r="K2889" s="2" t="s">
        <v>5790</v>
      </c>
      <c r="L2889" s="11" t="str">
        <f t="shared" si="46"/>
        <v>Ver Imagen</v>
      </c>
      <c r="M2889" t="s">
        <v>15</v>
      </c>
    </row>
    <row r="2890" spans="1:13" x14ac:dyDescent="0.25">
      <c r="A2890">
        <v>2889</v>
      </c>
      <c r="B2890" t="s">
        <v>5791</v>
      </c>
      <c r="C2890" s="1">
        <v>37.208337096800001</v>
      </c>
      <c r="D2890" s="1">
        <v>-7.0225510706599996</v>
      </c>
      <c r="E2890" s="3">
        <v>3</v>
      </c>
      <c r="F2890" s="2">
        <v>2</v>
      </c>
      <c r="G2890" s="4">
        <v>3</v>
      </c>
      <c r="H2890" s="13"/>
      <c r="I2890" s="15"/>
      <c r="J2890" s="19">
        <v>3</v>
      </c>
      <c r="K2890" s="2" t="s">
        <v>5792</v>
      </c>
      <c r="L2890" s="11" t="str">
        <f t="shared" si="46"/>
        <v>Ver Imagen</v>
      </c>
      <c r="M2890" t="s">
        <v>15</v>
      </c>
    </row>
    <row r="2891" spans="1:13" x14ac:dyDescent="0.25">
      <c r="A2891">
        <v>2890</v>
      </c>
      <c r="B2891" t="s">
        <v>5793</v>
      </c>
      <c r="C2891" s="1">
        <v>37.232974668499999</v>
      </c>
      <c r="D2891" s="1">
        <v>-7.0183853213500003</v>
      </c>
      <c r="E2891" s="3">
        <v>3</v>
      </c>
      <c r="F2891" s="2">
        <v>2</v>
      </c>
      <c r="G2891" s="4">
        <v>3</v>
      </c>
      <c r="H2891" s="13"/>
      <c r="I2891" s="15"/>
      <c r="J2891" s="19">
        <v>3</v>
      </c>
      <c r="K2891" s="2" t="s">
        <v>5794</v>
      </c>
      <c r="L2891" s="11" t="str">
        <f t="shared" si="46"/>
        <v>Ver Imagen</v>
      </c>
      <c r="M2891" t="s">
        <v>15</v>
      </c>
    </row>
    <row r="2892" spans="1:13" x14ac:dyDescent="0.25">
      <c r="A2892">
        <v>2891</v>
      </c>
      <c r="B2892" t="s">
        <v>5795</v>
      </c>
      <c r="C2892" s="1">
        <v>37.208506923199998</v>
      </c>
      <c r="D2892" s="1">
        <v>-7.0226829518600002</v>
      </c>
      <c r="E2892" s="3">
        <v>3</v>
      </c>
      <c r="F2892" s="2">
        <v>2</v>
      </c>
      <c r="G2892" s="4">
        <v>3</v>
      </c>
      <c r="H2892" s="13"/>
      <c r="I2892" s="15"/>
      <c r="J2892" s="19">
        <v>3</v>
      </c>
      <c r="K2892" s="2" t="s">
        <v>5796</v>
      </c>
      <c r="L2892" s="11" t="str">
        <f t="shared" si="46"/>
        <v>Ver Imagen</v>
      </c>
      <c r="M2892" t="s">
        <v>15</v>
      </c>
    </row>
    <row r="2893" spans="1:13" x14ac:dyDescent="0.25">
      <c r="A2893">
        <v>2892</v>
      </c>
      <c r="B2893" t="s">
        <v>5797</v>
      </c>
      <c r="C2893" s="1">
        <v>37.209020329799998</v>
      </c>
      <c r="D2893" s="1">
        <v>-7.0230304808600001</v>
      </c>
      <c r="E2893" s="3">
        <v>3</v>
      </c>
      <c r="F2893" s="2">
        <v>2</v>
      </c>
      <c r="G2893" s="4">
        <v>3</v>
      </c>
      <c r="H2893" s="13"/>
      <c r="I2893" s="15"/>
      <c r="J2893" s="19">
        <v>3</v>
      </c>
      <c r="K2893" s="2" t="s">
        <v>5798</v>
      </c>
      <c r="L2893" s="11" t="str">
        <f t="shared" si="46"/>
        <v>Ver Imagen</v>
      </c>
      <c r="M2893" t="s">
        <v>15</v>
      </c>
    </row>
    <row r="2894" spans="1:13" x14ac:dyDescent="0.25">
      <c r="A2894">
        <v>2893</v>
      </c>
      <c r="B2894" t="s">
        <v>5799</v>
      </c>
      <c r="C2894" s="1">
        <v>37.209368559600001</v>
      </c>
      <c r="D2894" s="1">
        <v>-7.0232268542799998</v>
      </c>
      <c r="E2894" s="3">
        <v>3</v>
      </c>
      <c r="F2894" s="2">
        <v>4</v>
      </c>
      <c r="G2894" s="4">
        <v>3</v>
      </c>
      <c r="H2894" s="13"/>
      <c r="I2894" s="15"/>
      <c r="J2894" s="19">
        <v>3</v>
      </c>
      <c r="K2894" s="2" t="s">
        <v>5800</v>
      </c>
      <c r="L2894" s="11" t="str">
        <f t="shared" si="46"/>
        <v>Ver Imagen</v>
      </c>
      <c r="M2894" t="s">
        <v>15</v>
      </c>
    </row>
    <row r="2895" spans="1:13" x14ac:dyDescent="0.25">
      <c r="A2895">
        <v>2894</v>
      </c>
      <c r="B2895" t="s">
        <v>5801</v>
      </c>
      <c r="C2895" s="1">
        <v>37.209761997100003</v>
      </c>
      <c r="D2895" s="1">
        <v>-7.02341573098</v>
      </c>
      <c r="E2895" s="3">
        <v>3</v>
      </c>
      <c r="F2895" s="2">
        <v>2</v>
      </c>
      <c r="G2895" s="4">
        <v>3</v>
      </c>
      <c r="H2895" s="13"/>
      <c r="I2895" s="15"/>
      <c r="J2895" s="19">
        <v>3</v>
      </c>
      <c r="K2895" s="2" t="s">
        <v>5802</v>
      </c>
      <c r="L2895" s="11" t="str">
        <f t="shared" si="46"/>
        <v>Ver Imagen</v>
      </c>
      <c r="M2895" t="s">
        <v>15</v>
      </c>
    </row>
    <row r="2896" spans="1:13" x14ac:dyDescent="0.25">
      <c r="A2896">
        <v>2895</v>
      </c>
      <c r="B2896" t="s">
        <v>5803</v>
      </c>
      <c r="C2896" s="1">
        <v>37.209973606399998</v>
      </c>
      <c r="D2896" s="1">
        <v>-7.0235018669100002</v>
      </c>
      <c r="E2896" s="3">
        <v>3</v>
      </c>
      <c r="F2896" s="2">
        <v>2</v>
      </c>
      <c r="G2896" s="4">
        <v>3</v>
      </c>
      <c r="H2896" s="13"/>
      <c r="I2896" s="15"/>
      <c r="J2896" s="19">
        <v>3</v>
      </c>
      <c r="K2896" s="2" t="s">
        <v>5804</v>
      </c>
      <c r="L2896" s="11" t="str">
        <f t="shared" si="46"/>
        <v>Ver Imagen</v>
      </c>
      <c r="M2896" t="s">
        <v>15</v>
      </c>
    </row>
    <row r="2897" spans="1:13" x14ac:dyDescent="0.25">
      <c r="A2897">
        <v>2896</v>
      </c>
      <c r="B2897" t="s">
        <v>5805</v>
      </c>
      <c r="C2897" s="1">
        <v>37.210150144099998</v>
      </c>
      <c r="D2897" s="1">
        <v>-7.02356558433</v>
      </c>
      <c r="E2897" s="3">
        <v>3</v>
      </c>
      <c r="F2897" s="2">
        <v>2</v>
      </c>
      <c r="G2897" s="4">
        <v>3</v>
      </c>
      <c r="H2897" s="13"/>
      <c r="I2897" s="15"/>
      <c r="J2897" s="19">
        <v>3</v>
      </c>
      <c r="K2897" s="2" t="s">
        <v>5806</v>
      </c>
      <c r="L2897" s="11" t="str">
        <f t="shared" si="46"/>
        <v>Ver Imagen</v>
      </c>
      <c r="M2897" t="s">
        <v>15</v>
      </c>
    </row>
    <row r="2898" spans="1:13" x14ac:dyDescent="0.25">
      <c r="A2898">
        <v>2897</v>
      </c>
      <c r="B2898" t="s">
        <v>5807</v>
      </c>
      <c r="C2898" s="1">
        <v>37.230474979100002</v>
      </c>
      <c r="D2898" s="1">
        <v>-7.0201035453699996</v>
      </c>
      <c r="E2898" s="3">
        <v>3</v>
      </c>
      <c r="F2898" s="2">
        <v>2</v>
      </c>
      <c r="G2898" s="4">
        <v>3</v>
      </c>
      <c r="H2898" s="13"/>
      <c r="I2898" s="15"/>
      <c r="J2898" s="19">
        <v>3</v>
      </c>
      <c r="K2898" s="2" t="s">
        <v>5808</v>
      </c>
      <c r="L2898" s="11" t="str">
        <f t="shared" si="46"/>
        <v>Ver Imagen</v>
      </c>
      <c r="M2898" t="s">
        <v>15</v>
      </c>
    </row>
    <row r="2899" spans="1:13" x14ac:dyDescent="0.25">
      <c r="A2899">
        <v>2898</v>
      </c>
      <c r="B2899" t="s">
        <v>5809</v>
      </c>
      <c r="C2899" s="1">
        <v>37.230165210300001</v>
      </c>
      <c r="D2899" s="1">
        <v>-7.0203406303099998</v>
      </c>
      <c r="E2899" s="3">
        <v>3</v>
      </c>
      <c r="F2899" s="2">
        <v>2</v>
      </c>
      <c r="G2899" s="4">
        <v>3</v>
      </c>
      <c r="H2899" s="13"/>
      <c r="I2899" s="15"/>
      <c r="J2899" s="19">
        <v>3</v>
      </c>
      <c r="K2899" s="2" t="s">
        <v>5810</v>
      </c>
      <c r="L2899" s="11" t="str">
        <f t="shared" si="46"/>
        <v>Ver Imagen</v>
      </c>
      <c r="M2899" t="s">
        <v>15</v>
      </c>
    </row>
    <row r="2900" spans="1:13" x14ac:dyDescent="0.25">
      <c r="A2900">
        <v>2899</v>
      </c>
      <c r="B2900" t="s">
        <v>5811</v>
      </c>
      <c r="C2900" s="1">
        <v>37.210754170599998</v>
      </c>
      <c r="D2900" s="1">
        <v>-7.0237360561199997</v>
      </c>
      <c r="E2900" s="3">
        <v>3</v>
      </c>
      <c r="F2900" s="2">
        <v>2</v>
      </c>
      <c r="G2900" s="4">
        <v>3</v>
      </c>
      <c r="H2900" s="13"/>
      <c r="I2900" s="15"/>
      <c r="J2900" s="19">
        <v>3</v>
      </c>
      <c r="K2900" s="2" t="s">
        <v>5812</v>
      </c>
      <c r="L2900" s="11" t="str">
        <f t="shared" si="46"/>
        <v>Ver Imagen</v>
      </c>
      <c r="M2900" t="s">
        <v>15</v>
      </c>
    </row>
    <row r="2901" spans="1:13" x14ac:dyDescent="0.25">
      <c r="A2901">
        <v>2900</v>
      </c>
      <c r="B2901" t="s">
        <v>5813</v>
      </c>
      <c r="C2901" s="1">
        <v>37.211560065500002</v>
      </c>
      <c r="D2901" s="1">
        <v>-7.0238501792700001</v>
      </c>
      <c r="E2901" s="3">
        <v>3</v>
      </c>
      <c r="F2901" s="2">
        <v>4</v>
      </c>
      <c r="G2901" s="4">
        <v>3</v>
      </c>
      <c r="H2901" s="13"/>
      <c r="I2901" s="15"/>
      <c r="J2901" s="19">
        <v>3</v>
      </c>
      <c r="K2901" s="2" t="s">
        <v>5814</v>
      </c>
      <c r="L2901" s="11" t="str">
        <f t="shared" si="46"/>
        <v>Ver Imagen</v>
      </c>
      <c r="M2901" t="s">
        <v>15</v>
      </c>
    </row>
    <row r="2902" spans="1:13" x14ac:dyDescent="0.25">
      <c r="A2902">
        <v>2901</v>
      </c>
      <c r="B2902" t="s">
        <v>5815</v>
      </c>
      <c r="C2902" s="1">
        <v>37.226487021300002</v>
      </c>
      <c r="D2902" s="1">
        <v>-7.02299945685</v>
      </c>
      <c r="E2902" s="3">
        <v>3</v>
      </c>
      <c r="F2902" s="2">
        <v>2</v>
      </c>
      <c r="G2902" s="4">
        <v>3</v>
      </c>
      <c r="H2902" s="13"/>
      <c r="I2902" s="15"/>
      <c r="J2902" s="19">
        <v>3</v>
      </c>
      <c r="K2902" s="2" t="s">
        <v>5816</v>
      </c>
      <c r="L2902" s="11" t="str">
        <f t="shared" si="46"/>
        <v>Ver Imagen</v>
      </c>
      <c r="M2902" t="s">
        <v>15</v>
      </c>
    </row>
    <row r="2903" spans="1:13" x14ac:dyDescent="0.25">
      <c r="A2903">
        <v>2902</v>
      </c>
      <c r="B2903" t="s">
        <v>5817</v>
      </c>
      <c r="C2903" s="1">
        <v>37.216576795100003</v>
      </c>
      <c r="D2903" s="1">
        <v>-7.0231259990100003</v>
      </c>
      <c r="E2903" s="3">
        <v>3</v>
      </c>
      <c r="F2903" s="2">
        <v>2</v>
      </c>
      <c r="G2903" s="4">
        <v>3</v>
      </c>
      <c r="H2903" s="13"/>
      <c r="I2903" s="15"/>
      <c r="J2903" s="19">
        <v>3</v>
      </c>
      <c r="K2903" s="2" t="s">
        <v>5818</v>
      </c>
      <c r="L2903" s="11" t="str">
        <f t="shared" si="46"/>
        <v>Ver Imagen</v>
      </c>
      <c r="M2903" t="s">
        <v>15</v>
      </c>
    </row>
    <row r="2904" spans="1:13" x14ac:dyDescent="0.25">
      <c r="A2904">
        <v>2903</v>
      </c>
      <c r="B2904" t="s">
        <v>5819</v>
      </c>
      <c r="C2904" s="1">
        <v>37.218635501999998</v>
      </c>
      <c r="D2904" s="1">
        <v>-7.0229887236600002</v>
      </c>
      <c r="E2904" s="3">
        <v>3</v>
      </c>
      <c r="F2904" s="2">
        <v>2</v>
      </c>
      <c r="G2904" s="4">
        <v>3</v>
      </c>
      <c r="H2904" s="13"/>
      <c r="I2904" s="15"/>
      <c r="J2904" s="19">
        <v>3</v>
      </c>
      <c r="K2904" s="2" t="s">
        <v>5820</v>
      </c>
      <c r="L2904" s="11" t="str">
        <f t="shared" si="46"/>
        <v>Ver Imagen</v>
      </c>
      <c r="M2904" t="s">
        <v>15</v>
      </c>
    </row>
    <row r="2905" spans="1:13" x14ac:dyDescent="0.25">
      <c r="A2905">
        <v>2904</v>
      </c>
      <c r="B2905" t="s">
        <v>5821</v>
      </c>
      <c r="C2905" s="1">
        <v>37.218002416300003</v>
      </c>
      <c r="D2905" s="1">
        <v>-7.0230672170200004</v>
      </c>
      <c r="E2905" s="3">
        <v>3</v>
      </c>
      <c r="F2905" s="2">
        <v>2</v>
      </c>
      <c r="G2905" s="4">
        <v>3</v>
      </c>
      <c r="H2905" s="13"/>
      <c r="I2905" s="15"/>
      <c r="J2905" s="19">
        <v>3</v>
      </c>
      <c r="K2905" s="2" t="s">
        <v>5822</v>
      </c>
      <c r="L2905" s="11" t="str">
        <f t="shared" si="46"/>
        <v>Ver Imagen</v>
      </c>
      <c r="M2905" t="s">
        <v>15</v>
      </c>
    </row>
    <row r="2906" spans="1:13" x14ac:dyDescent="0.25">
      <c r="A2906">
        <v>2905</v>
      </c>
      <c r="B2906" t="s">
        <v>5823</v>
      </c>
      <c r="C2906" s="1">
        <v>37.216629225600002</v>
      </c>
      <c r="D2906" s="1">
        <v>-7.0233053535299996</v>
      </c>
      <c r="E2906" s="3">
        <v>3</v>
      </c>
      <c r="F2906" s="2">
        <v>2</v>
      </c>
      <c r="G2906" s="4">
        <v>3</v>
      </c>
      <c r="H2906" s="13"/>
      <c r="I2906" s="15"/>
      <c r="J2906" s="19">
        <v>3</v>
      </c>
      <c r="K2906" s="2" t="s">
        <v>5824</v>
      </c>
      <c r="L2906" s="11" t="str">
        <f t="shared" si="46"/>
        <v>Ver Imagen</v>
      </c>
      <c r="M2906" t="s">
        <v>15</v>
      </c>
    </row>
    <row r="2907" spans="1:13" x14ac:dyDescent="0.25">
      <c r="A2907">
        <v>2906</v>
      </c>
      <c r="B2907" t="s">
        <v>5825</v>
      </c>
      <c r="C2907" s="1">
        <v>37.216207804600003</v>
      </c>
      <c r="D2907" s="1">
        <v>-7.0233793119700003</v>
      </c>
      <c r="E2907" s="3">
        <v>3</v>
      </c>
      <c r="F2907" s="2">
        <v>2</v>
      </c>
      <c r="G2907" s="4">
        <v>3</v>
      </c>
      <c r="H2907" s="13"/>
      <c r="I2907" s="15"/>
      <c r="J2907" s="19">
        <v>3</v>
      </c>
      <c r="K2907" s="2" t="s">
        <v>5826</v>
      </c>
      <c r="L2907" s="11" t="str">
        <f t="shared" si="46"/>
        <v>Ver Imagen</v>
      </c>
      <c r="M2907" t="s">
        <v>15</v>
      </c>
    </row>
    <row r="2908" spans="1:13" x14ac:dyDescent="0.25">
      <c r="A2908">
        <v>2907</v>
      </c>
      <c r="B2908" t="s">
        <v>5827</v>
      </c>
      <c r="C2908" s="1">
        <v>37.217733217800003</v>
      </c>
      <c r="D2908" s="1">
        <v>-7.0229236803699999</v>
      </c>
      <c r="E2908" s="3">
        <v>3</v>
      </c>
      <c r="F2908" s="2">
        <v>2</v>
      </c>
      <c r="G2908" s="4">
        <v>3</v>
      </c>
      <c r="H2908" s="13"/>
      <c r="I2908" s="15"/>
      <c r="J2908" s="19">
        <v>3</v>
      </c>
      <c r="K2908" s="2" t="s">
        <v>5828</v>
      </c>
      <c r="L2908" s="11" t="str">
        <f t="shared" si="46"/>
        <v>Ver Imagen</v>
      </c>
      <c r="M2908" t="s">
        <v>15</v>
      </c>
    </row>
    <row r="2909" spans="1:13" x14ac:dyDescent="0.25">
      <c r="A2909">
        <v>2908</v>
      </c>
      <c r="B2909" t="s">
        <v>5829</v>
      </c>
      <c r="C2909" s="1">
        <v>37.218002473799999</v>
      </c>
      <c r="D2909" s="1">
        <v>-7.0228799778399997</v>
      </c>
      <c r="E2909" s="3">
        <v>3</v>
      </c>
      <c r="F2909" s="2">
        <v>2</v>
      </c>
      <c r="G2909" s="4">
        <v>3</v>
      </c>
      <c r="H2909" s="13"/>
      <c r="I2909" s="15"/>
      <c r="J2909" s="19">
        <v>3</v>
      </c>
      <c r="K2909" s="2" t="s">
        <v>5830</v>
      </c>
      <c r="L2909" s="11" t="str">
        <f t="shared" si="46"/>
        <v>Ver Imagen</v>
      </c>
      <c r="M2909" t="s">
        <v>15</v>
      </c>
    </row>
    <row r="2910" spans="1:13" x14ac:dyDescent="0.25">
      <c r="A2910">
        <v>2909</v>
      </c>
      <c r="B2910" t="s">
        <v>5831</v>
      </c>
      <c r="C2910" s="1">
        <v>37.213199316500003</v>
      </c>
      <c r="D2910" s="1">
        <v>-7.0239102839900003</v>
      </c>
      <c r="E2910" s="3">
        <v>3</v>
      </c>
      <c r="F2910" s="2">
        <v>2</v>
      </c>
      <c r="G2910" s="4">
        <v>3</v>
      </c>
      <c r="H2910" s="13"/>
      <c r="I2910" s="15"/>
      <c r="J2910" s="19">
        <v>3</v>
      </c>
      <c r="K2910" s="2" t="s">
        <v>5832</v>
      </c>
      <c r="L2910" s="11" t="str">
        <f t="shared" si="46"/>
        <v>Ver Imagen</v>
      </c>
      <c r="M2910" t="s">
        <v>15</v>
      </c>
    </row>
    <row r="2911" spans="1:13" x14ac:dyDescent="0.25">
      <c r="A2911">
        <v>2910</v>
      </c>
      <c r="B2911" t="s">
        <v>5833</v>
      </c>
      <c r="C2911" s="1">
        <v>37.212812055199997</v>
      </c>
      <c r="D2911" s="1">
        <v>-7.0239696189699998</v>
      </c>
      <c r="E2911" s="3">
        <v>3</v>
      </c>
      <c r="F2911" s="2">
        <v>2</v>
      </c>
      <c r="G2911" s="4">
        <v>3</v>
      </c>
      <c r="H2911" s="13"/>
      <c r="I2911" s="15"/>
      <c r="J2911" s="19">
        <v>3</v>
      </c>
      <c r="K2911" s="2" t="s">
        <v>5834</v>
      </c>
      <c r="L2911" s="11" t="str">
        <f t="shared" si="46"/>
        <v>Ver Imagen</v>
      </c>
      <c r="M2911" t="s">
        <v>15</v>
      </c>
    </row>
    <row r="2912" spans="1:13" x14ac:dyDescent="0.25">
      <c r="A2912">
        <v>2911</v>
      </c>
      <c r="B2912" t="s">
        <v>5835</v>
      </c>
      <c r="C2912" s="1">
        <v>37.2121819774</v>
      </c>
      <c r="D2912" s="1">
        <v>-7.0240384970800003</v>
      </c>
      <c r="E2912" s="3">
        <v>3</v>
      </c>
      <c r="F2912" s="2">
        <v>2</v>
      </c>
      <c r="G2912" s="4">
        <v>3</v>
      </c>
      <c r="H2912" s="13"/>
      <c r="I2912" s="15"/>
      <c r="J2912" s="19">
        <v>3</v>
      </c>
      <c r="K2912" s="2" t="s">
        <v>5836</v>
      </c>
      <c r="L2912" s="11" t="str">
        <f t="shared" si="46"/>
        <v>Ver Imagen</v>
      </c>
      <c r="M2912" t="s">
        <v>15</v>
      </c>
    </row>
    <row r="2913" spans="1:13" x14ac:dyDescent="0.25">
      <c r="A2913">
        <v>2912</v>
      </c>
      <c r="B2913" t="s">
        <v>5837</v>
      </c>
      <c r="C2913" s="1">
        <v>37.211983756000002</v>
      </c>
      <c r="D2913" s="1">
        <v>-7.0240480240599998</v>
      </c>
      <c r="E2913" s="3">
        <v>3</v>
      </c>
      <c r="F2913" s="2">
        <v>2</v>
      </c>
      <c r="G2913" s="4">
        <v>3</v>
      </c>
      <c r="H2913" s="13"/>
      <c r="I2913" s="15"/>
      <c r="J2913" s="19">
        <v>3</v>
      </c>
      <c r="K2913" s="2" t="s">
        <v>5838</v>
      </c>
      <c r="L2913" s="11" t="str">
        <f t="shared" si="46"/>
        <v>Ver Imagen</v>
      </c>
      <c r="M2913" t="s">
        <v>15</v>
      </c>
    </row>
    <row r="2914" spans="1:13" x14ac:dyDescent="0.25">
      <c r="A2914">
        <v>2913</v>
      </c>
      <c r="B2914" t="s">
        <v>5839</v>
      </c>
      <c r="C2914" s="1">
        <v>37.211559921599999</v>
      </c>
      <c r="D2914" s="1">
        <v>-7.02404260454</v>
      </c>
      <c r="E2914" s="3">
        <v>3</v>
      </c>
      <c r="F2914" s="2">
        <v>2</v>
      </c>
      <c r="G2914" s="4">
        <v>3</v>
      </c>
      <c r="H2914" s="13"/>
      <c r="I2914" s="15"/>
      <c r="J2914" s="19">
        <v>3</v>
      </c>
      <c r="K2914" s="2" t="s">
        <v>5840</v>
      </c>
      <c r="L2914" s="11" t="str">
        <f t="shared" si="46"/>
        <v>Ver Imagen</v>
      </c>
      <c r="M2914" t="s">
        <v>15</v>
      </c>
    </row>
    <row r="2915" spans="1:13" x14ac:dyDescent="0.25">
      <c r="A2915">
        <v>2914</v>
      </c>
      <c r="B2915" t="s">
        <v>5841</v>
      </c>
      <c r="C2915" s="1">
        <v>37.210383307800001</v>
      </c>
      <c r="D2915" s="1">
        <v>-7.0238446035399997</v>
      </c>
      <c r="E2915" s="3">
        <v>3</v>
      </c>
      <c r="F2915" s="2">
        <v>2</v>
      </c>
      <c r="G2915" s="4">
        <v>3</v>
      </c>
      <c r="H2915" s="13"/>
      <c r="I2915" s="15"/>
      <c r="J2915" s="19">
        <v>3</v>
      </c>
      <c r="K2915" s="2" t="s">
        <v>5842</v>
      </c>
      <c r="L2915" s="11" t="str">
        <f t="shared" si="46"/>
        <v>Ver Imagen</v>
      </c>
      <c r="M2915" t="s">
        <v>15</v>
      </c>
    </row>
    <row r="2916" spans="1:13" x14ac:dyDescent="0.25">
      <c r="A2916">
        <v>2915</v>
      </c>
      <c r="B2916" t="s">
        <v>5843</v>
      </c>
      <c r="C2916" s="1">
        <v>37.205001162000002</v>
      </c>
      <c r="D2916" s="1">
        <v>-7.0163498184300002</v>
      </c>
      <c r="E2916" s="3">
        <v>3</v>
      </c>
      <c r="F2916" s="2">
        <v>4</v>
      </c>
      <c r="G2916" s="4">
        <v>3</v>
      </c>
      <c r="H2916" s="13"/>
      <c r="I2916" s="15"/>
      <c r="J2916" s="19">
        <v>3</v>
      </c>
      <c r="K2916" s="2" t="s">
        <v>5844</v>
      </c>
      <c r="L2916" s="11" t="str">
        <f t="shared" si="46"/>
        <v>Ver Imagen</v>
      </c>
      <c r="M2916" t="s">
        <v>15</v>
      </c>
    </row>
    <row r="2917" spans="1:13" x14ac:dyDescent="0.25">
      <c r="A2917">
        <v>2916</v>
      </c>
      <c r="B2917" t="s">
        <v>5845</v>
      </c>
      <c r="C2917" s="1">
        <v>37.204882421299999</v>
      </c>
      <c r="D2917" s="1">
        <v>-7.0157898492199999</v>
      </c>
      <c r="E2917" s="3">
        <v>3</v>
      </c>
      <c r="F2917" s="2">
        <v>2</v>
      </c>
      <c r="G2917" s="4">
        <v>3</v>
      </c>
      <c r="H2917" s="13"/>
      <c r="I2917" s="15"/>
      <c r="J2917" s="19">
        <v>3</v>
      </c>
      <c r="K2917" s="2" t="s">
        <v>5846</v>
      </c>
      <c r="L2917" s="11" t="str">
        <f t="shared" si="46"/>
        <v>Ver Imagen</v>
      </c>
      <c r="M2917" t="s">
        <v>15</v>
      </c>
    </row>
    <row r="2918" spans="1:13" x14ac:dyDescent="0.25">
      <c r="A2918">
        <v>2917</v>
      </c>
      <c r="B2918" t="s">
        <v>5847</v>
      </c>
      <c r="C2918" s="1">
        <v>37.204683720299997</v>
      </c>
      <c r="D2918" s="1">
        <v>-7.0148134460599998</v>
      </c>
      <c r="E2918" s="3">
        <v>3</v>
      </c>
      <c r="F2918" s="2">
        <v>2</v>
      </c>
      <c r="G2918" s="4">
        <v>3</v>
      </c>
      <c r="H2918" s="13"/>
      <c r="I2918" s="15"/>
      <c r="J2918" s="19">
        <v>3</v>
      </c>
      <c r="K2918" s="2" t="s">
        <v>5848</v>
      </c>
      <c r="L2918" s="11" t="str">
        <f t="shared" si="46"/>
        <v>Ver Imagen</v>
      </c>
      <c r="M2918" t="s">
        <v>15</v>
      </c>
    </row>
    <row r="2919" spans="1:13" x14ac:dyDescent="0.25">
      <c r="A2919">
        <v>2918</v>
      </c>
      <c r="B2919" t="s">
        <v>5849</v>
      </c>
      <c r="C2919" s="1">
        <v>37.204583348200003</v>
      </c>
      <c r="D2919" s="1">
        <v>-7.0143003134899997</v>
      </c>
      <c r="E2919" s="3">
        <v>3</v>
      </c>
      <c r="F2919" s="2">
        <v>2</v>
      </c>
      <c r="G2919" s="4">
        <v>3</v>
      </c>
      <c r="H2919" s="13"/>
      <c r="I2919" s="15"/>
      <c r="J2919" s="19">
        <v>3</v>
      </c>
      <c r="K2919" s="2" t="s">
        <v>5850</v>
      </c>
      <c r="L2919" s="11" t="str">
        <f t="shared" si="46"/>
        <v>Ver Imagen</v>
      </c>
      <c r="M2919" t="s">
        <v>15</v>
      </c>
    </row>
    <row r="2920" spans="1:13" x14ac:dyDescent="0.25">
      <c r="A2920">
        <v>2919</v>
      </c>
      <c r="B2920" t="s">
        <v>5851</v>
      </c>
      <c r="C2920" s="1">
        <v>37.204301169799997</v>
      </c>
      <c r="D2920" s="1">
        <v>-7.01280888402</v>
      </c>
      <c r="E2920" s="3">
        <v>3</v>
      </c>
      <c r="F2920" s="2">
        <v>2</v>
      </c>
      <c r="G2920" s="4">
        <v>3</v>
      </c>
      <c r="H2920" s="13"/>
      <c r="I2920" s="15"/>
      <c r="J2920" s="19">
        <v>3</v>
      </c>
      <c r="K2920" s="2" t="s">
        <v>5852</v>
      </c>
      <c r="L2920" s="11" t="str">
        <f t="shared" si="46"/>
        <v>Ver Imagen</v>
      </c>
      <c r="M2920" t="s">
        <v>15</v>
      </c>
    </row>
    <row r="2921" spans="1:13" x14ac:dyDescent="0.25">
      <c r="A2921">
        <v>2920</v>
      </c>
      <c r="B2921" t="s">
        <v>5853</v>
      </c>
      <c r="C2921" s="1">
        <v>37.204132792000003</v>
      </c>
      <c r="D2921" s="1">
        <v>-7.0118776354200003</v>
      </c>
      <c r="E2921" s="3">
        <v>3</v>
      </c>
      <c r="F2921" s="2">
        <v>2</v>
      </c>
      <c r="G2921" s="4">
        <v>3</v>
      </c>
      <c r="H2921" s="13"/>
      <c r="I2921" s="15"/>
      <c r="J2921" s="19">
        <v>3</v>
      </c>
      <c r="K2921" s="2" t="s">
        <v>5854</v>
      </c>
      <c r="L2921" s="11" t="str">
        <f t="shared" ref="L2921:L2984" si="47">HYPERLINK("3\1\" &amp; K2921, "Ver Imagen")</f>
        <v>Ver Imagen</v>
      </c>
      <c r="M2921" t="s">
        <v>15</v>
      </c>
    </row>
    <row r="2922" spans="1:13" x14ac:dyDescent="0.25">
      <c r="A2922">
        <v>2921</v>
      </c>
      <c r="B2922" t="s">
        <v>5855</v>
      </c>
      <c r="C2922" s="1">
        <v>37.204077603000002</v>
      </c>
      <c r="D2922" s="1">
        <v>-7.0115639296200003</v>
      </c>
      <c r="E2922" s="3">
        <v>3</v>
      </c>
      <c r="F2922" s="2">
        <v>2</v>
      </c>
      <c r="G2922" s="4">
        <v>3</v>
      </c>
      <c r="H2922" s="13"/>
      <c r="I2922" s="15"/>
      <c r="J2922" s="19">
        <v>3</v>
      </c>
      <c r="K2922" s="2" t="s">
        <v>5856</v>
      </c>
      <c r="L2922" s="11" t="str">
        <f t="shared" si="47"/>
        <v>Ver Imagen</v>
      </c>
      <c r="M2922" t="s">
        <v>15</v>
      </c>
    </row>
    <row r="2923" spans="1:13" x14ac:dyDescent="0.25">
      <c r="A2923">
        <v>2922</v>
      </c>
      <c r="B2923" t="s">
        <v>5857</v>
      </c>
      <c r="C2923" s="1">
        <v>37.204038603199997</v>
      </c>
      <c r="D2923" s="1">
        <v>-7.0113392813599997</v>
      </c>
      <c r="E2923" s="3">
        <v>3</v>
      </c>
      <c r="F2923" s="2">
        <v>2</v>
      </c>
      <c r="G2923" s="4">
        <v>3</v>
      </c>
      <c r="H2923" s="13"/>
      <c r="I2923" s="15"/>
      <c r="J2923" s="19">
        <v>3</v>
      </c>
      <c r="K2923" s="2" t="s">
        <v>5858</v>
      </c>
      <c r="L2923" s="11" t="str">
        <f t="shared" si="47"/>
        <v>Ver Imagen</v>
      </c>
      <c r="M2923" t="s">
        <v>15</v>
      </c>
    </row>
    <row r="2924" spans="1:13" x14ac:dyDescent="0.25">
      <c r="A2924">
        <v>2923</v>
      </c>
      <c r="B2924" t="s">
        <v>5859</v>
      </c>
      <c r="C2924" s="1">
        <v>37.203946246000001</v>
      </c>
      <c r="D2924" s="1">
        <v>-7.0107927564099999</v>
      </c>
      <c r="E2924" s="3">
        <v>3</v>
      </c>
      <c r="F2924" s="2">
        <v>2</v>
      </c>
      <c r="G2924" s="4">
        <v>3</v>
      </c>
      <c r="H2924" s="13"/>
      <c r="I2924" s="15"/>
      <c r="J2924" s="19">
        <v>3</v>
      </c>
      <c r="K2924" s="2" t="s">
        <v>5860</v>
      </c>
      <c r="L2924" s="11" t="str">
        <f t="shared" si="47"/>
        <v>Ver Imagen</v>
      </c>
      <c r="M2924" t="s">
        <v>15</v>
      </c>
    </row>
    <row r="2925" spans="1:13" x14ac:dyDescent="0.25">
      <c r="A2925">
        <v>2924</v>
      </c>
      <c r="B2925" t="s">
        <v>5861</v>
      </c>
      <c r="C2925" s="1">
        <v>37.203551142899997</v>
      </c>
      <c r="D2925" s="1">
        <v>-7.0083290005199999</v>
      </c>
      <c r="E2925" s="3">
        <v>3</v>
      </c>
      <c r="F2925" s="2">
        <v>2</v>
      </c>
      <c r="G2925" s="4">
        <v>3</v>
      </c>
      <c r="H2925" s="13"/>
      <c r="I2925" s="15"/>
      <c r="J2925" s="19">
        <v>3</v>
      </c>
      <c r="K2925" s="2" t="s">
        <v>5862</v>
      </c>
      <c r="L2925" s="11" t="str">
        <f t="shared" si="47"/>
        <v>Ver Imagen</v>
      </c>
      <c r="M2925" t="s">
        <v>15</v>
      </c>
    </row>
    <row r="2926" spans="1:13" x14ac:dyDescent="0.25">
      <c r="A2926">
        <v>2925</v>
      </c>
      <c r="B2926" t="s">
        <v>5863</v>
      </c>
      <c r="C2926" s="1">
        <v>37.2034434734</v>
      </c>
      <c r="D2926" s="1">
        <v>-7.0075970023799998</v>
      </c>
      <c r="E2926" s="3">
        <v>3</v>
      </c>
      <c r="F2926" s="2">
        <v>2</v>
      </c>
      <c r="G2926" s="4">
        <v>3</v>
      </c>
      <c r="H2926" s="13"/>
      <c r="I2926" s="15"/>
      <c r="J2926" s="19">
        <v>3</v>
      </c>
      <c r="K2926" s="2" t="s">
        <v>5864</v>
      </c>
      <c r="L2926" s="11" t="str">
        <f t="shared" si="47"/>
        <v>Ver Imagen</v>
      </c>
      <c r="M2926" t="s">
        <v>15</v>
      </c>
    </row>
    <row r="2927" spans="1:13" x14ac:dyDescent="0.25">
      <c r="A2927">
        <v>2926</v>
      </c>
      <c r="B2927" t="s">
        <v>5865</v>
      </c>
      <c r="C2927" s="1">
        <v>37.203077956400001</v>
      </c>
      <c r="D2927" s="1">
        <v>-7.0049017941500002</v>
      </c>
      <c r="E2927" s="3">
        <v>3</v>
      </c>
      <c r="F2927" s="2">
        <v>2</v>
      </c>
      <c r="G2927" s="4">
        <v>3</v>
      </c>
      <c r="H2927" s="13"/>
      <c r="I2927" s="15"/>
      <c r="J2927" s="19">
        <v>3</v>
      </c>
      <c r="K2927" s="2" t="s">
        <v>5866</v>
      </c>
      <c r="L2927" s="11" t="str">
        <f t="shared" si="47"/>
        <v>Ver Imagen</v>
      </c>
      <c r="M2927" t="s">
        <v>15</v>
      </c>
    </row>
    <row r="2928" spans="1:13" x14ac:dyDescent="0.25">
      <c r="A2928">
        <v>2927</v>
      </c>
      <c r="B2928" t="s">
        <v>5867</v>
      </c>
      <c r="C2928" s="1">
        <v>37.202874740299997</v>
      </c>
      <c r="D2928" s="1">
        <v>-7.0031298404999998</v>
      </c>
      <c r="E2928" s="3">
        <v>3</v>
      </c>
      <c r="F2928" s="2">
        <v>2</v>
      </c>
      <c r="G2928" s="4">
        <v>3</v>
      </c>
      <c r="H2928" s="13"/>
      <c r="I2928" s="15"/>
      <c r="J2928" s="19">
        <v>3</v>
      </c>
      <c r="K2928" s="2" t="s">
        <v>5868</v>
      </c>
      <c r="L2928" s="11" t="str">
        <f t="shared" si="47"/>
        <v>Ver Imagen</v>
      </c>
      <c r="M2928" t="s">
        <v>15</v>
      </c>
    </row>
    <row r="2929" spans="1:13" x14ac:dyDescent="0.25">
      <c r="A2929">
        <v>2928</v>
      </c>
      <c r="B2929" t="s">
        <v>5869</v>
      </c>
      <c r="C2929" s="1">
        <v>37.202815866800002</v>
      </c>
      <c r="D2929" s="1">
        <v>-7.0025989196199996</v>
      </c>
      <c r="E2929" s="3">
        <v>3</v>
      </c>
      <c r="F2929" s="2">
        <v>2</v>
      </c>
      <c r="G2929" s="4">
        <v>3</v>
      </c>
      <c r="H2929" s="13"/>
      <c r="I2929" s="15"/>
      <c r="J2929" s="19">
        <v>3</v>
      </c>
      <c r="K2929" s="2" t="s">
        <v>5870</v>
      </c>
      <c r="L2929" s="11" t="str">
        <f t="shared" si="47"/>
        <v>Ver Imagen</v>
      </c>
      <c r="M2929" t="s">
        <v>15</v>
      </c>
    </row>
    <row r="2930" spans="1:13" x14ac:dyDescent="0.25">
      <c r="A2930">
        <v>2929</v>
      </c>
      <c r="B2930" t="s">
        <v>5871</v>
      </c>
      <c r="C2930" s="1">
        <v>37.202701565600002</v>
      </c>
      <c r="D2930" s="1">
        <v>-7.00158992227</v>
      </c>
      <c r="E2930" s="3">
        <v>3</v>
      </c>
      <c r="F2930" s="2">
        <v>2</v>
      </c>
      <c r="G2930" s="4">
        <v>3</v>
      </c>
      <c r="H2930" s="13"/>
      <c r="I2930" s="15"/>
      <c r="J2930" s="19">
        <v>3</v>
      </c>
      <c r="K2930" s="2" t="s">
        <v>5872</v>
      </c>
      <c r="L2930" s="11" t="str">
        <f t="shared" si="47"/>
        <v>Ver Imagen</v>
      </c>
      <c r="M2930" t="s">
        <v>15</v>
      </c>
    </row>
    <row r="2931" spans="1:13" x14ac:dyDescent="0.25">
      <c r="A2931">
        <v>2930</v>
      </c>
      <c r="B2931" t="s">
        <v>5873</v>
      </c>
      <c r="C2931" s="1">
        <v>37.2025453324</v>
      </c>
      <c r="D2931" s="1">
        <v>-7.0003124478199998</v>
      </c>
      <c r="E2931" s="3">
        <v>3</v>
      </c>
      <c r="F2931" s="2">
        <v>4</v>
      </c>
      <c r="G2931" s="4">
        <v>3</v>
      </c>
      <c r="H2931" s="13"/>
      <c r="I2931" s="15"/>
      <c r="J2931" s="19">
        <v>3</v>
      </c>
      <c r="K2931" s="2" t="s">
        <v>5874</v>
      </c>
      <c r="L2931" s="11" t="str">
        <f t="shared" si="47"/>
        <v>Ver Imagen</v>
      </c>
      <c r="M2931" t="s">
        <v>15</v>
      </c>
    </row>
    <row r="2932" spans="1:13" x14ac:dyDescent="0.25">
      <c r="A2932">
        <v>2931</v>
      </c>
      <c r="B2932" t="s">
        <v>5875</v>
      </c>
      <c r="C2932" s="1">
        <v>37.202483947600001</v>
      </c>
      <c r="D2932" s="1">
        <v>-6.9998381511099996</v>
      </c>
      <c r="E2932" s="3">
        <v>3</v>
      </c>
      <c r="F2932" s="2">
        <v>2</v>
      </c>
      <c r="G2932" s="4">
        <v>3</v>
      </c>
      <c r="H2932" s="13"/>
      <c r="I2932" s="15"/>
      <c r="J2932" s="19">
        <v>3</v>
      </c>
      <c r="K2932" s="2" t="s">
        <v>5876</v>
      </c>
      <c r="L2932" s="11" t="str">
        <f t="shared" si="47"/>
        <v>Ver Imagen</v>
      </c>
      <c r="M2932" t="s">
        <v>15</v>
      </c>
    </row>
    <row r="2933" spans="1:13" x14ac:dyDescent="0.25">
      <c r="A2933">
        <v>2932</v>
      </c>
      <c r="B2933" t="s">
        <v>5877</v>
      </c>
      <c r="C2933" s="1">
        <v>37.202449208300003</v>
      </c>
      <c r="D2933" s="1">
        <v>-6.99956855835</v>
      </c>
      <c r="E2933" s="3">
        <v>3</v>
      </c>
      <c r="F2933" s="2">
        <v>2</v>
      </c>
      <c r="G2933" s="4">
        <v>3</v>
      </c>
      <c r="H2933" s="13"/>
      <c r="I2933" s="15"/>
      <c r="J2933" s="19">
        <v>3</v>
      </c>
      <c r="K2933" s="2" t="s">
        <v>5878</v>
      </c>
      <c r="L2933" s="11" t="str">
        <f t="shared" si="47"/>
        <v>Ver Imagen</v>
      </c>
      <c r="M2933" t="s">
        <v>15</v>
      </c>
    </row>
    <row r="2934" spans="1:13" x14ac:dyDescent="0.25">
      <c r="A2934">
        <v>2933</v>
      </c>
      <c r="B2934" t="s">
        <v>5879</v>
      </c>
      <c r="C2934" s="1">
        <v>37.202181177299998</v>
      </c>
      <c r="D2934" s="1">
        <v>-6.9976539211800004</v>
      </c>
      <c r="E2934" s="3">
        <v>3</v>
      </c>
      <c r="F2934" s="2">
        <v>2</v>
      </c>
      <c r="G2934" s="4">
        <v>3</v>
      </c>
      <c r="H2934" s="13"/>
      <c r="I2934" s="15"/>
      <c r="J2934" s="19">
        <v>3</v>
      </c>
      <c r="K2934" s="2" t="s">
        <v>5880</v>
      </c>
      <c r="L2934" s="11" t="str">
        <f t="shared" si="47"/>
        <v>Ver Imagen</v>
      </c>
      <c r="M2934" t="s">
        <v>15</v>
      </c>
    </row>
    <row r="2935" spans="1:13" x14ac:dyDescent="0.25">
      <c r="A2935">
        <v>2934</v>
      </c>
      <c r="B2935" t="s">
        <v>5881</v>
      </c>
      <c r="C2935" s="1">
        <v>37.202058905500003</v>
      </c>
      <c r="D2935" s="1">
        <v>-6.9968312822899996</v>
      </c>
      <c r="E2935" s="3">
        <v>3</v>
      </c>
      <c r="F2935" s="2">
        <v>2</v>
      </c>
      <c r="G2935" s="4">
        <v>3</v>
      </c>
      <c r="H2935" s="13"/>
      <c r="I2935" s="15"/>
      <c r="J2935" s="19">
        <v>3</v>
      </c>
      <c r="K2935" s="2" t="s">
        <v>5882</v>
      </c>
      <c r="L2935" s="11" t="str">
        <f t="shared" si="47"/>
        <v>Ver Imagen</v>
      </c>
      <c r="M2935" t="s">
        <v>15</v>
      </c>
    </row>
    <row r="2936" spans="1:13" x14ac:dyDescent="0.25">
      <c r="A2936">
        <v>2935</v>
      </c>
      <c r="B2936" t="s">
        <v>5883</v>
      </c>
      <c r="C2936" s="1">
        <v>37.201895373500001</v>
      </c>
      <c r="D2936" s="1">
        <v>-6.99581356765</v>
      </c>
      <c r="E2936" s="3">
        <v>3</v>
      </c>
      <c r="F2936" s="2">
        <v>2</v>
      </c>
      <c r="G2936" s="4">
        <v>3</v>
      </c>
      <c r="H2936" s="13"/>
      <c r="I2936" s="15"/>
      <c r="J2936" s="19">
        <v>3</v>
      </c>
      <c r="K2936" s="2" t="s">
        <v>5884</v>
      </c>
      <c r="L2936" s="11" t="str">
        <f t="shared" si="47"/>
        <v>Ver Imagen</v>
      </c>
      <c r="M2936" t="s">
        <v>15</v>
      </c>
    </row>
    <row r="2937" spans="1:13" x14ac:dyDescent="0.25">
      <c r="A2937">
        <v>2936</v>
      </c>
      <c r="B2937" t="s">
        <v>5885</v>
      </c>
      <c r="C2937" s="1">
        <v>37.229712780500002</v>
      </c>
      <c r="D2937" s="1">
        <v>-7.0204774312199998</v>
      </c>
      <c r="E2937" s="3">
        <v>3</v>
      </c>
      <c r="F2937" s="2">
        <v>2</v>
      </c>
      <c r="G2937" s="4">
        <v>3</v>
      </c>
      <c r="H2937" s="13"/>
      <c r="I2937" s="15"/>
      <c r="J2937" s="19">
        <v>3</v>
      </c>
      <c r="K2937" s="2" t="s">
        <v>5886</v>
      </c>
      <c r="L2937" s="11" t="str">
        <f t="shared" si="47"/>
        <v>Ver Imagen</v>
      </c>
      <c r="M2937" t="s">
        <v>15</v>
      </c>
    </row>
    <row r="2938" spans="1:13" x14ac:dyDescent="0.25">
      <c r="A2938">
        <v>2937</v>
      </c>
      <c r="B2938" t="s">
        <v>5887</v>
      </c>
      <c r="C2938" s="1">
        <v>37.231100651299997</v>
      </c>
      <c r="D2938" s="1">
        <v>-7.01941132372</v>
      </c>
      <c r="E2938" s="3">
        <v>3</v>
      </c>
      <c r="F2938" s="2">
        <v>2</v>
      </c>
      <c r="G2938" s="4">
        <v>3</v>
      </c>
      <c r="H2938" s="13"/>
      <c r="I2938" s="15"/>
      <c r="J2938" s="19">
        <v>3</v>
      </c>
      <c r="K2938" s="2" t="s">
        <v>5888</v>
      </c>
      <c r="L2938" s="11" t="str">
        <f t="shared" si="47"/>
        <v>Ver Imagen</v>
      </c>
      <c r="M2938" t="s">
        <v>15</v>
      </c>
    </row>
    <row r="2939" spans="1:13" x14ac:dyDescent="0.25">
      <c r="A2939">
        <v>2938</v>
      </c>
      <c r="B2939" t="s">
        <v>5889</v>
      </c>
      <c r="C2939" s="1">
        <v>37.231268142600001</v>
      </c>
      <c r="D2939" s="1">
        <v>-7.01928384037</v>
      </c>
      <c r="E2939" s="3">
        <v>3</v>
      </c>
      <c r="F2939" s="2">
        <v>2</v>
      </c>
      <c r="G2939" s="4">
        <v>3</v>
      </c>
      <c r="H2939" s="13"/>
      <c r="I2939" s="15"/>
      <c r="J2939" s="19">
        <v>3</v>
      </c>
      <c r="K2939" s="2" t="s">
        <v>5890</v>
      </c>
      <c r="L2939" s="11" t="str">
        <f t="shared" si="47"/>
        <v>Ver Imagen</v>
      </c>
      <c r="M2939" t="s">
        <v>15</v>
      </c>
    </row>
    <row r="2940" spans="1:13" x14ac:dyDescent="0.25">
      <c r="A2940">
        <v>2939</v>
      </c>
      <c r="B2940" t="s">
        <v>5891</v>
      </c>
      <c r="C2940" s="1">
        <v>37.231845788800001</v>
      </c>
      <c r="D2940" s="1">
        <v>-7.0188480891699996</v>
      </c>
      <c r="E2940" s="3">
        <v>3</v>
      </c>
      <c r="F2940" s="2">
        <v>2</v>
      </c>
      <c r="G2940" s="4">
        <v>3</v>
      </c>
      <c r="H2940" s="13"/>
      <c r="I2940" s="15"/>
      <c r="J2940" s="19">
        <v>3</v>
      </c>
      <c r="K2940" s="2" t="s">
        <v>5892</v>
      </c>
      <c r="L2940" s="11" t="str">
        <f t="shared" si="47"/>
        <v>Ver Imagen</v>
      </c>
      <c r="M2940" t="s">
        <v>15</v>
      </c>
    </row>
    <row r="2941" spans="1:13" x14ac:dyDescent="0.25">
      <c r="A2941">
        <v>2940</v>
      </c>
      <c r="B2941" t="s">
        <v>5893</v>
      </c>
      <c r="C2941" s="1">
        <v>37.232127421000001</v>
      </c>
      <c r="D2941" s="1">
        <v>-7.0186515404399996</v>
      </c>
      <c r="E2941" s="3">
        <v>3</v>
      </c>
      <c r="F2941" s="2">
        <v>2</v>
      </c>
      <c r="G2941" s="4">
        <v>3</v>
      </c>
      <c r="H2941" s="13"/>
      <c r="I2941" s="15"/>
      <c r="J2941" s="19">
        <v>3</v>
      </c>
      <c r="K2941" s="2" t="s">
        <v>5894</v>
      </c>
      <c r="L2941" s="11" t="str">
        <f t="shared" si="47"/>
        <v>Ver Imagen</v>
      </c>
      <c r="M2941" t="s">
        <v>15</v>
      </c>
    </row>
    <row r="2942" spans="1:13" x14ac:dyDescent="0.25">
      <c r="A2942">
        <v>2941</v>
      </c>
      <c r="B2942" t="s">
        <v>5895</v>
      </c>
      <c r="C2942" s="1">
        <v>37.232321732599999</v>
      </c>
      <c r="D2942" s="1">
        <v>-7.0185277478700003</v>
      </c>
      <c r="E2942" s="3">
        <v>3</v>
      </c>
      <c r="F2942" s="2">
        <v>2</v>
      </c>
      <c r="G2942" s="4">
        <v>3</v>
      </c>
      <c r="H2942" s="13"/>
      <c r="I2942" s="15"/>
      <c r="J2942" s="19">
        <v>3</v>
      </c>
      <c r="K2942" s="2" t="s">
        <v>5896</v>
      </c>
      <c r="L2942" s="11" t="str">
        <f t="shared" si="47"/>
        <v>Ver Imagen</v>
      </c>
      <c r="M2942" t="s">
        <v>15</v>
      </c>
    </row>
    <row r="2943" spans="1:13" x14ac:dyDescent="0.25">
      <c r="A2943">
        <v>2942</v>
      </c>
      <c r="B2943" t="s">
        <v>5897</v>
      </c>
      <c r="C2943" s="1">
        <v>37.232530187999998</v>
      </c>
      <c r="D2943" s="1">
        <v>-7.0184073494400003</v>
      </c>
      <c r="E2943" s="3">
        <v>3</v>
      </c>
      <c r="F2943" s="2">
        <v>2</v>
      </c>
      <c r="G2943" s="4">
        <v>3</v>
      </c>
      <c r="H2943" s="13"/>
      <c r="I2943" s="15"/>
      <c r="J2943" s="19">
        <v>3</v>
      </c>
      <c r="K2943" s="2" t="s">
        <v>5898</v>
      </c>
      <c r="L2943" s="11" t="str">
        <f t="shared" si="47"/>
        <v>Ver Imagen</v>
      </c>
      <c r="M2943" t="s">
        <v>15</v>
      </c>
    </row>
    <row r="2944" spans="1:13" x14ac:dyDescent="0.25">
      <c r="A2944">
        <v>2943</v>
      </c>
      <c r="B2944" t="s">
        <v>5899</v>
      </c>
      <c r="C2944" s="1">
        <v>37.242975640899999</v>
      </c>
      <c r="D2944" s="1">
        <v>-7.0183713651700002</v>
      </c>
      <c r="E2944" s="3">
        <v>3</v>
      </c>
      <c r="F2944" s="2">
        <v>2</v>
      </c>
      <c r="G2944" s="4">
        <v>3</v>
      </c>
      <c r="H2944" s="13"/>
      <c r="I2944" s="15"/>
      <c r="J2944" s="19">
        <v>3</v>
      </c>
      <c r="K2944" s="2" t="s">
        <v>5900</v>
      </c>
      <c r="L2944" s="11" t="str">
        <f t="shared" si="47"/>
        <v>Ver Imagen</v>
      </c>
      <c r="M2944" t="s">
        <v>15</v>
      </c>
    </row>
    <row r="2945" spans="1:13" x14ac:dyDescent="0.25">
      <c r="A2945">
        <v>2944</v>
      </c>
      <c r="B2945" t="s">
        <v>5901</v>
      </c>
      <c r="C2945" s="1">
        <v>37.244779089200001</v>
      </c>
      <c r="D2945" s="1">
        <v>-7.01830828719</v>
      </c>
      <c r="E2945" s="3">
        <v>3</v>
      </c>
      <c r="F2945" s="2">
        <v>2</v>
      </c>
      <c r="G2945" s="4">
        <v>3</v>
      </c>
      <c r="H2945" s="13"/>
      <c r="I2945" s="15"/>
      <c r="J2945" s="19">
        <v>3</v>
      </c>
      <c r="K2945" s="2" t="s">
        <v>5902</v>
      </c>
      <c r="L2945" s="11" t="str">
        <f t="shared" si="47"/>
        <v>Ver Imagen</v>
      </c>
      <c r="M2945" t="s">
        <v>15</v>
      </c>
    </row>
    <row r="2946" spans="1:13" x14ac:dyDescent="0.25">
      <c r="A2946">
        <v>2945</v>
      </c>
      <c r="B2946" t="s">
        <v>5903</v>
      </c>
      <c r="C2946" s="1">
        <v>37.245194982699999</v>
      </c>
      <c r="D2946" s="1">
        <v>-7.0182902267099996</v>
      </c>
      <c r="E2946" s="3">
        <v>3</v>
      </c>
      <c r="F2946" s="2">
        <v>2</v>
      </c>
      <c r="G2946" s="4">
        <v>3</v>
      </c>
      <c r="H2946" s="13"/>
      <c r="I2946" s="15"/>
      <c r="J2946" s="19">
        <v>3</v>
      </c>
      <c r="K2946" s="2" t="s">
        <v>5904</v>
      </c>
      <c r="L2946" s="11" t="str">
        <f t="shared" si="47"/>
        <v>Ver Imagen</v>
      </c>
      <c r="M2946" t="s">
        <v>15</v>
      </c>
    </row>
    <row r="2947" spans="1:13" x14ac:dyDescent="0.25">
      <c r="A2947">
        <v>2946</v>
      </c>
      <c r="B2947" t="s">
        <v>5905</v>
      </c>
      <c r="C2947" s="1">
        <v>37.246231611799999</v>
      </c>
      <c r="D2947" s="1">
        <v>-7.0182530231299998</v>
      </c>
      <c r="E2947" s="3">
        <v>4</v>
      </c>
      <c r="F2947" s="2">
        <v>3</v>
      </c>
      <c r="G2947" s="4">
        <v>3</v>
      </c>
      <c r="H2947" s="13"/>
      <c r="I2947" s="15"/>
      <c r="J2947" s="19">
        <v>3</v>
      </c>
      <c r="K2947" s="2" t="s">
        <v>5906</v>
      </c>
      <c r="L2947" s="11" t="str">
        <f t="shared" si="47"/>
        <v>Ver Imagen</v>
      </c>
      <c r="M2947" t="s">
        <v>15</v>
      </c>
    </row>
    <row r="2948" spans="1:13" x14ac:dyDescent="0.25">
      <c r="A2948">
        <v>2947</v>
      </c>
      <c r="B2948" t="s">
        <v>5907</v>
      </c>
      <c r="C2948" s="1">
        <v>37.247413547199997</v>
      </c>
      <c r="D2948" s="1">
        <v>-7.0182111454399996</v>
      </c>
      <c r="E2948" s="3">
        <v>3</v>
      </c>
      <c r="F2948" s="2">
        <v>2</v>
      </c>
      <c r="G2948" s="4">
        <v>3</v>
      </c>
      <c r="H2948" s="13"/>
      <c r="I2948" s="15"/>
      <c r="J2948" s="19">
        <v>3</v>
      </c>
      <c r="K2948" s="2" t="s">
        <v>5908</v>
      </c>
      <c r="L2948" s="11" t="str">
        <f t="shared" si="47"/>
        <v>Ver Imagen</v>
      </c>
      <c r="M2948" t="s">
        <v>15</v>
      </c>
    </row>
    <row r="2949" spans="1:13" x14ac:dyDescent="0.25">
      <c r="A2949">
        <v>2948</v>
      </c>
      <c r="B2949" t="s">
        <v>5909</v>
      </c>
      <c r="C2949" s="1">
        <v>37.248636921500001</v>
      </c>
      <c r="D2949" s="1">
        <v>-7.01814732273</v>
      </c>
      <c r="E2949" s="3">
        <v>3</v>
      </c>
      <c r="F2949" s="2">
        <v>2</v>
      </c>
      <c r="G2949" s="4">
        <v>3</v>
      </c>
      <c r="H2949" s="13"/>
      <c r="I2949" s="15"/>
      <c r="J2949" s="19">
        <v>3</v>
      </c>
      <c r="K2949" s="2" t="s">
        <v>5910</v>
      </c>
      <c r="L2949" s="11" t="str">
        <f t="shared" si="47"/>
        <v>Ver Imagen</v>
      </c>
      <c r="M2949" t="s">
        <v>15</v>
      </c>
    </row>
    <row r="2950" spans="1:13" x14ac:dyDescent="0.25">
      <c r="A2950">
        <v>2949</v>
      </c>
      <c r="B2950" t="s">
        <v>5911</v>
      </c>
      <c r="C2950" s="1">
        <v>37.249833071700003</v>
      </c>
      <c r="D2950" s="1">
        <v>-7.0178876301499997</v>
      </c>
      <c r="E2950" s="3">
        <v>3</v>
      </c>
      <c r="F2950" s="2">
        <v>4</v>
      </c>
      <c r="G2950" s="4">
        <v>3</v>
      </c>
      <c r="H2950" s="13"/>
      <c r="I2950" s="15"/>
      <c r="J2950" s="19">
        <v>3</v>
      </c>
      <c r="K2950" s="2" t="s">
        <v>5912</v>
      </c>
      <c r="L2950" s="11" t="str">
        <f t="shared" si="47"/>
        <v>Ver Imagen</v>
      </c>
      <c r="M2950" t="s">
        <v>15</v>
      </c>
    </row>
    <row r="2951" spans="1:13" x14ac:dyDescent="0.25">
      <c r="A2951">
        <v>2950</v>
      </c>
      <c r="B2951" t="s">
        <v>5913</v>
      </c>
      <c r="C2951" s="1">
        <v>37.251994833200001</v>
      </c>
      <c r="D2951" s="1">
        <v>-7.0166043863200001</v>
      </c>
      <c r="E2951" s="3">
        <v>3</v>
      </c>
      <c r="F2951" s="2">
        <v>2</v>
      </c>
      <c r="G2951" s="4">
        <v>3</v>
      </c>
      <c r="H2951" s="13"/>
      <c r="I2951" s="15"/>
      <c r="J2951" s="19">
        <v>3</v>
      </c>
      <c r="K2951" s="2" t="s">
        <v>5914</v>
      </c>
      <c r="L2951" s="11" t="str">
        <f t="shared" si="47"/>
        <v>Ver Imagen</v>
      </c>
      <c r="M2951" t="s">
        <v>15</v>
      </c>
    </row>
    <row r="2952" spans="1:13" x14ac:dyDescent="0.25">
      <c r="A2952">
        <v>2951</v>
      </c>
      <c r="B2952" t="s">
        <v>5915</v>
      </c>
      <c r="C2952" s="1">
        <v>37.2529135057</v>
      </c>
      <c r="D2952" s="1">
        <v>-7.0160238571000004</v>
      </c>
      <c r="E2952" s="3">
        <v>3</v>
      </c>
      <c r="F2952" s="2">
        <v>4</v>
      </c>
      <c r="G2952" s="4">
        <v>3</v>
      </c>
      <c r="H2952" s="13"/>
      <c r="I2952" s="15"/>
      <c r="J2952" s="19">
        <v>3</v>
      </c>
      <c r="K2952" s="2" t="s">
        <v>5916</v>
      </c>
      <c r="L2952" s="11" t="str">
        <f t="shared" si="47"/>
        <v>Ver Imagen</v>
      </c>
      <c r="M2952" t="s">
        <v>15</v>
      </c>
    </row>
    <row r="2953" spans="1:13" x14ac:dyDescent="0.25">
      <c r="A2953">
        <v>2952</v>
      </c>
      <c r="B2953" t="s">
        <v>5917</v>
      </c>
      <c r="C2953" s="1">
        <v>37.257242016699998</v>
      </c>
      <c r="D2953" s="1">
        <v>-7.0132654354900001</v>
      </c>
      <c r="E2953" s="3">
        <v>3</v>
      </c>
      <c r="F2953" s="2">
        <v>2</v>
      </c>
      <c r="G2953" s="4">
        <v>3</v>
      </c>
      <c r="H2953" s="13"/>
      <c r="I2953" s="15"/>
      <c r="J2953" s="19">
        <v>3</v>
      </c>
      <c r="K2953" s="2" t="s">
        <v>5918</v>
      </c>
      <c r="L2953" s="11" t="str">
        <f t="shared" si="47"/>
        <v>Ver Imagen</v>
      </c>
      <c r="M2953" t="s">
        <v>15</v>
      </c>
    </row>
    <row r="2954" spans="1:13" x14ac:dyDescent="0.25">
      <c r="A2954">
        <v>2953</v>
      </c>
      <c r="B2954" t="s">
        <v>5919</v>
      </c>
      <c r="C2954" s="1">
        <v>37.260148153300001</v>
      </c>
      <c r="D2954" s="1">
        <v>-7.01141302045</v>
      </c>
      <c r="E2954" s="3">
        <v>3</v>
      </c>
      <c r="F2954" s="2">
        <v>2</v>
      </c>
      <c r="G2954" s="4">
        <v>3</v>
      </c>
      <c r="H2954" s="13"/>
      <c r="I2954" s="15"/>
      <c r="J2954" s="19">
        <v>3</v>
      </c>
      <c r="K2954" s="2" t="s">
        <v>5920</v>
      </c>
      <c r="L2954" s="11" t="str">
        <f t="shared" si="47"/>
        <v>Ver Imagen</v>
      </c>
      <c r="M2954" t="s">
        <v>15</v>
      </c>
    </row>
    <row r="2955" spans="1:13" x14ac:dyDescent="0.25">
      <c r="A2955">
        <v>2954</v>
      </c>
      <c r="B2955" t="s">
        <v>5921</v>
      </c>
      <c r="C2955" s="1">
        <v>37.260656330099998</v>
      </c>
      <c r="D2955" s="1">
        <v>-7.01109060838</v>
      </c>
      <c r="E2955" s="3">
        <v>3</v>
      </c>
      <c r="F2955" s="2">
        <v>2</v>
      </c>
      <c r="G2955" s="4">
        <v>3</v>
      </c>
      <c r="H2955" s="13"/>
      <c r="I2955" s="15"/>
      <c r="J2955" s="19">
        <v>3</v>
      </c>
      <c r="K2955" s="2" t="s">
        <v>5922</v>
      </c>
      <c r="L2955" s="11" t="str">
        <f t="shared" si="47"/>
        <v>Ver Imagen</v>
      </c>
      <c r="M2955" t="s">
        <v>15</v>
      </c>
    </row>
    <row r="2956" spans="1:13" x14ac:dyDescent="0.25">
      <c r="A2956">
        <v>2955</v>
      </c>
      <c r="B2956" t="s">
        <v>5923</v>
      </c>
      <c r="C2956" s="1">
        <v>37.2613770237</v>
      </c>
      <c r="D2956" s="1">
        <v>-7.01060373421</v>
      </c>
      <c r="E2956" s="3">
        <v>3</v>
      </c>
      <c r="F2956" s="2">
        <v>3</v>
      </c>
      <c r="G2956" s="4">
        <v>4</v>
      </c>
      <c r="H2956" s="13"/>
      <c r="I2956" s="15"/>
      <c r="J2956" s="19">
        <v>3</v>
      </c>
      <c r="K2956" s="2" t="s">
        <v>5924</v>
      </c>
      <c r="L2956" s="11" t="str">
        <f t="shared" si="47"/>
        <v>Ver Imagen</v>
      </c>
      <c r="M2956" t="s">
        <v>15</v>
      </c>
    </row>
    <row r="2957" spans="1:13" x14ac:dyDescent="0.25">
      <c r="A2957">
        <v>2956</v>
      </c>
      <c r="B2957" t="s">
        <v>5925</v>
      </c>
      <c r="C2957" s="1">
        <v>37.261543360600001</v>
      </c>
      <c r="D2957" s="1">
        <v>-7.0104719576300001</v>
      </c>
      <c r="E2957" s="3">
        <v>3</v>
      </c>
      <c r="F2957" s="2">
        <v>2</v>
      </c>
      <c r="G2957" s="4">
        <v>3</v>
      </c>
      <c r="H2957" s="13"/>
      <c r="I2957" s="15"/>
      <c r="J2957" s="19">
        <v>3</v>
      </c>
      <c r="K2957" s="2" t="s">
        <v>5926</v>
      </c>
      <c r="L2957" s="11" t="str">
        <f t="shared" si="47"/>
        <v>Ver Imagen</v>
      </c>
      <c r="M2957" t="s">
        <v>15</v>
      </c>
    </row>
    <row r="2958" spans="1:13" x14ac:dyDescent="0.25">
      <c r="A2958">
        <v>2957</v>
      </c>
      <c r="B2958" t="s">
        <v>5927</v>
      </c>
      <c r="C2958" s="1">
        <v>37.2634333954</v>
      </c>
      <c r="D2958" s="1">
        <v>-7.0070244875199998</v>
      </c>
      <c r="E2958" s="3">
        <v>3</v>
      </c>
      <c r="F2958" s="2">
        <v>2</v>
      </c>
      <c r="G2958" s="4">
        <v>3</v>
      </c>
      <c r="H2958" s="13"/>
      <c r="I2958" s="15"/>
      <c r="J2958" s="19">
        <v>3</v>
      </c>
      <c r="K2958" s="2" t="s">
        <v>5928</v>
      </c>
      <c r="L2958" s="11" t="str">
        <f t="shared" si="47"/>
        <v>Ver Imagen</v>
      </c>
      <c r="M2958" t="s">
        <v>15</v>
      </c>
    </row>
    <row r="2959" spans="1:13" x14ac:dyDescent="0.25">
      <c r="A2959">
        <v>2958</v>
      </c>
      <c r="B2959" t="s">
        <v>5929</v>
      </c>
      <c r="C2959" s="1">
        <v>37.263832135000001</v>
      </c>
      <c r="D2959" s="1">
        <v>-7.0048089822800002</v>
      </c>
      <c r="E2959" s="3">
        <v>3</v>
      </c>
      <c r="F2959" s="2">
        <v>2</v>
      </c>
      <c r="G2959" s="4">
        <v>3</v>
      </c>
      <c r="H2959" s="13"/>
      <c r="I2959" s="15"/>
      <c r="J2959" s="19">
        <v>3</v>
      </c>
      <c r="K2959" s="2" t="s">
        <v>5930</v>
      </c>
      <c r="L2959" s="11" t="str">
        <f t="shared" si="47"/>
        <v>Ver Imagen</v>
      </c>
      <c r="M2959" t="s">
        <v>15</v>
      </c>
    </row>
    <row r="2960" spans="1:13" x14ac:dyDescent="0.25">
      <c r="A2960">
        <v>2959</v>
      </c>
      <c r="B2960" t="s">
        <v>5931</v>
      </c>
      <c r="C2960" s="1">
        <v>37.264104275100003</v>
      </c>
      <c r="D2960" s="1">
        <v>-7.0032679283299997</v>
      </c>
      <c r="E2960" s="3">
        <v>3</v>
      </c>
      <c r="F2960" s="2">
        <v>2</v>
      </c>
      <c r="G2960" s="4">
        <v>3</v>
      </c>
      <c r="H2960" s="13"/>
      <c r="I2960" s="15"/>
      <c r="J2960" s="19">
        <v>3</v>
      </c>
      <c r="K2960" s="2" t="s">
        <v>5932</v>
      </c>
      <c r="L2960" s="11" t="str">
        <f t="shared" si="47"/>
        <v>Ver Imagen</v>
      </c>
      <c r="M2960" t="s">
        <v>15</v>
      </c>
    </row>
    <row r="2961" spans="1:13" x14ac:dyDescent="0.25">
      <c r="A2961">
        <v>2960</v>
      </c>
      <c r="B2961" t="s">
        <v>5933</v>
      </c>
      <c r="C2961" s="1">
        <v>37.264192128300003</v>
      </c>
      <c r="D2961" s="1">
        <v>-7.00276927126</v>
      </c>
      <c r="E2961" s="3">
        <v>3</v>
      </c>
      <c r="F2961" s="2">
        <v>4</v>
      </c>
      <c r="G2961" s="4">
        <v>3</v>
      </c>
      <c r="H2961" s="13"/>
      <c r="I2961" s="15"/>
      <c r="J2961" s="19">
        <v>3</v>
      </c>
      <c r="K2961" s="2" t="s">
        <v>5934</v>
      </c>
      <c r="L2961" s="11" t="str">
        <f t="shared" si="47"/>
        <v>Ver Imagen</v>
      </c>
      <c r="M2961" t="s">
        <v>15</v>
      </c>
    </row>
    <row r="2962" spans="1:13" x14ac:dyDescent="0.25">
      <c r="A2962">
        <v>2961</v>
      </c>
      <c r="B2962" t="s">
        <v>5935</v>
      </c>
      <c r="C2962" s="1">
        <v>37.264237007699997</v>
      </c>
      <c r="D2962" s="1">
        <v>-7.0025164228700003</v>
      </c>
      <c r="E2962" s="3">
        <v>3</v>
      </c>
      <c r="F2962" s="2">
        <v>4</v>
      </c>
      <c r="G2962" s="4">
        <v>3</v>
      </c>
      <c r="H2962" s="13"/>
      <c r="I2962" s="15"/>
      <c r="J2962" s="19">
        <v>3</v>
      </c>
      <c r="K2962" s="2" t="s">
        <v>5936</v>
      </c>
      <c r="L2962" s="11" t="str">
        <f t="shared" si="47"/>
        <v>Ver Imagen</v>
      </c>
      <c r="M2962" t="s">
        <v>15</v>
      </c>
    </row>
    <row r="2963" spans="1:13" x14ac:dyDescent="0.25">
      <c r="A2963">
        <v>2962</v>
      </c>
      <c r="B2963" t="s">
        <v>5937</v>
      </c>
      <c r="C2963" s="1">
        <v>37.264445895999998</v>
      </c>
      <c r="D2963" s="1">
        <v>-7.0013509647800003</v>
      </c>
      <c r="E2963" s="3">
        <v>3</v>
      </c>
      <c r="F2963" s="2">
        <v>2</v>
      </c>
      <c r="G2963" s="4">
        <v>3</v>
      </c>
      <c r="H2963" s="13"/>
      <c r="I2963" s="15"/>
      <c r="J2963" s="19">
        <v>3</v>
      </c>
      <c r="K2963" s="2" t="s">
        <v>5938</v>
      </c>
      <c r="L2963" s="11" t="str">
        <f t="shared" si="47"/>
        <v>Ver Imagen</v>
      </c>
      <c r="M2963" t="s">
        <v>15</v>
      </c>
    </row>
    <row r="2964" spans="1:13" x14ac:dyDescent="0.25">
      <c r="A2964">
        <v>2963</v>
      </c>
      <c r="B2964" t="s">
        <v>5939</v>
      </c>
      <c r="C2964" s="1">
        <v>37.2644998468</v>
      </c>
      <c r="D2964" s="1">
        <v>-7.0010525490299997</v>
      </c>
      <c r="E2964" s="3">
        <v>3</v>
      </c>
      <c r="F2964" s="2">
        <v>2</v>
      </c>
      <c r="G2964" s="4">
        <v>3</v>
      </c>
      <c r="H2964" s="13"/>
      <c r="I2964" s="15"/>
      <c r="J2964" s="19">
        <v>3</v>
      </c>
      <c r="K2964" s="2" t="s">
        <v>5940</v>
      </c>
      <c r="L2964" s="11" t="str">
        <f t="shared" si="47"/>
        <v>Ver Imagen</v>
      </c>
      <c r="M2964" t="s">
        <v>15</v>
      </c>
    </row>
    <row r="2965" spans="1:13" x14ac:dyDescent="0.25">
      <c r="A2965">
        <v>2964</v>
      </c>
      <c r="B2965" t="s">
        <v>5941</v>
      </c>
      <c r="C2965" s="1">
        <v>37.264547414699997</v>
      </c>
      <c r="D2965" s="1">
        <v>-7.0007903007900003</v>
      </c>
      <c r="E2965" s="3">
        <v>3</v>
      </c>
      <c r="F2965" s="2">
        <v>2</v>
      </c>
      <c r="G2965" s="4">
        <v>3</v>
      </c>
      <c r="H2965" s="13"/>
      <c r="I2965" s="15"/>
      <c r="J2965" s="19">
        <v>3</v>
      </c>
      <c r="K2965" s="2" t="s">
        <v>5942</v>
      </c>
      <c r="L2965" s="11" t="str">
        <f t="shared" si="47"/>
        <v>Ver Imagen</v>
      </c>
      <c r="M2965" t="s">
        <v>15</v>
      </c>
    </row>
    <row r="2966" spans="1:13" x14ac:dyDescent="0.25">
      <c r="A2966">
        <v>2965</v>
      </c>
      <c r="B2966" t="s">
        <v>5943</v>
      </c>
      <c r="C2966" s="1">
        <v>37.264586087399998</v>
      </c>
      <c r="D2966" s="1">
        <v>-7.00057605687</v>
      </c>
      <c r="E2966" s="3">
        <v>3</v>
      </c>
      <c r="F2966" s="2">
        <v>2</v>
      </c>
      <c r="G2966" s="4">
        <v>3</v>
      </c>
      <c r="H2966" s="13"/>
      <c r="I2966" s="15"/>
      <c r="J2966" s="19">
        <v>3</v>
      </c>
      <c r="K2966" s="2" t="s">
        <v>5944</v>
      </c>
      <c r="L2966" s="11" t="str">
        <f t="shared" si="47"/>
        <v>Ver Imagen</v>
      </c>
      <c r="M2966" t="s">
        <v>15</v>
      </c>
    </row>
    <row r="2967" spans="1:13" x14ac:dyDescent="0.25">
      <c r="A2967">
        <v>2966</v>
      </c>
      <c r="B2967" t="s">
        <v>5945</v>
      </c>
      <c r="C2967" s="1">
        <v>37.2651108831</v>
      </c>
      <c r="D2967" s="1">
        <v>-6.9976024792200002</v>
      </c>
      <c r="E2967" s="3">
        <v>3</v>
      </c>
      <c r="F2967" s="2">
        <v>2</v>
      </c>
      <c r="G2967" s="4">
        <v>3</v>
      </c>
      <c r="H2967" s="13"/>
      <c r="I2967" s="15"/>
      <c r="J2967" s="19">
        <v>3</v>
      </c>
      <c r="K2967" s="2" t="s">
        <v>5946</v>
      </c>
      <c r="L2967" s="11" t="str">
        <f t="shared" si="47"/>
        <v>Ver Imagen</v>
      </c>
      <c r="M2967" t="s">
        <v>15</v>
      </c>
    </row>
    <row r="2968" spans="1:13" x14ac:dyDescent="0.25">
      <c r="A2968">
        <v>2967</v>
      </c>
      <c r="B2968" t="s">
        <v>5947</v>
      </c>
      <c r="C2968" s="1">
        <v>37.2656917236</v>
      </c>
      <c r="D2968" s="1">
        <v>-6.9943890461100002</v>
      </c>
      <c r="E2968" s="3">
        <v>3</v>
      </c>
      <c r="F2968" s="2">
        <v>4</v>
      </c>
      <c r="G2968" s="4">
        <v>3</v>
      </c>
      <c r="H2968" s="13"/>
      <c r="I2968" s="15"/>
      <c r="J2968" s="19">
        <v>3</v>
      </c>
      <c r="K2968" s="2" t="s">
        <v>5948</v>
      </c>
      <c r="L2968" s="11" t="str">
        <f t="shared" si="47"/>
        <v>Ver Imagen</v>
      </c>
      <c r="M2968" t="s">
        <v>15</v>
      </c>
    </row>
    <row r="2969" spans="1:13" x14ac:dyDescent="0.25">
      <c r="A2969">
        <v>2968</v>
      </c>
      <c r="B2969" t="s">
        <v>5949</v>
      </c>
      <c r="C2969" s="1">
        <v>37.265973768400002</v>
      </c>
      <c r="D2969" s="1">
        <v>-6.9934207651899998</v>
      </c>
      <c r="E2969" s="3">
        <v>3</v>
      </c>
      <c r="F2969" s="2">
        <v>2</v>
      </c>
      <c r="G2969" s="4">
        <v>3</v>
      </c>
      <c r="H2969" s="13"/>
      <c r="I2969" s="15"/>
      <c r="J2969" s="19">
        <v>3</v>
      </c>
      <c r="K2969" s="2" t="s">
        <v>5950</v>
      </c>
      <c r="L2969" s="11" t="str">
        <f t="shared" si="47"/>
        <v>Ver Imagen</v>
      </c>
      <c r="M2969" t="s">
        <v>15</v>
      </c>
    </row>
    <row r="2970" spans="1:13" x14ac:dyDescent="0.25">
      <c r="A2970">
        <v>2969</v>
      </c>
      <c r="B2970" t="s">
        <v>5951</v>
      </c>
      <c r="C2970" s="1">
        <v>37.266515052400003</v>
      </c>
      <c r="D2970" s="1">
        <v>-6.9923389282699997</v>
      </c>
      <c r="E2970" s="3">
        <v>3</v>
      </c>
      <c r="F2970" s="2">
        <v>2</v>
      </c>
      <c r="G2970" s="4">
        <v>3</v>
      </c>
      <c r="H2970" s="13"/>
      <c r="I2970" s="15"/>
      <c r="J2970" s="19">
        <v>3</v>
      </c>
      <c r="K2970" s="2" t="s">
        <v>5952</v>
      </c>
      <c r="L2970" s="11" t="str">
        <f t="shared" si="47"/>
        <v>Ver Imagen</v>
      </c>
      <c r="M2970" t="s">
        <v>15</v>
      </c>
    </row>
    <row r="2971" spans="1:13" x14ac:dyDescent="0.25">
      <c r="A2971">
        <v>2970</v>
      </c>
      <c r="B2971" t="s">
        <v>5953</v>
      </c>
      <c r="C2971" s="1">
        <v>37.2666456328</v>
      </c>
      <c r="D2971" s="1">
        <v>-6.9921486560600004</v>
      </c>
      <c r="E2971" s="3">
        <v>3</v>
      </c>
      <c r="F2971" s="2">
        <v>2</v>
      </c>
      <c r="G2971" s="4">
        <v>3</v>
      </c>
      <c r="H2971" s="13"/>
      <c r="I2971" s="15"/>
      <c r="J2971" s="19">
        <v>3</v>
      </c>
      <c r="K2971" s="2" t="s">
        <v>5954</v>
      </c>
      <c r="L2971" s="11" t="str">
        <f t="shared" si="47"/>
        <v>Ver Imagen</v>
      </c>
      <c r="M2971" t="s">
        <v>15</v>
      </c>
    </row>
    <row r="2972" spans="1:13" x14ac:dyDescent="0.25">
      <c r="A2972">
        <v>2971</v>
      </c>
      <c r="B2972" t="s">
        <v>5955</v>
      </c>
      <c r="C2972" s="1">
        <v>37.267370447200001</v>
      </c>
      <c r="D2972" s="1">
        <v>-6.9913587702299997</v>
      </c>
      <c r="E2972" s="3">
        <v>3</v>
      </c>
      <c r="F2972" s="2">
        <v>2</v>
      </c>
      <c r="G2972" s="4">
        <v>3</v>
      </c>
      <c r="H2972" s="13"/>
      <c r="I2972" s="15"/>
      <c r="J2972" s="19">
        <v>3</v>
      </c>
      <c r="K2972" s="2" t="s">
        <v>5956</v>
      </c>
      <c r="L2972" s="11" t="str">
        <f t="shared" si="47"/>
        <v>Ver Imagen</v>
      </c>
      <c r="M2972" t="s">
        <v>15</v>
      </c>
    </row>
    <row r="2973" spans="1:13" x14ac:dyDescent="0.25">
      <c r="A2973">
        <v>2972</v>
      </c>
      <c r="B2973" t="s">
        <v>5957</v>
      </c>
      <c r="C2973" s="1">
        <v>37.267552246000001</v>
      </c>
      <c r="D2973" s="1">
        <v>-6.9912110651299999</v>
      </c>
      <c r="E2973" s="3">
        <v>3</v>
      </c>
      <c r="F2973" s="2">
        <v>2</v>
      </c>
      <c r="G2973" s="4">
        <v>3</v>
      </c>
      <c r="H2973" s="13"/>
      <c r="I2973" s="15"/>
      <c r="J2973" s="19">
        <v>3</v>
      </c>
      <c r="K2973" s="2" t="s">
        <v>5958</v>
      </c>
      <c r="L2973" s="11" t="str">
        <f t="shared" si="47"/>
        <v>Ver Imagen</v>
      </c>
      <c r="M2973" t="s">
        <v>15</v>
      </c>
    </row>
    <row r="2974" spans="1:13" x14ac:dyDescent="0.25">
      <c r="A2974">
        <v>2973</v>
      </c>
      <c r="B2974" t="s">
        <v>5959</v>
      </c>
      <c r="C2974" s="1">
        <v>37.267734505699998</v>
      </c>
      <c r="D2974" s="1">
        <v>-6.9910727974400002</v>
      </c>
      <c r="E2974" s="3">
        <v>3</v>
      </c>
      <c r="F2974" s="2">
        <v>2</v>
      </c>
      <c r="G2974" s="4">
        <v>3</v>
      </c>
      <c r="H2974" s="13"/>
      <c r="I2974" s="15"/>
      <c r="J2974" s="19">
        <v>3</v>
      </c>
      <c r="K2974" s="2" t="s">
        <v>5960</v>
      </c>
      <c r="L2974" s="11" t="str">
        <f t="shared" si="47"/>
        <v>Ver Imagen</v>
      </c>
      <c r="M2974" t="s">
        <v>15</v>
      </c>
    </row>
    <row r="2975" spans="1:13" x14ac:dyDescent="0.25">
      <c r="A2975">
        <v>2974</v>
      </c>
      <c r="B2975" t="s">
        <v>5961</v>
      </c>
      <c r="C2975" s="1">
        <v>37.268604811499998</v>
      </c>
      <c r="D2975" s="1">
        <v>-6.9904494683799996</v>
      </c>
      <c r="E2975" s="3">
        <v>3</v>
      </c>
      <c r="F2975" s="2">
        <v>2</v>
      </c>
      <c r="G2975" s="4">
        <v>3</v>
      </c>
      <c r="H2975" s="13"/>
      <c r="I2975" s="15"/>
      <c r="J2975" s="19">
        <v>3</v>
      </c>
      <c r="K2975" s="2" t="s">
        <v>5962</v>
      </c>
      <c r="L2975" s="11" t="str">
        <f t="shared" si="47"/>
        <v>Ver Imagen</v>
      </c>
      <c r="M2975" t="s">
        <v>15</v>
      </c>
    </row>
    <row r="2976" spans="1:13" x14ac:dyDescent="0.25">
      <c r="A2976">
        <v>2975</v>
      </c>
      <c r="B2976" t="s">
        <v>5963</v>
      </c>
      <c r="C2976" s="1">
        <v>37.268776866700001</v>
      </c>
      <c r="D2976" s="1">
        <v>-6.9903278068599999</v>
      </c>
      <c r="E2976" s="3">
        <v>3</v>
      </c>
      <c r="F2976" s="2">
        <v>2</v>
      </c>
      <c r="G2976" s="4">
        <v>3</v>
      </c>
      <c r="H2976" s="13"/>
      <c r="I2976" s="15"/>
      <c r="J2976" s="19">
        <v>3</v>
      </c>
      <c r="K2976" s="2" t="s">
        <v>5964</v>
      </c>
      <c r="L2976" s="11" t="str">
        <f t="shared" si="47"/>
        <v>Ver Imagen</v>
      </c>
      <c r="M2976" t="s">
        <v>15</v>
      </c>
    </row>
    <row r="2977" spans="1:13" x14ac:dyDescent="0.25">
      <c r="A2977">
        <v>2976</v>
      </c>
      <c r="B2977" t="s">
        <v>5965</v>
      </c>
      <c r="C2977" s="1">
        <v>37.268968367799999</v>
      </c>
      <c r="D2977" s="1">
        <v>-6.99019252133</v>
      </c>
      <c r="E2977" s="3">
        <v>3</v>
      </c>
      <c r="F2977" s="2">
        <v>2</v>
      </c>
      <c r="G2977" s="4">
        <v>3</v>
      </c>
      <c r="H2977" s="13"/>
      <c r="I2977" s="15"/>
      <c r="J2977" s="19">
        <v>3</v>
      </c>
      <c r="K2977" s="2" t="s">
        <v>5966</v>
      </c>
      <c r="L2977" s="11" t="str">
        <f t="shared" si="47"/>
        <v>Ver Imagen</v>
      </c>
      <c r="M2977" t="s">
        <v>15</v>
      </c>
    </row>
    <row r="2978" spans="1:13" x14ac:dyDescent="0.25">
      <c r="A2978">
        <v>2977</v>
      </c>
      <c r="B2978" t="s">
        <v>5967</v>
      </c>
      <c r="C2978" s="1">
        <v>37.269123647900003</v>
      </c>
      <c r="D2978" s="1">
        <v>-6.9900832151200003</v>
      </c>
      <c r="E2978" s="3">
        <v>3</v>
      </c>
      <c r="F2978" s="2">
        <v>2</v>
      </c>
      <c r="G2978" s="4">
        <v>3</v>
      </c>
      <c r="H2978" s="13"/>
      <c r="I2978" s="15"/>
      <c r="J2978" s="19">
        <v>3</v>
      </c>
      <c r="K2978" s="2" t="s">
        <v>5968</v>
      </c>
      <c r="L2978" s="11" t="str">
        <f t="shared" si="47"/>
        <v>Ver Imagen</v>
      </c>
      <c r="M2978" t="s">
        <v>15</v>
      </c>
    </row>
    <row r="2979" spans="1:13" x14ac:dyDescent="0.25">
      <c r="A2979">
        <v>2978</v>
      </c>
      <c r="B2979" t="s">
        <v>5969</v>
      </c>
      <c r="C2979" s="1">
        <v>37.269310226899997</v>
      </c>
      <c r="D2979" s="1">
        <v>-6.98995241159</v>
      </c>
      <c r="E2979" s="3">
        <v>3</v>
      </c>
      <c r="F2979" s="2">
        <v>2</v>
      </c>
      <c r="G2979" s="4">
        <v>3</v>
      </c>
      <c r="H2979" s="13"/>
      <c r="I2979" s="15"/>
      <c r="J2979" s="19">
        <v>3</v>
      </c>
      <c r="K2979" s="2" t="s">
        <v>5970</v>
      </c>
      <c r="L2979" s="11" t="str">
        <f t="shared" si="47"/>
        <v>Ver Imagen</v>
      </c>
      <c r="M2979" t="s">
        <v>15</v>
      </c>
    </row>
    <row r="2980" spans="1:13" x14ac:dyDescent="0.25">
      <c r="A2980">
        <v>2979</v>
      </c>
      <c r="B2980" t="s">
        <v>5971</v>
      </c>
      <c r="C2980" s="1">
        <v>37.2694828156</v>
      </c>
      <c r="D2980" s="1">
        <v>-6.9898315468999996</v>
      </c>
      <c r="E2980" s="3">
        <v>3</v>
      </c>
      <c r="F2980" s="2">
        <v>2</v>
      </c>
      <c r="G2980" s="4">
        <v>3</v>
      </c>
      <c r="H2980" s="13"/>
      <c r="I2980" s="15"/>
      <c r="J2980" s="19">
        <v>3</v>
      </c>
      <c r="K2980" s="2" t="s">
        <v>5972</v>
      </c>
      <c r="L2980" s="11" t="str">
        <f t="shared" si="47"/>
        <v>Ver Imagen</v>
      </c>
      <c r="M2980" t="s">
        <v>15</v>
      </c>
    </row>
    <row r="2981" spans="1:13" x14ac:dyDescent="0.25">
      <c r="A2981">
        <v>2980</v>
      </c>
      <c r="B2981" t="s">
        <v>5973</v>
      </c>
      <c r="C2981" s="1">
        <v>37.269667501599997</v>
      </c>
      <c r="D2981" s="1">
        <v>-6.9897023945600001</v>
      </c>
      <c r="E2981" s="3">
        <v>3</v>
      </c>
      <c r="F2981" s="2">
        <v>2</v>
      </c>
      <c r="G2981" s="4">
        <v>3</v>
      </c>
      <c r="H2981" s="13"/>
      <c r="I2981" s="15"/>
      <c r="J2981" s="19">
        <v>3</v>
      </c>
      <c r="K2981" s="2" t="s">
        <v>5974</v>
      </c>
      <c r="L2981" s="11" t="str">
        <f t="shared" si="47"/>
        <v>Ver Imagen</v>
      </c>
      <c r="M2981" t="s">
        <v>15</v>
      </c>
    </row>
    <row r="2982" spans="1:13" x14ac:dyDescent="0.25">
      <c r="A2982">
        <v>2981</v>
      </c>
      <c r="B2982" t="s">
        <v>5975</v>
      </c>
      <c r="C2982" s="1">
        <v>37.269841178599997</v>
      </c>
      <c r="D2982" s="1">
        <v>-6.9895818645099999</v>
      </c>
      <c r="E2982" s="3">
        <v>3</v>
      </c>
      <c r="F2982" s="2">
        <v>2</v>
      </c>
      <c r="G2982" s="4">
        <v>3</v>
      </c>
      <c r="H2982" s="13"/>
      <c r="I2982" s="15"/>
      <c r="J2982" s="19">
        <v>3</v>
      </c>
      <c r="K2982" s="2" t="s">
        <v>5976</v>
      </c>
      <c r="L2982" s="11" t="str">
        <f t="shared" si="47"/>
        <v>Ver Imagen</v>
      </c>
      <c r="M2982" t="s">
        <v>15</v>
      </c>
    </row>
    <row r="2983" spans="1:13" x14ac:dyDescent="0.25">
      <c r="A2983">
        <v>2982</v>
      </c>
      <c r="B2983" t="s">
        <v>5977</v>
      </c>
      <c r="C2983" s="1">
        <v>37.2709370603</v>
      </c>
      <c r="D2983" s="1">
        <v>-6.9827359168900003</v>
      </c>
      <c r="E2983" s="3">
        <v>3</v>
      </c>
      <c r="F2983" s="2">
        <v>3</v>
      </c>
      <c r="G2983" s="4">
        <v>4</v>
      </c>
      <c r="H2983" s="13"/>
      <c r="I2983" s="15"/>
      <c r="J2983" s="19">
        <v>3</v>
      </c>
      <c r="K2983" s="2" t="s">
        <v>5978</v>
      </c>
      <c r="L2983" s="11" t="str">
        <f t="shared" si="47"/>
        <v>Ver Imagen</v>
      </c>
      <c r="M2983" t="s">
        <v>15</v>
      </c>
    </row>
    <row r="2984" spans="1:13" x14ac:dyDescent="0.25">
      <c r="A2984">
        <v>2983</v>
      </c>
      <c r="B2984" t="s">
        <v>5979</v>
      </c>
      <c r="C2984" s="1">
        <v>37.270717278299998</v>
      </c>
      <c r="D2984" s="1">
        <v>-6.9819584714099996</v>
      </c>
      <c r="E2984" s="3">
        <v>3</v>
      </c>
      <c r="F2984" s="2">
        <v>3</v>
      </c>
      <c r="G2984" s="4">
        <v>4</v>
      </c>
      <c r="H2984" s="13"/>
      <c r="I2984" s="15"/>
      <c r="J2984" s="19">
        <v>3</v>
      </c>
      <c r="K2984" s="2" t="s">
        <v>5980</v>
      </c>
      <c r="L2984" s="11" t="str">
        <f t="shared" si="47"/>
        <v>Ver Imagen</v>
      </c>
      <c r="M2984" t="s">
        <v>15</v>
      </c>
    </row>
    <row r="2985" spans="1:13" x14ac:dyDescent="0.25">
      <c r="A2985">
        <v>2984</v>
      </c>
      <c r="B2985" t="s">
        <v>5981</v>
      </c>
      <c r="C2985" s="1">
        <v>37.2706603106</v>
      </c>
      <c r="D2985" s="1">
        <v>-6.9817556822500002</v>
      </c>
      <c r="E2985" s="3">
        <v>3</v>
      </c>
      <c r="F2985" s="2">
        <v>3</v>
      </c>
      <c r="G2985" s="4">
        <v>4</v>
      </c>
      <c r="H2985" s="13"/>
      <c r="I2985" s="15"/>
      <c r="J2985" s="19">
        <v>3</v>
      </c>
      <c r="K2985" s="2" t="s">
        <v>5982</v>
      </c>
      <c r="L2985" s="11" t="str">
        <f t="shared" ref="L2985:L3048" si="48">HYPERLINK("3\1\" &amp; K2985, "Ver Imagen")</f>
        <v>Ver Imagen</v>
      </c>
      <c r="M2985" t="s">
        <v>15</v>
      </c>
    </row>
    <row r="2986" spans="1:13" x14ac:dyDescent="0.25">
      <c r="A2986">
        <v>2985</v>
      </c>
      <c r="B2986" t="s">
        <v>5983</v>
      </c>
      <c r="C2986" s="1">
        <v>37.2706000493</v>
      </c>
      <c r="D2986" s="1">
        <v>-6.9815468893899997</v>
      </c>
      <c r="E2986" s="3">
        <v>4</v>
      </c>
      <c r="F2986" s="2">
        <v>3</v>
      </c>
      <c r="G2986" s="4">
        <v>3</v>
      </c>
      <c r="H2986" s="13"/>
      <c r="I2986" s="15"/>
      <c r="J2986" s="19">
        <v>3</v>
      </c>
      <c r="K2986" s="2" t="s">
        <v>5984</v>
      </c>
      <c r="L2986" s="11" t="str">
        <f t="shared" si="48"/>
        <v>Ver Imagen</v>
      </c>
      <c r="M2986" t="s">
        <v>15</v>
      </c>
    </row>
    <row r="2987" spans="1:13" x14ac:dyDescent="0.25">
      <c r="A2987">
        <v>2986</v>
      </c>
      <c r="B2987" t="s">
        <v>5985</v>
      </c>
      <c r="C2987" s="1">
        <v>37.2703215931</v>
      </c>
      <c r="D2987" s="1">
        <v>-6.9805938245599997</v>
      </c>
      <c r="E2987" s="3">
        <v>3</v>
      </c>
      <c r="F2987" s="2">
        <v>4</v>
      </c>
      <c r="G2987" s="4">
        <v>3</v>
      </c>
      <c r="H2987" s="13"/>
      <c r="I2987" s="15"/>
      <c r="J2987" s="19">
        <v>3</v>
      </c>
      <c r="K2987" s="2" t="s">
        <v>5986</v>
      </c>
      <c r="L2987" s="11" t="str">
        <f t="shared" si="48"/>
        <v>Ver Imagen</v>
      </c>
      <c r="M2987" t="s">
        <v>15</v>
      </c>
    </row>
    <row r="2988" spans="1:13" x14ac:dyDescent="0.25">
      <c r="A2988">
        <v>2987</v>
      </c>
      <c r="B2988" t="s">
        <v>5987</v>
      </c>
      <c r="C2988" s="1">
        <v>37.270048929700003</v>
      </c>
      <c r="D2988" s="1">
        <v>-6.9796345602800001</v>
      </c>
      <c r="E2988" s="3">
        <v>3</v>
      </c>
      <c r="F2988" s="2">
        <v>4</v>
      </c>
      <c r="G2988" s="4">
        <v>3</v>
      </c>
      <c r="H2988" s="13"/>
      <c r="I2988" s="15"/>
      <c r="J2988" s="19">
        <v>3</v>
      </c>
      <c r="K2988" s="2" t="s">
        <v>5988</v>
      </c>
      <c r="L2988" s="11" t="str">
        <f t="shared" si="48"/>
        <v>Ver Imagen</v>
      </c>
      <c r="M2988" t="s">
        <v>15</v>
      </c>
    </row>
    <row r="2989" spans="1:13" x14ac:dyDescent="0.25">
      <c r="A2989">
        <v>2988</v>
      </c>
      <c r="B2989" t="s">
        <v>5989</v>
      </c>
      <c r="C2989" s="1">
        <v>37.269841174100002</v>
      </c>
      <c r="D2989" s="1">
        <v>-6.9789097988600002</v>
      </c>
      <c r="E2989" s="3">
        <v>4</v>
      </c>
      <c r="F2989" s="2">
        <v>3</v>
      </c>
      <c r="G2989" s="4">
        <v>3</v>
      </c>
      <c r="H2989" s="13"/>
      <c r="I2989" s="15"/>
      <c r="J2989" s="19">
        <v>3</v>
      </c>
      <c r="K2989" s="2" t="s">
        <v>5990</v>
      </c>
      <c r="L2989" s="11" t="str">
        <f t="shared" si="48"/>
        <v>Ver Imagen</v>
      </c>
      <c r="M2989" t="s">
        <v>15</v>
      </c>
    </row>
    <row r="2990" spans="1:13" x14ac:dyDescent="0.25">
      <c r="A2990">
        <v>2989</v>
      </c>
      <c r="B2990" t="s">
        <v>5991</v>
      </c>
      <c r="C2990" s="1">
        <v>37.465381792800002</v>
      </c>
      <c r="D2990" s="1">
        <v>-7.1810223577399999</v>
      </c>
      <c r="E2990" s="3">
        <v>4</v>
      </c>
      <c r="F2990" s="2">
        <v>3</v>
      </c>
      <c r="G2990" s="4">
        <v>3</v>
      </c>
      <c r="H2990" s="13"/>
      <c r="I2990" s="15"/>
      <c r="J2990" s="19">
        <v>3</v>
      </c>
      <c r="K2990" s="2" t="s">
        <v>5992</v>
      </c>
      <c r="L2990" s="11" t="str">
        <f t="shared" si="48"/>
        <v>Ver Imagen</v>
      </c>
      <c r="M2990" t="s">
        <v>15</v>
      </c>
    </row>
    <row r="2991" spans="1:13" x14ac:dyDescent="0.25">
      <c r="A2991">
        <v>2990</v>
      </c>
      <c r="B2991" t="s">
        <v>5993</v>
      </c>
      <c r="C2991" s="1">
        <v>37.465830468999997</v>
      </c>
      <c r="D2991" s="1">
        <v>-7.1818630525199998</v>
      </c>
      <c r="E2991" s="3">
        <v>3</v>
      </c>
      <c r="F2991" s="2">
        <v>3</v>
      </c>
      <c r="G2991" s="4">
        <v>4</v>
      </c>
      <c r="H2991" s="13"/>
      <c r="I2991" s="15"/>
      <c r="J2991" s="19">
        <v>3</v>
      </c>
      <c r="K2991" s="2" t="s">
        <v>5994</v>
      </c>
      <c r="L2991" s="11" t="str">
        <f t="shared" si="48"/>
        <v>Ver Imagen</v>
      </c>
      <c r="M2991" t="s">
        <v>15</v>
      </c>
    </row>
    <row r="2992" spans="1:13" x14ac:dyDescent="0.25">
      <c r="A2992">
        <v>2991</v>
      </c>
      <c r="B2992" t="s">
        <v>5995</v>
      </c>
      <c r="C2992" s="1">
        <v>37.466647160000001</v>
      </c>
      <c r="D2992" s="1">
        <v>-7.1833862572999996</v>
      </c>
      <c r="E2992" s="3">
        <v>3</v>
      </c>
      <c r="F2992" s="2">
        <v>3</v>
      </c>
      <c r="G2992" s="4">
        <v>4</v>
      </c>
      <c r="H2992" s="13"/>
      <c r="I2992" s="15"/>
      <c r="J2992" s="19">
        <v>3</v>
      </c>
      <c r="K2992" s="2" t="s">
        <v>5996</v>
      </c>
      <c r="L2992" s="11" t="str">
        <f t="shared" si="48"/>
        <v>Ver Imagen</v>
      </c>
      <c r="M2992" t="s">
        <v>15</v>
      </c>
    </row>
    <row r="2993" spans="1:13" x14ac:dyDescent="0.25">
      <c r="A2993">
        <v>2992</v>
      </c>
      <c r="B2993" t="s">
        <v>5997</v>
      </c>
      <c r="C2993" s="1">
        <v>37.495231338300002</v>
      </c>
      <c r="D2993" s="1">
        <v>-7.2676356689599997</v>
      </c>
      <c r="E2993" s="3">
        <v>4</v>
      </c>
      <c r="F2993" s="2">
        <v>3</v>
      </c>
      <c r="G2993" s="4">
        <v>3</v>
      </c>
      <c r="H2993" s="13"/>
      <c r="I2993" s="15"/>
      <c r="J2993" s="19">
        <v>3</v>
      </c>
      <c r="K2993" s="2" t="s">
        <v>5998</v>
      </c>
      <c r="L2993" s="11" t="str">
        <f t="shared" si="48"/>
        <v>Ver Imagen</v>
      </c>
      <c r="M2993" t="s">
        <v>15</v>
      </c>
    </row>
    <row r="2994" spans="1:13" x14ac:dyDescent="0.25">
      <c r="A2994">
        <v>2993</v>
      </c>
      <c r="B2994" t="s">
        <v>5999</v>
      </c>
      <c r="C2994" s="1">
        <v>37.495433845599997</v>
      </c>
      <c r="D2994" s="1">
        <v>-7.2676832747200004</v>
      </c>
      <c r="E2994" s="3">
        <v>4</v>
      </c>
      <c r="F2994" s="2">
        <v>3</v>
      </c>
      <c r="G2994" s="4">
        <v>3</v>
      </c>
      <c r="H2994" s="13"/>
      <c r="I2994" s="15"/>
      <c r="J2994" s="19">
        <v>3</v>
      </c>
      <c r="K2994" s="2" t="s">
        <v>6000</v>
      </c>
      <c r="L2994" s="11" t="str">
        <f t="shared" si="48"/>
        <v>Ver Imagen</v>
      </c>
      <c r="M2994" t="s">
        <v>15</v>
      </c>
    </row>
    <row r="2995" spans="1:13" x14ac:dyDescent="0.25">
      <c r="A2995">
        <v>2994</v>
      </c>
      <c r="B2995" t="s">
        <v>6001</v>
      </c>
      <c r="C2995" s="1">
        <v>37.2751812829</v>
      </c>
      <c r="D2995" s="1">
        <v>-6.9911724057700004</v>
      </c>
      <c r="E2995" s="3">
        <v>3</v>
      </c>
      <c r="F2995" s="2">
        <v>3</v>
      </c>
      <c r="G2995" s="4">
        <v>4</v>
      </c>
      <c r="H2995" s="13"/>
      <c r="I2995" s="15"/>
      <c r="J2995" s="19">
        <v>3</v>
      </c>
      <c r="K2995" s="2" t="s">
        <v>6002</v>
      </c>
      <c r="L2995" s="11" t="str">
        <f t="shared" si="48"/>
        <v>Ver Imagen</v>
      </c>
      <c r="M2995" t="s">
        <v>15</v>
      </c>
    </row>
    <row r="2996" spans="1:13" x14ac:dyDescent="0.25">
      <c r="A2996">
        <v>2995</v>
      </c>
      <c r="B2996" t="s">
        <v>6003</v>
      </c>
      <c r="C2996" s="1">
        <v>37.279976814299999</v>
      </c>
      <c r="D2996" s="1">
        <v>-6.9989756508400003</v>
      </c>
      <c r="E2996" s="3">
        <v>3</v>
      </c>
      <c r="F2996" s="2">
        <v>3</v>
      </c>
      <c r="G2996" s="4">
        <v>4</v>
      </c>
      <c r="H2996" s="13"/>
      <c r="I2996" s="15"/>
      <c r="J2996" s="19">
        <v>3</v>
      </c>
      <c r="K2996" s="2" t="s">
        <v>6004</v>
      </c>
      <c r="L2996" s="11" t="str">
        <f t="shared" si="48"/>
        <v>Ver Imagen</v>
      </c>
      <c r="M2996" t="s">
        <v>15</v>
      </c>
    </row>
    <row r="2997" spans="1:13" x14ac:dyDescent="0.25">
      <c r="A2997">
        <v>2996</v>
      </c>
      <c r="B2997" t="s">
        <v>6005</v>
      </c>
      <c r="C2997" s="1">
        <v>37.280036838699999</v>
      </c>
      <c r="D2997" s="1">
        <v>-6.9992572257700001</v>
      </c>
      <c r="E2997" s="3">
        <v>4</v>
      </c>
      <c r="F2997" s="2">
        <v>3</v>
      </c>
      <c r="G2997" s="4">
        <v>3</v>
      </c>
      <c r="H2997" s="13"/>
      <c r="I2997" s="15"/>
      <c r="J2997" s="19">
        <v>3</v>
      </c>
      <c r="K2997" s="2" t="s">
        <v>6006</v>
      </c>
      <c r="L2997" s="11" t="str">
        <f t="shared" si="48"/>
        <v>Ver Imagen</v>
      </c>
      <c r="M2997" t="s">
        <v>15</v>
      </c>
    </row>
    <row r="2998" spans="1:13" x14ac:dyDescent="0.25">
      <c r="A2998">
        <v>2997</v>
      </c>
      <c r="B2998" t="s">
        <v>6007</v>
      </c>
      <c r="C2998" s="1">
        <v>37.280593760999999</v>
      </c>
      <c r="D2998" s="1">
        <v>-7.0006300833999999</v>
      </c>
      <c r="E2998" s="3">
        <v>3</v>
      </c>
      <c r="F2998" s="2">
        <v>3</v>
      </c>
      <c r="G2998" s="4">
        <v>4</v>
      </c>
      <c r="H2998" s="13"/>
      <c r="I2998" s="15"/>
      <c r="J2998" s="19">
        <v>3</v>
      </c>
      <c r="K2998" s="2" t="s">
        <v>6008</v>
      </c>
      <c r="L2998" s="11" t="str">
        <f t="shared" si="48"/>
        <v>Ver Imagen</v>
      </c>
      <c r="M2998" t="s">
        <v>15</v>
      </c>
    </row>
    <row r="2999" spans="1:13" x14ac:dyDescent="0.25">
      <c r="A2999">
        <v>2998</v>
      </c>
      <c r="B2999" t="s">
        <v>6009</v>
      </c>
      <c r="C2999" s="1">
        <v>37.280472567499999</v>
      </c>
      <c r="D2999" s="1">
        <v>-7.0012388543900004</v>
      </c>
      <c r="E2999" s="3">
        <v>3</v>
      </c>
      <c r="F2999" s="2">
        <v>3</v>
      </c>
      <c r="G2999" s="4">
        <v>4</v>
      </c>
      <c r="H2999" s="13"/>
      <c r="I2999" s="15"/>
      <c r="J2999" s="19">
        <v>3</v>
      </c>
      <c r="K2999" s="2" t="s">
        <v>6010</v>
      </c>
      <c r="L2999" s="11" t="str">
        <f t="shared" si="48"/>
        <v>Ver Imagen</v>
      </c>
      <c r="M2999" t="s">
        <v>15</v>
      </c>
    </row>
    <row r="3000" spans="1:13" x14ac:dyDescent="0.25">
      <c r="A3000">
        <v>2999</v>
      </c>
      <c r="B3000" t="s">
        <v>6011</v>
      </c>
      <c r="C3000" s="1">
        <v>37.280468127399999</v>
      </c>
      <c r="D3000" s="1">
        <v>-7.00149102567</v>
      </c>
      <c r="E3000" s="3">
        <v>3</v>
      </c>
      <c r="F3000" s="2">
        <v>3</v>
      </c>
      <c r="G3000" s="4">
        <v>4</v>
      </c>
      <c r="H3000" s="13"/>
      <c r="I3000" s="15"/>
      <c r="J3000" s="19">
        <v>3</v>
      </c>
      <c r="K3000" s="2" t="s">
        <v>6012</v>
      </c>
      <c r="L3000" s="11" t="str">
        <f t="shared" si="48"/>
        <v>Ver Imagen</v>
      </c>
      <c r="M3000" t="s">
        <v>15</v>
      </c>
    </row>
    <row r="3001" spans="1:13" x14ac:dyDescent="0.25">
      <c r="A3001">
        <v>3000</v>
      </c>
      <c r="B3001" t="s">
        <v>6013</v>
      </c>
      <c r="C3001" s="1">
        <v>37.280320510199999</v>
      </c>
      <c r="D3001" s="1">
        <v>-7.0051893225899997</v>
      </c>
      <c r="E3001" s="3">
        <v>3</v>
      </c>
      <c r="F3001" s="2">
        <v>3</v>
      </c>
      <c r="G3001" s="4">
        <v>4</v>
      </c>
      <c r="H3001" s="13"/>
      <c r="I3001" s="15"/>
      <c r="J3001" s="19">
        <v>3</v>
      </c>
      <c r="K3001" s="2" t="s">
        <v>6014</v>
      </c>
      <c r="L3001" s="11" t="str">
        <f t="shared" si="48"/>
        <v>Ver Imagen</v>
      </c>
      <c r="M3001" t="s">
        <v>15</v>
      </c>
    </row>
    <row r="3002" spans="1:13" x14ac:dyDescent="0.25">
      <c r="A3002">
        <v>3001</v>
      </c>
      <c r="B3002" t="s">
        <v>6015</v>
      </c>
      <c r="C3002" s="1">
        <v>37.284588433499998</v>
      </c>
      <c r="D3002" s="1">
        <v>-7.0390457021100001</v>
      </c>
      <c r="E3002" s="3">
        <v>3</v>
      </c>
      <c r="F3002" s="2">
        <v>3</v>
      </c>
      <c r="G3002" s="4">
        <v>4</v>
      </c>
      <c r="H3002" s="13"/>
      <c r="I3002" s="15"/>
      <c r="J3002" s="19">
        <v>3</v>
      </c>
      <c r="K3002" s="2" t="s">
        <v>6016</v>
      </c>
      <c r="L3002" s="11" t="str">
        <f t="shared" si="48"/>
        <v>Ver Imagen</v>
      </c>
      <c r="M3002" t="s">
        <v>15</v>
      </c>
    </row>
    <row r="3003" spans="1:13" x14ac:dyDescent="0.25">
      <c r="A3003">
        <v>3002</v>
      </c>
      <c r="B3003" t="s">
        <v>6017</v>
      </c>
      <c r="C3003" s="1">
        <v>37.284658890999999</v>
      </c>
      <c r="D3003" s="1">
        <v>-7.0392955363700001</v>
      </c>
      <c r="E3003" s="3">
        <v>3</v>
      </c>
      <c r="F3003" s="2">
        <v>3</v>
      </c>
      <c r="G3003" s="4">
        <v>4</v>
      </c>
      <c r="H3003" s="13"/>
      <c r="I3003" s="15"/>
      <c r="J3003" s="19">
        <v>3</v>
      </c>
      <c r="K3003" s="2" t="s">
        <v>6018</v>
      </c>
      <c r="L3003" s="11" t="str">
        <f t="shared" si="48"/>
        <v>Ver Imagen</v>
      </c>
      <c r="M3003" t="s">
        <v>15</v>
      </c>
    </row>
    <row r="3004" spans="1:13" x14ac:dyDescent="0.25">
      <c r="A3004">
        <v>3003</v>
      </c>
      <c r="B3004" t="s">
        <v>6019</v>
      </c>
      <c r="C3004" s="1">
        <v>37.295362398999998</v>
      </c>
      <c r="D3004" s="1">
        <v>-7.0490644856699998</v>
      </c>
      <c r="E3004" s="3">
        <v>3</v>
      </c>
      <c r="F3004" s="2">
        <v>3</v>
      </c>
      <c r="G3004" s="4">
        <v>4</v>
      </c>
      <c r="H3004" s="13"/>
      <c r="I3004" s="15"/>
      <c r="J3004" s="19">
        <v>3</v>
      </c>
      <c r="K3004" s="2" t="s">
        <v>6020</v>
      </c>
      <c r="L3004" s="11" t="str">
        <f t="shared" si="48"/>
        <v>Ver Imagen</v>
      </c>
      <c r="M3004" t="s">
        <v>15</v>
      </c>
    </row>
    <row r="3005" spans="1:13" x14ac:dyDescent="0.25">
      <c r="A3005">
        <v>3004</v>
      </c>
      <c r="B3005" t="s">
        <v>6021</v>
      </c>
      <c r="C3005" s="1">
        <v>37.318955542200001</v>
      </c>
      <c r="D3005" s="1">
        <v>-7.0714235301899997</v>
      </c>
      <c r="E3005" s="3">
        <v>3</v>
      </c>
      <c r="F3005" s="2">
        <v>3</v>
      </c>
      <c r="G3005" s="4">
        <v>4</v>
      </c>
      <c r="H3005" s="13"/>
      <c r="I3005" s="15"/>
      <c r="J3005" s="19">
        <v>3</v>
      </c>
      <c r="K3005" s="2" t="s">
        <v>6022</v>
      </c>
      <c r="L3005" s="11" t="str">
        <f t="shared" si="48"/>
        <v>Ver Imagen</v>
      </c>
      <c r="M3005" t="s">
        <v>15</v>
      </c>
    </row>
    <row r="3006" spans="1:13" x14ac:dyDescent="0.25">
      <c r="A3006">
        <v>3005</v>
      </c>
      <c r="B3006" t="s">
        <v>6023</v>
      </c>
      <c r="C3006" s="1">
        <v>37.319137690200002</v>
      </c>
      <c r="D3006" s="1">
        <v>-7.0714564003299998</v>
      </c>
      <c r="E3006" s="3">
        <v>3</v>
      </c>
      <c r="F3006" s="2">
        <v>3</v>
      </c>
      <c r="G3006" s="4">
        <v>4</v>
      </c>
      <c r="H3006" s="13"/>
      <c r="I3006" s="15"/>
      <c r="J3006" s="19">
        <v>3</v>
      </c>
      <c r="K3006" s="2" t="s">
        <v>6024</v>
      </c>
      <c r="L3006" s="11" t="str">
        <f t="shared" si="48"/>
        <v>Ver Imagen</v>
      </c>
      <c r="M3006" t="s">
        <v>15</v>
      </c>
    </row>
    <row r="3007" spans="1:13" x14ac:dyDescent="0.25">
      <c r="A3007">
        <v>3006</v>
      </c>
      <c r="B3007" t="s">
        <v>6025</v>
      </c>
      <c r="C3007" s="1">
        <v>37.453707767700003</v>
      </c>
      <c r="D3007" s="1">
        <v>-7.1124472433200001</v>
      </c>
      <c r="E3007" s="3">
        <v>4</v>
      </c>
      <c r="F3007" s="2">
        <v>3</v>
      </c>
      <c r="G3007" s="4">
        <v>3</v>
      </c>
      <c r="H3007" s="13"/>
      <c r="I3007" s="15"/>
      <c r="J3007" s="19">
        <v>3</v>
      </c>
      <c r="K3007" s="2" t="s">
        <v>6026</v>
      </c>
      <c r="L3007" s="11" t="str">
        <f t="shared" si="48"/>
        <v>Ver Imagen</v>
      </c>
      <c r="M3007" t="s">
        <v>15</v>
      </c>
    </row>
    <row r="3008" spans="1:13" x14ac:dyDescent="0.25">
      <c r="A3008">
        <v>3007</v>
      </c>
      <c r="B3008" t="s">
        <v>6027</v>
      </c>
      <c r="C3008" s="1">
        <v>37.446967894499998</v>
      </c>
      <c r="D3008" s="1">
        <v>-7.10817475151</v>
      </c>
      <c r="E3008" s="3">
        <v>3</v>
      </c>
      <c r="F3008" s="2">
        <v>3</v>
      </c>
      <c r="G3008" s="4">
        <v>4</v>
      </c>
      <c r="H3008" s="13"/>
      <c r="I3008" s="15"/>
      <c r="J3008" s="19">
        <v>3</v>
      </c>
      <c r="K3008" s="2" t="s">
        <v>6028</v>
      </c>
      <c r="L3008" s="11" t="str">
        <f t="shared" si="48"/>
        <v>Ver Imagen</v>
      </c>
      <c r="M3008" t="s">
        <v>15</v>
      </c>
    </row>
    <row r="3009" spans="1:14" x14ac:dyDescent="0.25">
      <c r="A3009" s="16">
        <v>3008</v>
      </c>
      <c r="B3009" s="16" t="s">
        <v>9996</v>
      </c>
      <c r="C3009" s="16">
        <v>37.446839249100002</v>
      </c>
      <c r="D3009" s="16">
        <v>-7.10695856173</v>
      </c>
      <c r="E3009" s="16">
        <v>3</v>
      </c>
      <c r="F3009" s="16">
        <v>3</v>
      </c>
      <c r="G3009" s="16">
        <v>4</v>
      </c>
      <c r="H3009" s="16"/>
      <c r="I3009" s="16"/>
      <c r="J3009" s="21">
        <v>3</v>
      </c>
      <c r="K3009" s="16" t="s">
        <v>9997</v>
      </c>
      <c r="L3009" s="17" t="str">
        <f t="shared" si="48"/>
        <v>Ver Imagen</v>
      </c>
      <c r="M3009" s="16" t="s">
        <v>9998</v>
      </c>
      <c r="N3009" s="16"/>
    </row>
    <row r="3010" spans="1:14" x14ac:dyDescent="0.25">
      <c r="A3010">
        <v>3009</v>
      </c>
      <c r="B3010" t="s">
        <v>6029</v>
      </c>
      <c r="C3010" s="1">
        <v>37.446815963299997</v>
      </c>
      <c r="D3010" s="1">
        <v>-7.1066775191299998</v>
      </c>
      <c r="E3010" s="3">
        <v>3</v>
      </c>
      <c r="F3010" s="2">
        <v>3</v>
      </c>
      <c r="G3010" s="4">
        <v>4</v>
      </c>
      <c r="H3010" s="13"/>
      <c r="I3010" s="15"/>
      <c r="J3010" s="19">
        <v>3</v>
      </c>
      <c r="K3010" s="2" t="s">
        <v>6030</v>
      </c>
      <c r="L3010" s="11" t="str">
        <f t="shared" si="48"/>
        <v>Ver Imagen</v>
      </c>
      <c r="M3010" t="s">
        <v>15</v>
      </c>
    </row>
    <row r="3011" spans="1:14" x14ac:dyDescent="0.25">
      <c r="A3011">
        <v>3010</v>
      </c>
      <c r="B3011" t="s">
        <v>6031</v>
      </c>
      <c r="C3011" s="1">
        <v>37.267505345899998</v>
      </c>
      <c r="D3011" s="1">
        <v>-6.9632846695900001</v>
      </c>
      <c r="E3011" s="3">
        <v>3</v>
      </c>
      <c r="F3011" s="2">
        <v>3</v>
      </c>
      <c r="G3011" s="4">
        <v>4</v>
      </c>
      <c r="H3011" s="13"/>
      <c r="I3011" s="15"/>
      <c r="J3011" s="19">
        <v>3</v>
      </c>
      <c r="K3011" s="2" t="s">
        <v>6032</v>
      </c>
      <c r="L3011" s="11" t="str">
        <f t="shared" si="48"/>
        <v>Ver Imagen</v>
      </c>
      <c r="M3011" t="s">
        <v>15</v>
      </c>
    </row>
    <row r="3012" spans="1:14" x14ac:dyDescent="0.25">
      <c r="A3012">
        <v>3011</v>
      </c>
      <c r="B3012" t="s">
        <v>6033</v>
      </c>
      <c r="C3012" s="1">
        <v>37.267477563900002</v>
      </c>
      <c r="D3012" s="1">
        <v>-6.9620167011999996</v>
      </c>
      <c r="E3012" s="3">
        <v>3</v>
      </c>
      <c r="F3012" s="2">
        <v>3</v>
      </c>
      <c r="G3012" s="4">
        <v>4</v>
      </c>
      <c r="H3012" s="13"/>
      <c r="I3012" s="15"/>
      <c r="J3012" s="19">
        <v>3</v>
      </c>
      <c r="K3012" s="2" t="s">
        <v>6034</v>
      </c>
      <c r="L3012" s="11" t="str">
        <f t="shared" si="48"/>
        <v>Ver Imagen</v>
      </c>
      <c r="M3012" t="s">
        <v>15</v>
      </c>
    </row>
    <row r="3013" spans="1:14" x14ac:dyDescent="0.25">
      <c r="A3013">
        <v>3012</v>
      </c>
      <c r="B3013" t="s">
        <v>6035</v>
      </c>
      <c r="C3013" s="1">
        <v>37.446652515700002</v>
      </c>
      <c r="D3013" s="1">
        <v>-7.1317543164700004</v>
      </c>
      <c r="E3013" s="3">
        <v>2</v>
      </c>
      <c r="F3013" s="2">
        <v>3</v>
      </c>
      <c r="G3013" s="4">
        <v>3</v>
      </c>
      <c r="H3013" s="13"/>
      <c r="I3013" s="15"/>
      <c r="J3013" s="19">
        <v>3</v>
      </c>
      <c r="K3013" s="2" t="s">
        <v>6036</v>
      </c>
      <c r="L3013" s="11" t="str">
        <f t="shared" si="48"/>
        <v>Ver Imagen</v>
      </c>
      <c r="M3013" t="s">
        <v>15</v>
      </c>
    </row>
    <row r="3014" spans="1:14" x14ac:dyDescent="0.25">
      <c r="A3014">
        <v>3013</v>
      </c>
      <c r="B3014" t="s">
        <v>6037</v>
      </c>
      <c r="C3014" s="1">
        <v>37.446929449400002</v>
      </c>
      <c r="D3014" s="1">
        <v>-7.1390602795099998</v>
      </c>
      <c r="E3014" s="3">
        <v>2</v>
      </c>
      <c r="F3014" s="2">
        <v>3</v>
      </c>
      <c r="G3014" s="4">
        <v>3</v>
      </c>
      <c r="H3014" s="13"/>
      <c r="I3014" s="15"/>
      <c r="J3014" s="19">
        <v>3</v>
      </c>
      <c r="K3014" s="2" t="s">
        <v>6038</v>
      </c>
      <c r="L3014" s="11" t="str">
        <f t="shared" si="48"/>
        <v>Ver Imagen</v>
      </c>
      <c r="M3014" t="s">
        <v>15</v>
      </c>
    </row>
    <row r="3015" spans="1:14" x14ac:dyDescent="0.25">
      <c r="A3015">
        <v>3014</v>
      </c>
      <c r="B3015" t="s">
        <v>6039</v>
      </c>
      <c r="C3015" s="1">
        <v>37.455290767199998</v>
      </c>
      <c r="D3015" s="1">
        <v>-7.1659316040999999</v>
      </c>
      <c r="E3015" s="3">
        <v>2</v>
      </c>
      <c r="F3015" s="2">
        <v>3</v>
      </c>
      <c r="G3015" s="4">
        <v>3</v>
      </c>
      <c r="H3015" s="13"/>
      <c r="I3015" s="15"/>
      <c r="J3015" s="19">
        <v>3</v>
      </c>
      <c r="K3015" s="2" t="s">
        <v>6040</v>
      </c>
      <c r="L3015" s="11" t="str">
        <f t="shared" si="48"/>
        <v>Ver Imagen</v>
      </c>
      <c r="M3015" t="s">
        <v>15</v>
      </c>
    </row>
    <row r="3016" spans="1:14" x14ac:dyDescent="0.25">
      <c r="A3016">
        <v>3015</v>
      </c>
      <c r="B3016" t="s">
        <v>6041</v>
      </c>
      <c r="C3016" s="1">
        <v>37.458314049499997</v>
      </c>
      <c r="D3016" s="1">
        <v>-7.1696500133800001</v>
      </c>
      <c r="E3016" s="3">
        <v>2</v>
      </c>
      <c r="F3016" s="2">
        <v>3</v>
      </c>
      <c r="G3016" s="4">
        <v>3</v>
      </c>
      <c r="H3016" s="13"/>
      <c r="I3016" s="15"/>
      <c r="J3016" s="19">
        <v>3</v>
      </c>
      <c r="K3016" s="2" t="s">
        <v>6042</v>
      </c>
      <c r="L3016" s="11" t="str">
        <f t="shared" si="48"/>
        <v>Ver Imagen</v>
      </c>
      <c r="M3016" t="s">
        <v>15</v>
      </c>
    </row>
    <row r="3017" spans="1:14" x14ac:dyDescent="0.25">
      <c r="A3017">
        <v>3016</v>
      </c>
      <c r="B3017" t="s">
        <v>6043</v>
      </c>
      <c r="C3017" s="1">
        <v>37.463424994500002</v>
      </c>
      <c r="D3017" s="1">
        <v>-7.1774631275600003</v>
      </c>
      <c r="E3017" s="3">
        <v>2</v>
      </c>
      <c r="F3017" s="2">
        <v>3</v>
      </c>
      <c r="G3017" s="4">
        <v>3</v>
      </c>
      <c r="H3017" s="13"/>
      <c r="I3017" s="15"/>
      <c r="J3017" s="19">
        <v>3</v>
      </c>
      <c r="K3017" s="2" t="s">
        <v>6044</v>
      </c>
      <c r="L3017" s="11" t="str">
        <f t="shared" si="48"/>
        <v>Ver Imagen</v>
      </c>
      <c r="M3017" t="s">
        <v>15</v>
      </c>
    </row>
    <row r="3018" spans="1:14" x14ac:dyDescent="0.25">
      <c r="A3018">
        <v>3017</v>
      </c>
      <c r="B3018" t="s">
        <v>6045</v>
      </c>
      <c r="C3018" s="1">
        <v>37.466203720700001</v>
      </c>
      <c r="D3018" s="1">
        <v>-7.1825511755499996</v>
      </c>
      <c r="E3018" s="3">
        <v>2</v>
      </c>
      <c r="F3018" s="2">
        <v>3</v>
      </c>
      <c r="G3018" s="4">
        <v>3</v>
      </c>
      <c r="H3018" s="13"/>
      <c r="I3018" s="15"/>
      <c r="J3018" s="19">
        <v>3</v>
      </c>
      <c r="K3018" s="2" t="s">
        <v>6046</v>
      </c>
      <c r="L3018" s="11" t="str">
        <f t="shared" si="48"/>
        <v>Ver Imagen</v>
      </c>
      <c r="M3018" t="s">
        <v>15</v>
      </c>
    </row>
    <row r="3019" spans="1:14" x14ac:dyDescent="0.25">
      <c r="A3019">
        <v>3018</v>
      </c>
      <c r="B3019" t="s">
        <v>6047</v>
      </c>
      <c r="C3019" s="1">
        <v>37.477173375500001</v>
      </c>
      <c r="D3019" s="1">
        <v>-7.2037935765099999</v>
      </c>
      <c r="E3019" s="3">
        <v>2</v>
      </c>
      <c r="F3019" s="2">
        <v>3</v>
      </c>
      <c r="G3019" s="4">
        <v>3</v>
      </c>
      <c r="H3019" s="13"/>
      <c r="I3019" s="15"/>
      <c r="J3019" s="19">
        <v>3</v>
      </c>
      <c r="K3019" s="2" t="s">
        <v>6048</v>
      </c>
      <c r="L3019" s="11" t="str">
        <f t="shared" si="48"/>
        <v>Ver Imagen</v>
      </c>
      <c r="M3019" t="s">
        <v>15</v>
      </c>
    </row>
    <row r="3020" spans="1:14" x14ac:dyDescent="0.25">
      <c r="A3020">
        <v>3019</v>
      </c>
      <c r="B3020" t="s">
        <v>6049</v>
      </c>
      <c r="C3020" s="1">
        <v>37.477745734599999</v>
      </c>
      <c r="D3020" s="1">
        <v>-7.2051107966599997</v>
      </c>
      <c r="E3020" s="3">
        <v>2</v>
      </c>
      <c r="F3020" s="2">
        <v>3</v>
      </c>
      <c r="G3020" s="4">
        <v>3</v>
      </c>
      <c r="H3020" s="13"/>
      <c r="I3020" s="15"/>
      <c r="J3020" s="19">
        <v>3</v>
      </c>
      <c r="K3020" s="2" t="s">
        <v>6050</v>
      </c>
      <c r="L3020" s="11" t="str">
        <f t="shared" si="48"/>
        <v>Ver Imagen</v>
      </c>
      <c r="M3020" t="s">
        <v>15</v>
      </c>
    </row>
    <row r="3021" spans="1:14" x14ac:dyDescent="0.25">
      <c r="A3021">
        <v>3020</v>
      </c>
      <c r="B3021" t="s">
        <v>6051</v>
      </c>
      <c r="C3021" s="1">
        <v>37.477843136799997</v>
      </c>
      <c r="D3021" s="1">
        <v>-7.2053393041999998</v>
      </c>
      <c r="E3021" s="3">
        <v>2</v>
      </c>
      <c r="F3021" s="2">
        <v>3</v>
      </c>
      <c r="G3021" s="4">
        <v>3</v>
      </c>
      <c r="H3021" s="13"/>
      <c r="I3021" s="15"/>
      <c r="J3021" s="19">
        <v>3</v>
      </c>
      <c r="K3021" s="2" t="s">
        <v>6052</v>
      </c>
      <c r="L3021" s="11" t="str">
        <f t="shared" si="48"/>
        <v>Ver Imagen</v>
      </c>
      <c r="M3021" t="s">
        <v>15</v>
      </c>
    </row>
    <row r="3022" spans="1:14" x14ac:dyDescent="0.25">
      <c r="A3022">
        <v>3021</v>
      </c>
      <c r="B3022" t="s">
        <v>6053</v>
      </c>
      <c r="C3022" s="1">
        <v>37.478045984200001</v>
      </c>
      <c r="D3022" s="1">
        <v>-7.2058110116999998</v>
      </c>
      <c r="E3022" s="3">
        <v>2</v>
      </c>
      <c r="F3022" s="2">
        <v>3</v>
      </c>
      <c r="G3022" s="4">
        <v>3</v>
      </c>
      <c r="H3022" s="13"/>
      <c r="I3022" s="15"/>
      <c r="J3022" s="19">
        <v>3</v>
      </c>
      <c r="K3022" s="2" t="s">
        <v>6054</v>
      </c>
      <c r="L3022" s="11" t="str">
        <f t="shared" si="48"/>
        <v>Ver Imagen</v>
      </c>
      <c r="M3022" t="s">
        <v>15</v>
      </c>
    </row>
    <row r="3023" spans="1:14" x14ac:dyDescent="0.25">
      <c r="A3023">
        <v>3022</v>
      </c>
      <c r="B3023" t="s">
        <v>6055</v>
      </c>
      <c r="C3023" s="1">
        <v>37.479180465500001</v>
      </c>
      <c r="D3023" s="1">
        <v>-7.2084676403100003</v>
      </c>
      <c r="E3023" s="3">
        <v>2</v>
      </c>
      <c r="F3023" s="2">
        <v>3</v>
      </c>
      <c r="G3023" s="4">
        <v>3</v>
      </c>
      <c r="H3023" s="13"/>
      <c r="I3023" s="15"/>
      <c r="J3023" s="19">
        <v>3</v>
      </c>
      <c r="K3023" s="2" t="s">
        <v>6056</v>
      </c>
      <c r="L3023" s="11" t="str">
        <f t="shared" si="48"/>
        <v>Ver Imagen</v>
      </c>
      <c r="M3023" t="s">
        <v>15</v>
      </c>
    </row>
    <row r="3024" spans="1:14" x14ac:dyDescent="0.25">
      <c r="A3024">
        <v>3023</v>
      </c>
      <c r="B3024" t="s">
        <v>6057</v>
      </c>
      <c r="C3024" s="1">
        <v>37.479658635600003</v>
      </c>
      <c r="D3024" s="1">
        <v>-7.2095657903500001</v>
      </c>
      <c r="E3024" s="3">
        <v>2</v>
      </c>
      <c r="F3024" s="2">
        <v>3</v>
      </c>
      <c r="G3024" s="4">
        <v>3</v>
      </c>
      <c r="H3024" s="13"/>
      <c r="I3024" s="15"/>
      <c r="J3024" s="19">
        <v>3</v>
      </c>
      <c r="K3024" s="2" t="s">
        <v>6058</v>
      </c>
      <c r="L3024" s="11" t="str">
        <f t="shared" si="48"/>
        <v>Ver Imagen</v>
      </c>
      <c r="M3024" t="s">
        <v>15</v>
      </c>
    </row>
    <row r="3025" spans="1:13" x14ac:dyDescent="0.25">
      <c r="A3025">
        <v>3024</v>
      </c>
      <c r="B3025" t="s">
        <v>6059</v>
      </c>
      <c r="C3025" s="1">
        <v>37.479885127000003</v>
      </c>
      <c r="D3025" s="1">
        <v>-7.2100866359899998</v>
      </c>
      <c r="E3025" s="3">
        <v>2</v>
      </c>
      <c r="F3025" s="2">
        <v>3</v>
      </c>
      <c r="G3025" s="4">
        <v>3</v>
      </c>
      <c r="H3025" s="13"/>
      <c r="I3025" s="15"/>
      <c r="J3025" s="19">
        <v>3</v>
      </c>
      <c r="K3025" s="2" t="s">
        <v>6060</v>
      </c>
      <c r="L3025" s="11" t="str">
        <f t="shared" si="48"/>
        <v>Ver Imagen</v>
      </c>
      <c r="M3025" t="s">
        <v>15</v>
      </c>
    </row>
    <row r="3026" spans="1:13" x14ac:dyDescent="0.25">
      <c r="A3026">
        <v>3025</v>
      </c>
      <c r="B3026" t="s">
        <v>6061</v>
      </c>
      <c r="C3026" s="1">
        <v>37.480869485299998</v>
      </c>
      <c r="D3026" s="1">
        <v>-7.2124954739499998</v>
      </c>
      <c r="E3026" s="3">
        <v>2</v>
      </c>
      <c r="F3026" s="2">
        <v>3</v>
      </c>
      <c r="G3026" s="4">
        <v>3</v>
      </c>
      <c r="H3026" s="13"/>
      <c r="I3026" s="15"/>
      <c r="J3026" s="19">
        <v>3</v>
      </c>
      <c r="K3026" s="2" t="s">
        <v>6062</v>
      </c>
      <c r="L3026" s="11" t="str">
        <f t="shared" si="48"/>
        <v>Ver Imagen</v>
      </c>
      <c r="M3026" t="s">
        <v>15</v>
      </c>
    </row>
    <row r="3027" spans="1:13" x14ac:dyDescent="0.25">
      <c r="A3027">
        <v>3026</v>
      </c>
      <c r="B3027" t="s">
        <v>6063</v>
      </c>
      <c r="C3027" s="1">
        <v>37.481050790200001</v>
      </c>
      <c r="D3027" s="1">
        <v>-7.2129871482099999</v>
      </c>
      <c r="E3027" s="3">
        <v>2</v>
      </c>
      <c r="F3027" s="2">
        <v>3</v>
      </c>
      <c r="G3027" s="4">
        <v>3</v>
      </c>
      <c r="H3027" s="13"/>
      <c r="I3027" s="15"/>
      <c r="J3027" s="19">
        <v>3</v>
      </c>
      <c r="K3027" s="2" t="s">
        <v>6064</v>
      </c>
      <c r="L3027" s="11" t="str">
        <f t="shared" si="48"/>
        <v>Ver Imagen</v>
      </c>
      <c r="M3027" t="s">
        <v>15</v>
      </c>
    </row>
    <row r="3028" spans="1:13" x14ac:dyDescent="0.25">
      <c r="A3028">
        <v>3027</v>
      </c>
      <c r="B3028" t="s">
        <v>6065</v>
      </c>
      <c r="C3028" s="1">
        <v>37.481981034199997</v>
      </c>
      <c r="D3028" s="1">
        <v>-7.2155140568</v>
      </c>
      <c r="E3028" s="3">
        <v>2</v>
      </c>
      <c r="F3028" s="2">
        <v>3</v>
      </c>
      <c r="G3028" s="4">
        <v>3</v>
      </c>
      <c r="H3028" s="13"/>
      <c r="I3028" s="15"/>
      <c r="J3028" s="19">
        <v>3</v>
      </c>
      <c r="K3028" s="2" t="s">
        <v>6066</v>
      </c>
      <c r="L3028" s="11" t="str">
        <f t="shared" si="48"/>
        <v>Ver Imagen</v>
      </c>
      <c r="M3028" t="s">
        <v>15</v>
      </c>
    </row>
    <row r="3029" spans="1:13" x14ac:dyDescent="0.25">
      <c r="A3029">
        <v>3028</v>
      </c>
      <c r="B3029" t="s">
        <v>6067</v>
      </c>
      <c r="C3029" s="1">
        <v>37.484022080099997</v>
      </c>
      <c r="D3029" s="1">
        <v>-7.2254264071899996</v>
      </c>
      <c r="E3029" s="3">
        <v>2</v>
      </c>
      <c r="F3029" s="2">
        <v>3</v>
      </c>
      <c r="G3029" s="4">
        <v>3</v>
      </c>
      <c r="H3029" s="13"/>
      <c r="I3029" s="15"/>
      <c r="J3029" s="19">
        <v>3</v>
      </c>
      <c r="K3029" s="2" t="s">
        <v>6068</v>
      </c>
      <c r="L3029" s="11" t="str">
        <f t="shared" si="48"/>
        <v>Ver Imagen</v>
      </c>
      <c r="M3029" t="s">
        <v>15</v>
      </c>
    </row>
    <row r="3030" spans="1:13" x14ac:dyDescent="0.25">
      <c r="A3030">
        <v>3029</v>
      </c>
      <c r="B3030" t="s">
        <v>6069</v>
      </c>
      <c r="C3030" s="1">
        <v>37.484725334799997</v>
      </c>
      <c r="D3030" s="1">
        <v>-7.2290316733999997</v>
      </c>
      <c r="E3030" s="3">
        <v>2</v>
      </c>
      <c r="F3030" s="2">
        <v>3</v>
      </c>
      <c r="G3030" s="4">
        <v>3</v>
      </c>
      <c r="H3030" s="13"/>
      <c r="I3030" s="15"/>
      <c r="J3030" s="19">
        <v>3</v>
      </c>
      <c r="K3030" s="2" t="s">
        <v>6070</v>
      </c>
      <c r="L3030" s="11" t="str">
        <f t="shared" si="48"/>
        <v>Ver Imagen</v>
      </c>
      <c r="M3030" t="s">
        <v>15</v>
      </c>
    </row>
    <row r="3031" spans="1:13" x14ac:dyDescent="0.25">
      <c r="A3031">
        <v>3030</v>
      </c>
      <c r="B3031" t="s">
        <v>6071</v>
      </c>
      <c r="C3031" s="1">
        <v>37.487772406300003</v>
      </c>
      <c r="D3031" s="1">
        <v>-7.2448289483800004</v>
      </c>
      <c r="E3031" s="3">
        <v>2</v>
      </c>
      <c r="F3031" s="2">
        <v>3</v>
      </c>
      <c r="G3031" s="4">
        <v>3</v>
      </c>
      <c r="H3031" s="13"/>
      <c r="I3031" s="15"/>
      <c r="J3031" s="19">
        <v>3</v>
      </c>
      <c r="K3031" s="2" t="s">
        <v>6072</v>
      </c>
      <c r="L3031" s="11" t="str">
        <f t="shared" si="48"/>
        <v>Ver Imagen</v>
      </c>
      <c r="M3031" t="s">
        <v>15</v>
      </c>
    </row>
    <row r="3032" spans="1:13" x14ac:dyDescent="0.25">
      <c r="A3032">
        <v>3031</v>
      </c>
      <c r="B3032" t="s">
        <v>6073</v>
      </c>
      <c r="C3032" s="1">
        <v>37.273221561500002</v>
      </c>
      <c r="D3032" s="1">
        <v>-6.9913425928199997</v>
      </c>
      <c r="E3032" s="3">
        <v>3</v>
      </c>
      <c r="F3032" s="2">
        <v>3</v>
      </c>
      <c r="G3032" s="4">
        <v>4</v>
      </c>
      <c r="H3032" s="13"/>
      <c r="I3032" s="15"/>
      <c r="J3032" s="19">
        <v>3</v>
      </c>
      <c r="K3032" s="2" t="s">
        <v>6074</v>
      </c>
      <c r="L3032" s="11" t="str">
        <f t="shared" si="48"/>
        <v>Ver Imagen</v>
      </c>
      <c r="M3032" t="s">
        <v>15</v>
      </c>
    </row>
    <row r="3033" spans="1:13" x14ac:dyDescent="0.25">
      <c r="A3033">
        <v>3032</v>
      </c>
      <c r="B3033" t="s">
        <v>6075</v>
      </c>
      <c r="C3033" s="1">
        <v>37.275379645400001</v>
      </c>
      <c r="D3033" s="1">
        <v>-6.9911496443100001</v>
      </c>
      <c r="E3033" s="3">
        <v>3</v>
      </c>
      <c r="F3033" s="2">
        <v>3</v>
      </c>
      <c r="G3033" s="4">
        <v>4</v>
      </c>
      <c r="H3033" s="13"/>
      <c r="I3033" s="15"/>
      <c r="J3033" s="19">
        <v>3</v>
      </c>
      <c r="K3033" s="2" t="s">
        <v>6076</v>
      </c>
      <c r="L3033" s="11" t="str">
        <f t="shared" si="48"/>
        <v>Ver Imagen</v>
      </c>
      <c r="M3033" t="s">
        <v>15</v>
      </c>
    </row>
    <row r="3034" spans="1:13" x14ac:dyDescent="0.25">
      <c r="A3034">
        <v>3033</v>
      </c>
      <c r="B3034" t="s">
        <v>6077</v>
      </c>
      <c r="C3034" s="1">
        <v>37.276336976499998</v>
      </c>
      <c r="D3034" s="1">
        <v>-6.9911244036199998</v>
      </c>
      <c r="E3034" s="3">
        <v>2</v>
      </c>
      <c r="F3034" s="2">
        <v>3</v>
      </c>
      <c r="G3034" s="4">
        <v>3</v>
      </c>
      <c r="H3034" s="13"/>
      <c r="I3034" s="15"/>
      <c r="J3034" s="19">
        <v>3</v>
      </c>
      <c r="K3034" s="2" t="s">
        <v>6078</v>
      </c>
      <c r="L3034" s="11" t="str">
        <f t="shared" si="48"/>
        <v>Ver Imagen</v>
      </c>
      <c r="M3034" t="s">
        <v>15</v>
      </c>
    </row>
    <row r="3035" spans="1:13" x14ac:dyDescent="0.25">
      <c r="A3035">
        <v>3034</v>
      </c>
      <c r="B3035" t="s">
        <v>6079</v>
      </c>
      <c r="C3035" s="1">
        <v>37.279525125500001</v>
      </c>
      <c r="D3035" s="1">
        <v>-6.9965897331900004</v>
      </c>
      <c r="E3035" s="3">
        <v>2</v>
      </c>
      <c r="F3035" s="2">
        <v>3</v>
      </c>
      <c r="G3035" s="4">
        <v>3</v>
      </c>
      <c r="H3035" s="13"/>
      <c r="I3035" s="15"/>
      <c r="J3035" s="19">
        <v>3</v>
      </c>
      <c r="K3035" s="2" t="s">
        <v>6080</v>
      </c>
      <c r="L3035" s="11" t="str">
        <f t="shared" si="48"/>
        <v>Ver Imagen</v>
      </c>
      <c r="M3035" t="s">
        <v>15</v>
      </c>
    </row>
    <row r="3036" spans="1:13" x14ac:dyDescent="0.25">
      <c r="A3036">
        <v>3035</v>
      </c>
      <c r="B3036" t="s">
        <v>6081</v>
      </c>
      <c r="C3036" s="1">
        <v>37.276703674300002</v>
      </c>
      <c r="D3036" s="1">
        <v>-7.0131026703700003</v>
      </c>
      <c r="E3036" s="3">
        <v>2</v>
      </c>
      <c r="F3036" s="2">
        <v>3</v>
      </c>
      <c r="G3036" s="4">
        <v>3</v>
      </c>
      <c r="H3036" s="13"/>
      <c r="I3036" s="15"/>
      <c r="J3036" s="19">
        <v>3</v>
      </c>
      <c r="K3036" s="2" t="s">
        <v>6082</v>
      </c>
      <c r="L3036" s="11" t="str">
        <f t="shared" si="48"/>
        <v>Ver Imagen</v>
      </c>
      <c r="M3036" t="s">
        <v>15</v>
      </c>
    </row>
    <row r="3037" spans="1:13" x14ac:dyDescent="0.25">
      <c r="A3037">
        <v>3036</v>
      </c>
      <c r="B3037" t="s">
        <v>6083</v>
      </c>
      <c r="C3037" s="1">
        <v>37.293550775600004</v>
      </c>
      <c r="D3037" s="1">
        <v>-7.0466668349899999</v>
      </c>
      <c r="E3037" s="3">
        <v>2</v>
      </c>
      <c r="F3037" s="2">
        <v>3</v>
      </c>
      <c r="G3037" s="4">
        <v>3</v>
      </c>
      <c r="H3037" s="13"/>
      <c r="I3037" s="15"/>
      <c r="J3037" s="19">
        <v>3</v>
      </c>
      <c r="K3037" s="2" t="s">
        <v>6084</v>
      </c>
      <c r="L3037" s="11" t="str">
        <f t="shared" si="48"/>
        <v>Ver Imagen</v>
      </c>
      <c r="M3037" t="s">
        <v>15</v>
      </c>
    </row>
    <row r="3038" spans="1:13" x14ac:dyDescent="0.25">
      <c r="A3038">
        <v>3037</v>
      </c>
      <c r="B3038" t="s">
        <v>6085</v>
      </c>
      <c r="C3038" s="1">
        <v>37.316178234299997</v>
      </c>
      <c r="D3038" s="1">
        <v>-7.0693596149599998</v>
      </c>
      <c r="E3038" s="3">
        <v>3</v>
      </c>
      <c r="F3038" s="2">
        <v>3</v>
      </c>
      <c r="G3038" s="4">
        <v>4</v>
      </c>
      <c r="H3038" s="13"/>
      <c r="I3038" s="15"/>
      <c r="J3038" s="19">
        <v>3</v>
      </c>
      <c r="K3038" s="2" t="s">
        <v>6086</v>
      </c>
      <c r="L3038" s="11" t="str">
        <f t="shared" si="48"/>
        <v>Ver Imagen</v>
      </c>
      <c r="M3038" t="s">
        <v>15</v>
      </c>
    </row>
    <row r="3039" spans="1:13" x14ac:dyDescent="0.25">
      <c r="A3039">
        <v>3038</v>
      </c>
      <c r="B3039" t="s">
        <v>6087</v>
      </c>
      <c r="C3039" s="1">
        <v>37.316511183700001</v>
      </c>
      <c r="D3039" s="1">
        <v>-7.0700163630299997</v>
      </c>
      <c r="E3039" s="3">
        <v>3</v>
      </c>
      <c r="F3039" s="2">
        <v>3</v>
      </c>
      <c r="G3039" s="4">
        <v>4</v>
      </c>
      <c r="H3039" s="13"/>
      <c r="I3039" s="15"/>
      <c r="J3039" s="19">
        <v>3</v>
      </c>
      <c r="K3039" s="2" t="s">
        <v>6088</v>
      </c>
      <c r="L3039" s="11" t="str">
        <f t="shared" si="48"/>
        <v>Ver Imagen</v>
      </c>
      <c r="M3039" t="s">
        <v>15</v>
      </c>
    </row>
    <row r="3040" spans="1:13" x14ac:dyDescent="0.25">
      <c r="A3040">
        <v>3039</v>
      </c>
      <c r="B3040" t="s">
        <v>6089</v>
      </c>
      <c r="C3040" s="1">
        <v>37.447973612699997</v>
      </c>
      <c r="D3040" s="1">
        <v>-7.1092931044999998</v>
      </c>
      <c r="E3040" s="3">
        <v>2</v>
      </c>
      <c r="F3040" s="2">
        <v>3</v>
      </c>
      <c r="G3040" s="4">
        <v>3</v>
      </c>
      <c r="H3040" s="13"/>
      <c r="I3040" s="15"/>
      <c r="J3040" s="19">
        <v>3</v>
      </c>
      <c r="K3040" s="2" t="s">
        <v>6090</v>
      </c>
      <c r="L3040" s="11" t="str">
        <f t="shared" si="48"/>
        <v>Ver Imagen</v>
      </c>
      <c r="M3040" t="s">
        <v>15</v>
      </c>
    </row>
    <row r="3041" spans="1:13" x14ac:dyDescent="0.25">
      <c r="A3041">
        <v>3040</v>
      </c>
      <c r="B3041" t="s">
        <v>6091</v>
      </c>
      <c r="C3041" s="1">
        <v>37.446854455599997</v>
      </c>
      <c r="D3041" s="1">
        <v>-7.1071662045600004</v>
      </c>
      <c r="E3041" s="3">
        <v>2</v>
      </c>
      <c r="F3041" s="2">
        <v>3</v>
      </c>
      <c r="G3041" s="4">
        <v>3</v>
      </c>
      <c r="H3041" s="13"/>
      <c r="I3041" s="15"/>
      <c r="J3041" s="19">
        <v>3</v>
      </c>
      <c r="K3041" s="2" t="s">
        <v>6092</v>
      </c>
      <c r="L3041" s="11" t="str">
        <f t="shared" si="48"/>
        <v>Ver Imagen</v>
      </c>
      <c r="M3041" t="s">
        <v>15</v>
      </c>
    </row>
    <row r="3042" spans="1:13" x14ac:dyDescent="0.25">
      <c r="A3042">
        <v>3041</v>
      </c>
      <c r="B3042" t="s">
        <v>6093</v>
      </c>
      <c r="C3042" s="1">
        <v>37.268905995099999</v>
      </c>
      <c r="D3042" s="1">
        <v>-6.9755077269700001</v>
      </c>
      <c r="E3042" s="3">
        <v>3</v>
      </c>
      <c r="F3042" s="2">
        <v>3</v>
      </c>
      <c r="G3042" s="4">
        <v>4</v>
      </c>
      <c r="H3042" s="13"/>
      <c r="I3042" s="15"/>
      <c r="J3042" s="19">
        <v>3</v>
      </c>
      <c r="K3042" s="2" t="s">
        <v>6094</v>
      </c>
      <c r="L3042" s="11" t="str">
        <f t="shared" si="48"/>
        <v>Ver Imagen</v>
      </c>
      <c r="M3042" t="s">
        <v>15</v>
      </c>
    </row>
    <row r="3043" spans="1:13" x14ac:dyDescent="0.25">
      <c r="A3043">
        <v>3042</v>
      </c>
      <c r="B3043" t="s">
        <v>6095</v>
      </c>
      <c r="C3043" s="1">
        <v>37.268734260199999</v>
      </c>
      <c r="D3043" s="1">
        <v>-6.9747675231499997</v>
      </c>
      <c r="E3043" s="3">
        <v>3</v>
      </c>
      <c r="F3043" s="2">
        <v>3</v>
      </c>
      <c r="G3043" s="4">
        <v>4</v>
      </c>
      <c r="H3043" s="13"/>
      <c r="I3043" s="15"/>
      <c r="J3043" s="19">
        <v>3</v>
      </c>
      <c r="K3043" s="2" t="s">
        <v>6096</v>
      </c>
      <c r="L3043" s="11" t="str">
        <f t="shared" si="48"/>
        <v>Ver Imagen</v>
      </c>
      <c r="M3043" t="s">
        <v>15</v>
      </c>
    </row>
    <row r="3044" spans="1:13" x14ac:dyDescent="0.25">
      <c r="A3044">
        <v>3043</v>
      </c>
      <c r="B3044" t="s">
        <v>6097</v>
      </c>
      <c r="C3044" s="1">
        <v>37.268531533299999</v>
      </c>
      <c r="D3044" s="1">
        <v>-6.9738405700400001</v>
      </c>
      <c r="E3044" s="3">
        <v>2</v>
      </c>
      <c r="F3044" s="2">
        <v>3</v>
      </c>
      <c r="G3044" s="4">
        <v>3</v>
      </c>
      <c r="H3044" s="13"/>
      <c r="I3044" s="15"/>
      <c r="J3044" s="19">
        <v>3</v>
      </c>
      <c r="K3044" s="2" t="s">
        <v>6098</v>
      </c>
      <c r="L3044" s="11" t="str">
        <f t="shared" si="48"/>
        <v>Ver Imagen</v>
      </c>
      <c r="M3044" t="s">
        <v>15</v>
      </c>
    </row>
    <row r="3045" spans="1:13" x14ac:dyDescent="0.25">
      <c r="A3045">
        <v>3044</v>
      </c>
      <c r="B3045" t="s">
        <v>6099</v>
      </c>
      <c r="C3045" s="1">
        <v>37.267934135099999</v>
      </c>
      <c r="D3045" s="1">
        <v>-6.97031000543</v>
      </c>
      <c r="E3045" s="3">
        <v>2</v>
      </c>
      <c r="F3045" s="2">
        <v>3</v>
      </c>
      <c r="G3045" s="4">
        <v>3</v>
      </c>
      <c r="H3045" s="13"/>
      <c r="I3045" s="15"/>
      <c r="J3045" s="19">
        <v>3</v>
      </c>
      <c r="K3045" s="2" t="s">
        <v>6100</v>
      </c>
      <c r="L3045" s="11" t="str">
        <f t="shared" si="48"/>
        <v>Ver Imagen</v>
      </c>
      <c r="M3045" t="s">
        <v>15</v>
      </c>
    </row>
    <row r="3046" spans="1:13" x14ac:dyDescent="0.25">
      <c r="A3046">
        <v>3045</v>
      </c>
      <c r="B3046" t="s">
        <v>6101</v>
      </c>
      <c r="C3046" s="1">
        <v>37.267906073200002</v>
      </c>
      <c r="D3046" s="1">
        <v>-6.9700915117399997</v>
      </c>
      <c r="E3046" s="3">
        <v>2</v>
      </c>
      <c r="F3046" s="2">
        <v>3</v>
      </c>
      <c r="G3046" s="4">
        <v>3</v>
      </c>
      <c r="H3046" s="13"/>
      <c r="I3046" s="15"/>
      <c r="J3046" s="19">
        <v>3</v>
      </c>
      <c r="K3046" s="2" t="s">
        <v>6102</v>
      </c>
      <c r="L3046" s="11" t="str">
        <f t="shared" si="48"/>
        <v>Ver Imagen</v>
      </c>
      <c r="M3046" t="s">
        <v>15</v>
      </c>
    </row>
    <row r="3047" spans="1:13" x14ac:dyDescent="0.25">
      <c r="A3047">
        <v>3046</v>
      </c>
      <c r="B3047" t="s">
        <v>6103</v>
      </c>
      <c r="C3047" s="1">
        <v>37.267809129900002</v>
      </c>
      <c r="D3047" s="1">
        <v>-6.9692800718700001</v>
      </c>
      <c r="E3047" s="3">
        <v>2</v>
      </c>
      <c r="F3047" s="2">
        <v>3</v>
      </c>
      <c r="G3047" s="4">
        <v>3</v>
      </c>
      <c r="H3047" s="13"/>
      <c r="I3047" s="15"/>
      <c r="J3047" s="19">
        <v>3</v>
      </c>
      <c r="K3047" s="2" t="s">
        <v>6104</v>
      </c>
      <c r="L3047" s="11" t="str">
        <f t="shared" si="48"/>
        <v>Ver Imagen</v>
      </c>
      <c r="M3047" t="s">
        <v>15</v>
      </c>
    </row>
    <row r="3048" spans="1:13" x14ac:dyDescent="0.25">
      <c r="A3048">
        <v>3047</v>
      </c>
      <c r="B3048" t="s">
        <v>6105</v>
      </c>
      <c r="C3048" s="1">
        <v>37.267733807799999</v>
      </c>
      <c r="D3048" s="1">
        <v>-6.9685310670799998</v>
      </c>
      <c r="E3048" s="3">
        <v>2</v>
      </c>
      <c r="F3048" s="2">
        <v>3</v>
      </c>
      <c r="G3048" s="4">
        <v>3</v>
      </c>
      <c r="H3048" s="13"/>
      <c r="I3048" s="15"/>
      <c r="J3048" s="19">
        <v>3</v>
      </c>
      <c r="K3048" s="2" t="s">
        <v>6106</v>
      </c>
      <c r="L3048" s="11" t="str">
        <f t="shared" si="48"/>
        <v>Ver Imagen</v>
      </c>
      <c r="M3048" t="s">
        <v>15</v>
      </c>
    </row>
    <row r="3049" spans="1:13" x14ac:dyDescent="0.25">
      <c r="A3049">
        <v>3048</v>
      </c>
      <c r="B3049" t="s">
        <v>6107</v>
      </c>
      <c r="C3049" s="1">
        <v>37.267692391899999</v>
      </c>
      <c r="D3049" s="1">
        <v>-6.9680662087499998</v>
      </c>
      <c r="E3049" s="3">
        <v>2</v>
      </c>
      <c r="F3049" s="2">
        <v>3</v>
      </c>
      <c r="G3049" s="4">
        <v>3</v>
      </c>
      <c r="H3049" s="13"/>
      <c r="I3049" s="15"/>
      <c r="J3049" s="19">
        <v>3</v>
      </c>
      <c r="K3049" s="2" t="s">
        <v>6108</v>
      </c>
      <c r="L3049" s="11" t="str">
        <f t="shared" ref="L3049:L3112" si="49">HYPERLINK("3\1\" &amp; K3049, "Ver Imagen")</f>
        <v>Ver Imagen</v>
      </c>
      <c r="M3049" t="s">
        <v>15</v>
      </c>
    </row>
    <row r="3050" spans="1:13" x14ac:dyDescent="0.25">
      <c r="A3050">
        <v>3049</v>
      </c>
      <c r="B3050" t="s">
        <v>6109</v>
      </c>
      <c r="C3050" s="1">
        <v>37.2676364139</v>
      </c>
      <c r="D3050" s="1">
        <v>-6.9673345801200002</v>
      </c>
      <c r="E3050" s="3">
        <v>2</v>
      </c>
      <c r="F3050" s="2">
        <v>3</v>
      </c>
      <c r="G3050" s="4">
        <v>3</v>
      </c>
      <c r="H3050" s="13"/>
      <c r="I3050" s="15"/>
      <c r="J3050" s="19">
        <v>3</v>
      </c>
      <c r="K3050" s="2" t="s">
        <v>6110</v>
      </c>
      <c r="L3050" s="11" t="str">
        <f t="shared" si="49"/>
        <v>Ver Imagen</v>
      </c>
      <c r="M3050" t="s">
        <v>15</v>
      </c>
    </row>
    <row r="3051" spans="1:13" x14ac:dyDescent="0.25">
      <c r="A3051">
        <v>3050</v>
      </c>
      <c r="B3051" t="s">
        <v>6111</v>
      </c>
      <c r="C3051" s="1">
        <v>37.267619342800003</v>
      </c>
      <c r="D3051" s="1">
        <v>-6.9670607164499998</v>
      </c>
      <c r="E3051" s="3">
        <v>2</v>
      </c>
      <c r="F3051" s="2">
        <v>3</v>
      </c>
      <c r="G3051" s="4">
        <v>3</v>
      </c>
      <c r="H3051" s="13"/>
      <c r="I3051" s="15"/>
      <c r="J3051" s="19">
        <v>3</v>
      </c>
      <c r="K3051" s="2" t="s">
        <v>6112</v>
      </c>
      <c r="L3051" s="11" t="str">
        <f t="shared" si="49"/>
        <v>Ver Imagen</v>
      </c>
      <c r="M3051" t="s">
        <v>15</v>
      </c>
    </row>
    <row r="3052" spans="1:13" x14ac:dyDescent="0.25">
      <c r="A3052">
        <v>3051</v>
      </c>
      <c r="B3052" t="s">
        <v>6113</v>
      </c>
      <c r="C3052" s="1">
        <v>37.267579004600002</v>
      </c>
      <c r="D3052" s="1">
        <v>-6.9662742793900003</v>
      </c>
      <c r="E3052" s="3">
        <v>2</v>
      </c>
      <c r="F3052" s="2">
        <v>3</v>
      </c>
      <c r="G3052" s="4">
        <v>3</v>
      </c>
      <c r="H3052" s="13"/>
      <c r="I3052" s="15"/>
      <c r="J3052" s="19">
        <v>3</v>
      </c>
      <c r="K3052" s="2" t="s">
        <v>6114</v>
      </c>
      <c r="L3052" s="11" t="str">
        <f t="shared" si="49"/>
        <v>Ver Imagen</v>
      </c>
      <c r="M3052" t="s">
        <v>15</v>
      </c>
    </row>
    <row r="3053" spans="1:13" x14ac:dyDescent="0.25">
      <c r="A3053">
        <v>3052</v>
      </c>
      <c r="B3053" t="s">
        <v>6115</v>
      </c>
      <c r="C3053" s="1">
        <v>37.267546107400001</v>
      </c>
      <c r="D3053" s="1">
        <v>-6.9652955510199996</v>
      </c>
      <c r="E3053" s="3">
        <v>2</v>
      </c>
      <c r="F3053" s="2">
        <v>3</v>
      </c>
      <c r="G3053" s="4">
        <v>3</v>
      </c>
      <c r="H3053" s="13"/>
      <c r="I3053" s="15"/>
      <c r="J3053" s="19">
        <v>3</v>
      </c>
      <c r="K3053" s="2" t="s">
        <v>6116</v>
      </c>
      <c r="L3053" s="11" t="str">
        <f t="shared" si="49"/>
        <v>Ver Imagen</v>
      </c>
      <c r="M3053" t="s">
        <v>15</v>
      </c>
    </row>
    <row r="3054" spans="1:13" x14ac:dyDescent="0.25">
      <c r="A3054">
        <v>3053</v>
      </c>
      <c r="B3054" t="s">
        <v>6117</v>
      </c>
      <c r="C3054" s="1">
        <v>37.267524944999998</v>
      </c>
      <c r="D3054" s="1">
        <v>-6.9642521329499996</v>
      </c>
      <c r="E3054" s="3">
        <v>3</v>
      </c>
      <c r="F3054" s="2">
        <v>3</v>
      </c>
      <c r="G3054" s="4">
        <v>4</v>
      </c>
      <c r="H3054" s="13"/>
      <c r="I3054" s="15"/>
      <c r="J3054" s="19">
        <v>3</v>
      </c>
      <c r="K3054" s="2" t="s">
        <v>6118</v>
      </c>
      <c r="L3054" s="11" t="str">
        <f t="shared" si="49"/>
        <v>Ver Imagen</v>
      </c>
      <c r="M3054" t="s">
        <v>15</v>
      </c>
    </row>
    <row r="3055" spans="1:13" x14ac:dyDescent="0.25">
      <c r="A3055">
        <v>3054</v>
      </c>
      <c r="B3055" t="s">
        <v>6119</v>
      </c>
      <c r="C3055" s="1">
        <v>37.267519643699998</v>
      </c>
      <c r="D3055" s="1">
        <v>-6.9639996854500001</v>
      </c>
      <c r="E3055" s="3">
        <v>2</v>
      </c>
      <c r="F3055" s="2">
        <v>3</v>
      </c>
      <c r="G3055" s="4">
        <v>3</v>
      </c>
      <c r="H3055" s="13"/>
      <c r="I3055" s="15"/>
      <c r="J3055" s="19">
        <v>3</v>
      </c>
      <c r="K3055" s="2" t="s">
        <v>6120</v>
      </c>
      <c r="L3055" s="11" t="str">
        <f t="shared" si="49"/>
        <v>Ver Imagen</v>
      </c>
      <c r="M3055" t="s">
        <v>15</v>
      </c>
    </row>
    <row r="3056" spans="1:13" x14ac:dyDescent="0.25">
      <c r="A3056">
        <v>3055</v>
      </c>
      <c r="B3056" t="s">
        <v>6121</v>
      </c>
      <c r="C3056" s="1">
        <v>37.267510236200003</v>
      </c>
      <c r="D3056" s="1">
        <v>-6.9635126541799997</v>
      </c>
      <c r="E3056" s="3">
        <v>3</v>
      </c>
      <c r="F3056" s="2">
        <v>3</v>
      </c>
      <c r="G3056" s="4">
        <v>4</v>
      </c>
      <c r="H3056" s="13"/>
      <c r="I3056" s="15"/>
      <c r="J3056" s="19">
        <v>3</v>
      </c>
      <c r="K3056" s="2" t="s">
        <v>6122</v>
      </c>
      <c r="L3056" s="11" t="str">
        <f t="shared" si="49"/>
        <v>Ver Imagen</v>
      </c>
      <c r="M3056" t="s">
        <v>15</v>
      </c>
    </row>
    <row r="3057" spans="1:13" x14ac:dyDescent="0.25">
      <c r="A3057">
        <v>3056</v>
      </c>
      <c r="B3057" t="s">
        <v>6123</v>
      </c>
      <c r="C3057" s="1">
        <v>37.191182394199998</v>
      </c>
      <c r="D3057" s="1">
        <v>-6.9913677016799998</v>
      </c>
      <c r="E3057" s="3">
        <v>2</v>
      </c>
      <c r="F3057" s="2">
        <v>3</v>
      </c>
      <c r="G3057" s="4">
        <v>3</v>
      </c>
      <c r="H3057" s="13"/>
      <c r="I3057" s="15"/>
      <c r="J3057" s="19">
        <v>3</v>
      </c>
      <c r="K3057" s="2" t="s">
        <v>6124</v>
      </c>
      <c r="L3057" s="11" t="str">
        <f t="shared" si="49"/>
        <v>Ver Imagen</v>
      </c>
      <c r="M3057" t="s">
        <v>15</v>
      </c>
    </row>
    <row r="3058" spans="1:13" x14ac:dyDescent="0.25">
      <c r="A3058">
        <v>3057</v>
      </c>
      <c r="B3058" t="s">
        <v>6125</v>
      </c>
      <c r="C3058" s="1">
        <v>37.1932924826</v>
      </c>
      <c r="D3058" s="1">
        <v>-6.9960381076699996</v>
      </c>
      <c r="E3058" s="3">
        <v>2</v>
      </c>
      <c r="F3058" s="2">
        <v>3</v>
      </c>
      <c r="G3058" s="4">
        <v>3</v>
      </c>
      <c r="H3058" s="13"/>
      <c r="I3058" s="15"/>
      <c r="J3058" s="19">
        <v>3</v>
      </c>
      <c r="K3058" s="2" t="s">
        <v>6126</v>
      </c>
      <c r="L3058" s="11" t="str">
        <f t="shared" si="49"/>
        <v>Ver Imagen</v>
      </c>
      <c r="M3058" t="s">
        <v>15</v>
      </c>
    </row>
    <row r="3059" spans="1:13" x14ac:dyDescent="0.25">
      <c r="A3059">
        <v>3058</v>
      </c>
      <c r="B3059" t="s">
        <v>6127</v>
      </c>
      <c r="C3059" s="1">
        <v>37.193964317099997</v>
      </c>
      <c r="D3059" s="1">
        <v>-6.9976217312899998</v>
      </c>
      <c r="E3059" s="3">
        <v>2</v>
      </c>
      <c r="F3059" s="2">
        <v>3</v>
      </c>
      <c r="G3059" s="4">
        <v>3</v>
      </c>
      <c r="H3059" s="13"/>
      <c r="I3059" s="15"/>
      <c r="J3059" s="19">
        <v>3</v>
      </c>
      <c r="K3059" s="2" t="s">
        <v>6128</v>
      </c>
      <c r="L3059" s="11" t="str">
        <f t="shared" si="49"/>
        <v>Ver Imagen</v>
      </c>
      <c r="M3059" t="s">
        <v>15</v>
      </c>
    </row>
    <row r="3060" spans="1:13" x14ac:dyDescent="0.25">
      <c r="A3060">
        <v>3059</v>
      </c>
      <c r="B3060" t="s">
        <v>6129</v>
      </c>
      <c r="C3060" s="1">
        <v>37.1977070895</v>
      </c>
      <c r="D3060" s="1">
        <v>-7.0065688884600004</v>
      </c>
      <c r="E3060" s="3">
        <v>2</v>
      </c>
      <c r="F3060" s="2">
        <v>3</v>
      </c>
      <c r="G3060" s="4">
        <v>3</v>
      </c>
      <c r="H3060" s="13"/>
      <c r="I3060" s="15"/>
      <c r="J3060" s="19">
        <v>3</v>
      </c>
      <c r="K3060" s="2" t="s">
        <v>6130</v>
      </c>
      <c r="L3060" s="11" t="str">
        <f t="shared" si="49"/>
        <v>Ver Imagen</v>
      </c>
      <c r="M3060" t="s">
        <v>15</v>
      </c>
    </row>
    <row r="3061" spans="1:13" x14ac:dyDescent="0.25">
      <c r="A3061">
        <v>3060</v>
      </c>
      <c r="B3061" t="s">
        <v>6131</v>
      </c>
      <c r="C3061" s="1">
        <v>37.199969767200002</v>
      </c>
      <c r="D3061" s="1">
        <v>-7.0107045831799999</v>
      </c>
      <c r="E3061" s="3">
        <v>3</v>
      </c>
      <c r="F3061" s="2">
        <v>3</v>
      </c>
      <c r="G3061" s="4">
        <v>4</v>
      </c>
      <c r="H3061" s="13"/>
      <c r="I3061" s="15"/>
      <c r="J3061" s="19">
        <v>3</v>
      </c>
      <c r="K3061" s="2" t="s">
        <v>6132</v>
      </c>
      <c r="L3061" s="11" t="str">
        <f t="shared" si="49"/>
        <v>Ver Imagen</v>
      </c>
      <c r="M3061" t="s">
        <v>15</v>
      </c>
    </row>
    <row r="3062" spans="1:13" x14ac:dyDescent="0.25">
      <c r="A3062">
        <v>3061</v>
      </c>
      <c r="B3062" t="s">
        <v>6133</v>
      </c>
      <c r="C3062" s="1">
        <v>37.200249568700002</v>
      </c>
      <c r="D3062" s="1">
        <v>-7.0111414515500003</v>
      </c>
      <c r="E3062" s="3">
        <v>3</v>
      </c>
      <c r="F3062" s="2">
        <v>3</v>
      </c>
      <c r="G3062" s="4">
        <v>4</v>
      </c>
      <c r="H3062" s="13"/>
      <c r="I3062" s="15"/>
      <c r="J3062" s="19">
        <v>3</v>
      </c>
      <c r="K3062" s="2" t="s">
        <v>6134</v>
      </c>
      <c r="L3062" s="11" t="str">
        <f t="shared" si="49"/>
        <v>Ver Imagen</v>
      </c>
      <c r="M3062" t="s">
        <v>15</v>
      </c>
    </row>
    <row r="3063" spans="1:13" x14ac:dyDescent="0.25">
      <c r="A3063">
        <v>3062</v>
      </c>
      <c r="B3063" t="s">
        <v>6135</v>
      </c>
      <c r="C3063" s="1">
        <v>37.207580591599999</v>
      </c>
      <c r="D3063" s="1">
        <v>-7.0222369320900002</v>
      </c>
      <c r="E3063" s="3">
        <v>3</v>
      </c>
      <c r="F3063" s="2">
        <v>3</v>
      </c>
      <c r="G3063" s="4">
        <v>4</v>
      </c>
      <c r="H3063" s="13"/>
      <c r="I3063" s="15"/>
      <c r="J3063" s="19">
        <v>3</v>
      </c>
      <c r="K3063" s="2" t="s">
        <v>6136</v>
      </c>
      <c r="L3063" s="11" t="str">
        <f t="shared" si="49"/>
        <v>Ver Imagen</v>
      </c>
      <c r="M3063" t="s">
        <v>15</v>
      </c>
    </row>
    <row r="3064" spans="1:13" x14ac:dyDescent="0.25">
      <c r="A3064">
        <v>3063</v>
      </c>
      <c r="B3064" t="s">
        <v>6137</v>
      </c>
      <c r="C3064" s="1">
        <v>37.218384341499998</v>
      </c>
      <c r="D3064" s="1">
        <v>-7.1244703786399999</v>
      </c>
      <c r="E3064" s="3">
        <v>2</v>
      </c>
      <c r="F3064" s="2">
        <v>3</v>
      </c>
      <c r="G3064" s="4">
        <v>3</v>
      </c>
      <c r="H3064" s="13"/>
      <c r="I3064" s="15"/>
      <c r="J3064" s="19">
        <v>3</v>
      </c>
      <c r="K3064" s="2" t="s">
        <v>6138</v>
      </c>
      <c r="L3064" s="11" t="str">
        <f t="shared" si="49"/>
        <v>Ver Imagen</v>
      </c>
      <c r="M3064" t="s">
        <v>15</v>
      </c>
    </row>
    <row r="3065" spans="1:13" x14ac:dyDescent="0.25">
      <c r="A3065">
        <v>3064</v>
      </c>
      <c r="B3065" t="s">
        <v>6139</v>
      </c>
      <c r="C3065" s="1">
        <v>37.218346566299999</v>
      </c>
      <c r="D3065" s="1">
        <v>-7.1237280009499999</v>
      </c>
      <c r="E3065" s="3">
        <v>3</v>
      </c>
      <c r="F3065" s="2">
        <v>3</v>
      </c>
      <c r="G3065" s="4">
        <v>4</v>
      </c>
      <c r="H3065" s="13"/>
      <c r="I3065" s="15"/>
      <c r="J3065" s="19">
        <v>3</v>
      </c>
      <c r="K3065" s="2" t="s">
        <v>6140</v>
      </c>
      <c r="L3065" s="11" t="str">
        <f t="shared" si="49"/>
        <v>Ver Imagen</v>
      </c>
      <c r="M3065" t="s">
        <v>15</v>
      </c>
    </row>
    <row r="3066" spans="1:13" x14ac:dyDescent="0.25">
      <c r="A3066">
        <v>3065</v>
      </c>
      <c r="B3066" t="s">
        <v>6141</v>
      </c>
      <c r="C3066" s="1">
        <v>37.218062607299998</v>
      </c>
      <c r="D3066" s="1">
        <v>-7.1224930077800002</v>
      </c>
      <c r="E3066" s="3">
        <v>2</v>
      </c>
      <c r="F3066" s="2">
        <v>3</v>
      </c>
      <c r="G3066" s="4">
        <v>3</v>
      </c>
      <c r="H3066" s="13"/>
      <c r="I3066" s="15"/>
      <c r="J3066" s="19">
        <v>3</v>
      </c>
      <c r="K3066" s="2" t="s">
        <v>6142</v>
      </c>
      <c r="L3066" s="11" t="str">
        <f t="shared" si="49"/>
        <v>Ver Imagen</v>
      </c>
      <c r="M3066" t="s">
        <v>15</v>
      </c>
    </row>
    <row r="3067" spans="1:13" x14ac:dyDescent="0.25">
      <c r="A3067">
        <v>3066</v>
      </c>
      <c r="B3067" t="s">
        <v>6143</v>
      </c>
      <c r="C3067" s="1">
        <v>37.2176988063</v>
      </c>
      <c r="D3067" s="1">
        <v>-7.1154973301600002</v>
      </c>
      <c r="E3067" s="3">
        <v>3</v>
      </c>
      <c r="F3067" s="2">
        <v>3</v>
      </c>
      <c r="G3067" s="4">
        <v>2</v>
      </c>
      <c r="H3067" s="13"/>
      <c r="I3067" s="15"/>
      <c r="J3067" s="19">
        <v>3</v>
      </c>
      <c r="K3067" s="2" t="s">
        <v>6144</v>
      </c>
      <c r="L3067" s="11" t="str">
        <f t="shared" si="49"/>
        <v>Ver Imagen</v>
      </c>
      <c r="M3067" t="s">
        <v>15</v>
      </c>
    </row>
    <row r="3068" spans="1:13" x14ac:dyDescent="0.25">
      <c r="A3068">
        <v>3067</v>
      </c>
      <c r="B3068" t="s">
        <v>6145</v>
      </c>
      <c r="C3068" s="1">
        <v>37.217645398199998</v>
      </c>
      <c r="D3068" s="1">
        <v>-7.1094557709300004</v>
      </c>
      <c r="E3068" s="3">
        <v>2</v>
      </c>
      <c r="F3068" s="2">
        <v>3</v>
      </c>
      <c r="G3068" s="4">
        <v>3</v>
      </c>
      <c r="H3068" s="13"/>
      <c r="I3068" s="15"/>
      <c r="J3068" s="19">
        <v>3</v>
      </c>
      <c r="K3068" s="2" t="s">
        <v>6146</v>
      </c>
      <c r="L3068" s="11" t="str">
        <f t="shared" si="49"/>
        <v>Ver Imagen</v>
      </c>
      <c r="M3068" t="s">
        <v>15</v>
      </c>
    </row>
    <row r="3069" spans="1:13" x14ac:dyDescent="0.25">
      <c r="A3069">
        <v>3068</v>
      </c>
      <c r="B3069" t="s">
        <v>6147</v>
      </c>
      <c r="C3069" s="1">
        <v>37.216609273000003</v>
      </c>
      <c r="D3069" s="1">
        <v>-7.0934114730699998</v>
      </c>
      <c r="E3069" s="3">
        <v>2</v>
      </c>
      <c r="F3069" s="2">
        <v>3</v>
      </c>
      <c r="G3069" s="4">
        <v>3</v>
      </c>
      <c r="H3069" s="13"/>
      <c r="I3069" s="15"/>
      <c r="J3069" s="19">
        <v>3</v>
      </c>
      <c r="K3069" s="2" t="s">
        <v>6148</v>
      </c>
      <c r="L3069" s="11" t="str">
        <f t="shared" si="49"/>
        <v>Ver Imagen</v>
      </c>
      <c r="M3069" t="s">
        <v>15</v>
      </c>
    </row>
    <row r="3070" spans="1:13" x14ac:dyDescent="0.25">
      <c r="A3070">
        <v>3069</v>
      </c>
      <c r="B3070" t="s">
        <v>6149</v>
      </c>
      <c r="C3070" s="1">
        <v>37.216377036499999</v>
      </c>
      <c r="D3070" s="1">
        <v>-7.0918932248399997</v>
      </c>
      <c r="E3070" s="3">
        <v>2</v>
      </c>
      <c r="F3070" s="2">
        <v>3</v>
      </c>
      <c r="G3070" s="4">
        <v>3</v>
      </c>
      <c r="H3070" s="13"/>
      <c r="I3070" s="15"/>
      <c r="J3070" s="19">
        <v>3</v>
      </c>
      <c r="K3070" s="2" t="s">
        <v>6150</v>
      </c>
      <c r="L3070" s="11" t="str">
        <f t="shared" si="49"/>
        <v>Ver Imagen</v>
      </c>
      <c r="M3070" t="s">
        <v>15</v>
      </c>
    </row>
    <row r="3071" spans="1:13" x14ac:dyDescent="0.25">
      <c r="A3071">
        <v>3070</v>
      </c>
      <c r="B3071" t="s">
        <v>6151</v>
      </c>
      <c r="C3071" s="1">
        <v>37.216338716300001</v>
      </c>
      <c r="D3071" s="1">
        <v>-7.0916497947700003</v>
      </c>
      <c r="E3071" s="3">
        <v>2</v>
      </c>
      <c r="F3071" s="2">
        <v>3</v>
      </c>
      <c r="G3071" s="4">
        <v>3</v>
      </c>
      <c r="H3071" s="13"/>
      <c r="I3071" s="15"/>
      <c r="J3071" s="19">
        <v>3</v>
      </c>
      <c r="K3071" s="2" t="s">
        <v>6152</v>
      </c>
      <c r="L3071" s="11" t="str">
        <f t="shared" si="49"/>
        <v>Ver Imagen</v>
      </c>
      <c r="M3071" t="s">
        <v>15</v>
      </c>
    </row>
    <row r="3072" spans="1:13" x14ac:dyDescent="0.25">
      <c r="A3072">
        <v>3071</v>
      </c>
      <c r="B3072" t="s">
        <v>6153</v>
      </c>
      <c r="C3072" s="1">
        <v>37.216197333300002</v>
      </c>
      <c r="D3072" s="1">
        <v>-7.0841126703599997</v>
      </c>
      <c r="E3072" s="3">
        <v>2</v>
      </c>
      <c r="F3072" s="2">
        <v>3</v>
      </c>
      <c r="G3072" s="4">
        <v>3</v>
      </c>
      <c r="H3072" s="13"/>
      <c r="I3072" s="15"/>
      <c r="J3072" s="19">
        <v>3</v>
      </c>
      <c r="K3072" s="2" t="s">
        <v>6154</v>
      </c>
      <c r="L3072" s="11" t="str">
        <f t="shared" si="49"/>
        <v>Ver Imagen</v>
      </c>
      <c r="M3072" t="s">
        <v>15</v>
      </c>
    </row>
    <row r="3073" spans="1:13" x14ac:dyDescent="0.25">
      <c r="A3073">
        <v>3072</v>
      </c>
      <c r="B3073" t="s">
        <v>6155</v>
      </c>
      <c r="C3073" s="1">
        <v>37.214141253699999</v>
      </c>
      <c r="D3073" s="1">
        <v>-7.07515283625</v>
      </c>
      <c r="E3073" s="3">
        <v>2</v>
      </c>
      <c r="F3073" s="2">
        <v>3</v>
      </c>
      <c r="G3073" s="4">
        <v>3</v>
      </c>
      <c r="H3073" s="13"/>
      <c r="I3073" s="15"/>
      <c r="J3073" s="19">
        <v>3</v>
      </c>
      <c r="K3073" s="2" t="s">
        <v>6156</v>
      </c>
      <c r="L3073" s="11" t="str">
        <f t="shared" si="49"/>
        <v>Ver Imagen</v>
      </c>
      <c r="M3073" t="s">
        <v>15</v>
      </c>
    </row>
    <row r="3074" spans="1:13" x14ac:dyDescent="0.25">
      <c r="A3074">
        <v>3073</v>
      </c>
      <c r="B3074" t="s">
        <v>6157</v>
      </c>
      <c r="C3074" s="1">
        <v>37.213295516899997</v>
      </c>
      <c r="D3074" s="1">
        <v>-7.0650942016</v>
      </c>
      <c r="E3074" s="3">
        <v>2</v>
      </c>
      <c r="F3074" s="2">
        <v>3</v>
      </c>
      <c r="G3074" s="4">
        <v>3</v>
      </c>
      <c r="H3074" s="13"/>
      <c r="I3074" s="15"/>
      <c r="J3074" s="19">
        <v>3</v>
      </c>
      <c r="K3074" s="2" t="s">
        <v>6158</v>
      </c>
      <c r="L3074" s="11" t="str">
        <f t="shared" si="49"/>
        <v>Ver Imagen</v>
      </c>
      <c r="M3074" t="s">
        <v>15</v>
      </c>
    </row>
    <row r="3075" spans="1:13" x14ac:dyDescent="0.25">
      <c r="A3075">
        <v>3074</v>
      </c>
      <c r="B3075" t="s">
        <v>6159</v>
      </c>
      <c r="C3075" s="1">
        <v>37.210812026399999</v>
      </c>
      <c r="D3075" s="1">
        <v>-7.0533065366800001</v>
      </c>
      <c r="E3075" s="3">
        <v>3</v>
      </c>
      <c r="F3075" s="2">
        <v>3</v>
      </c>
      <c r="G3075" s="4">
        <v>4</v>
      </c>
      <c r="H3075" s="13"/>
      <c r="I3075" s="15"/>
      <c r="J3075" s="19">
        <v>3</v>
      </c>
      <c r="K3075" s="2" t="s">
        <v>6160</v>
      </c>
      <c r="L3075" s="11" t="str">
        <f t="shared" si="49"/>
        <v>Ver Imagen</v>
      </c>
      <c r="M3075" t="s">
        <v>15</v>
      </c>
    </row>
    <row r="3076" spans="1:13" x14ac:dyDescent="0.25">
      <c r="A3076">
        <v>3075</v>
      </c>
      <c r="B3076" t="s">
        <v>6161</v>
      </c>
      <c r="C3076" s="1">
        <v>37.211403091599998</v>
      </c>
      <c r="D3076" s="1">
        <v>-7.0499384159799998</v>
      </c>
      <c r="E3076" s="3">
        <v>2</v>
      </c>
      <c r="F3076" s="2">
        <v>3</v>
      </c>
      <c r="G3076" s="4">
        <v>3</v>
      </c>
      <c r="H3076" s="13"/>
      <c r="I3076" s="15"/>
      <c r="J3076" s="19">
        <v>3</v>
      </c>
      <c r="K3076" s="2" t="s">
        <v>6162</v>
      </c>
      <c r="L3076" s="11" t="str">
        <f t="shared" si="49"/>
        <v>Ver Imagen</v>
      </c>
      <c r="M3076" t="s">
        <v>15</v>
      </c>
    </row>
    <row r="3077" spans="1:13" x14ac:dyDescent="0.25">
      <c r="A3077">
        <v>3076</v>
      </c>
      <c r="B3077" t="s">
        <v>6163</v>
      </c>
      <c r="C3077" s="1">
        <v>37.208364788099999</v>
      </c>
      <c r="D3077" s="1">
        <v>-7.0374750337599998</v>
      </c>
      <c r="E3077" s="3">
        <v>3</v>
      </c>
      <c r="F3077" s="2">
        <v>3</v>
      </c>
      <c r="G3077" s="4">
        <v>4</v>
      </c>
      <c r="H3077" s="13"/>
      <c r="I3077" s="15"/>
      <c r="J3077" s="19">
        <v>3</v>
      </c>
      <c r="K3077" s="2" t="s">
        <v>6164</v>
      </c>
      <c r="L3077" s="11" t="str">
        <f t="shared" si="49"/>
        <v>Ver Imagen</v>
      </c>
      <c r="M3077" t="s">
        <v>15</v>
      </c>
    </row>
    <row r="3078" spans="1:13" x14ac:dyDescent="0.25">
      <c r="A3078">
        <v>3077</v>
      </c>
      <c r="B3078" t="s">
        <v>6165</v>
      </c>
      <c r="C3078" s="1">
        <v>37.208281735699998</v>
      </c>
      <c r="D3078" s="1">
        <v>-7.0372577744499996</v>
      </c>
      <c r="E3078" s="3">
        <v>3</v>
      </c>
      <c r="F3078" s="2">
        <v>3</v>
      </c>
      <c r="G3078" s="4">
        <v>4</v>
      </c>
      <c r="H3078" s="13"/>
      <c r="I3078" s="15"/>
      <c r="J3078" s="19">
        <v>3</v>
      </c>
      <c r="K3078" s="2" t="s">
        <v>6166</v>
      </c>
      <c r="L3078" s="11" t="str">
        <f t="shared" si="49"/>
        <v>Ver Imagen</v>
      </c>
      <c r="M3078" t="s">
        <v>15</v>
      </c>
    </row>
    <row r="3079" spans="1:13" x14ac:dyDescent="0.25">
      <c r="A3079">
        <v>3078</v>
      </c>
      <c r="B3079" t="s">
        <v>6167</v>
      </c>
      <c r="C3079" s="1">
        <v>37.207306945799999</v>
      </c>
      <c r="D3079" s="1">
        <v>-7.0347373834300004</v>
      </c>
      <c r="E3079" s="3">
        <v>3</v>
      </c>
      <c r="F3079" s="2">
        <v>3</v>
      </c>
      <c r="G3079" s="4">
        <v>2</v>
      </c>
      <c r="H3079" s="13"/>
      <c r="I3079" s="15"/>
      <c r="J3079" s="19">
        <v>3</v>
      </c>
      <c r="K3079" s="2" t="s">
        <v>6168</v>
      </c>
      <c r="L3079" s="11" t="str">
        <f t="shared" si="49"/>
        <v>Ver Imagen</v>
      </c>
      <c r="M3079" t="s">
        <v>15</v>
      </c>
    </row>
    <row r="3080" spans="1:13" x14ac:dyDescent="0.25">
      <c r="A3080">
        <v>3079</v>
      </c>
      <c r="B3080" t="s">
        <v>6169</v>
      </c>
      <c r="C3080" s="1">
        <v>37.206867310500002</v>
      </c>
      <c r="D3080" s="1">
        <v>-7.0336002472699999</v>
      </c>
      <c r="E3080" s="3">
        <v>2</v>
      </c>
      <c r="F3080" s="2">
        <v>3</v>
      </c>
      <c r="G3080" s="4">
        <v>3</v>
      </c>
      <c r="H3080" s="13"/>
      <c r="I3080" s="15"/>
      <c r="J3080" s="19">
        <v>3</v>
      </c>
      <c r="K3080" s="2" t="s">
        <v>6170</v>
      </c>
      <c r="L3080" s="11" t="str">
        <f t="shared" si="49"/>
        <v>Ver Imagen</v>
      </c>
      <c r="M3080" t="s">
        <v>15</v>
      </c>
    </row>
    <row r="3081" spans="1:13" x14ac:dyDescent="0.25">
      <c r="A3081">
        <v>3080</v>
      </c>
      <c r="B3081" t="s">
        <v>6171</v>
      </c>
      <c r="C3081" s="1">
        <v>37.206782137700003</v>
      </c>
      <c r="D3081" s="1">
        <v>-7.0333752188799998</v>
      </c>
      <c r="E3081" s="3">
        <v>2</v>
      </c>
      <c r="F3081" s="2">
        <v>3</v>
      </c>
      <c r="G3081" s="4">
        <v>3</v>
      </c>
      <c r="H3081" s="13"/>
      <c r="I3081" s="15"/>
      <c r="J3081" s="19">
        <v>3</v>
      </c>
      <c r="K3081" s="2" t="s">
        <v>6172</v>
      </c>
      <c r="L3081" s="11" t="str">
        <f t="shared" si="49"/>
        <v>Ver Imagen</v>
      </c>
      <c r="M3081" t="s">
        <v>15</v>
      </c>
    </row>
    <row r="3082" spans="1:13" x14ac:dyDescent="0.25">
      <c r="A3082">
        <v>3081</v>
      </c>
      <c r="B3082" t="s">
        <v>6173</v>
      </c>
      <c r="C3082" s="1">
        <v>37.205805046400002</v>
      </c>
      <c r="D3082" s="1">
        <v>-7.03083514291</v>
      </c>
      <c r="E3082" s="3">
        <v>2</v>
      </c>
      <c r="F3082" s="2">
        <v>3</v>
      </c>
      <c r="G3082" s="4">
        <v>3</v>
      </c>
      <c r="H3082" s="13"/>
      <c r="I3082" s="15"/>
      <c r="J3082" s="19">
        <v>3</v>
      </c>
      <c r="K3082" s="2" t="s">
        <v>6174</v>
      </c>
      <c r="L3082" s="11" t="str">
        <f t="shared" si="49"/>
        <v>Ver Imagen</v>
      </c>
      <c r="M3082" t="s">
        <v>15</v>
      </c>
    </row>
    <row r="3083" spans="1:13" x14ac:dyDescent="0.25">
      <c r="A3083">
        <v>3082</v>
      </c>
      <c r="B3083" t="s">
        <v>6175</v>
      </c>
      <c r="C3083" s="1">
        <v>37.205369057399999</v>
      </c>
      <c r="D3083" s="1">
        <v>-7.0296951681199999</v>
      </c>
      <c r="E3083" s="3">
        <v>3</v>
      </c>
      <c r="F3083" s="2">
        <v>3</v>
      </c>
      <c r="G3083" s="4">
        <v>4</v>
      </c>
      <c r="H3083" s="13"/>
      <c r="I3083" s="15"/>
      <c r="J3083" s="19">
        <v>3</v>
      </c>
      <c r="K3083" s="2" t="s">
        <v>6176</v>
      </c>
      <c r="L3083" s="11" t="str">
        <f t="shared" si="49"/>
        <v>Ver Imagen</v>
      </c>
      <c r="M3083" t="s">
        <v>15</v>
      </c>
    </row>
    <row r="3084" spans="1:13" x14ac:dyDescent="0.25">
      <c r="A3084">
        <v>3083</v>
      </c>
      <c r="B3084" t="s">
        <v>6177</v>
      </c>
      <c r="C3084" s="1">
        <v>37.2042142158</v>
      </c>
      <c r="D3084" s="1">
        <v>-7.02681799399</v>
      </c>
      <c r="E3084" s="3">
        <v>3</v>
      </c>
      <c r="F3084" s="2">
        <v>3</v>
      </c>
      <c r="G3084" s="4">
        <v>4</v>
      </c>
      <c r="H3084" s="13"/>
      <c r="I3084" s="15"/>
      <c r="J3084" s="19">
        <v>3</v>
      </c>
      <c r="K3084" s="2" t="s">
        <v>6178</v>
      </c>
      <c r="L3084" s="11" t="str">
        <f t="shared" si="49"/>
        <v>Ver Imagen</v>
      </c>
      <c r="M3084" t="s">
        <v>15</v>
      </c>
    </row>
    <row r="3085" spans="1:13" x14ac:dyDescent="0.25">
      <c r="A3085">
        <v>3084</v>
      </c>
      <c r="B3085" t="s">
        <v>6179</v>
      </c>
      <c r="C3085" s="1">
        <v>37.198648448</v>
      </c>
      <c r="D3085" s="1">
        <v>-7.0121844988799999</v>
      </c>
      <c r="E3085" s="3">
        <v>2</v>
      </c>
      <c r="F3085" s="2">
        <v>3</v>
      </c>
      <c r="G3085" s="4">
        <v>3</v>
      </c>
      <c r="H3085" s="13"/>
      <c r="I3085" s="15"/>
      <c r="J3085" s="19">
        <v>3</v>
      </c>
      <c r="K3085" s="2" t="s">
        <v>6180</v>
      </c>
      <c r="L3085" s="11" t="str">
        <f t="shared" si="49"/>
        <v>Ver Imagen</v>
      </c>
      <c r="M3085" t="s">
        <v>15</v>
      </c>
    </row>
    <row r="3086" spans="1:13" x14ac:dyDescent="0.25">
      <c r="A3086">
        <v>3085</v>
      </c>
      <c r="B3086" t="s">
        <v>6181</v>
      </c>
      <c r="C3086" s="1">
        <v>37.198016565099998</v>
      </c>
      <c r="D3086" s="1">
        <v>-7.0105523062600001</v>
      </c>
      <c r="E3086" s="3">
        <v>2</v>
      </c>
      <c r="F3086" s="2">
        <v>3</v>
      </c>
      <c r="G3086" s="4">
        <v>3</v>
      </c>
      <c r="H3086" s="13"/>
      <c r="I3086" s="15"/>
      <c r="J3086" s="19">
        <v>3</v>
      </c>
      <c r="K3086" s="2" t="s">
        <v>6182</v>
      </c>
      <c r="L3086" s="11" t="str">
        <f t="shared" si="49"/>
        <v>Ver Imagen</v>
      </c>
      <c r="M3086" t="s">
        <v>15</v>
      </c>
    </row>
    <row r="3087" spans="1:13" x14ac:dyDescent="0.25">
      <c r="A3087">
        <v>3086</v>
      </c>
      <c r="B3087" t="s">
        <v>6183</v>
      </c>
      <c r="C3087" s="1">
        <v>37.196997182099999</v>
      </c>
      <c r="D3087" s="1">
        <v>-7.0057559185000002</v>
      </c>
      <c r="E3087" s="3">
        <v>2</v>
      </c>
      <c r="F3087" s="2">
        <v>3</v>
      </c>
      <c r="G3087" s="4">
        <v>3</v>
      </c>
      <c r="H3087" s="13"/>
      <c r="I3087" s="15"/>
      <c r="J3087" s="19">
        <v>3</v>
      </c>
      <c r="K3087" s="2" t="s">
        <v>6184</v>
      </c>
      <c r="L3087" s="11" t="str">
        <f t="shared" si="49"/>
        <v>Ver Imagen</v>
      </c>
      <c r="M3087" t="s">
        <v>15</v>
      </c>
    </row>
    <row r="3088" spans="1:13" x14ac:dyDescent="0.25">
      <c r="A3088">
        <v>3087</v>
      </c>
      <c r="B3088" t="s">
        <v>6185</v>
      </c>
      <c r="C3088" s="1">
        <v>37.196863298499999</v>
      </c>
      <c r="D3088" s="1">
        <v>-7.0052696471200004</v>
      </c>
      <c r="E3088" s="3">
        <v>2</v>
      </c>
      <c r="F3088" s="2">
        <v>3</v>
      </c>
      <c r="G3088" s="4">
        <v>3</v>
      </c>
      <c r="H3088" s="13"/>
      <c r="I3088" s="15"/>
      <c r="J3088" s="19">
        <v>3</v>
      </c>
      <c r="K3088" s="2" t="s">
        <v>6186</v>
      </c>
      <c r="L3088" s="11" t="str">
        <f t="shared" si="49"/>
        <v>Ver Imagen</v>
      </c>
      <c r="M3088" t="s">
        <v>15</v>
      </c>
    </row>
    <row r="3089" spans="1:13" x14ac:dyDescent="0.25">
      <c r="A3089">
        <v>3088</v>
      </c>
      <c r="B3089" t="s">
        <v>6187</v>
      </c>
      <c r="C3089" s="1">
        <v>37.287049916599997</v>
      </c>
      <c r="D3089" s="1">
        <v>-7.1412638388699996</v>
      </c>
      <c r="E3089" s="3">
        <v>2</v>
      </c>
      <c r="F3089" s="2">
        <v>3</v>
      </c>
      <c r="G3089" s="4">
        <v>3</v>
      </c>
      <c r="H3089" s="13"/>
      <c r="I3089" s="15"/>
      <c r="J3089" s="19">
        <v>3</v>
      </c>
      <c r="K3089" s="2" t="s">
        <v>6188</v>
      </c>
      <c r="L3089" s="11" t="str">
        <f t="shared" si="49"/>
        <v>Ver Imagen</v>
      </c>
      <c r="M3089" t="s">
        <v>15</v>
      </c>
    </row>
    <row r="3090" spans="1:13" x14ac:dyDescent="0.25">
      <c r="A3090">
        <v>3089</v>
      </c>
      <c r="B3090" t="s">
        <v>6189</v>
      </c>
      <c r="C3090" s="1">
        <v>37.286663564599998</v>
      </c>
      <c r="D3090" s="1">
        <v>-7.1414057224</v>
      </c>
      <c r="E3090" s="3">
        <v>2</v>
      </c>
      <c r="F3090" s="2">
        <v>3</v>
      </c>
      <c r="G3090" s="4">
        <v>3</v>
      </c>
      <c r="H3090" s="13"/>
      <c r="I3090" s="15"/>
      <c r="J3090" s="19">
        <v>3</v>
      </c>
      <c r="K3090" s="2" t="s">
        <v>6190</v>
      </c>
      <c r="L3090" s="11" t="str">
        <f t="shared" si="49"/>
        <v>Ver Imagen</v>
      </c>
      <c r="M3090" t="s">
        <v>15</v>
      </c>
    </row>
    <row r="3091" spans="1:13" x14ac:dyDescent="0.25">
      <c r="A3091">
        <v>3090</v>
      </c>
      <c r="B3091" t="s">
        <v>6191</v>
      </c>
      <c r="C3091" s="1">
        <v>37.2809809671</v>
      </c>
      <c r="D3091" s="1">
        <v>-7.1448926936300001</v>
      </c>
      <c r="E3091" s="3">
        <v>2</v>
      </c>
      <c r="F3091" s="2">
        <v>3</v>
      </c>
      <c r="G3091" s="4">
        <v>3</v>
      </c>
      <c r="H3091" s="13"/>
      <c r="I3091" s="15"/>
      <c r="J3091" s="19">
        <v>3</v>
      </c>
      <c r="K3091" s="2" t="s">
        <v>6192</v>
      </c>
      <c r="L3091" s="11" t="str">
        <f t="shared" si="49"/>
        <v>Ver Imagen</v>
      </c>
      <c r="M3091" t="s">
        <v>15</v>
      </c>
    </row>
    <row r="3092" spans="1:13" x14ac:dyDescent="0.25">
      <c r="A3092">
        <v>3091</v>
      </c>
      <c r="B3092" t="s">
        <v>6193</v>
      </c>
      <c r="C3092" s="1">
        <v>37.280821570900002</v>
      </c>
      <c r="D3092" s="1">
        <v>-7.1450011723899998</v>
      </c>
      <c r="E3092" s="3">
        <v>2</v>
      </c>
      <c r="F3092" s="2">
        <v>3</v>
      </c>
      <c r="G3092" s="4">
        <v>3</v>
      </c>
      <c r="H3092" s="13"/>
      <c r="I3092" s="15"/>
      <c r="J3092" s="19">
        <v>3</v>
      </c>
      <c r="K3092" s="2" t="s">
        <v>6194</v>
      </c>
      <c r="L3092" s="11" t="str">
        <f t="shared" si="49"/>
        <v>Ver Imagen</v>
      </c>
      <c r="M3092" t="s">
        <v>15</v>
      </c>
    </row>
    <row r="3093" spans="1:13" x14ac:dyDescent="0.25">
      <c r="A3093">
        <v>3092</v>
      </c>
      <c r="B3093" t="s">
        <v>6195</v>
      </c>
      <c r="C3093" s="1">
        <v>37.280640208100003</v>
      </c>
      <c r="D3093" s="1">
        <v>-7.1451294496499997</v>
      </c>
      <c r="E3093" s="3">
        <v>2</v>
      </c>
      <c r="F3093" s="2">
        <v>3</v>
      </c>
      <c r="G3093" s="4">
        <v>3</v>
      </c>
      <c r="H3093" s="13"/>
      <c r="I3093" s="15"/>
      <c r="J3093" s="19">
        <v>3</v>
      </c>
      <c r="K3093" s="2" t="s">
        <v>6196</v>
      </c>
      <c r="L3093" s="11" t="str">
        <f t="shared" si="49"/>
        <v>Ver Imagen</v>
      </c>
      <c r="M3093" t="s">
        <v>15</v>
      </c>
    </row>
    <row r="3094" spans="1:13" x14ac:dyDescent="0.25">
      <c r="A3094">
        <v>3093</v>
      </c>
      <c r="B3094" t="s">
        <v>6197</v>
      </c>
      <c r="C3094" s="1">
        <v>37.280480312000002</v>
      </c>
      <c r="D3094" s="1">
        <v>-7.1452459470600003</v>
      </c>
      <c r="E3094" s="3">
        <v>2</v>
      </c>
      <c r="F3094" s="2">
        <v>3</v>
      </c>
      <c r="G3094" s="4">
        <v>3</v>
      </c>
      <c r="H3094" s="13"/>
      <c r="I3094" s="15"/>
      <c r="J3094" s="19">
        <v>3</v>
      </c>
      <c r="K3094" s="2" t="s">
        <v>6198</v>
      </c>
      <c r="L3094" s="11" t="str">
        <f t="shared" si="49"/>
        <v>Ver Imagen</v>
      </c>
      <c r="M3094" t="s">
        <v>15</v>
      </c>
    </row>
    <row r="3095" spans="1:13" x14ac:dyDescent="0.25">
      <c r="A3095">
        <v>3094</v>
      </c>
      <c r="B3095" t="s">
        <v>6199</v>
      </c>
      <c r="C3095" s="1">
        <v>37.280302781700001</v>
      </c>
      <c r="D3095" s="1">
        <v>-7.1453907386399997</v>
      </c>
      <c r="E3095" s="3">
        <v>2</v>
      </c>
      <c r="F3095" s="2">
        <v>3</v>
      </c>
      <c r="G3095" s="4">
        <v>3</v>
      </c>
      <c r="H3095" s="13"/>
      <c r="I3095" s="15"/>
      <c r="J3095" s="19">
        <v>3</v>
      </c>
      <c r="K3095" s="2" t="s">
        <v>6200</v>
      </c>
      <c r="L3095" s="11" t="str">
        <f t="shared" si="49"/>
        <v>Ver Imagen</v>
      </c>
      <c r="M3095" t="s">
        <v>15</v>
      </c>
    </row>
    <row r="3096" spans="1:13" x14ac:dyDescent="0.25">
      <c r="A3096">
        <v>3095</v>
      </c>
      <c r="B3096" t="s">
        <v>6201</v>
      </c>
      <c r="C3096" s="1">
        <v>37.280058510499998</v>
      </c>
      <c r="D3096" s="1">
        <v>-7.1458213294400004</v>
      </c>
      <c r="E3096" s="3">
        <v>2</v>
      </c>
      <c r="F3096" s="2">
        <v>3</v>
      </c>
      <c r="G3096" s="4">
        <v>3</v>
      </c>
      <c r="H3096" s="13"/>
      <c r="I3096" s="15"/>
      <c r="J3096" s="19">
        <v>3</v>
      </c>
      <c r="K3096" s="2" t="s">
        <v>6202</v>
      </c>
      <c r="L3096" s="11" t="str">
        <f t="shared" si="49"/>
        <v>Ver Imagen</v>
      </c>
      <c r="M3096" t="s">
        <v>15</v>
      </c>
    </row>
    <row r="3097" spans="1:13" x14ac:dyDescent="0.25">
      <c r="A3097">
        <v>3096</v>
      </c>
      <c r="B3097" t="s">
        <v>6203</v>
      </c>
      <c r="C3097" s="1">
        <v>37.276983489300001</v>
      </c>
      <c r="D3097" s="1">
        <v>-7.1432362135099998</v>
      </c>
      <c r="E3097" s="3">
        <v>2</v>
      </c>
      <c r="F3097" s="2">
        <v>3</v>
      </c>
      <c r="G3097" s="4">
        <v>3</v>
      </c>
      <c r="H3097" s="13"/>
      <c r="I3097" s="15"/>
      <c r="J3097" s="19">
        <v>3</v>
      </c>
      <c r="K3097" s="2" t="s">
        <v>6204</v>
      </c>
      <c r="L3097" s="11" t="str">
        <f t="shared" si="49"/>
        <v>Ver Imagen</v>
      </c>
      <c r="M3097" t="s">
        <v>15</v>
      </c>
    </row>
    <row r="3098" spans="1:13" x14ac:dyDescent="0.25">
      <c r="A3098">
        <v>3097</v>
      </c>
      <c r="B3098" t="s">
        <v>6205</v>
      </c>
      <c r="C3098" s="1">
        <v>37.2729496145</v>
      </c>
      <c r="D3098" s="1">
        <v>-7.1417535011900002</v>
      </c>
      <c r="E3098" s="3">
        <v>3</v>
      </c>
      <c r="F3098" s="2">
        <v>3</v>
      </c>
      <c r="G3098" s="4">
        <v>4</v>
      </c>
      <c r="H3098" s="13"/>
      <c r="I3098" s="15"/>
      <c r="J3098" s="19">
        <v>3</v>
      </c>
      <c r="K3098" s="2" t="s">
        <v>6206</v>
      </c>
      <c r="L3098" s="11" t="str">
        <f t="shared" si="49"/>
        <v>Ver Imagen</v>
      </c>
      <c r="M3098" t="s">
        <v>15</v>
      </c>
    </row>
    <row r="3099" spans="1:13" x14ac:dyDescent="0.25">
      <c r="A3099">
        <v>3098</v>
      </c>
      <c r="B3099" t="s">
        <v>6207</v>
      </c>
      <c r="C3099" s="1">
        <v>37.272390383000001</v>
      </c>
      <c r="D3099" s="1">
        <v>-7.1414362330800003</v>
      </c>
      <c r="E3099" s="3">
        <v>2</v>
      </c>
      <c r="F3099" s="2">
        <v>3</v>
      </c>
      <c r="G3099" s="4">
        <v>3</v>
      </c>
      <c r="H3099" s="13"/>
      <c r="I3099" s="15"/>
      <c r="J3099" s="19">
        <v>3</v>
      </c>
      <c r="K3099" s="2" t="s">
        <v>6208</v>
      </c>
      <c r="L3099" s="11" t="str">
        <f t="shared" si="49"/>
        <v>Ver Imagen</v>
      </c>
      <c r="M3099" t="s">
        <v>15</v>
      </c>
    </row>
    <row r="3100" spans="1:13" x14ac:dyDescent="0.25">
      <c r="A3100">
        <v>3099</v>
      </c>
      <c r="B3100" t="s">
        <v>6209</v>
      </c>
      <c r="C3100" s="1">
        <v>37.271022608999999</v>
      </c>
      <c r="D3100" s="1">
        <v>-7.1403230348999998</v>
      </c>
      <c r="E3100" s="3">
        <v>4</v>
      </c>
      <c r="F3100" s="2">
        <v>3</v>
      </c>
      <c r="G3100" s="4">
        <v>3</v>
      </c>
      <c r="H3100" s="13"/>
      <c r="I3100" s="15"/>
      <c r="J3100" s="19">
        <v>3</v>
      </c>
      <c r="K3100" s="2" t="s">
        <v>6210</v>
      </c>
      <c r="L3100" s="11" t="str">
        <f t="shared" si="49"/>
        <v>Ver Imagen</v>
      </c>
      <c r="M3100" t="s">
        <v>15</v>
      </c>
    </row>
    <row r="3101" spans="1:13" x14ac:dyDescent="0.25">
      <c r="A3101">
        <v>3100</v>
      </c>
      <c r="B3101" t="s">
        <v>6211</v>
      </c>
      <c r="C3101" s="1">
        <v>37.2696357568</v>
      </c>
      <c r="D3101" s="1">
        <v>-7.1392967892700003</v>
      </c>
      <c r="E3101" s="3">
        <v>3</v>
      </c>
      <c r="F3101" s="2">
        <v>3</v>
      </c>
      <c r="G3101" s="4">
        <v>4</v>
      </c>
      <c r="H3101" s="13"/>
      <c r="I3101" s="15"/>
      <c r="J3101" s="19">
        <v>3</v>
      </c>
      <c r="K3101" s="2" t="s">
        <v>6212</v>
      </c>
      <c r="L3101" s="11" t="str">
        <f t="shared" si="49"/>
        <v>Ver Imagen</v>
      </c>
      <c r="M3101" t="s">
        <v>15</v>
      </c>
    </row>
    <row r="3102" spans="1:13" x14ac:dyDescent="0.25">
      <c r="A3102">
        <v>3101</v>
      </c>
      <c r="B3102" t="s">
        <v>6213</v>
      </c>
      <c r="C3102" s="1">
        <v>37.269332920499998</v>
      </c>
      <c r="D3102" s="1">
        <v>-7.1389642668400004</v>
      </c>
      <c r="E3102" s="3">
        <v>3</v>
      </c>
      <c r="F3102" s="2">
        <v>3</v>
      </c>
      <c r="G3102" s="4">
        <v>4</v>
      </c>
      <c r="H3102" s="13"/>
      <c r="I3102" s="15"/>
      <c r="J3102" s="19">
        <v>3</v>
      </c>
      <c r="K3102" s="2" t="s">
        <v>6214</v>
      </c>
      <c r="L3102" s="11" t="str">
        <f t="shared" si="49"/>
        <v>Ver Imagen</v>
      </c>
      <c r="M3102" t="s">
        <v>15</v>
      </c>
    </row>
    <row r="3103" spans="1:13" x14ac:dyDescent="0.25">
      <c r="A3103">
        <v>3102</v>
      </c>
      <c r="B3103" t="s">
        <v>6215</v>
      </c>
      <c r="C3103" s="1">
        <v>37.268269489700003</v>
      </c>
      <c r="D3103" s="1">
        <v>-7.1357255210400004</v>
      </c>
      <c r="E3103" s="3">
        <v>3</v>
      </c>
      <c r="F3103" s="2">
        <v>3</v>
      </c>
      <c r="G3103" s="4">
        <v>4</v>
      </c>
      <c r="H3103" s="13"/>
      <c r="I3103" s="15"/>
      <c r="J3103" s="19">
        <v>3</v>
      </c>
      <c r="K3103" s="2" t="s">
        <v>6216</v>
      </c>
      <c r="L3103" s="11" t="str">
        <f t="shared" si="49"/>
        <v>Ver Imagen</v>
      </c>
      <c r="M3103" t="s">
        <v>15</v>
      </c>
    </row>
    <row r="3104" spans="1:13" x14ac:dyDescent="0.25">
      <c r="A3104">
        <v>3103</v>
      </c>
      <c r="B3104" t="s">
        <v>6217</v>
      </c>
      <c r="C3104" s="1">
        <v>37.266993255000003</v>
      </c>
      <c r="D3104" s="1">
        <v>-7.1335192768500004</v>
      </c>
      <c r="E3104" s="3">
        <v>4</v>
      </c>
      <c r="F3104" s="2">
        <v>3</v>
      </c>
      <c r="G3104" s="4">
        <v>3</v>
      </c>
      <c r="H3104" s="13"/>
      <c r="I3104" s="15"/>
      <c r="J3104" s="19">
        <v>3</v>
      </c>
      <c r="K3104" s="2" t="s">
        <v>6218</v>
      </c>
      <c r="L3104" s="11" t="str">
        <f t="shared" si="49"/>
        <v>Ver Imagen</v>
      </c>
      <c r="M3104" t="s">
        <v>15</v>
      </c>
    </row>
    <row r="3105" spans="1:13" x14ac:dyDescent="0.25">
      <c r="A3105">
        <v>3104</v>
      </c>
      <c r="B3105" t="s">
        <v>6219</v>
      </c>
      <c r="C3105" s="1">
        <v>37.266497530599999</v>
      </c>
      <c r="D3105" s="1">
        <v>-7.1331703049100001</v>
      </c>
      <c r="E3105" s="3">
        <v>4</v>
      </c>
      <c r="F3105" s="2">
        <v>3</v>
      </c>
      <c r="G3105" s="4">
        <v>3</v>
      </c>
      <c r="H3105" s="13"/>
      <c r="I3105" s="15"/>
      <c r="J3105" s="19">
        <v>3</v>
      </c>
      <c r="K3105" s="2" t="s">
        <v>6220</v>
      </c>
      <c r="L3105" s="11" t="str">
        <f t="shared" si="49"/>
        <v>Ver Imagen</v>
      </c>
      <c r="M3105" t="s">
        <v>15</v>
      </c>
    </row>
    <row r="3106" spans="1:13" x14ac:dyDescent="0.25">
      <c r="A3106">
        <v>3105</v>
      </c>
      <c r="B3106" t="s">
        <v>6221</v>
      </c>
      <c r="C3106" s="1">
        <v>37.263939162</v>
      </c>
      <c r="D3106" s="1">
        <v>-7.1315614894600001</v>
      </c>
      <c r="E3106" s="3">
        <v>4</v>
      </c>
      <c r="F3106" s="2">
        <v>3</v>
      </c>
      <c r="G3106" s="4">
        <v>3</v>
      </c>
      <c r="H3106" s="13"/>
      <c r="I3106" s="15"/>
      <c r="J3106" s="19">
        <v>3</v>
      </c>
      <c r="K3106" s="2" t="s">
        <v>6222</v>
      </c>
      <c r="L3106" s="11" t="str">
        <f t="shared" si="49"/>
        <v>Ver Imagen</v>
      </c>
      <c r="M3106" t="s">
        <v>15</v>
      </c>
    </row>
    <row r="3107" spans="1:13" x14ac:dyDescent="0.25">
      <c r="A3107">
        <v>3106</v>
      </c>
      <c r="B3107" t="s">
        <v>6223</v>
      </c>
      <c r="C3107" s="1">
        <v>37.262848671999997</v>
      </c>
      <c r="D3107" s="1">
        <v>-7.1308700119699999</v>
      </c>
      <c r="E3107" s="3">
        <v>4</v>
      </c>
      <c r="F3107" s="2">
        <v>3</v>
      </c>
      <c r="G3107" s="4">
        <v>3</v>
      </c>
      <c r="H3107" s="13"/>
      <c r="I3107" s="15"/>
      <c r="J3107" s="19">
        <v>3</v>
      </c>
      <c r="K3107" s="2" t="s">
        <v>6224</v>
      </c>
      <c r="L3107" s="11" t="str">
        <f t="shared" si="49"/>
        <v>Ver Imagen</v>
      </c>
      <c r="M3107" t="s">
        <v>15</v>
      </c>
    </row>
    <row r="3108" spans="1:13" x14ac:dyDescent="0.25">
      <c r="A3108">
        <v>3107</v>
      </c>
      <c r="B3108" t="s">
        <v>6225</v>
      </c>
      <c r="C3108" s="1">
        <v>37.262487162100001</v>
      </c>
      <c r="D3108" s="1">
        <v>-7.13064738978</v>
      </c>
      <c r="E3108" s="3">
        <v>4</v>
      </c>
      <c r="F3108" s="2">
        <v>3</v>
      </c>
      <c r="G3108" s="4">
        <v>3</v>
      </c>
      <c r="H3108" s="13"/>
      <c r="I3108" s="15"/>
      <c r="J3108" s="19">
        <v>3</v>
      </c>
      <c r="K3108" s="2" t="s">
        <v>6226</v>
      </c>
      <c r="L3108" s="11" t="str">
        <f t="shared" si="49"/>
        <v>Ver Imagen</v>
      </c>
      <c r="M3108" t="s">
        <v>15</v>
      </c>
    </row>
    <row r="3109" spans="1:13" x14ac:dyDescent="0.25">
      <c r="A3109">
        <v>3108</v>
      </c>
      <c r="B3109" t="s">
        <v>6227</v>
      </c>
      <c r="C3109" s="1">
        <v>37.2619707952</v>
      </c>
      <c r="D3109" s="1">
        <v>-7.1303237533399999</v>
      </c>
      <c r="E3109" s="3">
        <v>3</v>
      </c>
      <c r="F3109" s="2">
        <v>3</v>
      </c>
      <c r="G3109" s="4">
        <v>4</v>
      </c>
      <c r="H3109" s="13"/>
      <c r="I3109" s="15"/>
      <c r="J3109" s="19">
        <v>3</v>
      </c>
      <c r="K3109" s="2" t="s">
        <v>6228</v>
      </c>
      <c r="L3109" s="11" t="str">
        <f t="shared" si="49"/>
        <v>Ver Imagen</v>
      </c>
      <c r="M3109" t="s">
        <v>15</v>
      </c>
    </row>
    <row r="3110" spans="1:13" x14ac:dyDescent="0.25">
      <c r="A3110">
        <v>3109</v>
      </c>
      <c r="B3110" t="s">
        <v>6229</v>
      </c>
      <c r="C3110" s="1">
        <v>37.243464856899998</v>
      </c>
      <c r="D3110" s="1">
        <v>-7.1282449208500003</v>
      </c>
      <c r="E3110" s="3">
        <v>2</v>
      </c>
      <c r="F3110" s="2">
        <v>3</v>
      </c>
      <c r="G3110" s="4">
        <v>3</v>
      </c>
      <c r="H3110" s="13"/>
      <c r="I3110" s="15"/>
      <c r="J3110" s="19">
        <v>3</v>
      </c>
      <c r="K3110" s="2" t="s">
        <v>6230</v>
      </c>
      <c r="L3110" s="11" t="str">
        <f t="shared" si="49"/>
        <v>Ver Imagen</v>
      </c>
      <c r="M3110" t="s">
        <v>15</v>
      </c>
    </row>
    <row r="3111" spans="1:13" x14ac:dyDescent="0.25">
      <c r="A3111">
        <v>3110</v>
      </c>
      <c r="B3111" t="s">
        <v>6231</v>
      </c>
      <c r="C3111" s="1">
        <v>37.243077845899997</v>
      </c>
      <c r="D3111" s="1">
        <v>-7.12830369956</v>
      </c>
      <c r="E3111" s="3">
        <v>2</v>
      </c>
      <c r="F3111" s="2">
        <v>3</v>
      </c>
      <c r="G3111" s="4">
        <v>3</v>
      </c>
      <c r="H3111" s="13"/>
      <c r="I3111" s="15"/>
      <c r="J3111" s="19">
        <v>3</v>
      </c>
      <c r="K3111" s="2" t="s">
        <v>6232</v>
      </c>
      <c r="L3111" s="11" t="str">
        <f t="shared" si="49"/>
        <v>Ver Imagen</v>
      </c>
      <c r="M3111" t="s">
        <v>15</v>
      </c>
    </row>
    <row r="3112" spans="1:13" x14ac:dyDescent="0.25">
      <c r="A3112">
        <v>3111</v>
      </c>
      <c r="B3112" t="s">
        <v>6233</v>
      </c>
      <c r="C3112" s="1">
        <v>37.241035062400002</v>
      </c>
      <c r="D3112" s="1">
        <v>-7.1285898747600003</v>
      </c>
      <c r="E3112" s="3">
        <v>2</v>
      </c>
      <c r="F3112" s="2">
        <v>3</v>
      </c>
      <c r="G3112" s="4">
        <v>3</v>
      </c>
      <c r="H3112" s="13"/>
      <c r="I3112" s="15"/>
      <c r="J3112" s="19">
        <v>3</v>
      </c>
      <c r="K3112" s="2" t="s">
        <v>6234</v>
      </c>
      <c r="L3112" s="11" t="str">
        <f t="shared" si="49"/>
        <v>Ver Imagen</v>
      </c>
      <c r="M3112" t="s">
        <v>15</v>
      </c>
    </row>
    <row r="3113" spans="1:13" x14ac:dyDescent="0.25">
      <c r="A3113">
        <v>3112</v>
      </c>
      <c r="B3113" t="s">
        <v>6235</v>
      </c>
      <c r="C3113" s="1">
        <v>37.240853483199999</v>
      </c>
      <c r="D3113" s="1">
        <v>-7.1286005450900003</v>
      </c>
      <c r="E3113" s="3">
        <v>2</v>
      </c>
      <c r="F3113" s="2">
        <v>3</v>
      </c>
      <c r="G3113" s="4">
        <v>3</v>
      </c>
      <c r="H3113" s="13"/>
      <c r="I3113" s="15"/>
      <c r="J3113" s="19">
        <v>3</v>
      </c>
      <c r="K3113" s="2" t="s">
        <v>6236</v>
      </c>
      <c r="L3113" s="11" t="str">
        <f t="shared" ref="L3113:L3176" si="50">HYPERLINK("3\1\" &amp; K3113, "Ver Imagen")</f>
        <v>Ver Imagen</v>
      </c>
      <c r="M3113" t="s">
        <v>15</v>
      </c>
    </row>
    <row r="3114" spans="1:13" x14ac:dyDescent="0.25">
      <c r="A3114">
        <v>3113</v>
      </c>
      <c r="B3114" t="s">
        <v>6237</v>
      </c>
      <c r="C3114" s="1">
        <v>37.239621368599998</v>
      </c>
      <c r="D3114" s="1">
        <v>-7.1285352849799999</v>
      </c>
      <c r="E3114" s="3">
        <v>2</v>
      </c>
      <c r="F3114" s="2">
        <v>3</v>
      </c>
      <c r="G3114" s="4">
        <v>3</v>
      </c>
      <c r="H3114" s="13"/>
      <c r="I3114" s="15"/>
      <c r="J3114" s="19">
        <v>3</v>
      </c>
      <c r="K3114" s="2" t="s">
        <v>6238</v>
      </c>
      <c r="L3114" s="11" t="str">
        <f t="shared" si="50"/>
        <v>Ver Imagen</v>
      </c>
      <c r="M3114" t="s">
        <v>15</v>
      </c>
    </row>
    <row r="3115" spans="1:13" x14ac:dyDescent="0.25">
      <c r="A3115">
        <v>3114</v>
      </c>
      <c r="B3115" t="s">
        <v>6239</v>
      </c>
      <c r="C3115" s="1">
        <v>37.2380354298</v>
      </c>
      <c r="D3115" s="1">
        <v>-7.1283793313899997</v>
      </c>
      <c r="E3115" s="3">
        <v>2</v>
      </c>
      <c r="F3115" s="2">
        <v>3</v>
      </c>
      <c r="G3115" s="4">
        <v>3</v>
      </c>
      <c r="H3115" s="13"/>
      <c r="I3115" s="15"/>
      <c r="J3115" s="19">
        <v>3</v>
      </c>
      <c r="K3115" s="2" t="s">
        <v>6240</v>
      </c>
      <c r="L3115" s="11" t="str">
        <f t="shared" si="50"/>
        <v>Ver Imagen</v>
      </c>
      <c r="M3115" t="s">
        <v>15</v>
      </c>
    </row>
    <row r="3116" spans="1:13" x14ac:dyDescent="0.25">
      <c r="A3116">
        <v>3115</v>
      </c>
      <c r="B3116" t="s">
        <v>6241</v>
      </c>
      <c r="C3116" s="1">
        <v>37.237831522699999</v>
      </c>
      <c r="D3116" s="1">
        <v>-7.1283592178699999</v>
      </c>
      <c r="E3116" s="3">
        <v>2</v>
      </c>
      <c r="F3116" s="2">
        <v>3</v>
      </c>
      <c r="G3116" s="4">
        <v>3</v>
      </c>
      <c r="H3116" s="13"/>
      <c r="I3116" s="15"/>
      <c r="J3116" s="19">
        <v>3</v>
      </c>
      <c r="K3116" s="2" t="s">
        <v>6242</v>
      </c>
      <c r="L3116" s="11" t="str">
        <f t="shared" si="50"/>
        <v>Ver Imagen</v>
      </c>
      <c r="M3116" t="s">
        <v>15</v>
      </c>
    </row>
    <row r="3117" spans="1:13" x14ac:dyDescent="0.25">
      <c r="A3117">
        <v>3116</v>
      </c>
      <c r="B3117" t="s">
        <v>6243</v>
      </c>
      <c r="C3117" s="1">
        <v>37.231266574999999</v>
      </c>
      <c r="D3117" s="1">
        <v>-7.1270803470199997</v>
      </c>
      <c r="E3117" s="3">
        <v>2</v>
      </c>
      <c r="F3117" s="2">
        <v>3</v>
      </c>
      <c r="G3117" s="4">
        <v>3</v>
      </c>
      <c r="H3117" s="13"/>
      <c r="I3117" s="15"/>
      <c r="J3117" s="19">
        <v>3</v>
      </c>
      <c r="K3117" s="2" t="s">
        <v>6244</v>
      </c>
      <c r="L3117" s="11" t="str">
        <f t="shared" si="50"/>
        <v>Ver Imagen</v>
      </c>
      <c r="M3117" t="s">
        <v>15</v>
      </c>
    </row>
    <row r="3118" spans="1:13" x14ac:dyDescent="0.25">
      <c r="A3118">
        <v>3117</v>
      </c>
      <c r="B3118" t="s">
        <v>6245</v>
      </c>
      <c r="C3118" s="1">
        <v>37.230833903099999</v>
      </c>
      <c r="D3118" s="1">
        <v>-7.1270405569999999</v>
      </c>
      <c r="E3118" s="3">
        <v>2</v>
      </c>
      <c r="F3118" s="2">
        <v>3</v>
      </c>
      <c r="G3118" s="4">
        <v>3</v>
      </c>
      <c r="H3118" s="13"/>
      <c r="I3118" s="15"/>
      <c r="J3118" s="19">
        <v>3</v>
      </c>
      <c r="K3118" s="2" t="s">
        <v>6246</v>
      </c>
      <c r="L3118" s="11" t="str">
        <f t="shared" si="50"/>
        <v>Ver Imagen</v>
      </c>
      <c r="M3118" t="s">
        <v>15</v>
      </c>
    </row>
    <row r="3119" spans="1:13" x14ac:dyDescent="0.25">
      <c r="A3119">
        <v>3118</v>
      </c>
      <c r="B3119" t="s">
        <v>6247</v>
      </c>
      <c r="C3119" s="1">
        <v>37.230660325800002</v>
      </c>
      <c r="D3119" s="1">
        <v>-7.1270239660300003</v>
      </c>
      <c r="E3119" s="3">
        <v>2</v>
      </c>
      <c r="F3119" s="2">
        <v>3</v>
      </c>
      <c r="G3119" s="4">
        <v>3</v>
      </c>
      <c r="H3119" s="13"/>
      <c r="I3119" s="15"/>
      <c r="J3119" s="19">
        <v>3</v>
      </c>
      <c r="K3119" s="2" t="s">
        <v>6248</v>
      </c>
      <c r="L3119" s="11" t="str">
        <f t="shared" si="50"/>
        <v>Ver Imagen</v>
      </c>
      <c r="M3119" t="s">
        <v>15</v>
      </c>
    </row>
    <row r="3120" spans="1:13" x14ac:dyDescent="0.25">
      <c r="A3120">
        <v>3119</v>
      </c>
      <c r="B3120" t="s">
        <v>6249</v>
      </c>
      <c r="C3120" s="1">
        <v>37.230476460600002</v>
      </c>
      <c r="D3120" s="1">
        <v>-7.1270064160900004</v>
      </c>
      <c r="E3120" s="3">
        <v>2</v>
      </c>
      <c r="F3120" s="2">
        <v>3</v>
      </c>
      <c r="G3120" s="4">
        <v>3</v>
      </c>
      <c r="H3120" s="13"/>
      <c r="I3120" s="15"/>
      <c r="J3120" s="19">
        <v>3</v>
      </c>
      <c r="K3120" s="2" t="s">
        <v>6250</v>
      </c>
      <c r="L3120" s="11" t="str">
        <f t="shared" si="50"/>
        <v>Ver Imagen</v>
      </c>
      <c r="M3120" t="s">
        <v>15</v>
      </c>
    </row>
    <row r="3121" spans="1:13" x14ac:dyDescent="0.25">
      <c r="A3121">
        <v>3120</v>
      </c>
      <c r="B3121" t="s">
        <v>6251</v>
      </c>
      <c r="C3121" s="1">
        <v>37.229267947700002</v>
      </c>
      <c r="D3121" s="1">
        <v>-7.1268900075800001</v>
      </c>
      <c r="E3121" s="3">
        <v>2</v>
      </c>
      <c r="F3121" s="2">
        <v>3</v>
      </c>
      <c r="G3121" s="4">
        <v>3</v>
      </c>
      <c r="H3121" s="13"/>
      <c r="I3121" s="15"/>
      <c r="J3121" s="19">
        <v>3</v>
      </c>
      <c r="K3121" s="2" t="s">
        <v>6252</v>
      </c>
      <c r="L3121" s="11" t="str">
        <f t="shared" si="50"/>
        <v>Ver Imagen</v>
      </c>
      <c r="M3121" t="s">
        <v>15</v>
      </c>
    </row>
    <row r="3122" spans="1:13" x14ac:dyDescent="0.25">
      <c r="A3122">
        <v>3121</v>
      </c>
      <c r="B3122" t="s">
        <v>6253</v>
      </c>
      <c r="C3122" s="1">
        <v>37.229061129400002</v>
      </c>
      <c r="D3122" s="1">
        <v>-7.1268676971399998</v>
      </c>
      <c r="E3122" s="3">
        <v>2</v>
      </c>
      <c r="F3122" s="2">
        <v>3</v>
      </c>
      <c r="G3122" s="4">
        <v>3</v>
      </c>
      <c r="H3122" s="13"/>
      <c r="I3122" s="15"/>
      <c r="J3122" s="19">
        <v>3</v>
      </c>
      <c r="K3122" s="2" t="s">
        <v>6254</v>
      </c>
      <c r="L3122" s="11" t="str">
        <f t="shared" si="50"/>
        <v>Ver Imagen</v>
      </c>
      <c r="M3122" t="s">
        <v>15</v>
      </c>
    </row>
    <row r="3123" spans="1:13" x14ac:dyDescent="0.25">
      <c r="A3123">
        <v>3122</v>
      </c>
      <c r="B3123" t="s">
        <v>6255</v>
      </c>
      <c r="C3123" s="1">
        <v>37.228862322300003</v>
      </c>
      <c r="D3123" s="1">
        <v>-7.1268411391899997</v>
      </c>
      <c r="E3123" s="3">
        <v>2</v>
      </c>
      <c r="F3123" s="2">
        <v>3</v>
      </c>
      <c r="G3123" s="4">
        <v>3</v>
      </c>
      <c r="H3123" s="13"/>
      <c r="I3123" s="15"/>
      <c r="J3123" s="19">
        <v>3</v>
      </c>
      <c r="K3123" s="2" t="s">
        <v>6256</v>
      </c>
      <c r="L3123" s="11" t="str">
        <f t="shared" si="50"/>
        <v>Ver Imagen</v>
      </c>
      <c r="M3123" t="s">
        <v>15</v>
      </c>
    </row>
    <row r="3124" spans="1:13" x14ac:dyDescent="0.25">
      <c r="A3124">
        <v>3123</v>
      </c>
      <c r="B3124" t="s">
        <v>6257</v>
      </c>
      <c r="C3124" s="1">
        <v>37.228658078599999</v>
      </c>
      <c r="D3124" s="1">
        <v>-7.1268055211199997</v>
      </c>
      <c r="E3124" s="3">
        <v>3</v>
      </c>
      <c r="F3124" s="2">
        <v>3</v>
      </c>
      <c r="G3124" s="4">
        <v>4</v>
      </c>
      <c r="H3124" s="13"/>
      <c r="I3124" s="15"/>
      <c r="J3124" s="19">
        <v>3</v>
      </c>
      <c r="K3124" s="2" t="s">
        <v>6258</v>
      </c>
      <c r="L3124" s="11" t="str">
        <f t="shared" si="50"/>
        <v>Ver Imagen</v>
      </c>
      <c r="M3124" t="s">
        <v>15</v>
      </c>
    </row>
    <row r="3125" spans="1:13" x14ac:dyDescent="0.25">
      <c r="A3125">
        <v>3124</v>
      </c>
      <c r="B3125" t="s">
        <v>6259</v>
      </c>
      <c r="C3125" s="1">
        <v>37.228262999800002</v>
      </c>
      <c r="D3125" s="1">
        <v>-7.1267390596400002</v>
      </c>
      <c r="E3125" s="3">
        <v>4</v>
      </c>
      <c r="F3125" s="2">
        <v>3</v>
      </c>
      <c r="G3125" s="4">
        <v>3</v>
      </c>
      <c r="H3125" s="13"/>
      <c r="I3125" s="15"/>
      <c r="J3125" s="19">
        <v>3</v>
      </c>
      <c r="K3125" s="2" t="s">
        <v>6260</v>
      </c>
      <c r="L3125" s="11" t="str">
        <f t="shared" si="50"/>
        <v>Ver Imagen</v>
      </c>
      <c r="M3125" t="s">
        <v>15</v>
      </c>
    </row>
    <row r="3126" spans="1:13" x14ac:dyDescent="0.25">
      <c r="A3126">
        <v>3125</v>
      </c>
      <c r="B3126" t="s">
        <v>6261</v>
      </c>
      <c r="C3126" s="1">
        <v>37.226885824900002</v>
      </c>
      <c r="D3126" s="1">
        <v>-7.1263465607200001</v>
      </c>
      <c r="E3126" s="3">
        <v>3</v>
      </c>
      <c r="F3126" s="2">
        <v>3</v>
      </c>
      <c r="G3126" s="4">
        <v>4</v>
      </c>
      <c r="H3126" s="13"/>
      <c r="I3126" s="15"/>
      <c r="J3126" s="19">
        <v>3</v>
      </c>
      <c r="K3126" s="2" t="s">
        <v>6262</v>
      </c>
      <c r="L3126" s="11" t="str">
        <f t="shared" si="50"/>
        <v>Ver Imagen</v>
      </c>
      <c r="M3126" t="s">
        <v>15</v>
      </c>
    </row>
    <row r="3127" spans="1:13" x14ac:dyDescent="0.25">
      <c r="A3127">
        <v>3126</v>
      </c>
      <c r="B3127" t="s">
        <v>6263</v>
      </c>
      <c r="C3127" s="1">
        <v>37.223780396999999</v>
      </c>
      <c r="D3127" s="1">
        <v>-7.12519884575</v>
      </c>
      <c r="E3127" s="3">
        <v>4</v>
      </c>
      <c r="F3127" s="2">
        <v>3</v>
      </c>
      <c r="G3127" s="4">
        <v>3</v>
      </c>
      <c r="H3127" s="13"/>
      <c r="I3127" s="15"/>
      <c r="J3127" s="19">
        <v>3</v>
      </c>
      <c r="K3127" s="2" t="s">
        <v>6264</v>
      </c>
      <c r="L3127" s="11" t="str">
        <f t="shared" si="50"/>
        <v>Ver Imagen</v>
      </c>
      <c r="M3127" t="s">
        <v>15</v>
      </c>
    </row>
    <row r="3128" spans="1:13" x14ac:dyDescent="0.25">
      <c r="A3128">
        <v>3127</v>
      </c>
      <c r="B3128" t="s">
        <v>6265</v>
      </c>
      <c r="C3128" s="1">
        <v>37.221988221099998</v>
      </c>
      <c r="D3128" s="1">
        <v>-7.1251557483800001</v>
      </c>
      <c r="E3128" s="3">
        <v>2</v>
      </c>
      <c r="F3128" s="2">
        <v>3</v>
      </c>
      <c r="G3128" s="4">
        <v>3</v>
      </c>
      <c r="H3128" s="13"/>
      <c r="I3128" s="15"/>
      <c r="J3128" s="19">
        <v>3</v>
      </c>
      <c r="K3128" s="2" t="s">
        <v>6266</v>
      </c>
      <c r="L3128" s="11" t="str">
        <f t="shared" si="50"/>
        <v>Ver Imagen</v>
      </c>
      <c r="M3128" t="s">
        <v>15</v>
      </c>
    </row>
    <row r="3129" spans="1:13" x14ac:dyDescent="0.25">
      <c r="A3129">
        <v>3128</v>
      </c>
      <c r="B3129" t="s">
        <v>6267</v>
      </c>
      <c r="C3129" s="1">
        <v>37.2216006425</v>
      </c>
      <c r="D3129" s="1">
        <v>-7.1253193462400004</v>
      </c>
      <c r="E3129" s="3">
        <v>2</v>
      </c>
      <c r="F3129" s="2">
        <v>3</v>
      </c>
      <c r="G3129" s="4">
        <v>3</v>
      </c>
      <c r="H3129" s="13"/>
      <c r="I3129" s="15"/>
      <c r="J3129" s="19">
        <v>3</v>
      </c>
      <c r="K3129" s="2" t="s">
        <v>6268</v>
      </c>
      <c r="L3129" s="11" t="str">
        <f t="shared" si="50"/>
        <v>Ver Imagen</v>
      </c>
      <c r="M3129" t="s">
        <v>15</v>
      </c>
    </row>
    <row r="3130" spans="1:13" x14ac:dyDescent="0.25">
      <c r="A3130">
        <v>3129</v>
      </c>
      <c r="B3130" t="s">
        <v>6269</v>
      </c>
      <c r="C3130" s="1">
        <v>37.443235650600002</v>
      </c>
      <c r="D3130" s="1">
        <v>-7.0950710855099999</v>
      </c>
      <c r="E3130" s="3">
        <v>2</v>
      </c>
      <c r="F3130" s="2">
        <v>3</v>
      </c>
      <c r="G3130" s="4">
        <v>3</v>
      </c>
      <c r="H3130" s="13"/>
      <c r="I3130" s="15"/>
      <c r="J3130" s="19">
        <v>3</v>
      </c>
      <c r="K3130" s="2" t="s">
        <v>6270</v>
      </c>
      <c r="L3130" s="11" t="str">
        <f t="shared" si="50"/>
        <v>Ver Imagen</v>
      </c>
      <c r="M3130" t="s">
        <v>15</v>
      </c>
    </row>
    <row r="3131" spans="1:13" x14ac:dyDescent="0.25">
      <c r="A3131">
        <v>3130</v>
      </c>
      <c r="B3131" t="s">
        <v>6271</v>
      </c>
      <c r="C3131" s="1">
        <v>37.4427074014</v>
      </c>
      <c r="D3131" s="1">
        <v>-7.0936930899000004</v>
      </c>
      <c r="E3131" s="3">
        <v>3</v>
      </c>
      <c r="F3131" s="2">
        <v>3</v>
      </c>
      <c r="G3131" s="4">
        <v>2</v>
      </c>
      <c r="H3131" s="13"/>
      <c r="I3131" s="15"/>
      <c r="J3131" s="19">
        <v>3</v>
      </c>
      <c r="K3131" s="2" t="s">
        <v>6272</v>
      </c>
      <c r="L3131" s="11" t="str">
        <f t="shared" si="50"/>
        <v>Ver Imagen</v>
      </c>
      <c r="M3131" t="s">
        <v>15</v>
      </c>
    </row>
    <row r="3132" spans="1:13" x14ac:dyDescent="0.25">
      <c r="A3132">
        <v>3131</v>
      </c>
      <c r="B3132" t="s">
        <v>6273</v>
      </c>
      <c r="C3132" s="1">
        <v>37.442623770399997</v>
      </c>
      <c r="D3132" s="1">
        <v>-7.0934759620800003</v>
      </c>
      <c r="E3132" s="3">
        <v>3</v>
      </c>
      <c r="F3132" s="2">
        <v>3</v>
      </c>
      <c r="G3132" s="4">
        <v>2</v>
      </c>
      <c r="H3132" s="13"/>
      <c r="I3132" s="15"/>
      <c r="J3132" s="19">
        <v>3</v>
      </c>
      <c r="K3132" s="2" t="s">
        <v>6274</v>
      </c>
      <c r="L3132" s="11" t="str">
        <f t="shared" si="50"/>
        <v>Ver Imagen</v>
      </c>
      <c r="M3132" t="s">
        <v>15</v>
      </c>
    </row>
    <row r="3133" spans="1:13" x14ac:dyDescent="0.25">
      <c r="A3133">
        <v>3132</v>
      </c>
      <c r="B3133" t="s">
        <v>6275</v>
      </c>
      <c r="C3133" s="1">
        <v>37.439934698499997</v>
      </c>
      <c r="D3133" s="1">
        <v>-7.0875200302000003</v>
      </c>
      <c r="E3133" s="3">
        <v>3</v>
      </c>
      <c r="F3133" s="2">
        <v>3</v>
      </c>
      <c r="G3133" s="4">
        <v>4</v>
      </c>
      <c r="H3133" s="13"/>
      <c r="I3133" s="15"/>
      <c r="J3133" s="19">
        <v>3</v>
      </c>
      <c r="K3133" s="2" t="s">
        <v>6276</v>
      </c>
      <c r="L3133" s="11" t="str">
        <f t="shared" si="50"/>
        <v>Ver Imagen</v>
      </c>
      <c r="M3133" t="s">
        <v>15</v>
      </c>
    </row>
    <row r="3134" spans="1:13" x14ac:dyDescent="0.25">
      <c r="A3134">
        <v>3133</v>
      </c>
      <c r="B3134" t="s">
        <v>6277</v>
      </c>
      <c r="C3134" s="1">
        <v>37.4397336416</v>
      </c>
      <c r="D3134" s="1">
        <v>-7.0870989975800001</v>
      </c>
      <c r="E3134" s="3">
        <v>3</v>
      </c>
      <c r="F3134" s="2">
        <v>3</v>
      </c>
      <c r="G3134" s="4">
        <v>4</v>
      </c>
      <c r="H3134" s="13"/>
      <c r="I3134" s="15"/>
      <c r="J3134" s="19">
        <v>3</v>
      </c>
      <c r="K3134" s="2" t="s">
        <v>6278</v>
      </c>
      <c r="L3134" s="11" t="str">
        <f t="shared" si="50"/>
        <v>Ver Imagen</v>
      </c>
      <c r="M3134" t="s">
        <v>15</v>
      </c>
    </row>
    <row r="3135" spans="1:13" x14ac:dyDescent="0.25">
      <c r="A3135">
        <v>3134</v>
      </c>
      <c r="B3135" t="s">
        <v>6279</v>
      </c>
      <c r="C3135" s="1">
        <v>37.438823769800003</v>
      </c>
      <c r="D3135" s="1">
        <v>-7.0850827306699999</v>
      </c>
      <c r="E3135" s="3">
        <v>3</v>
      </c>
      <c r="F3135" s="2">
        <v>3</v>
      </c>
      <c r="G3135" s="4">
        <v>4</v>
      </c>
      <c r="H3135" s="13"/>
      <c r="I3135" s="15"/>
      <c r="J3135" s="19">
        <v>3</v>
      </c>
      <c r="K3135" s="2" t="s">
        <v>6280</v>
      </c>
      <c r="L3135" s="11" t="str">
        <f t="shared" si="50"/>
        <v>Ver Imagen</v>
      </c>
      <c r="M3135" t="s">
        <v>15</v>
      </c>
    </row>
    <row r="3136" spans="1:13" x14ac:dyDescent="0.25">
      <c r="A3136">
        <v>3135</v>
      </c>
      <c r="B3136" t="s">
        <v>6281</v>
      </c>
      <c r="C3136" s="1">
        <v>37.438162409599997</v>
      </c>
      <c r="D3136" s="1">
        <v>-7.0832067469500002</v>
      </c>
      <c r="E3136" s="3">
        <v>3</v>
      </c>
      <c r="F3136" s="2">
        <v>3</v>
      </c>
      <c r="G3136" s="4">
        <v>4</v>
      </c>
      <c r="H3136" s="13"/>
      <c r="I3136" s="15"/>
      <c r="J3136" s="19">
        <v>3</v>
      </c>
      <c r="K3136" s="2" t="s">
        <v>6282</v>
      </c>
      <c r="L3136" s="11" t="str">
        <f t="shared" si="50"/>
        <v>Ver Imagen</v>
      </c>
      <c r="M3136" t="s">
        <v>15</v>
      </c>
    </row>
    <row r="3137" spans="1:13" x14ac:dyDescent="0.25">
      <c r="A3137">
        <v>3136</v>
      </c>
      <c r="B3137" t="s">
        <v>6283</v>
      </c>
      <c r="C3137" s="1">
        <v>37.437778648699997</v>
      </c>
      <c r="D3137" s="1">
        <v>-7.0820720260199996</v>
      </c>
      <c r="E3137" s="3">
        <v>3</v>
      </c>
      <c r="F3137" s="2">
        <v>3</v>
      </c>
      <c r="G3137" s="4">
        <v>4</v>
      </c>
      <c r="H3137" s="13"/>
      <c r="I3137" s="15"/>
      <c r="J3137" s="19">
        <v>3</v>
      </c>
      <c r="K3137" s="2" t="s">
        <v>6284</v>
      </c>
      <c r="L3137" s="11" t="str">
        <f t="shared" si="50"/>
        <v>Ver Imagen</v>
      </c>
      <c r="M3137" t="s">
        <v>15</v>
      </c>
    </row>
    <row r="3138" spans="1:13" x14ac:dyDescent="0.25">
      <c r="A3138">
        <v>3137</v>
      </c>
      <c r="B3138" t="s">
        <v>6285</v>
      </c>
      <c r="C3138" s="1">
        <v>37.437127642500002</v>
      </c>
      <c r="D3138" s="1">
        <v>-7.0805239784099996</v>
      </c>
      <c r="E3138" s="3">
        <v>3</v>
      </c>
      <c r="F3138" s="2">
        <v>3</v>
      </c>
      <c r="G3138" s="4">
        <v>4</v>
      </c>
      <c r="H3138" s="13"/>
      <c r="I3138" s="15"/>
      <c r="J3138" s="19">
        <v>3</v>
      </c>
      <c r="K3138" s="2" t="s">
        <v>6286</v>
      </c>
      <c r="L3138" s="11" t="str">
        <f t="shared" si="50"/>
        <v>Ver Imagen</v>
      </c>
      <c r="M3138" t="s">
        <v>15</v>
      </c>
    </row>
    <row r="3139" spans="1:13" x14ac:dyDescent="0.25">
      <c r="A3139">
        <v>3138</v>
      </c>
      <c r="B3139" t="s">
        <v>6287</v>
      </c>
      <c r="C3139" s="1">
        <v>37.436606725499999</v>
      </c>
      <c r="D3139" s="1">
        <v>-7.0787276591200001</v>
      </c>
      <c r="E3139" s="3">
        <v>3</v>
      </c>
      <c r="F3139" s="2">
        <v>3</v>
      </c>
      <c r="G3139" s="4">
        <v>4</v>
      </c>
      <c r="H3139" s="13"/>
      <c r="I3139" s="15"/>
      <c r="J3139" s="19">
        <v>3</v>
      </c>
      <c r="K3139" s="2" t="s">
        <v>6288</v>
      </c>
      <c r="L3139" s="11" t="str">
        <f t="shared" si="50"/>
        <v>Ver Imagen</v>
      </c>
      <c r="M3139" t="s">
        <v>15</v>
      </c>
    </row>
    <row r="3140" spans="1:13" x14ac:dyDescent="0.25">
      <c r="A3140">
        <v>3139</v>
      </c>
      <c r="B3140" t="s">
        <v>6289</v>
      </c>
      <c r="C3140" s="1">
        <v>37.4355246306</v>
      </c>
      <c r="D3140" s="1">
        <v>-7.0755615767800002</v>
      </c>
      <c r="E3140" s="3">
        <v>3</v>
      </c>
      <c r="F3140" s="2">
        <v>3</v>
      </c>
      <c r="G3140" s="4">
        <v>2</v>
      </c>
      <c r="H3140" s="13"/>
      <c r="I3140" s="15"/>
      <c r="J3140" s="19">
        <v>3</v>
      </c>
      <c r="K3140" s="2" t="s">
        <v>6290</v>
      </c>
      <c r="L3140" s="11" t="str">
        <f t="shared" si="50"/>
        <v>Ver Imagen</v>
      </c>
      <c r="M3140" t="s">
        <v>15</v>
      </c>
    </row>
    <row r="3141" spans="1:13" x14ac:dyDescent="0.25">
      <c r="A3141">
        <v>3140</v>
      </c>
      <c r="B3141" t="s">
        <v>6291</v>
      </c>
      <c r="C3141" s="1">
        <v>37.221116780099997</v>
      </c>
      <c r="D3141" s="1">
        <v>-7.0537015379100003</v>
      </c>
      <c r="E3141" s="3">
        <v>4</v>
      </c>
      <c r="F3141" s="2">
        <v>3</v>
      </c>
      <c r="G3141" s="4">
        <v>3</v>
      </c>
      <c r="H3141" s="13"/>
      <c r="I3141" s="15"/>
      <c r="J3141" s="19">
        <v>3</v>
      </c>
      <c r="K3141" s="2" t="s">
        <v>6292</v>
      </c>
      <c r="L3141" s="11" t="str">
        <f t="shared" si="50"/>
        <v>Ver Imagen</v>
      </c>
      <c r="M3141" t="s">
        <v>15</v>
      </c>
    </row>
    <row r="3142" spans="1:13" x14ac:dyDescent="0.25">
      <c r="A3142">
        <v>3141</v>
      </c>
      <c r="B3142" t="s">
        <v>6293</v>
      </c>
      <c r="C3142" s="1">
        <v>37.221419422899999</v>
      </c>
      <c r="D3142" s="1">
        <v>-7.0543462766999996</v>
      </c>
      <c r="E3142" s="3">
        <v>4</v>
      </c>
      <c r="F3142" s="2">
        <v>3</v>
      </c>
      <c r="G3142" s="4">
        <v>3</v>
      </c>
      <c r="H3142" s="13"/>
      <c r="I3142" s="15"/>
      <c r="J3142" s="19">
        <v>3</v>
      </c>
      <c r="K3142" s="2" t="s">
        <v>6294</v>
      </c>
      <c r="L3142" s="11" t="str">
        <f t="shared" si="50"/>
        <v>Ver Imagen</v>
      </c>
      <c r="M3142" t="s">
        <v>15</v>
      </c>
    </row>
    <row r="3143" spans="1:13" x14ac:dyDescent="0.25">
      <c r="A3143">
        <v>3142</v>
      </c>
      <c r="B3143" t="s">
        <v>6295</v>
      </c>
      <c r="C3143" s="1">
        <v>37.435294996800003</v>
      </c>
      <c r="D3143" s="1">
        <v>-7.0717431854999999</v>
      </c>
      <c r="E3143" s="3">
        <v>4</v>
      </c>
      <c r="F3143" s="2">
        <v>3</v>
      </c>
      <c r="G3143" s="4">
        <v>3</v>
      </c>
      <c r="H3143" s="13"/>
      <c r="I3143" s="15"/>
      <c r="J3143" s="19">
        <v>3</v>
      </c>
      <c r="K3143" s="2" t="s">
        <v>6296</v>
      </c>
      <c r="L3143" s="11" t="str">
        <f t="shared" si="50"/>
        <v>Ver Imagen</v>
      </c>
      <c r="M3143" t="s">
        <v>15</v>
      </c>
    </row>
    <row r="3144" spans="1:13" x14ac:dyDescent="0.25">
      <c r="A3144">
        <v>3143</v>
      </c>
      <c r="B3144" t="s">
        <v>6297</v>
      </c>
      <c r="C3144" s="1">
        <v>37.226774219399999</v>
      </c>
      <c r="D3144" s="1">
        <v>-7.0605493613099997</v>
      </c>
      <c r="E3144" s="3">
        <v>3</v>
      </c>
      <c r="F3144" s="2">
        <v>3</v>
      </c>
      <c r="G3144" s="4">
        <v>2</v>
      </c>
      <c r="H3144" s="13"/>
      <c r="I3144" s="15"/>
      <c r="J3144" s="19">
        <v>3</v>
      </c>
      <c r="K3144" s="2" t="s">
        <v>6298</v>
      </c>
      <c r="L3144" s="11" t="str">
        <f t="shared" si="50"/>
        <v>Ver Imagen</v>
      </c>
      <c r="M3144" t="s">
        <v>15</v>
      </c>
    </row>
    <row r="3145" spans="1:13" x14ac:dyDescent="0.25">
      <c r="A3145">
        <v>3144</v>
      </c>
      <c r="B3145" t="s">
        <v>6299</v>
      </c>
      <c r="C3145" s="1">
        <v>37.434020199099997</v>
      </c>
      <c r="D3145" s="1">
        <v>-7.06724667731</v>
      </c>
      <c r="E3145" s="3">
        <v>2</v>
      </c>
      <c r="F3145" s="2">
        <v>3</v>
      </c>
      <c r="G3145" s="4">
        <v>3</v>
      </c>
      <c r="H3145" s="13"/>
      <c r="I3145" s="15"/>
      <c r="J3145" s="19">
        <v>3</v>
      </c>
      <c r="K3145" s="2" t="s">
        <v>6300</v>
      </c>
      <c r="L3145" s="11" t="str">
        <f t="shared" si="50"/>
        <v>Ver Imagen</v>
      </c>
      <c r="M3145" t="s">
        <v>15</v>
      </c>
    </row>
    <row r="3146" spans="1:13" x14ac:dyDescent="0.25">
      <c r="A3146">
        <v>3145</v>
      </c>
      <c r="B3146" t="s">
        <v>6301</v>
      </c>
      <c r="C3146" s="1">
        <v>37.233006024600002</v>
      </c>
      <c r="D3146" s="1">
        <v>-7.0656755652600003</v>
      </c>
      <c r="E3146" s="3">
        <v>3</v>
      </c>
      <c r="F3146" s="2">
        <v>3</v>
      </c>
      <c r="G3146" s="4">
        <v>4</v>
      </c>
      <c r="H3146" s="13"/>
      <c r="I3146" s="15"/>
      <c r="J3146" s="19">
        <v>3</v>
      </c>
      <c r="K3146" s="2" t="s">
        <v>6302</v>
      </c>
      <c r="L3146" s="11" t="str">
        <f t="shared" si="50"/>
        <v>Ver Imagen</v>
      </c>
      <c r="M3146" t="s">
        <v>15</v>
      </c>
    </row>
    <row r="3147" spans="1:13" x14ac:dyDescent="0.25">
      <c r="A3147">
        <v>3146</v>
      </c>
      <c r="B3147" t="s">
        <v>6303</v>
      </c>
      <c r="C3147" s="1">
        <v>37.224536180999998</v>
      </c>
      <c r="D3147" s="1">
        <v>-7.0349205321800001</v>
      </c>
      <c r="E3147" s="3">
        <v>4</v>
      </c>
      <c r="F3147" s="2">
        <v>3</v>
      </c>
      <c r="G3147" s="4">
        <v>3</v>
      </c>
      <c r="H3147" s="13"/>
      <c r="I3147" s="15"/>
      <c r="J3147" s="19">
        <v>3</v>
      </c>
      <c r="K3147" s="2" t="s">
        <v>6304</v>
      </c>
      <c r="L3147" s="11" t="str">
        <f t="shared" si="50"/>
        <v>Ver Imagen</v>
      </c>
      <c r="M3147" t="s">
        <v>15</v>
      </c>
    </row>
    <row r="3148" spans="1:13" x14ac:dyDescent="0.25">
      <c r="A3148">
        <v>3147</v>
      </c>
      <c r="B3148" t="s">
        <v>6305</v>
      </c>
      <c r="C3148" s="1">
        <v>37.224555806399998</v>
      </c>
      <c r="D3148" s="1">
        <v>-7.0351599573800003</v>
      </c>
      <c r="E3148" s="3">
        <v>4</v>
      </c>
      <c r="F3148" s="2">
        <v>3</v>
      </c>
      <c r="G3148" s="4">
        <v>3</v>
      </c>
      <c r="H3148" s="13"/>
      <c r="I3148" s="15"/>
      <c r="J3148" s="19">
        <v>3</v>
      </c>
      <c r="K3148" s="2" t="s">
        <v>6306</v>
      </c>
      <c r="L3148" s="11" t="str">
        <f t="shared" si="50"/>
        <v>Ver Imagen</v>
      </c>
      <c r="M3148" t="s">
        <v>15</v>
      </c>
    </row>
    <row r="3149" spans="1:13" x14ac:dyDescent="0.25">
      <c r="A3149">
        <v>3148</v>
      </c>
      <c r="B3149" t="s">
        <v>6307</v>
      </c>
      <c r="C3149" s="1">
        <v>37.2288894211</v>
      </c>
      <c r="D3149" s="1">
        <v>-7.0468658393699997</v>
      </c>
      <c r="E3149" s="3">
        <v>2</v>
      </c>
      <c r="F3149" s="2">
        <v>3</v>
      </c>
      <c r="G3149" s="4">
        <v>3</v>
      </c>
      <c r="H3149" s="13"/>
      <c r="I3149" s="15"/>
      <c r="J3149" s="19">
        <v>3</v>
      </c>
      <c r="K3149" s="2" t="s">
        <v>6308</v>
      </c>
      <c r="L3149" s="11" t="str">
        <f t="shared" si="50"/>
        <v>Ver Imagen</v>
      </c>
      <c r="M3149" t="s">
        <v>15</v>
      </c>
    </row>
    <row r="3150" spans="1:13" x14ac:dyDescent="0.25">
      <c r="A3150">
        <v>3149</v>
      </c>
      <c r="B3150" t="s">
        <v>6309</v>
      </c>
      <c r="C3150" s="1">
        <v>37.230476833099999</v>
      </c>
      <c r="D3150" s="1">
        <v>-7.04950354179</v>
      </c>
      <c r="E3150" s="3">
        <v>2</v>
      </c>
      <c r="F3150" s="2">
        <v>3</v>
      </c>
      <c r="G3150" s="4">
        <v>3</v>
      </c>
      <c r="H3150" s="13"/>
      <c r="I3150" s="15"/>
      <c r="J3150" s="19">
        <v>3</v>
      </c>
      <c r="K3150" s="2" t="s">
        <v>6310</v>
      </c>
      <c r="L3150" s="11" t="str">
        <f t="shared" si="50"/>
        <v>Ver Imagen</v>
      </c>
      <c r="M3150" t="s">
        <v>15</v>
      </c>
    </row>
    <row r="3151" spans="1:13" x14ac:dyDescent="0.25">
      <c r="A3151">
        <v>3150</v>
      </c>
      <c r="B3151" t="s">
        <v>6311</v>
      </c>
      <c r="C3151" s="1">
        <v>37.234090402299998</v>
      </c>
      <c r="D3151" s="1">
        <v>-7.0587176737400004</v>
      </c>
      <c r="E3151" s="3">
        <v>2</v>
      </c>
      <c r="F3151" s="2">
        <v>3</v>
      </c>
      <c r="G3151" s="4">
        <v>3</v>
      </c>
      <c r="H3151" s="13"/>
      <c r="I3151" s="15"/>
      <c r="J3151" s="19">
        <v>3</v>
      </c>
      <c r="K3151" s="2" t="s">
        <v>6312</v>
      </c>
      <c r="L3151" s="11" t="str">
        <f t="shared" si="50"/>
        <v>Ver Imagen</v>
      </c>
      <c r="M3151" t="s">
        <v>15</v>
      </c>
    </row>
    <row r="3152" spans="1:13" x14ac:dyDescent="0.25">
      <c r="A3152">
        <v>3151</v>
      </c>
      <c r="B3152" t="s">
        <v>6313</v>
      </c>
      <c r="C3152" s="1">
        <v>37.234138223400002</v>
      </c>
      <c r="D3152" s="1">
        <v>-7.0595186324599997</v>
      </c>
      <c r="E3152" s="3">
        <v>3</v>
      </c>
      <c r="F3152" s="2">
        <v>3</v>
      </c>
      <c r="G3152" s="4">
        <v>4</v>
      </c>
      <c r="H3152" s="13"/>
      <c r="I3152" s="15"/>
      <c r="J3152" s="19">
        <v>3</v>
      </c>
      <c r="K3152" s="2" t="s">
        <v>6314</v>
      </c>
      <c r="L3152" s="11" t="str">
        <f t="shared" si="50"/>
        <v>Ver Imagen</v>
      </c>
      <c r="M3152" t="s">
        <v>15</v>
      </c>
    </row>
    <row r="3153" spans="1:13" x14ac:dyDescent="0.25">
      <c r="A3153">
        <v>3152</v>
      </c>
      <c r="B3153" t="s">
        <v>6315</v>
      </c>
      <c r="C3153" s="1">
        <v>37.234089119099998</v>
      </c>
      <c r="D3153" s="1">
        <v>-7.0620401499699996</v>
      </c>
      <c r="E3153" s="3">
        <v>4</v>
      </c>
      <c r="F3153" s="2">
        <v>3</v>
      </c>
      <c r="G3153" s="4">
        <v>3</v>
      </c>
      <c r="H3153" s="13"/>
      <c r="I3153" s="15"/>
      <c r="J3153" s="19">
        <v>3</v>
      </c>
      <c r="K3153" s="2" t="s">
        <v>6316</v>
      </c>
      <c r="L3153" s="11" t="str">
        <f t="shared" si="50"/>
        <v>Ver Imagen</v>
      </c>
      <c r="M3153" t="s">
        <v>15</v>
      </c>
    </row>
    <row r="3154" spans="1:13" x14ac:dyDescent="0.25">
      <c r="A3154">
        <v>3153</v>
      </c>
      <c r="B3154" t="s">
        <v>6317</v>
      </c>
      <c r="C3154" s="1">
        <v>37.234067997499999</v>
      </c>
      <c r="D3154" s="1">
        <v>-7.0628059116799999</v>
      </c>
      <c r="E3154" s="3">
        <v>3</v>
      </c>
      <c r="F3154" s="2">
        <v>3</v>
      </c>
      <c r="G3154" s="4">
        <v>2</v>
      </c>
      <c r="H3154" s="13"/>
      <c r="I3154" s="15"/>
      <c r="J3154" s="19">
        <v>3</v>
      </c>
      <c r="K3154" s="2" t="s">
        <v>6318</v>
      </c>
      <c r="L3154" s="11" t="str">
        <f t="shared" si="50"/>
        <v>Ver Imagen</v>
      </c>
      <c r="M3154" t="s">
        <v>15</v>
      </c>
    </row>
    <row r="3155" spans="1:13" x14ac:dyDescent="0.25">
      <c r="A3155">
        <v>3154</v>
      </c>
      <c r="B3155" t="s">
        <v>6319</v>
      </c>
      <c r="C3155" s="1">
        <v>37.233965251599997</v>
      </c>
      <c r="D3155" s="1">
        <v>-7.0650494694499999</v>
      </c>
      <c r="E3155" s="3">
        <v>3</v>
      </c>
      <c r="F3155" s="2">
        <v>3</v>
      </c>
      <c r="G3155" s="4">
        <v>4</v>
      </c>
      <c r="H3155" s="13"/>
      <c r="I3155" s="15"/>
      <c r="J3155" s="19">
        <v>3</v>
      </c>
      <c r="K3155" s="2" t="s">
        <v>6320</v>
      </c>
      <c r="L3155" s="11" t="str">
        <f t="shared" si="50"/>
        <v>Ver Imagen</v>
      </c>
      <c r="M3155" t="s">
        <v>15</v>
      </c>
    </row>
    <row r="3156" spans="1:13" x14ac:dyDescent="0.25">
      <c r="A3156">
        <v>3155</v>
      </c>
      <c r="B3156" t="s">
        <v>6321</v>
      </c>
      <c r="C3156" s="1">
        <v>37.233937310800002</v>
      </c>
      <c r="D3156" s="1">
        <v>-7.0653092644599997</v>
      </c>
      <c r="E3156" s="3">
        <v>3</v>
      </c>
      <c r="F3156" s="2">
        <v>3</v>
      </c>
      <c r="G3156" s="4">
        <v>4</v>
      </c>
      <c r="H3156" s="13"/>
      <c r="I3156" s="15"/>
      <c r="J3156" s="19">
        <v>3</v>
      </c>
      <c r="K3156" s="2" t="s">
        <v>6322</v>
      </c>
      <c r="L3156" s="11" t="str">
        <f t="shared" si="50"/>
        <v>Ver Imagen</v>
      </c>
      <c r="M3156" t="s">
        <v>15</v>
      </c>
    </row>
    <row r="3157" spans="1:13" x14ac:dyDescent="0.25">
      <c r="A3157">
        <v>3156</v>
      </c>
      <c r="B3157" t="s">
        <v>6323</v>
      </c>
      <c r="C3157" s="1">
        <v>37.233874763199999</v>
      </c>
      <c r="D3157" s="1">
        <v>-7.0658079042699997</v>
      </c>
      <c r="E3157" s="3">
        <v>3</v>
      </c>
      <c r="F3157" s="2">
        <v>3</v>
      </c>
      <c r="G3157" s="4">
        <v>4</v>
      </c>
      <c r="H3157" s="13"/>
      <c r="I3157" s="15"/>
      <c r="J3157" s="19">
        <v>3</v>
      </c>
      <c r="K3157" s="2" t="s">
        <v>6324</v>
      </c>
      <c r="L3157" s="11" t="str">
        <f t="shared" si="50"/>
        <v>Ver Imagen</v>
      </c>
      <c r="M3157" t="s">
        <v>15</v>
      </c>
    </row>
    <row r="3158" spans="1:13" x14ac:dyDescent="0.25">
      <c r="A3158">
        <v>3157</v>
      </c>
      <c r="B3158" t="s">
        <v>6325</v>
      </c>
      <c r="C3158" s="1">
        <v>37.233653413299997</v>
      </c>
      <c r="D3158" s="1">
        <v>-7.0671296232399996</v>
      </c>
      <c r="E3158" s="3">
        <v>3</v>
      </c>
      <c r="F3158" s="2">
        <v>3</v>
      </c>
      <c r="G3158" s="4">
        <v>4</v>
      </c>
      <c r="H3158" s="13"/>
      <c r="I3158" s="15"/>
      <c r="J3158" s="19">
        <v>3</v>
      </c>
      <c r="K3158" s="2" t="s">
        <v>6326</v>
      </c>
      <c r="L3158" s="11" t="str">
        <f t="shared" si="50"/>
        <v>Ver Imagen</v>
      </c>
      <c r="M3158" t="s">
        <v>15</v>
      </c>
    </row>
    <row r="3159" spans="1:13" x14ac:dyDescent="0.25">
      <c r="A3159">
        <v>3158</v>
      </c>
      <c r="B3159" t="s">
        <v>6327</v>
      </c>
      <c r="C3159" s="1">
        <v>37.233578762100002</v>
      </c>
      <c r="D3159" s="1">
        <v>-7.0676525701199999</v>
      </c>
      <c r="E3159" s="3">
        <v>3</v>
      </c>
      <c r="F3159" s="2">
        <v>3</v>
      </c>
      <c r="G3159" s="4">
        <v>4</v>
      </c>
      <c r="H3159" s="13"/>
      <c r="I3159" s="15"/>
      <c r="J3159" s="19">
        <v>3</v>
      </c>
      <c r="K3159" s="2" t="s">
        <v>6328</v>
      </c>
      <c r="L3159" s="11" t="str">
        <f t="shared" si="50"/>
        <v>Ver Imagen</v>
      </c>
      <c r="M3159" t="s">
        <v>15</v>
      </c>
    </row>
    <row r="3160" spans="1:13" x14ac:dyDescent="0.25">
      <c r="A3160">
        <v>3159</v>
      </c>
      <c r="B3160" t="s">
        <v>6329</v>
      </c>
      <c r="C3160" s="1">
        <v>37.233708377699998</v>
      </c>
      <c r="D3160" s="1">
        <v>-7.0686338577400001</v>
      </c>
      <c r="E3160" s="3">
        <v>3</v>
      </c>
      <c r="F3160" s="2">
        <v>3</v>
      </c>
      <c r="G3160" s="4">
        <v>4</v>
      </c>
      <c r="H3160" s="13"/>
      <c r="I3160" s="15"/>
      <c r="J3160" s="19">
        <v>3</v>
      </c>
      <c r="K3160" s="2" t="s">
        <v>6330</v>
      </c>
      <c r="L3160" s="11" t="str">
        <f t="shared" si="50"/>
        <v>Ver Imagen</v>
      </c>
      <c r="M3160" t="s">
        <v>15</v>
      </c>
    </row>
    <row r="3161" spans="1:13" x14ac:dyDescent="0.25">
      <c r="A3161">
        <v>3160</v>
      </c>
      <c r="B3161" t="s">
        <v>6331</v>
      </c>
      <c r="C3161" s="1">
        <v>37.233973524200003</v>
      </c>
      <c r="D3161" s="1">
        <v>-7.0695817060200001</v>
      </c>
      <c r="E3161" s="3">
        <v>2</v>
      </c>
      <c r="F3161" s="2">
        <v>3</v>
      </c>
      <c r="G3161" s="4">
        <v>3</v>
      </c>
      <c r="H3161" s="13"/>
      <c r="I3161" s="15"/>
      <c r="J3161" s="19">
        <v>3</v>
      </c>
      <c r="K3161" s="2" t="s">
        <v>6332</v>
      </c>
      <c r="L3161" s="11" t="str">
        <f t="shared" si="50"/>
        <v>Ver Imagen</v>
      </c>
      <c r="M3161" t="s">
        <v>15</v>
      </c>
    </row>
    <row r="3162" spans="1:13" x14ac:dyDescent="0.25">
      <c r="A3162">
        <v>3161</v>
      </c>
      <c r="B3162" t="s">
        <v>6333</v>
      </c>
      <c r="C3162" s="1">
        <v>37.234234203699998</v>
      </c>
      <c r="D3162" s="1">
        <v>-7.0705075035</v>
      </c>
      <c r="E3162" s="3">
        <v>3</v>
      </c>
      <c r="F3162" s="2">
        <v>3</v>
      </c>
      <c r="G3162" s="4">
        <v>4</v>
      </c>
      <c r="H3162" s="13"/>
      <c r="I3162" s="15"/>
      <c r="J3162" s="19">
        <v>3</v>
      </c>
      <c r="K3162" s="2" t="s">
        <v>6334</v>
      </c>
      <c r="L3162" s="11" t="str">
        <f t="shared" si="50"/>
        <v>Ver Imagen</v>
      </c>
      <c r="M3162" t="s">
        <v>15</v>
      </c>
    </row>
    <row r="3163" spans="1:13" x14ac:dyDescent="0.25">
      <c r="A3163">
        <v>3162</v>
      </c>
      <c r="B3163" t="s">
        <v>6335</v>
      </c>
      <c r="C3163" s="1">
        <v>37.234569107699997</v>
      </c>
      <c r="D3163" s="1">
        <v>-7.0717055689699997</v>
      </c>
      <c r="E3163" s="3">
        <v>3</v>
      </c>
      <c r="F3163" s="2">
        <v>3</v>
      </c>
      <c r="G3163" s="4">
        <v>4</v>
      </c>
      <c r="H3163" s="13"/>
      <c r="I3163" s="15"/>
      <c r="J3163" s="19">
        <v>3</v>
      </c>
      <c r="K3163" s="2" t="s">
        <v>6336</v>
      </c>
      <c r="L3163" s="11" t="str">
        <f t="shared" si="50"/>
        <v>Ver Imagen</v>
      </c>
      <c r="M3163" t="s">
        <v>15</v>
      </c>
    </row>
    <row r="3164" spans="1:13" x14ac:dyDescent="0.25">
      <c r="A3164">
        <v>3163</v>
      </c>
      <c r="B3164" t="s">
        <v>6337</v>
      </c>
      <c r="C3164" s="1">
        <v>37.234707840900001</v>
      </c>
      <c r="D3164" s="1">
        <v>-7.0721948298799999</v>
      </c>
      <c r="E3164" s="3">
        <v>3</v>
      </c>
      <c r="F3164" s="2">
        <v>3</v>
      </c>
      <c r="G3164" s="4">
        <v>4</v>
      </c>
      <c r="H3164" s="13"/>
      <c r="I3164" s="15"/>
      <c r="J3164" s="19">
        <v>3</v>
      </c>
      <c r="K3164" s="2" t="s">
        <v>6338</v>
      </c>
      <c r="L3164" s="11" t="str">
        <f t="shared" si="50"/>
        <v>Ver Imagen</v>
      </c>
      <c r="M3164" t="s">
        <v>15</v>
      </c>
    </row>
    <row r="3165" spans="1:13" x14ac:dyDescent="0.25">
      <c r="A3165">
        <v>3164</v>
      </c>
      <c r="B3165" t="s">
        <v>6339</v>
      </c>
      <c r="C3165" s="1">
        <v>37.234947099300001</v>
      </c>
      <c r="D3165" s="1">
        <v>-7.0728563474300001</v>
      </c>
      <c r="E3165" s="3">
        <v>3</v>
      </c>
      <c r="F3165" s="2">
        <v>3</v>
      </c>
      <c r="G3165" s="4">
        <v>4</v>
      </c>
      <c r="H3165" s="13"/>
      <c r="I3165" s="15"/>
      <c r="J3165" s="19">
        <v>3</v>
      </c>
      <c r="K3165" s="2" t="s">
        <v>6340</v>
      </c>
      <c r="L3165" s="11" t="str">
        <f t="shared" si="50"/>
        <v>Ver Imagen</v>
      </c>
      <c r="M3165" t="s">
        <v>15</v>
      </c>
    </row>
    <row r="3166" spans="1:13" x14ac:dyDescent="0.25">
      <c r="A3166">
        <v>3165</v>
      </c>
      <c r="B3166" t="s">
        <v>6341</v>
      </c>
      <c r="C3166" s="1">
        <v>37.235058506100003</v>
      </c>
      <c r="D3166" s="1">
        <v>-7.0730990583900004</v>
      </c>
      <c r="E3166" s="3">
        <v>3</v>
      </c>
      <c r="F3166" s="2">
        <v>3</v>
      </c>
      <c r="G3166" s="4">
        <v>4</v>
      </c>
      <c r="H3166" s="13"/>
      <c r="I3166" s="15"/>
      <c r="J3166" s="19">
        <v>3</v>
      </c>
      <c r="K3166" s="2" t="s">
        <v>6342</v>
      </c>
      <c r="L3166" s="11" t="str">
        <f t="shared" si="50"/>
        <v>Ver Imagen</v>
      </c>
      <c r="M3166" t="s">
        <v>15</v>
      </c>
    </row>
    <row r="3167" spans="1:13" x14ac:dyDescent="0.25">
      <c r="A3167">
        <v>3166</v>
      </c>
      <c r="B3167" t="s">
        <v>6343</v>
      </c>
      <c r="C3167" s="1">
        <v>37.235283984399999</v>
      </c>
      <c r="D3167" s="1">
        <v>-7.0735266716299998</v>
      </c>
      <c r="E3167" s="3">
        <v>3</v>
      </c>
      <c r="F3167" s="2">
        <v>3</v>
      </c>
      <c r="G3167" s="4">
        <v>4</v>
      </c>
      <c r="H3167" s="13"/>
      <c r="I3167" s="15"/>
      <c r="J3167" s="19">
        <v>3</v>
      </c>
      <c r="K3167" s="2" t="s">
        <v>6344</v>
      </c>
      <c r="L3167" s="11" t="str">
        <f t="shared" si="50"/>
        <v>Ver Imagen</v>
      </c>
      <c r="M3167" t="s">
        <v>15</v>
      </c>
    </row>
    <row r="3168" spans="1:13" x14ac:dyDescent="0.25">
      <c r="A3168">
        <v>3167</v>
      </c>
      <c r="B3168" t="s">
        <v>6345</v>
      </c>
      <c r="C3168" s="1">
        <v>37.235636056899999</v>
      </c>
      <c r="D3168" s="1">
        <v>-7.07415535162</v>
      </c>
      <c r="E3168" s="3">
        <v>3</v>
      </c>
      <c r="F3168" s="2">
        <v>3</v>
      </c>
      <c r="G3168" s="4">
        <v>4</v>
      </c>
      <c r="H3168" s="13"/>
      <c r="I3168" s="15"/>
      <c r="J3168" s="19">
        <v>3</v>
      </c>
      <c r="K3168" s="2" t="s">
        <v>6346</v>
      </c>
      <c r="L3168" s="11" t="str">
        <f t="shared" si="50"/>
        <v>Ver Imagen</v>
      </c>
      <c r="M3168" t="s">
        <v>15</v>
      </c>
    </row>
    <row r="3169" spans="1:13" x14ac:dyDescent="0.25">
      <c r="A3169">
        <v>3168</v>
      </c>
      <c r="B3169" t="s">
        <v>6347</v>
      </c>
      <c r="C3169" s="1">
        <v>37.235866307599998</v>
      </c>
      <c r="D3169" s="1">
        <v>-7.0745670601099997</v>
      </c>
      <c r="E3169" s="3">
        <v>3</v>
      </c>
      <c r="F3169" s="2">
        <v>3</v>
      </c>
      <c r="G3169" s="4">
        <v>4</v>
      </c>
      <c r="H3169" s="13"/>
      <c r="I3169" s="15"/>
      <c r="J3169" s="19">
        <v>3</v>
      </c>
      <c r="K3169" s="2" t="s">
        <v>6348</v>
      </c>
      <c r="L3169" s="11" t="str">
        <f t="shared" si="50"/>
        <v>Ver Imagen</v>
      </c>
      <c r="M3169" t="s">
        <v>15</v>
      </c>
    </row>
    <row r="3170" spans="1:13" x14ac:dyDescent="0.25">
      <c r="A3170">
        <v>3169</v>
      </c>
      <c r="B3170" t="s">
        <v>6349</v>
      </c>
      <c r="C3170" s="1">
        <v>37.236095908000003</v>
      </c>
      <c r="D3170" s="1">
        <v>-7.0749751964999996</v>
      </c>
      <c r="E3170" s="3">
        <v>3</v>
      </c>
      <c r="F3170" s="2">
        <v>3</v>
      </c>
      <c r="G3170" s="4">
        <v>4</v>
      </c>
      <c r="H3170" s="13"/>
      <c r="I3170" s="15"/>
      <c r="J3170" s="19">
        <v>3</v>
      </c>
      <c r="K3170" s="2" t="s">
        <v>6350</v>
      </c>
      <c r="L3170" s="11" t="str">
        <f t="shared" si="50"/>
        <v>Ver Imagen</v>
      </c>
      <c r="M3170" t="s">
        <v>15</v>
      </c>
    </row>
    <row r="3171" spans="1:13" x14ac:dyDescent="0.25">
      <c r="A3171">
        <v>3170</v>
      </c>
      <c r="B3171" t="s">
        <v>6351</v>
      </c>
      <c r="C3171" s="1">
        <v>37.236317789300003</v>
      </c>
      <c r="D3171" s="1">
        <v>-7.0753706677599997</v>
      </c>
      <c r="E3171" s="3">
        <v>3</v>
      </c>
      <c r="F3171" s="2">
        <v>3</v>
      </c>
      <c r="G3171" s="4">
        <v>4</v>
      </c>
      <c r="H3171" s="13"/>
      <c r="I3171" s="15"/>
      <c r="J3171" s="19">
        <v>3</v>
      </c>
      <c r="K3171" s="2" t="s">
        <v>6352</v>
      </c>
      <c r="L3171" s="11" t="str">
        <f t="shared" si="50"/>
        <v>Ver Imagen</v>
      </c>
      <c r="M3171" t="s">
        <v>15</v>
      </c>
    </row>
    <row r="3172" spans="1:13" x14ac:dyDescent="0.25">
      <c r="A3172">
        <v>3171</v>
      </c>
      <c r="B3172" t="s">
        <v>6353</v>
      </c>
      <c r="C3172" s="1">
        <v>37.2364453008</v>
      </c>
      <c r="D3172" s="1">
        <v>-7.0756030756900001</v>
      </c>
      <c r="E3172" s="3">
        <v>3</v>
      </c>
      <c r="F3172" s="2">
        <v>3</v>
      </c>
      <c r="G3172" s="4">
        <v>4</v>
      </c>
      <c r="H3172" s="13"/>
      <c r="I3172" s="15"/>
      <c r="J3172" s="19">
        <v>3</v>
      </c>
      <c r="K3172" s="2" t="s">
        <v>6354</v>
      </c>
      <c r="L3172" s="11" t="str">
        <f t="shared" si="50"/>
        <v>Ver Imagen</v>
      </c>
      <c r="M3172" t="s">
        <v>15</v>
      </c>
    </row>
    <row r="3173" spans="1:13" x14ac:dyDescent="0.25">
      <c r="A3173">
        <v>3172</v>
      </c>
      <c r="B3173" t="s">
        <v>6355</v>
      </c>
      <c r="C3173" s="1">
        <v>37.236554902800002</v>
      </c>
      <c r="D3173" s="1">
        <v>-7.0758011937500003</v>
      </c>
      <c r="E3173" s="3">
        <v>3</v>
      </c>
      <c r="F3173" s="2">
        <v>3</v>
      </c>
      <c r="G3173" s="4">
        <v>4</v>
      </c>
      <c r="H3173" s="13"/>
      <c r="I3173" s="15"/>
      <c r="J3173" s="19">
        <v>3</v>
      </c>
      <c r="K3173" s="2" t="s">
        <v>6356</v>
      </c>
      <c r="L3173" s="11" t="str">
        <f t="shared" si="50"/>
        <v>Ver Imagen</v>
      </c>
      <c r="M3173" t="s">
        <v>15</v>
      </c>
    </row>
    <row r="3174" spans="1:13" x14ac:dyDescent="0.25">
      <c r="A3174">
        <v>3173</v>
      </c>
      <c r="B3174" t="s">
        <v>6357</v>
      </c>
      <c r="C3174" s="1">
        <v>37.236681061399999</v>
      </c>
      <c r="D3174" s="1">
        <v>-7.0760246108700002</v>
      </c>
      <c r="E3174" s="3">
        <v>3</v>
      </c>
      <c r="F3174" s="2">
        <v>3</v>
      </c>
      <c r="G3174" s="4">
        <v>4</v>
      </c>
      <c r="H3174" s="13"/>
      <c r="I3174" s="15"/>
      <c r="J3174" s="19">
        <v>3</v>
      </c>
      <c r="K3174" s="2" t="s">
        <v>6358</v>
      </c>
      <c r="L3174" s="11" t="str">
        <f t="shared" si="50"/>
        <v>Ver Imagen</v>
      </c>
      <c r="M3174" t="s">
        <v>15</v>
      </c>
    </row>
    <row r="3175" spans="1:13" x14ac:dyDescent="0.25">
      <c r="A3175">
        <v>3174</v>
      </c>
      <c r="B3175" t="s">
        <v>6359</v>
      </c>
      <c r="C3175" s="1">
        <v>37.236791544299997</v>
      </c>
      <c r="D3175" s="1">
        <v>-7.0762196691200003</v>
      </c>
      <c r="E3175" s="3">
        <v>3</v>
      </c>
      <c r="F3175" s="2">
        <v>3</v>
      </c>
      <c r="G3175" s="4">
        <v>4</v>
      </c>
      <c r="H3175" s="13"/>
      <c r="I3175" s="15"/>
      <c r="J3175" s="19">
        <v>3</v>
      </c>
      <c r="K3175" s="2" t="s">
        <v>6360</v>
      </c>
      <c r="L3175" s="11" t="str">
        <f t="shared" si="50"/>
        <v>Ver Imagen</v>
      </c>
      <c r="M3175" t="s">
        <v>15</v>
      </c>
    </row>
    <row r="3176" spans="1:13" x14ac:dyDescent="0.25">
      <c r="A3176">
        <v>3175</v>
      </c>
      <c r="B3176" t="s">
        <v>6361</v>
      </c>
      <c r="C3176" s="1">
        <v>37.236901845600002</v>
      </c>
      <c r="D3176" s="1">
        <v>-7.0764155946000002</v>
      </c>
      <c r="E3176" s="3">
        <v>3</v>
      </c>
      <c r="F3176" s="2">
        <v>3</v>
      </c>
      <c r="G3176" s="4">
        <v>4</v>
      </c>
      <c r="H3176" s="13"/>
      <c r="I3176" s="15"/>
      <c r="J3176" s="19">
        <v>3</v>
      </c>
      <c r="K3176" s="2" t="s">
        <v>6362</v>
      </c>
      <c r="L3176" s="11" t="str">
        <f t="shared" si="50"/>
        <v>Ver Imagen</v>
      </c>
      <c r="M3176" t="s">
        <v>15</v>
      </c>
    </row>
    <row r="3177" spans="1:13" x14ac:dyDescent="0.25">
      <c r="A3177">
        <v>3176</v>
      </c>
      <c r="B3177" t="s">
        <v>6363</v>
      </c>
      <c r="C3177" s="1">
        <v>37.237132494800001</v>
      </c>
      <c r="D3177" s="1">
        <v>-7.0768342209300004</v>
      </c>
      <c r="E3177" s="3">
        <v>3</v>
      </c>
      <c r="F3177" s="2">
        <v>3</v>
      </c>
      <c r="G3177" s="4">
        <v>4</v>
      </c>
      <c r="H3177" s="13"/>
      <c r="I3177" s="15"/>
      <c r="J3177" s="19">
        <v>3</v>
      </c>
      <c r="K3177" s="2" t="s">
        <v>6364</v>
      </c>
      <c r="L3177" s="11" t="str">
        <f t="shared" ref="L3177:L3240" si="51">HYPERLINK("3\1\" &amp; K3177, "Ver Imagen")</f>
        <v>Ver Imagen</v>
      </c>
      <c r="M3177" t="s">
        <v>15</v>
      </c>
    </row>
    <row r="3178" spans="1:13" x14ac:dyDescent="0.25">
      <c r="A3178">
        <v>3177</v>
      </c>
      <c r="B3178" t="s">
        <v>6365</v>
      </c>
      <c r="C3178" s="1">
        <v>37.2373647183</v>
      </c>
      <c r="D3178" s="1">
        <v>-7.0772529314800003</v>
      </c>
      <c r="E3178" s="3">
        <v>3</v>
      </c>
      <c r="F3178" s="2">
        <v>3</v>
      </c>
      <c r="G3178" s="4">
        <v>4</v>
      </c>
      <c r="H3178" s="13"/>
      <c r="I3178" s="15"/>
      <c r="J3178" s="19">
        <v>3</v>
      </c>
      <c r="K3178" s="2" t="s">
        <v>6366</v>
      </c>
      <c r="L3178" s="11" t="str">
        <f t="shared" si="51"/>
        <v>Ver Imagen</v>
      </c>
      <c r="M3178" t="s">
        <v>15</v>
      </c>
    </row>
    <row r="3179" spans="1:13" x14ac:dyDescent="0.25">
      <c r="A3179">
        <v>3178</v>
      </c>
      <c r="B3179" t="s">
        <v>6367</v>
      </c>
      <c r="C3179" s="1">
        <v>37.237483971700001</v>
      </c>
      <c r="D3179" s="1">
        <v>-7.0774654689299998</v>
      </c>
      <c r="E3179" s="3">
        <v>3</v>
      </c>
      <c r="F3179" s="2">
        <v>3</v>
      </c>
      <c r="G3179" s="4">
        <v>4</v>
      </c>
      <c r="H3179" s="13"/>
      <c r="I3179" s="15"/>
      <c r="J3179" s="19">
        <v>3</v>
      </c>
      <c r="K3179" s="2" t="s">
        <v>6368</v>
      </c>
      <c r="L3179" s="11" t="str">
        <f t="shared" si="51"/>
        <v>Ver Imagen</v>
      </c>
      <c r="M3179" t="s">
        <v>15</v>
      </c>
    </row>
    <row r="3180" spans="1:13" x14ac:dyDescent="0.25">
      <c r="A3180">
        <v>3179</v>
      </c>
      <c r="B3180" t="s">
        <v>6369</v>
      </c>
      <c r="C3180" s="1">
        <v>37.237598454199997</v>
      </c>
      <c r="D3180" s="1">
        <v>-7.0776655807599997</v>
      </c>
      <c r="E3180" s="3">
        <v>3</v>
      </c>
      <c r="F3180" s="2">
        <v>3</v>
      </c>
      <c r="G3180" s="4">
        <v>4</v>
      </c>
      <c r="H3180" s="13"/>
      <c r="I3180" s="15"/>
      <c r="J3180" s="19">
        <v>3</v>
      </c>
      <c r="K3180" s="2" t="s">
        <v>6370</v>
      </c>
      <c r="L3180" s="11" t="str">
        <f t="shared" si="51"/>
        <v>Ver Imagen</v>
      </c>
      <c r="M3180" t="s">
        <v>15</v>
      </c>
    </row>
    <row r="3181" spans="1:13" x14ac:dyDescent="0.25">
      <c r="A3181">
        <v>3180</v>
      </c>
      <c r="B3181" t="s">
        <v>6371</v>
      </c>
      <c r="C3181" s="1">
        <v>37.237714250000003</v>
      </c>
      <c r="D3181" s="1">
        <v>-7.0778659530899999</v>
      </c>
      <c r="E3181" s="3">
        <v>3</v>
      </c>
      <c r="F3181" s="2">
        <v>3</v>
      </c>
      <c r="G3181" s="4">
        <v>4</v>
      </c>
      <c r="H3181" s="13"/>
      <c r="I3181" s="15"/>
      <c r="J3181" s="19">
        <v>3</v>
      </c>
      <c r="K3181" s="2" t="s">
        <v>6372</v>
      </c>
      <c r="L3181" s="11" t="str">
        <f t="shared" si="51"/>
        <v>Ver Imagen</v>
      </c>
      <c r="M3181" t="s">
        <v>15</v>
      </c>
    </row>
    <row r="3182" spans="1:13" x14ac:dyDescent="0.25">
      <c r="A3182">
        <v>3181</v>
      </c>
      <c r="B3182" t="s">
        <v>6373</v>
      </c>
      <c r="C3182" s="1">
        <v>37.237843050000002</v>
      </c>
      <c r="D3182" s="1">
        <v>-7.0780850751299997</v>
      </c>
      <c r="E3182" s="3">
        <v>3</v>
      </c>
      <c r="F3182" s="2">
        <v>3</v>
      </c>
      <c r="G3182" s="4">
        <v>4</v>
      </c>
      <c r="H3182" s="13"/>
      <c r="I3182" s="15"/>
      <c r="J3182" s="19">
        <v>3</v>
      </c>
      <c r="K3182" s="2" t="s">
        <v>6374</v>
      </c>
      <c r="L3182" s="11" t="str">
        <f t="shared" si="51"/>
        <v>Ver Imagen</v>
      </c>
      <c r="M3182" t="s">
        <v>15</v>
      </c>
    </row>
    <row r="3183" spans="1:13" x14ac:dyDescent="0.25">
      <c r="A3183">
        <v>3182</v>
      </c>
      <c r="B3183" t="s">
        <v>6375</v>
      </c>
      <c r="C3183" s="1">
        <v>37.237957271299997</v>
      </c>
      <c r="D3183" s="1">
        <v>-7.0782777919999997</v>
      </c>
      <c r="E3183" s="3">
        <v>3</v>
      </c>
      <c r="F3183" s="2">
        <v>3</v>
      </c>
      <c r="G3183" s="4">
        <v>4</v>
      </c>
      <c r="H3183" s="13"/>
      <c r="I3183" s="15"/>
      <c r="J3183" s="19">
        <v>3</v>
      </c>
      <c r="K3183" s="2" t="s">
        <v>6376</v>
      </c>
      <c r="L3183" s="11" t="str">
        <f t="shared" si="51"/>
        <v>Ver Imagen</v>
      </c>
      <c r="M3183" t="s">
        <v>15</v>
      </c>
    </row>
    <row r="3184" spans="1:13" x14ac:dyDescent="0.25">
      <c r="A3184">
        <v>3183</v>
      </c>
      <c r="B3184" t="s">
        <v>6377</v>
      </c>
      <c r="C3184" s="1">
        <v>37.238329548800003</v>
      </c>
      <c r="D3184" s="1">
        <v>-7.0788756680900002</v>
      </c>
      <c r="E3184" s="3">
        <v>3</v>
      </c>
      <c r="F3184" s="2">
        <v>3</v>
      </c>
      <c r="G3184" s="4">
        <v>4</v>
      </c>
      <c r="H3184" s="13"/>
      <c r="I3184" s="15"/>
      <c r="J3184" s="19">
        <v>3</v>
      </c>
      <c r="K3184" s="2" t="s">
        <v>6378</v>
      </c>
      <c r="L3184" s="11" t="str">
        <f t="shared" si="51"/>
        <v>Ver Imagen</v>
      </c>
      <c r="M3184" t="s">
        <v>15</v>
      </c>
    </row>
    <row r="3185" spans="1:13" x14ac:dyDescent="0.25">
      <c r="A3185">
        <v>3184</v>
      </c>
      <c r="B3185" t="s">
        <v>6379</v>
      </c>
      <c r="C3185" s="1">
        <v>37.238473541799998</v>
      </c>
      <c r="D3185" s="1">
        <v>-7.0790936782999996</v>
      </c>
      <c r="E3185" s="3">
        <v>3</v>
      </c>
      <c r="F3185" s="2">
        <v>3</v>
      </c>
      <c r="G3185" s="4">
        <v>4</v>
      </c>
      <c r="H3185" s="13"/>
      <c r="I3185" s="15"/>
      <c r="J3185" s="19">
        <v>3</v>
      </c>
      <c r="K3185" s="2" t="s">
        <v>6380</v>
      </c>
      <c r="L3185" s="11" t="str">
        <f t="shared" si="51"/>
        <v>Ver Imagen</v>
      </c>
      <c r="M3185" t="s">
        <v>15</v>
      </c>
    </row>
    <row r="3186" spans="1:13" x14ac:dyDescent="0.25">
      <c r="A3186">
        <v>3185</v>
      </c>
      <c r="B3186" t="s">
        <v>6381</v>
      </c>
      <c r="C3186" s="1">
        <v>37.239746095100003</v>
      </c>
      <c r="D3186" s="1">
        <v>-7.0810128315599998</v>
      </c>
      <c r="E3186" s="3">
        <v>3</v>
      </c>
      <c r="F3186" s="2">
        <v>3</v>
      </c>
      <c r="G3186" s="4">
        <v>4</v>
      </c>
      <c r="H3186" s="13"/>
      <c r="I3186" s="15"/>
      <c r="J3186" s="19">
        <v>3</v>
      </c>
      <c r="K3186" s="2" t="s">
        <v>6382</v>
      </c>
      <c r="L3186" s="11" t="str">
        <f t="shared" si="51"/>
        <v>Ver Imagen</v>
      </c>
      <c r="M3186" t="s">
        <v>15</v>
      </c>
    </row>
    <row r="3187" spans="1:13" x14ac:dyDescent="0.25">
      <c r="A3187">
        <v>3186</v>
      </c>
      <c r="B3187" t="s">
        <v>6383</v>
      </c>
      <c r="C3187" s="1">
        <v>37.239877120700001</v>
      </c>
      <c r="D3187" s="1">
        <v>-7.0812123323699998</v>
      </c>
      <c r="E3187" s="3">
        <v>3</v>
      </c>
      <c r="F3187" s="2">
        <v>3</v>
      </c>
      <c r="G3187" s="4">
        <v>4</v>
      </c>
      <c r="H3187" s="13"/>
      <c r="I3187" s="15"/>
      <c r="J3187" s="19">
        <v>3</v>
      </c>
      <c r="K3187" s="2" t="s">
        <v>6384</v>
      </c>
      <c r="L3187" s="11" t="str">
        <f t="shared" si="51"/>
        <v>Ver Imagen</v>
      </c>
      <c r="M3187" t="s">
        <v>15</v>
      </c>
    </row>
    <row r="3188" spans="1:13" x14ac:dyDescent="0.25">
      <c r="A3188">
        <v>3187</v>
      </c>
      <c r="B3188" t="s">
        <v>6385</v>
      </c>
      <c r="C3188" s="1">
        <v>37.2401460062</v>
      </c>
      <c r="D3188" s="1">
        <v>-7.0816257201099999</v>
      </c>
      <c r="E3188" s="3">
        <v>3</v>
      </c>
      <c r="F3188" s="2">
        <v>3</v>
      </c>
      <c r="G3188" s="4">
        <v>4</v>
      </c>
      <c r="H3188" s="13"/>
      <c r="I3188" s="15"/>
      <c r="J3188" s="19">
        <v>3</v>
      </c>
      <c r="K3188" s="2" t="s">
        <v>6386</v>
      </c>
      <c r="L3188" s="11" t="str">
        <f t="shared" si="51"/>
        <v>Ver Imagen</v>
      </c>
      <c r="M3188" t="s">
        <v>15</v>
      </c>
    </row>
    <row r="3189" spans="1:13" x14ac:dyDescent="0.25">
      <c r="A3189">
        <v>3188</v>
      </c>
      <c r="B3189" t="s">
        <v>6387</v>
      </c>
      <c r="C3189" s="1">
        <v>37.240273357900001</v>
      </c>
      <c r="D3189" s="1">
        <v>-7.0818196839600001</v>
      </c>
      <c r="E3189" s="3">
        <v>3</v>
      </c>
      <c r="F3189" s="2">
        <v>3</v>
      </c>
      <c r="G3189" s="4">
        <v>4</v>
      </c>
      <c r="H3189" s="13"/>
      <c r="I3189" s="15"/>
      <c r="J3189" s="19">
        <v>3</v>
      </c>
      <c r="K3189" s="2" t="s">
        <v>6388</v>
      </c>
      <c r="L3189" s="11" t="str">
        <f t="shared" si="51"/>
        <v>Ver Imagen</v>
      </c>
      <c r="M3189" t="s">
        <v>15</v>
      </c>
    </row>
    <row r="3190" spans="1:13" x14ac:dyDescent="0.25">
      <c r="A3190">
        <v>3189</v>
      </c>
      <c r="B3190" t="s">
        <v>6389</v>
      </c>
      <c r="C3190" s="1">
        <v>37.2404025198</v>
      </c>
      <c r="D3190" s="1">
        <v>-7.08201545899</v>
      </c>
      <c r="E3190" s="3">
        <v>3</v>
      </c>
      <c r="F3190" s="2">
        <v>3</v>
      </c>
      <c r="G3190" s="4">
        <v>4</v>
      </c>
      <c r="H3190" s="13"/>
      <c r="I3190" s="15"/>
      <c r="J3190" s="19">
        <v>3</v>
      </c>
      <c r="K3190" s="2" t="s">
        <v>6390</v>
      </c>
      <c r="L3190" s="11" t="str">
        <f t="shared" si="51"/>
        <v>Ver Imagen</v>
      </c>
      <c r="M3190" t="s">
        <v>15</v>
      </c>
    </row>
    <row r="3191" spans="1:13" x14ac:dyDescent="0.25">
      <c r="A3191">
        <v>3190</v>
      </c>
      <c r="B3191" t="s">
        <v>6391</v>
      </c>
      <c r="C3191" s="1">
        <v>37.240540729499997</v>
      </c>
      <c r="D3191" s="1">
        <v>-7.0822228693099998</v>
      </c>
      <c r="E3191" s="3">
        <v>3</v>
      </c>
      <c r="F3191" s="2">
        <v>3</v>
      </c>
      <c r="G3191" s="4">
        <v>4</v>
      </c>
      <c r="H3191" s="13"/>
      <c r="I3191" s="15"/>
      <c r="J3191" s="19">
        <v>3</v>
      </c>
      <c r="K3191" s="2" t="s">
        <v>6392</v>
      </c>
      <c r="L3191" s="11" t="str">
        <f t="shared" si="51"/>
        <v>Ver Imagen</v>
      </c>
      <c r="M3191" t="s">
        <v>15</v>
      </c>
    </row>
    <row r="3192" spans="1:13" x14ac:dyDescent="0.25">
      <c r="A3192">
        <v>3191</v>
      </c>
      <c r="B3192" t="s">
        <v>6393</v>
      </c>
      <c r="C3192" s="1">
        <v>37.240649967899998</v>
      </c>
      <c r="D3192" s="1">
        <v>-7.0823876804000001</v>
      </c>
      <c r="E3192" s="3">
        <v>3</v>
      </c>
      <c r="F3192" s="2">
        <v>3</v>
      </c>
      <c r="G3192" s="4">
        <v>4</v>
      </c>
      <c r="H3192" s="13"/>
      <c r="I3192" s="15"/>
      <c r="J3192" s="19">
        <v>3</v>
      </c>
      <c r="K3192" s="2" t="s">
        <v>6394</v>
      </c>
      <c r="L3192" s="11" t="str">
        <f t="shared" si="51"/>
        <v>Ver Imagen</v>
      </c>
      <c r="M3192" t="s">
        <v>15</v>
      </c>
    </row>
    <row r="3193" spans="1:13" x14ac:dyDescent="0.25">
      <c r="A3193">
        <v>3192</v>
      </c>
      <c r="B3193" t="s">
        <v>6395</v>
      </c>
      <c r="C3193" s="1">
        <v>37.240795342699997</v>
      </c>
      <c r="D3193" s="1">
        <v>-7.0826074197300004</v>
      </c>
      <c r="E3193" s="3">
        <v>3</v>
      </c>
      <c r="F3193" s="2">
        <v>3</v>
      </c>
      <c r="G3193" s="4">
        <v>4</v>
      </c>
      <c r="H3193" s="13"/>
      <c r="I3193" s="15"/>
      <c r="J3193" s="19">
        <v>3</v>
      </c>
      <c r="K3193" s="2" t="s">
        <v>6396</v>
      </c>
      <c r="L3193" s="11" t="str">
        <f t="shared" si="51"/>
        <v>Ver Imagen</v>
      </c>
      <c r="M3193" t="s">
        <v>15</v>
      </c>
    </row>
    <row r="3194" spans="1:13" x14ac:dyDescent="0.25">
      <c r="A3194">
        <v>3193</v>
      </c>
      <c r="B3194" t="s">
        <v>6397</v>
      </c>
      <c r="C3194" s="1">
        <v>37.241039905800001</v>
      </c>
      <c r="D3194" s="1">
        <v>-7.0829756846</v>
      </c>
      <c r="E3194" s="3">
        <v>4</v>
      </c>
      <c r="F3194" s="2">
        <v>3</v>
      </c>
      <c r="G3194" s="4">
        <v>3</v>
      </c>
      <c r="H3194" s="13"/>
      <c r="I3194" s="15"/>
      <c r="J3194" s="19">
        <v>3</v>
      </c>
      <c r="K3194" s="2" t="s">
        <v>6398</v>
      </c>
      <c r="L3194" s="11" t="str">
        <f t="shared" si="51"/>
        <v>Ver Imagen</v>
      </c>
      <c r="M3194" t="s">
        <v>15</v>
      </c>
    </row>
    <row r="3195" spans="1:13" x14ac:dyDescent="0.25">
      <c r="A3195">
        <v>3194</v>
      </c>
      <c r="B3195" t="s">
        <v>6399</v>
      </c>
      <c r="C3195" s="1">
        <v>37.241440589299998</v>
      </c>
      <c r="D3195" s="1">
        <v>-7.0835866775299996</v>
      </c>
      <c r="E3195" s="3">
        <v>3</v>
      </c>
      <c r="F3195" s="2">
        <v>3</v>
      </c>
      <c r="G3195" s="4">
        <v>4</v>
      </c>
      <c r="H3195" s="13"/>
      <c r="I3195" s="15"/>
      <c r="J3195" s="19">
        <v>3</v>
      </c>
      <c r="K3195" s="2" t="s">
        <v>6400</v>
      </c>
      <c r="L3195" s="11" t="str">
        <f t="shared" si="51"/>
        <v>Ver Imagen</v>
      </c>
      <c r="M3195" t="s">
        <v>15</v>
      </c>
    </row>
    <row r="3196" spans="1:13" x14ac:dyDescent="0.25">
      <c r="A3196">
        <v>3195</v>
      </c>
      <c r="B3196" t="s">
        <v>6401</v>
      </c>
      <c r="C3196" s="1">
        <v>37.241560701399997</v>
      </c>
      <c r="D3196" s="1">
        <v>-7.0837716786499998</v>
      </c>
      <c r="E3196" s="3">
        <v>3</v>
      </c>
      <c r="F3196" s="2">
        <v>3</v>
      </c>
      <c r="G3196" s="4">
        <v>4</v>
      </c>
      <c r="H3196" s="13"/>
      <c r="I3196" s="15"/>
      <c r="J3196" s="19">
        <v>3</v>
      </c>
      <c r="K3196" s="2" t="s">
        <v>6402</v>
      </c>
      <c r="L3196" s="11" t="str">
        <f t="shared" si="51"/>
        <v>Ver Imagen</v>
      </c>
      <c r="M3196" t="s">
        <v>15</v>
      </c>
    </row>
    <row r="3197" spans="1:13" x14ac:dyDescent="0.25">
      <c r="A3197">
        <v>3196</v>
      </c>
      <c r="B3197" t="s">
        <v>6403</v>
      </c>
      <c r="C3197" s="1">
        <v>37.241921137699997</v>
      </c>
      <c r="D3197" s="1">
        <v>-7.0843767378000004</v>
      </c>
      <c r="E3197" s="3">
        <v>3</v>
      </c>
      <c r="F3197" s="2">
        <v>3</v>
      </c>
      <c r="G3197" s="4">
        <v>4</v>
      </c>
      <c r="H3197" s="13"/>
      <c r="I3197" s="15"/>
      <c r="J3197" s="19">
        <v>3</v>
      </c>
      <c r="K3197" s="2" t="s">
        <v>6404</v>
      </c>
      <c r="L3197" s="11" t="str">
        <f t="shared" si="51"/>
        <v>Ver Imagen</v>
      </c>
      <c r="M3197" t="s">
        <v>15</v>
      </c>
    </row>
    <row r="3198" spans="1:13" x14ac:dyDescent="0.25">
      <c r="A3198">
        <v>3197</v>
      </c>
      <c r="B3198" t="s">
        <v>6405</v>
      </c>
      <c r="C3198" s="1">
        <v>37.242025250300003</v>
      </c>
      <c r="D3198" s="1">
        <v>-7.0845860924500004</v>
      </c>
      <c r="E3198" s="3">
        <v>3</v>
      </c>
      <c r="F3198" s="2">
        <v>3</v>
      </c>
      <c r="G3198" s="4">
        <v>4</v>
      </c>
      <c r="H3198" s="13"/>
      <c r="I3198" s="15"/>
      <c r="J3198" s="19">
        <v>3</v>
      </c>
      <c r="K3198" s="2" t="s">
        <v>6406</v>
      </c>
      <c r="L3198" s="11" t="str">
        <f t="shared" si="51"/>
        <v>Ver Imagen</v>
      </c>
      <c r="M3198" t="s">
        <v>15</v>
      </c>
    </row>
    <row r="3199" spans="1:13" x14ac:dyDescent="0.25">
      <c r="A3199">
        <v>3198</v>
      </c>
      <c r="B3199" t="s">
        <v>6407</v>
      </c>
      <c r="C3199" s="1">
        <v>37.242117237199999</v>
      </c>
      <c r="D3199" s="1">
        <v>-7.08479344656</v>
      </c>
      <c r="E3199" s="3">
        <v>3</v>
      </c>
      <c r="F3199" s="2">
        <v>3</v>
      </c>
      <c r="G3199" s="4">
        <v>4</v>
      </c>
      <c r="H3199" s="13"/>
      <c r="I3199" s="15"/>
      <c r="J3199" s="19">
        <v>3</v>
      </c>
      <c r="K3199" s="2" t="s">
        <v>6408</v>
      </c>
      <c r="L3199" s="11" t="str">
        <f t="shared" si="51"/>
        <v>Ver Imagen</v>
      </c>
      <c r="M3199" t="s">
        <v>15</v>
      </c>
    </row>
    <row r="3200" spans="1:13" x14ac:dyDescent="0.25">
      <c r="A3200">
        <v>3199</v>
      </c>
      <c r="B3200" t="s">
        <v>6409</v>
      </c>
      <c r="C3200" s="1">
        <v>37.242215335700003</v>
      </c>
      <c r="D3200" s="1">
        <v>-7.0850442105799996</v>
      </c>
      <c r="E3200" s="3">
        <v>3</v>
      </c>
      <c r="F3200" s="2">
        <v>3</v>
      </c>
      <c r="G3200" s="4">
        <v>4</v>
      </c>
      <c r="H3200" s="13"/>
      <c r="I3200" s="15"/>
      <c r="J3200" s="19">
        <v>3</v>
      </c>
      <c r="K3200" s="2" t="s">
        <v>6410</v>
      </c>
      <c r="L3200" s="11" t="str">
        <f t="shared" si="51"/>
        <v>Ver Imagen</v>
      </c>
      <c r="M3200" t="s">
        <v>15</v>
      </c>
    </row>
    <row r="3201" spans="1:13" x14ac:dyDescent="0.25">
      <c r="A3201">
        <v>3200</v>
      </c>
      <c r="B3201" t="s">
        <v>6411</v>
      </c>
      <c r="C3201" s="1">
        <v>37.242881150300001</v>
      </c>
      <c r="D3201" s="1">
        <v>-7.08740092729</v>
      </c>
      <c r="E3201" s="3">
        <v>4</v>
      </c>
      <c r="F3201" s="2">
        <v>3</v>
      </c>
      <c r="G3201" s="4">
        <v>3</v>
      </c>
      <c r="H3201" s="13"/>
      <c r="I3201" s="15"/>
      <c r="J3201" s="19">
        <v>3</v>
      </c>
      <c r="K3201" s="2" t="s">
        <v>6412</v>
      </c>
      <c r="L3201" s="11" t="str">
        <f t="shared" si="51"/>
        <v>Ver Imagen</v>
      </c>
      <c r="M3201" t="s">
        <v>15</v>
      </c>
    </row>
    <row r="3202" spans="1:13" x14ac:dyDescent="0.25">
      <c r="A3202">
        <v>3201</v>
      </c>
      <c r="B3202" t="s">
        <v>6413</v>
      </c>
      <c r="C3202" s="1">
        <v>37.243302195399998</v>
      </c>
      <c r="D3202" s="1">
        <v>-7.0885640155000003</v>
      </c>
      <c r="E3202" s="3">
        <v>3</v>
      </c>
      <c r="F3202" s="2">
        <v>3</v>
      </c>
      <c r="G3202" s="4">
        <v>4</v>
      </c>
      <c r="H3202" s="13"/>
      <c r="I3202" s="15"/>
      <c r="J3202" s="19">
        <v>3</v>
      </c>
      <c r="K3202" s="2" t="s">
        <v>6414</v>
      </c>
      <c r="L3202" s="11" t="str">
        <f t="shared" si="51"/>
        <v>Ver Imagen</v>
      </c>
      <c r="M3202" t="s">
        <v>15</v>
      </c>
    </row>
    <row r="3203" spans="1:13" x14ac:dyDescent="0.25">
      <c r="A3203">
        <v>3202</v>
      </c>
      <c r="B3203" t="s">
        <v>6415</v>
      </c>
      <c r="C3203" s="1">
        <v>37.245467690200002</v>
      </c>
      <c r="D3203" s="1">
        <v>-7.09445703989</v>
      </c>
      <c r="E3203" s="3">
        <v>3</v>
      </c>
      <c r="F3203" s="2">
        <v>3</v>
      </c>
      <c r="G3203" s="4">
        <v>4</v>
      </c>
      <c r="H3203" s="13"/>
      <c r="I3203" s="15"/>
      <c r="J3203" s="19">
        <v>3</v>
      </c>
      <c r="K3203" s="2" t="s">
        <v>6416</v>
      </c>
      <c r="L3203" s="11" t="str">
        <f t="shared" si="51"/>
        <v>Ver Imagen</v>
      </c>
      <c r="M3203" t="s">
        <v>15</v>
      </c>
    </row>
    <row r="3204" spans="1:13" x14ac:dyDescent="0.25">
      <c r="A3204">
        <v>3203</v>
      </c>
      <c r="B3204" t="s">
        <v>6417</v>
      </c>
      <c r="C3204" s="1">
        <v>37.245877303</v>
      </c>
      <c r="D3204" s="1">
        <v>-7.09795059117</v>
      </c>
      <c r="E3204" s="3">
        <v>3</v>
      </c>
      <c r="F3204" s="2">
        <v>3</v>
      </c>
      <c r="G3204" s="4">
        <v>4</v>
      </c>
      <c r="H3204" s="13"/>
      <c r="I3204" s="15"/>
      <c r="J3204" s="19">
        <v>3</v>
      </c>
      <c r="K3204" s="2" t="s">
        <v>6418</v>
      </c>
      <c r="L3204" s="11" t="str">
        <f t="shared" si="51"/>
        <v>Ver Imagen</v>
      </c>
      <c r="M3204" t="s">
        <v>15</v>
      </c>
    </row>
    <row r="3205" spans="1:13" x14ac:dyDescent="0.25">
      <c r="A3205">
        <v>3204</v>
      </c>
      <c r="B3205" t="s">
        <v>6419</v>
      </c>
      <c r="C3205" s="1">
        <v>37.246048215000002</v>
      </c>
      <c r="D3205" s="1">
        <v>-7.0983860625900004</v>
      </c>
      <c r="E3205" s="3">
        <v>3</v>
      </c>
      <c r="F3205" s="2">
        <v>3</v>
      </c>
      <c r="G3205" s="4">
        <v>4</v>
      </c>
      <c r="H3205" s="13"/>
      <c r="I3205" s="15"/>
      <c r="J3205" s="19">
        <v>3</v>
      </c>
      <c r="K3205" s="2" t="s">
        <v>6420</v>
      </c>
      <c r="L3205" s="11" t="str">
        <f t="shared" si="51"/>
        <v>Ver Imagen</v>
      </c>
      <c r="M3205" t="s">
        <v>15</v>
      </c>
    </row>
    <row r="3206" spans="1:13" x14ac:dyDescent="0.25">
      <c r="A3206">
        <v>3205</v>
      </c>
      <c r="B3206" t="s">
        <v>6421</v>
      </c>
      <c r="C3206" s="1">
        <v>37.246663765999998</v>
      </c>
      <c r="D3206" s="1">
        <v>-7.0994355140599996</v>
      </c>
      <c r="E3206" s="3">
        <v>3</v>
      </c>
      <c r="F3206" s="2">
        <v>3</v>
      </c>
      <c r="G3206" s="4">
        <v>4</v>
      </c>
      <c r="H3206" s="13"/>
      <c r="I3206" s="15"/>
      <c r="J3206" s="19">
        <v>3</v>
      </c>
      <c r="K3206" s="2" t="s">
        <v>6422</v>
      </c>
      <c r="L3206" s="11" t="str">
        <f t="shared" si="51"/>
        <v>Ver Imagen</v>
      </c>
      <c r="M3206" t="s">
        <v>15</v>
      </c>
    </row>
    <row r="3207" spans="1:13" x14ac:dyDescent="0.25">
      <c r="A3207">
        <v>3206</v>
      </c>
      <c r="B3207" t="s">
        <v>6423</v>
      </c>
      <c r="C3207" s="1">
        <v>37.247310408499999</v>
      </c>
      <c r="D3207" s="1">
        <v>-7.1004177001300004</v>
      </c>
      <c r="E3207" s="3">
        <v>3</v>
      </c>
      <c r="F3207" s="2">
        <v>3</v>
      </c>
      <c r="G3207" s="4">
        <v>4</v>
      </c>
      <c r="H3207" s="13"/>
      <c r="I3207" s="15"/>
      <c r="J3207" s="19">
        <v>3</v>
      </c>
      <c r="K3207" s="2" t="s">
        <v>6424</v>
      </c>
      <c r="L3207" s="11" t="str">
        <f t="shared" si="51"/>
        <v>Ver Imagen</v>
      </c>
      <c r="M3207" t="s">
        <v>15</v>
      </c>
    </row>
    <row r="3208" spans="1:13" x14ac:dyDescent="0.25">
      <c r="A3208">
        <v>3207</v>
      </c>
      <c r="B3208" t="s">
        <v>6425</v>
      </c>
      <c r="C3208" s="1">
        <v>37.247441168599998</v>
      </c>
      <c r="D3208" s="1">
        <v>-7.1006137090500001</v>
      </c>
      <c r="E3208" s="3">
        <v>3</v>
      </c>
      <c r="F3208" s="2">
        <v>3</v>
      </c>
      <c r="G3208" s="4">
        <v>4</v>
      </c>
      <c r="H3208" s="13"/>
      <c r="I3208" s="15"/>
      <c r="J3208" s="19">
        <v>3</v>
      </c>
      <c r="K3208" s="2" t="s">
        <v>6426</v>
      </c>
      <c r="L3208" s="11" t="str">
        <f t="shared" si="51"/>
        <v>Ver Imagen</v>
      </c>
      <c r="M3208" t="s">
        <v>15</v>
      </c>
    </row>
    <row r="3209" spans="1:13" x14ac:dyDescent="0.25">
      <c r="A3209">
        <v>3208</v>
      </c>
      <c r="B3209" t="s">
        <v>6427</v>
      </c>
      <c r="C3209" s="1">
        <v>37.247700046200002</v>
      </c>
      <c r="D3209" s="1">
        <v>-7.1009989254599999</v>
      </c>
      <c r="E3209" s="3">
        <v>3</v>
      </c>
      <c r="F3209" s="2">
        <v>3</v>
      </c>
      <c r="G3209" s="4">
        <v>4</v>
      </c>
      <c r="H3209" s="13"/>
      <c r="I3209" s="15"/>
      <c r="J3209" s="19">
        <v>3</v>
      </c>
      <c r="K3209" s="2" t="s">
        <v>6428</v>
      </c>
      <c r="L3209" s="11" t="str">
        <f t="shared" si="51"/>
        <v>Ver Imagen</v>
      </c>
      <c r="M3209" t="s">
        <v>15</v>
      </c>
    </row>
    <row r="3210" spans="1:13" x14ac:dyDescent="0.25">
      <c r="A3210">
        <v>3209</v>
      </c>
      <c r="B3210" t="s">
        <v>6429</v>
      </c>
      <c r="C3210" s="1">
        <v>37.248942986400003</v>
      </c>
      <c r="D3210" s="1">
        <v>-7.1022203477800003</v>
      </c>
      <c r="E3210" s="3">
        <v>3</v>
      </c>
      <c r="F3210" s="2">
        <v>3</v>
      </c>
      <c r="G3210" s="4">
        <v>4</v>
      </c>
      <c r="H3210" s="13"/>
      <c r="I3210" s="15"/>
      <c r="J3210" s="19">
        <v>3</v>
      </c>
      <c r="K3210" s="2" t="s">
        <v>6430</v>
      </c>
      <c r="L3210" s="11" t="str">
        <f t="shared" si="51"/>
        <v>Ver Imagen</v>
      </c>
      <c r="M3210" t="s">
        <v>15</v>
      </c>
    </row>
    <row r="3211" spans="1:13" x14ac:dyDescent="0.25">
      <c r="A3211">
        <v>3210</v>
      </c>
      <c r="B3211" t="s">
        <v>6431</v>
      </c>
      <c r="C3211" s="1">
        <v>37.251335612399998</v>
      </c>
      <c r="D3211" s="1">
        <v>-7.1036114057399997</v>
      </c>
      <c r="E3211" s="3">
        <v>2</v>
      </c>
      <c r="F3211" s="2">
        <v>3</v>
      </c>
      <c r="G3211" s="4">
        <v>3</v>
      </c>
      <c r="H3211" s="13"/>
      <c r="I3211" s="15"/>
      <c r="J3211" s="19">
        <v>3</v>
      </c>
      <c r="K3211" s="2" t="s">
        <v>6432</v>
      </c>
      <c r="L3211" s="11" t="str">
        <f t="shared" si="51"/>
        <v>Ver Imagen</v>
      </c>
      <c r="M3211" t="s">
        <v>15</v>
      </c>
    </row>
    <row r="3212" spans="1:13" x14ac:dyDescent="0.25">
      <c r="A3212">
        <v>3211</v>
      </c>
      <c r="B3212" t="s">
        <v>6433</v>
      </c>
      <c r="C3212" s="1">
        <v>37.251513207800002</v>
      </c>
      <c r="D3212" s="1">
        <v>-7.1037215694700002</v>
      </c>
      <c r="E3212" s="3">
        <v>2</v>
      </c>
      <c r="F3212" s="2">
        <v>3</v>
      </c>
      <c r="G3212" s="4">
        <v>3</v>
      </c>
      <c r="H3212" s="13"/>
      <c r="I3212" s="15"/>
      <c r="J3212" s="19">
        <v>3</v>
      </c>
      <c r="K3212" s="2" t="s">
        <v>6434</v>
      </c>
      <c r="L3212" s="11" t="str">
        <f t="shared" si="51"/>
        <v>Ver Imagen</v>
      </c>
      <c r="M3212" t="s">
        <v>15</v>
      </c>
    </row>
    <row r="3213" spans="1:13" x14ac:dyDescent="0.25">
      <c r="A3213">
        <v>3212</v>
      </c>
      <c r="B3213" t="s">
        <v>6435</v>
      </c>
      <c r="C3213" s="1">
        <v>37.2516857743</v>
      </c>
      <c r="D3213" s="1">
        <v>-7.1038422492400004</v>
      </c>
      <c r="E3213" s="3">
        <v>2</v>
      </c>
      <c r="F3213" s="2">
        <v>3</v>
      </c>
      <c r="G3213" s="4">
        <v>3</v>
      </c>
      <c r="H3213" s="13"/>
      <c r="I3213" s="15"/>
      <c r="J3213" s="19">
        <v>3</v>
      </c>
      <c r="K3213" s="2" t="s">
        <v>6436</v>
      </c>
      <c r="L3213" s="11" t="str">
        <f t="shared" si="51"/>
        <v>Ver Imagen</v>
      </c>
      <c r="M3213" t="s">
        <v>15</v>
      </c>
    </row>
    <row r="3214" spans="1:13" x14ac:dyDescent="0.25">
      <c r="A3214">
        <v>3213</v>
      </c>
      <c r="B3214" t="s">
        <v>6437</v>
      </c>
      <c r="C3214" s="1">
        <v>37.251855289700003</v>
      </c>
      <c r="D3214" s="1">
        <v>-7.1039789833300002</v>
      </c>
      <c r="E3214" s="3">
        <v>2</v>
      </c>
      <c r="F3214" s="2">
        <v>3</v>
      </c>
      <c r="G3214" s="4">
        <v>3</v>
      </c>
      <c r="H3214" s="13"/>
      <c r="I3214" s="15"/>
      <c r="J3214" s="19">
        <v>3</v>
      </c>
      <c r="K3214" s="2" t="s">
        <v>6438</v>
      </c>
      <c r="L3214" s="11" t="str">
        <f t="shared" si="51"/>
        <v>Ver Imagen</v>
      </c>
      <c r="M3214" t="s">
        <v>15</v>
      </c>
    </row>
    <row r="3215" spans="1:13" x14ac:dyDescent="0.25">
      <c r="A3215">
        <v>3214</v>
      </c>
      <c r="B3215" t="s">
        <v>6439</v>
      </c>
      <c r="C3215" s="1">
        <v>37.2520257153</v>
      </c>
      <c r="D3215" s="1">
        <v>-7.1041358795100003</v>
      </c>
      <c r="E3215" s="3">
        <v>2</v>
      </c>
      <c r="F3215" s="2">
        <v>3</v>
      </c>
      <c r="G3215" s="4">
        <v>3</v>
      </c>
      <c r="H3215" s="13"/>
      <c r="I3215" s="15"/>
      <c r="J3215" s="19">
        <v>3</v>
      </c>
      <c r="K3215" s="2" t="s">
        <v>6440</v>
      </c>
      <c r="L3215" s="11" t="str">
        <f t="shared" si="51"/>
        <v>Ver Imagen</v>
      </c>
      <c r="M3215" t="s">
        <v>15</v>
      </c>
    </row>
    <row r="3216" spans="1:13" x14ac:dyDescent="0.25">
      <c r="A3216">
        <v>3215</v>
      </c>
      <c r="B3216" t="s">
        <v>6441</v>
      </c>
      <c r="C3216" s="1">
        <v>37.252180699699998</v>
      </c>
      <c r="D3216" s="1">
        <v>-7.1043022703899998</v>
      </c>
      <c r="E3216" s="3">
        <v>2</v>
      </c>
      <c r="F3216" s="2">
        <v>3</v>
      </c>
      <c r="G3216" s="4">
        <v>3</v>
      </c>
      <c r="H3216" s="13"/>
      <c r="I3216" s="15"/>
      <c r="J3216" s="19">
        <v>3</v>
      </c>
      <c r="K3216" s="2" t="s">
        <v>6442</v>
      </c>
      <c r="L3216" s="11" t="str">
        <f t="shared" si="51"/>
        <v>Ver Imagen</v>
      </c>
      <c r="M3216" t="s">
        <v>15</v>
      </c>
    </row>
    <row r="3217" spans="1:13" x14ac:dyDescent="0.25">
      <c r="A3217">
        <v>3216</v>
      </c>
      <c r="B3217" t="s">
        <v>6443</v>
      </c>
      <c r="C3217" s="1">
        <v>37.252466442200003</v>
      </c>
      <c r="D3217" s="1">
        <v>-7.1046957919100002</v>
      </c>
      <c r="E3217" s="3">
        <v>2</v>
      </c>
      <c r="F3217" s="2">
        <v>3</v>
      </c>
      <c r="G3217" s="4">
        <v>3</v>
      </c>
      <c r="H3217" s="13"/>
      <c r="I3217" s="15"/>
      <c r="J3217" s="19">
        <v>3</v>
      </c>
      <c r="K3217" s="2" t="s">
        <v>6444</v>
      </c>
      <c r="L3217" s="11" t="str">
        <f t="shared" si="51"/>
        <v>Ver Imagen</v>
      </c>
      <c r="M3217" t="s">
        <v>15</v>
      </c>
    </row>
    <row r="3218" spans="1:13" x14ac:dyDescent="0.25">
      <c r="A3218">
        <v>3217</v>
      </c>
      <c r="B3218" t="s">
        <v>6445</v>
      </c>
      <c r="C3218" s="1">
        <v>37.2525737259</v>
      </c>
      <c r="D3218" s="1">
        <v>-7.1048820796500003</v>
      </c>
      <c r="E3218" s="3">
        <v>2</v>
      </c>
      <c r="F3218" s="2">
        <v>3</v>
      </c>
      <c r="G3218" s="4">
        <v>3</v>
      </c>
      <c r="H3218" s="13"/>
      <c r="I3218" s="15"/>
      <c r="J3218" s="19">
        <v>3</v>
      </c>
      <c r="K3218" s="2" t="s">
        <v>6446</v>
      </c>
      <c r="L3218" s="11" t="str">
        <f t="shared" si="51"/>
        <v>Ver Imagen</v>
      </c>
      <c r="M3218" t="s">
        <v>15</v>
      </c>
    </row>
    <row r="3219" spans="1:13" x14ac:dyDescent="0.25">
      <c r="A3219">
        <v>3218</v>
      </c>
      <c r="B3219" t="s">
        <v>6447</v>
      </c>
      <c r="C3219" s="1">
        <v>37.2528712728</v>
      </c>
      <c r="D3219" s="1">
        <v>-7.1055431670400004</v>
      </c>
      <c r="E3219" s="3">
        <v>2</v>
      </c>
      <c r="F3219" s="2">
        <v>3</v>
      </c>
      <c r="G3219" s="4">
        <v>3</v>
      </c>
      <c r="H3219" s="13"/>
      <c r="I3219" s="15"/>
      <c r="J3219" s="19">
        <v>3</v>
      </c>
      <c r="K3219" s="2" t="s">
        <v>6448</v>
      </c>
      <c r="L3219" s="11" t="str">
        <f t="shared" si="51"/>
        <v>Ver Imagen</v>
      </c>
      <c r="M3219" t="s">
        <v>15</v>
      </c>
    </row>
    <row r="3220" spans="1:13" x14ac:dyDescent="0.25">
      <c r="A3220">
        <v>3219</v>
      </c>
      <c r="B3220" t="s">
        <v>6449</v>
      </c>
      <c r="C3220" s="1">
        <v>37.253055144199998</v>
      </c>
      <c r="D3220" s="1">
        <v>-7.1060179464199997</v>
      </c>
      <c r="E3220" s="3">
        <v>2</v>
      </c>
      <c r="F3220" s="2">
        <v>3</v>
      </c>
      <c r="G3220" s="4">
        <v>3</v>
      </c>
      <c r="H3220" s="13"/>
      <c r="I3220" s="15"/>
      <c r="J3220" s="19">
        <v>3</v>
      </c>
      <c r="K3220" s="2" t="s">
        <v>6450</v>
      </c>
      <c r="L3220" s="11" t="str">
        <f t="shared" si="51"/>
        <v>Ver Imagen</v>
      </c>
      <c r="M3220" t="s">
        <v>15</v>
      </c>
    </row>
    <row r="3221" spans="1:13" x14ac:dyDescent="0.25">
      <c r="A3221">
        <v>3220</v>
      </c>
      <c r="B3221" t="s">
        <v>6451</v>
      </c>
      <c r="C3221" s="1">
        <v>37.253239024499997</v>
      </c>
      <c r="D3221" s="1">
        <v>-7.1064658872299997</v>
      </c>
      <c r="E3221" s="3">
        <v>2</v>
      </c>
      <c r="F3221" s="2">
        <v>3</v>
      </c>
      <c r="G3221" s="4">
        <v>3</v>
      </c>
      <c r="H3221" s="13"/>
      <c r="I3221" s="15"/>
      <c r="J3221" s="19">
        <v>3</v>
      </c>
      <c r="K3221" s="2" t="s">
        <v>6452</v>
      </c>
      <c r="L3221" s="11" t="str">
        <f t="shared" si="51"/>
        <v>Ver Imagen</v>
      </c>
      <c r="M3221" t="s">
        <v>15</v>
      </c>
    </row>
    <row r="3222" spans="1:13" x14ac:dyDescent="0.25">
      <c r="A3222">
        <v>3221</v>
      </c>
      <c r="B3222" t="s">
        <v>6453</v>
      </c>
      <c r="C3222" s="1">
        <v>37.2533426838</v>
      </c>
      <c r="D3222" s="1">
        <v>-7.1066834229599998</v>
      </c>
      <c r="E3222" s="3">
        <v>2</v>
      </c>
      <c r="F3222" s="2">
        <v>3</v>
      </c>
      <c r="G3222" s="4">
        <v>3</v>
      </c>
      <c r="H3222" s="13"/>
      <c r="I3222" s="15"/>
      <c r="J3222" s="19">
        <v>3</v>
      </c>
      <c r="K3222" s="2" t="s">
        <v>6454</v>
      </c>
      <c r="L3222" s="11" t="str">
        <f t="shared" si="51"/>
        <v>Ver Imagen</v>
      </c>
      <c r="M3222" t="s">
        <v>15</v>
      </c>
    </row>
    <row r="3223" spans="1:13" x14ac:dyDescent="0.25">
      <c r="A3223">
        <v>3222</v>
      </c>
      <c r="B3223" t="s">
        <v>6455</v>
      </c>
      <c r="C3223" s="1">
        <v>37.254396711200002</v>
      </c>
      <c r="D3223" s="1">
        <v>-7.1082122128899998</v>
      </c>
      <c r="E3223" s="3">
        <v>2</v>
      </c>
      <c r="F3223" s="2">
        <v>3</v>
      </c>
      <c r="G3223" s="4">
        <v>3</v>
      </c>
      <c r="H3223" s="13"/>
      <c r="I3223" s="15"/>
      <c r="J3223" s="19">
        <v>3</v>
      </c>
      <c r="K3223" s="2" t="s">
        <v>6456</v>
      </c>
      <c r="L3223" s="11" t="str">
        <f t="shared" si="51"/>
        <v>Ver Imagen</v>
      </c>
      <c r="M3223" t="s">
        <v>15</v>
      </c>
    </row>
    <row r="3224" spans="1:13" x14ac:dyDescent="0.25">
      <c r="A3224">
        <v>3223</v>
      </c>
      <c r="B3224" t="s">
        <v>6457</v>
      </c>
      <c r="C3224" s="1">
        <v>37.254517293799999</v>
      </c>
      <c r="D3224" s="1">
        <v>-7.1083764303399999</v>
      </c>
      <c r="E3224" s="3">
        <v>2</v>
      </c>
      <c r="F3224" s="2">
        <v>3</v>
      </c>
      <c r="G3224" s="4">
        <v>3</v>
      </c>
      <c r="H3224" s="13"/>
      <c r="I3224" s="15"/>
      <c r="J3224" s="19">
        <v>3</v>
      </c>
      <c r="K3224" s="2" t="s">
        <v>6458</v>
      </c>
      <c r="L3224" s="11" t="str">
        <f t="shared" si="51"/>
        <v>Ver Imagen</v>
      </c>
      <c r="M3224" t="s">
        <v>15</v>
      </c>
    </row>
    <row r="3225" spans="1:13" x14ac:dyDescent="0.25">
      <c r="A3225">
        <v>3224</v>
      </c>
      <c r="B3225" t="s">
        <v>6459</v>
      </c>
      <c r="C3225" s="1">
        <v>37.254664351400002</v>
      </c>
      <c r="D3225" s="1">
        <v>-7.1085620177099997</v>
      </c>
      <c r="E3225" s="3">
        <v>4</v>
      </c>
      <c r="F3225" s="2">
        <v>3</v>
      </c>
      <c r="G3225" s="4">
        <v>3</v>
      </c>
      <c r="H3225" s="13"/>
      <c r="I3225" s="15"/>
      <c r="J3225" s="19">
        <v>3</v>
      </c>
      <c r="K3225" s="2" t="s">
        <v>6460</v>
      </c>
      <c r="L3225" s="11" t="str">
        <f t="shared" si="51"/>
        <v>Ver Imagen</v>
      </c>
      <c r="M3225" t="s">
        <v>15</v>
      </c>
    </row>
    <row r="3226" spans="1:13" x14ac:dyDescent="0.25">
      <c r="A3226">
        <v>3225</v>
      </c>
      <c r="B3226" t="s">
        <v>6461</v>
      </c>
      <c r="C3226" s="1">
        <v>37.255102501000003</v>
      </c>
      <c r="D3226" s="1">
        <v>-7.1094081438899996</v>
      </c>
      <c r="E3226" s="3">
        <v>3</v>
      </c>
      <c r="F3226" s="2">
        <v>3</v>
      </c>
      <c r="G3226" s="4">
        <v>4</v>
      </c>
      <c r="H3226" s="13"/>
      <c r="I3226" s="15"/>
      <c r="J3226" s="19">
        <v>3</v>
      </c>
      <c r="K3226" s="2" t="s">
        <v>6462</v>
      </c>
      <c r="L3226" s="11" t="str">
        <f t="shared" si="51"/>
        <v>Ver Imagen</v>
      </c>
      <c r="M3226" t="s">
        <v>15</v>
      </c>
    </row>
    <row r="3227" spans="1:13" x14ac:dyDescent="0.25">
      <c r="A3227">
        <v>3226</v>
      </c>
      <c r="B3227" t="s">
        <v>6463</v>
      </c>
      <c r="C3227" s="1">
        <v>37.2551864279</v>
      </c>
      <c r="D3227" s="1">
        <v>-7.1096674351200004</v>
      </c>
      <c r="E3227" s="3">
        <v>3</v>
      </c>
      <c r="F3227" s="2">
        <v>3</v>
      </c>
      <c r="G3227" s="4">
        <v>4</v>
      </c>
      <c r="H3227" s="13"/>
      <c r="I3227" s="15"/>
      <c r="J3227" s="19">
        <v>3</v>
      </c>
      <c r="K3227" s="2" t="s">
        <v>6464</v>
      </c>
      <c r="L3227" s="11" t="str">
        <f t="shared" si="51"/>
        <v>Ver Imagen</v>
      </c>
      <c r="M3227" t="s">
        <v>15</v>
      </c>
    </row>
    <row r="3228" spans="1:13" x14ac:dyDescent="0.25">
      <c r="A3228">
        <v>3227</v>
      </c>
      <c r="B3228" t="s">
        <v>6465</v>
      </c>
      <c r="C3228" s="1">
        <v>37.2552516039</v>
      </c>
      <c r="D3228" s="1">
        <v>-7.1098980957500002</v>
      </c>
      <c r="E3228" s="3">
        <v>3</v>
      </c>
      <c r="F3228" s="2">
        <v>3</v>
      </c>
      <c r="G3228" s="4">
        <v>4</v>
      </c>
      <c r="H3228" s="13"/>
      <c r="I3228" s="15"/>
      <c r="J3228" s="19">
        <v>3</v>
      </c>
      <c r="K3228" s="2" t="s">
        <v>6466</v>
      </c>
      <c r="L3228" s="11" t="str">
        <f t="shared" si="51"/>
        <v>Ver Imagen</v>
      </c>
      <c r="M3228" t="s">
        <v>15</v>
      </c>
    </row>
    <row r="3229" spans="1:13" x14ac:dyDescent="0.25">
      <c r="A3229">
        <v>3228</v>
      </c>
      <c r="B3229" t="s">
        <v>6467</v>
      </c>
      <c r="C3229" s="1">
        <v>37.255348711700002</v>
      </c>
      <c r="D3229" s="1">
        <v>-7.11040217566</v>
      </c>
      <c r="E3229" s="3">
        <v>3</v>
      </c>
      <c r="F3229" s="2">
        <v>3</v>
      </c>
      <c r="G3229" s="4">
        <v>4</v>
      </c>
      <c r="H3229" s="13"/>
      <c r="I3229" s="15"/>
      <c r="J3229" s="19">
        <v>3</v>
      </c>
      <c r="K3229" s="2" t="s">
        <v>6468</v>
      </c>
      <c r="L3229" s="11" t="str">
        <f t="shared" si="51"/>
        <v>Ver Imagen</v>
      </c>
      <c r="M3229" t="s">
        <v>15</v>
      </c>
    </row>
    <row r="3230" spans="1:13" x14ac:dyDescent="0.25">
      <c r="A3230">
        <v>3229</v>
      </c>
      <c r="B3230" t="s">
        <v>6469</v>
      </c>
      <c r="C3230" s="1">
        <v>37.255323300000001</v>
      </c>
      <c r="D3230" s="1">
        <v>-7.1116638675499999</v>
      </c>
      <c r="E3230" s="3">
        <v>3</v>
      </c>
      <c r="F3230" s="2">
        <v>3</v>
      </c>
      <c r="G3230" s="4">
        <v>4</v>
      </c>
      <c r="H3230" s="13"/>
      <c r="I3230" s="15"/>
      <c r="J3230" s="19">
        <v>3</v>
      </c>
      <c r="K3230" s="2" t="s">
        <v>6470</v>
      </c>
      <c r="L3230" s="11" t="str">
        <f t="shared" si="51"/>
        <v>Ver Imagen</v>
      </c>
      <c r="M3230" t="s">
        <v>15</v>
      </c>
    </row>
    <row r="3231" spans="1:13" x14ac:dyDescent="0.25">
      <c r="A3231">
        <v>3230</v>
      </c>
      <c r="B3231" t="s">
        <v>6471</v>
      </c>
      <c r="C3231" s="1">
        <v>37.255055112999997</v>
      </c>
      <c r="D3231" s="1">
        <v>-7.1129129728000002</v>
      </c>
      <c r="E3231" s="3">
        <v>3</v>
      </c>
      <c r="F3231" s="2">
        <v>3</v>
      </c>
      <c r="G3231" s="4">
        <v>4</v>
      </c>
      <c r="H3231" s="13"/>
      <c r="I3231" s="15"/>
      <c r="J3231" s="19">
        <v>3</v>
      </c>
      <c r="K3231" s="2" t="s">
        <v>6472</v>
      </c>
      <c r="L3231" s="11" t="str">
        <f t="shared" si="51"/>
        <v>Ver Imagen</v>
      </c>
      <c r="M3231" t="s">
        <v>15</v>
      </c>
    </row>
    <row r="3232" spans="1:13" x14ac:dyDescent="0.25">
      <c r="A3232">
        <v>3231</v>
      </c>
      <c r="B3232" t="s">
        <v>6473</v>
      </c>
      <c r="C3232" s="1">
        <v>37.254876754900003</v>
      </c>
      <c r="D3232" s="1">
        <v>-7.1136299006000003</v>
      </c>
      <c r="E3232" s="3">
        <v>3</v>
      </c>
      <c r="F3232" s="2">
        <v>3</v>
      </c>
      <c r="G3232" s="4">
        <v>4</v>
      </c>
      <c r="H3232" s="13"/>
      <c r="I3232" s="15"/>
      <c r="J3232" s="19">
        <v>3</v>
      </c>
      <c r="K3232" s="2" t="s">
        <v>6474</v>
      </c>
      <c r="L3232" s="11" t="str">
        <f t="shared" si="51"/>
        <v>Ver Imagen</v>
      </c>
      <c r="M3232" t="s">
        <v>15</v>
      </c>
    </row>
    <row r="3233" spans="1:13" x14ac:dyDescent="0.25">
      <c r="A3233">
        <v>3232</v>
      </c>
      <c r="B3233" t="s">
        <v>6475</v>
      </c>
      <c r="C3233" s="1">
        <v>37.254757774799998</v>
      </c>
      <c r="D3233" s="1">
        <v>-7.1141100892000004</v>
      </c>
      <c r="E3233" s="3">
        <v>3</v>
      </c>
      <c r="F3233" s="2">
        <v>3</v>
      </c>
      <c r="G3233" s="4">
        <v>4</v>
      </c>
      <c r="H3233" s="13"/>
      <c r="I3233" s="15"/>
      <c r="J3233" s="19">
        <v>3</v>
      </c>
      <c r="K3233" s="2" t="s">
        <v>6476</v>
      </c>
      <c r="L3233" s="11" t="str">
        <f t="shared" si="51"/>
        <v>Ver Imagen</v>
      </c>
      <c r="M3233" t="s">
        <v>15</v>
      </c>
    </row>
    <row r="3234" spans="1:13" x14ac:dyDescent="0.25">
      <c r="A3234">
        <v>3233</v>
      </c>
      <c r="B3234" t="s">
        <v>6477</v>
      </c>
      <c r="C3234" s="1">
        <v>37.254616702500002</v>
      </c>
      <c r="D3234" s="1">
        <v>-7.1148193300799996</v>
      </c>
      <c r="E3234" s="3">
        <v>3</v>
      </c>
      <c r="F3234" s="2">
        <v>3</v>
      </c>
      <c r="G3234" s="4">
        <v>4</v>
      </c>
      <c r="H3234" s="13"/>
      <c r="I3234" s="15"/>
      <c r="J3234" s="19">
        <v>3</v>
      </c>
      <c r="K3234" s="2" t="s">
        <v>6478</v>
      </c>
      <c r="L3234" s="11" t="str">
        <f t="shared" si="51"/>
        <v>Ver Imagen</v>
      </c>
      <c r="M3234" t="s">
        <v>15</v>
      </c>
    </row>
    <row r="3235" spans="1:13" x14ac:dyDescent="0.25">
      <c r="A3235">
        <v>3234</v>
      </c>
      <c r="B3235" t="s">
        <v>6479</v>
      </c>
      <c r="C3235" s="1">
        <v>37.254573167799997</v>
      </c>
      <c r="D3235" s="1">
        <v>-7.1153383782599997</v>
      </c>
      <c r="E3235" s="3">
        <v>3</v>
      </c>
      <c r="F3235" s="2">
        <v>3</v>
      </c>
      <c r="G3235" s="4">
        <v>4</v>
      </c>
      <c r="H3235" s="13"/>
      <c r="I3235" s="15"/>
      <c r="J3235" s="19">
        <v>3</v>
      </c>
      <c r="K3235" s="2" t="s">
        <v>6480</v>
      </c>
      <c r="L3235" s="11" t="str">
        <f t="shared" si="51"/>
        <v>Ver Imagen</v>
      </c>
      <c r="M3235" t="s">
        <v>15</v>
      </c>
    </row>
    <row r="3236" spans="1:13" x14ac:dyDescent="0.25">
      <c r="A3236">
        <v>3235</v>
      </c>
      <c r="B3236" t="s">
        <v>6481</v>
      </c>
      <c r="C3236" s="1">
        <v>37.2545736808</v>
      </c>
      <c r="D3236" s="1">
        <v>-7.1155891500799999</v>
      </c>
      <c r="E3236" s="3">
        <v>3</v>
      </c>
      <c r="F3236" s="2">
        <v>3</v>
      </c>
      <c r="G3236" s="4">
        <v>4</v>
      </c>
      <c r="H3236" s="13"/>
      <c r="I3236" s="15"/>
      <c r="J3236" s="19">
        <v>3</v>
      </c>
      <c r="K3236" s="2" t="s">
        <v>6482</v>
      </c>
      <c r="L3236" s="11" t="str">
        <f t="shared" si="51"/>
        <v>Ver Imagen</v>
      </c>
      <c r="M3236" t="s">
        <v>15</v>
      </c>
    </row>
    <row r="3237" spans="1:13" x14ac:dyDescent="0.25">
      <c r="A3237">
        <v>3236</v>
      </c>
      <c r="B3237" t="s">
        <v>6483</v>
      </c>
      <c r="C3237" s="1">
        <v>37.254988729200001</v>
      </c>
      <c r="D3237" s="1">
        <v>-7.1172276129299998</v>
      </c>
      <c r="E3237" s="3">
        <v>2</v>
      </c>
      <c r="F3237" s="2">
        <v>3</v>
      </c>
      <c r="G3237" s="4">
        <v>3</v>
      </c>
      <c r="H3237" s="13"/>
      <c r="I3237" s="15"/>
      <c r="J3237" s="19">
        <v>3</v>
      </c>
      <c r="K3237" s="2" t="s">
        <v>6484</v>
      </c>
      <c r="L3237" s="11" t="str">
        <f t="shared" si="51"/>
        <v>Ver Imagen</v>
      </c>
      <c r="M3237" t="s">
        <v>15</v>
      </c>
    </row>
    <row r="3238" spans="1:13" x14ac:dyDescent="0.25">
      <c r="A3238">
        <v>3237</v>
      </c>
      <c r="B3238" t="s">
        <v>6485</v>
      </c>
      <c r="C3238" s="1">
        <v>37.255240676</v>
      </c>
      <c r="D3238" s="1">
        <v>-7.1176409319299996</v>
      </c>
      <c r="E3238" s="3">
        <v>3</v>
      </c>
      <c r="F3238" s="2">
        <v>3</v>
      </c>
      <c r="G3238" s="4">
        <v>4</v>
      </c>
      <c r="H3238" s="13"/>
      <c r="I3238" s="15"/>
      <c r="J3238" s="19">
        <v>3</v>
      </c>
      <c r="K3238" s="2" t="s">
        <v>6486</v>
      </c>
      <c r="L3238" s="11" t="str">
        <f t="shared" si="51"/>
        <v>Ver Imagen</v>
      </c>
      <c r="M3238" t="s">
        <v>15</v>
      </c>
    </row>
    <row r="3239" spans="1:13" x14ac:dyDescent="0.25">
      <c r="A3239">
        <v>3238</v>
      </c>
      <c r="B3239" t="s">
        <v>6487</v>
      </c>
      <c r="C3239" s="1">
        <v>37.255514407100002</v>
      </c>
      <c r="D3239" s="1">
        <v>-7.11797058293</v>
      </c>
      <c r="E3239" s="3">
        <v>3</v>
      </c>
      <c r="F3239" s="2">
        <v>3</v>
      </c>
      <c r="G3239" s="4">
        <v>4</v>
      </c>
      <c r="H3239" s="13"/>
      <c r="I3239" s="15"/>
      <c r="J3239" s="19">
        <v>3</v>
      </c>
      <c r="K3239" s="2" t="s">
        <v>6488</v>
      </c>
      <c r="L3239" s="11" t="str">
        <f t="shared" si="51"/>
        <v>Ver Imagen</v>
      </c>
      <c r="M3239" t="s">
        <v>15</v>
      </c>
    </row>
    <row r="3240" spans="1:13" x14ac:dyDescent="0.25">
      <c r="A3240">
        <v>3239</v>
      </c>
      <c r="B3240" t="s">
        <v>6489</v>
      </c>
      <c r="C3240" s="1">
        <v>37.255836023900002</v>
      </c>
      <c r="D3240" s="1">
        <v>-7.1182631132100003</v>
      </c>
      <c r="E3240" s="3">
        <v>3</v>
      </c>
      <c r="F3240" s="2">
        <v>3</v>
      </c>
      <c r="G3240" s="4">
        <v>4</v>
      </c>
      <c r="H3240" s="13"/>
      <c r="I3240" s="15"/>
      <c r="J3240" s="19">
        <v>3</v>
      </c>
      <c r="K3240" s="2" t="s">
        <v>6490</v>
      </c>
      <c r="L3240" s="11" t="str">
        <f t="shared" si="51"/>
        <v>Ver Imagen</v>
      </c>
      <c r="M3240" t="s">
        <v>15</v>
      </c>
    </row>
    <row r="3241" spans="1:13" x14ac:dyDescent="0.25">
      <c r="A3241">
        <v>3240</v>
      </c>
      <c r="B3241" t="s">
        <v>6491</v>
      </c>
      <c r="C3241" s="1">
        <v>37.256022694499997</v>
      </c>
      <c r="D3241" s="1">
        <v>-7.1184073446399996</v>
      </c>
      <c r="E3241" s="3">
        <v>3</v>
      </c>
      <c r="F3241" s="2">
        <v>3</v>
      </c>
      <c r="G3241" s="4">
        <v>4</v>
      </c>
      <c r="H3241" s="13"/>
      <c r="I3241" s="15"/>
      <c r="J3241" s="19">
        <v>3</v>
      </c>
      <c r="K3241" s="2" t="s">
        <v>6492</v>
      </c>
      <c r="L3241" s="11" t="str">
        <f t="shared" ref="L3241:L3304" si="52">HYPERLINK("3\1\" &amp; K3241, "Ver Imagen")</f>
        <v>Ver Imagen</v>
      </c>
      <c r="M3241" t="s">
        <v>15</v>
      </c>
    </row>
    <row r="3242" spans="1:13" x14ac:dyDescent="0.25">
      <c r="A3242">
        <v>3241</v>
      </c>
      <c r="B3242" t="s">
        <v>6493</v>
      </c>
      <c r="C3242" s="1">
        <v>37.2562156141</v>
      </c>
      <c r="D3242" s="1">
        <v>-7.1185503741299998</v>
      </c>
      <c r="E3242" s="3">
        <v>3</v>
      </c>
      <c r="F3242" s="2">
        <v>3</v>
      </c>
      <c r="G3242" s="4">
        <v>4</v>
      </c>
      <c r="H3242" s="13"/>
      <c r="I3242" s="15"/>
      <c r="J3242" s="19">
        <v>3</v>
      </c>
      <c r="K3242" s="2" t="s">
        <v>6494</v>
      </c>
      <c r="L3242" s="11" t="str">
        <f t="shared" si="52"/>
        <v>Ver Imagen</v>
      </c>
      <c r="M3242" t="s">
        <v>15</v>
      </c>
    </row>
    <row r="3243" spans="1:13" x14ac:dyDescent="0.25">
      <c r="A3243">
        <v>3242</v>
      </c>
      <c r="B3243" t="s">
        <v>6495</v>
      </c>
      <c r="C3243" s="1">
        <v>37.256400498200001</v>
      </c>
      <c r="D3243" s="1">
        <v>-7.1186862414599998</v>
      </c>
      <c r="E3243" s="3">
        <v>3</v>
      </c>
      <c r="F3243" s="2">
        <v>3</v>
      </c>
      <c r="G3243" s="4">
        <v>4</v>
      </c>
      <c r="H3243" s="13"/>
      <c r="I3243" s="15"/>
      <c r="J3243" s="19">
        <v>3</v>
      </c>
      <c r="K3243" s="2" t="s">
        <v>6496</v>
      </c>
      <c r="L3243" s="11" t="str">
        <f t="shared" si="52"/>
        <v>Ver Imagen</v>
      </c>
      <c r="M3243" t="s">
        <v>15</v>
      </c>
    </row>
    <row r="3244" spans="1:13" x14ac:dyDescent="0.25">
      <c r="A3244">
        <v>3243</v>
      </c>
      <c r="B3244" t="s">
        <v>6497</v>
      </c>
      <c r="C3244" s="1">
        <v>37.257078728499998</v>
      </c>
      <c r="D3244" s="1">
        <v>-7.1191877732700002</v>
      </c>
      <c r="E3244" s="3">
        <v>3</v>
      </c>
      <c r="F3244" s="2">
        <v>3</v>
      </c>
      <c r="G3244" s="4">
        <v>4</v>
      </c>
      <c r="H3244" s="13"/>
      <c r="I3244" s="15"/>
      <c r="J3244" s="19">
        <v>3</v>
      </c>
      <c r="K3244" s="2" t="s">
        <v>6498</v>
      </c>
      <c r="L3244" s="11" t="str">
        <f t="shared" si="52"/>
        <v>Ver Imagen</v>
      </c>
      <c r="M3244" t="s">
        <v>15</v>
      </c>
    </row>
    <row r="3245" spans="1:13" x14ac:dyDescent="0.25">
      <c r="A3245">
        <v>3244</v>
      </c>
      <c r="B3245" t="s">
        <v>6499</v>
      </c>
      <c r="C3245" s="1">
        <v>37.257427668399998</v>
      </c>
      <c r="D3245" s="1">
        <v>-7.1194409720999996</v>
      </c>
      <c r="E3245" s="3">
        <v>3</v>
      </c>
      <c r="F3245" s="2">
        <v>3</v>
      </c>
      <c r="G3245" s="4">
        <v>4</v>
      </c>
      <c r="H3245" s="13"/>
      <c r="I3245" s="15"/>
      <c r="J3245" s="19">
        <v>3</v>
      </c>
      <c r="K3245" s="2" t="s">
        <v>6500</v>
      </c>
      <c r="L3245" s="11" t="str">
        <f t="shared" si="52"/>
        <v>Ver Imagen</v>
      </c>
      <c r="M3245" t="s">
        <v>15</v>
      </c>
    </row>
    <row r="3246" spans="1:13" x14ac:dyDescent="0.25">
      <c r="A3246">
        <v>3245</v>
      </c>
      <c r="B3246" t="s">
        <v>6501</v>
      </c>
      <c r="C3246" s="1">
        <v>37.257623146100002</v>
      </c>
      <c r="D3246" s="1">
        <v>-7.11958157832</v>
      </c>
      <c r="E3246" s="3">
        <v>3</v>
      </c>
      <c r="F3246" s="2">
        <v>3</v>
      </c>
      <c r="G3246" s="4">
        <v>4</v>
      </c>
      <c r="H3246" s="13"/>
      <c r="I3246" s="15"/>
      <c r="J3246" s="19">
        <v>3</v>
      </c>
      <c r="K3246" s="2" t="s">
        <v>6502</v>
      </c>
      <c r="L3246" s="11" t="str">
        <f t="shared" si="52"/>
        <v>Ver Imagen</v>
      </c>
      <c r="M3246" t="s">
        <v>15</v>
      </c>
    </row>
    <row r="3247" spans="1:13" x14ac:dyDescent="0.25">
      <c r="A3247">
        <v>3246</v>
      </c>
      <c r="B3247" t="s">
        <v>6503</v>
      </c>
      <c r="C3247" s="1">
        <v>37.257937401100001</v>
      </c>
      <c r="D3247" s="1">
        <v>-7.1198286073699997</v>
      </c>
      <c r="E3247" s="3">
        <v>3</v>
      </c>
      <c r="F3247" s="2">
        <v>3</v>
      </c>
      <c r="G3247" s="4">
        <v>4</v>
      </c>
      <c r="H3247" s="13"/>
      <c r="I3247" s="15"/>
      <c r="J3247" s="19">
        <v>3</v>
      </c>
      <c r="K3247" s="2" t="s">
        <v>6504</v>
      </c>
      <c r="L3247" s="11" t="str">
        <f t="shared" si="52"/>
        <v>Ver Imagen</v>
      </c>
      <c r="M3247" t="s">
        <v>15</v>
      </c>
    </row>
    <row r="3248" spans="1:13" x14ac:dyDescent="0.25">
      <c r="A3248">
        <v>3247</v>
      </c>
      <c r="B3248" t="s">
        <v>6505</v>
      </c>
      <c r="C3248" s="1">
        <v>37.258105856900002</v>
      </c>
      <c r="D3248" s="1">
        <v>-7.1199917777000001</v>
      </c>
      <c r="E3248" s="3">
        <v>3</v>
      </c>
      <c r="F3248" s="2">
        <v>3</v>
      </c>
      <c r="G3248" s="4">
        <v>4</v>
      </c>
      <c r="H3248" s="13"/>
      <c r="I3248" s="15"/>
      <c r="J3248" s="19">
        <v>3</v>
      </c>
      <c r="K3248" s="2" t="s">
        <v>6506</v>
      </c>
      <c r="L3248" s="11" t="str">
        <f t="shared" si="52"/>
        <v>Ver Imagen</v>
      </c>
      <c r="M3248" t="s">
        <v>15</v>
      </c>
    </row>
    <row r="3249" spans="1:13" x14ac:dyDescent="0.25">
      <c r="A3249">
        <v>3248</v>
      </c>
      <c r="B3249" t="s">
        <v>6507</v>
      </c>
      <c r="C3249" s="1">
        <v>37.258253397200001</v>
      </c>
      <c r="D3249" s="1">
        <v>-7.12016394724</v>
      </c>
      <c r="E3249" s="3">
        <v>3</v>
      </c>
      <c r="F3249" s="2">
        <v>3</v>
      </c>
      <c r="G3249" s="4">
        <v>4</v>
      </c>
      <c r="H3249" s="13"/>
      <c r="I3249" s="15"/>
      <c r="J3249" s="19">
        <v>3</v>
      </c>
      <c r="K3249" s="2" t="s">
        <v>6508</v>
      </c>
      <c r="L3249" s="11" t="str">
        <f t="shared" si="52"/>
        <v>Ver Imagen</v>
      </c>
      <c r="M3249" t="s">
        <v>15</v>
      </c>
    </row>
    <row r="3250" spans="1:13" x14ac:dyDescent="0.25">
      <c r="A3250">
        <v>3249</v>
      </c>
      <c r="B3250" t="s">
        <v>6509</v>
      </c>
      <c r="C3250" s="1">
        <v>37.258583598000001</v>
      </c>
      <c r="D3250" s="1">
        <v>-7.1207965161600004</v>
      </c>
      <c r="E3250" s="3">
        <v>3</v>
      </c>
      <c r="F3250" s="2">
        <v>3</v>
      </c>
      <c r="G3250" s="4">
        <v>4</v>
      </c>
      <c r="H3250" s="13"/>
      <c r="I3250" s="15"/>
      <c r="J3250" s="19">
        <v>3</v>
      </c>
      <c r="K3250" s="2" t="s">
        <v>6510</v>
      </c>
      <c r="L3250" s="11" t="str">
        <f t="shared" si="52"/>
        <v>Ver Imagen</v>
      </c>
      <c r="M3250" t="s">
        <v>15</v>
      </c>
    </row>
    <row r="3251" spans="1:13" x14ac:dyDescent="0.25">
      <c r="A3251">
        <v>3250</v>
      </c>
      <c r="B3251" t="s">
        <v>6511</v>
      </c>
      <c r="C3251" s="1">
        <v>37.258649139699997</v>
      </c>
      <c r="D3251" s="1">
        <v>-7.1210368944000004</v>
      </c>
      <c r="E3251" s="3">
        <v>3</v>
      </c>
      <c r="F3251" s="2">
        <v>3</v>
      </c>
      <c r="G3251" s="4">
        <v>4</v>
      </c>
      <c r="H3251" s="13"/>
      <c r="I3251" s="15"/>
      <c r="J3251" s="19">
        <v>3</v>
      </c>
      <c r="K3251" s="2" t="s">
        <v>6512</v>
      </c>
      <c r="L3251" s="11" t="str">
        <f t="shared" si="52"/>
        <v>Ver Imagen</v>
      </c>
      <c r="M3251" t="s">
        <v>15</v>
      </c>
    </row>
    <row r="3252" spans="1:13" x14ac:dyDescent="0.25">
      <c r="A3252">
        <v>3251</v>
      </c>
      <c r="B3252" t="s">
        <v>6513</v>
      </c>
      <c r="C3252" s="1">
        <v>37.258696888999999</v>
      </c>
      <c r="D3252" s="1">
        <v>-7.1213068070199999</v>
      </c>
      <c r="E3252" s="3">
        <v>3</v>
      </c>
      <c r="F3252" s="2">
        <v>3</v>
      </c>
      <c r="G3252" s="4">
        <v>4</v>
      </c>
      <c r="H3252" s="13"/>
      <c r="I3252" s="15"/>
      <c r="J3252" s="19">
        <v>3</v>
      </c>
      <c r="K3252" s="2" t="s">
        <v>6514</v>
      </c>
      <c r="L3252" s="11" t="str">
        <f t="shared" si="52"/>
        <v>Ver Imagen</v>
      </c>
      <c r="M3252" t="s">
        <v>15</v>
      </c>
    </row>
    <row r="3253" spans="1:13" x14ac:dyDescent="0.25">
      <c r="A3253">
        <v>3252</v>
      </c>
      <c r="B3253" t="s">
        <v>6515</v>
      </c>
      <c r="C3253" s="1">
        <v>37.258725737500001</v>
      </c>
      <c r="D3253" s="1">
        <v>-7.1215500688000004</v>
      </c>
      <c r="E3253" s="3">
        <v>3</v>
      </c>
      <c r="F3253" s="2">
        <v>3</v>
      </c>
      <c r="G3253" s="4">
        <v>4</v>
      </c>
      <c r="H3253" s="13"/>
      <c r="I3253" s="15"/>
      <c r="J3253" s="19">
        <v>3</v>
      </c>
      <c r="K3253" s="2" t="s">
        <v>6516</v>
      </c>
      <c r="L3253" s="11" t="str">
        <f t="shared" si="52"/>
        <v>Ver Imagen</v>
      </c>
      <c r="M3253" t="s">
        <v>15</v>
      </c>
    </row>
    <row r="3254" spans="1:13" x14ac:dyDescent="0.25">
      <c r="A3254">
        <v>3253</v>
      </c>
      <c r="B3254" t="s">
        <v>6517</v>
      </c>
      <c r="C3254" s="1">
        <v>37.258746582900002</v>
      </c>
      <c r="D3254" s="1">
        <v>-7.1217682501599997</v>
      </c>
      <c r="E3254" s="3">
        <v>3</v>
      </c>
      <c r="F3254" s="2">
        <v>3</v>
      </c>
      <c r="G3254" s="4">
        <v>4</v>
      </c>
      <c r="H3254" s="13"/>
      <c r="I3254" s="15"/>
      <c r="J3254" s="19">
        <v>3</v>
      </c>
      <c r="K3254" s="2" t="s">
        <v>6518</v>
      </c>
      <c r="L3254" s="11" t="str">
        <f t="shared" si="52"/>
        <v>Ver Imagen</v>
      </c>
      <c r="M3254" t="s">
        <v>15</v>
      </c>
    </row>
    <row r="3255" spans="1:13" x14ac:dyDescent="0.25">
      <c r="A3255">
        <v>3254</v>
      </c>
      <c r="B3255" t="s">
        <v>6519</v>
      </c>
      <c r="C3255" s="1">
        <v>37.259229311299997</v>
      </c>
      <c r="D3255" s="1">
        <v>-7.1255171762799998</v>
      </c>
      <c r="E3255" s="3">
        <v>3</v>
      </c>
      <c r="F3255" s="2">
        <v>3</v>
      </c>
      <c r="G3255" s="4">
        <v>4</v>
      </c>
      <c r="H3255" s="13"/>
      <c r="I3255" s="15"/>
      <c r="J3255" s="19">
        <v>3</v>
      </c>
      <c r="K3255" s="2" t="s">
        <v>6520</v>
      </c>
      <c r="L3255" s="11" t="str">
        <f t="shared" si="52"/>
        <v>Ver Imagen</v>
      </c>
      <c r="M3255" t="s">
        <v>15</v>
      </c>
    </row>
    <row r="3256" spans="1:13" x14ac:dyDescent="0.25">
      <c r="A3256">
        <v>3255</v>
      </c>
      <c r="B3256" t="s">
        <v>6521</v>
      </c>
      <c r="C3256" s="1">
        <v>37.259333580499998</v>
      </c>
      <c r="D3256" s="1">
        <v>-7.1257398866199999</v>
      </c>
      <c r="E3256" s="3">
        <v>3</v>
      </c>
      <c r="F3256" s="2">
        <v>3</v>
      </c>
      <c r="G3256" s="4">
        <v>4</v>
      </c>
      <c r="H3256" s="13"/>
      <c r="I3256" s="15"/>
      <c r="J3256" s="19">
        <v>3</v>
      </c>
      <c r="K3256" s="2" t="s">
        <v>6522</v>
      </c>
      <c r="L3256" s="11" t="str">
        <f t="shared" si="52"/>
        <v>Ver Imagen</v>
      </c>
      <c r="M3256" t="s">
        <v>15</v>
      </c>
    </row>
    <row r="3257" spans="1:13" x14ac:dyDescent="0.25">
      <c r="A3257">
        <v>3256</v>
      </c>
      <c r="B3257" t="s">
        <v>6523</v>
      </c>
      <c r="C3257" s="1">
        <v>37.260352680300002</v>
      </c>
      <c r="D3257" s="1">
        <v>-7.1269501586499997</v>
      </c>
      <c r="E3257" s="3">
        <v>3</v>
      </c>
      <c r="F3257" s="2">
        <v>3</v>
      </c>
      <c r="G3257" s="4">
        <v>4</v>
      </c>
      <c r="H3257" s="13"/>
      <c r="I3257" s="15"/>
      <c r="J3257" s="19">
        <v>3</v>
      </c>
      <c r="K3257" s="2" t="s">
        <v>6524</v>
      </c>
      <c r="L3257" s="11" t="str">
        <f t="shared" si="52"/>
        <v>Ver Imagen</v>
      </c>
      <c r="M3257" t="s">
        <v>15</v>
      </c>
    </row>
    <row r="3258" spans="1:13" x14ac:dyDescent="0.25">
      <c r="A3258">
        <v>3257</v>
      </c>
      <c r="B3258" t="s">
        <v>6525</v>
      </c>
      <c r="C3258" s="1">
        <v>37.2606466485</v>
      </c>
      <c r="D3258" s="1">
        <v>-7.1272632764099999</v>
      </c>
      <c r="E3258" s="3">
        <v>3</v>
      </c>
      <c r="F3258" s="2">
        <v>3</v>
      </c>
      <c r="G3258" s="4">
        <v>4</v>
      </c>
      <c r="H3258" s="13"/>
      <c r="I3258" s="15"/>
      <c r="J3258" s="19">
        <v>3</v>
      </c>
      <c r="K3258" s="2" t="s">
        <v>6526</v>
      </c>
      <c r="L3258" s="11" t="str">
        <f t="shared" si="52"/>
        <v>Ver Imagen</v>
      </c>
      <c r="M3258" t="s">
        <v>15</v>
      </c>
    </row>
    <row r="3259" spans="1:13" x14ac:dyDescent="0.25">
      <c r="A3259">
        <v>3258</v>
      </c>
      <c r="B3259" t="s">
        <v>6527</v>
      </c>
      <c r="C3259" s="1">
        <v>37.260791309200002</v>
      </c>
      <c r="D3259" s="1">
        <v>-7.1274497422399996</v>
      </c>
      <c r="E3259" s="3">
        <v>3</v>
      </c>
      <c r="F3259" s="2">
        <v>3</v>
      </c>
      <c r="G3259" s="4">
        <v>4</v>
      </c>
      <c r="H3259" s="13"/>
      <c r="I3259" s="15"/>
      <c r="J3259" s="19">
        <v>3</v>
      </c>
      <c r="K3259" s="2" t="s">
        <v>6528</v>
      </c>
      <c r="L3259" s="11" t="str">
        <f t="shared" si="52"/>
        <v>Ver Imagen</v>
      </c>
      <c r="M3259" t="s">
        <v>15</v>
      </c>
    </row>
    <row r="3260" spans="1:13" x14ac:dyDescent="0.25">
      <c r="A3260">
        <v>3259</v>
      </c>
      <c r="B3260" t="s">
        <v>6529</v>
      </c>
      <c r="C3260" s="1">
        <v>37.260912639399997</v>
      </c>
      <c r="D3260" s="1">
        <v>-7.1276561012000004</v>
      </c>
      <c r="E3260" s="3">
        <v>3</v>
      </c>
      <c r="F3260" s="2">
        <v>3</v>
      </c>
      <c r="G3260" s="4">
        <v>4</v>
      </c>
      <c r="H3260" s="13"/>
      <c r="I3260" s="15"/>
      <c r="J3260" s="19">
        <v>3</v>
      </c>
      <c r="K3260" s="2" t="s">
        <v>6530</v>
      </c>
      <c r="L3260" s="11" t="str">
        <f t="shared" si="52"/>
        <v>Ver Imagen</v>
      </c>
      <c r="M3260" t="s">
        <v>15</v>
      </c>
    </row>
    <row r="3261" spans="1:13" x14ac:dyDescent="0.25">
      <c r="A3261">
        <v>3260</v>
      </c>
      <c r="B3261" t="s">
        <v>6531</v>
      </c>
      <c r="C3261" s="1">
        <v>37.261009831199999</v>
      </c>
      <c r="D3261" s="1">
        <v>-7.1279031588499997</v>
      </c>
      <c r="E3261" s="3">
        <v>3</v>
      </c>
      <c r="F3261" s="2">
        <v>3</v>
      </c>
      <c r="G3261" s="4">
        <v>4</v>
      </c>
      <c r="H3261" s="13"/>
      <c r="I3261" s="15"/>
      <c r="J3261" s="19">
        <v>3</v>
      </c>
      <c r="K3261" s="2" t="s">
        <v>6532</v>
      </c>
      <c r="L3261" s="11" t="str">
        <f t="shared" si="52"/>
        <v>Ver Imagen</v>
      </c>
      <c r="M3261" t="s">
        <v>15</v>
      </c>
    </row>
    <row r="3262" spans="1:13" x14ac:dyDescent="0.25">
      <c r="A3262">
        <v>3261</v>
      </c>
      <c r="B3262" t="s">
        <v>6533</v>
      </c>
      <c r="C3262" s="1">
        <v>37.261087014200001</v>
      </c>
      <c r="D3262" s="1">
        <v>-7.12865370949</v>
      </c>
      <c r="E3262" s="3">
        <v>3</v>
      </c>
      <c r="F3262" s="2">
        <v>3</v>
      </c>
      <c r="G3262" s="4">
        <v>4</v>
      </c>
      <c r="H3262" s="13"/>
      <c r="I3262" s="15"/>
      <c r="J3262" s="19">
        <v>3</v>
      </c>
      <c r="K3262" s="2" t="s">
        <v>6534</v>
      </c>
      <c r="L3262" s="11" t="str">
        <f t="shared" si="52"/>
        <v>Ver Imagen</v>
      </c>
      <c r="M3262" t="s">
        <v>15</v>
      </c>
    </row>
    <row r="3263" spans="1:13" x14ac:dyDescent="0.25">
      <c r="A3263">
        <v>3262</v>
      </c>
      <c r="B3263" t="s">
        <v>6535</v>
      </c>
      <c r="C3263" s="1">
        <v>37.443980226800001</v>
      </c>
      <c r="D3263" s="1">
        <v>-7.0979499739199996</v>
      </c>
      <c r="E3263" s="3">
        <v>4</v>
      </c>
      <c r="F3263" s="2">
        <v>3</v>
      </c>
      <c r="G3263" s="4">
        <v>3</v>
      </c>
      <c r="H3263" s="13"/>
      <c r="I3263" s="15"/>
      <c r="J3263" s="19">
        <v>3</v>
      </c>
      <c r="K3263" s="2" t="s">
        <v>6536</v>
      </c>
      <c r="L3263" s="11" t="str">
        <f t="shared" si="52"/>
        <v>Ver Imagen</v>
      </c>
      <c r="M3263" t="s">
        <v>15</v>
      </c>
    </row>
    <row r="3264" spans="1:13" x14ac:dyDescent="0.25">
      <c r="A3264">
        <v>3263</v>
      </c>
      <c r="B3264" t="s">
        <v>6537</v>
      </c>
      <c r="C3264" s="1">
        <v>37.440141810599997</v>
      </c>
      <c r="D3264" s="1">
        <v>-7.0879476844999996</v>
      </c>
      <c r="E3264" s="3">
        <v>4</v>
      </c>
      <c r="F3264" s="2">
        <v>3</v>
      </c>
      <c r="G3264" s="4">
        <v>3</v>
      </c>
      <c r="H3264" s="13"/>
      <c r="I3264" s="15"/>
      <c r="J3264" s="19">
        <v>3</v>
      </c>
      <c r="K3264" s="2" t="s">
        <v>6538</v>
      </c>
      <c r="L3264" s="11" t="str">
        <f t="shared" si="52"/>
        <v>Ver Imagen</v>
      </c>
      <c r="M3264" t="s">
        <v>15</v>
      </c>
    </row>
    <row r="3265" spans="1:13" x14ac:dyDescent="0.25">
      <c r="A3265">
        <v>3264</v>
      </c>
      <c r="B3265" t="s">
        <v>6539</v>
      </c>
      <c r="C3265" s="1">
        <v>37.484225018899998</v>
      </c>
      <c r="D3265" s="1">
        <v>-7.1301475060200001</v>
      </c>
      <c r="E3265" s="3">
        <v>4</v>
      </c>
      <c r="F3265" s="2">
        <v>3</v>
      </c>
      <c r="G3265" s="4">
        <v>3</v>
      </c>
      <c r="H3265" s="13"/>
      <c r="I3265" s="15"/>
      <c r="J3265" s="19">
        <v>3</v>
      </c>
      <c r="K3265" s="2" t="s">
        <v>6540</v>
      </c>
      <c r="L3265" s="11" t="str">
        <f t="shared" si="52"/>
        <v>Ver Imagen</v>
      </c>
      <c r="M3265" t="s">
        <v>15</v>
      </c>
    </row>
    <row r="3266" spans="1:13" x14ac:dyDescent="0.25">
      <c r="A3266">
        <v>3265</v>
      </c>
      <c r="B3266" t="s">
        <v>6541</v>
      </c>
      <c r="C3266" s="1">
        <v>37.484070116300003</v>
      </c>
      <c r="D3266" s="1">
        <v>-7.1300039346000004</v>
      </c>
      <c r="E3266" s="3">
        <v>4</v>
      </c>
      <c r="F3266" s="2">
        <v>3</v>
      </c>
      <c r="G3266" s="4">
        <v>3</v>
      </c>
      <c r="H3266" s="13"/>
      <c r="I3266" s="15"/>
      <c r="J3266" s="19">
        <v>3</v>
      </c>
      <c r="K3266" s="2" t="s">
        <v>6542</v>
      </c>
      <c r="L3266" s="11" t="str">
        <f t="shared" si="52"/>
        <v>Ver Imagen</v>
      </c>
      <c r="M3266" t="s">
        <v>15</v>
      </c>
    </row>
    <row r="3267" spans="1:13" x14ac:dyDescent="0.25">
      <c r="A3267">
        <v>3266</v>
      </c>
      <c r="B3267" t="s">
        <v>6543</v>
      </c>
      <c r="C3267" s="1">
        <v>37.4839095974</v>
      </c>
      <c r="D3267" s="1">
        <v>-7.1298366310599999</v>
      </c>
      <c r="E3267" s="3">
        <v>4</v>
      </c>
      <c r="F3267" s="2">
        <v>3</v>
      </c>
      <c r="G3267" s="4">
        <v>3</v>
      </c>
      <c r="H3267" s="13"/>
      <c r="I3267" s="15"/>
      <c r="J3267" s="19">
        <v>3</v>
      </c>
      <c r="K3267" s="2" t="s">
        <v>6544</v>
      </c>
      <c r="L3267" s="11" t="str">
        <f t="shared" si="52"/>
        <v>Ver Imagen</v>
      </c>
      <c r="M3267" t="s">
        <v>15</v>
      </c>
    </row>
    <row r="3268" spans="1:13" x14ac:dyDescent="0.25">
      <c r="A3268">
        <v>3267</v>
      </c>
      <c r="B3268" t="s">
        <v>6545</v>
      </c>
      <c r="C3268" s="1">
        <v>37.483148886099997</v>
      </c>
      <c r="D3268" s="1">
        <v>-7.1290457350300001</v>
      </c>
      <c r="E3268" s="3">
        <v>3</v>
      </c>
      <c r="F3268" s="2">
        <v>3</v>
      </c>
      <c r="G3268" s="4">
        <v>2</v>
      </c>
      <c r="H3268" s="13"/>
      <c r="I3268" s="15"/>
      <c r="J3268" s="19">
        <v>3</v>
      </c>
      <c r="K3268" s="2" t="s">
        <v>6546</v>
      </c>
      <c r="L3268" s="11" t="str">
        <f t="shared" si="52"/>
        <v>Ver Imagen</v>
      </c>
      <c r="M3268" t="s">
        <v>15</v>
      </c>
    </row>
    <row r="3269" spans="1:13" x14ac:dyDescent="0.25">
      <c r="A3269">
        <v>3268</v>
      </c>
      <c r="B3269" t="s">
        <v>6547</v>
      </c>
      <c r="C3269" s="1">
        <v>37.481142070700002</v>
      </c>
      <c r="D3269" s="1">
        <v>-7.1278569727400001</v>
      </c>
      <c r="E3269" s="3">
        <v>3</v>
      </c>
      <c r="F3269" s="2">
        <v>3</v>
      </c>
      <c r="G3269" s="4">
        <v>2</v>
      </c>
      <c r="H3269" s="13"/>
      <c r="I3269" s="15"/>
      <c r="J3269" s="19">
        <v>3</v>
      </c>
      <c r="K3269" s="2" t="s">
        <v>6548</v>
      </c>
      <c r="L3269" s="11" t="str">
        <f t="shared" si="52"/>
        <v>Ver Imagen</v>
      </c>
      <c r="M3269" t="s">
        <v>15</v>
      </c>
    </row>
    <row r="3270" spans="1:13" x14ac:dyDescent="0.25">
      <c r="A3270">
        <v>3269</v>
      </c>
      <c r="B3270" t="s">
        <v>6549</v>
      </c>
      <c r="C3270" s="1">
        <v>37.480741398399999</v>
      </c>
      <c r="D3270" s="1">
        <v>-7.1277621630199999</v>
      </c>
      <c r="E3270" s="3">
        <v>4</v>
      </c>
      <c r="F3270" s="2">
        <v>3</v>
      </c>
      <c r="G3270" s="4">
        <v>3</v>
      </c>
      <c r="H3270" s="13"/>
      <c r="I3270" s="15"/>
      <c r="J3270" s="19">
        <v>3</v>
      </c>
      <c r="K3270" s="2" t="s">
        <v>6550</v>
      </c>
      <c r="L3270" s="11" t="str">
        <f t="shared" si="52"/>
        <v>Ver Imagen</v>
      </c>
      <c r="M3270" t="s">
        <v>15</v>
      </c>
    </row>
    <row r="3271" spans="1:13" x14ac:dyDescent="0.25">
      <c r="A3271">
        <v>3270</v>
      </c>
      <c r="B3271" t="s">
        <v>6551</v>
      </c>
      <c r="C3271" s="1">
        <v>37.479756456200001</v>
      </c>
      <c r="D3271" s="1">
        <v>-7.1279470455</v>
      </c>
      <c r="E3271" s="3">
        <v>4</v>
      </c>
      <c r="F3271" s="2">
        <v>3</v>
      </c>
      <c r="G3271" s="4">
        <v>3</v>
      </c>
      <c r="H3271" s="13"/>
      <c r="I3271" s="15"/>
      <c r="J3271" s="19">
        <v>3</v>
      </c>
      <c r="K3271" s="2" t="s">
        <v>6552</v>
      </c>
      <c r="L3271" s="11" t="str">
        <f t="shared" si="52"/>
        <v>Ver Imagen</v>
      </c>
      <c r="M3271" t="s">
        <v>15</v>
      </c>
    </row>
    <row r="3272" spans="1:13" x14ac:dyDescent="0.25">
      <c r="A3272">
        <v>3271</v>
      </c>
      <c r="B3272" t="s">
        <v>6553</v>
      </c>
      <c r="C3272" s="1">
        <v>37.479518879899999</v>
      </c>
      <c r="D3272" s="1">
        <v>-7.1280027082500004</v>
      </c>
      <c r="E3272" s="3">
        <v>4</v>
      </c>
      <c r="F3272" s="2">
        <v>3</v>
      </c>
      <c r="G3272" s="4">
        <v>3</v>
      </c>
      <c r="H3272" s="13"/>
      <c r="I3272" s="15"/>
      <c r="J3272" s="19">
        <v>3</v>
      </c>
      <c r="K3272" s="2" t="s">
        <v>6554</v>
      </c>
      <c r="L3272" s="11" t="str">
        <f t="shared" si="52"/>
        <v>Ver Imagen</v>
      </c>
      <c r="M3272" t="s">
        <v>15</v>
      </c>
    </row>
    <row r="3273" spans="1:13" x14ac:dyDescent="0.25">
      <c r="A3273">
        <v>3272</v>
      </c>
      <c r="B3273" t="s">
        <v>6555</v>
      </c>
      <c r="C3273" s="1">
        <v>37.479146855800003</v>
      </c>
      <c r="D3273" s="1">
        <v>-7.1280054599499998</v>
      </c>
      <c r="E3273" s="3">
        <v>3</v>
      </c>
      <c r="F3273" s="2">
        <v>3</v>
      </c>
      <c r="G3273" s="4">
        <v>4</v>
      </c>
      <c r="H3273" s="13"/>
      <c r="I3273" s="15"/>
      <c r="J3273" s="19">
        <v>3</v>
      </c>
      <c r="K3273" s="2" t="s">
        <v>6556</v>
      </c>
      <c r="L3273" s="11" t="str">
        <f t="shared" si="52"/>
        <v>Ver Imagen</v>
      </c>
      <c r="M3273" t="s">
        <v>15</v>
      </c>
    </row>
    <row r="3274" spans="1:13" x14ac:dyDescent="0.25">
      <c r="A3274">
        <v>3273</v>
      </c>
      <c r="B3274" t="s">
        <v>6557</v>
      </c>
      <c r="C3274" s="1">
        <v>37.476754272599997</v>
      </c>
      <c r="D3274" s="1">
        <v>-7.12582845875</v>
      </c>
      <c r="E3274" s="3">
        <v>4</v>
      </c>
      <c r="F3274" s="2">
        <v>3</v>
      </c>
      <c r="G3274" s="4">
        <v>3</v>
      </c>
      <c r="H3274" s="13"/>
      <c r="I3274" s="15"/>
      <c r="J3274" s="19">
        <v>3</v>
      </c>
      <c r="K3274" s="2" t="s">
        <v>6558</v>
      </c>
      <c r="L3274" s="11" t="str">
        <f t="shared" si="52"/>
        <v>Ver Imagen</v>
      </c>
      <c r="M3274" t="s">
        <v>15</v>
      </c>
    </row>
    <row r="3275" spans="1:13" x14ac:dyDescent="0.25">
      <c r="A3275">
        <v>3274</v>
      </c>
      <c r="B3275" t="s">
        <v>6559</v>
      </c>
      <c r="C3275" s="1">
        <v>37.476553357699999</v>
      </c>
      <c r="D3275" s="1">
        <v>-7.1257728455900002</v>
      </c>
      <c r="E3275" s="3">
        <v>4</v>
      </c>
      <c r="F3275" s="2">
        <v>3</v>
      </c>
      <c r="G3275" s="4">
        <v>3</v>
      </c>
      <c r="H3275" s="13"/>
      <c r="I3275" s="15"/>
      <c r="J3275" s="19">
        <v>3</v>
      </c>
      <c r="K3275" s="2" t="s">
        <v>6560</v>
      </c>
      <c r="L3275" s="11" t="str">
        <f t="shared" si="52"/>
        <v>Ver Imagen</v>
      </c>
      <c r="M3275" t="s">
        <v>15</v>
      </c>
    </row>
    <row r="3276" spans="1:13" x14ac:dyDescent="0.25">
      <c r="A3276">
        <v>3275</v>
      </c>
      <c r="B3276" t="s">
        <v>6561</v>
      </c>
      <c r="C3276" s="1">
        <v>37.473364785400001</v>
      </c>
      <c r="D3276" s="1">
        <v>-7.1263547264199998</v>
      </c>
      <c r="E3276" s="3">
        <v>3</v>
      </c>
      <c r="F3276" s="2">
        <v>3</v>
      </c>
      <c r="G3276" s="4">
        <v>2</v>
      </c>
      <c r="H3276" s="13"/>
      <c r="I3276" s="15"/>
      <c r="J3276" s="19">
        <v>3</v>
      </c>
      <c r="K3276" s="2" t="s">
        <v>6562</v>
      </c>
      <c r="L3276" s="11" t="str">
        <f t="shared" si="52"/>
        <v>Ver Imagen</v>
      </c>
      <c r="M3276" t="s">
        <v>15</v>
      </c>
    </row>
    <row r="3277" spans="1:13" x14ac:dyDescent="0.25">
      <c r="A3277">
        <v>3276</v>
      </c>
      <c r="B3277" t="s">
        <v>6563</v>
      </c>
      <c r="C3277" s="1">
        <v>37.470786543400003</v>
      </c>
      <c r="D3277" s="1">
        <v>-7.1252329040899998</v>
      </c>
      <c r="E3277" s="3">
        <v>3</v>
      </c>
      <c r="F3277" s="2">
        <v>3</v>
      </c>
      <c r="G3277" s="4">
        <v>2</v>
      </c>
      <c r="H3277" s="13"/>
      <c r="I3277" s="15"/>
      <c r="J3277" s="19">
        <v>3</v>
      </c>
      <c r="K3277" s="2" t="s">
        <v>6564</v>
      </c>
      <c r="L3277" s="11" t="str">
        <f t="shared" si="52"/>
        <v>Ver Imagen</v>
      </c>
      <c r="M3277" t="s">
        <v>15</v>
      </c>
    </row>
    <row r="3278" spans="1:13" x14ac:dyDescent="0.25">
      <c r="A3278">
        <v>3277</v>
      </c>
      <c r="B3278" t="s">
        <v>6565</v>
      </c>
      <c r="C3278" s="1">
        <v>37.470595976600002</v>
      </c>
      <c r="D3278" s="1">
        <v>-7.1250833933499997</v>
      </c>
      <c r="E3278" s="3">
        <v>3</v>
      </c>
      <c r="F3278" s="2">
        <v>3</v>
      </c>
      <c r="G3278" s="4">
        <v>4</v>
      </c>
      <c r="H3278" s="13"/>
      <c r="I3278" s="15"/>
      <c r="J3278" s="19">
        <v>3</v>
      </c>
      <c r="K3278" s="2" t="s">
        <v>6566</v>
      </c>
      <c r="L3278" s="11" t="str">
        <f t="shared" si="52"/>
        <v>Ver Imagen</v>
      </c>
      <c r="M3278" t="s">
        <v>15</v>
      </c>
    </row>
    <row r="3279" spans="1:13" x14ac:dyDescent="0.25">
      <c r="A3279">
        <v>3278</v>
      </c>
      <c r="B3279" t="s">
        <v>6567</v>
      </c>
      <c r="C3279" s="1">
        <v>37.470076068499999</v>
      </c>
      <c r="D3279" s="1">
        <v>-7.1246898297900003</v>
      </c>
      <c r="E3279" s="3">
        <v>3</v>
      </c>
      <c r="F3279" s="2">
        <v>3</v>
      </c>
      <c r="G3279" s="4">
        <v>2</v>
      </c>
      <c r="H3279" s="13"/>
      <c r="I3279" s="15"/>
      <c r="J3279" s="19">
        <v>3</v>
      </c>
      <c r="K3279" s="2" t="s">
        <v>6568</v>
      </c>
      <c r="L3279" s="11" t="str">
        <f t="shared" si="52"/>
        <v>Ver Imagen</v>
      </c>
      <c r="M3279" t="s">
        <v>15</v>
      </c>
    </row>
    <row r="3280" spans="1:13" x14ac:dyDescent="0.25">
      <c r="A3280">
        <v>3279</v>
      </c>
      <c r="B3280" t="s">
        <v>6569</v>
      </c>
      <c r="C3280" s="1">
        <v>37.4672012837</v>
      </c>
      <c r="D3280" s="1">
        <v>-7.1228710066099996</v>
      </c>
      <c r="E3280" s="3">
        <v>3</v>
      </c>
      <c r="F3280" s="2">
        <v>3</v>
      </c>
      <c r="G3280" s="4">
        <v>2</v>
      </c>
      <c r="H3280" s="13"/>
      <c r="I3280" s="15"/>
      <c r="J3280" s="19">
        <v>3</v>
      </c>
      <c r="K3280" s="2" t="s">
        <v>6570</v>
      </c>
      <c r="L3280" s="11" t="str">
        <f t="shared" si="52"/>
        <v>Ver Imagen</v>
      </c>
      <c r="M3280" t="s">
        <v>15</v>
      </c>
    </row>
    <row r="3281" spans="1:13" x14ac:dyDescent="0.25">
      <c r="A3281">
        <v>3280</v>
      </c>
      <c r="B3281" t="s">
        <v>6571</v>
      </c>
      <c r="C3281" s="1">
        <v>37.462383391800003</v>
      </c>
      <c r="D3281" s="1">
        <v>-7.1242722787900004</v>
      </c>
      <c r="E3281" s="3">
        <v>2</v>
      </c>
      <c r="F3281" s="2">
        <v>3</v>
      </c>
      <c r="G3281" s="4">
        <v>3</v>
      </c>
      <c r="H3281" s="13"/>
      <c r="I3281" s="15"/>
      <c r="J3281" s="19">
        <v>3</v>
      </c>
      <c r="K3281" s="2" t="s">
        <v>6572</v>
      </c>
      <c r="L3281" s="11" t="str">
        <f t="shared" si="52"/>
        <v>Ver Imagen</v>
      </c>
      <c r="M3281" t="s">
        <v>15</v>
      </c>
    </row>
    <row r="3282" spans="1:13" x14ac:dyDescent="0.25">
      <c r="A3282">
        <v>3281</v>
      </c>
      <c r="B3282" t="s">
        <v>6573</v>
      </c>
      <c r="C3282" s="1">
        <v>37.4600180714</v>
      </c>
      <c r="D3282" s="1">
        <v>-7.1248909067300001</v>
      </c>
      <c r="E3282" s="3">
        <v>2</v>
      </c>
      <c r="F3282" s="2">
        <v>3</v>
      </c>
      <c r="G3282" s="4">
        <v>3</v>
      </c>
      <c r="H3282" s="13"/>
      <c r="I3282" s="15"/>
      <c r="J3282" s="19">
        <v>3</v>
      </c>
      <c r="K3282" s="2" t="s">
        <v>6574</v>
      </c>
      <c r="L3282" s="11" t="str">
        <f t="shared" si="52"/>
        <v>Ver Imagen</v>
      </c>
      <c r="M3282" t="s">
        <v>15</v>
      </c>
    </row>
    <row r="3283" spans="1:13" x14ac:dyDescent="0.25">
      <c r="A3283">
        <v>3282</v>
      </c>
      <c r="B3283" t="s">
        <v>6575</v>
      </c>
      <c r="C3283" s="1">
        <v>37.4568912553</v>
      </c>
      <c r="D3283" s="1">
        <v>-7.1260269540900003</v>
      </c>
      <c r="E3283" s="3">
        <v>3</v>
      </c>
      <c r="F3283" s="2">
        <v>3</v>
      </c>
      <c r="G3283" s="4">
        <v>2</v>
      </c>
      <c r="H3283" s="13"/>
      <c r="I3283" s="15"/>
      <c r="J3283" s="19">
        <v>3</v>
      </c>
      <c r="K3283" s="2" t="s">
        <v>6576</v>
      </c>
      <c r="L3283" s="11" t="str">
        <f t="shared" si="52"/>
        <v>Ver Imagen</v>
      </c>
      <c r="M3283" t="s">
        <v>15</v>
      </c>
    </row>
    <row r="3284" spans="1:13" x14ac:dyDescent="0.25">
      <c r="A3284">
        <v>3283</v>
      </c>
      <c r="B3284" t="s">
        <v>6577</v>
      </c>
      <c r="C3284" s="1">
        <v>37.455516697100002</v>
      </c>
      <c r="D3284" s="1">
        <v>-7.1265360833600004</v>
      </c>
      <c r="E3284" s="3">
        <v>3</v>
      </c>
      <c r="F3284" s="2">
        <v>3</v>
      </c>
      <c r="G3284" s="4">
        <v>2</v>
      </c>
      <c r="H3284" s="13"/>
      <c r="I3284" s="15"/>
      <c r="J3284" s="19">
        <v>3</v>
      </c>
      <c r="K3284" s="2" t="s">
        <v>6578</v>
      </c>
      <c r="L3284" s="11" t="str">
        <f t="shared" si="52"/>
        <v>Ver Imagen</v>
      </c>
      <c r="M3284" t="s">
        <v>15</v>
      </c>
    </row>
    <row r="3285" spans="1:13" x14ac:dyDescent="0.25">
      <c r="A3285">
        <v>3284</v>
      </c>
      <c r="B3285" t="s">
        <v>6579</v>
      </c>
      <c r="C3285" s="1">
        <v>37.450572558399998</v>
      </c>
      <c r="D3285" s="1">
        <v>-7.1273567226400001</v>
      </c>
      <c r="E3285" s="3">
        <v>2</v>
      </c>
      <c r="F3285" s="2">
        <v>3</v>
      </c>
      <c r="G3285" s="4">
        <v>3</v>
      </c>
      <c r="H3285" s="13"/>
      <c r="I3285" s="15"/>
      <c r="J3285" s="19">
        <v>3</v>
      </c>
      <c r="K3285" s="2" t="s">
        <v>6580</v>
      </c>
      <c r="L3285" s="11" t="str">
        <f t="shared" si="52"/>
        <v>Ver Imagen</v>
      </c>
      <c r="M3285" t="s">
        <v>15</v>
      </c>
    </row>
    <row r="3286" spans="1:13" x14ac:dyDescent="0.25">
      <c r="A3286">
        <v>3285</v>
      </c>
      <c r="B3286" t="s">
        <v>6581</v>
      </c>
      <c r="C3286" s="1">
        <v>37.450374779999997</v>
      </c>
      <c r="D3286" s="1">
        <v>-7.1273185594299999</v>
      </c>
      <c r="E3286" s="3">
        <v>2</v>
      </c>
      <c r="F3286" s="2">
        <v>3</v>
      </c>
      <c r="G3286" s="4">
        <v>3</v>
      </c>
      <c r="H3286" s="13"/>
      <c r="I3286" s="15"/>
      <c r="J3286" s="19">
        <v>3</v>
      </c>
      <c r="K3286" s="2" t="s">
        <v>6582</v>
      </c>
      <c r="L3286" s="11" t="str">
        <f t="shared" si="52"/>
        <v>Ver Imagen</v>
      </c>
      <c r="M3286" t="s">
        <v>15</v>
      </c>
    </row>
    <row r="3287" spans="1:13" x14ac:dyDescent="0.25">
      <c r="A3287">
        <v>3286</v>
      </c>
      <c r="B3287" t="s">
        <v>6583</v>
      </c>
      <c r="C3287" s="1">
        <v>37.450142158200002</v>
      </c>
      <c r="D3287" s="1">
        <v>-7.1272689762499999</v>
      </c>
      <c r="E3287" s="3">
        <v>2</v>
      </c>
      <c r="F3287" s="2">
        <v>3</v>
      </c>
      <c r="G3287" s="4">
        <v>3</v>
      </c>
      <c r="H3287" s="13"/>
      <c r="I3287" s="15"/>
      <c r="J3287" s="19">
        <v>3</v>
      </c>
      <c r="K3287" s="2" t="s">
        <v>6584</v>
      </c>
      <c r="L3287" s="11" t="str">
        <f t="shared" si="52"/>
        <v>Ver Imagen</v>
      </c>
      <c r="M3287" t="s">
        <v>15</v>
      </c>
    </row>
    <row r="3288" spans="1:13" x14ac:dyDescent="0.25">
      <c r="A3288">
        <v>3287</v>
      </c>
      <c r="B3288" t="s">
        <v>6585</v>
      </c>
      <c r="C3288" s="1">
        <v>37.449757048800002</v>
      </c>
      <c r="D3288" s="1">
        <v>-7.1271751109299997</v>
      </c>
      <c r="E3288" s="3">
        <v>2</v>
      </c>
      <c r="F3288" s="2">
        <v>3</v>
      </c>
      <c r="G3288" s="4">
        <v>3</v>
      </c>
      <c r="H3288" s="13"/>
      <c r="I3288" s="15"/>
      <c r="J3288" s="19">
        <v>3</v>
      </c>
      <c r="K3288" s="2" t="s">
        <v>6586</v>
      </c>
      <c r="L3288" s="11" t="str">
        <f t="shared" si="52"/>
        <v>Ver Imagen</v>
      </c>
      <c r="M3288" t="s">
        <v>15</v>
      </c>
    </row>
    <row r="3289" spans="1:13" x14ac:dyDescent="0.25">
      <c r="A3289">
        <v>3288</v>
      </c>
      <c r="B3289" t="s">
        <v>6587</v>
      </c>
      <c r="C3289" s="1">
        <v>37.449601582200003</v>
      </c>
      <c r="D3289" s="1">
        <v>-7.1271306129000003</v>
      </c>
      <c r="E3289" s="3">
        <v>2</v>
      </c>
      <c r="F3289" s="2">
        <v>3</v>
      </c>
      <c r="G3289" s="4">
        <v>3</v>
      </c>
      <c r="H3289" s="13"/>
      <c r="I3289" s="15"/>
      <c r="J3289" s="19">
        <v>3</v>
      </c>
      <c r="K3289" s="2" t="s">
        <v>6588</v>
      </c>
      <c r="L3289" s="11" t="str">
        <f t="shared" si="52"/>
        <v>Ver Imagen</v>
      </c>
      <c r="M3289" t="s">
        <v>15</v>
      </c>
    </row>
    <row r="3290" spans="1:13" x14ac:dyDescent="0.25">
      <c r="A3290">
        <v>3289</v>
      </c>
      <c r="B3290" t="s">
        <v>6589</v>
      </c>
      <c r="C3290" s="1">
        <v>37.449401516199998</v>
      </c>
      <c r="D3290" s="1">
        <v>-7.1270668416999996</v>
      </c>
      <c r="E3290" s="3">
        <v>3</v>
      </c>
      <c r="F3290" s="2">
        <v>3</v>
      </c>
      <c r="G3290" s="4">
        <v>4</v>
      </c>
      <c r="H3290" s="13"/>
      <c r="I3290" s="15"/>
      <c r="J3290" s="19">
        <v>3</v>
      </c>
      <c r="K3290" s="2" t="s">
        <v>6590</v>
      </c>
      <c r="L3290" s="11" t="str">
        <f t="shared" si="52"/>
        <v>Ver Imagen</v>
      </c>
      <c r="M3290" t="s">
        <v>15</v>
      </c>
    </row>
    <row r="3291" spans="1:13" x14ac:dyDescent="0.25">
      <c r="A3291">
        <v>3290</v>
      </c>
      <c r="B3291" t="s">
        <v>6591</v>
      </c>
      <c r="C3291" s="1">
        <v>37.448993081200001</v>
      </c>
      <c r="D3291" s="1">
        <v>-7.12692472109</v>
      </c>
      <c r="E3291" s="3">
        <v>3</v>
      </c>
      <c r="F3291" s="2">
        <v>3</v>
      </c>
      <c r="G3291" s="4">
        <v>4</v>
      </c>
      <c r="H3291" s="13"/>
      <c r="I3291" s="15"/>
      <c r="J3291" s="19">
        <v>3</v>
      </c>
      <c r="K3291" s="2" t="s">
        <v>6592</v>
      </c>
      <c r="L3291" s="11" t="str">
        <f t="shared" si="52"/>
        <v>Ver Imagen</v>
      </c>
      <c r="M3291" t="s">
        <v>15</v>
      </c>
    </row>
    <row r="3292" spans="1:13" x14ac:dyDescent="0.25">
      <c r="A3292">
        <v>3291</v>
      </c>
      <c r="B3292" t="s">
        <v>6593</v>
      </c>
      <c r="C3292" s="1">
        <v>37.448824210700003</v>
      </c>
      <c r="D3292" s="1">
        <v>-7.12686598263</v>
      </c>
      <c r="E3292" s="3">
        <v>3</v>
      </c>
      <c r="F3292" s="2">
        <v>3</v>
      </c>
      <c r="G3292" s="4">
        <v>4</v>
      </c>
      <c r="H3292" s="13"/>
      <c r="I3292" s="15"/>
      <c r="J3292" s="19">
        <v>3</v>
      </c>
      <c r="K3292" s="2" t="s">
        <v>6594</v>
      </c>
      <c r="L3292" s="11" t="str">
        <f t="shared" si="52"/>
        <v>Ver Imagen</v>
      </c>
      <c r="M3292" t="s">
        <v>15</v>
      </c>
    </row>
    <row r="3293" spans="1:13" x14ac:dyDescent="0.25">
      <c r="A3293">
        <v>3292</v>
      </c>
      <c r="B3293" t="s">
        <v>6595</v>
      </c>
      <c r="C3293" s="1">
        <v>37.448428935899997</v>
      </c>
      <c r="D3293" s="1">
        <v>-7.1267244646199996</v>
      </c>
      <c r="E3293" s="3">
        <v>3</v>
      </c>
      <c r="F3293" s="2">
        <v>3</v>
      </c>
      <c r="G3293" s="4">
        <v>4</v>
      </c>
      <c r="H3293" s="13"/>
      <c r="I3293" s="15"/>
      <c r="J3293" s="19">
        <v>3</v>
      </c>
      <c r="K3293" s="2" t="s">
        <v>6596</v>
      </c>
      <c r="L3293" s="11" t="str">
        <f t="shared" si="52"/>
        <v>Ver Imagen</v>
      </c>
      <c r="M3293" t="s">
        <v>15</v>
      </c>
    </row>
    <row r="3294" spans="1:13" x14ac:dyDescent="0.25">
      <c r="A3294">
        <v>3293</v>
      </c>
      <c r="B3294" t="s">
        <v>6597</v>
      </c>
      <c r="C3294" s="1">
        <v>37.495698601500003</v>
      </c>
      <c r="D3294" s="1">
        <v>-7.2747608109900002</v>
      </c>
      <c r="E3294" s="3">
        <v>2</v>
      </c>
      <c r="F3294" s="2">
        <v>3</v>
      </c>
      <c r="G3294" s="4">
        <v>3</v>
      </c>
      <c r="H3294" s="13"/>
      <c r="I3294" s="15"/>
      <c r="J3294" s="19">
        <v>3</v>
      </c>
      <c r="K3294" s="2" t="s">
        <v>6598</v>
      </c>
      <c r="L3294" s="11" t="str">
        <f t="shared" si="52"/>
        <v>Ver Imagen</v>
      </c>
      <c r="M3294" t="s">
        <v>15</v>
      </c>
    </row>
    <row r="3295" spans="1:13" x14ac:dyDescent="0.25">
      <c r="A3295">
        <v>3294</v>
      </c>
      <c r="B3295" t="s">
        <v>6599</v>
      </c>
      <c r="C3295" s="1">
        <v>37.495630831699998</v>
      </c>
      <c r="D3295" s="1">
        <v>-7.2735034779000003</v>
      </c>
      <c r="E3295" s="3">
        <v>2</v>
      </c>
      <c r="F3295" s="2">
        <v>3</v>
      </c>
      <c r="G3295" s="4">
        <v>3</v>
      </c>
      <c r="H3295" s="13"/>
      <c r="I3295" s="15"/>
      <c r="J3295" s="19">
        <v>3</v>
      </c>
      <c r="K3295" s="2" t="s">
        <v>6600</v>
      </c>
      <c r="L3295" s="11" t="str">
        <f t="shared" si="52"/>
        <v>Ver Imagen</v>
      </c>
      <c r="M3295" t="s">
        <v>15</v>
      </c>
    </row>
    <row r="3296" spans="1:13" x14ac:dyDescent="0.25">
      <c r="A3296">
        <v>3295</v>
      </c>
      <c r="B3296" t="s">
        <v>6601</v>
      </c>
      <c r="C3296" s="1">
        <v>37.495594554900002</v>
      </c>
      <c r="D3296" s="1">
        <v>-7.2732753456900001</v>
      </c>
      <c r="E3296" s="3">
        <v>2</v>
      </c>
      <c r="F3296" s="2">
        <v>3</v>
      </c>
      <c r="G3296" s="4">
        <v>3</v>
      </c>
      <c r="H3296" s="13"/>
      <c r="I3296" s="15"/>
      <c r="J3296" s="19">
        <v>3</v>
      </c>
      <c r="K3296" s="2" t="s">
        <v>6602</v>
      </c>
      <c r="L3296" s="11" t="str">
        <f t="shared" si="52"/>
        <v>Ver Imagen</v>
      </c>
      <c r="M3296" t="s">
        <v>15</v>
      </c>
    </row>
    <row r="3297" spans="1:13" x14ac:dyDescent="0.25">
      <c r="A3297">
        <v>3296</v>
      </c>
      <c r="B3297" t="s">
        <v>6603</v>
      </c>
      <c r="C3297" s="1">
        <v>37.198521703399997</v>
      </c>
      <c r="D3297" s="1">
        <v>-6.9816800779600001</v>
      </c>
      <c r="E3297" s="3">
        <v>3</v>
      </c>
      <c r="F3297" s="2">
        <v>3</v>
      </c>
      <c r="G3297" s="4">
        <v>4</v>
      </c>
      <c r="H3297" s="13"/>
      <c r="I3297" s="15"/>
      <c r="J3297" s="19">
        <v>3</v>
      </c>
      <c r="K3297" s="2" t="s">
        <v>6604</v>
      </c>
      <c r="L3297" s="11" t="str">
        <f t="shared" si="52"/>
        <v>Ver Imagen</v>
      </c>
      <c r="M3297" t="s">
        <v>15</v>
      </c>
    </row>
    <row r="3298" spans="1:13" x14ac:dyDescent="0.25">
      <c r="A3298">
        <v>3297</v>
      </c>
      <c r="B3298" t="s">
        <v>6605</v>
      </c>
      <c r="C3298" s="1">
        <v>37.197833690099998</v>
      </c>
      <c r="D3298" s="1">
        <v>-6.9804665075300001</v>
      </c>
      <c r="E3298" s="3">
        <v>4</v>
      </c>
      <c r="F3298" s="2">
        <v>3</v>
      </c>
      <c r="G3298" s="4">
        <v>3</v>
      </c>
      <c r="H3298" s="13"/>
      <c r="I3298" s="15"/>
      <c r="J3298" s="19">
        <v>3</v>
      </c>
      <c r="K3298" s="2" t="s">
        <v>6606</v>
      </c>
      <c r="L3298" s="11" t="str">
        <f t="shared" si="52"/>
        <v>Ver Imagen</v>
      </c>
      <c r="M3298" t="s">
        <v>15</v>
      </c>
    </row>
    <row r="3299" spans="1:13" x14ac:dyDescent="0.25">
      <c r="A3299">
        <v>3298</v>
      </c>
      <c r="B3299" t="s">
        <v>6607</v>
      </c>
      <c r="C3299" s="1">
        <v>37.197671590799999</v>
      </c>
      <c r="D3299" s="1">
        <v>-6.9802416232300004</v>
      </c>
      <c r="E3299" s="3">
        <v>4</v>
      </c>
      <c r="F3299" s="2">
        <v>3</v>
      </c>
      <c r="G3299" s="4">
        <v>3</v>
      </c>
      <c r="H3299" s="13"/>
      <c r="I3299" s="15"/>
      <c r="J3299" s="19">
        <v>3</v>
      </c>
      <c r="K3299" s="2" t="s">
        <v>6608</v>
      </c>
      <c r="L3299" s="11" t="str">
        <f t="shared" si="52"/>
        <v>Ver Imagen</v>
      </c>
      <c r="M3299" t="s">
        <v>15</v>
      </c>
    </row>
    <row r="3300" spans="1:13" x14ac:dyDescent="0.25">
      <c r="A3300">
        <v>3299</v>
      </c>
      <c r="B3300" t="s">
        <v>6609</v>
      </c>
      <c r="C3300" s="1">
        <v>37.196464930399998</v>
      </c>
      <c r="D3300" s="1">
        <v>-6.9789703248899997</v>
      </c>
      <c r="E3300" s="3">
        <v>4</v>
      </c>
      <c r="F3300" s="2">
        <v>3</v>
      </c>
      <c r="G3300" s="4">
        <v>3</v>
      </c>
      <c r="H3300" s="13"/>
      <c r="I3300" s="15"/>
      <c r="J3300" s="19">
        <v>3</v>
      </c>
      <c r="K3300" s="2" t="s">
        <v>6610</v>
      </c>
      <c r="L3300" s="11" t="str">
        <f t="shared" si="52"/>
        <v>Ver Imagen</v>
      </c>
      <c r="M3300" t="s">
        <v>15</v>
      </c>
    </row>
    <row r="3301" spans="1:13" x14ac:dyDescent="0.25">
      <c r="A3301">
        <v>3300</v>
      </c>
      <c r="B3301" t="s">
        <v>6611</v>
      </c>
      <c r="C3301" s="1">
        <v>37.1960957593</v>
      </c>
      <c r="D3301" s="1">
        <v>-6.9786919231400004</v>
      </c>
      <c r="E3301" s="3">
        <v>2</v>
      </c>
      <c r="F3301" s="2">
        <v>3</v>
      </c>
      <c r="G3301" s="4">
        <v>3</v>
      </c>
      <c r="H3301" s="13"/>
      <c r="I3301" s="15"/>
      <c r="J3301" s="19">
        <v>3</v>
      </c>
      <c r="K3301" s="2" t="s">
        <v>6612</v>
      </c>
      <c r="L3301" s="11" t="str">
        <f t="shared" si="52"/>
        <v>Ver Imagen</v>
      </c>
      <c r="M3301" t="s">
        <v>15</v>
      </c>
    </row>
    <row r="3302" spans="1:13" x14ac:dyDescent="0.25">
      <c r="A3302">
        <v>3301</v>
      </c>
      <c r="B3302" t="s">
        <v>6613</v>
      </c>
      <c r="C3302" s="1">
        <v>37.195749912899998</v>
      </c>
      <c r="D3302" s="1">
        <v>-6.9784640341399999</v>
      </c>
      <c r="E3302" s="3">
        <v>4</v>
      </c>
      <c r="F3302" s="2">
        <v>3</v>
      </c>
      <c r="G3302" s="4">
        <v>3</v>
      </c>
      <c r="H3302" s="13"/>
      <c r="I3302" s="15"/>
      <c r="J3302" s="19">
        <v>3</v>
      </c>
      <c r="K3302" s="2" t="s">
        <v>6614</v>
      </c>
      <c r="L3302" s="11" t="str">
        <f t="shared" si="52"/>
        <v>Ver Imagen</v>
      </c>
      <c r="M3302" t="s">
        <v>15</v>
      </c>
    </row>
    <row r="3303" spans="1:13" x14ac:dyDescent="0.25">
      <c r="A3303">
        <v>3302</v>
      </c>
      <c r="B3303" t="s">
        <v>6615</v>
      </c>
      <c r="C3303" s="1">
        <v>37.195365228299998</v>
      </c>
      <c r="D3303" s="1">
        <v>-6.9782443836099999</v>
      </c>
      <c r="E3303" s="3">
        <v>2</v>
      </c>
      <c r="F3303" s="2">
        <v>3</v>
      </c>
      <c r="G3303" s="4">
        <v>3</v>
      </c>
      <c r="H3303" s="13"/>
      <c r="I3303" s="15"/>
      <c r="J3303" s="19">
        <v>3</v>
      </c>
      <c r="K3303" s="2" t="s">
        <v>6616</v>
      </c>
      <c r="L3303" s="11" t="str">
        <f t="shared" si="52"/>
        <v>Ver Imagen</v>
      </c>
      <c r="M3303" t="s">
        <v>15</v>
      </c>
    </row>
    <row r="3304" spans="1:13" x14ac:dyDescent="0.25">
      <c r="A3304">
        <v>3303</v>
      </c>
      <c r="B3304" t="s">
        <v>6617</v>
      </c>
      <c r="C3304" s="1">
        <v>37.195160364300001</v>
      </c>
      <c r="D3304" s="1">
        <v>-6.9781438999800001</v>
      </c>
      <c r="E3304" s="3">
        <v>3</v>
      </c>
      <c r="F3304" s="2">
        <v>3</v>
      </c>
      <c r="G3304" s="4">
        <v>4</v>
      </c>
      <c r="H3304" s="13"/>
      <c r="I3304" s="15"/>
      <c r="J3304" s="19">
        <v>3</v>
      </c>
      <c r="K3304" s="2" t="s">
        <v>6618</v>
      </c>
      <c r="L3304" s="11" t="str">
        <f t="shared" si="52"/>
        <v>Ver Imagen</v>
      </c>
      <c r="M3304" t="s">
        <v>15</v>
      </c>
    </row>
    <row r="3305" spans="1:13" x14ac:dyDescent="0.25">
      <c r="A3305">
        <v>3304</v>
      </c>
      <c r="B3305" t="s">
        <v>6619</v>
      </c>
      <c r="C3305" s="1">
        <v>37.1947935062</v>
      </c>
      <c r="D3305" s="1">
        <v>-6.9779904184700001</v>
      </c>
      <c r="E3305" s="3">
        <v>3</v>
      </c>
      <c r="F3305" s="2">
        <v>3</v>
      </c>
      <c r="G3305" s="4">
        <v>4</v>
      </c>
      <c r="H3305" s="13"/>
      <c r="I3305" s="15"/>
      <c r="J3305" s="19">
        <v>3</v>
      </c>
      <c r="K3305" s="2" t="s">
        <v>6620</v>
      </c>
      <c r="L3305" s="11" t="str">
        <f t="shared" ref="L3305:L3368" si="53">HYPERLINK("3\1\" &amp; K3305, "Ver Imagen")</f>
        <v>Ver Imagen</v>
      </c>
      <c r="M3305" t="s">
        <v>15</v>
      </c>
    </row>
    <row r="3306" spans="1:13" x14ac:dyDescent="0.25">
      <c r="A3306">
        <v>3305</v>
      </c>
      <c r="B3306" t="s">
        <v>6621</v>
      </c>
      <c r="C3306" s="1">
        <v>37.194436324900003</v>
      </c>
      <c r="D3306" s="1">
        <v>-6.9778699802000004</v>
      </c>
      <c r="E3306" s="3">
        <v>3</v>
      </c>
      <c r="F3306" s="2">
        <v>3</v>
      </c>
      <c r="G3306" s="4">
        <v>4</v>
      </c>
      <c r="H3306" s="13"/>
      <c r="I3306" s="15"/>
      <c r="J3306" s="19">
        <v>3</v>
      </c>
      <c r="K3306" s="2" t="s">
        <v>6622</v>
      </c>
      <c r="L3306" s="11" t="str">
        <f t="shared" si="53"/>
        <v>Ver Imagen</v>
      </c>
      <c r="M3306" t="s">
        <v>15</v>
      </c>
    </row>
    <row r="3307" spans="1:13" x14ac:dyDescent="0.25">
      <c r="A3307">
        <v>3306</v>
      </c>
      <c r="B3307" t="s">
        <v>6623</v>
      </c>
      <c r="C3307" s="1">
        <v>37.194178612899996</v>
      </c>
      <c r="D3307" s="1">
        <v>-6.9777973317199997</v>
      </c>
      <c r="E3307" s="3">
        <v>3</v>
      </c>
      <c r="F3307" s="2">
        <v>3</v>
      </c>
      <c r="G3307" s="4">
        <v>4</v>
      </c>
      <c r="H3307" s="13"/>
      <c r="I3307" s="15"/>
      <c r="J3307" s="19">
        <v>3</v>
      </c>
      <c r="K3307" s="2" t="s">
        <v>6624</v>
      </c>
      <c r="L3307" s="11" t="str">
        <f t="shared" si="53"/>
        <v>Ver Imagen</v>
      </c>
      <c r="M3307" t="s">
        <v>15</v>
      </c>
    </row>
    <row r="3308" spans="1:13" x14ac:dyDescent="0.25">
      <c r="A3308">
        <v>3307</v>
      </c>
      <c r="B3308" t="s">
        <v>6625</v>
      </c>
      <c r="C3308" s="1">
        <v>37.194011698300002</v>
      </c>
      <c r="D3308" s="1">
        <v>-6.9777571544399999</v>
      </c>
      <c r="E3308" s="3">
        <v>3</v>
      </c>
      <c r="F3308" s="2">
        <v>3</v>
      </c>
      <c r="G3308" s="4">
        <v>4</v>
      </c>
      <c r="H3308" s="13"/>
      <c r="I3308" s="15"/>
      <c r="J3308" s="19">
        <v>3</v>
      </c>
      <c r="K3308" s="2" t="s">
        <v>6626</v>
      </c>
      <c r="L3308" s="11" t="str">
        <f t="shared" si="53"/>
        <v>Ver Imagen</v>
      </c>
      <c r="M3308" t="s">
        <v>15</v>
      </c>
    </row>
    <row r="3309" spans="1:13" x14ac:dyDescent="0.25">
      <c r="A3309">
        <v>3308</v>
      </c>
      <c r="B3309" t="s">
        <v>6627</v>
      </c>
      <c r="C3309" s="1">
        <v>37.193814484599997</v>
      </c>
      <c r="D3309" s="1">
        <v>-6.9777170880800004</v>
      </c>
      <c r="E3309" s="3">
        <v>3</v>
      </c>
      <c r="F3309" s="2">
        <v>3</v>
      </c>
      <c r="G3309" s="4">
        <v>4</v>
      </c>
      <c r="H3309" s="13"/>
      <c r="I3309" s="15"/>
      <c r="J3309" s="19">
        <v>3</v>
      </c>
      <c r="K3309" s="2" t="s">
        <v>6628</v>
      </c>
      <c r="L3309" s="11" t="str">
        <f t="shared" si="53"/>
        <v>Ver Imagen</v>
      </c>
      <c r="M3309" t="s">
        <v>15</v>
      </c>
    </row>
    <row r="3310" spans="1:13" x14ac:dyDescent="0.25">
      <c r="A3310">
        <v>3309</v>
      </c>
      <c r="B3310" t="s">
        <v>6629</v>
      </c>
      <c r="C3310" s="1">
        <v>37.193627536900003</v>
      </c>
      <c r="D3310" s="1">
        <v>-6.9776876553499996</v>
      </c>
      <c r="E3310" s="3">
        <v>3</v>
      </c>
      <c r="F3310" s="2">
        <v>3</v>
      </c>
      <c r="G3310" s="4">
        <v>4</v>
      </c>
      <c r="H3310" s="13"/>
      <c r="I3310" s="15"/>
      <c r="J3310" s="19">
        <v>3</v>
      </c>
      <c r="K3310" s="2" t="s">
        <v>6630</v>
      </c>
      <c r="L3310" s="11" t="str">
        <f t="shared" si="53"/>
        <v>Ver Imagen</v>
      </c>
      <c r="M3310" t="s">
        <v>15</v>
      </c>
    </row>
    <row r="3311" spans="1:13" x14ac:dyDescent="0.25">
      <c r="A3311">
        <v>3310</v>
      </c>
      <c r="B3311" t="s">
        <v>6631</v>
      </c>
      <c r="C3311" s="1">
        <v>37.193051602499999</v>
      </c>
      <c r="D3311" s="1">
        <v>-6.9776426917199998</v>
      </c>
      <c r="E3311" s="3">
        <v>3</v>
      </c>
      <c r="F3311" s="2">
        <v>3</v>
      </c>
      <c r="G3311" s="4">
        <v>4</v>
      </c>
      <c r="H3311" s="13"/>
      <c r="I3311" s="15"/>
      <c r="J3311" s="19">
        <v>3</v>
      </c>
      <c r="K3311" s="2" t="s">
        <v>6632</v>
      </c>
      <c r="L3311" s="11" t="str">
        <f t="shared" si="53"/>
        <v>Ver Imagen</v>
      </c>
      <c r="M3311" t="s">
        <v>15</v>
      </c>
    </row>
    <row r="3312" spans="1:13" x14ac:dyDescent="0.25">
      <c r="A3312">
        <v>3311</v>
      </c>
      <c r="B3312" t="s">
        <v>6633</v>
      </c>
      <c r="C3312" s="1">
        <v>37.192836638499998</v>
      </c>
      <c r="D3312" s="1">
        <v>-6.9776409157700003</v>
      </c>
      <c r="E3312" s="3">
        <v>2</v>
      </c>
      <c r="F3312" s="2">
        <v>3</v>
      </c>
      <c r="G3312" s="4">
        <v>3</v>
      </c>
      <c r="H3312" s="13"/>
      <c r="I3312" s="15"/>
      <c r="J3312" s="19">
        <v>3</v>
      </c>
      <c r="K3312" s="2" t="s">
        <v>6634</v>
      </c>
      <c r="L3312" s="11" t="str">
        <f t="shared" si="53"/>
        <v>Ver Imagen</v>
      </c>
      <c r="M3312" t="s">
        <v>15</v>
      </c>
    </row>
    <row r="3313" spans="1:13" x14ac:dyDescent="0.25">
      <c r="A3313">
        <v>3312</v>
      </c>
      <c r="B3313" t="s">
        <v>6635</v>
      </c>
      <c r="C3313" s="1">
        <v>37.192623247500002</v>
      </c>
      <c r="D3313" s="1">
        <v>-6.9776460699299996</v>
      </c>
      <c r="E3313" s="3">
        <v>3</v>
      </c>
      <c r="F3313" s="2">
        <v>3</v>
      </c>
      <c r="G3313" s="4">
        <v>4</v>
      </c>
      <c r="H3313" s="13"/>
      <c r="I3313" s="15"/>
      <c r="J3313" s="19">
        <v>3</v>
      </c>
      <c r="K3313" s="2" t="s">
        <v>6636</v>
      </c>
      <c r="L3313" s="11" t="str">
        <f t="shared" si="53"/>
        <v>Ver Imagen</v>
      </c>
      <c r="M3313" t="s">
        <v>15</v>
      </c>
    </row>
    <row r="3314" spans="1:13" x14ac:dyDescent="0.25">
      <c r="A3314">
        <v>3313</v>
      </c>
      <c r="B3314" t="s">
        <v>6637</v>
      </c>
      <c r="C3314" s="1">
        <v>37.191588044100001</v>
      </c>
      <c r="D3314" s="1">
        <v>-6.9777620567099996</v>
      </c>
      <c r="E3314" s="3">
        <v>3</v>
      </c>
      <c r="F3314" s="2">
        <v>3</v>
      </c>
      <c r="G3314" s="4">
        <v>4</v>
      </c>
      <c r="H3314" s="13"/>
      <c r="I3314" s="15"/>
      <c r="J3314" s="19">
        <v>3</v>
      </c>
      <c r="K3314" s="2" t="s">
        <v>6638</v>
      </c>
      <c r="L3314" s="11" t="str">
        <f t="shared" si="53"/>
        <v>Ver Imagen</v>
      </c>
      <c r="M3314" t="s">
        <v>15</v>
      </c>
    </row>
    <row r="3315" spans="1:13" x14ac:dyDescent="0.25">
      <c r="A3315">
        <v>3314</v>
      </c>
      <c r="B3315" t="s">
        <v>6639</v>
      </c>
      <c r="C3315" s="1">
        <v>37.191401511099997</v>
      </c>
      <c r="D3315" s="1">
        <v>-6.9777966567999998</v>
      </c>
      <c r="E3315" s="3">
        <v>3</v>
      </c>
      <c r="F3315" s="2">
        <v>3</v>
      </c>
      <c r="G3315" s="4">
        <v>4</v>
      </c>
      <c r="H3315" s="13"/>
      <c r="I3315" s="15"/>
      <c r="J3315" s="19">
        <v>3</v>
      </c>
      <c r="K3315" s="2" t="s">
        <v>6640</v>
      </c>
      <c r="L3315" s="11" t="str">
        <f t="shared" si="53"/>
        <v>Ver Imagen</v>
      </c>
      <c r="M3315" t="s">
        <v>15</v>
      </c>
    </row>
    <row r="3316" spans="1:13" x14ac:dyDescent="0.25">
      <c r="A3316">
        <v>3315</v>
      </c>
      <c r="B3316" t="s">
        <v>6641</v>
      </c>
      <c r="C3316" s="1">
        <v>37.190826864899996</v>
      </c>
      <c r="D3316" s="1">
        <v>-6.9779220445199996</v>
      </c>
      <c r="E3316" s="3">
        <v>3</v>
      </c>
      <c r="F3316" s="2">
        <v>3</v>
      </c>
      <c r="G3316" s="4">
        <v>4</v>
      </c>
      <c r="H3316" s="13"/>
      <c r="I3316" s="15"/>
      <c r="J3316" s="19">
        <v>3</v>
      </c>
      <c r="K3316" s="2" t="s">
        <v>6642</v>
      </c>
      <c r="L3316" s="11" t="str">
        <f t="shared" si="53"/>
        <v>Ver Imagen</v>
      </c>
      <c r="M3316" t="s">
        <v>15</v>
      </c>
    </row>
    <row r="3317" spans="1:13" x14ac:dyDescent="0.25">
      <c r="A3317">
        <v>3316</v>
      </c>
      <c r="B3317" t="s">
        <v>6643</v>
      </c>
      <c r="C3317" s="1">
        <v>37.190639721099998</v>
      </c>
      <c r="D3317" s="1">
        <v>-6.9779673963300004</v>
      </c>
      <c r="E3317" s="3">
        <v>3</v>
      </c>
      <c r="F3317" s="2">
        <v>3</v>
      </c>
      <c r="G3317" s="4">
        <v>4</v>
      </c>
      <c r="H3317" s="13"/>
      <c r="I3317" s="15"/>
      <c r="J3317" s="19">
        <v>3</v>
      </c>
      <c r="K3317" s="2" t="s">
        <v>6644</v>
      </c>
      <c r="L3317" s="11" t="str">
        <f t="shared" si="53"/>
        <v>Ver Imagen</v>
      </c>
      <c r="M3317" t="s">
        <v>15</v>
      </c>
    </row>
    <row r="3318" spans="1:13" x14ac:dyDescent="0.25">
      <c r="A3318">
        <v>3317</v>
      </c>
      <c r="B3318" t="s">
        <v>6645</v>
      </c>
      <c r="C3318" s="1">
        <v>37.190442395700003</v>
      </c>
      <c r="D3318" s="1">
        <v>-6.9780174382900002</v>
      </c>
      <c r="E3318" s="3">
        <v>3</v>
      </c>
      <c r="F3318" s="2">
        <v>3</v>
      </c>
      <c r="G3318" s="4">
        <v>4</v>
      </c>
      <c r="H3318" s="13"/>
      <c r="I3318" s="15"/>
      <c r="J3318" s="19">
        <v>3</v>
      </c>
      <c r="K3318" s="2" t="s">
        <v>6646</v>
      </c>
      <c r="L3318" s="11" t="str">
        <f t="shared" si="53"/>
        <v>Ver Imagen</v>
      </c>
      <c r="M3318" t="s">
        <v>15</v>
      </c>
    </row>
    <row r="3319" spans="1:13" x14ac:dyDescent="0.25">
      <c r="A3319">
        <v>3318</v>
      </c>
      <c r="B3319" t="s">
        <v>6647</v>
      </c>
      <c r="C3319" s="1">
        <v>37.1902339759</v>
      </c>
      <c r="D3319" s="1">
        <v>-6.9780720724399998</v>
      </c>
      <c r="E3319" s="3">
        <v>3</v>
      </c>
      <c r="F3319" s="2">
        <v>3</v>
      </c>
      <c r="G3319" s="4">
        <v>4</v>
      </c>
      <c r="H3319" s="13"/>
      <c r="I3319" s="15"/>
      <c r="J3319" s="19">
        <v>3</v>
      </c>
      <c r="K3319" s="2" t="s">
        <v>6648</v>
      </c>
      <c r="L3319" s="11" t="str">
        <f t="shared" si="53"/>
        <v>Ver Imagen</v>
      </c>
      <c r="M3319" t="s">
        <v>15</v>
      </c>
    </row>
    <row r="3320" spans="1:13" x14ac:dyDescent="0.25">
      <c r="A3320">
        <v>3319</v>
      </c>
      <c r="B3320" t="s">
        <v>6649</v>
      </c>
      <c r="C3320" s="1">
        <v>37.189615514000003</v>
      </c>
      <c r="D3320" s="1">
        <v>-6.9782462604099997</v>
      </c>
      <c r="E3320" s="3">
        <v>3</v>
      </c>
      <c r="F3320" s="2">
        <v>3</v>
      </c>
      <c r="G3320" s="4">
        <v>4</v>
      </c>
      <c r="H3320" s="13"/>
      <c r="I3320" s="15"/>
      <c r="J3320" s="19">
        <v>3</v>
      </c>
      <c r="K3320" s="2" t="s">
        <v>6650</v>
      </c>
      <c r="L3320" s="11" t="str">
        <f t="shared" si="53"/>
        <v>Ver Imagen</v>
      </c>
      <c r="M3320" t="s">
        <v>15</v>
      </c>
    </row>
    <row r="3321" spans="1:13" x14ac:dyDescent="0.25">
      <c r="A3321">
        <v>3320</v>
      </c>
      <c r="B3321" t="s">
        <v>6651</v>
      </c>
      <c r="C3321" s="1">
        <v>37.189235989399997</v>
      </c>
      <c r="D3321" s="1">
        <v>-6.9783567924599996</v>
      </c>
      <c r="E3321" s="3">
        <v>2</v>
      </c>
      <c r="F3321" s="2">
        <v>3</v>
      </c>
      <c r="G3321" s="4">
        <v>3</v>
      </c>
      <c r="H3321" s="13"/>
      <c r="I3321" s="15"/>
      <c r="J3321" s="19">
        <v>3</v>
      </c>
      <c r="K3321" s="2" t="s">
        <v>6652</v>
      </c>
      <c r="L3321" s="11" t="str">
        <f t="shared" si="53"/>
        <v>Ver Imagen</v>
      </c>
      <c r="M3321" t="s">
        <v>15</v>
      </c>
    </row>
    <row r="3322" spans="1:13" x14ac:dyDescent="0.25">
      <c r="A3322">
        <v>3321</v>
      </c>
      <c r="B3322" t="s">
        <v>6653</v>
      </c>
      <c r="C3322" s="1">
        <v>37.1864657128</v>
      </c>
      <c r="D3322" s="1">
        <v>-6.9801650979799996</v>
      </c>
      <c r="E3322" s="3">
        <v>3</v>
      </c>
      <c r="F3322" s="2">
        <v>3</v>
      </c>
      <c r="G3322" s="4">
        <v>4</v>
      </c>
      <c r="H3322" s="13"/>
      <c r="I3322" s="15"/>
      <c r="J3322" s="19">
        <v>3</v>
      </c>
      <c r="K3322" s="2" t="s">
        <v>6654</v>
      </c>
      <c r="L3322" s="11" t="str">
        <f t="shared" si="53"/>
        <v>Ver Imagen</v>
      </c>
      <c r="M3322" t="s">
        <v>15</v>
      </c>
    </row>
    <row r="3323" spans="1:13" x14ac:dyDescent="0.25">
      <c r="A3323">
        <v>3322</v>
      </c>
      <c r="B3323" t="s">
        <v>6655</v>
      </c>
      <c r="C3323" s="1">
        <v>37.186357554300002</v>
      </c>
      <c r="D3323" s="1">
        <v>-6.9804007994299999</v>
      </c>
      <c r="E3323" s="3">
        <v>3</v>
      </c>
      <c r="F3323" s="2">
        <v>3</v>
      </c>
      <c r="G3323" s="4">
        <v>4</v>
      </c>
      <c r="H3323" s="13"/>
      <c r="I3323" s="15"/>
      <c r="J3323" s="19">
        <v>3</v>
      </c>
      <c r="K3323" s="2" t="s">
        <v>6656</v>
      </c>
      <c r="L3323" s="11" t="str">
        <f t="shared" si="53"/>
        <v>Ver Imagen</v>
      </c>
      <c r="M3323" t="s">
        <v>15</v>
      </c>
    </row>
    <row r="3324" spans="1:13" x14ac:dyDescent="0.25">
      <c r="A3324">
        <v>3323</v>
      </c>
      <c r="B3324" t="s">
        <v>6657</v>
      </c>
      <c r="C3324" s="1">
        <v>37.267607136000002</v>
      </c>
      <c r="D3324" s="1">
        <v>-6.9625251397900003</v>
      </c>
      <c r="E3324" s="3">
        <v>3</v>
      </c>
      <c r="F3324" s="2">
        <v>3</v>
      </c>
      <c r="G3324" s="4">
        <v>4</v>
      </c>
      <c r="H3324" s="13"/>
      <c r="I3324" s="15"/>
      <c r="J3324" s="19">
        <v>3</v>
      </c>
      <c r="K3324" s="2" t="s">
        <v>6658</v>
      </c>
      <c r="L3324" s="11" t="str">
        <f t="shared" si="53"/>
        <v>Ver Imagen</v>
      </c>
      <c r="M3324" t="s">
        <v>15</v>
      </c>
    </row>
    <row r="3325" spans="1:13" x14ac:dyDescent="0.25">
      <c r="A3325">
        <v>3324</v>
      </c>
      <c r="B3325" t="s">
        <v>6659</v>
      </c>
      <c r="C3325" s="1">
        <v>37.267620665099997</v>
      </c>
      <c r="D3325" s="1">
        <v>-6.9630266606499998</v>
      </c>
      <c r="E3325" s="3">
        <v>4</v>
      </c>
      <c r="F3325" s="2">
        <v>3</v>
      </c>
      <c r="G3325" s="4">
        <v>3</v>
      </c>
      <c r="H3325" s="13"/>
      <c r="I3325" s="15"/>
      <c r="J3325" s="19">
        <v>3</v>
      </c>
      <c r="K3325" s="2" t="s">
        <v>6660</v>
      </c>
      <c r="L3325" s="11" t="str">
        <f t="shared" si="53"/>
        <v>Ver Imagen</v>
      </c>
      <c r="M3325" t="s">
        <v>15</v>
      </c>
    </row>
    <row r="3326" spans="1:13" x14ac:dyDescent="0.25">
      <c r="A3326">
        <v>3325</v>
      </c>
      <c r="B3326" t="s">
        <v>6661</v>
      </c>
      <c r="C3326" s="1">
        <v>37.267642413200001</v>
      </c>
      <c r="D3326" s="1">
        <v>-6.9638071886999997</v>
      </c>
      <c r="E3326" s="3">
        <v>2</v>
      </c>
      <c r="F3326" s="2">
        <v>3</v>
      </c>
      <c r="G3326" s="4">
        <v>3</v>
      </c>
      <c r="H3326" s="13"/>
      <c r="I3326" s="15"/>
      <c r="J3326" s="19">
        <v>3</v>
      </c>
      <c r="K3326" s="2" t="s">
        <v>6662</v>
      </c>
      <c r="L3326" s="11" t="str">
        <f t="shared" si="53"/>
        <v>Ver Imagen</v>
      </c>
      <c r="M3326" t="s">
        <v>15</v>
      </c>
    </row>
    <row r="3327" spans="1:13" x14ac:dyDescent="0.25">
      <c r="A3327">
        <v>3326</v>
      </c>
      <c r="B3327" t="s">
        <v>6663</v>
      </c>
      <c r="C3327" s="1">
        <v>37.267685955600001</v>
      </c>
      <c r="D3327" s="1">
        <v>-6.9655613703799997</v>
      </c>
      <c r="E3327" s="3">
        <v>4</v>
      </c>
      <c r="F3327" s="2">
        <v>3</v>
      </c>
      <c r="G3327" s="4">
        <v>3</v>
      </c>
      <c r="H3327" s="13"/>
      <c r="I3327" s="15"/>
      <c r="J3327" s="19">
        <v>3</v>
      </c>
      <c r="K3327" s="2" t="s">
        <v>6664</v>
      </c>
      <c r="L3327" s="11" t="str">
        <f t="shared" si="53"/>
        <v>Ver Imagen</v>
      </c>
      <c r="M3327" t="s">
        <v>15</v>
      </c>
    </row>
    <row r="3328" spans="1:13" x14ac:dyDescent="0.25">
      <c r="A3328">
        <v>3327</v>
      </c>
      <c r="B3328" t="s">
        <v>6665</v>
      </c>
      <c r="C3328" s="1">
        <v>37.267706553700002</v>
      </c>
      <c r="D3328" s="1">
        <v>-6.9660915731099999</v>
      </c>
      <c r="E3328" s="3">
        <v>4</v>
      </c>
      <c r="F3328" s="2">
        <v>3</v>
      </c>
      <c r="G3328" s="4">
        <v>3</v>
      </c>
      <c r="H3328" s="13"/>
      <c r="I3328" s="15"/>
      <c r="J3328" s="19">
        <v>3</v>
      </c>
      <c r="K3328" s="2" t="s">
        <v>6666</v>
      </c>
      <c r="L3328" s="11" t="str">
        <f t="shared" si="53"/>
        <v>Ver Imagen</v>
      </c>
      <c r="M3328" t="s">
        <v>15</v>
      </c>
    </row>
    <row r="3329" spans="1:13" x14ac:dyDescent="0.25">
      <c r="A3329">
        <v>3328</v>
      </c>
      <c r="B3329" t="s">
        <v>6667</v>
      </c>
      <c r="C3329" s="1">
        <v>37.267718929600001</v>
      </c>
      <c r="D3329" s="1">
        <v>-6.9663604016500003</v>
      </c>
      <c r="E3329" s="3">
        <v>4</v>
      </c>
      <c r="F3329" s="2">
        <v>3</v>
      </c>
      <c r="G3329" s="4">
        <v>3</v>
      </c>
      <c r="H3329" s="13"/>
      <c r="I3329" s="15"/>
      <c r="J3329" s="19">
        <v>3</v>
      </c>
      <c r="K3329" s="2" t="s">
        <v>6668</v>
      </c>
      <c r="L3329" s="11" t="str">
        <f t="shared" si="53"/>
        <v>Ver Imagen</v>
      </c>
      <c r="M3329" t="s">
        <v>15</v>
      </c>
    </row>
    <row r="3330" spans="1:13" x14ac:dyDescent="0.25">
      <c r="A3330">
        <v>3329</v>
      </c>
      <c r="B3330" t="s">
        <v>6669</v>
      </c>
      <c r="C3330" s="1">
        <v>37.267760822500001</v>
      </c>
      <c r="D3330" s="1">
        <v>-6.9671315624899997</v>
      </c>
      <c r="E3330" s="3">
        <v>4</v>
      </c>
      <c r="F3330" s="2">
        <v>3</v>
      </c>
      <c r="G3330" s="4">
        <v>3</v>
      </c>
      <c r="H3330" s="13"/>
      <c r="I3330" s="15"/>
      <c r="J3330" s="19">
        <v>3</v>
      </c>
      <c r="K3330" s="2" t="s">
        <v>6670</v>
      </c>
      <c r="L3330" s="11" t="str">
        <f t="shared" si="53"/>
        <v>Ver Imagen</v>
      </c>
      <c r="M3330" t="s">
        <v>15</v>
      </c>
    </row>
    <row r="3331" spans="1:13" x14ac:dyDescent="0.25">
      <c r="A3331">
        <v>3330</v>
      </c>
      <c r="B3331" t="s">
        <v>6671</v>
      </c>
      <c r="C3331" s="1">
        <v>37.267777197299999</v>
      </c>
      <c r="D3331" s="1">
        <v>-6.9673853233600003</v>
      </c>
      <c r="E3331" s="3">
        <v>4</v>
      </c>
      <c r="F3331" s="2">
        <v>3</v>
      </c>
      <c r="G3331" s="4">
        <v>3</v>
      </c>
      <c r="H3331" s="13"/>
      <c r="I3331" s="15"/>
      <c r="J3331" s="19">
        <v>3</v>
      </c>
      <c r="K3331" s="2" t="s">
        <v>6672</v>
      </c>
      <c r="L3331" s="11" t="str">
        <f t="shared" si="53"/>
        <v>Ver Imagen</v>
      </c>
      <c r="M3331" t="s">
        <v>15</v>
      </c>
    </row>
    <row r="3332" spans="1:13" x14ac:dyDescent="0.25">
      <c r="A3332">
        <v>3331</v>
      </c>
      <c r="B3332" t="s">
        <v>6673</v>
      </c>
      <c r="C3332" s="1">
        <v>37.267790315900001</v>
      </c>
      <c r="D3332" s="1">
        <v>-6.9675738089000001</v>
      </c>
      <c r="E3332" s="3">
        <v>4</v>
      </c>
      <c r="F3332" s="2">
        <v>3</v>
      </c>
      <c r="G3332" s="4">
        <v>3</v>
      </c>
      <c r="H3332" s="13"/>
      <c r="I3332" s="15"/>
      <c r="J3332" s="19">
        <v>3</v>
      </c>
      <c r="K3332" s="2" t="s">
        <v>6674</v>
      </c>
      <c r="L3332" s="11" t="str">
        <f t="shared" si="53"/>
        <v>Ver Imagen</v>
      </c>
      <c r="M3332" t="s">
        <v>15</v>
      </c>
    </row>
    <row r="3333" spans="1:13" x14ac:dyDescent="0.25">
      <c r="A3333">
        <v>3332</v>
      </c>
      <c r="B3333" t="s">
        <v>6675</v>
      </c>
      <c r="C3333" s="1">
        <v>37.267884297400002</v>
      </c>
      <c r="D3333" s="1">
        <v>-6.9686450340199997</v>
      </c>
      <c r="E3333" s="3">
        <v>4</v>
      </c>
      <c r="F3333" s="2">
        <v>3</v>
      </c>
      <c r="G3333" s="4">
        <v>3</v>
      </c>
      <c r="H3333" s="13"/>
      <c r="I3333" s="15"/>
      <c r="J3333" s="19">
        <v>3</v>
      </c>
      <c r="K3333" s="2" t="s">
        <v>6676</v>
      </c>
      <c r="L3333" s="11" t="str">
        <f t="shared" si="53"/>
        <v>Ver Imagen</v>
      </c>
      <c r="M3333" t="s">
        <v>15</v>
      </c>
    </row>
    <row r="3334" spans="1:13" x14ac:dyDescent="0.25">
      <c r="A3334">
        <v>3333</v>
      </c>
      <c r="B3334" t="s">
        <v>6677</v>
      </c>
      <c r="C3334" s="1">
        <v>37.267930733100002</v>
      </c>
      <c r="D3334" s="1">
        <v>-6.9691336885900004</v>
      </c>
      <c r="E3334" s="3">
        <v>4</v>
      </c>
      <c r="F3334" s="2">
        <v>3</v>
      </c>
      <c r="G3334" s="4">
        <v>3</v>
      </c>
      <c r="H3334" s="13"/>
      <c r="I3334" s="15"/>
      <c r="J3334" s="19">
        <v>3</v>
      </c>
      <c r="K3334" s="2" t="s">
        <v>6678</v>
      </c>
      <c r="L3334" s="11" t="str">
        <f t="shared" si="53"/>
        <v>Ver Imagen</v>
      </c>
      <c r="M3334" t="s">
        <v>15</v>
      </c>
    </row>
    <row r="3335" spans="1:13" x14ac:dyDescent="0.25">
      <c r="A3335">
        <v>3334</v>
      </c>
      <c r="B3335" t="s">
        <v>6679</v>
      </c>
      <c r="C3335" s="1">
        <v>37.267958054700003</v>
      </c>
      <c r="D3335" s="1">
        <v>-6.9693953784999998</v>
      </c>
      <c r="E3335" s="3">
        <v>4</v>
      </c>
      <c r="F3335" s="2">
        <v>3</v>
      </c>
      <c r="G3335" s="4">
        <v>3</v>
      </c>
      <c r="H3335" s="13"/>
      <c r="I3335" s="15"/>
      <c r="J3335" s="19">
        <v>3</v>
      </c>
      <c r="K3335" s="2" t="s">
        <v>6680</v>
      </c>
      <c r="L3335" s="11" t="str">
        <f t="shared" si="53"/>
        <v>Ver Imagen</v>
      </c>
      <c r="M3335" t="s">
        <v>15</v>
      </c>
    </row>
    <row r="3336" spans="1:13" x14ac:dyDescent="0.25">
      <c r="A3336">
        <v>3335</v>
      </c>
      <c r="B3336" t="s">
        <v>6681</v>
      </c>
      <c r="C3336" s="1">
        <v>37.268105958500001</v>
      </c>
      <c r="D3336" s="1">
        <v>-6.9706401742399997</v>
      </c>
      <c r="E3336" s="3">
        <v>2</v>
      </c>
      <c r="F3336" s="2">
        <v>3</v>
      </c>
      <c r="G3336" s="4">
        <v>3</v>
      </c>
      <c r="H3336" s="13"/>
      <c r="I3336" s="15"/>
      <c r="J3336" s="19">
        <v>3</v>
      </c>
      <c r="K3336" s="2" t="s">
        <v>6682</v>
      </c>
      <c r="L3336" s="11" t="str">
        <f t="shared" si="53"/>
        <v>Ver Imagen</v>
      </c>
      <c r="M3336" t="s">
        <v>15</v>
      </c>
    </row>
    <row r="3337" spans="1:13" x14ac:dyDescent="0.25">
      <c r="A3337">
        <v>3336</v>
      </c>
      <c r="B3337" t="s">
        <v>6683</v>
      </c>
      <c r="C3337" s="1">
        <v>37.268288927</v>
      </c>
      <c r="D3337" s="1">
        <v>-6.9718896384200004</v>
      </c>
      <c r="E3337" s="3">
        <v>3</v>
      </c>
      <c r="F3337" s="2">
        <v>3</v>
      </c>
      <c r="G3337" s="4">
        <v>2</v>
      </c>
      <c r="H3337" s="13"/>
      <c r="I3337" s="15"/>
      <c r="J3337" s="19">
        <v>3</v>
      </c>
      <c r="K3337" s="2" t="s">
        <v>6684</v>
      </c>
      <c r="L3337" s="11" t="str">
        <f t="shared" si="53"/>
        <v>Ver Imagen</v>
      </c>
      <c r="M3337" t="s">
        <v>15</v>
      </c>
    </row>
    <row r="3338" spans="1:13" x14ac:dyDescent="0.25">
      <c r="A3338">
        <v>3337</v>
      </c>
      <c r="B3338" t="s">
        <v>6685</v>
      </c>
      <c r="C3338" s="1">
        <v>37.268370393399998</v>
      </c>
      <c r="D3338" s="1">
        <v>-6.9723686273599998</v>
      </c>
      <c r="E3338" s="3">
        <v>4</v>
      </c>
      <c r="F3338" s="2">
        <v>3</v>
      </c>
      <c r="G3338" s="4">
        <v>3</v>
      </c>
      <c r="H3338" s="13"/>
      <c r="I3338" s="15"/>
      <c r="J3338" s="19">
        <v>3</v>
      </c>
      <c r="K3338" s="2" t="s">
        <v>6686</v>
      </c>
      <c r="L3338" s="11" t="str">
        <f t="shared" si="53"/>
        <v>Ver Imagen</v>
      </c>
      <c r="M3338" t="s">
        <v>15</v>
      </c>
    </row>
    <row r="3339" spans="1:13" x14ac:dyDescent="0.25">
      <c r="A3339">
        <v>3338</v>
      </c>
      <c r="B3339" t="s">
        <v>6687</v>
      </c>
      <c r="C3339" s="1">
        <v>37.268415628200003</v>
      </c>
      <c r="D3339" s="1">
        <v>-6.9726238561700002</v>
      </c>
      <c r="E3339" s="3">
        <v>3</v>
      </c>
      <c r="F3339" s="2">
        <v>3</v>
      </c>
      <c r="G3339" s="4">
        <v>2</v>
      </c>
      <c r="H3339" s="13"/>
      <c r="I3339" s="15"/>
      <c r="J3339" s="19">
        <v>3</v>
      </c>
      <c r="K3339" s="2" t="s">
        <v>6688</v>
      </c>
      <c r="L3339" s="11" t="str">
        <f t="shared" si="53"/>
        <v>Ver Imagen</v>
      </c>
      <c r="M3339" t="s">
        <v>15</v>
      </c>
    </row>
    <row r="3340" spans="1:13" x14ac:dyDescent="0.25">
      <c r="A3340">
        <v>3339</v>
      </c>
      <c r="B3340" t="s">
        <v>6689</v>
      </c>
      <c r="C3340" s="1">
        <v>37.268512202300002</v>
      </c>
      <c r="D3340" s="1">
        <v>-6.9731424298600002</v>
      </c>
      <c r="E3340" s="3">
        <v>4</v>
      </c>
      <c r="F3340" s="2">
        <v>3</v>
      </c>
      <c r="G3340" s="4">
        <v>3</v>
      </c>
      <c r="H3340" s="13"/>
      <c r="I3340" s="15"/>
      <c r="J3340" s="19">
        <v>3</v>
      </c>
      <c r="K3340" s="2" t="s">
        <v>6690</v>
      </c>
      <c r="L3340" s="11" t="str">
        <f t="shared" si="53"/>
        <v>Ver Imagen</v>
      </c>
      <c r="M3340" t="s">
        <v>15</v>
      </c>
    </row>
    <row r="3341" spans="1:13" x14ac:dyDescent="0.25">
      <c r="A3341">
        <v>3340</v>
      </c>
      <c r="B3341" t="s">
        <v>6691</v>
      </c>
      <c r="C3341" s="1">
        <v>37.2685523747</v>
      </c>
      <c r="D3341" s="1">
        <v>-6.9733502559999998</v>
      </c>
      <c r="E3341" s="3">
        <v>2</v>
      </c>
      <c r="F3341" s="2">
        <v>3</v>
      </c>
      <c r="G3341" s="4">
        <v>3</v>
      </c>
      <c r="H3341" s="13"/>
      <c r="I3341" s="15"/>
      <c r="J3341" s="19">
        <v>3</v>
      </c>
      <c r="K3341" s="2" t="s">
        <v>6692</v>
      </c>
      <c r="L3341" s="11" t="str">
        <f t="shared" si="53"/>
        <v>Ver Imagen</v>
      </c>
      <c r="M3341" t="s">
        <v>15</v>
      </c>
    </row>
    <row r="3342" spans="1:13" x14ac:dyDescent="0.25">
      <c r="A3342">
        <v>3341</v>
      </c>
      <c r="B3342" t="s">
        <v>6693</v>
      </c>
      <c r="C3342" s="1">
        <v>37.269092229500004</v>
      </c>
      <c r="D3342" s="1">
        <v>-6.9757886573199999</v>
      </c>
      <c r="E3342" s="3">
        <v>4</v>
      </c>
      <c r="F3342" s="2">
        <v>3</v>
      </c>
      <c r="G3342" s="4">
        <v>3</v>
      </c>
      <c r="H3342" s="13"/>
      <c r="I3342" s="15"/>
      <c r="J3342" s="19">
        <v>3</v>
      </c>
      <c r="K3342" s="2" t="s">
        <v>6694</v>
      </c>
      <c r="L3342" s="11" t="str">
        <f t="shared" si="53"/>
        <v>Ver Imagen</v>
      </c>
      <c r="M3342" t="s">
        <v>15</v>
      </c>
    </row>
    <row r="3343" spans="1:13" x14ac:dyDescent="0.25">
      <c r="A3343">
        <v>3342</v>
      </c>
      <c r="B3343" t="s">
        <v>6695</v>
      </c>
      <c r="C3343" s="1">
        <v>37.269158217899999</v>
      </c>
      <c r="D3343" s="1">
        <v>-6.9760458727100003</v>
      </c>
      <c r="E3343" s="3">
        <v>4</v>
      </c>
      <c r="F3343" s="2">
        <v>3</v>
      </c>
      <c r="G3343" s="4">
        <v>3</v>
      </c>
      <c r="H3343" s="13"/>
      <c r="I3343" s="15"/>
      <c r="J3343" s="19">
        <v>3</v>
      </c>
      <c r="K3343" s="2" t="s">
        <v>6696</v>
      </c>
      <c r="L3343" s="11" t="str">
        <f t="shared" si="53"/>
        <v>Ver Imagen</v>
      </c>
      <c r="M3343" t="s">
        <v>15</v>
      </c>
    </row>
    <row r="3344" spans="1:13" x14ac:dyDescent="0.25">
      <c r="A3344">
        <v>3343</v>
      </c>
      <c r="B3344" t="s">
        <v>6697</v>
      </c>
      <c r="C3344" s="1">
        <v>37.269219509800003</v>
      </c>
      <c r="D3344" s="1">
        <v>-6.9762806148100003</v>
      </c>
      <c r="E3344" s="3">
        <v>4</v>
      </c>
      <c r="F3344" s="2">
        <v>3</v>
      </c>
      <c r="G3344" s="4">
        <v>3</v>
      </c>
      <c r="H3344" s="13"/>
      <c r="I3344" s="15"/>
      <c r="J3344" s="19">
        <v>3</v>
      </c>
      <c r="K3344" s="2" t="s">
        <v>6698</v>
      </c>
      <c r="L3344" s="11" t="str">
        <f t="shared" si="53"/>
        <v>Ver Imagen</v>
      </c>
      <c r="M3344" t="s">
        <v>15</v>
      </c>
    </row>
    <row r="3345" spans="1:13" x14ac:dyDescent="0.25">
      <c r="A3345">
        <v>3344</v>
      </c>
      <c r="B3345" t="s">
        <v>6699</v>
      </c>
      <c r="C3345" s="1">
        <v>37.269478402200001</v>
      </c>
      <c r="D3345" s="1">
        <v>-6.9772142061300002</v>
      </c>
      <c r="E3345" s="3">
        <v>2</v>
      </c>
      <c r="F3345" s="2">
        <v>3</v>
      </c>
      <c r="G3345" s="4">
        <v>3</v>
      </c>
      <c r="H3345" s="13"/>
      <c r="I3345" s="15"/>
      <c r="J3345" s="19">
        <v>3</v>
      </c>
      <c r="K3345" s="2" t="s">
        <v>6700</v>
      </c>
      <c r="L3345" s="11" t="str">
        <f t="shared" si="53"/>
        <v>Ver Imagen</v>
      </c>
      <c r="M3345" t="s">
        <v>15</v>
      </c>
    </row>
    <row r="3346" spans="1:13" x14ac:dyDescent="0.25">
      <c r="A3346">
        <v>3345</v>
      </c>
      <c r="B3346" t="s">
        <v>6701</v>
      </c>
      <c r="C3346" s="1">
        <v>37.269894857300002</v>
      </c>
      <c r="D3346" s="1">
        <v>-6.9786772808600004</v>
      </c>
      <c r="E3346" s="3">
        <v>4</v>
      </c>
      <c r="F3346" s="2">
        <v>3</v>
      </c>
      <c r="G3346" s="4">
        <v>3</v>
      </c>
      <c r="H3346" s="13"/>
      <c r="I3346" s="15"/>
      <c r="J3346" s="19">
        <v>3</v>
      </c>
      <c r="K3346" s="2" t="s">
        <v>6702</v>
      </c>
      <c r="L3346" s="11" t="str">
        <f t="shared" si="53"/>
        <v>Ver Imagen</v>
      </c>
      <c r="M3346" t="s">
        <v>15</v>
      </c>
    </row>
    <row r="3347" spans="1:13" x14ac:dyDescent="0.25">
      <c r="A3347">
        <v>3346</v>
      </c>
      <c r="B3347" t="s">
        <v>6703</v>
      </c>
      <c r="C3347" s="1">
        <v>37.270036315500001</v>
      </c>
      <c r="D3347" s="1">
        <v>-6.97916846704</v>
      </c>
      <c r="E3347" s="3">
        <v>4</v>
      </c>
      <c r="F3347" s="2">
        <v>3</v>
      </c>
      <c r="G3347" s="4">
        <v>3</v>
      </c>
      <c r="H3347" s="13"/>
      <c r="I3347" s="15"/>
      <c r="J3347" s="19">
        <v>3</v>
      </c>
      <c r="K3347" s="2" t="s">
        <v>6704</v>
      </c>
      <c r="L3347" s="11" t="str">
        <f t="shared" si="53"/>
        <v>Ver Imagen</v>
      </c>
      <c r="M3347" t="s">
        <v>15</v>
      </c>
    </row>
    <row r="3348" spans="1:13" x14ac:dyDescent="0.25">
      <c r="A3348">
        <v>3347</v>
      </c>
      <c r="B3348" t="s">
        <v>6705</v>
      </c>
      <c r="C3348" s="1">
        <v>37.2700979719</v>
      </c>
      <c r="D3348" s="1">
        <v>-6.9793829608099998</v>
      </c>
      <c r="E3348" s="3">
        <v>4</v>
      </c>
      <c r="F3348" s="2">
        <v>3</v>
      </c>
      <c r="G3348" s="4">
        <v>3</v>
      </c>
      <c r="H3348" s="13"/>
      <c r="I3348" s="15"/>
      <c r="J3348" s="19">
        <v>3</v>
      </c>
      <c r="K3348" s="2" t="s">
        <v>6706</v>
      </c>
      <c r="L3348" s="11" t="str">
        <f t="shared" si="53"/>
        <v>Ver Imagen</v>
      </c>
      <c r="M3348" t="s">
        <v>15</v>
      </c>
    </row>
    <row r="3349" spans="1:13" x14ac:dyDescent="0.25">
      <c r="A3349">
        <v>3348</v>
      </c>
      <c r="B3349" t="s">
        <v>6707</v>
      </c>
      <c r="C3349" s="1">
        <v>37.270163306800001</v>
      </c>
      <c r="D3349" s="1">
        <v>-6.9796109525299999</v>
      </c>
      <c r="E3349" s="3">
        <v>4</v>
      </c>
      <c r="F3349" s="2">
        <v>3</v>
      </c>
      <c r="G3349" s="4">
        <v>3</v>
      </c>
      <c r="H3349" s="13"/>
      <c r="I3349" s="15"/>
      <c r="J3349" s="19">
        <v>3</v>
      </c>
      <c r="K3349" s="2" t="s">
        <v>6708</v>
      </c>
      <c r="L3349" s="11" t="str">
        <f t="shared" si="53"/>
        <v>Ver Imagen</v>
      </c>
      <c r="M3349" t="s">
        <v>15</v>
      </c>
    </row>
    <row r="3350" spans="1:13" x14ac:dyDescent="0.25">
      <c r="A3350">
        <v>3349</v>
      </c>
      <c r="B3350" t="s">
        <v>6709</v>
      </c>
      <c r="C3350" s="1">
        <v>37.2709260771</v>
      </c>
      <c r="D3350" s="1">
        <v>-6.9822595443199997</v>
      </c>
      <c r="E3350" s="3">
        <v>2</v>
      </c>
      <c r="F3350" s="2">
        <v>3</v>
      </c>
      <c r="G3350" s="4">
        <v>3</v>
      </c>
      <c r="H3350" s="13"/>
      <c r="I3350" s="15"/>
      <c r="J3350" s="19">
        <v>3</v>
      </c>
      <c r="K3350" s="2" t="s">
        <v>6710</v>
      </c>
      <c r="L3350" s="11" t="str">
        <f t="shared" si="53"/>
        <v>Ver Imagen</v>
      </c>
      <c r="M3350" t="s">
        <v>15</v>
      </c>
    </row>
    <row r="3351" spans="1:13" x14ac:dyDescent="0.25">
      <c r="A3351">
        <v>3350</v>
      </c>
      <c r="B3351" t="s">
        <v>6711</v>
      </c>
      <c r="C3351" s="1">
        <v>37.271063947000002</v>
      </c>
      <c r="D3351" s="1">
        <v>-6.9827385261400003</v>
      </c>
      <c r="E3351" s="3">
        <v>3</v>
      </c>
      <c r="F3351" s="2">
        <v>3</v>
      </c>
      <c r="G3351" s="4">
        <v>4</v>
      </c>
      <c r="H3351" s="13"/>
      <c r="I3351" s="15"/>
      <c r="J3351" s="19">
        <v>3</v>
      </c>
      <c r="K3351" s="2" t="s">
        <v>6712</v>
      </c>
      <c r="L3351" s="11" t="str">
        <f t="shared" si="53"/>
        <v>Ver Imagen</v>
      </c>
      <c r="M3351" t="s">
        <v>15</v>
      </c>
    </row>
    <row r="3352" spans="1:13" x14ac:dyDescent="0.25">
      <c r="A3352">
        <v>3351</v>
      </c>
      <c r="B3352" t="s">
        <v>6713</v>
      </c>
      <c r="C3352" s="1">
        <v>37.271127952599997</v>
      </c>
      <c r="D3352" s="1">
        <v>-6.9829598600800002</v>
      </c>
      <c r="E3352" s="3">
        <v>4</v>
      </c>
      <c r="F3352" s="2">
        <v>3</v>
      </c>
      <c r="G3352" s="4">
        <v>3</v>
      </c>
      <c r="H3352" s="13"/>
      <c r="I3352" s="15"/>
      <c r="J3352" s="19">
        <v>3</v>
      </c>
      <c r="K3352" s="2" t="s">
        <v>6714</v>
      </c>
      <c r="L3352" s="11" t="str">
        <f t="shared" si="53"/>
        <v>Ver Imagen</v>
      </c>
      <c r="M3352" t="s">
        <v>15</v>
      </c>
    </row>
    <row r="3353" spans="1:13" x14ac:dyDescent="0.25">
      <c r="A3353">
        <v>3352</v>
      </c>
      <c r="B3353" t="s">
        <v>6715</v>
      </c>
      <c r="C3353" s="1">
        <v>37.271476575199998</v>
      </c>
      <c r="D3353" s="1">
        <v>-6.9841784343500004</v>
      </c>
      <c r="E3353" s="3">
        <v>3</v>
      </c>
      <c r="F3353" s="2">
        <v>3</v>
      </c>
      <c r="G3353" s="4">
        <v>2</v>
      </c>
      <c r="H3353" s="13"/>
      <c r="I3353" s="15"/>
      <c r="J3353" s="19">
        <v>3</v>
      </c>
      <c r="K3353" s="2" t="s">
        <v>6716</v>
      </c>
      <c r="L3353" s="11" t="str">
        <f t="shared" si="53"/>
        <v>Ver Imagen</v>
      </c>
      <c r="M3353" t="s">
        <v>15</v>
      </c>
    </row>
    <row r="3354" spans="1:13" x14ac:dyDescent="0.25">
      <c r="A3354">
        <v>3353</v>
      </c>
      <c r="B3354" t="s">
        <v>6717</v>
      </c>
      <c r="C3354" s="1">
        <v>37.271540664200003</v>
      </c>
      <c r="D3354" s="1">
        <v>-6.9844175250899996</v>
      </c>
      <c r="E3354" s="3">
        <v>3</v>
      </c>
      <c r="F3354" s="2">
        <v>3</v>
      </c>
      <c r="G3354" s="4">
        <v>2</v>
      </c>
      <c r="H3354" s="13"/>
      <c r="I3354" s="15"/>
      <c r="J3354" s="19">
        <v>3</v>
      </c>
      <c r="K3354" s="2" t="s">
        <v>6718</v>
      </c>
      <c r="L3354" s="11" t="str">
        <f t="shared" si="53"/>
        <v>Ver Imagen</v>
      </c>
      <c r="M3354" t="s">
        <v>15</v>
      </c>
    </row>
    <row r="3355" spans="1:13" x14ac:dyDescent="0.25">
      <c r="A3355">
        <v>3354</v>
      </c>
      <c r="B3355" t="s">
        <v>6719</v>
      </c>
      <c r="C3355" s="1">
        <v>37.271709819999998</v>
      </c>
      <c r="D3355" s="1">
        <v>-6.9851247164199997</v>
      </c>
      <c r="E3355" s="3">
        <v>3</v>
      </c>
      <c r="F3355" s="2">
        <v>3</v>
      </c>
      <c r="G3355" s="4">
        <v>2</v>
      </c>
      <c r="H3355" s="13"/>
      <c r="I3355" s="15"/>
      <c r="J3355" s="19">
        <v>3</v>
      </c>
      <c r="K3355" s="2" t="s">
        <v>6720</v>
      </c>
      <c r="L3355" s="11" t="str">
        <f t="shared" si="53"/>
        <v>Ver Imagen</v>
      </c>
      <c r="M3355" t="s">
        <v>15</v>
      </c>
    </row>
    <row r="3356" spans="1:13" x14ac:dyDescent="0.25">
      <c r="A3356">
        <v>3355</v>
      </c>
      <c r="B3356" t="s">
        <v>6721</v>
      </c>
      <c r="C3356" s="1">
        <v>37.271759960600001</v>
      </c>
      <c r="D3356" s="1">
        <v>-6.9853855917400001</v>
      </c>
      <c r="E3356" s="3">
        <v>3</v>
      </c>
      <c r="F3356" s="2">
        <v>3</v>
      </c>
      <c r="G3356" s="4">
        <v>2</v>
      </c>
      <c r="H3356" s="13"/>
      <c r="I3356" s="15"/>
      <c r="J3356" s="19">
        <v>3</v>
      </c>
      <c r="K3356" s="2" t="s">
        <v>6722</v>
      </c>
      <c r="L3356" s="11" t="str">
        <f t="shared" si="53"/>
        <v>Ver Imagen</v>
      </c>
      <c r="M3356" t="s">
        <v>15</v>
      </c>
    </row>
    <row r="3357" spans="1:13" x14ac:dyDescent="0.25">
      <c r="A3357">
        <v>3356</v>
      </c>
      <c r="B3357" t="s">
        <v>6723</v>
      </c>
      <c r="C3357" s="1">
        <v>37.271849381199999</v>
      </c>
      <c r="D3357" s="1">
        <v>-6.9861451366100003</v>
      </c>
      <c r="E3357" s="3">
        <v>2</v>
      </c>
      <c r="F3357" s="2">
        <v>3</v>
      </c>
      <c r="G3357" s="4">
        <v>3</v>
      </c>
      <c r="H3357" s="13"/>
      <c r="I3357" s="15"/>
      <c r="J3357" s="19">
        <v>3</v>
      </c>
      <c r="K3357" s="2" t="s">
        <v>6724</v>
      </c>
      <c r="L3357" s="11" t="str">
        <f t="shared" si="53"/>
        <v>Ver Imagen</v>
      </c>
      <c r="M3357" t="s">
        <v>15</v>
      </c>
    </row>
    <row r="3358" spans="1:13" x14ac:dyDescent="0.25">
      <c r="A3358">
        <v>3357</v>
      </c>
      <c r="B3358" t="s">
        <v>6725</v>
      </c>
      <c r="C3358" s="1">
        <v>37.271847565100003</v>
      </c>
      <c r="D3358" s="1">
        <v>-6.9866712406999998</v>
      </c>
      <c r="E3358" s="3">
        <v>3</v>
      </c>
      <c r="F3358" s="2">
        <v>3</v>
      </c>
      <c r="G3358" s="4">
        <v>2</v>
      </c>
      <c r="H3358" s="13"/>
      <c r="I3358" s="15"/>
      <c r="J3358" s="19">
        <v>3</v>
      </c>
      <c r="K3358" s="2" t="s">
        <v>6726</v>
      </c>
      <c r="L3358" s="11" t="str">
        <f t="shared" si="53"/>
        <v>Ver Imagen</v>
      </c>
      <c r="M3358" t="s">
        <v>15</v>
      </c>
    </row>
    <row r="3359" spans="1:13" x14ac:dyDescent="0.25">
      <c r="A3359">
        <v>3358</v>
      </c>
      <c r="B3359" t="s">
        <v>6727</v>
      </c>
      <c r="C3359" s="1">
        <v>37.269953748399999</v>
      </c>
      <c r="D3359" s="1">
        <v>-6.9896785456200003</v>
      </c>
      <c r="E3359" s="3">
        <v>2</v>
      </c>
      <c r="F3359" s="2">
        <v>3</v>
      </c>
      <c r="G3359" s="4">
        <v>3</v>
      </c>
      <c r="H3359" s="13"/>
      <c r="I3359" s="15"/>
      <c r="J3359" s="19">
        <v>3</v>
      </c>
      <c r="K3359" s="2" t="s">
        <v>6728</v>
      </c>
      <c r="L3359" s="11" t="str">
        <f t="shared" si="53"/>
        <v>Ver Imagen</v>
      </c>
      <c r="M3359" t="s">
        <v>15</v>
      </c>
    </row>
    <row r="3360" spans="1:13" x14ac:dyDescent="0.25">
      <c r="A3360">
        <v>3359</v>
      </c>
      <c r="B3360" t="s">
        <v>6729</v>
      </c>
      <c r="C3360" s="1">
        <v>37.269764327799997</v>
      </c>
      <c r="D3360" s="1">
        <v>-6.9898107015499997</v>
      </c>
      <c r="E3360" s="3">
        <v>2</v>
      </c>
      <c r="F3360" s="2">
        <v>3</v>
      </c>
      <c r="G3360" s="4">
        <v>3</v>
      </c>
      <c r="H3360" s="13"/>
      <c r="I3360" s="15"/>
      <c r="J3360" s="19">
        <v>3</v>
      </c>
      <c r="K3360" s="2" t="s">
        <v>6730</v>
      </c>
      <c r="L3360" s="11" t="str">
        <f t="shared" si="53"/>
        <v>Ver Imagen</v>
      </c>
      <c r="M3360" t="s">
        <v>15</v>
      </c>
    </row>
    <row r="3361" spans="1:13" x14ac:dyDescent="0.25">
      <c r="A3361">
        <v>3360</v>
      </c>
      <c r="B3361" t="s">
        <v>6731</v>
      </c>
      <c r="C3361" s="1">
        <v>37.2694114942</v>
      </c>
      <c r="D3361" s="1">
        <v>-6.9900588904200003</v>
      </c>
      <c r="E3361" s="3">
        <v>2</v>
      </c>
      <c r="F3361" s="2">
        <v>3</v>
      </c>
      <c r="G3361" s="4">
        <v>3</v>
      </c>
      <c r="H3361" s="13"/>
      <c r="I3361" s="15"/>
      <c r="J3361" s="19">
        <v>3</v>
      </c>
      <c r="K3361" s="2" t="s">
        <v>6732</v>
      </c>
      <c r="L3361" s="11" t="str">
        <f t="shared" si="53"/>
        <v>Ver Imagen</v>
      </c>
      <c r="M3361" t="s">
        <v>15</v>
      </c>
    </row>
    <row r="3362" spans="1:13" x14ac:dyDescent="0.25">
      <c r="A3362">
        <v>3361</v>
      </c>
      <c r="B3362" t="s">
        <v>6733</v>
      </c>
      <c r="C3362" s="1">
        <v>37.269069610000003</v>
      </c>
      <c r="D3362" s="1">
        <v>-6.9903030632899998</v>
      </c>
      <c r="E3362" s="3">
        <v>3</v>
      </c>
      <c r="F3362" s="2">
        <v>3</v>
      </c>
      <c r="G3362" s="4">
        <v>2</v>
      </c>
      <c r="H3362" s="13"/>
      <c r="I3362" s="15"/>
      <c r="J3362" s="19">
        <v>3</v>
      </c>
      <c r="K3362" s="2" t="s">
        <v>6734</v>
      </c>
      <c r="L3362" s="11" t="str">
        <f t="shared" si="53"/>
        <v>Ver Imagen</v>
      </c>
      <c r="M3362" t="s">
        <v>15</v>
      </c>
    </row>
    <row r="3363" spans="1:13" x14ac:dyDescent="0.25">
      <c r="A3363">
        <v>3362</v>
      </c>
      <c r="B3363" t="s">
        <v>6735</v>
      </c>
      <c r="C3363" s="1">
        <v>37.267820947799997</v>
      </c>
      <c r="D3363" s="1">
        <v>-6.9911829070999998</v>
      </c>
      <c r="E3363" s="3">
        <v>2</v>
      </c>
      <c r="F3363" s="2">
        <v>3</v>
      </c>
      <c r="G3363" s="4">
        <v>3</v>
      </c>
      <c r="H3363" s="13"/>
      <c r="I3363" s="15"/>
      <c r="J3363" s="19">
        <v>3</v>
      </c>
      <c r="K3363" s="2" t="s">
        <v>6736</v>
      </c>
      <c r="L3363" s="11" t="str">
        <f t="shared" si="53"/>
        <v>Ver Imagen</v>
      </c>
      <c r="M3363" t="s">
        <v>15</v>
      </c>
    </row>
    <row r="3364" spans="1:13" x14ac:dyDescent="0.25">
      <c r="A3364">
        <v>3363</v>
      </c>
      <c r="B3364" t="s">
        <v>6737</v>
      </c>
      <c r="C3364" s="1">
        <v>37.266349378199997</v>
      </c>
      <c r="D3364" s="1">
        <v>-6.9928629930800001</v>
      </c>
      <c r="E3364" s="3">
        <v>2</v>
      </c>
      <c r="F3364" s="2">
        <v>3</v>
      </c>
      <c r="G3364" s="4">
        <v>3</v>
      </c>
      <c r="H3364" s="13"/>
      <c r="I3364" s="15"/>
      <c r="J3364" s="19">
        <v>3</v>
      </c>
      <c r="K3364" s="2" t="s">
        <v>6738</v>
      </c>
      <c r="L3364" s="11" t="str">
        <f t="shared" si="53"/>
        <v>Ver Imagen</v>
      </c>
      <c r="M3364" t="s">
        <v>15</v>
      </c>
    </row>
    <row r="3365" spans="1:13" x14ac:dyDescent="0.25">
      <c r="A3365">
        <v>3364</v>
      </c>
      <c r="B3365" t="s">
        <v>6739</v>
      </c>
      <c r="C3365" s="1">
        <v>37.266246655300002</v>
      </c>
      <c r="D3365" s="1">
        <v>-6.9930714227699999</v>
      </c>
      <c r="E3365" s="3">
        <v>2</v>
      </c>
      <c r="F3365" s="2">
        <v>3</v>
      </c>
      <c r="G3365" s="4">
        <v>3</v>
      </c>
      <c r="H3365" s="13"/>
      <c r="I3365" s="15"/>
      <c r="J3365" s="19">
        <v>3</v>
      </c>
      <c r="K3365" s="2" t="s">
        <v>6740</v>
      </c>
      <c r="L3365" s="11" t="str">
        <f t="shared" si="53"/>
        <v>Ver Imagen</v>
      </c>
      <c r="M3365" t="s">
        <v>15</v>
      </c>
    </row>
    <row r="3366" spans="1:13" x14ac:dyDescent="0.25">
      <c r="A3366">
        <v>3365</v>
      </c>
      <c r="B3366" t="s">
        <v>6741</v>
      </c>
      <c r="C3366" s="1">
        <v>37.190363398400002</v>
      </c>
      <c r="D3366" s="1">
        <v>-6.9778619807200002</v>
      </c>
      <c r="E3366" s="3">
        <v>2</v>
      </c>
      <c r="F3366" s="2">
        <v>3</v>
      </c>
      <c r="G3366" s="4">
        <v>3</v>
      </c>
      <c r="H3366" s="13"/>
      <c r="I3366" s="15"/>
      <c r="J3366" s="19">
        <v>3</v>
      </c>
      <c r="K3366" s="2" t="s">
        <v>6742</v>
      </c>
      <c r="L3366" s="11" t="str">
        <f t="shared" si="53"/>
        <v>Ver Imagen</v>
      </c>
      <c r="M3366" t="s">
        <v>15</v>
      </c>
    </row>
    <row r="3367" spans="1:13" x14ac:dyDescent="0.25">
      <c r="A3367">
        <v>3366</v>
      </c>
      <c r="B3367" t="s">
        <v>6743</v>
      </c>
      <c r="C3367" s="1">
        <v>37.190606503600002</v>
      </c>
      <c r="D3367" s="1">
        <v>-6.9778006216800001</v>
      </c>
      <c r="E3367" s="3">
        <v>2</v>
      </c>
      <c r="F3367" s="2">
        <v>3</v>
      </c>
      <c r="G3367" s="4">
        <v>3</v>
      </c>
      <c r="H3367" s="13"/>
      <c r="I3367" s="15"/>
      <c r="J3367" s="19">
        <v>3</v>
      </c>
      <c r="K3367" s="2" t="s">
        <v>6744</v>
      </c>
      <c r="L3367" s="11" t="str">
        <f t="shared" si="53"/>
        <v>Ver Imagen</v>
      </c>
      <c r="M3367" t="s">
        <v>15</v>
      </c>
    </row>
    <row r="3368" spans="1:13" x14ac:dyDescent="0.25">
      <c r="A3368">
        <v>3367</v>
      </c>
      <c r="B3368" t="s">
        <v>6745</v>
      </c>
      <c r="C3368" s="1">
        <v>37.191208144000001</v>
      </c>
      <c r="D3368" s="1">
        <v>-6.9776617058600001</v>
      </c>
      <c r="E3368" s="3">
        <v>3</v>
      </c>
      <c r="F3368" s="2">
        <v>3</v>
      </c>
      <c r="G3368" s="4">
        <v>2</v>
      </c>
      <c r="H3368" s="13"/>
      <c r="I3368" s="15"/>
      <c r="J3368" s="19">
        <v>3</v>
      </c>
      <c r="K3368" s="2" t="s">
        <v>6746</v>
      </c>
      <c r="L3368" s="11" t="str">
        <f t="shared" si="53"/>
        <v>Ver Imagen</v>
      </c>
      <c r="M3368" t="s">
        <v>15</v>
      </c>
    </row>
    <row r="3369" spans="1:13" x14ac:dyDescent="0.25">
      <c r="A3369">
        <v>3368</v>
      </c>
      <c r="B3369" t="s">
        <v>6747</v>
      </c>
      <c r="C3369" s="1">
        <v>37.191763797900002</v>
      </c>
      <c r="D3369" s="1">
        <v>-6.9775622757400004</v>
      </c>
      <c r="E3369" s="3">
        <v>2</v>
      </c>
      <c r="F3369" s="2">
        <v>3</v>
      </c>
      <c r="G3369" s="4">
        <v>3</v>
      </c>
      <c r="H3369" s="13"/>
      <c r="I3369" s="15"/>
      <c r="J3369" s="19">
        <v>3</v>
      </c>
      <c r="K3369" s="2" t="s">
        <v>6748</v>
      </c>
      <c r="L3369" s="11" t="str">
        <f t="shared" ref="L3369:L3432" si="54">HYPERLINK("3\1\" &amp; K3369, "Ver Imagen")</f>
        <v>Ver Imagen</v>
      </c>
      <c r="M3369" t="s">
        <v>15</v>
      </c>
    </row>
    <row r="3370" spans="1:13" x14ac:dyDescent="0.25">
      <c r="A3370">
        <v>3369</v>
      </c>
      <c r="B3370" t="s">
        <v>6749</v>
      </c>
      <c r="C3370" s="1">
        <v>37.192772831699997</v>
      </c>
      <c r="D3370" s="1">
        <v>-6.9774729868899996</v>
      </c>
      <c r="E3370" s="3">
        <v>2</v>
      </c>
      <c r="F3370" s="2">
        <v>3</v>
      </c>
      <c r="G3370" s="4">
        <v>3</v>
      </c>
      <c r="H3370" s="13"/>
      <c r="I3370" s="15"/>
      <c r="J3370" s="19">
        <v>3</v>
      </c>
      <c r="K3370" s="2" t="s">
        <v>6750</v>
      </c>
      <c r="L3370" s="11" t="str">
        <f t="shared" si="54"/>
        <v>Ver Imagen</v>
      </c>
      <c r="M3370" t="s">
        <v>15</v>
      </c>
    </row>
    <row r="3371" spans="1:13" x14ac:dyDescent="0.25">
      <c r="A3371">
        <v>3370</v>
      </c>
      <c r="B3371" t="s">
        <v>6751</v>
      </c>
      <c r="C3371" s="1">
        <v>37.1931651855</v>
      </c>
      <c r="D3371" s="1">
        <v>-6.97747874557</v>
      </c>
      <c r="E3371" s="3">
        <v>3</v>
      </c>
      <c r="F3371" s="2">
        <v>3</v>
      </c>
      <c r="G3371" s="4">
        <v>2</v>
      </c>
      <c r="H3371" s="13"/>
      <c r="I3371" s="15"/>
      <c r="J3371" s="19">
        <v>3</v>
      </c>
      <c r="K3371" s="2" t="s">
        <v>6752</v>
      </c>
      <c r="L3371" s="11" t="str">
        <f t="shared" si="54"/>
        <v>Ver Imagen</v>
      </c>
      <c r="M3371" t="s">
        <v>15</v>
      </c>
    </row>
    <row r="3372" spans="1:13" x14ac:dyDescent="0.25">
      <c r="A3372">
        <v>3371</v>
      </c>
      <c r="B3372" t="s">
        <v>6753</v>
      </c>
      <c r="C3372" s="1">
        <v>37.193991973499998</v>
      </c>
      <c r="D3372" s="1">
        <v>-6.9775799891699997</v>
      </c>
      <c r="E3372" s="3">
        <v>3</v>
      </c>
      <c r="F3372" s="2">
        <v>3</v>
      </c>
      <c r="G3372" s="4">
        <v>4</v>
      </c>
      <c r="H3372" s="13"/>
      <c r="I3372" s="15"/>
      <c r="J3372" s="19">
        <v>3</v>
      </c>
      <c r="K3372" s="2" t="s">
        <v>6754</v>
      </c>
      <c r="L3372" s="11" t="str">
        <f t="shared" si="54"/>
        <v>Ver Imagen</v>
      </c>
      <c r="M3372" t="s">
        <v>15</v>
      </c>
    </row>
    <row r="3373" spans="1:13" x14ac:dyDescent="0.25">
      <c r="A3373">
        <v>3372</v>
      </c>
      <c r="B3373" t="s">
        <v>6755</v>
      </c>
      <c r="C3373" s="1">
        <v>37.264607929500002</v>
      </c>
      <c r="D3373" s="1">
        <v>-7.0011215058099996</v>
      </c>
      <c r="E3373" s="3">
        <v>4</v>
      </c>
      <c r="F3373" s="2">
        <v>3</v>
      </c>
      <c r="G3373" s="4">
        <v>3</v>
      </c>
      <c r="H3373" s="13"/>
      <c r="I3373" s="15"/>
      <c r="J3373" s="19">
        <v>3</v>
      </c>
      <c r="K3373" s="2" t="s">
        <v>6756</v>
      </c>
      <c r="L3373" s="11" t="str">
        <f t="shared" si="54"/>
        <v>Ver Imagen</v>
      </c>
      <c r="M3373" t="s">
        <v>15</v>
      </c>
    </row>
    <row r="3374" spans="1:13" x14ac:dyDescent="0.25">
      <c r="A3374">
        <v>3373</v>
      </c>
      <c r="B3374" t="s">
        <v>6757</v>
      </c>
      <c r="C3374" s="1">
        <v>37.264558803699998</v>
      </c>
      <c r="D3374" s="1">
        <v>-7.0013937751900004</v>
      </c>
      <c r="E3374" s="3">
        <v>3</v>
      </c>
      <c r="F3374" s="2">
        <v>3</v>
      </c>
      <c r="G3374" s="4">
        <v>2</v>
      </c>
      <c r="H3374" s="13"/>
      <c r="I3374" s="15"/>
      <c r="J3374" s="19">
        <v>3</v>
      </c>
      <c r="K3374" s="2" t="s">
        <v>6758</v>
      </c>
      <c r="L3374" s="11" t="str">
        <f t="shared" si="54"/>
        <v>Ver Imagen</v>
      </c>
      <c r="M3374" t="s">
        <v>15</v>
      </c>
    </row>
    <row r="3375" spans="1:13" x14ac:dyDescent="0.25">
      <c r="A3375">
        <v>3374</v>
      </c>
      <c r="B3375" t="s">
        <v>6759</v>
      </c>
      <c r="C3375" s="1">
        <v>37.196950375299998</v>
      </c>
      <c r="D3375" s="1">
        <v>-6.9791779205799997</v>
      </c>
      <c r="E3375" s="3">
        <v>3</v>
      </c>
      <c r="F3375" s="2">
        <v>3</v>
      </c>
      <c r="G3375" s="4">
        <v>2</v>
      </c>
      <c r="H3375" s="13"/>
      <c r="I3375" s="15"/>
      <c r="J3375" s="19">
        <v>3</v>
      </c>
      <c r="K3375" s="2" t="s">
        <v>6760</v>
      </c>
      <c r="L3375" s="11" t="str">
        <f t="shared" si="54"/>
        <v>Ver Imagen</v>
      </c>
      <c r="M3375" t="s">
        <v>15</v>
      </c>
    </row>
    <row r="3376" spans="1:13" x14ac:dyDescent="0.25">
      <c r="A3376">
        <v>3375</v>
      </c>
      <c r="B3376" t="s">
        <v>6761</v>
      </c>
      <c r="C3376" s="1">
        <v>37.264279895000001</v>
      </c>
      <c r="D3376" s="1">
        <v>-7.0029449889500004</v>
      </c>
      <c r="E3376" s="3">
        <v>2</v>
      </c>
      <c r="F3376" s="2">
        <v>3</v>
      </c>
      <c r="G3376" s="4">
        <v>3</v>
      </c>
      <c r="H3376" s="13"/>
      <c r="I3376" s="15"/>
      <c r="J3376" s="19">
        <v>3</v>
      </c>
      <c r="K3376" s="2" t="s">
        <v>6762</v>
      </c>
      <c r="L3376" s="11" t="str">
        <f t="shared" si="54"/>
        <v>Ver Imagen</v>
      </c>
      <c r="M3376" t="s">
        <v>15</v>
      </c>
    </row>
    <row r="3377" spans="1:13" x14ac:dyDescent="0.25">
      <c r="A3377">
        <v>3376</v>
      </c>
      <c r="B3377" t="s">
        <v>6763</v>
      </c>
      <c r="C3377" s="1">
        <v>37.264243085300002</v>
      </c>
      <c r="D3377" s="1">
        <v>-7.0031528592500001</v>
      </c>
      <c r="E3377" s="3">
        <v>2</v>
      </c>
      <c r="F3377" s="2">
        <v>3</v>
      </c>
      <c r="G3377" s="4">
        <v>3</v>
      </c>
      <c r="H3377" s="13"/>
      <c r="I3377" s="15"/>
      <c r="J3377" s="19">
        <v>3</v>
      </c>
      <c r="K3377" s="2" t="s">
        <v>6764</v>
      </c>
      <c r="L3377" s="11" t="str">
        <f t="shared" si="54"/>
        <v>Ver Imagen</v>
      </c>
      <c r="M3377" t="s">
        <v>15</v>
      </c>
    </row>
    <row r="3378" spans="1:13" x14ac:dyDescent="0.25">
      <c r="A3378">
        <v>3377</v>
      </c>
      <c r="B3378" t="s">
        <v>6765</v>
      </c>
      <c r="C3378" s="1">
        <v>37.264198866599997</v>
      </c>
      <c r="D3378" s="1">
        <v>-7.0034038130600003</v>
      </c>
      <c r="E3378" s="3">
        <v>2</v>
      </c>
      <c r="F3378" s="2">
        <v>3</v>
      </c>
      <c r="G3378" s="4">
        <v>3</v>
      </c>
      <c r="H3378" s="13"/>
      <c r="I3378" s="15"/>
      <c r="J3378" s="19">
        <v>3</v>
      </c>
      <c r="K3378" s="2" t="s">
        <v>6766</v>
      </c>
      <c r="L3378" s="11" t="str">
        <f t="shared" si="54"/>
        <v>Ver Imagen</v>
      </c>
      <c r="M3378" t="s">
        <v>15</v>
      </c>
    </row>
    <row r="3379" spans="1:13" x14ac:dyDescent="0.25">
      <c r="A3379">
        <v>3378</v>
      </c>
      <c r="B3379" t="s">
        <v>6767</v>
      </c>
      <c r="C3379" s="1">
        <v>37.264150559900003</v>
      </c>
      <c r="D3379" s="1">
        <v>-7.0036792870799998</v>
      </c>
      <c r="E3379" s="3">
        <v>2</v>
      </c>
      <c r="F3379" s="2">
        <v>3</v>
      </c>
      <c r="G3379" s="4">
        <v>3</v>
      </c>
      <c r="H3379" s="13"/>
      <c r="I3379" s="15"/>
      <c r="J3379" s="19">
        <v>3</v>
      </c>
      <c r="K3379" s="2" t="s">
        <v>6768</v>
      </c>
      <c r="L3379" s="11" t="str">
        <f t="shared" si="54"/>
        <v>Ver Imagen</v>
      </c>
      <c r="M3379" t="s">
        <v>15</v>
      </c>
    </row>
    <row r="3380" spans="1:13" x14ac:dyDescent="0.25">
      <c r="A3380">
        <v>3379</v>
      </c>
      <c r="B3380" t="s">
        <v>6769</v>
      </c>
      <c r="C3380" s="1">
        <v>37.264116165499999</v>
      </c>
      <c r="D3380" s="1">
        <v>-7.0038748008000002</v>
      </c>
      <c r="E3380" s="3">
        <v>2</v>
      </c>
      <c r="F3380" s="2">
        <v>3</v>
      </c>
      <c r="G3380" s="4">
        <v>3</v>
      </c>
      <c r="H3380" s="13"/>
      <c r="I3380" s="15"/>
      <c r="J3380" s="19">
        <v>3</v>
      </c>
      <c r="K3380" s="2" t="s">
        <v>6770</v>
      </c>
      <c r="L3380" s="11" t="str">
        <f t="shared" si="54"/>
        <v>Ver Imagen</v>
      </c>
      <c r="M3380" t="s">
        <v>15</v>
      </c>
    </row>
    <row r="3381" spans="1:13" x14ac:dyDescent="0.25">
      <c r="A3381">
        <v>3380</v>
      </c>
      <c r="B3381" t="s">
        <v>6771</v>
      </c>
      <c r="C3381" s="1">
        <v>37.264072568700001</v>
      </c>
      <c r="D3381" s="1">
        <v>-7.0041199273199997</v>
      </c>
      <c r="E3381" s="3">
        <v>2</v>
      </c>
      <c r="F3381" s="2">
        <v>3</v>
      </c>
      <c r="G3381" s="4">
        <v>3</v>
      </c>
      <c r="H3381" s="13"/>
      <c r="I3381" s="15"/>
      <c r="J3381" s="19">
        <v>3</v>
      </c>
      <c r="K3381" s="2" t="s">
        <v>6772</v>
      </c>
      <c r="L3381" s="11" t="str">
        <f t="shared" si="54"/>
        <v>Ver Imagen</v>
      </c>
      <c r="M3381" t="s">
        <v>15</v>
      </c>
    </row>
    <row r="3382" spans="1:13" x14ac:dyDescent="0.25">
      <c r="A3382">
        <v>3381</v>
      </c>
      <c r="B3382" t="s">
        <v>6773</v>
      </c>
      <c r="C3382" s="1">
        <v>37.264032378300001</v>
      </c>
      <c r="D3382" s="1">
        <v>-7.0043460933499997</v>
      </c>
      <c r="E3382" s="3">
        <v>4</v>
      </c>
      <c r="F3382" s="2">
        <v>3</v>
      </c>
      <c r="G3382" s="4">
        <v>3</v>
      </c>
      <c r="H3382" s="13"/>
      <c r="I3382" s="15"/>
      <c r="J3382" s="19">
        <v>3</v>
      </c>
      <c r="K3382" s="2" t="s">
        <v>6774</v>
      </c>
      <c r="L3382" s="11" t="str">
        <f t="shared" si="54"/>
        <v>Ver Imagen</v>
      </c>
      <c r="M3382" t="s">
        <v>15</v>
      </c>
    </row>
    <row r="3383" spans="1:13" x14ac:dyDescent="0.25">
      <c r="A3383">
        <v>3382</v>
      </c>
      <c r="B3383" t="s">
        <v>6775</v>
      </c>
      <c r="C3383" s="1">
        <v>37.263940630199997</v>
      </c>
      <c r="D3383" s="1">
        <v>-7.0048669244799999</v>
      </c>
      <c r="E3383" s="3">
        <v>2</v>
      </c>
      <c r="F3383" s="2">
        <v>3</v>
      </c>
      <c r="G3383" s="4">
        <v>3</v>
      </c>
      <c r="H3383" s="13"/>
      <c r="I3383" s="15"/>
      <c r="J3383" s="19">
        <v>3</v>
      </c>
      <c r="K3383" s="2" t="s">
        <v>6776</v>
      </c>
      <c r="L3383" s="11" t="str">
        <f t="shared" si="54"/>
        <v>Ver Imagen</v>
      </c>
      <c r="M3383" t="s">
        <v>15</v>
      </c>
    </row>
    <row r="3384" spans="1:13" x14ac:dyDescent="0.25">
      <c r="A3384">
        <v>3383</v>
      </c>
      <c r="B3384" t="s">
        <v>6777</v>
      </c>
      <c r="C3384" s="1">
        <v>37.263900848600002</v>
      </c>
      <c r="D3384" s="1">
        <v>-7.0050916078299998</v>
      </c>
      <c r="E3384" s="3">
        <v>2</v>
      </c>
      <c r="F3384" s="2">
        <v>3</v>
      </c>
      <c r="G3384" s="4">
        <v>3</v>
      </c>
      <c r="H3384" s="13"/>
      <c r="I3384" s="15"/>
      <c r="J3384" s="19">
        <v>3</v>
      </c>
      <c r="K3384" s="2" t="s">
        <v>6778</v>
      </c>
      <c r="L3384" s="11" t="str">
        <f t="shared" si="54"/>
        <v>Ver Imagen</v>
      </c>
      <c r="M3384" t="s">
        <v>15</v>
      </c>
    </row>
    <row r="3385" spans="1:13" x14ac:dyDescent="0.25">
      <c r="A3385">
        <v>3384</v>
      </c>
      <c r="B3385" t="s">
        <v>6779</v>
      </c>
      <c r="C3385" s="1">
        <v>37.263855808899997</v>
      </c>
      <c r="D3385" s="1">
        <v>-7.0053450551500003</v>
      </c>
      <c r="E3385" s="3">
        <v>2</v>
      </c>
      <c r="F3385" s="2">
        <v>3</v>
      </c>
      <c r="G3385" s="4">
        <v>3</v>
      </c>
      <c r="H3385" s="13"/>
      <c r="I3385" s="15"/>
      <c r="J3385" s="19">
        <v>3</v>
      </c>
      <c r="K3385" s="2" t="s">
        <v>6780</v>
      </c>
      <c r="L3385" s="11" t="str">
        <f t="shared" si="54"/>
        <v>Ver Imagen</v>
      </c>
      <c r="M3385" t="s">
        <v>15</v>
      </c>
    </row>
    <row r="3386" spans="1:13" x14ac:dyDescent="0.25">
      <c r="A3386">
        <v>3385</v>
      </c>
      <c r="B3386" t="s">
        <v>6781</v>
      </c>
      <c r="C3386" s="1">
        <v>37.263809694999999</v>
      </c>
      <c r="D3386" s="1">
        <v>-7.0056053340500002</v>
      </c>
      <c r="E3386" s="3">
        <v>2</v>
      </c>
      <c r="F3386" s="2">
        <v>3</v>
      </c>
      <c r="G3386" s="4">
        <v>3</v>
      </c>
      <c r="H3386" s="13"/>
      <c r="I3386" s="15"/>
      <c r="J3386" s="19">
        <v>3</v>
      </c>
      <c r="K3386" s="2" t="s">
        <v>6782</v>
      </c>
      <c r="L3386" s="11" t="str">
        <f t="shared" si="54"/>
        <v>Ver Imagen</v>
      </c>
      <c r="M3386" t="s">
        <v>15</v>
      </c>
    </row>
    <row r="3387" spans="1:13" x14ac:dyDescent="0.25">
      <c r="A3387">
        <v>3386</v>
      </c>
      <c r="B3387" t="s">
        <v>6783</v>
      </c>
      <c r="C3387" s="1">
        <v>37.263769031400003</v>
      </c>
      <c r="D3387" s="1">
        <v>-7.0058340207400001</v>
      </c>
      <c r="E3387" s="3">
        <v>2</v>
      </c>
      <c r="F3387" s="2">
        <v>3</v>
      </c>
      <c r="G3387" s="4">
        <v>3</v>
      </c>
      <c r="H3387" s="13"/>
      <c r="I3387" s="15"/>
      <c r="J3387" s="19">
        <v>3</v>
      </c>
      <c r="K3387" s="2" t="s">
        <v>6784</v>
      </c>
      <c r="L3387" s="11" t="str">
        <f t="shared" si="54"/>
        <v>Ver Imagen</v>
      </c>
      <c r="M3387" t="s">
        <v>15</v>
      </c>
    </row>
    <row r="3388" spans="1:13" x14ac:dyDescent="0.25">
      <c r="A3388">
        <v>3387</v>
      </c>
      <c r="B3388" t="s">
        <v>6785</v>
      </c>
      <c r="C3388" s="1">
        <v>37.263714626300001</v>
      </c>
      <c r="D3388" s="1">
        <v>-7.0061369887499998</v>
      </c>
      <c r="E3388" s="3">
        <v>2</v>
      </c>
      <c r="F3388" s="2">
        <v>3</v>
      </c>
      <c r="G3388" s="4">
        <v>3</v>
      </c>
      <c r="H3388" s="13"/>
      <c r="I3388" s="15"/>
      <c r="J3388" s="19">
        <v>3</v>
      </c>
      <c r="K3388" s="2" t="s">
        <v>6786</v>
      </c>
      <c r="L3388" s="11" t="str">
        <f t="shared" si="54"/>
        <v>Ver Imagen</v>
      </c>
      <c r="M3388" t="s">
        <v>15</v>
      </c>
    </row>
    <row r="3389" spans="1:13" x14ac:dyDescent="0.25">
      <c r="A3389">
        <v>3388</v>
      </c>
      <c r="B3389" t="s">
        <v>6787</v>
      </c>
      <c r="C3389" s="1">
        <v>37.263676428899998</v>
      </c>
      <c r="D3389" s="1">
        <v>-7.0063492609600004</v>
      </c>
      <c r="E3389" s="3">
        <v>2</v>
      </c>
      <c r="F3389" s="2">
        <v>3</v>
      </c>
      <c r="G3389" s="4">
        <v>3</v>
      </c>
      <c r="H3389" s="13"/>
      <c r="I3389" s="15"/>
      <c r="J3389" s="19">
        <v>3</v>
      </c>
      <c r="K3389" s="2" t="s">
        <v>6788</v>
      </c>
      <c r="L3389" s="11" t="str">
        <f t="shared" si="54"/>
        <v>Ver Imagen</v>
      </c>
      <c r="M3389" t="s">
        <v>15</v>
      </c>
    </row>
    <row r="3390" spans="1:13" x14ac:dyDescent="0.25">
      <c r="A3390">
        <v>3389</v>
      </c>
      <c r="B3390" t="s">
        <v>6789</v>
      </c>
      <c r="C3390" s="1">
        <v>37.263633676700003</v>
      </c>
      <c r="D3390" s="1">
        <v>-7.0065857985399997</v>
      </c>
      <c r="E3390" s="3">
        <v>2</v>
      </c>
      <c r="F3390" s="2">
        <v>3</v>
      </c>
      <c r="G3390" s="4">
        <v>3</v>
      </c>
      <c r="H3390" s="13"/>
      <c r="I3390" s="15"/>
      <c r="J3390" s="19">
        <v>3</v>
      </c>
      <c r="K3390" s="2" t="s">
        <v>6790</v>
      </c>
      <c r="L3390" s="11" t="str">
        <f t="shared" si="54"/>
        <v>Ver Imagen</v>
      </c>
      <c r="M3390" t="s">
        <v>15</v>
      </c>
    </row>
    <row r="3391" spans="1:13" x14ac:dyDescent="0.25">
      <c r="A3391">
        <v>3390</v>
      </c>
      <c r="B3391" t="s">
        <v>6791</v>
      </c>
      <c r="C3391" s="1">
        <v>37.1972644501</v>
      </c>
      <c r="D3391" s="1">
        <v>-6.97949745795</v>
      </c>
      <c r="E3391" s="3">
        <v>3</v>
      </c>
      <c r="F3391" s="2">
        <v>3</v>
      </c>
      <c r="G3391" s="4">
        <v>4</v>
      </c>
      <c r="H3391" s="13"/>
      <c r="I3391" s="15"/>
      <c r="J3391" s="19">
        <v>3</v>
      </c>
      <c r="K3391" s="2" t="s">
        <v>6792</v>
      </c>
      <c r="L3391" s="11" t="str">
        <f t="shared" si="54"/>
        <v>Ver Imagen</v>
      </c>
      <c r="M3391" t="s">
        <v>15</v>
      </c>
    </row>
    <row r="3392" spans="1:13" x14ac:dyDescent="0.25">
      <c r="A3392">
        <v>3391</v>
      </c>
      <c r="B3392" t="s">
        <v>6793</v>
      </c>
      <c r="C3392" s="1">
        <v>37.197433118500001</v>
      </c>
      <c r="D3392" s="1">
        <v>-6.9796843960599997</v>
      </c>
      <c r="E3392" s="3">
        <v>2</v>
      </c>
      <c r="F3392" s="2">
        <v>3</v>
      </c>
      <c r="G3392" s="4">
        <v>3</v>
      </c>
      <c r="H3392" s="13"/>
      <c r="I3392" s="15"/>
      <c r="J3392" s="19">
        <v>3</v>
      </c>
      <c r="K3392" s="2" t="s">
        <v>6794</v>
      </c>
      <c r="L3392" s="11" t="str">
        <f t="shared" si="54"/>
        <v>Ver Imagen</v>
      </c>
      <c r="M3392" t="s">
        <v>15</v>
      </c>
    </row>
    <row r="3393" spans="1:13" x14ac:dyDescent="0.25">
      <c r="A3393">
        <v>3392</v>
      </c>
      <c r="B3393" t="s">
        <v>6795</v>
      </c>
      <c r="C3393" s="1">
        <v>37.1975616677</v>
      </c>
      <c r="D3393" s="1">
        <v>-6.97983518793</v>
      </c>
      <c r="E3393" s="3">
        <v>2</v>
      </c>
      <c r="F3393" s="2">
        <v>3</v>
      </c>
      <c r="G3393" s="4">
        <v>3</v>
      </c>
      <c r="H3393" s="13"/>
      <c r="I3393" s="15"/>
      <c r="J3393" s="19">
        <v>3</v>
      </c>
      <c r="K3393" s="2" t="s">
        <v>6796</v>
      </c>
      <c r="L3393" s="11" t="str">
        <f t="shared" si="54"/>
        <v>Ver Imagen</v>
      </c>
      <c r="M3393" t="s">
        <v>15</v>
      </c>
    </row>
    <row r="3394" spans="1:13" x14ac:dyDescent="0.25">
      <c r="A3394">
        <v>3393</v>
      </c>
      <c r="B3394" t="s">
        <v>6797</v>
      </c>
      <c r="C3394" s="1">
        <v>37.198082489299999</v>
      </c>
      <c r="D3394" s="1">
        <v>-6.9805506967199999</v>
      </c>
      <c r="E3394" s="3">
        <v>2</v>
      </c>
      <c r="F3394" s="2">
        <v>3</v>
      </c>
      <c r="G3394" s="4">
        <v>3</v>
      </c>
      <c r="H3394" s="13"/>
      <c r="I3394" s="15"/>
      <c r="J3394" s="19">
        <v>3</v>
      </c>
      <c r="K3394" s="2" t="s">
        <v>6798</v>
      </c>
      <c r="L3394" s="11" t="str">
        <f t="shared" si="54"/>
        <v>Ver Imagen</v>
      </c>
      <c r="M3394" t="s">
        <v>15</v>
      </c>
    </row>
    <row r="3395" spans="1:13" x14ac:dyDescent="0.25">
      <c r="A3395">
        <v>3394</v>
      </c>
      <c r="B3395" t="s">
        <v>6799</v>
      </c>
      <c r="C3395" s="1">
        <v>37.198773392299998</v>
      </c>
      <c r="D3395" s="1">
        <v>-6.9818450452800001</v>
      </c>
      <c r="E3395" s="3">
        <v>2</v>
      </c>
      <c r="F3395" s="2">
        <v>3</v>
      </c>
      <c r="G3395" s="4">
        <v>3</v>
      </c>
      <c r="H3395" s="13"/>
      <c r="I3395" s="15"/>
      <c r="J3395" s="19">
        <v>3</v>
      </c>
      <c r="K3395" s="2" t="s">
        <v>6800</v>
      </c>
      <c r="L3395" s="11" t="str">
        <f t="shared" si="54"/>
        <v>Ver Imagen</v>
      </c>
      <c r="M3395" t="s">
        <v>15</v>
      </c>
    </row>
    <row r="3396" spans="1:13" x14ac:dyDescent="0.25">
      <c r="A3396">
        <v>3395</v>
      </c>
      <c r="B3396" t="s">
        <v>6801</v>
      </c>
      <c r="C3396" s="1">
        <v>37.198858296700003</v>
      </c>
      <c r="D3396" s="1">
        <v>-6.9820442566900001</v>
      </c>
      <c r="E3396" s="3">
        <v>2</v>
      </c>
      <c r="F3396" s="2">
        <v>3</v>
      </c>
      <c r="G3396" s="4">
        <v>3</v>
      </c>
      <c r="H3396" s="13"/>
      <c r="I3396" s="15"/>
      <c r="J3396" s="19">
        <v>3</v>
      </c>
      <c r="K3396" s="2" t="s">
        <v>6802</v>
      </c>
      <c r="L3396" s="11" t="str">
        <f t="shared" si="54"/>
        <v>Ver Imagen</v>
      </c>
      <c r="M3396" t="s">
        <v>15</v>
      </c>
    </row>
    <row r="3397" spans="1:13" x14ac:dyDescent="0.25">
      <c r="A3397">
        <v>3396</v>
      </c>
      <c r="B3397" t="s">
        <v>6803</v>
      </c>
      <c r="C3397" s="1">
        <v>37.198944782700003</v>
      </c>
      <c r="D3397" s="1">
        <v>-6.9822580840199997</v>
      </c>
      <c r="E3397" s="3">
        <v>2</v>
      </c>
      <c r="F3397" s="2">
        <v>3</v>
      </c>
      <c r="G3397" s="4">
        <v>3</v>
      </c>
      <c r="H3397" s="13"/>
      <c r="I3397" s="15"/>
      <c r="J3397" s="19">
        <v>3</v>
      </c>
      <c r="K3397" s="2" t="s">
        <v>6804</v>
      </c>
      <c r="L3397" s="11" t="str">
        <f t="shared" si="54"/>
        <v>Ver Imagen</v>
      </c>
      <c r="M3397" t="s">
        <v>15</v>
      </c>
    </row>
    <row r="3398" spans="1:13" x14ac:dyDescent="0.25">
      <c r="A3398">
        <v>3397</v>
      </c>
      <c r="B3398" t="s">
        <v>6805</v>
      </c>
      <c r="C3398" s="1">
        <v>37.2631275277</v>
      </c>
      <c r="D3398" s="1">
        <v>-7.0084962526099996</v>
      </c>
      <c r="E3398" s="3">
        <v>2</v>
      </c>
      <c r="F3398" s="2">
        <v>3</v>
      </c>
      <c r="G3398" s="4">
        <v>3</v>
      </c>
      <c r="H3398" s="13"/>
      <c r="I3398" s="15"/>
      <c r="J3398" s="19">
        <v>3</v>
      </c>
      <c r="K3398" s="2" t="s">
        <v>6806</v>
      </c>
      <c r="L3398" s="11" t="str">
        <f t="shared" si="54"/>
        <v>Ver Imagen</v>
      </c>
      <c r="M3398" t="s">
        <v>15</v>
      </c>
    </row>
    <row r="3399" spans="1:13" x14ac:dyDescent="0.25">
      <c r="A3399">
        <v>3398</v>
      </c>
      <c r="B3399" t="s">
        <v>6807</v>
      </c>
      <c r="C3399" s="1">
        <v>37.199352613000002</v>
      </c>
      <c r="D3399" s="1">
        <v>-6.9834346155000002</v>
      </c>
      <c r="E3399" s="3">
        <v>2</v>
      </c>
      <c r="F3399" s="2">
        <v>3</v>
      </c>
      <c r="G3399" s="4">
        <v>3</v>
      </c>
      <c r="H3399" s="13"/>
      <c r="I3399" s="15"/>
      <c r="J3399" s="19">
        <v>3</v>
      </c>
      <c r="K3399" s="2" t="s">
        <v>6808</v>
      </c>
      <c r="L3399" s="11" t="str">
        <f t="shared" si="54"/>
        <v>Ver Imagen</v>
      </c>
      <c r="M3399" t="s">
        <v>15</v>
      </c>
    </row>
    <row r="3400" spans="1:13" x14ac:dyDescent="0.25">
      <c r="A3400">
        <v>3399</v>
      </c>
      <c r="B3400" t="s">
        <v>6809</v>
      </c>
      <c r="C3400" s="1">
        <v>37.1994306235</v>
      </c>
      <c r="D3400" s="1">
        <v>-6.9836913903499998</v>
      </c>
      <c r="E3400" s="3">
        <v>2</v>
      </c>
      <c r="F3400" s="2">
        <v>3</v>
      </c>
      <c r="G3400" s="4">
        <v>3</v>
      </c>
      <c r="H3400" s="13"/>
      <c r="I3400" s="15"/>
      <c r="J3400" s="19">
        <v>3</v>
      </c>
      <c r="K3400" s="2" t="s">
        <v>6810</v>
      </c>
      <c r="L3400" s="11" t="str">
        <f t="shared" si="54"/>
        <v>Ver Imagen</v>
      </c>
      <c r="M3400" t="s">
        <v>15</v>
      </c>
    </row>
    <row r="3401" spans="1:13" x14ac:dyDescent="0.25">
      <c r="A3401">
        <v>3400</v>
      </c>
      <c r="B3401" t="s">
        <v>6811</v>
      </c>
      <c r="C3401" s="1">
        <v>37.199490491299997</v>
      </c>
      <c r="D3401" s="1">
        <v>-6.9838958097699999</v>
      </c>
      <c r="E3401" s="3">
        <v>2</v>
      </c>
      <c r="F3401" s="2">
        <v>3</v>
      </c>
      <c r="G3401" s="4">
        <v>3</v>
      </c>
      <c r="H3401" s="13"/>
      <c r="I3401" s="15"/>
      <c r="J3401" s="19">
        <v>3</v>
      </c>
      <c r="K3401" s="2" t="s">
        <v>6812</v>
      </c>
      <c r="L3401" s="11" t="str">
        <f t="shared" si="54"/>
        <v>Ver Imagen</v>
      </c>
      <c r="M3401" t="s">
        <v>15</v>
      </c>
    </row>
    <row r="3402" spans="1:13" x14ac:dyDescent="0.25">
      <c r="A3402">
        <v>3401</v>
      </c>
      <c r="B3402" t="s">
        <v>6813</v>
      </c>
      <c r="C3402" s="1">
        <v>37.261173914899999</v>
      </c>
      <c r="D3402" s="1">
        <v>-7.01095771569</v>
      </c>
      <c r="E3402" s="3">
        <v>2</v>
      </c>
      <c r="F3402" s="2">
        <v>3</v>
      </c>
      <c r="G3402" s="4">
        <v>3</v>
      </c>
      <c r="H3402" s="13"/>
      <c r="I3402" s="15"/>
      <c r="J3402" s="19">
        <v>3</v>
      </c>
      <c r="K3402" s="2" t="s">
        <v>6814</v>
      </c>
      <c r="L3402" s="11" t="str">
        <f t="shared" si="54"/>
        <v>Ver Imagen</v>
      </c>
      <c r="M3402" t="s">
        <v>15</v>
      </c>
    </row>
    <row r="3403" spans="1:13" x14ac:dyDescent="0.25">
      <c r="A3403">
        <v>3402</v>
      </c>
      <c r="B3403" t="s">
        <v>6815</v>
      </c>
      <c r="C3403" s="1">
        <v>37.200007475299998</v>
      </c>
      <c r="D3403" s="1">
        <v>-6.98587057615</v>
      </c>
      <c r="E3403" s="3">
        <v>3</v>
      </c>
      <c r="F3403" s="2">
        <v>3</v>
      </c>
      <c r="G3403" s="4">
        <v>4</v>
      </c>
      <c r="H3403" s="13"/>
      <c r="I3403" s="15"/>
      <c r="J3403" s="19">
        <v>3</v>
      </c>
      <c r="K3403" s="2" t="s">
        <v>6816</v>
      </c>
      <c r="L3403" s="11" t="str">
        <f t="shared" si="54"/>
        <v>Ver Imagen</v>
      </c>
      <c r="M3403" t="s">
        <v>15</v>
      </c>
    </row>
    <row r="3404" spans="1:13" x14ac:dyDescent="0.25">
      <c r="A3404">
        <v>3403</v>
      </c>
      <c r="B3404" t="s">
        <v>6817</v>
      </c>
      <c r="C3404" s="1">
        <v>37.260263776899997</v>
      </c>
      <c r="D3404" s="1">
        <v>-7.01154047135</v>
      </c>
      <c r="E3404" s="3">
        <v>3</v>
      </c>
      <c r="F3404" s="2">
        <v>3</v>
      </c>
      <c r="G3404" s="4">
        <v>2</v>
      </c>
      <c r="H3404" s="13"/>
      <c r="I3404" s="15"/>
      <c r="J3404" s="19">
        <v>3</v>
      </c>
      <c r="K3404" s="2" t="s">
        <v>6818</v>
      </c>
      <c r="L3404" s="11" t="str">
        <f t="shared" si="54"/>
        <v>Ver Imagen</v>
      </c>
      <c r="M3404" t="s">
        <v>15</v>
      </c>
    </row>
    <row r="3405" spans="1:13" x14ac:dyDescent="0.25">
      <c r="A3405">
        <v>3404</v>
      </c>
      <c r="B3405" t="s">
        <v>6819</v>
      </c>
      <c r="C3405" s="1">
        <v>37.200191611299999</v>
      </c>
      <c r="D3405" s="1">
        <v>-6.9866235672199997</v>
      </c>
      <c r="E3405" s="3">
        <v>2</v>
      </c>
      <c r="F3405" s="2">
        <v>3</v>
      </c>
      <c r="G3405" s="4">
        <v>3</v>
      </c>
      <c r="H3405" s="13"/>
      <c r="I3405" s="15"/>
      <c r="J3405" s="19">
        <v>3</v>
      </c>
      <c r="K3405" s="2" t="s">
        <v>6820</v>
      </c>
      <c r="L3405" s="11" t="str">
        <f t="shared" si="54"/>
        <v>Ver Imagen</v>
      </c>
      <c r="M3405" t="s">
        <v>15</v>
      </c>
    </row>
    <row r="3406" spans="1:13" x14ac:dyDescent="0.25">
      <c r="A3406">
        <v>3405</v>
      </c>
      <c r="B3406" t="s">
        <v>6821</v>
      </c>
      <c r="C3406" s="1">
        <v>37.259881104999998</v>
      </c>
      <c r="D3406" s="1">
        <v>-7.0117833489299999</v>
      </c>
      <c r="E3406" s="3">
        <v>2</v>
      </c>
      <c r="F3406" s="2">
        <v>3</v>
      </c>
      <c r="G3406" s="4">
        <v>3</v>
      </c>
      <c r="H3406" s="13"/>
      <c r="I3406" s="15"/>
      <c r="J3406" s="19">
        <v>3</v>
      </c>
      <c r="K3406" s="2" t="s">
        <v>6822</v>
      </c>
      <c r="L3406" s="11" t="str">
        <f t="shared" si="54"/>
        <v>Ver Imagen</v>
      </c>
      <c r="M3406" t="s">
        <v>15</v>
      </c>
    </row>
    <row r="3407" spans="1:13" x14ac:dyDescent="0.25">
      <c r="A3407">
        <v>3406</v>
      </c>
      <c r="B3407" t="s">
        <v>6823</v>
      </c>
      <c r="C3407" s="1">
        <v>37.200285919199999</v>
      </c>
      <c r="D3407" s="1">
        <v>-6.9870126183199996</v>
      </c>
      <c r="E3407" s="3">
        <v>2</v>
      </c>
      <c r="F3407" s="2">
        <v>3</v>
      </c>
      <c r="G3407" s="4">
        <v>3</v>
      </c>
      <c r="H3407" s="13"/>
      <c r="I3407" s="15"/>
      <c r="J3407" s="19">
        <v>3</v>
      </c>
      <c r="K3407" s="2" t="s">
        <v>6824</v>
      </c>
      <c r="L3407" s="11" t="str">
        <f t="shared" si="54"/>
        <v>Ver Imagen</v>
      </c>
      <c r="M3407" t="s">
        <v>15</v>
      </c>
    </row>
    <row r="3408" spans="1:13" x14ac:dyDescent="0.25">
      <c r="A3408">
        <v>3407</v>
      </c>
      <c r="B3408" t="s">
        <v>6825</v>
      </c>
      <c r="C3408" s="1">
        <v>37.200402343500002</v>
      </c>
      <c r="D3408" s="1">
        <v>-6.9875087648500003</v>
      </c>
      <c r="E3408" s="3">
        <v>2</v>
      </c>
      <c r="F3408" s="2">
        <v>3</v>
      </c>
      <c r="G3408" s="4">
        <v>3</v>
      </c>
      <c r="H3408" s="13"/>
      <c r="I3408" s="15"/>
      <c r="J3408" s="19">
        <v>3</v>
      </c>
      <c r="K3408" s="2" t="s">
        <v>6826</v>
      </c>
      <c r="L3408" s="11" t="str">
        <f t="shared" si="54"/>
        <v>Ver Imagen</v>
      </c>
      <c r="M3408" t="s">
        <v>15</v>
      </c>
    </row>
    <row r="3409" spans="1:13" x14ac:dyDescent="0.25">
      <c r="A3409">
        <v>3408</v>
      </c>
      <c r="B3409" t="s">
        <v>6827</v>
      </c>
      <c r="C3409" s="1">
        <v>37.200463919900002</v>
      </c>
      <c r="D3409" s="1">
        <v>-6.9877769184099998</v>
      </c>
      <c r="E3409" s="3">
        <v>2</v>
      </c>
      <c r="F3409" s="2">
        <v>3</v>
      </c>
      <c r="G3409" s="4">
        <v>3</v>
      </c>
      <c r="H3409" s="13"/>
      <c r="I3409" s="15"/>
      <c r="J3409" s="19">
        <v>3</v>
      </c>
      <c r="K3409" s="2" t="s">
        <v>6828</v>
      </c>
      <c r="L3409" s="11" t="str">
        <f t="shared" si="54"/>
        <v>Ver Imagen</v>
      </c>
      <c r="M3409" t="s">
        <v>15</v>
      </c>
    </row>
    <row r="3410" spans="1:13" x14ac:dyDescent="0.25">
      <c r="A3410">
        <v>3409</v>
      </c>
      <c r="B3410" t="s">
        <v>6829</v>
      </c>
      <c r="C3410" s="1">
        <v>37.2005873859</v>
      </c>
      <c r="D3410" s="1">
        <v>-6.9883230161899998</v>
      </c>
      <c r="E3410" s="3">
        <v>2</v>
      </c>
      <c r="F3410" s="2">
        <v>3</v>
      </c>
      <c r="G3410" s="4">
        <v>3</v>
      </c>
      <c r="H3410" s="13"/>
      <c r="I3410" s="15"/>
      <c r="J3410" s="19">
        <v>3</v>
      </c>
      <c r="K3410" s="2" t="s">
        <v>6830</v>
      </c>
      <c r="L3410" s="11" t="str">
        <f t="shared" si="54"/>
        <v>Ver Imagen</v>
      </c>
      <c r="M3410" t="s">
        <v>15</v>
      </c>
    </row>
    <row r="3411" spans="1:13" x14ac:dyDescent="0.25">
      <c r="A3411">
        <v>3410</v>
      </c>
      <c r="B3411" t="s">
        <v>6831</v>
      </c>
      <c r="C3411" s="1">
        <v>37.200792038899998</v>
      </c>
      <c r="D3411" s="1">
        <v>-6.9892323033099997</v>
      </c>
      <c r="E3411" s="3">
        <v>2</v>
      </c>
      <c r="F3411" s="2">
        <v>3</v>
      </c>
      <c r="G3411" s="4">
        <v>3</v>
      </c>
      <c r="H3411" s="13"/>
      <c r="I3411" s="15"/>
      <c r="J3411" s="19">
        <v>3</v>
      </c>
      <c r="K3411" s="2" t="s">
        <v>6832</v>
      </c>
      <c r="L3411" s="11" t="str">
        <f t="shared" si="54"/>
        <v>Ver Imagen</v>
      </c>
      <c r="M3411" t="s">
        <v>15</v>
      </c>
    </row>
    <row r="3412" spans="1:13" x14ac:dyDescent="0.25">
      <c r="A3412">
        <v>3411</v>
      </c>
      <c r="B3412" t="s">
        <v>6833</v>
      </c>
      <c r="C3412" s="1">
        <v>37.200845716700002</v>
      </c>
      <c r="D3412" s="1">
        <v>-6.9894605368600002</v>
      </c>
      <c r="E3412" s="3">
        <v>2</v>
      </c>
      <c r="F3412" s="2">
        <v>3</v>
      </c>
      <c r="G3412" s="4">
        <v>3</v>
      </c>
      <c r="H3412" s="13"/>
      <c r="I3412" s="15"/>
      <c r="J3412" s="19">
        <v>3</v>
      </c>
      <c r="K3412" s="2" t="s">
        <v>6834</v>
      </c>
      <c r="L3412" s="11" t="str">
        <f t="shared" si="54"/>
        <v>Ver Imagen</v>
      </c>
      <c r="M3412" t="s">
        <v>15</v>
      </c>
    </row>
    <row r="3413" spans="1:13" x14ac:dyDescent="0.25">
      <c r="A3413">
        <v>3412</v>
      </c>
      <c r="B3413" t="s">
        <v>6835</v>
      </c>
      <c r="C3413" s="1">
        <v>37.258424985200001</v>
      </c>
      <c r="D3413" s="1">
        <v>-7.0127097246799996</v>
      </c>
      <c r="E3413" s="3">
        <v>2</v>
      </c>
      <c r="F3413" s="2">
        <v>3</v>
      </c>
      <c r="G3413" s="4">
        <v>3</v>
      </c>
      <c r="H3413" s="13"/>
      <c r="I3413" s="15"/>
      <c r="J3413" s="19">
        <v>3</v>
      </c>
      <c r="K3413" s="2" t="s">
        <v>6836</v>
      </c>
      <c r="L3413" s="11" t="str">
        <f t="shared" si="54"/>
        <v>Ver Imagen</v>
      </c>
      <c r="M3413" t="s">
        <v>15</v>
      </c>
    </row>
    <row r="3414" spans="1:13" x14ac:dyDescent="0.25">
      <c r="A3414">
        <v>3413</v>
      </c>
      <c r="B3414" t="s">
        <v>6837</v>
      </c>
      <c r="C3414" s="1">
        <v>37.258244517400001</v>
      </c>
      <c r="D3414" s="1">
        <v>-7.0128253349199996</v>
      </c>
      <c r="E3414" s="3">
        <v>2</v>
      </c>
      <c r="F3414" s="2">
        <v>3</v>
      </c>
      <c r="G3414" s="4">
        <v>3</v>
      </c>
      <c r="H3414" s="13"/>
      <c r="I3414" s="15"/>
      <c r="J3414" s="19">
        <v>3</v>
      </c>
      <c r="K3414" s="2" t="s">
        <v>6838</v>
      </c>
      <c r="L3414" s="11" t="str">
        <f t="shared" si="54"/>
        <v>Ver Imagen</v>
      </c>
      <c r="M3414" t="s">
        <v>15</v>
      </c>
    </row>
    <row r="3415" spans="1:13" x14ac:dyDescent="0.25">
      <c r="A3415">
        <v>3414</v>
      </c>
      <c r="B3415" t="s">
        <v>6839</v>
      </c>
      <c r="C3415" s="1">
        <v>37.201070204600001</v>
      </c>
      <c r="D3415" s="1">
        <v>-6.9904997438200001</v>
      </c>
      <c r="E3415" s="3">
        <v>2</v>
      </c>
      <c r="F3415" s="2">
        <v>3</v>
      </c>
      <c r="G3415" s="4">
        <v>3</v>
      </c>
      <c r="H3415" s="13"/>
      <c r="I3415" s="15"/>
      <c r="J3415" s="19">
        <v>3</v>
      </c>
      <c r="K3415" s="2" t="s">
        <v>6840</v>
      </c>
      <c r="L3415" s="11" t="str">
        <f t="shared" si="54"/>
        <v>Ver Imagen</v>
      </c>
      <c r="M3415" t="s">
        <v>15</v>
      </c>
    </row>
    <row r="3416" spans="1:13" x14ac:dyDescent="0.25">
      <c r="A3416">
        <v>3415</v>
      </c>
      <c r="B3416" t="s">
        <v>6841</v>
      </c>
      <c r="C3416" s="1">
        <v>37.2011175202</v>
      </c>
      <c r="D3416" s="1">
        <v>-6.9907292617300003</v>
      </c>
      <c r="E3416" s="3">
        <v>2</v>
      </c>
      <c r="F3416" s="2">
        <v>3</v>
      </c>
      <c r="G3416" s="4">
        <v>3</v>
      </c>
      <c r="H3416" s="13"/>
      <c r="I3416" s="15"/>
      <c r="J3416" s="19">
        <v>3</v>
      </c>
      <c r="K3416" s="2" t="s">
        <v>6842</v>
      </c>
      <c r="L3416" s="11" t="str">
        <f t="shared" si="54"/>
        <v>Ver Imagen</v>
      </c>
      <c r="M3416" t="s">
        <v>15</v>
      </c>
    </row>
    <row r="3417" spans="1:13" x14ac:dyDescent="0.25">
      <c r="A3417">
        <v>3416</v>
      </c>
      <c r="B3417" t="s">
        <v>6843</v>
      </c>
      <c r="C3417" s="1">
        <v>37.201160829000003</v>
      </c>
      <c r="D3417" s="1">
        <v>-6.9909416171799998</v>
      </c>
      <c r="E3417" s="3">
        <v>2</v>
      </c>
      <c r="F3417" s="2">
        <v>3</v>
      </c>
      <c r="G3417" s="4">
        <v>3</v>
      </c>
      <c r="H3417" s="13"/>
      <c r="I3417" s="15"/>
      <c r="J3417" s="19">
        <v>3</v>
      </c>
      <c r="K3417" s="2" t="s">
        <v>6844</v>
      </c>
      <c r="L3417" s="11" t="str">
        <f t="shared" si="54"/>
        <v>Ver Imagen</v>
      </c>
      <c r="M3417" t="s">
        <v>15</v>
      </c>
    </row>
    <row r="3418" spans="1:13" x14ac:dyDescent="0.25">
      <c r="A3418">
        <v>3417</v>
      </c>
      <c r="B3418" t="s">
        <v>6845</v>
      </c>
      <c r="C3418" s="1">
        <v>37.2012229726</v>
      </c>
      <c r="D3418" s="1">
        <v>-6.9912503354800002</v>
      </c>
      <c r="E3418" s="3">
        <v>2</v>
      </c>
      <c r="F3418" s="2">
        <v>3</v>
      </c>
      <c r="G3418" s="4">
        <v>3</v>
      </c>
      <c r="H3418" s="13"/>
      <c r="I3418" s="15"/>
      <c r="J3418" s="19">
        <v>3</v>
      </c>
      <c r="K3418" s="2" t="s">
        <v>6846</v>
      </c>
      <c r="L3418" s="11" t="str">
        <f t="shared" si="54"/>
        <v>Ver Imagen</v>
      </c>
      <c r="M3418" t="s">
        <v>15</v>
      </c>
    </row>
    <row r="3419" spans="1:13" x14ac:dyDescent="0.25">
      <c r="A3419">
        <v>3418</v>
      </c>
      <c r="B3419" t="s">
        <v>6847</v>
      </c>
      <c r="C3419" s="1">
        <v>37.201264908100001</v>
      </c>
      <c r="D3419" s="1">
        <v>-6.9914609653599999</v>
      </c>
      <c r="E3419" s="3">
        <v>2</v>
      </c>
      <c r="F3419" s="2">
        <v>3</v>
      </c>
      <c r="G3419" s="4">
        <v>3</v>
      </c>
      <c r="H3419" s="13"/>
      <c r="I3419" s="15"/>
      <c r="J3419" s="19">
        <v>3</v>
      </c>
      <c r="K3419" s="2" t="s">
        <v>6848</v>
      </c>
      <c r="L3419" s="11" t="str">
        <f t="shared" si="54"/>
        <v>Ver Imagen</v>
      </c>
      <c r="M3419" t="s">
        <v>15</v>
      </c>
    </row>
    <row r="3420" spans="1:13" x14ac:dyDescent="0.25">
      <c r="A3420">
        <v>3419</v>
      </c>
      <c r="B3420" t="s">
        <v>6849</v>
      </c>
      <c r="C3420" s="1">
        <v>37.201308823200002</v>
      </c>
      <c r="D3420" s="1">
        <v>-6.9916834663599996</v>
      </c>
      <c r="E3420" s="3">
        <v>2</v>
      </c>
      <c r="F3420" s="2">
        <v>3</v>
      </c>
      <c r="G3420" s="4">
        <v>3</v>
      </c>
      <c r="H3420" s="13"/>
      <c r="I3420" s="15"/>
      <c r="J3420" s="19">
        <v>3</v>
      </c>
      <c r="K3420" s="2" t="s">
        <v>6850</v>
      </c>
      <c r="L3420" s="11" t="str">
        <f t="shared" si="54"/>
        <v>Ver Imagen</v>
      </c>
      <c r="M3420" t="s">
        <v>15</v>
      </c>
    </row>
    <row r="3421" spans="1:13" x14ac:dyDescent="0.25">
      <c r="A3421">
        <v>3420</v>
      </c>
      <c r="B3421" t="s">
        <v>6851</v>
      </c>
      <c r="C3421" s="1">
        <v>37.257520313400001</v>
      </c>
      <c r="D3421" s="1">
        <v>-7.0132806388300004</v>
      </c>
      <c r="E3421" s="3">
        <v>2</v>
      </c>
      <c r="F3421" s="2">
        <v>3</v>
      </c>
      <c r="G3421" s="4">
        <v>3</v>
      </c>
      <c r="H3421" s="13"/>
      <c r="I3421" s="15"/>
      <c r="J3421" s="19">
        <v>3</v>
      </c>
      <c r="K3421" s="2" t="s">
        <v>6852</v>
      </c>
      <c r="L3421" s="11" t="str">
        <f t="shared" si="54"/>
        <v>Ver Imagen</v>
      </c>
      <c r="M3421" t="s">
        <v>15</v>
      </c>
    </row>
    <row r="3422" spans="1:13" x14ac:dyDescent="0.25">
      <c r="A3422">
        <v>3421</v>
      </c>
      <c r="B3422" t="s">
        <v>6853</v>
      </c>
      <c r="C3422" s="1">
        <v>37.25731554</v>
      </c>
      <c r="D3422" s="1">
        <v>-7.0134115172299998</v>
      </c>
      <c r="E3422" s="3">
        <v>2</v>
      </c>
      <c r="F3422" s="2">
        <v>3</v>
      </c>
      <c r="G3422" s="4">
        <v>3</v>
      </c>
      <c r="H3422" s="13"/>
      <c r="I3422" s="15"/>
      <c r="J3422" s="19">
        <v>3</v>
      </c>
      <c r="K3422" s="2" t="s">
        <v>6854</v>
      </c>
      <c r="L3422" s="11" t="str">
        <f t="shared" si="54"/>
        <v>Ver Imagen</v>
      </c>
      <c r="M3422" t="s">
        <v>15</v>
      </c>
    </row>
    <row r="3423" spans="1:13" x14ac:dyDescent="0.25">
      <c r="A3423">
        <v>3422</v>
      </c>
      <c r="B3423" t="s">
        <v>6855</v>
      </c>
      <c r="C3423" s="1">
        <v>37.257155612399998</v>
      </c>
      <c r="D3423" s="1">
        <v>-7.0135140969499998</v>
      </c>
      <c r="E3423" s="3">
        <v>2</v>
      </c>
      <c r="F3423" s="2">
        <v>3</v>
      </c>
      <c r="G3423" s="4">
        <v>3</v>
      </c>
      <c r="H3423" s="13"/>
      <c r="I3423" s="15"/>
      <c r="J3423" s="19">
        <v>3</v>
      </c>
      <c r="K3423" s="2" t="s">
        <v>6856</v>
      </c>
      <c r="L3423" s="11" t="str">
        <f t="shared" si="54"/>
        <v>Ver Imagen</v>
      </c>
      <c r="M3423" t="s">
        <v>15</v>
      </c>
    </row>
    <row r="3424" spans="1:13" x14ac:dyDescent="0.25">
      <c r="A3424">
        <v>3423</v>
      </c>
      <c r="B3424" t="s">
        <v>6857</v>
      </c>
      <c r="C3424" s="1">
        <v>37.256985731699999</v>
      </c>
      <c r="D3424" s="1">
        <v>-7.01362252851</v>
      </c>
      <c r="E3424" s="3">
        <v>2</v>
      </c>
      <c r="F3424" s="2">
        <v>3</v>
      </c>
      <c r="G3424" s="4">
        <v>3</v>
      </c>
      <c r="H3424" s="13"/>
      <c r="I3424" s="15"/>
      <c r="J3424" s="19">
        <v>3</v>
      </c>
      <c r="K3424" s="2" t="s">
        <v>6858</v>
      </c>
      <c r="L3424" s="11" t="str">
        <f t="shared" si="54"/>
        <v>Ver Imagen</v>
      </c>
      <c r="M3424" t="s">
        <v>15</v>
      </c>
    </row>
    <row r="3425" spans="1:13" x14ac:dyDescent="0.25">
      <c r="A3425">
        <v>3424</v>
      </c>
      <c r="B3425" t="s">
        <v>6859</v>
      </c>
      <c r="C3425" s="1">
        <v>37.201443206900002</v>
      </c>
      <c r="D3425" s="1">
        <v>-6.9924021703000001</v>
      </c>
      <c r="E3425" s="3">
        <v>2</v>
      </c>
      <c r="F3425" s="2">
        <v>3</v>
      </c>
      <c r="G3425" s="4">
        <v>3</v>
      </c>
      <c r="H3425" s="13"/>
      <c r="I3425" s="15"/>
      <c r="J3425" s="19">
        <v>3</v>
      </c>
      <c r="K3425" s="2" t="s">
        <v>6860</v>
      </c>
      <c r="L3425" s="11" t="str">
        <f t="shared" si="54"/>
        <v>Ver Imagen</v>
      </c>
      <c r="M3425" t="s">
        <v>15</v>
      </c>
    </row>
    <row r="3426" spans="1:13" x14ac:dyDescent="0.25">
      <c r="A3426">
        <v>3425</v>
      </c>
      <c r="B3426" t="s">
        <v>6861</v>
      </c>
      <c r="C3426" s="1">
        <v>37.201672663799997</v>
      </c>
      <c r="D3426" s="1">
        <v>-6.9936348259900001</v>
      </c>
      <c r="E3426" s="3">
        <v>2</v>
      </c>
      <c r="F3426" s="2">
        <v>3</v>
      </c>
      <c r="G3426" s="4">
        <v>3</v>
      </c>
      <c r="H3426" s="13"/>
      <c r="I3426" s="15"/>
      <c r="J3426" s="19">
        <v>3</v>
      </c>
      <c r="K3426" s="2" t="s">
        <v>6862</v>
      </c>
      <c r="L3426" s="11" t="str">
        <f t="shared" si="54"/>
        <v>Ver Imagen</v>
      </c>
      <c r="M3426" t="s">
        <v>15</v>
      </c>
    </row>
    <row r="3427" spans="1:13" x14ac:dyDescent="0.25">
      <c r="A3427">
        <v>3426</v>
      </c>
      <c r="B3427" t="s">
        <v>6863</v>
      </c>
      <c r="C3427" s="1">
        <v>37.2017193983</v>
      </c>
      <c r="D3427" s="1">
        <v>-6.9938823502999998</v>
      </c>
      <c r="E3427" s="3">
        <v>2</v>
      </c>
      <c r="F3427" s="2">
        <v>3</v>
      </c>
      <c r="G3427" s="4">
        <v>3</v>
      </c>
      <c r="H3427" s="13"/>
      <c r="I3427" s="15"/>
      <c r="J3427" s="19">
        <v>3</v>
      </c>
      <c r="K3427" s="2" t="s">
        <v>6864</v>
      </c>
      <c r="L3427" s="11" t="str">
        <f t="shared" si="54"/>
        <v>Ver Imagen</v>
      </c>
      <c r="M3427" t="s">
        <v>15</v>
      </c>
    </row>
    <row r="3428" spans="1:13" x14ac:dyDescent="0.25">
      <c r="A3428">
        <v>3427</v>
      </c>
      <c r="B3428" t="s">
        <v>6865</v>
      </c>
      <c r="C3428" s="1">
        <v>37.2017712273</v>
      </c>
      <c r="D3428" s="1">
        <v>-6.9941630720200001</v>
      </c>
      <c r="E3428" s="3">
        <v>2</v>
      </c>
      <c r="F3428" s="2">
        <v>3</v>
      </c>
      <c r="G3428" s="4">
        <v>3</v>
      </c>
      <c r="H3428" s="13"/>
      <c r="I3428" s="15"/>
      <c r="J3428" s="19">
        <v>3</v>
      </c>
      <c r="K3428" s="2" t="s">
        <v>6866</v>
      </c>
      <c r="L3428" s="11" t="str">
        <f t="shared" si="54"/>
        <v>Ver Imagen</v>
      </c>
      <c r="M3428" t="s">
        <v>15</v>
      </c>
    </row>
    <row r="3429" spans="1:13" x14ac:dyDescent="0.25">
      <c r="A3429">
        <v>3428</v>
      </c>
      <c r="B3429" t="s">
        <v>6867</v>
      </c>
      <c r="C3429" s="1">
        <v>37.201810373800001</v>
      </c>
      <c r="D3429" s="1">
        <v>-6.99438191523</v>
      </c>
      <c r="E3429" s="3">
        <v>2</v>
      </c>
      <c r="F3429" s="2">
        <v>3</v>
      </c>
      <c r="G3429" s="4">
        <v>3</v>
      </c>
      <c r="H3429" s="13"/>
      <c r="I3429" s="15"/>
      <c r="J3429" s="19">
        <v>3</v>
      </c>
      <c r="K3429" s="2" t="s">
        <v>6868</v>
      </c>
      <c r="L3429" s="11" t="str">
        <f t="shared" si="54"/>
        <v>Ver Imagen</v>
      </c>
      <c r="M3429" t="s">
        <v>15</v>
      </c>
    </row>
    <row r="3430" spans="1:13" x14ac:dyDescent="0.25">
      <c r="A3430">
        <v>3429</v>
      </c>
      <c r="B3430" t="s">
        <v>6869</v>
      </c>
      <c r="C3430" s="1">
        <v>37.201900698099998</v>
      </c>
      <c r="D3430" s="1">
        <v>-6.9948999576800004</v>
      </c>
      <c r="E3430" s="3">
        <v>2</v>
      </c>
      <c r="F3430" s="2">
        <v>3</v>
      </c>
      <c r="G3430" s="4">
        <v>3</v>
      </c>
      <c r="H3430" s="13"/>
      <c r="I3430" s="15"/>
      <c r="J3430" s="19">
        <v>3</v>
      </c>
      <c r="K3430" s="2" t="s">
        <v>6870</v>
      </c>
      <c r="L3430" s="11" t="str">
        <f t="shared" si="54"/>
        <v>Ver Imagen</v>
      </c>
      <c r="M3430" t="s">
        <v>15</v>
      </c>
    </row>
    <row r="3431" spans="1:13" x14ac:dyDescent="0.25">
      <c r="A3431">
        <v>3430</v>
      </c>
      <c r="B3431" t="s">
        <v>6871</v>
      </c>
      <c r="C3431" s="1">
        <v>37.201937035900002</v>
      </c>
      <c r="D3431" s="1">
        <v>-6.9951135075300002</v>
      </c>
      <c r="E3431" s="3">
        <v>2</v>
      </c>
      <c r="F3431" s="2">
        <v>3</v>
      </c>
      <c r="G3431" s="4">
        <v>3</v>
      </c>
      <c r="H3431" s="13"/>
      <c r="I3431" s="15"/>
      <c r="J3431" s="19">
        <v>3</v>
      </c>
      <c r="K3431" s="2" t="s">
        <v>6872</v>
      </c>
      <c r="L3431" s="11" t="str">
        <f t="shared" si="54"/>
        <v>Ver Imagen</v>
      </c>
      <c r="M3431" t="s">
        <v>15</v>
      </c>
    </row>
    <row r="3432" spans="1:13" x14ac:dyDescent="0.25">
      <c r="A3432">
        <v>3431</v>
      </c>
      <c r="B3432" t="s">
        <v>6873</v>
      </c>
      <c r="C3432" s="1">
        <v>37.201981382</v>
      </c>
      <c r="D3432" s="1">
        <v>-6.9953786832000002</v>
      </c>
      <c r="E3432" s="3">
        <v>2</v>
      </c>
      <c r="F3432" s="2">
        <v>3</v>
      </c>
      <c r="G3432" s="4">
        <v>3</v>
      </c>
      <c r="H3432" s="13"/>
      <c r="I3432" s="15"/>
      <c r="J3432" s="19">
        <v>3</v>
      </c>
      <c r="K3432" s="2" t="s">
        <v>6874</v>
      </c>
      <c r="L3432" s="11" t="str">
        <f t="shared" si="54"/>
        <v>Ver Imagen</v>
      </c>
      <c r="M3432" t="s">
        <v>15</v>
      </c>
    </row>
    <row r="3433" spans="1:13" x14ac:dyDescent="0.25">
      <c r="A3433">
        <v>3432</v>
      </c>
      <c r="B3433" t="s">
        <v>6875</v>
      </c>
      <c r="C3433" s="1">
        <v>37.202114325499998</v>
      </c>
      <c r="D3433" s="1">
        <v>-6.99619891623</v>
      </c>
      <c r="E3433" s="3">
        <v>2</v>
      </c>
      <c r="F3433" s="2">
        <v>3</v>
      </c>
      <c r="G3433" s="4">
        <v>3</v>
      </c>
      <c r="H3433" s="13"/>
      <c r="I3433" s="15"/>
      <c r="J3433" s="19">
        <v>3</v>
      </c>
      <c r="K3433" s="2" t="s">
        <v>6876</v>
      </c>
      <c r="L3433" s="11" t="str">
        <f t="shared" ref="L3433:L3496" si="55">HYPERLINK("3\1\" &amp; K3433, "Ver Imagen")</f>
        <v>Ver Imagen</v>
      </c>
      <c r="M3433" t="s">
        <v>15</v>
      </c>
    </row>
    <row r="3434" spans="1:13" x14ac:dyDescent="0.25">
      <c r="A3434">
        <v>3433</v>
      </c>
      <c r="B3434" t="s">
        <v>6877</v>
      </c>
      <c r="C3434" s="1">
        <v>37.202441104000002</v>
      </c>
      <c r="D3434" s="1">
        <v>-6.9983942450100001</v>
      </c>
      <c r="E3434" s="3">
        <v>4</v>
      </c>
      <c r="F3434" s="2">
        <v>3</v>
      </c>
      <c r="G3434" s="4">
        <v>3</v>
      </c>
      <c r="H3434" s="13"/>
      <c r="I3434" s="15"/>
      <c r="J3434" s="19">
        <v>3</v>
      </c>
      <c r="K3434" s="2" t="s">
        <v>6878</v>
      </c>
      <c r="L3434" s="11" t="str">
        <f t="shared" si="55"/>
        <v>Ver Imagen</v>
      </c>
      <c r="M3434" t="s">
        <v>15</v>
      </c>
    </row>
    <row r="3435" spans="1:13" x14ac:dyDescent="0.25">
      <c r="A3435">
        <v>3434</v>
      </c>
      <c r="B3435" t="s">
        <v>6879</v>
      </c>
      <c r="C3435" s="1">
        <v>37.202512198800001</v>
      </c>
      <c r="D3435" s="1">
        <v>-6.9988895717600004</v>
      </c>
      <c r="E3435" s="3">
        <v>3</v>
      </c>
      <c r="F3435" s="2">
        <v>3</v>
      </c>
      <c r="G3435" s="4">
        <v>4</v>
      </c>
      <c r="H3435" s="13"/>
      <c r="I3435" s="15"/>
      <c r="J3435" s="19">
        <v>3</v>
      </c>
      <c r="K3435" s="2" t="s">
        <v>6880</v>
      </c>
      <c r="L3435" s="11" t="str">
        <f t="shared" si="55"/>
        <v>Ver Imagen</v>
      </c>
      <c r="M3435" t="s">
        <v>15</v>
      </c>
    </row>
    <row r="3436" spans="1:13" x14ac:dyDescent="0.25">
      <c r="A3436">
        <v>3435</v>
      </c>
      <c r="B3436" t="s">
        <v>6881</v>
      </c>
      <c r="C3436" s="1">
        <v>37.202581093799999</v>
      </c>
      <c r="D3436" s="1">
        <v>-6.9994069325500003</v>
      </c>
      <c r="E3436" s="3">
        <v>4</v>
      </c>
      <c r="F3436" s="2">
        <v>3</v>
      </c>
      <c r="G3436" s="4">
        <v>3</v>
      </c>
      <c r="H3436" s="13"/>
      <c r="I3436" s="15"/>
      <c r="J3436" s="19">
        <v>3</v>
      </c>
      <c r="K3436" s="2" t="s">
        <v>6882</v>
      </c>
      <c r="L3436" s="11" t="str">
        <f t="shared" si="55"/>
        <v>Ver Imagen</v>
      </c>
      <c r="M3436" t="s">
        <v>15</v>
      </c>
    </row>
    <row r="3437" spans="1:13" x14ac:dyDescent="0.25">
      <c r="A3437">
        <v>3436</v>
      </c>
      <c r="B3437" t="s">
        <v>6883</v>
      </c>
      <c r="C3437" s="1">
        <v>37.202647579500002</v>
      </c>
      <c r="D3437" s="1">
        <v>-6.99989528486</v>
      </c>
      <c r="E3437" s="3">
        <v>3</v>
      </c>
      <c r="F3437" s="2">
        <v>3</v>
      </c>
      <c r="G3437" s="4">
        <v>2</v>
      </c>
      <c r="H3437" s="13"/>
      <c r="I3437" s="15"/>
      <c r="J3437" s="19">
        <v>3</v>
      </c>
      <c r="K3437" s="2" t="s">
        <v>6884</v>
      </c>
      <c r="L3437" s="11" t="str">
        <f t="shared" si="55"/>
        <v>Ver Imagen</v>
      </c>
      <c r="M3437" t="s">
        <v>15</v>
      </c>
    </row>
    <row r="3438" spans="1:13" x14ac:dyDescent="0.25">
      <c r="A3438">
        <v>3437</v>
      </c>
      <c r="B3438" t="s">
        <v>6885</v>
      </c>
      <c r="C3438" s="1">
        <v>37.2026757577</v>
      </c>
      <c r="D3438" s="1">
        <v>-7.00011487016</v>
      </c>
      <c r="E3438" s="3">
        <v>3</v>
      </c>
      <c r="F3438" s="2">
        <v>3</v>
      </c>
      <c r="G3438" s="4">
        <v>2</v>
      </c>
      <c r="H3438" s="13"/>
      <c r="I3438" s="15"/>
      <c r="J3438" s="19">
        <v>3</v>
      </c>
      <c r="K3438" s="2" t="s">
        <v>6886</v>
      </c>
      <c r="L3438" s="11" t="str">
        <f t="shared" si="55"/>
        <v>Ver Imagen</v>
      </c>
      <c r="M3438" t="s">
        <v>15</v>
      </c>
    </row>
    <row r="3439" spans="1:13" x14ac:dyDescent="0.25">
      <c r="A3439">
        <v>3438</v>
      </c>
      <c r="B3439" t="s">
        <v>6887</v>
      </c>
      <c r="C3439" s="1">
        <v>37.202734304700002</v>
      </c>
      <c r="D3439" s="1">
        <v>-7.0005992125900001</v>
      </c>
      <c r="E3439" s="3">
        <v>4</v>
      </c>
      <c r="F3439" s="2">
        <v>3</v>
      </c>
      <c r="G3439" s="4">
        <v>3</v>
      </c>
      <c r="H3439" s="13"/>
      <c r="I3439" s="15"/>
      <c r="J3439" s="19">
        <v>3</v>
      </c>
      <c r="K3439" s="2" t="s">
        <v>6888</v>
      </c>
      <c r="L3439" s="11" t="str">
        <f t="shared" si="55"/>
        <v>Ver Imagen</v>
      </c>
      <c r="M3439" t="s">
        <v>15</v>
      </c>
    </row>
    <row r="3440" spans="1:13" x14ac:dyDescent="0.25">
      <c r="A3440">
        <v>3439</v>
      </c>
      <c r="B3440" t="s">
        <v>6889</v>
      </c>
      <c r="C3440" s="1">
        <v>37.202794930499998</v>
      </c>
      <c r="D3440" s="1">
        <v>-7.0011288137300003</v>
      </c>
      <c r="E3440" s="3">
        <v>4</v>
      </c>
      <c r="F3440" s="2">
        <v>3</v>
      </c>
      <c r="G3440" s="4">
        <v>3</v>
      </c>
      <c r="H3440" s="13"/>
      <c r="I3440" s="15"/>
      <c r="J3440" s="19">
        <v>3</v>
      </c>
      <c r="K3440" s="2" t="s">
        <v>6890</v>
      </c>
      <c r="L3440" s="11" t="str">
        <f t="shared" si="55"/>
        <v>Ver Imagen</v>
      </c>
      <c r="M3440" t="s">
        <v>15</v>
      </c>
    </row>
    <row r="3441" spans="1:13" x14ac:dyDescent="0.25">
      <c r="A3441">
        <v>3440</v>
      </c>
      <c r="B3441" t="s">
        <v>6891</v>
      </c>
      <c r="C3441" s="1">
        <v>37.202822507500002</v>
      </c>
      <c r="D3441" s="1">
        <v>-7.0013608594600001</v>
      </c>
      <c r="E3441" s="3">
        <v>3</v>
      </c>
      <c r="F3441" s="2">
        <v>3</v>
      </c>
      <c r="G3441" s="4">
        <v>2</v>
      </c>
      <c r="H3441" s="13"/>
      <c r="I3441" s="15"/>
      <c r="J3441" s="19">
        <v>3</v>
      </c>
      <c r="K3441" s="2" t="s">
        <v>6892</v>
      </c>
      <c r="L3441" s="11" t="str">
        <f t="shared" si="55"/>
        <v>Ver Imagen</v>
      </c>
      <c r="M3441" t="s">
        <v>15</v>
      </c>
    </row>
    <row r="3442" spans="1:13" x14ac:dyDescent="0.25">
      <c r="A3442">
        <v>3441</v>
      </c>
      <c r="B3442" t="s">
        <v>6893</v>
      </c>
      <c r="C3442" s="1">
        <v>37.2030421097</v>
      </c>
      <c r="D3442" s="1">
        <v>-7.0033391973199999</v>
      </c>
      <c r="E3442" s="3">
        <v>3</v>
      </c>
      <c r="F3442" s="2">
        <v>3</v>
      </c>
      <c r="G3442" s="4">
        <v>4</v>
      </c>
      <c r="H3442" s="13"/>
      <c r="I3442" s="15"/>
      <c r="J3442" s="19">
        <v>3</v>
      </c>
      <c r="K3442" s="2" t="s">
        <v>6894</v>
      </c>
      <c r="L3442" s="11" t="str">
        <f t="shared" si="55"/>
        <v>Ver Imagen</v>
      </c>
      <c r="M3442" t="s">
        <v>15</v>
      </c>
    </row>
    <row r="3443" spans="1:13" x14ac:dyDescent="0.25">
      <c r="A3443">
        <v>3442</v>
      </c>
      <c r="B3443" t="s">
        <v>6895</v>
      </c>
      <c r="C3443" s="1">
        <v>37.256436131800001</v>
      </c>
      <c r="D3443" s="1">
        <v>-7.0139723218599999</v>
      </c>
      <c r="E3443" s="3">
        <v>2</v>
      </c>
      <c r="F3443" s="2">
        <v>3</v>
      </c>
      <c r="G3443" s="4">
        <v>3</v>
      </c>
      <c r="H3443" s="13"/>
      <c r="I3443" s="15"/>
      <c r="J3443" s="19">
        <v>3</v>
      </c>
      <c r="K3443" s="2" t="s">
        <v>6896</v>
      </c>
      <c r="L3443" s="11" t="str">
        <f t="shared" si="55"/>
        <v>Ver Imagen</v>
      </c>
      <c r="M3443" t="s">
        <v>15</v>
      </c>
    </row>
    <row r="3444" spans="1:13" x14ac:dyDescent="0.25">
      <c r="A3444">
        <v>3443</v>
      </c>
      <c r="B3444" t="s">
        <v>6897</v>
      </c>
      <c r="C3444" s="1">
        <v>37.203195514000001</v>
      </c>
      <c r="D3444" s="1">
        <v>-7.0046442007199996</v>
      </c>
      <c r="E3444" s="3">
        <v>4</v>
      </c>
      <c r="F3444" s="2">
        <v>3</v>
      </c>
      <c r="G3444" s="4">
        <v>3</v>
      </c>
      <c r="H3444" s="13"/>
      <c r="I3444" s="15"/>
      <c r="J3444" s="19">
        <v>3</v>
      </c>
      <c r="K3444" s="2" t="s">
        <v>6898</v>
      </c>
      <c r="L3444" s="11" t="str">
        <f t="shared" si="55"/>
        <v>Ver Imagen</v>
      </c>
      <c r="M3444" t="s">
        <v>15</v>
      </c>
    </row>
    <row r="3445" spans="1:13" x14ac:dyDescent="0.25">
      <c r="A3445">
        <v>3444</v>
      </c>
      <c r="B3445" t="s">
        <v>6899</v>
      </c>
      <c r="C3445" s="1">
        <v>37.2032262082</v>
      </c>
      <c r="D3445" s="1">
        <v>-7.00488951098</v>
      </c>
      <c r="E3445" s="3">
        <v>2</v>
      </c>
      <c r="F3445" s="2">
        <v>3</v>
      </c>
      <c r="G3445" s="4">
        <v>3</v>
      </c>
      <c r="H3445" s="13"/>
      <c r="I3445" s="15"/>
      <c r="J3445" s="19">
        <v>3</v>
      </c>
      <c r="K3445" s="2" t="s">
        <v>6900</v>
      </c>
      <c r="L3445" s="11" t="str">
        <f t="shared" si="55"/>
        <v>Ver Imagen</v>
      </c>
      <c r="M3445" t="s">
        <v>15</v>
      </c>
    </row>
    <row r="3446" spans="1:13" x14ac:dyDescent="0.25">
      <c r="A3446">
        <v>3445</v>
      </c>
      <c r="B3446" t="s">
        <v>6901</v>
      </c>
      <c r="C3446" s="1">
        <v>37.203258507699999</v>
      </c>
      <c r="D3446" s="1">
        <v>-7.0051456666399998</v>
      </c>
      <c r="E3446" s="3">
        <v>2</v>
      </c>
      <c r="F3446" s="2">
        <v>3</v>
      </c>
      <c r="G3446" s="4">
        <v>3</v>
      </c>
      <c r="H3446" s="13"/>
      <c r="I3446" s="15"/>
      <c r="J3446" s="19">
        <v>3</v>
      </c>
      <c r="K3446" s="2" t="s">
        <v>6902</v>
      </c>
      <c r="L3446" s="11" t="str">
        <f t="shared" si="55"/>
        <v>Ver Imagen</v>
      </c>
      <c r="M3446" t="s">
        <v>15</v>
      </c>
    </row>
    <row r="3447" spans="1:13" x14ac:dyDescent="0.25">
      <c r="A3447">
        <v>3446</v>
      </c>
      <c r="B3447" t="s">
        <v>6903</v>
      </c>
      <c r="C3447" s="1">
        <v>37.203292994900004</v>
      </c>
      <c r="D3447" s="1">
        <v>-7.00541756383</v>
      </c>
      <c r="E3447" s="3">
        <v>2</v>
      </c>
      <c r="F3447" s="2">
        <v>3</v>
      </c>
      <c r="G3447" s="4">
        <v>3</v>
      </c>
      <c r="H3447" s="13"/>
      <c r="I3447" s="15"/>
      <c r="J3447" s="19">
        <v>3</v>
      </c>
      <c r="K3447" s="2" t="s">
        <v>6904</v>
      </c>
      <c r="L3447" s="11" t="str">
        <f t="shared" si="55"/>
        <v>Ver Imagen</v>
      </c>
      <c r="M3447" t="s">
        <v>15</v>
      </c>
    </row>
    <row r="3448" spans="1:13" x14ac:dyDescent="0.25">
      <c r="A3448">
        <v>3447</v>
      </c>
      <c r="B3448" t="s">
        <v>6905</v>
      </c>
      <c r="C3448" s="1">
        <v>37.255352860499997</v>
      </c>
      <c r="D3448" s="1">
        <v>-7.0146661365899998</v>
      </c>
      <c r="E3448" s="3">
        <v>2</v>
      </c>
      <c r="F3448" s="2">
        <v>3</v>
      </c>
      <c r="G3448" s="4">
        <v>3</v>
      </c>
      <c r="H3448" s="13"/>
      <c r="I3448" s="15"/>
      <c r="J3448" s="19">
        <v>3</v>
      </c>
      <c r="K3448" s="2" t="s">
        <v>6906</v>
      </c>
      <c r="L3448" s="11" t="str">
        <f t="shared" si="55"/>
        <v>Ver Imagen</v>
      </c>
      <c r="M3448" t="s">
        <v>15</v>
      </c>
    </row>
    <row r="3449" spans="1:13" x14ac:dyDescent="0.25">
      <c r="A3449">
        <v>3448</v>
      </c>
      <c r="B3449" t="s">
        <v>6907</v>
      </c>
      <c r="C3449" s="1">
        <v>37.203317963700002</v>
      </c>
      <c r="D3449" s="1">
        <v>-7.0056129190599998</v>
      </c>
      <c r="E3449" s="3">
        <v>2</v>
      </c>
      <c r="F3449" s="2">
        <v>3</v>
      </c>
      <c r="G3449" s="4">
        <v>3</v>
      </c>
      <c r="H3449" s="13"/>
      <c r="I3449" s="15"/>
      <c r="J3449" s="19">
        <v>3</v>
      </c>
      <c r="K3449" s="2" t="s">
        <v>6908</v>
      </c>
      <c r="L3449" s="11" t="str">
        <f t="shared" si="55"/>
        <v>Ver Imagen</v>
      </c>
      <c r="M3449" t="s">
        <v>15</v>
      </c>
    </row>
    <row r="3450" spans="1:13" x14ac:dyDescent="0.25">
      <c r="A3450">
        <v>3449</v>
      </c>
      <c r="B3450" t="s">
        <v>6909</v>
      </c>
      <c r="C3450" s="1">
        <v>37.254265230500003</v>
      </c>
      <c r="D3450" s="1">
        <v>-7.0153632224000004</v>
      </c>
      <c r="E3450" s="3">
        <v>3</v>
      </c>
      <c r="F3450" s="2">
        <v>3</v>
      </c>
      <c r="G3450" s="4">
        <v>4</v>
      </c>
      <c r="H3450" s="13"/>
      <c r="I3450" s="15"/>
      <c r="J3450" s="19">
        <v>3</v>
      </c>
      <c r="K3450" s="2" t="s">
        <v>6910</v>
      </c>
      <c r="L3450" s="11" t="str">
        <f t="shared" si="55"/>
        <v>Ver Imagen</v>
      </c>
      <c r="M3450" t="s">
        <v>15</v>
      </c>
    </row>
    <row r="3451" spans="1:13" x14ac:dyDescent="0.25">
      <c r="A3451">
        <v>3450</v>
      </c>
      <c r="B3451" t="s">
        <v>6911</v>
      </c>
      <c r="C3451" s="1">
        <v>37.254083520599998</v>
      </c>
      <c r="D3451" s="1">
        <v>-7.0154794890399996</v>
      </c>
      <c r="E3451" s="3">
        <v>3</v>
      </c>
      <c r="F3451" s="2">
        <v>3</v>
      </c>
      <c r="G3451" s="4">
        <v>4</v>
      </c>
      <c r="H3451" s="13"/>
      <c r="I3451" s="15"/>
      <c r="J3451" s="19">
        <v>3</v>
      </c>
      <c r="K3451" s="2" t="s">
        <v>6912</v>
      </c>
      <c r="L3451" s="11" t="str">
        <f t="shared" si="55"/>
        <v>Ver Imagen</v>
      </c>
      <c r="M3451" t="s">
        <v>15</v>
      </c>
    </row>
    <row r="3452" spans="1:13" x14ac:dyDescent="0.25">
      <c r="A3452">
        <v>3451</v>
      </c>
      <c r="B3452" t="s">
        <v>6913</v>
      </c>
      <c r="C3452" s="1">
        <v>37.2539031166</v>
      </c>
      <c r="D3452" s="1">
        <v>-7.0155956992500004</v>
      </c>
      <c r="E3452" s="3">
        <v>3</v>
      </c>
      <c r="F3452" s="2">
        <v>3</v>
      </c>
      <c r="G3452" s="4">
        <v>4</v>
      </c>
      <c r="H3452" s="13"/>
      <c r="I3452" s="15"/>
      <c r="J3452" s="19">
        <v>3</v>
      </c>
      <c r="K3452" s="2" t="s">
        <v>6914</v>
      </c>
      <c r="L3452" s="11" t="str">
        <f t="shared" si="55"/>
        <v>Ver Imagen</v>
      </c>
      <c r="M3452" t="s">
        <v>15</v>
      </c>
    </row>
    <row r="3453" spans="1:13" x14ac:dyDescent="0.25">
      <c r="A3453">
        <v>3452</v>
      </c>
      <c r="B3453" t="s">
        <v>6915</v>
      </c>
      <c r="C3453" s="1">
        <v>37.203486120699999</v>
      </c>
      <c r="D3453" s="1">
        <v>-7.0068863919800002</v>
      </c>
      <c r="E3453" s="3">
        <v>4</v>
      </c>
      <c r="F3453" s="2">
        <v>3</v>
      </c>
      <c r="G3453" s="4">
        <v>3</v>
      </c>
      <c r="H3453" s="13"/>
      <c r="I3453" s="15"/>
      <c r="J3453" s="19">
        <v>3</v>
      </c>
      <c r="K3453" s="2" t="s">
        <v>6916</v>
      </c>
      <c r="L3453" s="11" t="str">
        <f t="shared" si="55"/>
        <v>Ver Imagen</v>
      </c>
      <c r="M3453" t="s">
        <v>15</v>
      </c>
    </row>
    <row r="3454" spans="1:13" x14ac:dyDescent="0.25">
      <c r="A3454">
        <v>3453</v>
      </c>
      <c r="B3454" t="s">
        <v>6917</v>
      </c>
      <c r="C3454" s="1">
        <v>37.203555823999999</v>
      </c>
      <c r="D3454" s="1">
        <v>-7.0073833989600001</v>
      </c>
      <c r="E3454" s="3">
        <v>2</v>
      </c>
      <c r="F3454" s="2">
        <v>3</v>
      </c>
      <c r="G3454" s="4">
        <v>3</v>
      </c>
      <c r="H3454" s="13"/>
      <c r="I3454" s="15"/>
      <c r="J3454" s="19">
        <v>3</v>
      </c>
      <c r="K3454" s="2" t="s">
        <v>6918</v>
      </c>
      <c r="L3454" s="11" t="str">
        <f t="shared" si="55"/>
        <v>Ver Imagen</v>
      </c>
      <c r="M3454" t="s">
        <v>15</v>
      </c>
    </row>
    <row r="3455" spans="1:13" x14ac:dyDescent="0.25">
      <c r="A3455">
        <v>3454</v>
      </c>
      <c r="B3455" t="s">
        <v>6919</v>
      </c>
      <c r="C3455" s="1">
        <v>37.203632224800003</v>
      </c>
      <c r="D3455" s="1">
        <v>-7.0078962838900001</v>
      </c>
      <c r="E3455" s="3">
        <v>2</v>
      </c>
      <c r="F3455" s="2">
        <v>3</v>
      </c>
      <c r="G3455" s="4">
        <v>3</v>
      </c>
      <c r="H3455" s="13"/>
      <c r="I3455" s="15"/>
      <c r="J3455" s="19">
        <v>3</v>
      </c>
      <c r="K3455" s="2" t="s">
        <v>6920</v>
      </c>
      <c r="L3455" s="11" t="str">
        <f t="shared" si="55"/>
        <v>Ver Imagen</v>
      </c>
      <c r="M3455" t="s">
        <v>15</v>
      </c>
    </row>
    <row r="3456" spans="1:13" x14ac:dyDescent="0.25">
      <c r="A3456">
        <v>3455</v>
      </c>
      <c r="B3456" t="s">
        <v>6921</v>
      </c>
      <c r="C3456" s="1">
        <v>37.204013105599998</v>
      </c>
      <c r="D3456" s="1">
        <v>-7.0103326848199998</v>
      </c>
      <c r="E3456" s="3">
        <v>3</v>
      </c>
      <c r="F3456" s="2">
        <v>3</v>
      </c>
      <c r="G3456" s="4">
        <v>4</v>
      </c>
      <c r="H3456" s="13"/>
      <c r="I3456" s="15"/>
      <c r="J3456" s="19">
        <v>3</v>
      </c>
      <c r="K3456" s="2" t="s">
        <v>6922</v>
      </c>
      <c r="L3456" s="11" t="str">
        <f t="shared" si="55"/>
        <v>Ver Imagen</v>
      </c>
      <c r="M3456" t="s">
        <v>15</v>
      </c>
    </row>
    <row r="3457" spans="1:13" x14ac:dyDescent="0.25">
      <c r="A3457">
        <v>3456</v>
      </c>
      <c r="B3457" t="s">
        <v>6923</v>
      </c>
      <c r="C3457" s="1">
        <v>37.248112845800001</v>
      </c>
      <c r="D3457" s="1">
        <v>-7.0183739785599997</v>
      </c>
      <c r="E3457" s="3">
        <v>4</v>
      </c>
      <c r="F3457" s="2">
        <v>3</v>
      </c>
      <c r="G3457" s="4">
        <v>3</v>
      </c>
      <c r="H3457" s="13"/>
      <c r="I3457" s="15"/>
      <c r="J3457" s="19">
        <v>3</v>
      </c>
      <c r="K3457" s="2" t="s">
        <v>6924</v>
      </c>
      <c r="L3457" s="11" t="str">
        <f t="shared" si="55"/>
        <v>Ver Imagen</v>
      </c>
      <c r="M3457" t="s">
        <v>15</v>
      </c>
    </row>
    <row r="3458" spans="1:13" x14ac:dyDescent="0.25">
      <c r="A3458">
        <v>3457</v>
      </c>
      <c r="B3458" t="s">
        <v>6925</v>
      </c>
      <c r="C3458" s="1">
        <v>37.247911634700003</v>
      </c>
      <c r="D3458" s="1">
        <v>-7.0183813504500003</v>
      </c>
      <c r="E3458" s="3">
        <v>3</v>
      </c>
      <c r="F3458" s="2">
        <v>3</v>
      </c>
      <c r="G3458" s="4">
        <v>2</v>
      </c>
      <c r="H3458" s="13"/>
      <c r="I3458" s="15"/>
      <c r="J3458" s="19">
        <v>3</v>
      </c>
      <c r="K3458" s="2" t="s">
        <v>6926</v>
      </c>
      <c r="L3458" s="11" t="str">
        <f t="shared" si="55"/>
        <v>Ver Imagen</v>
      </c>
      <c r="M3458" t="s">
        <v>15</v>
      </c>
    </row>
    <row r="3459" spans="1:13" x14ac:dyDescent="0.25">
      <c r="A3459">
        <v>3458</v>
      </c>
      <c r="B3459" t="s">
        <v>6927</v>
      </c>
      <c r="C3459" s="1">
        <v>37.204497315600001</v>
      </c>
      <c r="D3459" s="1">
        <v>-7.0130844793999998</v>
      </c>
      <c r="E3459" s="3">
        <v>4</v>
      </c>
      <c r="F3459" s="2">
        <v>3</v>
      </c>
      <c r="G3459" s="4">
        <v>3</v>
      </c>
      <c r="H3459" s="13"/>
      <c r="I3459" s="15"/>
      <c r="J3459" s="19">
        <v>3</v>
      </c>
      <c r="K3459" s="2" t="s">
        <v>6928</v>
      </c>
      <c r="L3459" s="11" t="str">
        <f t="shared" si="55"/>
        <v>Ver Imagen</v>
      </c>
      <c r="M3459" t="s">
        <v>15</v>
      </c>
    </row>
    <row r="3460" spans="1:13" x14ac:dyDescent="0.25">
      <c r="A3460">
        <v>3459</v>
      </c>
      <c r="B3460" t="s">
        <v>6929</v>
      </c>
      <c r="C3460" s="1">
        <v>37.204545428499998</v>
      </c>
      <c r="D3460" s="1">
        <v>-7.0133403100200002</v>
      </c>
      <c r="E3460" s="3">
        <v>4</v>
      </c>
      <c r="F3460" s="2">
        <v>3</v>
      </c>
      <c r="G3460" s="4">
        <v>3</v>
      </c>
      <c r="H3460" s="13"/>
      <c r="I3460" s="15"/>
      <c r="J3460" s="19">
        <v>3</v>
      </c>
      <c r="K3460" s="2" t="s">
        <v>6930</v>
      </c>
      <c r="L3460" s="11" t="str">
        <f t="shared" si="55"/>
        <v>Ver Imagen</v>
      </c>
      <c r="M3460" t="s">
        <v>15</v>
      </c>
    </row>
    <row r="3461" spans="1:13" x14ac:dyDescent="0.25">
      <c r="A3461">
        <v>3460</v>
      </c>
      <c r="B3461" t="s">
        <v>6931</v>
      </c>
      <c r="C3461" s="1">
        <v>37.244445870600003</v>
      </c>
      <c r="D3461" s="1">
        <v>-7.0185062560700002</v>
      </c>
      <c r="E3461" s="3">
        <v>2</v>
      </c>
      <c r="F3461" s="2">
        <v>3</v>
      </c>
      <c r="G3461" s="4">
        <v>3</v>
      </c>
      <c r="H3461" s="13"/>
      <c r="I3461" s="15"/>
      <c r="J3461" s="19">
        <v>3</v>
      </c>
      <c r="K3461" s="2" t="s">
        <v>6932</v>
      </c>
      <c r="L3461" s="11" t="str">
        <f t="shared" si="55"/>
        <v>Ver Imagen</v>
      </c>
      <c r="M3461" t="s">
        <v>15</v>
      </c>
    </row>
    <row r="3462" spans="1:13" x14ac:dyDescent="0.25">
      <c r="A3462">
        <v>3461</v>
      </c>
      <c r="B3462" t="s">
        <v>6933</v>
      </c>
      <c r="C3462" s="1">
        <v>37.244245195799998</v>
      </c>
      <c r="D3462" s="1">
        <v>-7.0185149407900003</v>
      </c>
      <c r="E3462" s="3">
        <v>2</v>
      </c>
      <c r="F3462" s="2">
        <v>3</v>
      </c>
      <c r="G3462" s="4">
        <v>3</v>
      </c>
      <c r="H3462" s="13"/>
      <c r="I3462" s="15"/>
      <c r="J3462" s="19">
        <v>3</v>
      </c>
      <c r="K3462" s="2" t="s">
        <v>6934</v>
      </c>
      <c r="L3462" s="11" t="str">
        <f t="shared" si="55"/>
        <v>Ver Imagen</v>
      </c>
      <c r="M3462" t="s">
        <v>15</v>
      </c>
    </row>
    <row r="3463" spans="1:13" x14ac:dyDescent="0.25">
      <c r="A3463">
        <v>3462</v>
      </c>
      <c r="B3463" t="s">
        <v>6935</v>
      </c>
      <c r="C3463" s="1">
        <v>37.242835597899997</v>
      </c>
      <c r="D3463" s="1">
        <v>-7.0185719428900004</v>
      </c>
      <c r="E3463" s="3">
        <v>3</v>
      </c>
      <c r="F3463" s="2">
        <v>3</v>
      </c>
      <c r="G3463" s="4">
        <v>4</v>
      </c>
      <c r="H3463" s="13"/>
      <c r="I3463" s="15"/>
      <c r="J3463" s="19">
        <v>3</v>
      </c>
      <c r="K3463" s="2" t="s">
        <v>6936</v>
      </c>
      <c r="L3463" s="11" t="str">
        <f t="shared" si="55"/>
        <v>Ver Imagen</v>
      </c>
      <c r="M3463" t="s">
        <v>15</v>
      </c>
    </row>
    <row r="3464" spans="1:13" x14ac:dyDescent="0.25">
      <c r="A3464">
        <v>3463</v>
      </c>
      <c r="B3464" t="s">
        <v>6937</v>
      </c>
      <c r="C3464" s="1">
        <v>37.205558983700001</v>
      </c>
      <c r="D3464" s="1">
        <v>-7.0179765164700001</v>
      </c>
      <c r="E3464" s="3">
        <v>3</v>
      </c>
      <c r="F3464" s="2">
        <v>3</v>
      </c>
      <c r="G3464" s="4">
        <v>4</v>
      </c>
      <c r="H3464" s="13"/>
      <c r="I3464" s="15"/>
      <c r="J3464" s="19">
        <v>3</v>
      </c>
      <c r="K3464" s="2" t="s">
        <v>6938</v>
      </c>
      <c r="L3464" s="11" t="str">
        <f t="shared" si="55"/>
        <v>Ver Imagen</v>
      </c>
      <c r="M3464" t="s">
        <v>15</v>
      </c>
    </row>
    <row r="3465" spans="1:13" x14ac:dyDescent="0.25">
      <c r="A3465">
        <v>3464</v>
      </c>
      <c r="B3465" t="s">
        <v>6939</v>
      </c>
      <c r="C3465" s="1">
        <v>37.205630093300002</v>
      </c>
      <c r="D3465" s="1">
        <v>-7.0182119402399996</v>
      </c>
      <c r="E3465" s="3">
        <v>3</v>
      </c>
      <c r="F3465" s="2">
        <v>3</v>
      </c>
      <c r="G3465" s="4">
        <v>4</v>
      </c>
      <c r="H3465" s="13"/>
      <c r="I3465" s="15"/>
      <c r="J3465" s="19">
        <v>3</v>
      </c>
      <c r="K3465" s="2" t="s">
        <v>6940</v>
      </c>
      <c r="L3465" s="11" t="str">
        <f t="shared" si="55"/>
        <v>Ver Imagen</v>
      </c>
      <c r="M3465" t="s">
        <v>15</v>
      </c>
    </row>
    <row r="3466" spans="1:13" x14ac:dyDescent="0.25">
      <c r="A3466">
        <v>3465</v>
      </c>
      <c r="B3466" t="s">
        <v>6941</v>
      </c>
      <c r="C3466" s="1">
        <v>37.240423033600003</v>
      </c>
      <c r="D3466" s="1">
        <v>-7.0186599276599999</v>
      </c>
      <c r="E3466" s="3">
        <v>4</v>
      </c>
      <c r="F3466" s="2">
        <v>3</v>
      </c>
      <c r="G3466" s="4">
        <v>3</v>
      </c>
      <c r="H3466" s="13"/>
      <c r="I3466" s="15"/>
      <c r="J3466" s="19">
        <v>3</v>
      </c>
      <c r="K3466" s="2" t="s">
        <v>6942</v>
      </c>
      <c r="L3466" s="11" t="str">
        <f t="shared" si="55"/>
        <v>Ver Imagen</v>
      </c>
      <c r="M3466" t="s">
        <v>15</v>
      </c>
    </row>
    <row r="3467" spans="1:13" x14ac:dyDescent="0.25">
      <c r="A3467">
        <v>3466</v>
      </c>
      <c r="B3467" t="s">
        <v>6943</v>
      </c>
      <c r="C3467" s="1">
        <v>37.2059725628</v>
      </c>
      <c r="D3467" s="1">
        <v>-7.0191893299999997</v>
      </c>
      <c r="E3467" s="3">
        <v>4</v>
      </c>
      <c r="F3467" s="2">
        <v>3</v>
      </c>
      <c r="G3467" s="4">
        <v>3</v>
      </c>
      <c r="H3467" s="13"/>
      <c r="I3467" s="15"/>
      <c r="J3467" s="19">
        <v>3</v>
      </c>
      <c r="K3467" s="2" t="s">
        <v>6944</v>
      </c>
      <c r="L3467" s="11" t="str">
        <f t="shared" si="55"/>
        <v>Ver Imagen</v>
      </c>
      <c r="M3467" t="s">
        <v>15</v>
      </c>
    </row>
    <row r="3468" spans="1:13" x14ac:dyDescent="0.25">
      <c r="A3468">
        <v>3467</v>
      </c>
      <c r="B3468" t="s">
        <v>6945</v>
      </c>
      <c r="C3468" s="1">
        <v>37.240023364899997</v>
      </c>
      <c r="D3468" s="1">
        <v>-7.0186756585000003</v>
      </c>
      <c r="E3468" s="3">
        <v>4</v>
      </c>
      <c r="F3468" s="2">
        <v>3</v>
      </c>
      <c r="G3468" s="4">
        <v>3</v>
      </c>
      <c r="H3468" s="13"/>
      <c r="I3468" s="15"/>
      <c r="J3468" s="19">
        <v>3</v>
      </c>
      <c r="K3468" s="2" t="s">
        <v>6946</v>
      </c>
      <c r="L3468" s="11" t="str">
        <f t="shared" si="55"/>
        <v>Ver Imagen</v>
      </c>
      <c r="M3468" t="s">
        <v>15</v>
      </c>
    </row>
    <row r="3469" spans="1:13" x14ac:dyDescent="0.25">
      <c r="A3469">
        <v>3468</v>
      </c>
      <c r="B3469" t="s">
        <v>6947</v>
      </c>
      <c r="C3469" s="1">
        <v>37.239622445400002</v>
      </c>
      <c r="D3469" s="1">
        <v>-7.0186919268199999</v>
      </c>
      <c r="E3469" s="3">
        <v>2</v>
      </c>
      <c r="F3469" s="2">
        <v>3</v>
      </c>
      <c r="G3469" s="4">
        <v>3</v>
      </c>
      <c r="H3469" s="13"/>
      <c r="I3469" s="15"/>
      <c r="J3469" s="19">
        <v>3</v>
      </c>
      <c r="K3469" s="2" t="s">
        <v>6948</v>
      </c>
      <c r="L3469" s="11" t="str">
        <f t="shared" si="55"/>
        <v>Ver Imagen</v>
      </c>
      <c r="M3469" t="s">
        <v>15</v>
      </c>
    </row>
    <row r="3470" spans="1:13" x14ac:dyDescent="0.25">
      <c r="A3470">
        <v>3469</v>
      </c>
      <c r="B3470" t="s">
        <v>6949</v>
      </c>
      <c r="C3470" s="1">
        <v>37.239007109399999</v>
      </c>
      <c r="D3470" s="1">
        <v>-7.0187188213300002</v>
      </c>
      <c r="E3470" s="3">
        <v>2</v>
      </c>
      <c r="F3470" s="2">
        <v>3</v>
      </c>
      <c r="G3470" s="4">
        <v>3</v>
      </c>
      <c r="H3470" s="13"/>
      <c r="I3470" s="15"/>
      <c r="J3470" s="19">
        <v>3</v>
      </c>
      <c r="K3470" s="2" t="s">
        <v>6950</v>
      </c>
      <c r="L3470" s="11" t="str">
        <f t="shared" si="55"/>
        <v>Ver Imagen</v>
      </c>
      <c r="M3470" t="s">
        <v>15</v>
      </c>
    </row>
    <row r="3471" spans="1:13" x14ac:dyDescent="0.25">
      <c r="A3471">
        <v>3470</v>
      </c>
      <c r="B3471" t="s">
        <v>6951</v>
      </c>
      <c r="C3471" s="1">
        <v>37.2386290022</v>
      </c>
      <c r="D3471" s="1">
        <v>-7.0187349345200003</v>
      </c>
      <c r="E3471" s="3">
        <v>4</v>
      </c>
      <c r="F3471" s="2">
        <v>3</v>
      </c>
      <c r="G3471" s="4">
        <v>3</v>
      </c>
      <c r="H3471" s="13"/>
      <c r="I3471" s="15"/>
      <c r="J3471" s="19">
        <v>3</v>
      </c>
      <c r="K3471" s="2" t="s">
        <v>6952</v>
      </c>
      <c r="L3471" s="11" t="str">
        <f t="shared" si="55"/>
        <v>Ver Imagen</v>
      </c>
      <c r="M3471" t="s">
        <v>15</v>
      </c>
    </row>
    <row r="3472" spans="1:13" x14ac:dyDescent="0.25">
      <c r="A3472">
        <v>3471</v>
      </c>
      <c r="B3472" t="s">
        <v>6953</v>
      </c>
      <c r="C3472" s="1">
        <v>37.206918411700002</v>
      </c>
      <c r="D3472" s="1">
        <v>-7.02101268889</v>
      </c>
      <c r="E3472" s="3">
        <v>4</v>
      </c>
      <c r="F3472" s="2">
        <v>3</v>
      </c>
      <c r="G3472" s="4">
        <v>3</v>
      </c>
      <c r="H3472" s="13"/>
      <c r="I3472" s="15"/>
      <c r="J3472" s="19">
        <v>3</v>
      </c>
      <c r="K3472" s="2" t="s">
        <v>6954</v>
      </c>
      <c r="L3472" s="11" t="str">
        <f t="shared" si="55"/>
        <v>Ver Imagen</v>
      </c>
      <c r="M3472" t="s">
        <v>15</v>
      </c>
    </row>
    <row r="3473" spans="1:13" x14ac:dyDescent="0.25">
      <c r="A3473">
        <v>3472</v>
      </c>
      <c r="B3473" t="s">
        <v>6955</v>
      </c>
      <c r="C3473" s="1">
        <v>37.235559793699998</v>
      </c>
      <c r="D3473" s="1">
        <v>-7.0184245178899998</v>
      </c>
      <c r="E3473" s="3">
        <v>4</v>
      </c>
      <c r="F3473" s="2">
        <v>3</v>
      </c>
      <c r="G3473" s="4">
        <v>3</v>
      </c>
      <c r="H3473" s="13"/>
      <c r="I3473" s="15"/>
      <c r="J3473" s="19">
        <v>3</v>
      </c>
      <c r="K3473" s="2" t="s">
        <v>6956</v>
      </c>
      <c r="L3473" s="11" t="str">
        <f t="shared" si="55"/>
        <v>Ver Imagen</v>
      </c>
      <c r="M3473" t="s">
        <v>15</v>
      </c>
    </row>
    <row r="3474" spans="1:13" x14ac:dyDescent="0.25">
      <c r="A3474">
        <v>3473</v>
      </c>
      <c r="B3474" t="s">
        <v>6957</v>
      </c>
      <c r="C3474" s="1">
        <v>37.2091932696</v>
      </c>
      <c r="D3474" s="1">
        <v>-7.0231314429799996</v>
      </c>
      <c r="E3474" s="3">
        <v>4</v>
      </c>
      <c r="F3474" s="2">
        <v>3</v>
      </c>
      <c r="G3474" s="4">
        <v>3</v>
      </c>
      <c r="H3474" s="13"/>
      <c r="I3474" s="15"/>
      <c r="J3474" s="19">
        <v>3</v>
      </c>
      <c r="K3474" s="2" t="s">
        <v>6958</v>
      </c>
      <c r="L3474" s="11" t="str">
        <f t="shared" si="55"/>
        <v>Ver Imagen</v>
      </c>
      <c r="M3474" t="s">
        <v>15</v>
      </c>
    </row>
    <row r="3475" spans="1:13" x14ac:dyDescent="0.25">
      <c r="A3475">
        <v>3474</v>
      </c>
      <c r="B3475" t="s">
        <v>6959</v>
      </c>
      <c r="C3475" s="1">
        <v>37.210531541599998</v>
      </c>
      <c r="D3475" s="1">
        <v>-7.0236814088099999</v>
      </c>
      <c r="E3475" s="3">
        <v>2</v>
      </c>
      <c r="F3475" s="2">
        <v>3</v>
      </c>
      <c r="G3475" s="4">
        <v>3</v>
      </c>
      <c r="H3475" s="13"/>
      <c r="I3475" s="15"/>
      <c r="J3475" s="19">
        <v>3</v>
      </c>
      <c r="K3475" s="2" t="s">
        <v>6960</v>
      </c>
      <c r="L3475" s="11" t="str">
        <f t="shared" si="55"/>
        <v>Ver Imagen</v>
      </c>
      <c r="M3475" t="s">
        <v>15</v>
      </c>
    </row>
    <row r="3476" spans="1:13" x14ac:dyDescent="0.25">
      <c r="A3476">
        <v>3475</v>
      </c>
      <c r="B3476" t="s">
        <v>6961</v>
      </c>
      <c r="C3476" s="1">
        <v>37.230286529700003</v>
      </c>
      <c r="D3476" s="1">
        <v>-7.0202473857500003</v>
      </c>
      <c r="E3476" s="3">
        <v>4</v>
      </c>
      <c r="F3476" s="2">
        <v>3</v>
      </c>
      <c r="G3476" s="4">
        <v>3</v>
      </c>
      <c r="H3476" s="13"/>
      <c r="I3476" s="15"/>
      <c r="J3476" s="19">
        <v>3</v>
      </c>
      <c r="K3476" s="2" t="s">
        <v>6962</v>
      </c>
      <c r="L3476" s="11" t="str">
        <f t="shared" si="55"/>
        <v>Ver Imagen</v>
      </c>
      <c r="M3476" t="s">
        <v>15</v>
      </c>
    </row>
    <row r="3477" spans="1:13" x14ac:dyDescent="0.25">
      <c r="A3477">
        <v>3476</v>
      </c>
      <c r="B3477" t="s">
        <v>6963</v>
      </c>
      <c r="C3477" s="1">
        <v>37.229964452499999</v>
      </c>
      <c r="D3477" s="1">
        <v>-7.0204947774499997</v>
      </c>
      <c r="E3477" s="3">
        <v>2</v>
      </c>
      <c r="F3477" s="2">
        <v>3</v>
      </c>
      <c r="G3477" s="4">
        <v>3</v>
      </c>
      <c r="H3477" s="13"/>
      <c r="I3477" s="15"/>
      <c r="J3477" s="19">
        <v>3</v>
      </c>
      <c r="K3477" s="2" t="s">
        <v>6964</v>
      </c>
      <c r="L3477" s="11" t="str">
        <f t="shared" si="55"/>
        <v>Ver Imagen</v>
      </c>
      <c r="M3477" t="s">
        <v>15</v>
      </c>
    </row>
    <row r="3478" spans="1:13" x14ac:dyDescent="0.25">
      <c r="A3478">
        <v>3477</v>
      </c>
      <c r="B3478" t="s">
        <v>6965</v>
      </c>
      <c r="C3478" s="1">
        <v>37.229766420200001</v>
      </c>
      <c r="D3478" s="1">
        <v>-7.0206453873000001</v>
      </c>
      <c r="E3478" s="3">
        <v>4</v>
      </c>
      <c r="F3478" s="2">
        <v>3</v>
      </c>
      <c r="G3478" s="4">
        <v>3</v>
      </c>
      <c r="H3478" s="13"/>
      <c r="I3478" s="15"/>
      <c r="J3478" s="19">
        <v>3</v>
      </c>
      <c r="K3478" s="2" t="s">
        <v>6966</v>
      </c>
      <c r="L3478" s="11" t="str">
        <f t="shared" si="55"/>
        <v>Ver Imagen</v>
      </c>
      <c r="M3478" t="s">
        <v>15</v>
      </c>
    </row>
    <row r="3479" spans="1:13" x14ac:dyDescent="0.25">
      <c r="A3479">
        <v>3478</v>
      </c>
      <c r="B3479" t="s">
        <v>6967</v>
      </c>
      <c r="C3479" s="1">
        <v>37.229592969700001</v>
      </c>
      <c r="D3479" s="1">
        <v>-7.0207760671399999</v>
      </c>
      <c r="E3479" s="3">
        <v>4</v>
      </c>
      <c r="F3479" s="2">
        <v>3</v>
      </c>
      <c r="G3479" s="4">
        <v>3</v>
      </c>
      <c r="H3479" s="13"/>
      <c r="I3479" s="15"/>
      <c r="J3479" s="19">
        <v>3</v>
      </c>
      <c r="K3479" s="2" t="s">
        <v>6968</v>
      </c>
      <c r="L3479" s="11" t="str">
        <f t="shared" si="55"/>
        <v>Ver Imagen</v>
      </c>
      <c r="M3479" t="s">
        <v>15</v>
      </c>
    </row>
    <row r="3480" spans="1:13" x14ac:dyDescent="0.25">
      <c r="A3480">
        <v>3479</v>
      </c>
      <c r="B3480" t="s">
        <v>6969</v>
      </c>
      <c r="C3480" s="1">
        <v>37.229467306399997</v>
      </c>
      <c r="D3480" s="1">
        <v>-7.0208704126899999</v>
      </c>
      <c r="E3480" s="3">
        <v>4</v>
      </c>
      <c r="F3480" s="2">
        <v>3</v>
      </c>
      <c r="G3480" s="4">
        <v>3</v>
      </c>
      <c r="H3480" s="13"/>
      <c r="I3480" s="15"/>
      <c r="J3480" s="19">
        <v>3</v>
      </c>
      <c r="K3480" s="2" t="s">
        <v>6970</v>
      </c>
      <c r="L3480" s="11" t="str">
        <f t="shared" si="55"/>
        <v>Ver Imagen</v>
      </c>
      <c r="M3480" t="s">
        <v>15</v>
      </c>
    </row>
    <row r="3481" spans="1:13" x14ac:dyDescent="0.25">
      <c r="A3481">
        <v>3480</v>
      </c>
      <c r="B3481" t="s">
        <v>6971</v>
      </c>
      <c r="C3481" s="1">
        <v>37.229268064700001</v>
      </c>
      <c r="D3481" s="1">
        <v>-7.0210198400400001</v>
      </c>
      <c r="E3481" s="3">
        <v>4</v>
      </c>
      <c r="F3481" s="2">
        <v>3</v>
      </c>
      <c r="G3481" s="4">
        <v>3</v>
      </c>
      <c r="H3481" s="13"/>
      <c r="I3481" s="15"/>
      <c r="J3481" s="19">
        <v>3</v>
      </c>
      <c r="K3481" s="2" t="s">
        <v>6972</v>
      </c>
      <c r="L3481" s="11" t="str">
        <f t="shared" si="55"/>
        <v>Ver Imagen</v>
      </c>
      <c r="M3481" t="s">
        <v>15</v>
      </c>
    </row>
    <row r="3482" spans="1:13" x14ac:dyDescent="0.25">
      <c r="A3482">
        <v>3481</v>
      </c>
      <c r="B3482" t="s">
        <v>6973</v>
      </c>
      <c r="C3482" s="1">
        <v>37.227038376000003</v>
      </c>
      <c r="D3482" s="1">
        <v>-7.0226901024600004</v>
      </c>
      <c r="E3482" s="3">
        <v>3</v>
      </c>
      <c r="F3482" s="2">
        <v>3</v>
      </c>
      <c r="G3482" s="4">
        <v>2</v>
      </c>
      <c r="H3482" s="13"/>
      <c r="I3482" s="15"/>
      <c r="J3482" s="19">
        <v>3</v>
      </c>
      <c r="K3482" s="2" t="s">
        <v>6974</v>
      </c>
      <c r="L3482" s="11" t="str">
        <f t="shared" si="55"/>
        <v>Ver Imagen</v>
      </c>
      <c r="M3482" t="s">
        <v>15</v>
      </c>
    </row>
    <row r="3483" spans="1:13" x14ac:dyDescent="0.25">
      <c r="A3483">
        <v>3482</v>
      </c>
      <c r="B3483" t="s">
        <v>6975</v>
      </c>
      <c r="C3483" s="1">
        <v>37.226655044499999</v>
      </c>
      <c r="D3483" s="1">
        <v>-7.0229163502</v>
      </c>
      <c r="E3483" s="3">
        <v>3</v>
      </c>
      <c r="F3483" s="2">
        <v>3</v>
      </c>
      <c r="G3483" s="4">
        <v>2</v>
      </c>
      <c r="H3483" s="13"/>
      <c r="I3483" s="15"/>
      <c r="J3483" s="19">
        <v>3</v>
      </c>
      <c r="K3483" s="2" t="s">
        <v>6976</v>
      </c>
      <c r="L3483" s="11" t="str">
        <f t="shared" si="55"/>
        <v>Ver Imagen</v>
      </c>
      <c r="M3483" t="s">
        <v>15</v>
      </c>
    </row>
    <row r="3484" spans="1:13" x14ac:dyDescent="0.25">
      <c r="A3484">
        <v>3483</v>
      </c>
      <c r="B3484" t="s">
        <v>6977</v>
      </c>
      <c r="C3484" s="1">
        <v>37.215168434699997</v>
      </c>
      <c r="D3484" s="1">
        <v>-7.0233802186499998</v>
      </c>
      <c r="E3484" s="3">
        <v>2</v>
      </c>
      <c r="F3484" s="2">
        <v>3</v>
      </c>
      <c r="G3484" s="4">
        <v>3</v>
      </c>
      <c r="H3484" s="13"/>
      <c r="I3484" s="15"/>
      <c r="J3484" s="19">
        <v>3</v>
      </c>
      <c r="K3484" s="2" t="s">
        <v>6978</v>
      </c>
      <c r="L3484" s="11" t="str">
        <f t="shared" si="55"/>
        <v>Ver Imagen</v>
      </c>
      <c r="M3484" t="s">
        <v>15</v>
      </c>
    </row>
    <row r="3485" spans="1:13" x14ac:dyDescent="0.25">
      <c r="A3485">
        <v>3484</v>
      </c>
      <c r="B3485" t="s">
        <v>6979</v>
      </c>
      <c r="C3485" s="1">
        <v>37.216391331499999</v>
      </c>
      <c r="D3485" s="1">
        <v>-7.0231598923899998</v>
      </c>
      <c r="E3485" s="3">
        <v>3</v>
      </c>
      <c r="F3485" s="2">
        <v>3</v>
      </c>
      <c r="G3485" s="4">
        <v>2</v>
      </c>
      <c r="H3485" s="13"/>
      <c r="I3485" s="15"/>
      <c r="J3485" s="19">
        <v>3</v>
      </c>
      <c r="K3485" s="2" t="s">
        <v>6980</v>
      </c>
      <c r="L3485" s="11" t="str">
        <f t="shared" si="55"/>
        <v>Ver Imagen</v>
      </c>
      <c r="M3485" t="s">
        <v>15</v>
      </c>
    </row>
    <row r="3486" spans="1:13" x14ac:dyDescent="0.25">
      <c r="A3486">
        <v>3485</v>
      </c>
      <c r="B3486" t="s">
        <v>6981</v>
      </c>
      <c r="C3486" s="1">
        <v>37.216802949200002</v>
      </c>
      <c r="D3486" s="1">
        <v>-7.0230849710000003</v>
      </c>
      <c r="E3486" s="3">
        <v>2</v>
      </c>
      <c r="F3486" s="2">
        <v>3</v>
      </c>
      <c r="G3486" s="4">
        <v>3</v>
      </c>
      <c r="H3486" s="13"/>
      <c r="I3486" s="15"/>
      <c r="J3486" s="19">
        <v>3</v>
      </c>
      <c r="K3486" s="2" t="s">
        <v>6982</v>
      </c>
      <c r="L3486" s="11" t="str">
        <f t="shared" si="55"/>
        <v>Ver Imagen</v>
      </c>
      <c r="M3486" t="s">
        <v>15</v>
      </c>
    </row>
    <row r="3487" spans="1:13" x14ac:dyDescent="0.25">
      <c r="A3487">
        <v>3486</v>
      </c>
      <c r="B3487" t="s">
        <v>6983</v>
      </c>
      <c r="C3487" s="1">
        <v>37.217187559099997</v>
      </c>
      <c r="D3487" s="1">
        <v>-7.0230167880499996</v>
      </c>
      <c r="E3487" s="3">
        <v>2</v>
      </c>
      <c r="F3487" s="2">
        <v>3</v>
      </c>
      <c r="G3487" s="4">
        <v>3</v>
      </c>
      <c r="H3487" s="13"/>
      <c r="I3487" s="15"/>
      <c r="J3487" s="19">
        <v>3</v>
      </c>
      <c r="K3487" s="2" t="s">
        <v>6984</v>
      </c>
      <c r="L3487" s="11" t="str">
        <f t="shared" si="55"/>
        <v>Ver Imagen</v>
      </c>
      <c r="M3487" t="s">
        <v>15</v>
      </c>
    </row>
    <row r="3488" spans="1:13" x14ac:dyDescent="0.25">
      <c r="A3488">
        <v>3487</v>
      </c>
      <c r="B3488" t="s">
        <v>6985</v>
      </c>
      <c r="C3488" s="1">
        <v>37.217358027099998</v>
      </c>
      <c r="D3488" s="1">
        <v>-7.0229872977500003</v>
      </c>
      <c r="E3488" s="3">
        <v>3</v>
      </c>
      <c r="F3488" s="2">
        <v>3</v>
      </c>
      <c r="G3488" s="4">
        <v>2</v>
      </c>
      <c r="H3488" s="13"/>
      <c r="I3488" s="15"/>
      <c r="J3488" s="19">
        <v>3</v>
      </c>
      <c r="K3488" s="2" t="s">
        <v>6986</v>
      </c>
      <c r="L3488" s="11" t="str">
        <f t="shared" si="55"/>
        <v>Ver Imagen</v>
      </c>
      <c r="M3488" t="s">
        <v>15</v>
      </c>
    </row>
    <row r="3489" spans="1:13" x14ac:dyDescent="0.25">
      <c r="A3489">
        <v>3488</v>
      </c>
      <c r="B3489" t="s">
        <v>6987</v>
      </c>
      <c r="C3489" s="1">
        <v>37.217545521300003</v>
      </c>
      <c r="D3489" s="1">
        <v>-7.0229553756099996</v>
      </c>
      <c r="E3489" s="3">
        <v>4</v>
      </c>
      <c r="F3489" s="2">
        <v>3</v>
      </c>
      <c r="G3489" s="4">
        <v>3</v>
      </c>
      <c r="H3489" s="13"/>
      <c r="I3489" s="15"/>
      <c r="J3489" s="19">
        <v>3</v>
      </c>
      <c r="K3489" s="2" t="s">
        <v>6988</v>
      </c>
      <c r="L3489" s="11" t="str">
        <f t="shared" si="55"/>
        <v>Ver Imagen</v>
      </c>
      <c r="M3489" t="s">
        <v>15</v>
      </c>
    </row>
    <row r="3490" spans="1:13" x14ac:dyDescent="0.25">
      <c r="A3490">
        <v>3489</v>
      </c>
      <c r="B3490" t="s">
        <v>6989</v>
      </c>
      <c r="C3490" s="1">
        <v>37.223236912200001</v>
      </c>
      <c r="D3490" s="1">
        <v>-7.0232704656199996</v>
      </c>
      <c r="E3490" s="3">
        <v>2</v>
      </c>
      <c r="F3490" s="2">
        <v>3</v>
      </c>
      <c r="G3490" s="4">
        <v>3</v>
      </c>
      <c r="H3490" s="13"/>
      <c r="I3490" s="15"/>
      <c r="J3490" s="19">
        <v>3</v>
      </c>
      <c r="K3490" s="2" t="s">
        <v>6990</v>
      </c>
      <c r="L3490" s="11" t="str">
        <f t="shared" si="55"/>
        <v>Ver Imagen</v>
      </c>
      <c r="M3490" t="s">
        <v>15</v>
      </c>
    </row>
    <row r="3491" spans="1:13" x14ac:dyDescent="0.25">
      <c r="A3491">
        <v>3490</v>
      </c>
      <c r="B3491" t="s">
        <v>6991</v>
      </c>
      <c r="C3491" s="1">
        <v>37.222479311800001</v>
      </c>
      <c r="D3491" s="1">
        <v>-7.0231970095999996</v>
      </c>
      <c r="E3491" s="3">
        <v>2</v>
      </c>
      <c r="F3491" s="2">
        <v>3</v>
      </c>
      <c r="G3491" s="4">
        <v>3</v>
      </c>
      <c r="H3491" s="13"/>
      <c r="I3491" s="15"/>
      <c r="J3491" s="19">
        <v>3</v>
      </c>
      <c r="K3491" s="2" t="s">
        <v>6992</v>
      </c>
      <c r="L3491" s="11" t="str">
        <f t="shared" si="55"/>
        <v>Ver Imagen</v>
      </c>
      <c r="M3491" t="s">
        <v>15</v>
      </c>
    </row>
    <row r="3492" spans="1:13" x14ac:dyDescent="0.25">
      <c r="A3492">
        <v>3491</v>
      </c>
      <c r="B3492" t="s">
        <v>6993</v>
      </c>
      <c r="C3492" s="1">
        <v>37.220482520300003</v>
      </c>
      <c r="D3492" s="1">
        <v>-7.0230063882499998</v>
      </c>
      <c r="E3492" s="3">
        <v>3</v>
      </c>
      <c r="F3492" s="2">
        <v>3</v>
      </c>
      <c r="G3492" s="4">
        <v>4</v>
      </c>
      <c r="H3492" s="13"/>
      <c r="I3492" s="15"/>
      <c r="J3492" s="19">
        <v>3</v>
      </c>
      <c r="K3492" s="2" t="s">
        <v>6994</v>
      </c>
      <c r="L3492" s="11" t="str">
        <f t="shared" si="55"/>
        <v>Ver Imagen</v>
      </c>
      <c r="M3492" t="s">
        <v>15</v>
      </c>
    </row>
    <row r="3493" spans="1:13" x14ac:dyDescent="0.25">
      <c r="A3493">
        <v>3492</v>
      </c>
      <c r="B3493" t="s">
        <v>6995</v>
      </c>
      <c r="C3493" s="1">
        <v>37.220056099099999</v>
      </c>
      <c r="D3493" s="1">
        <v>-7.0229704711199998</v>
      </c>
      <c r="E3493" s="3">
        <v>4</v>
      </c>
      <c r="F3493" s="2">
        <v>3</v>
      </c>
      <c r="G3493" s="4">
        <v>3</v>
      </c>
      <c r="H3493" s="13"/>
      <c r="I3493" s="15"/>
      <c r="J3493" s="19">
        <v>3</v>
      </c>
      <c r="K3493" s="2" t="s">
        <v>6996</v>
      </c>
      <c r="L3493" s="11" t="str">
        <f t="shared" si="55"/>
        <v>Ver Imagen</v>
      </c>
      <c r="M3493" t="s">
        <v>15</v>
      </c>
    </row>
    <row r="3494" spans="1:13" x14ac:dyDescent="0.25">
      <c r="A3494">
        <v>3493</v>
      </c>
      <c r="B3494" t="s">
        <v>6997</v>
      </c>
      <c r="C3494" s="1">
        <v>37.219847287999997</v>
      </c>
      <c r="D3494" s="1">
        <v>-7.02295762341</v>
      </c>
      <c r="E3494" s="3">
        <v>4</v>
      </c>
      <c r="F3494" s="2">
        <v>3</v>
      </c>
      <c r="G3494" s="4">
        <v>3</v>
      </c>
      <c r="H3494" s="13"/>
      <c r="I3494" s="15"/>
      <c r="J3494" s="19">
        <v>3</v>
      </c>
      <c r="K3494" s="2" t="s">
        <v>6998</v>
      </c>
      <c r="L3494" s="11" t="str">
        <f t="shared" si="55"/>
        <v>Ver Imagen</v>
      </c>
      <c r="M3494" t="s">
        <v>15</v>
      </c>
    </row>
    <row r="3495" spans="1:13" x14ac:dyDescent="0.25">
      <c r="A3495">
        <v>3494</v>
      </c>
      <c r="B3495" t="s">
        <v>6999</v>
      </c>
      <c r="C3495" s="1">
        <v>37.219645947499998</v>
      </c>
      <c r="D3495" s="1">
        <v>-7.0229504898100004</v>
      </c>
      <c r="E3495" s="3">
        <v>4</v>
      </c>
      <c r="F3495" s="2">
        <v>3</v>
      </c>
      <c r="G3495" s="4">
        <v>3</v>
      </c>
      <c r="H3495" s="13"/>
      <c r="I3495" s="15"/>
      <c r="J3495" s="19">
        <v>3</v>
      </c>
      <c r="K3495" s="2" t="s">
        <v>7000</v>
      </c>
      <c r="L3495" s="11" t="str">
        <f t="shared" si="55"/>
        <v>Ver Imagen</v>
      </c>
      <c r="M3495" t="s">
        <v>15</v>
      </c>
    </row>
    <row r="3496" spans="1:13" x14ac:dyDescent="0.25">
      <c r="A3496">
        <v>3495</v>
      </c>
      <c r="B3496" t="s">
        <v>7001</v>
      </c>
      <c r="C3496" s="1">
        <v>37.218830161200003</v>
      </c>
      <c r="D3496" s="1">
        <v>-7.0229743138999998</v>
      </c>
      <c r="E3496" s="3">
        <v>2</v>
      </c>
      <c r="F3496" s="2">
        <v>3</v>
      </c>
      <c r="G3496" s="4">
        <v>3</v>
      </c>
      <c r="H3496" s="13"/>
      <c r="I3496" s="15"/>
      <c r="J3496" s="19">
        <v>3</v>
      </c>
      <c r="K3496" s="2" t="s">
        <v>7002</v>
      </c>
      <c r="L3496" s="11" t="str">
        <f t="shared" si="55"/>
        <v>Ver Imagen</v>
      </c>
      <c r="M3496" t="s">
        <v>15</v>
      </c>
    </row>
    <row r="3497" spans="1:13" x14ac:dyDescent="0.25">
      <c r="A3497">
        <v>3496</v>
      </c>
      <c r="B3497" t="s">
        <v>7003</v>
      </c>
      <c r="C3497" s="1">
        <v>37.215226551599997</v>
      </c>
      <c r="D3497" s="1">
        <v>-7.0235455444300001</v>
      </c>
      <c r="E3497" s="3">
        <v>4</v>
      </c>
      <c r="F3497" s="2">
        <v>3</v>
      </c>
      <c r="G3497" s="4">
        <v>3</v>
      </c>
      <c r="H3497" s="13"/>
      <c r="I3497" s="15"/>
      <c r="J3497" s="19">
        <v>3</v>
      </c>
      <c r="K3497" s="2" t="s">
        <v>7004</v>
      </c>
      <c r="L3497" s="11" t="str">
        <f t="shared" ref="L3497:L3560" si="56">HYPERLINK("3\1\" &amp; K3497, "Ver Imagen")</f>
        <v>Ver Imagen</v>
      </c>
      <c r="M3497" t="s">
        <v>15</v>
      </c>
    </row>
    <row r="3498" spans="1:13" x14ac:dyDescent="0.25">
      <c r="A3498">
        <v>3497</v>
      </c>
      <c r="B3498" t="s">
        <v>7005</v>
      </c>
      <c r="C3498" s="1">
        <v>37.214388880000001</v>
      </c>
      <c r="D3498" s="1">
        <v>-7.0236979288399999</v>
      </c>
      <c r="E3498" s="3">
        <v>4</v>
      </c>
      <c r="F3498" s="2">
        <v>3</v>
      </c>
      <c r="G3498" s="4">
        <v>3</v>
      </c>
      <c r="H3498" s="13"/>
      <c r="I3498" s="15"/>
      <c r="J3498" s="19">
        <v>3</v>
      </c>
      <c r="K3498" s="2" t="s">
        <v>7006</v>
      </c>
      <c r="L3498" s="11" t="str">
        <f t="shared" si="56"/>
        <v>Ver Imagen</v>
      </c>
      <c r="M3498" t="s">
        <v>15</v>
      </c>
    </row>
    <row r="3499" spans="1:13" x14ac:dyDescent="0.25">
      <c r="A3499">
        <v>3498</v>
      </c>
      <c r="B3499" t="s">
        <v>7007</v>
      </c>
      <c r="C3499" s="1">
        <v>37.212619836400002</v>
      </c>
      <c r="D3499" s="1">
        <v>-7.0239951517100003</v>
      </c>
      <c r="E3499" s="3">
        <v>4</v>
      </c>
      <c r="F3499" s="2">
        <v>3</v>
      </c>
      <c r="G3499" s="4">
        <v>3</v>
      </c>
      <c r="H3499" s="13"/>
      <c r="I3499" s="15"/>
      <c r="J3499" s="19">
        <v>3</v>
      </c>
      <c r="K3499" s="2" t="s">
        <v>7008</v>
      </c>
      <c r="L3499" s="11" t="str">
        <f t="shared" si="56"/>
        <v>Ver Imagen</v>
      </c>
      <c r="M3499" t="s">
        <v>15</v>
      </c>
    </row>
    <row r="3500" spans="1:13" x14ac:dyDescent="0.25">
      <c r="A3500">
        <v>3499</v>
      </c>
      <c r="B3500" t="s">
        <v>7009</v>
      </c>
      <c r="C3500" s="1">
        <v>37.211755709999998</v>
      </c>
      <c r="D3500" s="1">
        <v>-7.0240493499600003</v>
      </c>
      <c r="E3500" s="3">
        <v>4</v>
      </c>
      <c r="F3500" s="2">
        <v>3</v>
      </c>
      <c r="G3500" s="4">
        <v>3</v>
      </c>
      <c r="H3500" s="13"/>
      <c r="I3500" s="15"/>
      <c r="J3500" s="19">
        <v>3</v>
      </c>
      <c r="K3500" s="2" t="s">
        <v>7010</v>
      </c>
      <c r="L3500" s="11" t="str">
        <f t="shared" si="56"/>
        <v>Ver Imagen</v>
      </c>
      <c r="M3500" t="s">
        <v>15</v>
      </c>
    </row>
    <row r="3501" spans="1:13" x14ac:dyDescent="0.25">
      <c r="A3501">
        <v>3500</v>
      </c>
      <c r="B3501" t="s">
        <v>7011</v>
      </c>
      <c r="C3501" s="1">
        <v>37.211371371399999</v>
      </c>
      <c r="D3501" s="1">
        <v>-7.0240296650299996</v>
      </c>
      <c r="E3501" s="3">
        <v>4</v>
      </c>
      <c r="F3501" s="2">
        <v>3</v>
      </c>
      <c r="G3501" s="4">
        <v>3</v>
      </c>
      <c r="H3501" s="13"/>
      <c r="I3501" s="15"/>
      <c r="J3501" s="19">
        <v>3</v>
      </c>
      <c r="K3501" s="2" t="s">
        <v>7012</v>
      </c>
      <c r="L3501" s="11" t="str">
        <f t="shared" si="56"/>
        <v>Ver Imagen</v>
      </c>
      <c r="M3501" t="s">
        <v>15</v>
      </c>
    </row>
    <row r="3502" spans="1:13" x14ac:dyDescent="0.25">
      <c r="A3502">
        <v>3501</v>
      </c>
      <c r="B3502" t="s">
        <v>7013</v>
      </c>
      <c r="C3502" s="1">
        <v>37.211177509800002</v>
      </c>
      <c r="D3502" s="1">
        <v>-7.0240098720199997</v>
      </c>
      <c r="E3502" s="3">
        <v>4</v>
      </c>
      <c r="F3502" s="2">
        <v>3</v>
      </c>
      <c r="G3502" s="4">
        <v>3</v>
      </c>
      <c r="H3502" s="13"/>
      <c r="I3502" s="15"/>
      <c r="J3502" s="19">
        <v>3</v>
      </c>
      <c r="K3502" s="2" t="s">
        <v>7014</v>
      </c>
      <c r="L3502" s="11" t="str">
        <f t="shared" si="56"/>
        <v>Ver Imagen</v>
      </c>
      <c r="M3502" t="s">
        <v>15</v>
      </c>
    </row>
    <row r="3503" spans="1:13" x14ac:dyDescent="0.25">
      <c r="A3503">
        <v>3502</v>
      </c>
      <c r="B3503" t="s">
        <v>7015</v>
      </c>
      <c r="C3503" s="1">
        <v>37.210988619200002</v>
      </c>
      <c r="D3503" s="1">
        <v>-7.0239833525200002</v>
      </c>
      <c r="E3503" s="3">
        <v>4</v>
      </c>
      <c r="F3503" s="2">
        <v>3</v>
      </c>
      <c r="G3503" s="4">
        <v>3</v>
      </c>
      <c r="H3503" s="13"/>
      <c r="I3503" s="15"/>
      <c r="J3503" s="19">
        <v>3</v>
      </c>
      <c r="K3503" s="2" t="s">
        <v>7016</v>
      </c>
      <c r="L3503" s="11" t="str">
        <f t="shared" si="56"/>
        <v>Ver Imagen</v>
      </c>
      <c r="M3503" t="s">
        <v>15</v>
      </c>
    </row>
    <row r="3504" spans="1:13" x14ac:dyDescent="0.25">
      <c r="A3504">
        <v>3503</v>
      </c>
      <c r="B3504" t="s">
        <v>7017</v>
      </c>
      <c r="C3504" s="1">
        <v>37.2108011125</v>
      </c>
      <c r="D3504" s="1">
        <v>-7.0239490733199998</v>
      </c>
      <c r="E3504" s="3">
        <v>4</v>
      </c>
      <c r="F3504" s="2">
        <v>3</v>
      </c>
      <c r="G3504" s="4">
        <v>3</v>
      </c>
      <c r="H3504" s="13"/>
      <c r="I3504" s="15"/>
      <c r="J3504" s="19">
        <v>3</v>
      </c>
      <c r="K3504" s="2" t="s">
        <v>7018</v>
      </c>
      <c r="L3504" s="11" t="str">
        <f t="shared" si="56"/>
        <v>Ver Imagen</v>
      </c>
      <c r="M3504" t="s">
        <v>15</v>
      </c>
    </row>
    <row r="3505" spans="1:13" x14ac:dyDescent="0.25">
      <c r="A3505">
        <v>3504</v>
      </c>
      <c r="B3505" t="s">
        <v>7019</v>
      </c>
      <c r="C3505" s="1">
        <v>37.210581532200003</v>
      </c>
      <c r="D3505" s="1">
        <v>-7.0238988822900001</v>
      </c>
      <c r="E3505" s="3">
        <v>2</v>
      </c>
      <c r="F3505" s="2">
        <v>3</v>
      </c>
      <c r="G3505" s="4">
        <v>3</v>
      </c>
      <c r="H3505" s="13"/>
      <c r="I3505" s="15"/>
      <c r="J3505" s="19">
        <v>3</v>
      </c>
      <c r="K3505" s="2" t="s">
        <v>7020</v>
      </c>
      <c r="L3505" s="11" t="str">
        <f t="shared" si="56"/>
        <v>Ver Imagen</v>
      </c>
      <c r="M3505" t="s">
        <v>15</v>
      </c>
    </row>
    <row r="3506" spans="1:13" x14ac:dyDescent="0.25">
      <c r="A3506">
        <v>3505</v>
      </c>
      <c r="B3506" t="s">
        <v>7021</v>
      </c>
      <c r="C3506" s="1">
        <v>37.209594591200002</v>
      </c>
      <c r="D3506" s="1">
        <v>-7.0235547987800002</v>
      </c>
      <c r="E3506" s="3">
        <v>4</v>
      </c>
      <c r="F3506" s="2">
        <v>3</v>
      </c>
      <c r="G3506" s="4">
        <v>3</v>
      </c>
      <c r="H3506" s="13"/>
      <c r="I3506" s="15"/>
      <c r="J3506" s="19">
        <v>3</v>
      </c>
      <c r="K3506" s="2" t="s">
        <v>7022</v>
      </c>
      <c r="L3506" s="11" t="str">
        <f t="shared" si="56"/>
        <v>Ver Imagen</v>
      </c>
      <c r="M3506" t="s">
        <v>15</v>
      </c>
    </row>
    <row r="3507" spans="1:13" x14ac:dyDescent="0.25">
      <c r="A3507">
        <v>3506</v>
      </c>
      <c r="B3507" t="s">
        <v>7023</v>
      </c>
      <c r="C3507" s="1">
        <v>37.208320863399997</v>
      </c>
      <c r="D3507" s="1">
        <v>-7.0227742881399999</v>
      </c>
      <c r="E3507" s="3">
        <v>3</v>
      </c>
      <c r="F3507" s="2">
        <v>3</v>
      </c>
      <c r="G3507" s="4">
        <v>2</v>
      </c>
      <c r="H3507" s="13"/>
      <c r="I3507" s="15"/>
      <c r="J3507" s="19">
        <v>3</v>
      </c>
      <c r="K3507" s="2" t="s">
        <v>7024</v>
      </c>
      <c r="L3507" s="11" t="str">
        <f t="shared" si="56"/>
        <v>Ver Imagen</v>
      </c>
      <c r="M3507" t="s">
        <v>15</v>
      </c>
    </row>
    <row r="3508" spans="1:13" x14ac:dyDescent="0.25">
      <c r="A3508">
        <v>3507</v>
      </c>
      <c r="B3508" t="s">
        <v>7025</v>
      </c>
      <c r="C3508" s="1">
        <v>37.207993885900002</v>
      </c>
      <c r="D3508" s="1">
        <v>-7.0224979050899998</v>
      </c>
      <c r="E3508" s="3">
        <v>2</v>
      </c>
      <c r="F3508" s="2">
        <v>3</v>
      </c>
      <c r="G3508" s="4">
        <v>3</v>
      </c>
      <c r="H3508" s="13"/>
      <c r="I3508" s="15"/>
      <c r="J3508" s="19">
        <v>3</v>
      </c>
      <c r="K3508" s="2" t="s">
        <v>7026</v>
      </c>
      <c r="L3508" s="11" t="str">
        <f t="shared" si="56"/>
        <v>Ver Imagen</v>
      </c>
      <c r="M3508" t="s">
        <v>15</v>
      </c>
    </row>
    <row r="3509" spans="1:13" x14ac:dyDescent="0.25">
      <c r="A3509">
        <v>3508</v>
      </c>
      <c r="B3509" t="s">
        <v>7027</v>
      </c>
      <c r="C3509" s="1">
        <v>37.207839304799997</v>
      </c>
      <c r="D3509" s="1">
        <v>-7.0223545440699997</v>
      </c>
      <c r="E3509" s="3">
        <v>2</v>
      </c>
      <c r="F3509" s="2">
        <v>3</v>
      </c>
      <c r="G3509" s="4">
        <v>3</v>
      </c>
      <c r="H3509" s="13"/>
      <c r="I3509" s="15"/>
      <c r="J3509" s="19">
        <v>3</v>
      </c>
      <c r="K3509" s="2" t="s">
        <v>7028</v>
      </c>
      <c r="L3509" s="11" t="str">
        <f t="shared" si="56"/>
        <v>Ver Imagen</v>
      </c>
      <c r="M3509" t="s">
        <v>15</v>
      </c>
    </row>
    <row r="3510" spans="1:13" x14ac:dyDescent="0.25">
      <c r="A3510">
        <v>3509</v>
      </c>
      <c r="B3510" t="s">
        <v>7029</v>
      </c>
      <c r="C3510" s="1">
        <v>37.207650500500002</v>
      </c>
      <c r="D3510" s="1">
        <v>-7.0221669770000004</v>
      </c>
      <c r="E3510" s="3">
        <v>2</v>
      </c>
      <c r="F3510" s="2">
        <v>3</v>
      </c>
      <c r="G3510" s="4">
        <v>3</v>
      </c>
      <c r="H3510" s="13"/>
      <c r="I3510" s="15"/>
      <c r="J3510" s="19">
        <v>3</v>
      </c>
      <c r="K3510" s="2" t="s">
        <v>7030</v>
      </c>
      <c r="L3510" s="11" t="str">
        <f t="shared" si="56"/>
        <v>Ver Imagen</v>
      </c>
      <c r="M3510" t="s">
        <v>15</v>
      </c>
    </row>
    <row r="3511" spans="1:13" x14ac:dyDescent="0.25">
      <c r="A3511">
        <v>3510</v>
      </c>
      <c r="B3511" t="s">
        <v>7031</v>
      </c>
      <c r="C3511" s="1">
        <v>37.207523611299997</v>
      </c>
      <c r="D3511" s="1">
        <v>-7.0220331207699997</v>
      </c>
      <c r="E3511" s="3">
        <v>2</v>
      </c>
      <c r="F3511" s="2">
        <v>3</v>
      </c>
      <c r="G3511" s="4">
        <v>3</v>
      </c>
      <c r="H3511" s="13"/>
      <c r="I3511" s="15"/>
      <c r="J3511" s="19">
        <v>3</v>
      </c>
      <c r="K3511" s="2" t="s">
        <v>7032</v>
      </c>
      <c r="L3511" s="11" t="str">
        <f t="shared" si="56"/>
        <v>Ver Imagen</v>
      </c>
      <c r="M3511" t="s">
        <v>15</v>
      </c>
    </row>
    <row r="3512" spans="1:13" x14ac:dyDescent="0.25">
      <c r="A3512">
        <v>3511</v>
      </c>
      <c r="B3512" t="s">
        <v>7033</v>
      </c>
      <c r="C3512" s="1">
        <v>37.207364879099998</v>
      </c>
      <c r="D3512" s="1">
        <v>-7.0218572606</v>
      </c>
      <c r="E3512" s="3">
        <v>2</v>
      </c>
      <c r="F3512" s="2">
        <v>3</v>
      </c>
      <c r="G3512" s="4">
        <v>3</v>
      </c>
      <c r="H3512" s="13"/>
      <c r="I3512" s="15"/>
      <c r="J3512" s="19">
        <v>3</v>
      </c>
      <c r="K3512" s="2" t="s">
        <v>7034</v>
      </c>
      <c r="L3512" s="11" t="str">
        <f t="shared" si="56"/>
        <v>Ver Imagen</v>
      </c>
      <c r="M3512" t="s">
        <v>15</v>
      </c>
    </row>
    <row r="3513" spans="1:13" x14ac:dyDescent="0.25">
      <c r="A3513">
        <v>3512</v>
      </c>
      <c r="B3513" t="s">
        <v>7035</v>
      </c>
      <c r="C3513" s="1">
        <v>37.207218439999998</v>
      </c>
      <c r="D3513" s="1">
        <v>-7.0216866211599998</v>
      </c>
      <c r="E3513" s="3">
        <v>2</v>
      </c>
      <c r="F3513" s="2">
        <v>3</v>
      </c>
      <c r="G3513" s="4">
        <v>3</v>
      </c>
      <c r="H3513" s="13"/>
      <c r="I3513" s="15"/>
      <c r="J3513" s="19">
        <v>3</v>
      </c>
      <c r="K3513" s="2" t="s">
        <v>7036</v>
      </c>
      <c r="L3513" s="11" t="str">
        <f t="shared" si="56"/>
        <v>Ver Imagen</v>
      </c>
      <c r="M3513" t="s">
        <v>15</v>
      </c>
    </row>
    <row r="3514" spans="1:13" x14ac:dyDescent="0.25">
      <c r="A3514">
        <v>3513</v>
      </c>
      <c r="B3514" t="s">
        <v>7037</v>
      </c>
      <c r="C3514" s="1">
        <v>37.207076078599997</v>
      </c>
      <c r="D3514" s="1">
        <v>-7.0215119378099997</v>
      </c>
      <c r="E3514" s="3">
        <v>3</v>
      </c>
      <c r="F3514" s="2">
        <v>3</v>
      </c>
      <c r="G3514" s="4">
        <v>4</v>
      </c>
      <c r="H3514" s="13"/>
      <c r="I3514" s="15"/>
      <c r="J3514" s="19">
        <v>3</v>
      </c>
      <c r="K3514" s="2" t="s">
        <v>7038</v>
      </c>
      <c r="L3514" s="11" t="str">
        <f t="shared" si="56"/>
        <v>Ver Imagen</v>
      </c>
      <c r="M3514" t="s">
        <v>15</v>
      </c>
    </row>
    <row r="3515" spans="1:13" x14ac:dyDescent="0.25">
      <c r="A3515">
        <v>3514</v>
      </c>
      <c r="B3515" t="s">
        <v>7039</v>
      </c>
      <c r="C3515" s="1">
        <v>37.206912207199998</v>
      </c>
      <c r="D3515" s="1">
        <v>-7.0212962128200003</v>
      </c>
      <c r="E3515" s="3">
        <v>2</v>
      </c>
      <c r="F3515" s="2">
        <v>3</v>
      </c>
      <c r="G3515" s="4">
        <v>3</v>
      </c>
      <c r="H3515" s="13"/>
      <c r="I3515" s="15"/>
      <c r="J3515" s="19">
        <v>3</v>
      </c>
      <c r="K3515" s="2" t="s">
        <v>7040</v>
      </c>
      <c r="L3515" s="11" t="str">
        <f t="shared" si="56"/>
        <v>Ver Imagen</v>
      </c>
      <c r="M3515" t="s">
        <v>15</v>
      </c>
    </row>
    <row r="3516" spans="1:13" x14ac:dyDescent="0.25">
      <c r="A3516">
        <v>3515</v>
      </c>
      <c r="B3516" t="s">
        <v>7041</v>
      </c>
      <c r="C3516" s="1">
        <v>37.204534803599998</v>
      </c>
      <c r="D3516" s="1">
        <v>-7.0140529445800004</v>
      </c>
      <c r="E3516" s="3">
        <v>2</v>
      </c>
      <c r="F3516" s="2">
        <v>3</v>
      </c>
      <c r="G3516" s="4">
        <v>3</v>
      </c>
      <c r="H3516" s="13"/>
      <c r="I3516" s="15"/>
      <c r="J3516" s="19">
        <v>3</v>
      </c>
      <c r="K3516" s="2" t="s">
        <v>7042</v>
      </c>
      <c r="L3516" s="11" t="str">
        <f t="shared" si="56"/>
        <v>Ver Imagen</v>
      </c>
      <c r="M3516" t="s">
        <v>15</v>
      </c>
    </row>
    <row r="3517" spans="1:13" x14ac:dyDescent="0.25">
      <c r="A3517">
        <v>3516</v>
      </c>
      <c r="B3517" t="s">
        <v>7043</v>
      </c>
      <c r="C3517" s="1">
        <v>37.203480356100002</v>
      </c>
      <c r="D3517" s="1">
        <v>-7.0078506426900002</v>
      </c>
      <c r="E3517" s="3">
        <v>2</v>
      </c>
      <c r="F3517" s="2">
        <v>3</v>
      </c>
      <c r="G3517" s="4">
        <v>3</v>
      </c>
      <c r="H3517" s="13"/>
      <c r="I3517" s="15"/>
      <c r="J3517" s="19">
        <v>3</v>
      </c>
      <c r="K3517" s="2" t="s">
        <v>7044</v>
      </c>
      <c r="L3517" s="11" t="str">
        <f t="shared" si="56"/>
        <v>Ver Imagen</v>
      </c>
      <c r="M3517" t="s">
        <v>15</v>
      </c>
    </row>
    <row r="3518" spans="1:13" x14ac:dyDescent="0.25">
      <c r="A3518">
        <v>3517</v>
      </c>
      <c r="B3518" t="s">
        <v>7045</v>
      </c>
      <c r="C3518" s="1">
        <v>37.202954552500003</v>
      </c>
      <c r="D3518" s="1">
        <v>-7.0038611152300003</v>
      </c>
      <c r="E3518" s="3">
        <v>3</v>
      </c>
      <c r="F3518" s="2">
        <v>3</v>
      </c>
      <c r="G3518" s="4">
        <v>4</v>
      </c>
      <c r="H3518" s="13"/>
      <c r="I3518" s="15"/>
      <c r="J3518" s="19">
        <v>3</v>
      </c>
      <c r="K3518" s="2" t="s">
        <v>7046</v>
      </c>
      <c r="L3518" s="11" t="str">
        <f t="shared" si="56"/>
        <v>Ver Imagen</v>
      </c>
      <c r="M3518" t="s">
        <v>15</v>
      </c>
    </row>
    <row r="3519" spans="1:13" x14ac:dyDescent="0.25">
      <c r="A3519">
        <v>3518</v>
      </c>
      <c r="B3519" t="s">
        <v>7047</v>
      </c>
      <c r="C3519" s="1">
        <v>37.202243179200003</v>
      </c>
      <c r="D3519" s="1">
        <v>-6.9980782599199998</v>
      </c>
      <c r="E3519" s="3">
        <v>2</v>
      </c>
      <c r="F3519" s="2">
        <v>3</v>
      </c>
      <c r="G3519" s="4">
        <v>3</v>
      </c>
      <c r="H3519" s="13"/>
      <c r="I3519" s="15"/>
      <c r="J3519" s="19">
        <v>3</v>
      </c>
      <c r="K3519" s="2" t="s">
        <v>7048</v>
      </c>
      <c r="L3519" s="11" t="str">
        <f t="shared" si="56"/>
        <v>Ver Imagen</v>
      </c>
      <c r="M3519" t="s">
        <v>15</v>
      </c>
    </row>
    <row r="3520" spans="1:13" x14ac:dyDescent="0.25">
      <c r="A3520">
        <v>3519</v>
      </c>
      <c r="B3520" t="s">
        <v>7049</v>
      </c>
      <c r="C3520" s="1">
        <v>37.2007309643</v>
      </c>
      <c r="D3520" s="1">
        <v>-6.9896409754700004</v>
      </c>
      <c r="E3520" s="3">
        <v>2</v>
      </c>
      <c r="F3520" s="2">
        <v>3</v>
      </c>
      <c r="G3520" s="4">
        <v>3</v>
      </c>
      <c r="H3520" s="13"/>
      <c r="I3520" s="15"/>
      <c r="J3520" s="19">
        <v>3</v>
      </c>
      <c r="K3520" s="2" t="s">
        <v>7050</v>
      </c>
      <c r="L3520" s="11" t="str">
        <f t="shared" si="56"/>
        <v>Ver Imagen</v>
      </c>
      <c r="M3520" t="s">
        <v>15</v>
      </c>
    </row>
    <row r="3521" spans="1:13" x14ac:dyDescent="0.25">
      <c r="A3521">
        <v>3520</v>
      </c>
      <c r="B3521" t="s">
        <v>7051</v>
      </c>
      <c r="C3521" s="1">
        <v>37.224636259900002</v>
      </c>
      <c r="D3521" s="1">
        <v>-7.0232067643800002</v>
      </c>
      <c r="E3521" s="3">
        <v>2</v>
      </c>
      <c r="F3521" s="2">
        <v>3</v>
      </c>
      <c r="G3521" s="4">
        <v>3</v>
      </c>
      <c r="H3521" s="13"/>
      <c r="I3521" s="15"/>
      <c r="J3521" s="19">
        <v>3</v>
      </c>
      <c r="K3521" s="2" t="s">
        <v>7052</v>
      </c>
      <c r="L3521" s="11" t="str">
        <f t="shared" si="56"/>
        <v>Ver Imagen</v>
      </c>
      <c r="M3521" t="s">
        <v>15</v>
      </c>
    </row>
    <row r="3522" spans="1:13" x14ac:dyDescent="0.25">
      <c r="A3522">
        <v>3521</v>
      </c>
      <c r="B3522" t="s">
        <v>7053</v>
      </c>
      <c r="C3522" s="1">
        <v>37.228197083799998</v>
      </c>
      <c r="D3522" s="1">
        <v>-7.0216291012100003</v>
      </c>
      <c r="E3522" s="3">
        <v>3</v>
      </c>
      <c r="F3522" s="2">
        <v>3</v>
      </c>
      <c r="G3522" s="4">
        <v>2</v>
      </c>
      <c r="H3522" s="13"/>
      <c r="I3522" s="15"/>
      <c r="J3522" s="19">
        <v>3</v>
      </c>
      <c r="K3522" s="2" t="s">
        <v>7054</v>
      </c>
      <c r="L3522" s="11" t="str">
        <f t="shared" si="56"/>
        <v>Ver Imagen</v>
      </c>
      <c r="M3522" t="s">
        <v>15</v>
      </c>
    </row>
    <row r="3523" spans="1:13" x14ac:dyDescent="0.25">
      <c r="A3523">
        <v>3522</v>
      </c>
      <c r="B3523" t="s">
        <v>7055</v>
      </c>
      <c r="C3523" s="1">
        <v>37.231631559599997</v>
      </c>
      <c r="D3523" s="1">
        <v>-7.0190076600499998</v>
      </c>
      <c r="E3523" s="3">
        <v>3</v>
      </c>
      <c r="F3523" s="2">
        <v>3</v>
      </c>
      <c r="G3523" s="4">
        <v>4</v>
      </c>
      <c r="H3523" s="13"/>
      <c r="I3523" s="15"/>
      <c r="J3523" s="19">
        <v>3</v>
      </c>
      <c r="K3523" s="2" t="s">
        <v>7056</v>
      </c>
      <c r="L3523" s="11" t="str">
        <f t="shared" si="56"/>
        <v>Ver Imagen</v>
      </c>
      <c r="M3523" t="s">
        <v>15</v>
      </c>
    </row>
    <row r="3524" spans="1:13" x14ac:dyDescent="0.25">
      <c r="A3524">
        <v>3523</v>
      </c>
      <c r="B3524" t="s">
        <v>7057</v>
      </c>
      <c r="C3524" s="1">
        <v>37.2342919759</v>
      </c>
      <c r="D3524" s="1">
        <v>-7.0179998724999999</v>
      </c>
      <c r="E3524" s="3">
        <v>2</v>
      </c>
      <c r="F3524" s="2">
        <v>3</v>
      </c>
      <c r="G3524" s="4">
        <v>3</v>
      </c>
      <c r="H3524" s="13"/>
      <c r="I3524" s="15"/>
      <c r="J3524" s="19">
        <v>3</v>
      </c>
      <c r="K3524" s="2" t="s">
        <v>7058</v>
      </c>
      <c r="L3524" s="11" t="str">
        <f t="shared" si="56"/>
        <v>Ver Imagen</v>
      </c>
      <c r="M3524" t="s">
        <v>15</v>
      </c>
    </row>
    <row r="3525" spans="1:13" x14ac:dyDescent="0.25">
      <c r="A3525">
        <v>3524</v>
      </c>
      <c r="B3525" t="s">
        <v>7059</v>
      </c>
      <c r="C3525" s="1">
        <v>37.235514956400003</v>
      </c>
      <c r="D3525" s="1">
        <v>-7.0182399249999996</v>
      </c>
      <c r="E3525" s="3">
        <v>2</v>
      </c>
      <c r="F3525" s="2">
        <v>3</v>
      </c>
      <c r="G3525" s="4">
        <v>3</v>
      </c>
      <c r="H3525" s="13"/>
      <c r="I3525" s="15"/>
      <c r="J3525" s="19">
        <v>3</v>
      </c>
      <c r="K3525" s="2" t="s">
        <v>7060</v>
      </c>
      <c r="L3525" s="11" t="str">
        <f t="shared" si="56"/>
        <v>Ver Imagen</v>
      </c>
      <c r="M3525" t="s">
        <v>15</v>
      </c>
    </row>
    <row r="3526" spans="1:13" x14ac:dyDescent="0.25">
      <c r="A3526">
        <v>3525</v>
      </c>
      <c r="B3526" t="s">
        <v>7061</v>
      </c>
      <c r="C3526" s="1">
        <v>37.240779096700003</v>
      </c>
      <c r="D3526" s="1">
        <v>-7.0184529815300003</v>
      </c>
      <c r="E3526" s="3">
        <v>4</v>
      </c>
      <c r="F3526" s="2">
        <v>3</v>
      </c>
      <c r="G3526" s="4">
        <v>3</v>
      </c>
      <c r="H3526" s="13"/>
      <c r="I3526" s="15"/>
      <c r="J3526" s="19">
        <v>3</v>
      </c>
      <c r="K3526" s="2" t="s">
        <v>7062</v>
      </c>
      <c r="L3526" s="11" t="str">
        <f t="shared" si="56"/>
        <v>Ver Imagen</v>
      </c>
      <c r="M3526" t="s">
        <v>15</v>
      </c>
    </row>
    <row r="3527" spans="1:13" x14ac:dyDescent="0.25">
      <c r="A3527">
        <v>3526</v>
      </c>
      <c r="B3527" t="s">
        <v>7063</v>
      </c>
      <c r="C3527" s="1">
        <v>37.240950291600001</v>
      </c>
      <c r="D3527" s="1">
        <v>-7.0184478569099999</v>
      </c>
      <c r="E3527" s="3">
        <v>4</v>
      </c>
      <c r="F3527" s="2">
        <v>3</v>
      </c>
      <c r="G3527" s="4">
        <v>3</v>
      </c>
      <c r="H3527" s="13"/>
      <c r="I3527" s="15"/>
      <c r="J3527" s="19">
        <v>3</v>
      </c>
      <c r="K3527" s="2" t="s">
        <v>7064</v>
      </c>
      <c r="L3527" s="11" t="str">
        <f t="shared" si="56"/>
        <v>Ver Imagen</v>
      </c>
      <c r="M3527" t="s">
        <v>15</v>
      </c>
    </row>
    <row r="3528" spans="1:13" x14ac:dyDescent="0.25">
      <c r="A3528">
        <v>3527</v>
      </c>
      <c r="B3528" t="s">
        <v>7065</v>
      </c>
      <c r="C3528" s="1">
        <v>37.241138313500002</v>
      </c>
      <c r="D3528" s="1">
        <v>-7.0184419995900003</v>
      </c>
      <c r="E3528" s="3">
        <v>4</v>
      </c>
      <c r="F3528" s="2">
        <v>3</v>
      </c>
      <c r="G3528" s="4">
        <v>3</v>
      </c>
      <c r="H3528" s="13"/>
      <c r="I3528" s="15"/>
      <c r="J3528" s="19">
        <v>3</v>
      </c>
      <c r="K3528" s="2" t="s">
        <v>7066</v>
      </c>
      <c r="L3528" s="11" t="str">
        <f t="shared" si="56"/>
        <v>Ver Imagen</v>
      </c>
      <c r="M3528" t="s">
        <v>15</v>
      </c>
    </row>
    <row r="3529" spans="1:13" x14ac:dyDescent="0.25">
      <c r="A3529">
        <v>3528</v>
      </c>
      <c r="B3529" t="s">
        <v>7067</v>
      </c>
      <c r="C3529" s="1">
        <v>37.241542509600002</v>
      </c>
      <c r="D3529" s="1">
        <v>-7.0184281645100004</v>
      </c>
      <c r="E3529" s="3">
        <v>4</v>
      </c>
      <c r="F3529" s="2">
        <v>3</v>
      </c>
      <c r="G3529" s="4">
        <v>3</v>
      </c>
      <c r="H3529" s="13"/>
      <c r="I3529" s="15"/>
      <c r="J3529" s="19">
        <v>3</v>
      </c>
      <c r="K3529" s="2" t="s">
        <v>7068</v>
      </c>
      <c r="L3529" s="11" t="str">
        <f t="shared" si="56"/>
        <v>Ver Imagen</v>
      </c>
      <c r="M3529" t="s">
        <v>15</v>
      </c>
    </row>
    <row r="3530" spans="1:13" x14ac:dyDescent="0.25">
      <c r="A3530">
        <v>3529</v>
      </c>
      <c r="B3530" t="s">
        <v>7069</v>
      </c>
      <c r="C3530" s="1">
        <v>37.242153800600001</v>
      </c>
      <c r="D3530" s="1">
        <v>-7.0184047615600003</v>
      </c>
      <c r="E3530" s="3">
        <v>4</v>
      </c>
      <c r="F3530" s="2">
        <v>3</v>
      </c>
      <c r="G3530" s="4">
        <v>3</v>
      </c>
      <c r="H3530" s="13"/>
      <c r="I3530" s="15"/>
      <c r="J3530" s="19">
        <v>3</v>
      </c>
      <c r="K3530" s="2" t="s">
        <v>7070</v>
      </c>
      <c r="L3530" s="11" t="str">
        <f t="shared" si="56"/>
        <v>Ver Imagen</v>
      </c>
      <c r="M3530" t="s">
        <v>15</v>
      </c>
    </row>
    <row r="3531" spans="1:13" x14ac:dyDescent="0.25">
      <c r="A3531">
        <v>3530</v>
      </c>
      <c r="B3531" t="s">
        <v>7071</v>
      </c>
      <c r="C3531" s="1">
        <v>37.242347978799998</v>
      </c>
      <c r="D3531" s="1">
        <v>-7.0183969798200003</v>
      </c>
      <c r="E3531" s="3">
        <v>3</v>
      </c>
      <c r="F3531" s="2">
        <v>3</v>
      </c>
      <c r="G3531" s="4">
        <v>2</v>
      </c>
      <c r="H3531" s="13"/>
      <c r="I3531" s="15"/>
      <c r="J3531" s="19">
        <v>3</v>
      </c>
      <c r="K3531" s="2" t="s">
        <v>7072</v>
      </c>
      <c r="L3531" s="11" t="str">
        <f t="shared" si="56"/>
        <v>Ver Imagen</v>
      </c>
      <c r="M3531" t="s">
        <v>15</v>
      </c>
    </row>
    <row r="3532" spans="1:13" x14ac:dyDescent="0.25">
      <c r="A3532">
        <v>3531</v>
      </c>
      <c r="B3532" t="s">
        <v>7073</v>
      </c>
      <c r="C3532" s="1">
        <v>37.242550978399997</v>
      </c>
      <c r="D3532" s="1">
        <v>-7.0183889115699998</v>
      </c>
      <c r="E3532" s="3">
        <v>3</v>
      </c>
      <c r="F3532" s="2">
        <v>3</v>
      </c>
      <c r="G3532" s="4">
        <v>4</v>
      </c>
      <c r="H3532" s="13"/>
      <c r="I3532" s="15"/>
      <c r="J3532" s="19">
        <v>3</v>
      </c>
      <c r="K3532" s="2" t="s">
        <v>7074</v>
      </c>
      <c r="L3532" s="11" t="str">
        <f t="shared" si="56"/>
        <v>Ver Imagen</v>
      </c>
      <c r="M3532" t="s">
        <v>15</v>
      </c>
    </row>
    <row r="3533" spans="1:13" x14ac:dyDescent="0.25">
      <c r="A3533">
        <v>3532</v>
      </c>
      <c r="B3533" t="s">
        <v>7075</v>
      </c>
      <c r="C3533" s="1">
        <v>37.243776277800002</v>
      </c>
      <c r="D3533" s="1">
        <v>-7.0183379830500003</v>
      </c>
      <c r="E3533" s="3">
        <v>3</v>
      </c>
      <c r="F3533" s="2">
        <v>3</v>
      </c>
      <c r="G3533" s="4">
        <v>4</v>
      </c>
      <c r="H3533" s="13"/>
      <c r="I3533" s="15"/>
      <c r="J3533" s="19">
        <v>3</v>
      </c>
      <c r="K3533" s="2" t="s">
        <v>7076</v>
      </c>
      <c r="L3533" s="11" t="str">
        <f t="shared" si="56"/>
        <v>Ver Imagen</v>
      </c>
      <c r="M3533" t="s">
        <v>15</v>
      </c>
    </row>
    <row r="3534" spans="1:13" x14ac:dyDescent="0.25">
      <c r="A3534">
        <v>3533</v>
      </c>
      <c r="B3534" t="s">
        <v>7077</v>
      </c>
      <c r="C3534" s="1">
        <v>37.243952164699998</v>
      </c>
      <c r="D3534" s="1">
        <v>-7.0183327017200003</v>
      </c>
      <c r="E3534" s="3">
        <v>3</v>
      </c>
      <c r="F3534" s="2">
        <v>3</v>
      </c>
      <c r="G3534" s="4">
        <v>4</v>
      </c>
      <c r="H3534" s="13"/>
      <c r="I3534" s="15"/>
      <c r="J3534" s="19">
        <v>3</v>
      </c>
      <c r="K3534" s="2" t="s">
        <v>7078</v>
      </c>
      <c r="L3534" s="11" t="str">
        <f t="shared" si="56"/>
        <v>Ver Imagen</v>
      </c>
      <c r="M3534" t="s">
        <v>15</v>
      </c>
    </row>
    <row r="3535" spans="1:13" x14ac:dyDescent="0.25">
      <c r="A3535">
        <v>3534</v>
      </c>
      <c r="B3535" t="s">
        <v>7079</v>
      </c>
      <c r="C3535" s="1">
        <v>37.244402944299999</v>
      </c>
      <c r="D3535" s="1">
        <v>-7.01832065398</v>
      </c>
      <c r="E3535" s="3">
        <v>4</v>
      </c>
      <c r="F3535" s="2">
        <v>3</v>
      </c>
      <c r="G3535" s="4">
        <v>3</v>
      </c>
      <c r="H3535" s="13"/>
      <c r="I3535" s="15"/>
      <c r="J3535" s="19">
        <v>3</v>
      </c>
      <c r="K3535" s="2" t="s">
        <v>7080</v>
      </c>
      <c r="L3535" s="11" t="str">
        <f t="shared" si="56"/>
        <v>Ver Imagen</v>
      </c>
      <c r="M3535" t="s">
        <v>15</v>
      </c>
    </row>
    <row r="3536" spans="1:13" x14ac:dyDescent="0.25">
      <c r="A3536">
        <v>3535</v>
      </c>
      <c r="B3536" t="s">
        <v>7081</v>
      </c>
      <c r="C3536" s="1">
        <v>37.2449805113</v>
      </c>
      <c r="D3536" s="1">
        <v>-7.0182996025</v>
      </c>
      <c r="E3536" s="3">
        <v>3</v>
      </c>
      <c r="F3536" s="2">
        <v>3</v>
      </c>
      <c r="G3536" s="4">
        <v>4</v>
      </c>
      <c r="H3536" s="13"/>
      <c r="I3536" s="15"/>
      <c r="J3536" s="19">
        <v>3</v>
      </c>
      <c r="K3536" s="2" t="s">
        <v>7082</v>
      </c>
      <c r="L3536" s="11" t="str">
        <f t="shared" si="56"/>
        <v>Ver Imagen</v>
      </c>
      <c r="M3536" t="s">
        <v>15</v>
      </c>
    </row>
    <row r="3537" spans="1:13" x14ac:dyDescent="0.25">
      <c r="A3537">
        <v>3536</v>
      </c>
      <c r="B3537" t="s">
        <v>7083</v>
      </c>
      <c r="C3537" s="1">
        <v>37.245608883199999</v>
      </c>
      <c r="D3537" s="1">
        <v>-7.0182735756400003</v>
      </c>
      <c r="E3537" s="3">
        <v>4</v>
      </c>
      <c r="F3537" s="2">
        <v>3</v>
      </c>
      <c r="G3537" s="4">
        <v>3</v>
      </c>
      <c r="H3537" s="13"/>
      <c r="I3537" s="15"/>
      <c r="J3537" s="19">
        <v>3</v>
      </c>
      <c r="K3537" s="2" t="s">
        <v>7084</v>
      </c>
      <c r="L3537" s="11" t="str">
        <f t="shared" si="56"/>
        <v>Ver Imagen</v>
      </c>
      <c r="M3537" t="s">
        <v>15</v>
      </c>
    </row>
    <row r="3538" spans="1:13" x14ac:dyDescent="0.25">
      <c r="A3538">
        <v>3537</v>
      </c>
      <c r="B3538" t="s">
        <v>7085</v>
      </c>
      <c r="C3538" s="1">
        <v>37.246634736600001</v>
      </c>
      <c r="D3538" s="1">
        <v>-7.0182397731400004</v>
      </c>
      <c r="E3538" s="3">
        <v>3</v>
      </c>
      <c r="F3538" s="2">
        <v>3</v>
      </c>
      <c r="G3538" s="4">
        <v>4</v>
      </c>
      <c r="H3538" s="13"/>
      <c r="I3538" s="15"/>
      <c r="J3538" s="19">
        <v>3</v>
      </c>
      <c r="K3538" s="2" t="s">
        <v>7086</v>
      </c>
      <c r="L3538" s="11" t="str">
        <f t="shared" si="56"/>
        <v>Ver Imagen</v>
      </c>
      <c r="M3538" t="s">
        <v>15</v>
      </c>
    </row>
    <row r="3539" spans="1:13" x14ac:dyDescent="0.25">
      <c r="A3539">
        <v>3538</v>
      </c>
      <c r="B3539" t="s">
        <v>7087</v>
      </c>
      <c r="C3539" s="1">
        <v>37.2554320506</v>
      </c>
      <c r="D3539" s="1">
        <v>-7.0144196051599996</v>
      </c>
      <c r="E3539" s="3">
        <v>4</v>
      </c>
      <c r="F3539" s="2">
        <v>3</v>
      </c>
      <c r="G3539" s="4">
        <v>3</v>
      </c>
      <c r="H3539" s="13"/>
      <c r="I3539" s="15"/>
      <c r="J3539" s="19">
        <v>3</v>
      </c>
      <c r="K3539" s="2" t="s">
        <v>7088</v>
      </c>
      <c r="L3539" s="11" t="str">
        <f t="shared" si="56"/>
        <v>Ver Imagen</v>
      </c>
      <c r="M3539" t="s">
        <v>15</v>
      </c>
    </row>
    <row r="3540" spans="1:13" x14ac:dyDescent="0.25">
      <c r="A3540">
        <v>3539</v>
      </c>
      <c r="B3540" t="s">
        <v>7089</v>
      </c>
      <c r="C3540" s="1">
        <v>37.255650187800001</v>
      </c>
      <c r="D3540" s="1">
        <v>-7.0142829491600001</v>
      </c>
      <c r="E3540" s="3">
        <v>3</v>
      </c>
      <c r="F3540" s="2">
        <v>3</v>
      </c>
      <c r="G3540" s="4">
        <v>4</v>
      </c>
      <c r="H3540" s="13"/>
      <c r="I3540" s="15"/>
      <c r="J3540" s="19">
        <v>3</v>
      </c>
      <c r="K3540" s="2" t="s">
        <v>7090</v>
      </c>
      <c r="L3540" s="11" t="str">
        <f t="shared" si="56"/>
        <v>Ver Imagen</v>
      </c>
      <c r="M3540" t="s">
        <v>15</v>
      </c>
    </row>
    <row r="3541" spans="1:13" x14ac:dyDescent="0.25">
      <c r="A3541">
        <v>3540</v>
      </c>
      <c r="B3541" t="s">
        <v>7091</v>
      </c>
      <c r="C3541" s="1">
        <v>37.256507966400001</v>
      </c>
      <c r="D3541" s="1">
        <v>-7.0137341053600002</v>
      </c>
      <c r="E3541" s="3">
        <v>2</v>
      </c>
      <c r="F3541" s="2">
        <v>3</v>
      </c>
      <c r="G3541" s="4">
        <v>3</v>
      </c>
      <c r="H3541" s="13"/>
      <c r="I3541" s="15"/>
      <c r="J3541" s="19">
        <v>3</v>
      </c>
      <c r="K3541" s="2" t="s">
        <v>7092</v>
      </c>
      <c r="L3541" s="11" t="str">
        <f t="shared" si="56"/>
        <v>Ver Imagen</v>
      </c>
      <c r="M3541" t="s">
        <v>15</v>
      </c>
    </row>
    <row r="3542" spans="1:13" x14ac:dyDescent="0.25">
      <c r="A3542">
        <v>3541</v>
      </c>
      <c r="B3542" t="s">
        <v>7093</v>
      </c>
      <c r="C3542" s="1">
        <v>37.256696529499997</v>
      </c>
      <c r="D3542" s="1">
        <v>-7.0136134092600004</v>
      </c>
      <c r="E3542" s="3">
        <v>2</v>
      </c>
      <c r="F3542" s="2">
        <v>3</v>
      </c>
      <c r="G3542" s="4">
        <v>3</v>
      </c>
      <c r="H3542" s="13"/>
      <c r="I3542" s="15"/>
      <c r="J3542" s="19">
        <v>3</v>
      </c>
      <c r="K3542" s="2" t="s">
        <v>7094</v>
      </c>
      <c r="L3542" s="11" t="str">
        <f t="shared" si="56"/>
        <v>Ver Imagen</v>
      </c>
      <c r="M3542" t="s">
        <v>15</v>
      </c>
    </row>
    <row r="3543" spans="1:13" x14ac:dyDescent="0.25">
      <c r="A3543">
        <v>3542</v>
      </c>
      <c r="B3543" t="s">
        <v>7095</v>
      </c>
      <c r="C3543" s="1">
        <v>37.256876783999999</v>
      </c>
      <c r="D3543" s="1">
        <v>-7.0134982773900001</v>
      </c>
      <c r="E3543" s="3">
        <v>2</v>
      </c>
      <c r="F3543" s="2">
        <v>3</v>
      </c>
      <c r="G3543" s="4">
        <v>3</v>
      </c>
      <c r="H3543" s="13"/>
      <c r="I3543" s="15"/>
      <c r="J3543" s="19">
        <v>3</v>
      </c>
      <c r="K3543" s="2" t="s">
        <v>7096</v>
      </c>
      <c r="L3543" s="11" t="str">
        <f t="shared" si="56"/>
        <v>Ver Imagen</v>
      </c>
      <c r="M3543" t="s">
        <v>15</v>
      </c>
    </row>
    <row r="3544" spans="1:13" x14ac:dyDescent="0.25">
      <c r="A3544">
        <v>3543</v>
      </c>
      <c r="B3544" t="s">
        <v>7097</v>
      </c>
      <c r="C3544" s="1">
        <v>37.257953805299998</v>
      </c>
      <c r="D3544" s="1">
        <v>-7.0128119605399997</v>
      </c>
      <c r="E3544" s="3">
        <v>2</v>
      </c>
      <c r="F3544" s="2">
        <v>3</v>
      </c>
      <c r="G3544" s="4">
        <v>3</v>
      </c>
      <c r="H3544" s="13"/>
      <c r="I3544" s="15"/>
      <c r="J3544" s="19">
        <v>3</v>
      </c>
      <c r="K3544" s="2" t="s">
        <v>7098</v>
      </c>
      <c r="L3544" s="11" t="str">
        <f t="shared" si="56"/>
        <v>Ver Imagen</v>
      </c>
      <c r="M3544" t="s">
        <v>15</v>
      </c>
    </row>
    <row r="3545" spans="1:13" x14ac:dyDescent="0.25">
      <c r="A3545">
        <v>3544</v>
      </c>
      <c r="B3545" t="s">
        <v>7099</v>
      </c>
      <c r="C3545" s="1">
        <v>37.258136547399999</v>
      </c>
      <c r="D3545" s="1">
        <v>-7.0126954147999996</v>
      </c>
      <c r="E3545" s="3">
        <v>2</v>
      </c>
      <c r="F3545" s="2">
        <v>3</v>
      </c>
      <c r="G3545" s="4">
        <v>3</v>
      </c>
      <c r="H3545" s="13"/>
      <c r="I3545" s="15"/>
      <c r="J3545" s="19">
        <v>3</v>
      </c>
      <c r="K3545" s="2" t="s">
        <v>7100</v>
      </c>
      <c r="L3545" s="11" t="str">
        <f t="shared" si="56"/>
        <v>Ver Imagen</v>
      </c>
      <c r="M3545" t="s">
        <v>15</v>
      </c>
    </row>
    <row r="3546" spans="1:13" x14ac:dyDescent="0.25">
      <c r="A3546">
        <v>3545</v>
      </c>
      <c r="B3546" t="s">
        <v>7101</v>
      </c>
      <c r="C3546" s="1">
        <v>37.258371535599998</v>
      </c>
      <c r="D3546" s="1">
        <v>-7.01254605949</v>
      </c>
      <c r="E3546" s="3">
        <v>2</v>
      </c>
      <c r="F3546" s="2">
        <v>3</v>
      </c>
      <c r="G3546" s="4">
        <v>3</v>
      </c>
      <c r="H3546" s="13"/>
      <c r="I3546" s="15"/>
      <c r="J3546" s="19">
        <v>3</v>
      </c>
      <c r="K3546" s="2" t="s">
        <v>7102</v>
      </c>
      <c r="L3546" s="11" t="str">
        <f t="shared" si="56"/>
        <v>Ver Imagen</v>
      </c>
      <c r="M3546" t="s">
        <v>15</v>
      </c>
    </row>
    <row r="3547" spans="1:13" x14ac:dyDescent="0.25">
      <c r="A3547">
        <v>3546</v>
      </c>
      <c r="B3547" t="s">
        <v>7103</v>
      </c>
      <c r="C3547" s="1">
        <v>37.258863812500003</v>
      </c>
      <c r="D3547" s="1">
        <v>-7.0122337773799996</v>
      </c>
      <c r="E3547" s="3">
        <v>2</v>
      </c>
      <c r="F3547" s="2">
        <v>3</v>
      </c>
      <c r="G3547" s="4">
        <v>3</v>
      </c>
      <c r="H3547" s="13"/>
      <c r="I3547" s="15"/>
      <c r="J3547" s="19">
        <v>3</v>
      </c>
      <c r="K3547" s="2" t="s">
        <v>7104</v>
      </c>
      <c r="L3547" s="11" t="str">
        <f t="shared" si="56"/>
        <v>Ver Imagen</v>
      </c>
      <c r="M3547" t="s">
        <v>15</v>
      </c>
    </row>
    <row r="3548" spans="1:13" x14ac:dyDescent="0.25">
      <c r="A3548">
        <v>3547</v>
      </c>
      <c r="B3548" t="s">
        <v>7105</v>
      </c>
      <c r="C3548" s="1">
        <v>37.259800620599997</v>
      </c>
      <c r="D3548" s="1">
        <v>-7.0116324815100004</v>
      </c>
      <c r="E3548" s="3">
        <v>4</v>
      </c>
      <c r="F3548" s="2">
        <v>3</v>
      </c>
      <c r="G3548" s="4">
        <v>3</v>
      </c>
      <c r="H3548" s="13"/>
      <c r="I3548" s="15"/>
      <c r="J3548" s="19">
        <v>3</v>
      </c>
      <c r="K3548" s="2" t="s">
        <v>7106</v>
      </c>
      <c r="L3548" s="11" t="str">
        <f t="shared" si="56"/>
        <v>Ver Imagen</v>
      </c>
      <c r="M3548" t="s">
        <v>15</v>
      </c>
    </row>
    <row r="3549" spans="1:13" x14ac:dyDescent="0.25">
      <c r="A3549">
        <v>3548</v>
      </c>
      <c r="B3549" t="s">
        <v>7107</v>
      </c>
      <c r="C3549" s="1">
        <v>37.262563509700001</v>
      </c>
      <c r="D3549" s="1">
        <v>-7.0092948268299997</v>
      </c>
      <c r="E3549" s="3">
        <v>2</v>
      </c>
      <c r="F3549" s="2">
        <v>3</v>
      </c>
      <c r="G3549" s="4">
        <v>3</v>
      </c>
      <c r="H3549" s="13"/>
      <c r="I3549" s="15"/>
      <c r="J3549" s="19">
        <v>3</v>
      </c>
      <c r="K3549" s="2" t="s">
        <v>7108</v>
      </c>
      <c r="L3549" s="11" t="str">
        <f t="shared" si="56"/>
        <v>Ver Imagen</v>
      </c>
      <c r="M3549" t="s">
        <v>15</v>
      </c>
    </row>
    <row r="3550" spans="1:13" x14ac:dyDescent="0.25">
      <c r="A3550">
        <v>3549</v>
      </c>
      <c r="B3550" t="s">
        <v>7109</v>
      </c>
      <c r="C3550" s="1">
        <v>37.262910169400001</v>
      </c>
      <c r="D3550" s="1">
        <v>-7.0086666974699998</v>
      </c>
      <c r="E3550" s="3">
        <v>2</v>
      </c>
      <c r="F3550" s="2">
        <v>3</v>
      </c>
      <c r="G3550" s="4">
        <v>3</v>
      </c>
      <c r="H3550" s="13"/>
      <c r="I3550" s="15"/>
      <c r="J3550" s="19">
        <v>3</v>
      </c>
      <c r="K3550" s="2" t="s">
        <v>7110</v>
      </c>
      <c r="L3550" s="11" t="str">
        <f t="shared" si="56"/>
        <v>Ver Imagen</v>
      </c>
      <c r="M3550" t="s">
        <v>15</v>
      </c>
    </row>
    <row r="3551" spans="1:13" x14ac:dyDescent="0.25">
      <c r="A3551">
        <v>3550</v>
      </c>
      <c r="B3551" t="s">
        <v>7111</v>
      </c>
      <c r="C3551" s="1">
        <v>37.2633951571</v>
      </c>
      <c r="D3551" s="1">
        <v>-7.0072095775500003</v>
      </c>
      <c r="E3551" s="3">
        <v>3</v>
      </c>
      <c r="F3551" s="2">
        <v>3</v>
      </c>
      <c r="G3551" s="4">
        <v>4</v>
      </c>
      <c r="H3551" s="13"/>
      <c r="I3551" s="15"/>
      <c r="J3551" s="19">
        <v>3</v>
      </c>
      <c r="K3551" s="2" t="s">
        <v>7112</v>
      </c>
      <c r="L3551" s="11" t="str">
        <f t="shared" si="56"/>
        <v>Ver Imagen</v>
      </c>
      <c r="M3551" t="s">
        <v>15</v>
      </c>
    </row>
    <row r="3552" spans="1:13" x14ac:dyDescent="0.25">
      <c r="A3552">
        <v>3551</v>
      </c>
      <c r="B3552" t="s">
        <v>7113</v>
      </c>
      <c r="C3552" s="1">
        <v>37.263528262299999</v>
      </c>
      <c r="D3552" s="1">
        <v>-7.0065193381200004</v>
      </c>
      <c r="E3552" s="3">
        <v>4</v>
      </c>
      <c r="F3552" s="2">
        <v>3</v>
      </c>
      <c r="G3552" s="4">
        <v>3</v>
      </c>
      <c r="H3552" s="13"/>
      <c r="I3552" s="15"/>
      <c r="J3552" s="19">
        <v>3</v>
      </c>
      <c r="K3552" s="2" t="s">
        <v>7114</v>
      </c>
      <c r="L3552" s="11" t="str">
        <f t="shared" si="56"/>
        <v>Ver Imagen</v>
      </c>
      <c r="M3552" t="s">
        <v>15</v>
      </c>
    </row>
    <row r="3553" spans="1:13" x14ac:dyDescent="0.25">
      <c r="A3553">
        <v>3552</v>
      </c>
      <c r="B3553" t="s">
        <v>7115</v>
      </c>
      <c r="C3553" s="1">
        <v>37.270020440400003</v>
      </c>
      <c r="D3553" s="1">
        <v>-6.9894576391600003</v>
      </c>
      <c r="E3553" s="3">
        <v>4</v>
      </c>
      <c r="F3553" s="2">
        <v>3</v>
      </c>
      <c r="G3553" s="4">
        <v>3</v>
      </c>
      <c r="H3553" s="13"/>
      <c r="I3553" s="15"/>
      <c r="J3553" s="19">
        <v>3</v>
      </c>
      <c r="K3553" s="2" t="s">
        <v>7116</v>
      </c>
      <c r="L3553" s="11" t="str">
        <f t="shared" si="56"/>
        <v>Ver Imagen</v>
      </c>
      <c r="M3553" t="s">
        <v>15</v>
      </c>
    </row>
    <row r="3554" spans="1:13" x14ac:dyDescent="0.25">
      <c r="A3554">
        <v>3553</v>
      </c>
      <c r="B3554" t="s">
        <v>7117</v>
      </c>
      <c r="C3554" s="1">
        <v>37.271278919399997</v>
      </c>
      <c r="D3554" s="1">
        <v>-6.9882614891600001</v>
      </c>
      <c r="E3554" s="3">
        <v>2</v>
      </c>
      <c r="F3554" s="2">
        <v>3</v>
      </c>
      <c r="G3554" s="4">
        <v>3</v>
      </c>
      <c r="H3554" s="13"/>
      <c r="I3554" s="15"/>
      <c r="J3554" s="19">
        <v>3</v>
      </c>
      <c r="K3554" s="2" t="s">
        <v>7118</v>
      </c>
      <c r="L3554" s="11" t="str">
        <f t="shared" si="56"/>
        <v>Ver Imagen</v>
      </c>
      <c r="M3554" t="s">
        <v>15</v>
      </c>
    </row>
    <row r="3555" spans="1:13" x14ac:dyDescent="0.25">
      <c r="A3555">
        <v>3554</v>
      </c>
      <c r="B3555" t="s">
        <v>7119</v>
      </c>
      <c r="C3555" s="1">
        <v>37.271386074200002</v>
      </c>
      <c r="D3555" s="1">
        <v>-6.9880589219899996</v>
      </c>
      <c r="E3555" s="3">
        <v>2</v>
      </c>
      <c r="F3555" s="2">
        <v>3</v>
      </c>
      <c r="G3555" s="4">
        <v>3</v>
      </c>
      <c r="H3555" s="13"/>
      <c r="I3555" s="15"/>
      <c r="J3555" s="19">
        <v>3</v>
      </c>
      <c r="K3555" s="2" t="s">
        <v>7120</v>
      </c>
      <c r="L3555" s="11" t="str">
        <f t="shared" si="56"/>
        <v>Ver Imagen</v>
      </c>
      <c r="M3555" t="s">
        <v>15</v>
      </c>
    </row>
    <row r="3556" spans="1:13" x14ac:dyDescent="0.25">
      <c r="A3556">
        <v>3555</v>
      </c>
      <c r="B3556" t="s">
        <v>7121</v>
      </c>
      <c r="C3556" s="1">
        <v>37.271483795599998</v>
      </c>
      <c r="D3556" s="1">
        <v>-6.9878373468500001</v>
      </c>
      <c r="E3556" s="3">
        <v>2</v>
      </c>
      <c r="F3556" s="2">
        <v>3</v>
      </c>
      <c r="G3556" s="4">
        <v>3</v>
      </c>
      <c r="H3556" s="13"/>
      <c r="I3556" s="15"/>
      <c r="J3556" s="19">
        <v>3</v>
      </c>
      <c r="K3556" s="2" t="s">
        <v>7122</v>
      </c>
      <c r="L3556" s="11" t="str">
        <f t="shared" si="56"/>
        <v>Ver Imagen</v>
      </c>
      <c r="M3556" t="s">
        <v>15</v>
      </c>
    </row>
    <row r="3557" spans="1:13" x14ac:dyDescent="0.25">
      <c r="A3557">
        <v>3556</v>
      </c>
      <c r="B3557" t="s">
        <v>7123</v>
      </c>
      <c r="C3557" s="1">
        <v>37.271571352000002</v>
      </c>
      <c r="D3557" s="1">
        <v>-6.9875882981400004</v>
      </c>
      <c r="E3557" s="3">
        <v>2</v>
      </c>
      <c r="F3557" s="2">
        <v>3</v>
      </c>
      <c r="G3557" s="4">
        <v>3</v>
      </c>
      <c r="H3557" s="13"/>
      <c r="I3557" s="15"/>
      <c r="J3557" s="19">
        <v>3</v>
      </c>
      <c r="K3557" s="2" t="s">
        <v>7124</v>
      </c>
      <c r="L3557" s="11" t="str">
        <f t="shared" si="56"/>
        <v>Ver Imagen</v>
      </c>
      <c r="M3557" t="s">
        <v>15</v>
      </c>
    </row>
    <row r="3558" spans="1:13" x14ac:dyDescent="0.25">
      <c r="A3558">
        <v>3557</v>
      </c>
      <c r="B3558" t="s">
        <v>7125</v>
      </c>
      <c r="C3558" s="1">
        <v>37.271636474799998</v>
      </c>
      <c r="D3558" s="1">
        <v>-6.98734644449</v>
      </c>
      <c r="E3558" s="3">
        <v>2</v>
      </c>
      <c r="F3558" s="2">
        <v>3</v>
      </c>
      <c r="G3558" s="4">
        <v>3</v>
      </c>
      <c r="H3558" s="13"/>
      <c r="I3558" s="15"/>
      <c r="J3558" s="19">
        <v>3</v>
      </c>
      <c r="K3558" s="2" t="s">
        <v>7126</v>
      </c>
      <c r="L3558" s="11" t="str">
        <f t="shared" si="56"/>
        <v>Ver Imagen</v>
      </c>
      <c r="M3558" t="s">
        <v>15</v>
      </c>
    </row>
    <row r="3559" spans="1:13" x14ac:dyDescent="0.25">
      <c r="A3559">
        <v>3558</v>
      </c>
      <c r="B3559" t="s">
        <v>7127</v>
      </c>
      <c r="C3559" s="1">
        <v>37.271733925500001</v>
      </c>
      <c r="D3559" s="1">
        <v>-6.9865746149700003</v>
      </c>
      <c r="E3559" s="3">
        <v>2</v>
      </c>
      <c r="F3559" s="2">
        <v>3</v>
      </c>
      <c r="G3559" s="4">
        <v>3</v>
      </c>
      <c r="H3559" s="13"/>
      <c r="I3559" s="15"/>
      <c r="J3559" s="19">
        <v>3</v>
      </c>
      <c r="K3559" s="2" t="s">
        <v>7128</v>
      </c>
      <c r="L3559" s="11" t="str">
        <f t="shared" si="56"/>
        <v>Ver Imagen</v>
      </c>
      <c r="M3559" t="s">
        <v>15</v>
      </c>
    </row>
    <row r="3560" spans="1:13" x14ac:dyDescent="0.25">
      <c r="A3560">
        <v>3559</v>
      </c>
      <c r="B3560" t="s">
        <v>7129</v>
      </c>
      <c r="C3560" s="1">
        <v>37.2717361411</v>
      </c>
      <c r="D3560" s="1">
        <v>-6.9863682065999999</v>
      </c>
      <c r="E3560" s="3">
        <v>2</v>
      </c>
      <c r="F3560" s="2">
        <v>3</v>
      </c>
      <c r="G3560" s="4">
        <v>3</v>
      </c>
      <c r="H3560" s="13"/>
      <c r="I3560" s="15"/>
      <c r="J3560" s="19">
        <v>3</v>
      </c>
      <c r="K3560" s="2" t="s">
        <v>7130</v>
      </c>
      <c r="L3560" s="11" t="str">
        <f t="shared" si="56"/>
        <v>Ver Imagen</v>
      </c>
      <c r="M3560" t="s">
        <v>15</v>
      </c>
    </row>
    <row r="3561" spans="1:13" x14ac:dyDescent="0.25">
      <c r="A3561">
        <v>3560</v>
      </c>
      <c r="B3561" t="s">
        <v>7131</v>
      </c>
      <c r="C3561" s="1">
        <v>37.271725279999998</v>
      </c>
      <c r="D3561" s="1">
        <v>-6.98608784304</v>
      </c>
      <c r="E3561" s="3">
        <v>2</v>
      </c>
      <c r="F3561" s="2">
        <v>3</v>
      </c>
      <c r="G3561" s="4">
        <v>3</v>
      </c>
      <c r="H3561" s="13"/>
      <c r="I3561" s="15"/>
      <c r="J3561" s="19">
        <v>3</v>
      </c>
      <c r="K3561" s="2" t="s">
        <v>7132</v>
      </c>
      <c r="L3561" s="11" t="str">
        <f t="shared" ref="L3561:L3565" si="57">HYPERLINK("3\1\" &amp; K3561, "Ver Imagen")</f>
        <v>Ver Imagen</v>
      </c>
      <c r="M3561" t="s">
        <v>15</v>
      </c>
    </row>
    <row r="3562" spans="1:13" x14ac:dyDescent="0.25">
      <c r="A3562">
        <v>3561</v>
      </c>
      <c r="B3562" t="s">
        <v>7133</v>
      </c>
      <c r="C3562" s="1">
        <v>37.271706189</v>
      </c>
      <c r="D3562" s="1">
        <v>-6.9858660376300001</v>
      </c>
      <c r="E3562" s="3">
        <v>2</v>
      </c>
      <c r="F3562" s="2">
        <v>3</v>
      </c>
      <c r="G3562" s="4">
        <v>3</v>
      </c>
      <c r="H3562" s="13"/>
      <c r="I3562" s="15"/>
      <c r="J3562" s="19">
        <v>3</v>
      </c>
      <c r="K3562" s="2" t="s">
        <v>7134</v>
      </c>
      <c r="L3562" s="11" t="str">
        <f t="shared" si="57"/>
        <v>Ver Imagen</v>
      </c>
      <c r="M3562" t="s">
        <v>15</v>
      </c>
    </row>
    <row r="3563" spans="1:13" x14ac:dyDescent="0.25">
      <c r="A3563">
        <v>3562</v>
      </c>
      <c r="B3563" t="s">
        <v>7135</v>
      </c>
      <c r="C3563" s="1">
        <v>37.271591462899998</v>
      </c>
      <c r="D3563" s="1">
        <v>-6.9851460084600001</v>
      </c>
      <c r="E3563" s="3">
        <v>2</v>
      </c>
      <c r="F3563" s="2">
        <v>3</v>
      </c>
      <c r="G3563" s="4">
        <v>3</v>
      </c>
      <c r="H3563" s="13"/>
      <c r="I3563" s="15"/>
      <c r="J3563" s="19">
        <v>3</v>
      </c>
      <c r="K3563" s="2" t="s">
        <v>7136</v>
      </c>
      <c r="L3563" s="11" t="str">
        <f t="shared" si="57"/>
        <v>Ver Imagen</v>
      </c>
      <c r="M3563" t="s">
        <v>15</v>
      </c>
    </row>
    <row r="3564" spans="1:13" x14ac:dyDescent="0.25">
      <c r="A3564">
        <v>3563</v>
      </c>
      <c r="B3564" t="s">
        <v>7137</v>
      </c>
      <c r="C3564" s="1">
        <v>37.2715356004</v>
      </c>
      <c r="D3564" s="1">
        <v>-6.9848944813299996</v>
      </c>
      <c r="E3564" s="3">
        <v>2</v>
      </c>
      <c r="F3564" s="2">
        <v>3</v>
      </c>
      <c r="G3564" s="4">
        <v>3</v>
      </c>
      <c r="H3564" s="13"/>
      <c r="I3564" s="15"/>
      <c r="J3564" s="19">
        <v>3</v>
      </c>
      <c r="K3564" s="2" t="s">
        <v>7138</v>
      </c>
      <c r="L3564" s="11" t="str">
        <f t="shared" si="57"/>
        <v>Ver Imagen</v>
      </c>
      <c r="M3564" t="s">
        <v>15</v>
      </c>
    </row>
    <row r="3565" spans="1:13" x14ac:dyDescent="0.25">
      <c r="A3565">
        <v>3564</v>
      </c>
      <c r="B3565" t="s">
        <v>7139</v>
      </c>
      <c r="C3565" s="1">
        <v>37.271410157200002</v>
      </c>
      <c r="D3565" s="1">
        <v>-6.9843965647799999</v>
      </c>
      <c r="E3565" s="3">
        <v>2</v>
      </c>
      <c r="F3565" s="2">
        <v>3</v>
      </c>
      <c r="G3565" s="4">
        <v>3</v>
      </c>
      <c r="H3565" s="13"/>
      <c r="I3565" s="15"/>
      <c r="J3565" s="19">
        <v>3</v>
      </c>
      <c r="K3565" s="2" t="s">
        <v>7140</v>
      </c>
      <c r="L3565" s="11" t="str">
        <f t="shared" si="57"/>
        <v>Ver Imagen</v>
      </c>
      <c r="M3565" t="s">
        <v>15</v>
      </c>
    </row>
    <row r="3566" spans="1:13" x14ac:dyDescent="0.25">
      <c r="A3566">
        <v>3565</v>
      </c>
      <c r="B3566" t="s">
        <v>7141</v>
      </c>
      <c r="C3566" s="1">
        <v>37.447329644</v>
      </c>
      <c r="D3566" s="1">
        <v>-7.1268471452500002</v>
      </c>
      <c r="E3566" s="3">
        <v>4</v>
      </c>
      <c r="F3566" s="2">
        <v>4</v>
      </c>
      <c r="G3566" s="4">
        <v>4</v>
      </c>
      <c r="H3566" s="13"/>
      <c r="I3566" s="15"/>
      <c r="J3566" s="19">
        <v>4</v>
      </c>
      <c r="K3566" s="2" t="s">
        <v>7142</v>
      </c>
      <c r="L3566" s="11" t="str">
        <f t="shared" ref="L3566:L3597" si="58">HYPERLINK("4\0\" &amp; K3566, "Ver Imagen")</f>
        <v>Ver Imagen</v>
      </c>
      <c r="M3566" t="s">
        <v>15</v>
      </c>
    </row>
    <row r="3567" spans="1:13" x14ac:dyDescent="0.25">
      <c r="A3567">
        <v>3566</v>
      </c>
      <c r="B3567" t="s">
        <v>7143</v>
      </c>
      <c r="C3567" s="1">
        <v>37.447221136000003</v>
      </c>
      <c r="D3567" s="1">
        <v>-7.1272099034499998</v>
      </c>
      <c r="E3567" s="3">
        <v>4</v>
      </c>
      <c r="F3567" s="2">
        <v>4</v>
      </c>
      <c r="G3567" s="4">
        <v>4</v>
      </c>
      <c r="H3567" s="13"/>
      <c r="I3567" s="15"/>
      <c r="J3567" s="19">
        <v>4</v>
      </c>
      <c r="K3567" s="2" t="s">
        <v>7144</v>
      </c>
      <c r="L3567" s="11" t="str">
        <f t="shared" si="58"/>
        <v>Ver Imagen</v>
      </c>
      <c r="M3567" t="s">
        <v>15</v>
      </c>
    </row>
    <row r="3568" spans="1:13" x14ac:dyDescent="0.25">
      <c r="A3568">
        <v>3567</v>
      </c>
      <c r="B3568" t="s">
        <v>7145</v>
      </c>
      <c r="C3568" s="1">
        <v>37.466056610899997</v>
      </c>
      <c r="D3568" s="1">
        <v>-7.1822795457900002</v>
      </c>
      <c r="E3568" s="3">
        <v>4</v>
      </c>
      <c r="F3568" s="2">
        <v>4</v>
      </c>
      <c r="G3568" s="4">
        <v>4</v>
      </c>
      <c r="H3568" s="13"/>
      <c r="I3568" s="15"/>
      <c r="J3568" s="19">
        <v>4</v>
      </c>
      <c r="K3568" s="2" t="s">
        <v>7146</v>
      </c>
      <c r="L3568" s="11" t="str">
        <f t="shared" si="58"/>
        <v>Ver Imagen</v>
      </c>
      <c r="M3568" t="s">
        <v>15</v>
      </c>
    </row>
    <row r="3569" spans="1:13" x14ac:dyDescent="0.25">
      <c r="A3569">
        <v>3568</v>
      </c>
      <c r="B3569" t="s">
        <v>7147</v>
      </c>
      <c r="C3569" s="1">
        <v>37.462921701399999</v>
      </c>
      <c r="D3569" s="1">
        <v>-7.1766363580899997</v>
      </c>
      <c r="E3569" s="3">
        <v>4</v>
      </c>
      <c r="F3569" s="2">
        <v>4</v>
      </c>
      <c r="G3569" s="4">
        <v>4</v>
      </c>
      <c r="H3569" s="13"/>
      <c r="I3569" s="15"/>
      <c r="J3569" s="19">
        <v>4</v>
      </c>
      <c r="K3569" s="2" t="s">
        <v>7148</v>
      </c>
      <c r="L3569" s="11" t="str">
        <f t="shared" si="58"/>
        <v>Ver Imagen</v>
      </c>
      <c r="M3569" t="s">
        <v>15</v>
      </c>
    </row>
    <row r="3570" spans="1:13" x14ac:dyDescent="0.25">
      <c r="A3570">
        <v>3569</v>
      </c>
      <c r="B3570" t="s">
        <v>7149</v>
      </c>
      <c r="C3570" s="1">
        <v>37.273962744999999</v>
      </c>
      <c r="D3570" s="1">
        <v>-6.9913094128599997</v>
      </c>
      <c r="E3570" s="3">
        <v>4</v>
      </c>
      <c r="F3570" s="2">
        <v>4</v>
      </c>
      <c r="G3570" s="4">
        <v>4</v>
      </c>
      <c r="H3570" s="13"/>
      <c r="I3570" s="15"/>
      <c r="J3570" s="19">
        <v>4</v>
      </c>
      <c r="K3570" s="2" t="s">
        <v>7150</v>
      </c>
      <c r="L3570" s="11" t="str">
        <f t="shared" si="58"/>
        <v>Ver Imagen</v>
      </c>
      <c r="M3570" t="s">
        <v>15</v>
      </c>
    </row>
    <row r="3571" spans="1:13" x14ac:dyDescent="0.25">
      <c r="A3571">
        <v>3570</v>
      </c>
      <c r="B3571" t="s">
        <v>7151</v>
      </c>
      <c r="C3571" s="1">
        <v>37.2758245773</v>
      </c>
      <c r="D3571" s="1">
        <v>-6.9910112582500004</v>
      </c>
      <c r="E3571" s="3">
        <v>4</v>
      </c>
      <c r="F3571" s="2">
        <v>4</v>
      </c>
      <c r="G3571" s="4">
        <v>4</v>
      </c>
      <c r="H3571" s="13"/>
      <c r="I3571" s="15"/>
      <c r="J3571" s="19">
        <v>4</v>
      </c>
      <c r="K3571" s="2" t="s">
        <v>7152</v>
      </c>
      <c r="L3571" s="11" t="str">
        <f t="shared" si="58"/>
        <v>Ver Imagen</v>
      </c>
      <c r="M3571" t="s">
        <v>15</v>
      </c>
    </row>
    <row r="3572" spans="1:13" x14ac:dyDescent="0.25">
      <c r="A3572">
        <v>3571</v>
      </c>
      <c r="B3572" t="s">
        <v>7153</v>
      </c>
      <c r="C3572" s="1">
        <v>37.277424735099999</v>
      </c>
      <c r="D3572" s="1">
        <v>-6.9921291357799999</v>
      </c>
      <c r="E3572" s="3">
        <v>4</v>
      </c>
      <c r="F3572" s="2">
        <v>4</v>
      </c>
      <c r="G3572" s="4">
        <v>4</v>
      </c>
      <c r="H3572" s="13"/>
      <c r="I3572" s="15"/>
      <c r="J3572" s="19">
        <v>4</v>
      </c>
      <c r="K3572" s="2" t="s">
        <v>7154</v>
      </c>
      <c r="L3572" s="11" t="str">
        <f t="shared" si="58"/>
        <v>Ver Imagen</v>
      </c>
      <c r="M3572" t="s">
        <v>15</v>
      </c>
    </row>
    <row r="3573" spans="1:13" x14ac:dyDescent="0.25">
      <c r="A3573">
        <v>3572</v>
      </c>
      <c r="B3573" t="s">
        <v>7155</v>
      </c>
      <c r="C3573" s="1">
        <v>37.279940480199997</v>
      </c>
      <c r="D3573" s="1">
        <v>-6.9987809735799997</v>
      </c>
      <c r="E3573" s="3">
        <v>4</v>
      </c>
      <c r="F3573" s="2">
        <v>4</v>
      </c>
      <c r="G3573" s="4">
        <v>4</v>
      </c>
      <c r="H3573" s="13"/>
      <c r="I3573" s="15"/>
      <c r="J3573" s="19">
        <v>4</v>
      </c>
      <c r="K3573" s="2" t="s">
        <v>7156</v>
      </c>
      <c r="L3573" s="11" t="str">
        <f t="shared" si="58"/>
        <v>Ver Imagen</v>
      </c>
      <c r="M3573" t="s">
        <v>15</v>
      </c>
    </row>
    <row r="3574" spans="1:13" x14ac:dyDescent="0.25">
      <c r="A3574">
        <v>3573</v>
      </c>
      <c r="B3574" t="s">
        <v>7157</v>
      </c>
      <c r="C3574" s="1">
        <v>37.280146668900002</v>
      </c>
      <c r="D3574" s="1">
        <v>-6.9997203646199999</v>
      </c>
      <c r="E3574" s="3">
        <v>4</v>
      </c>
      <c r="F3574" s="2">
        <v>4</v>
      </c>
      <c r="G3574" s="4">
        <v>4</v>
      </c>
      <c r="H3574" s="13"/>
      <c r="I3574" s="15"/>
      <c r="J3574" s="19">
        <v>4</v>
      </c>
      <c r="K3574" s="2" t="s">
        <v>7158</v>
      </c>
      <c r="L3574" s="11" t="str">
        <f t="shared" si="58"/>
        <v>Ver Imagen</v>
      </c>
      <c r="M3574" t="s">
        <v>15</v>
      </c>
    </row>
    <row r="3575" spans="1:13" x14ac:dyDescent="0.25">
      <c r="A3575">
        <v>3574</v>
      </c>
      <c r="B3575" t="s">
        <v>7159</v>
      </c>
      <c r="C3575" s="1">
        <v>37.280580245300001</v>
      </c>
      <c r="D3575" s="1">
        <v>-7.0003674240200002</v>
      </c>
      <c r="E3575" s="3">
        <v>4</v>
      </c>
      <c r="F3575" s="2">
        <v>4</v>
      </c>
      <c r="G3575" s="4">
        <v>4</v>
      </c>
      <c r="H3575" s="13"/>
      <c r="I3575" s="15"/>
      <c r="J3575" s="19">
        <v>4</v>
      </c>
      <c r="K3575" s="2" t="s">
        <v>7160</v>
      </c>
      <c r="L3575" s="11" t="str">
        <f t="shared" si="58"/>
        <v>Ver Imagen</v>
      </c>
      <c r="M3575" t="s">
        <v>15</v>
      </c>
    </row>
    <row r="3576" spans="1:13" x14ac:dyDescent="0.25">
      <c r="A3576">
        <v>3575</v>
      </c>
      <c r="B3576" t="s">
        <v>7161</v>
      </c>
      <c r="C3576" s="1">
        <v>37.457922639000003</v>
      </c>
      <c r="D3576" s="1">
        <v>-7.1142548511600001</v>
      </c>
      <c r="E3576" s="3">
        <v>4</v>
      </c>
      <c r="F3576" s="2">
        <v>4</v>
      </c>
      <c r="G3576" s="4">
        <v>4</v>
      </c>
      <c r="H3576" s="13"/>
      <c r="I3576" s="15"/>
      <c r="J3576" s="19">
        <v>4</v>
      </c>
      <c r="K3576" s="2" t="s">
        <v>7162</v>
      </c>
      <c r="L3576" s="11" t="str">
        <f t="shared" si="58"/>
        <v>Ver Imagen</v>
      </c>
      <c r="M3576" t="s">
        <v>15</v>
      </c>
    </row>
    <row r="3577" spans="1:13" x14ac:dyDescent="0.25">
      <c r="A3577">
        <v>3576</v>
      </c>
      <c r="B3577" t="s">
        <v>7163</v>
      </c>
      <c r="C3577" s="1">
        <v>37.456747762500001</v>
      </c>
      <c r="D3577" s="1">
        <v>-7.1138164888400004</v>
      </c>
      <c r="E3577" s="3">
        <v>4</v>
      </c>
      <c r="F3577" s="2">
        <v>4</v>
      </c>
      <c r="G3577" s="4">
        <v>4</v>
      </c>
      <c r="H3577" s="13"/>
      <c r="I3577" s="15"/>
      <c r="J3577" s="19">
        <v>4</v>
      </c>
      <c r="K3577" s="2" t="s">
        <v>7164</v>
      </c>
      <c r="L3577" s="11" t="str">
        <f t="shared" si="58"/>
        <v>Ver Imagen</v>
      </c>
      <c r="M3577" t="s">
        <v>15</v>
      </c>
    </row>
    <row r="3578" spans="1:13" x14ac:dyDescent="0.25">
      <c r="A3578">
        <v>3577</v>
      </c>
      <c r="B3578" t="s">
        <v>7165</v>
      </c>
      <c r="C3578" s="1">
        <v>37.456534442299997</v>
      </c>
      <c r="D3578" s="1">
        <v>-7.1137378206999999</v>
      </c>
      <c r="E3578" s="3">
        <v>4</v>
      </c>
      <c r="F3578" s="2">
        <v>4</v>
      </c>
      <c r="G3578" s="4">
        <v>4</v>
      </c>
      <c r="H3578" s="13"/>
      <c r="I3578" s="15"/>
      <c r="J3578" s="19">
        <v>4</v>
      </c>
      <c r="K3578" s="2" t="s">
        <v>7166</v>
      </c>
      <c r="L3578" s="11" t="str">
        <f t="shared" si="58"/>
        <v>Ver Imagen</v>
      </c>
      <c r="M3578" t="s">
        <v>15</v>
      </c>
    </row>
    <row r="3579" spans="1:13" x14ac:dyDescent="0.25">
      <c r="A3579">
        <v>3578</v>
      </c>
      <c r="B3579" t="s">
        <v>7167</v>
      </c>
      <c r="C3579" s="1">
        <v>37.454631853099997</v>
      </c>
      <c r="D3579" s="1">
        <v>-7.1129497858599997</v>
      </c>
      <c r="E3579" s="3">
        <v>4</v>
      </c>
      <c r="F3579" s="2">
        <v>4</v>
      </c>
      <c r="G3579" s="4">
        <v>4</v>
      </c>
      <c r="H3579" s="13"/>
      <c r="I3579" s="15"/>
      <c r="J3579" s="19">
        <v>4</v>
      </c>
      <c r="K3579" s="2" t="s">
        <v>7168</v>
      </c>
      <c r="L3579" s="11" t="str">
        <f t="shared" si="58"/>
        <v>Ver Imagen</v>
      </c>
      <c r="M3579" t="s">
        <v>15</v>
      </c>
    </row>
    <row r="3580" spans="1:13" x14ac:dyDescent="0.25">
      <c r="A3580">
        <v>3579</v>
      </c>
      <c r="B3580" t="s">
        <v>7169</v>
      </c>
      <c r="C3580" s="1">
        <v>37.452586995799997</v>
      </c>
      <c r="D3580" s="1">
        <v>-7.1118410021300003</v>
      </c>
      <c r="E3580" s="3">
        <v>4</v>
      </c>
      <c r="F3580" s="2">
        <v>4</v>
      </c>
      <c r="G3580" s="4">
        <v>4</v>
      </c>
      <c r="H3580" s="13"/>
      <c r="I3580" s="15"/>
      <c r="J3580" s="19">
        <v>4</v>
      </c>
      <c r="K3580" s="2" t="s">
        <v>7170</v>
      </c>
      <c r="L3580" s="11" t="str">
        <f t="shared" si="58"/>
        <v>Ver Imagen</v>
      </c>
      <c r="M3580" t="s">
        <v>15</v>
      </c>
    </row>
    <row r="3581" spans="1:13" x14ac:dyDescent="0.25">
      <c r="A3581">
        <v>3580</v>
      </c>
      <c r="B3581" t="s">
        <v>7171</v>
      </c>
      <c r="C3581" s="1">
        <v>37.451635244199998</v>
      </c>
      <c r="D3581" s="1">
        <v>-7.1113077149299997</v>
      </c>
      <c r="E3581" s="3">
        <v>4</v>
      </c>
      <c r="F3581" s="2">
        <v>4</v>
      </c>
      <c r="G3581" s="4">
        <v>4</v>
      </c>
      <c r="H3581" s="13"/>
      <c r="I3581" s="15"/>
      <c r="J3581" s="19">
        <v>4</v>
      </c>
      <c r="K3581" s="2" t="s">
        <v>7172</v>
      </c>
      <c r="L3581" s="11" t="str">
        <f t="shared" si="58"/>
        <v>Ver Imagen</v>
      </c>
      <c r="M3581" t="s">
        <v>15</v>
      </c>
    </row>
    <row r="3582" spans="1:13" x14ac:dyDescent="0.25">
      <c r="A3582">
        <v>3581</v>
      </c>
      <c r="B3582" t="s">
        <v>7173</v>
      </c>
      <c r="C3582" s="1">
        <v>37.450965112399999</v>
      </c>
      <c r="D3582" s="1">
        <v>-7.1107934760999996</v>
      </c>
      <c r="E3582" s="3">
        <v>4</v>
      </c>
      <c r="F3582" s="2">
        <v>4</v>
      </c>
      <c r="G3582" s="4">
        <v>4</v>
      </c>
      <c r="H3582" s="13"/>
      <c r="I3582" s="15"/>
      <c r="J3582" s="19">
        <v>4</v>
      </c>
      <c r="K3582" s="2" t="s">
        <v>7174</v>
      </c>
      <c r="L3582" s="11" t="str">
        <f t="shared" si="58"/>
        <v>Ver Imagen</v>
      </c>
      <c r="M3582" t="s">
        <v>15</v>
      </c>
    </row>
    <row r="3583" spans="1:13" x14ac:dyDescent="0.25">
      <c r="A3583">
        <v>3582</v>
      </c>
      <c r="B3583" t="s">
        <v>7175</v>
      </c>
      <c r="C3583" s="1">
        <v>37.449273859100003</v>
      </c>
      <c r="D3583" s="1">
        <v>-7.1100277912500003</v>
      </c>
      <c r="E3583" s="3">
        <v>4</v>
      </c>
      <c r="F3583" s="2">
        <v>4</v>
      </c>
      <c r="G3583" s="4">
        <v>4</v>
      </c>
      <c r="H3583" s="13"/>
      <c r="I3583" s="15"/>
      <c r="J3583" s="19">
        <v>4</v>
      </c>
      <c r="K3583" s="2" t="s">
        <v>7176</v>
      </c>
      <c r="L3583" s="11" t="str">
        <f t="shared" si="58"/>
        <v>Ver Imagen</v>
      </c>
      <c r="M3583" t="s">
        <v>15</v>
      </c>
    </row>
    <row r="3584" spans="1:13" x14ac:dyDescent="0.25">
      <c r="A3584">
        <v>3583</v>
      </c>
      <c r="B3584" t="s">
        <v>7177</v>
      </c>
      <c r="C3584" s="1">
        <v>37.207256967699998</v>
      </c>
      <c r="D3584" s="1">
        <v>-7.0219109312299999</v>
      </c>
      <c r="E3584" s="3">
        <v>4</v>
      </c>
      <c r="F3584" s="2">
        <v>4</v>
      </c>
      <c r="G3584" s="4">
        <v>4</v>
      </c>
      <c r="H3584" s="13"/>
      <c r="I3584" s="15"/>
      <c r="J3584" s="19">
        <v>4</v>
      </c>
      <c r="K3584" s="2" t="s">
        <v>7178</v>
      </c>
      <c r="L3584" s="11" t="str">
        <f t="shared" si="58"/>
        <v>Ver Imagen</v>
      </c>
      <c r="M3584" t="s">
        <v>15</v>
      </c>
    </row>
    <row r="3585" spans="1:13" x14ac:dyDescent="0.25">
      <c r="A3585">
        <v>3584</v>
      </c>
      <c r="B3585" t="s">
        <v>7179</v>
      </c>
      <c r="C3585" s="1">
        <v>37.279477270900003</v>
      </c>
      <c r="D3585" s="1">
        <v>-7.14501996021</v>
      </c>
      <c r="E3585" s="3">
        <v>4</v>
      </c>
      <c r="F3585" s="2">
        <v>4</v>
      </c>
      <c r="G3585" s="4">
        <v>4</v>
      </c>
      <c r="H3585" s="13"/>
      <c r="I3585" s="15"/>
      <c r="J3585" s="19">
        <v>4</v>
      </c>
      <c r="K3585" s="2" t="s">
        <v>7180</v>
      </c>
      <c r="L3585" s="11" t="str">
        <f t="shared" si="58"/>
        <v>Ver Imagen</v>
      </c>
      <c r="M3585" t="s">
        <v>15</v>
      </c>
    </row>
    <row r="3586" spans="1:13" x14ac:dyDescent="0.25">
      <c r="A3586">
        <v>3585</v>
      </c>
      <c r="B3586" t="s">
        <v>7181</v>
      </c>
      <c r="C3586" s="1">
        <v>37.278811964299997</v>
      </c>
      <c r="D3586" s="1">
        <v>-7.1444694769600003</v>
      </c>
      <c r="E3586" s="3">
        <v>4</v>
      </c>
      <c r="F3586" s="2">
        <v>4</v>
      </c>
      <c r="G3586" s="4">
        <v>4</v>
      </c>
      <c r="H3586" s="13"/>
      <c r="I3586" s="15"/>
      <c r="J3586" s="19">
        <v>4</v>
      </c>
      <c r="K3586" s="2" t="s">
        <v>7182</v>
      </c>
      <c r="L3586" s="11" t="str">
        <f t="shared" si="58"/>
        <v>Ver Imagen</v>
      </c>
      <c r="M3586" t="s">
        <v>15</v>
      </c>
    </row>
    <row r="3587" spans="1:13" x14ac:dyDescent="0.25">
      <c r="A3587">
        <v>3586</v>
      </c>
      <c r="B3587" t="s">
        <v>7183</v>
      </c>
      <c r="C3587" s="1">
        <v>37.268436222600002</v>
      </c>
      <c r="D3587" s="1">
        <v>-7.1364638122499997</v>
      </c>
      <c r="E3587" s="3">
        <v>4</v>
      </c>
      <c r="F3587" s="2">
        <v>4</v>
      </c>
      <c r="G3587" s="4">
        <v>4</v>
      </c>
      <c r="H3587" s="13"/>
      <c r="I3587" s="15"/>
      <c r="J3587" s="19">
        <v>4</v>
      </c>
      <c r="K3587" s="2" t="s">
        <v>7184</v>
      </c>
      <c r="L3587" s="11" t="str">
        <f t="shared" si="58"/>
        <v>Ver Imagen</v>
      </c>
      <c r="M3587" t="s">
        <v>15</v>
      </c>
    </row>
    <row r="3588" spans="1:13" x14ac:dyDescent="0.25">
      <c r="A3588">
        <v>3587</v>
      </c>
      <c r="B3588" t="s">
        <v>7185</v>
      </c>
      <c r="C3588" s="1">
        <v>37.268207327900001</v>
      </c>
      <c r="D3588" s="1">
        <v>-7.1354869353200003</v>
      </c>
      <c r="E3588" s="3">
        <v>4</v>
      </c>
      <c r="F3588" s="2">
        <v>4</v>
      </c>
      <c r="G3588" s="4">
        <v>4</v>
      </c>
      <c r="H3588" s="13"/>
      <c r="I3588" s="15"/>
      <c r="J3588" s="19">
        <v>4</v>
      </c>
      <c r="K3588" s="2" t="s">
        <v>7186</v>
      </c>
      <c r="L3588" s="11" t="str">
        <f t="shared" si="58"/>
        <v>Ver Imagen</v>
      </c>
      <c r="M3588" t="s">
        <v>15</v>
      </c>
    </row>
    <row r="3589" spans="1:13" x14ac:dyDescent="0.25">
      <c r="A3589">
        <v>3588</v>
      </c>
      <c r="B3589" t="s">
        <v>7187</v>
      </c>
      <c r="C3589" s="1">
        <v>37.264839353200003</v>
      </c>
      <c r="D3589" s="1">
        <v>-7.1321178299900003</v>
      </c>
      <c r="E3589" s="3">
        <v>4</v>
      </c>
      <c r="F3589" s="2">
        <v>4</v>
      </c>
      <c r="G3589" s="4">
        <v>4</v>
      </c>
      <c r="H3589" s="13"/>
      <c r="I3589" s="15"/>
      <c r="J3589" s="19">
        <v>4</v>
      </c>
      <c r="K3589" s="2" t="s">
        <v>7188</v>
      </c>
      <c r="L3589" s="11" t="str">
        <f t="shared" si="58"/>
        <v>Ver Imagen</v>
      </c>
      <c r="M3589" t="s">
        <v>15</v>
      </c>
    </row>
    <row r="3590" spans="1:13" x14ac:dyDescent="0.25">
      <c r="A3590">
        <v>3589</v>
      </c>
      <c r="B3590" t="s">
        <v>7189</v>
      </c>
      <c r="C3590" s="1">
        <v>37.2448170308</v>
      </c>
      <c r="D3590" s="1">
        <v>-7.0915858945599997</v>
      </c>
      <c r="E3590" s="3">
        <v>4</v>
      </c>
      <c r="F3590" s="2">
        <v>4</v>
      </c>
      <c r="G3590" s="4">
        <v>4</v>
      </c>
      <c r="H3590" s="13"/>
      <c r="I3590" s="15"/>
      <c r="J3590" s="19">
        <v>4</v>
      </c>
      <c r="K3590" s="2" t="s">
        <v>7190</v>
      </c>
      <c r="L3590" s="11" t="str">
        <f t="shared" si="58"/>
        <v>Ver Imagen</v>
      </c>
      <c r="M3590" t="s">
        <v>15</v>
      </c>
    </row>
    <row r="3591" spans="1:13" x14ac:dyDescent="0.25">
      <c r="A3591">
        <v>3590</v>
      </c>
      <c r="B3591" t="s">
        <v>7191</v>
      </c>
      <c r="C3591" s="1">
        <v>37.2450282207</v>
      </c>
      <c r="D3591" s="1">
        <v>-7.09204151454</v>
      </c>
      <c r="E3591" s="3">
        <v>4</v>
      </c>
      <c r="F3591" s="2">
        <v>4</v>
      </c>
      <c r="G3591" s="4">
        <v>4</v>
      </c>
      <c r="H3591" s="13"/>
      <c r="I3591" s="15"/>
      <c r="J3591" s="19">
        <v>4</v>
      </c>
      <c r="K3591" s="2" t="s">
        <v>7192</v>
      </c>
      <c r="L3591" s="11" t="str">
        <f t="shared" si="58"/>
        <v>Ver Imagen</v>
      </c>
      <c r="M3591" t="s">
        <v>15</v>
      </c>
    </row>
    <row r="3592" spans="1:13" x14ac:dyDescent="0.25">
      <c r="A3592">
        <v>3591</v>
      </c>
      <c r="B3592" t="s">
        <v>7193</v>
      </c>
      <c r="C3592" s="1">
        <v>37.245348442299999</v>
      </c>
      <c r="D3592" s="1">
        <v>-7.0931948472700004</v>
      </c>
      <c r="E3592" s="3">
        <v>4</v>
      </c>
      <c r="F3592" s="2">
        <v>4</v>
      </c>
      <c r="G3592" s="4">
        <v>4</v>
      </c>
      <c r="H3592" s="13"/>
      <c r="I3592" s="15"/>
      <c r="J3592" s="19">
        <v>4</v>
      </c>
      <c r="K3592" s="2" t="s">
        <v>7194</v>
      </c>
      <c r="L3592" s="11" t="str">
        <f t="shared" si="58"/>
        <v>Ver Imagen</v>
      </c>
      <c r="M3592" t="s">
        <v>15</v>
      </c>
    </row>
    <row r="3593" spans="1:13" x14ac:dyDescent="0.25">
      <c r="A3593">
        <v>3592</v>
      </c>
      <c r="B3593" t="s">
        <v>7195</v>
      </c>
      <c r="C3593" s="1">
        <v>37.245382688100001</v>
      </c>
      <c r="D3593" s="1">
        <v>-7.0934706248500001</v>
      </c>
      <c r="E3593" s="3">
        <v>4</v>
      </c>
      <c r="F3593" s="2">
        <v>4</v>
      </c>
      <c r="G3593" s="4">
        <v>4</v>
      </c>
      <c r="H3593" s="13"/>
      <c r="I3593" s="15"/>
      <c r="J3593" s="19">
        <v>4</v>
      </c>
      <c r="K3593" s="2" t="s">
        <v>7196</v>
      </c>
      <c r="L3593" s="11" t="str">
        <f t="shared" si="58"/>
        <v>Ver Imagen</v>
      </c>
      <c r="M3593" t="s">
        <v>15</v>
      </c>
    </row>
    <row r="3594" spans="1:13" x14ac:dyDescent="0.25">
      <c r="A3594">
        <v>3593</v>
      </c>
      <c r="B3594" t="s">
        <v>7197</v>
      </c>
      <c r="C3594" s="1">
        <v>37.258938835899997</v>
      </c>
      <c r="D3594" s="1">
        <v>-7.12407741064</v>
      </c>
      <c r="E3594" s="3">
        <v>4</v>
      </c>
      <c r="F3594" s="2">
        <v>4</v>
      </c>
      <c r="G3594" s="4">
        <v>4</v>
      </c>
      <c r="H3594" s="13"/>
      <c r="I3594" s="15"/>
      <c r="J3594" s="19">
        <v>4</v>
      </c>
      <c r="K3594" s="2" t="s">
        <v>7198</v>
      </c>
      <c r="L3594" s="11" t="str">
        <f t="shared" si="58"/>
        <v>Ver Imagen</v>
      </c>
      <c r="M3594" t="s">
        <v>15</v>
      </c>
    </row>
    <row r="3595" spans="1:13" x14ac:dyDescent="0.25">
      <c r="A3595">
        <v>3594</v>
      </c>
      <c r="B3595" t="s">
        <v>7199</v>
      </c>
      <c r="C3595" s="1">
        <v>37.478219465199999</v>
      </c>
      <c r="D3595" s="1">
        <v>-7.1275331798400003</v>
      </c>
      <c r="E3595" s="3">
        <v>4</v>
      </c>
      <c r="F3595" s="2">
        <v>4</v>
      </c>
      <c r="G3595" s="4">
        <v>4</v>
      </c>
      <c r="H3595" s="13"/>
      <c r="I3595" s="15"/>
      <c r="J3595" s="19">
        <v>4</v>
      </c>
      <c r="K3595" s="2" t="s">
        <v>7200</v>
      </c>
      <c r="L3595" s="11" t="str">
        <f t="shared" si="58"/>
        <v>Ver Imagen</v>
      </c>
      <c r="M3595" t="s">
        <v>15</v>
      </c>
    </row>
    <row r="3596" spans="1:13" x14ac:dyDescent="0.25">
      <c r="A3596">
        <v>3595</v>
      </c>
      <c r="B3596" t="s">
        <v>7201</v>
      </c>
      <c r="C3596" s="1">
        <v>37.472546837800003</v>
      </c>
      <c r="D3596" s="1">
        <v>-7.1264004540299997</v>
      </c>
      <c r="E3596" s="3">
        <v>4</v>
      </c>
      <c r="F3596" s="2">
        <v>4</v>
      </c>
      <c r="G3596" s="4">
        <v>4</v>
      </c>
      <c r="H3596" s="13"/>
      <c r="I3596" s="15"/>
      <c r="J3596" s="19">
        <v>4</v>
      </c>
      <c r="K3596" s="2" t="s">
        <v>7202</v>
      </c>
      <c r="L3596" s="11" t="str">
        <f t="shared" si="58"/>
        <v>Ver Imagen</v>
      </c>
      <c r="M3596" t="s">
        <v>15</v>
      </c>
    </row>
    <row r="3597" spans="1:13" x14ac:dyDescent="0.25">
      <c r="A3597">
        <v>3596</v>
      </c>
      <c r="B3597" t="s">
        <v>7203</v>
      </c>
      <c r="C3597" s="1">
        <v>37.468307405099999</v>
      </c>
      <c r="D3597" s="1">
        <v>-7.1234880190399998</v>
      </c>
      <c r="E3597" s="3">
        <v>4</v>
      </c>
      <c r="F3597" s="2">
        <v>4</v>
      </c>
      <c r="G3597" s="4">
        <v>4</v>
      </c>
      <c r="H3597" s="13"/>
      <c r="I3597" s="15"/>
      <c r="J3597" s="19">
        <v>4</v>
      </c>
      <c r="K3597" s="2" t="s">
        <v>7204</v>
      </c>
      <c r="L3597" s="11" t="str">
        <f t="shared" si="58"/>
        <v>Ver Imagen</v>
      </c>
      <c r="M3597" t="s">
        <v>15</v>
      </c>
    </row>
    <row r="3598" spans="1:13" x14ac:dyDescent="0.25">
      <c r="A3598">
        <v>3597</v>
      </c>
      <c r="B3598" t="s">
        <v>7205</v>
      </c>
      <c r="C3598" s="1">
        <v>37.495447050999999</v>
      </c>
      <c r="D3598" s="1">
        <v>-7.2702593042799997</v>
      </c>
      <c r="E3598" s="3">
        <v>4</v>
      </c>
      <c r="F3598" s="2">
        <v>4</v>
      </c>
      <c r="G3598" s="4">
        <v>4</v>
      </c>
      <c r="H3598" s="13"/>
      <c r="I3598" s="15"/>
      <c r="J3598" s="19">
        <v>4</v>
      </c>
      <c r="K3598" s="2" t="s">
        <v>7206</v>
      </c>
      <c r="L3598" s="11" t="str">
        <f t="shared" ref="L3598:L3616" si="59">HYPERLINK("4\0\" &amp; K3598, "Ver Imagen")</f>
        <v>Ver Imagen</v>
      </c>
      <c r="M3598" t="s">
        <v>15</v>
      </c>
    </row>
    <row r="3599" spans="1:13" x14ac:dyDescent="0.25">
      <c r="A3599">
        <v>3598</v>
      </c>
      <c r="B3599" t="s">
        <v>7207</v>
      </c>
      <c r="C3599" s="1">
        <v>37.495427425599999</v>
      </c>
      <c r="D3599" s="1">
        <v>-7.2689573253599997</v>
      </c>
      <c r="E3599" s="3">
        <v>4</v>
      </c>
      <c r="F3599" s="2">
        <v>4</v>
      </c>
      <c r="G3599" s="4">
        <v>4</v>
      </c>
      <c r="H3599" s="13"/>
      <c r="I3599" s="15"/>
      <c r="J3599" s="19">
        <v>4</v>
      </c>
      <c r="K3599" s="2" t="s">
        <v>7208</v>
      </c>
      <c r="L3599" s="11" t="str">
        <f t="shared" si="59"/>
        <v>Ver Imagen</v>
      </c>
      <c r="M3599" t="s">
        <v>15</v>
      </c>
    </row>
    <row r="3600" spans="1:13" x14ac:dyDescent="0.25">
      <c r="A3600">
        <v>3599</v>
      </c>
      <c r="B3600" t="s">
        <v>7209</v>
      </c>
      <c r="C3600" s="1">
        <v>37.198814976199998</v>
      </c>
      <c r="D3600" s="1">
        <v>-6.9823619370800003</v>
      </c>
      <c r="E3600" s="3">
        <v>4</v>
      </c>
      <c r="F3600" s="2">
        <v>4</v>
      </c>
      <c r="G3600" s="4">
        <v>4</v>
      </c>
      <c r="H3600" s="13"/>
      <c r="I3600" s="15"/>
      <c r="J3600" s="19">
        <v>4</v>
      </c>
      <c r="K3600" s="2" t="s">
        <v>7210</v>
      </c>
      <c r="L3600" s="11" t="str">
        <f t="shared" si="59"/>
        <v>Ver Imagen</v>
      </c>
      <c r="M3600" t="s">
        <v>15</v>
      </c>
    </row>
    <row r="3601" spans="1:13" x14ac:dyDescent="0.25">
      <c r="A3601">
        <v>3600</v>
      </c>
      <c r="B3601" t="s">
        <v>7211</v>
      </c>
      <c r="C3601" s="1">
        <v>37.1876023696</v>
      </c>
      <c r="D3601" s="1">
        <v>-6.9791044865599998</v>
      </c>
      <c r="E3601" s="3">
        <v>4</v>
      </c>
      <c r="F3601" s="2">
        <v>4</v>
      </c>
      <c r="G3601" s="4">
        <v>4</v>
      </c>
      <c r="H3601" s="13"/>
      <c r="I3601" s="15"/>
      <c r="J3601" s="19">
        <v>4</v>
      </c>
      <c r="K3601" s="2" t="s">
        <v>7212</v>
      </c>
      <c r="L3601" s="11" t="str">
        <f t="shared" si="59"/>
        <v>Ver Imagen</v>
      </c>
      <c r="M3601" t="s">
        <v>15</v>
      </c>
    </row>
    <row r="3602" spans="1:13" x14ac:dyDescent="0.25">
      <c r="A3602">
        <v>3601</v>
      </c>
      <c r="B3602" t="s">
        <v>7213</v>
      </c>
      <c r="C3602" s="1">
        <v>37.1859783337</v>
      </c>
      <c r="D3602" s="1">
        <v>-6.97982040685</v>
      </c>
      <c r="E3602" s="3">
        <v>4</v>
      </c>
      <c r="F3602" s="2">
        <v>4</v>
      </c>
      <c r="G3602" s="4">
        <v>4</v>
      </c>
      <c r="H3602" s="13"/>
      <c r="I3602" s="15"/>
      <c r="J3602" s="19">
        <v>4</v>
      </c>
      <c r="K3602" s="2" t="s">
        <v>7214</v>
      </c>
      <c r="L3602" s="11" t="str">
        <f t="shared" si="59"/>
        <v>Ver Imagen</v>
      </c>
      <c r="M3602" t="s">
        <v>15</v>
      </c>
    </row>
    <row r="3603" spans="1:13" x14ac:dyDescent="0.25">
      <c r="A3603">
        <v>3602</v>
      </c>
      <c r="B3603" t="s">
        <v>7215</v>
      </c>
      <c r="C3603" s="1">
        <v>37.186162063099999</v>
      </c>
      <c r="D3603" s="1">
        <v>-6.9797385274700003</v>
      </c>
      <c r="E3603" s="3">
        <v>4</v>
      </c>
      <c r="F3603" s="2">
        <v>4</v>
      </c>
      <c r="G3603" s="4">
        <v>4</v>
      </c>
      <c r="H3603" s="13"/>
      <c r="I3603" s="15"/>
      <c r="J3603" s="19">
        <v>4</v>
      </c>
      <c r="K3603" s="2" t="s">
        <v>7216</v>
      </c>
      <c r="L3603" s="11" t="str">
        <f t="shared" si="59"/>
        <v>Ver Imagen</v>
      </c>
      <c r="M3603" t="s">
        <v>15</v>
      </c>
    </row>
    <row r="3604" spans="1:13" x14ac:dyDescent="0.25">
      <c r="A3604">
        <v>3603</v>
      </c>
      <c r="B3604" t="s">
        <v>7217</v>
      </c>
      <c r="C3604" s="1">
        <v>37.199565823199997</v>
      </c>
      <c r="D3604" s="1">
        <v>-6.9841631269200004</v>
      </c>
      <c r="E3604" s="3">
        <v>4</v>
      </c>
      <c r="F3604" s="2">
        <v>4</v>
      </c>
      <c r="G3604" s="4">
        <v>4</v>
      </c>
      <c r="H3604" s="13"/>
      <c r="I3604" s="15"/>
      <c r="J3604" s="19">
        <v>4</v>
      </c>
      <c r="K3604" s="2" t="s">
        <v>7218</v>
      </c>
      <c r="L3604" s="11" t="str">
        <f t="shared" si="59"/>
        <v>Ver Imagen</v>
      </c>
      <c r="M3604" t="s">
        <v>15</v>
      </c>
    </row>
    <row r="3605" spans="1:13" x14ac:dyDescent="0.25">
      <c r="A3605">
        <v>3604</v>
      </c>
      <c r="B3605" t="s">
        <v>7219</v>
      </c>
      <c r="C3605" s="1">
        <v>37.202855208800003</v>
      </c>
      <c r="D3605" s="1">
        <v>-7.0016253727700004</v>
      </c>
      <c r="E3605" s="3">
        <v>4</v>
      </c>
      <c r="F3605" s="2">
        <v>4</v>
      </c>
      <c r="G3605" s="4">
        <v>4</v>
      </c>
      <c r="H3605" s="13"/>
      <c r="I3605" s="15"/>
      <c r="J3605" s="19">
        <v>4</v>
      </c>
      <c r="K3605" s="2" t="s">
        <v>7220</v>
      </c>
      <c r="L3605" s="11" t="str">
        <f t="shared" si="59"/>
        <v>Ver Imagen</v>
      </c>
      <c r="M3605" t="s">
        <v>15</v>
      </c>
    </row>
    <row r="3606" spans="1:13" x14ac:dyDescent="0.25">
      <c r="A3606">
        <v>3605</v>
      </c>
      <c r="B3606" t="s">
        <v>7221</v>
      </c>
      <c r="C3606" s="1">
        <v>37.252677315</v>
      </c>
      <c r="D3606" s="1">
        <v>-7.0163821215400004</v>
      </c>
      <c r="E3606" s="3">
        <v>4</v>
      </c>
      <c r="F3606" s="2">
        <v>4</v>
      </c>
      <c r="G3606" s="4">
        <v>4</v>
      </c>
      <c r="H3606" s="13"/>
      <c r="I3606" s="15"/>
      <c r="J3606" s="19">
        <v>4</v>
      </c>
      <c r="K3606" s="2" t="s">
        <v>7222</v>
      </c>
      <c r="L3606" s="11" t="str">
        <f t="shared" si="59"/>
        <v>Ver Imagen</v>
      </c>
      <c r="M3606" t="s">
        <v>15</v>
      </c>
    </row>
    <row r="3607" spans="1:13" x14ac:dyDescent="0.25">
      <c r="A3607">
        <v>3606</v>
      </c>
      <c r="B3607" t="s">
        <v>7223</v>
      </c>
      <c r="C3607" s="1">
        <v>37.247698166299998</v>
      </c>
      <c r="D3607" s="1">
        <v>-7.0183892345399999</v>
      </c>
      <c r="E3607" s="3">
        <v>4</v>
      </c>
      <c r="F3607" s="2">
        <v>4</v>
      </c>
      <c r="G3607" s="4">
        <v>4</v>
      </c>
      <c r="H3607" s="13"/>
      <c r="I3607" s="15"/>
      <c r="J3607" s="19">
        <v>4</v>
      </c>
      <c r="K3607" s="2" t="s">
        <v>7224</v>
      </c>
      <c r="L3607" s="11" t="str">
        <f t="shared" si="59"/>
        <v>Ver Imagen</v>
      </c>
      <c r="M3607" t="s">
        <v>15</v>
      </c>
    </row>
    <row r="3608" spans="1:13" x14ac:dyDescent="0.25">
      <c r="A3608">
        <v>3607</v>
      </c>
      <c r="B3608" t="s">
        <v>7225</v>
      </c>
      <c r="C3608" s="1">
        <v>37.2317323555</v>
      </c>
      <c r="D3608" s="1">
        <v>-7.01914393715</v>
      </c>
      <c r="E3608" s="3">
        <v>4</v>
      </c>
      <c r="F3608" s="2">
        <v>4</v>
      </c>
      <c r="G3608" s="4">
        <v>4</v>
      </c>
      <c r="H3608" s="13"/>
      <c r="I3608" s="15"/>
      <c r="J3608" s="19">
        <v>4</v>
      </c>
      <c r="K3608" s="2" t="s">
        <v>7226</v>
      </c>
      <c r="L3608" s="11" t="str">
        <f t="shared" si="59"/>
        <v>Ver Imagen</v>
      </c>
      <c r="M3608" t="s">
        <v>15</v>
      </c>
    </row>
    <row r="3609" spans="1:13" x14ac:dyDescent="0.25">
      <c r="A3609">
        <v>3608</v>
      </c>
      <c r="B3609" t="s">
        <v>7227</v>
      </c>
      <c r="C3609" s="1">
        <v>37.205101020599997</v>
      </c>
      <c r="D3609" s="1">
        <v>-7.0168002411900003</v>
      </c>
      <c r="E3609" s="3">
        <v>4</v>
      </c>
      <c r="F3609" s="2">
        <v>4</v>
      </c>
      <c r="G3609" s="4">
        <v>4</v>
      </c>
      <c r="H3609" s="13"/>
      <c r="I3609" s="15"/>
      <c r="J3609" s="19">
        <v>4</v>
      </c>
      <c r="K3609" s="2" t="s">
        <v>7228</v>
      </c>
      <c r="L3609" s="11" t="str">
        <f t="shared" si="59"/>
        <v>Ver Imagen</v>
      </c>
      <c r="M3609" t="s">
        <v>15</v>
      </c>
    </row>
    <row r="3610" spans="1:13" x14ac:dyDescent="0.25">
      <c r="A3610">
        <v>3609</v>
      </c>
      <c r="B3610" t="s">
        <v>7229</v>
      </c>
      <c r="C3610" s="1">
        <v>37.251818809100001</v>
      </c>
      <c r="D3610" s="1">
        <v>-7.0167172335099997</v>
      </c>
      <c r="E3610" s="3">
        <v>4</v>
      </c>
      <c r="F3610" s="2">
        <v>4</v>
      </c>
      <c r="G3610" s="4">
        <v>4</v>
      </c>
      <c r="H3610" s="13"/>
      <c r="I3610" s="15"/>
      <c r="J3610" s="19">
        <v>4</v>
      </c>
      <c r="K3610" s="2" t="s">
        <v>7230</v>
      </c>
      <c r="L3610" s="11" t="str">
        <f t="shared" si="59"/>
        <v>Ver Imagen</v>
      </c>
      <c r="M3610" t="s">
        <v>15</v>
      </c>
    </row>
    <row r="3611" spans="1:13" x14ac:dyDescent="0.25">
      <c r="A3611">
        <v>3610</v>
      </c>
      <c r="B3611" t="s">
        <v>7231</v>
      </c>
      <c r="C3611" s="1">
        <v>37.263340757800002</v>
      </c>
      <c r="D3611" s="1">
        <v>-7.0074522353099997</v>
      </c>
      <c r="E3611" s="3">
        <v>4</v>
      </c>
      <c r="F3611" s="2">
        <v>4</v>
      </c>
      <c r="G3611" s="4">
        <v>4</v>
      </c>
      <c r="H3611" s="13"/>
      <c r="I3611" s="15"/>
      <c r="J3611" s="19">
        <v>4</v>
      </c>
      <c r="K3611" s="2" t="s">
        <v>7232</v>
      </c>
      <c r="L3611" s="11" t="str">
        <f t="shared" si="59"/>
        <v>Ver Imagen</v>
      </c>
      <c r="M3611" t="s">
        <v>15</v>
      </c>
    </row>
    <row r="3612" spans="1:13" x14ac:dyDescent="0.25">
      <c r="A3612">
        <v>3611</v>
      </c>
      <c r="B3612" t="s">
        <v>7233</v>
      </c>
      <c r="C3612" s="1">
        <v>37.271218055600002</v>
      </c>
      <c r="D3612" s="1">
        <v>-6.9837089604299996</v>
      </c>
      <c r="E3612" s="3">
        <v>4</v>
      </c>
      <c r="F3612" s="2">
        <v>4</v>
      </c>
      <c r="G3612" s="4">
        <v>4</v>
      </c>
      <c r="H3612" s="13"/>
      <c r="I3612" s="15"/>
      <c r="J3612" s="19">
        <v>4</v>
      </c>
      <c r="K3612" s="2" t="s">
        <v>7234</v>
      </c>
      <c r="L3612" s="11" t="str">
        <f t="shared" si="59"/>
        <v>Ver Imagen</v>
      </c>
      <c r="M3612" t="s">
        <v>15</v>
      </c>
    </row>
    <row r="3613" spans="1:13" x14ac:dyDescent="0.25">
      <c r="A3613">
        <v>3612</v>
      </c>
      <c r="B3613" t="s">
        <v>7235</v>
      </c>
      <c r="C3613" s="1">
        <v>37.271140384500001</v>
      </c>
      <c r="D3613" s="1">
        <v>-6.9834432092399998</v>
      </c>
      <c r="E3613" s="3">
        <v>4</v>
      </c>
      <c r="F3613" s="2">
        <v>4</v>
      </c>
      <c r="G3613" s="4">
        <v>4</v>
      </c>
      <c r="H3613" s="13"/>
      <c r="I3613" s="15"/>
      <c r="J3613" s="19">
        <v>4</v>
      </c>
      <c r="K3613" s="2" t="s">
        <v>7236</v>
      </c>
      <c r="L3613" s="11" t="str">
        <f t="shared" si="59"/>
        <v>Ver Imagen</v>
      </c>
      <c r="M3613" t="s">
        <v>15</v>
      </c>
    </row>
    <row r="3614" spans="1:13" x14ac:dyDescent="0.25">
      <c r="A3614">
        <v>3613</v>
      </c>
      <c r="B3614" t="s">
        <v>7237</v>
      </c>
      <c r="C3614" s="1">
        <v>37.271006868000001</v>
      </c>
      <c r="D3614" s="1">
        <v>-6.9829789587000004</v>
      </c>
      <c r="E3614" s="3">
        <v>4</v>
      </c>
      <c r="F3614" s="2">
        <v>4</v>
      </c>
      <c r="G3614" s="4">
        <v>4</v>
      </c>
      <c r="H3614" s="13"/>
      <c r="I3614" s="15"/>
      <c r="J3614" s="19">
        <v>4</v>
      </c>
      <c r="K3614" s="2" t="s">
        <v>7238</v>
      </c>
      <c r="L3614" s="11" t="str">
        <f t="shared" si="59"/>
        <v>Ver Imagen</v>
      </c>
      <c r="M3614" t="s">
        <v>15</v>
      </c>
    </row>
    <row r="3615" spans="1:13" x14ac:dyDescent="0.25">
      <c r="A3615">
        <v>3614</v>
      </c>
      <c r="B3615" t="s">
        <v>7239</v>
      </c>
      <c r="C3615" s="1">
        <v>37.270118881800002</v>
      </c>
      <c r="D3615" s="1">
        <v>-6.9798796814899999</v>
      </c>
      <c r="E3615" s="3">
        <v>4</v>
      </c>
      <c r="F3615" s="2">
        <v>4</v>
      </c>
      <c r="G3615" s="4">
        <v>4</v>
      </c>
      <c r="H3615" s="13"/>
      <c r="I3615" s="15"/>
      <c r="J3615" s="19">
        <v>4</v>
      </c>
      <c r="K3615" s="2" t="s">
        <v>7240</v>
      </c>
      <c r="L3615" s="11" t="str">
        <f t="shared" si="59"/>
        <v>Ver Imagen</v>
      </c>
      <c r="M3615" t="s">
        <v>15</v>
      </c>
    </row>
    <row r="3616" spans="1:13" x14ac:dyDescent="0.25">
      <c r="A3616">
        <v>3615</v>
      </c>
      <c r="B3616" t="s">
        <v>7241</v>
      </c>
      <c r="C3616" s="1">
        <v>37.269757611999999</v>
      </c>
      <c r="D3616" s="1">
        <v>-6.9786193223100002</v>
      </c>
      <c r="E3616" s="3">
        <v>4</v>
      </c>
      <c r="F3616" s="2">
        <v>4</v>
      </c>
      <c r="G3616" s="4">
        <v>4</v>
      </c>
      <c r="H3616" s="13"/>
      <c r="I3616" s="15"/>
      <c r="J3616" s="19">
        <v>4</v>
      </c>
      <c r="K3616" s="2" t="s">
        <v>7242</v>
      </c>
      <c r="L3616" s="11" t="str">
        <f t="shared" si="59"/>
        <v>Ver Imagen</v>
      </c>
      <c r="M3616" t="s">
        <v>15</v>
      </c>
    </row>
    <row r="3617" spans="1:13" x14ac:dyDescent="0.25">
      <c r="A3617">
        <v>3616</v>
      </c>
      <c r="B3617" t="s">
        <v>7243</v>
      </c>
      <c r="C3617" s="1">
        <v>37.218616669200003</v>
      </c>
      <c r="D3617" s="1">
        <v>-7.12543685262</v>
      </c>
      <c r="E3617" s="3">
        <v>3</v>
      </c>
      <c r="F3617" s="2">
        <v>4</v>
      </c>
      <c r="G3617" s="4">
        <v>4</v>
      </c>
      <c r="H3617" s="13"/>
      <c r="I3617" s="15"/>
      <c r="J3617" s="19">
        <v>4</v>
      </c>
      <c r="K3617" s="2" t="s">
        <v>7244</v>
      </c>
      <c r="L3617" s="11" t="str">
        <f t="shared" ref="L3617:L3680" si="60">HYPERLINK("4\1\" &amp; K3617, "Ver Imagen")</f>
        <v>Ver Imagen</v>
      </c>
      <c r="M3617" t="s">
        <v>15</v>
      </c>
    </row>
    <row r="3618" spans="1:13" x14ac:dyDescent="0.25">
      <c r="A3618">
        <v>3617</v>
      </c>
      <c r="B3618" t="s">
        <v>7245</v>
      </c>
      <c r="C3618" s="1">
        <v>37.2111367101</v>
      </c>
      <c r="D3618" s="1">
        <v>-7.0553138756699996</v>
      </c>
      <c r="E3618" s="3">
        <v>3</v>
      </c>
      <c r="F3618" s="2">
        <v>4</v>
      </c>
      <c r="G3618" s="4">
        <v>4</v>
      </c>
      <c r="H3618" s="13"/>
      <c r="I3618" s="15"/>
      <c r="J3618" s="19">
        <v>4</v>
      </c>
      <c r="K3618" s="2" t="s">
        <v>7246</v>
      </c>
      <c r="L3618" s="11" t="str">
        <f t="shared" si="60"/>
        <v>Ver Imagen</v>
      </c>
      <c r="M3618" t="s">
        <v>15</v>
      </c>
    </row>
    <row r="3619" spans="1:13" x14ac:dyDescent="0.25">
      <c r="A3619">
        <v>3618</v>
      </c>
      <c r="B3619" t="s">
        <v>7247</v>
      </c>
      <c r="C3619" s="1">
        <v>37.210800652899998</v>
      </c>
      <c r="D3619" s="1">
        <v>-7.0520575668100003</v>
      </c>
      <c r="E3619" s="3">
        <v>3</v>
      </c>
      <c r="F3619" s="2">
        <v>4</v>
      </c>
      <c r="G3619" s="4">
        <v>4</v>
      </c>
      <c r="H3619" s="13"/>
      <c r="I3619" s="15"/>
      <c r="J3619" s="19">
        <v>4</v>
      </c>
      <c r="K3619" s="2" t="s">
        <v>7248</v>
      </c>
      <c r="L3619" s="11" t="str">
        <f t="shared" si="60"/>
        <v>Ver Imagen</v>
      </c>
      <c r="M3619" t="s">
        <v>15</v>
      </c>
    </row>
    <row r="3620" spans="1:13" x14ac:dyDescent="0.25">
      <c r="A3620">
        <v>3619</v>
      </c>
      <c r="B3620" t="s">
        <v>7249</v>
      </c>
      <c r="C3620" s="1">
        <v>37.204379124299997</v>
      </c>
      <c r="D3620" s="1">
        <v>-7.0275423002100004</v>
      </c>
      <c r="E3620" s="3">
        <v>3</v>
      </c>
      <c r="F3620" s="2">
        <v>4</v>
      </c>
      <c r="G3620" s="4">
        <v>4</v>
      </c>
      <c r="H3620" s="13"/>
      <c r="I3620" s="15"/>
      <c r="J3620" s="19">
        <v>4</v>
      </c>
      <c r="K3620" s="2" t="s">
        <v>7250</v>
      </c>
      <c r="L3620" s="11" t="str">
        <f t="shared" si="60"/>
        <v>Ver Imagen</v>
      </c>
      <c r="M3620" t="s">
        <v>15</v>
      </c>
    </row>
    <row r="3621" spans="1:13" x14ac:dyDescent="0.25">
      <c r="A3621">
        <v>3620</v>
      </c>
      <c r="B3621" t="s">
        <v>7251</v>
      </c>
      <c r="C3621" s="1">
        <v>37.278246988600003</v>
      </c>
      <c r="D3621" s="1">
        <v>-7.1440451552299997</v>
      </c>
      <c r="E3621" s="3">
        <v>4</v>
      </c>
      <c r="F3621" s="2">
        <v>4</v>
      </c>
      <c r="G3621" s="4">
        <v>3</v>
      </c>
      <c r="H3621" s="13"/>
      <c r="I3621" s="15"/>
      <c r="J3621" s="19">
        <v>4</v>
      </c>
      <c r="K3621" s="2" t="s">
        <v>7252</v>
      </c>
      <c r="L3621" s="11" t="str">
        <f t="shared" si="60"/>
        <v>Ver Imagen</v>
      </c>
      <c r="M3621" t="s">
        <v>15</v>
      </c>
    </row>
    <row r="3622" spans="1:13" x14ac:dyDescent="0.25">
      <c r="A3622">
        <v>3621</v>
      </c>
      <c r="B3622" t="s">
        <v>7253</v>
      </c>
      <c r="C3622" s="1">
        <v>37.277922298100002</v>
      </c>
      <c r="D3622" s="1">
        <v>-7.1437853208600002</v>
      </c>
      <c r="E3622" s="3">
        <v>3</v>
      </c>
      <c r="F3622" s="2">
        <v>4</v>
      </c>
      <c r="G3622" s="4">
        <v>4</v>
      </c>
      <c r="H3622" s="13"/>
      <c r="I3622" s="15"/>
      <c r="J3622" s="19">
        <v>4</v>
      </c>
      <c r="K3622" s="2" t="s">
        <v>7254</v>
      </c>
      <c r="L3622" s="11" t="str">
        <f t="shared" si="60"/>
        <v>Ver Imagen</v>
      </c>
      <c r="M3622" t="s">
        <v>15</v>
      </c>
    </row>
    <row r="3623" spans="1:13" x14ac:dyDescent="0.25">
      <c r="A3623">
        <v>3622</v>
      </c>
      <c r="B3623" t="s">
        <v>7255</v>
      </c>
      <c r="C3623" s="1">
        <v>37.273520784399999</v>
      </c>
      <c r="D3623" s="1">
        <v>-7.1420196308200001</v>
      </c>
      <c r="E3623" s="3">
        <v>4</v>
      </c>
      <c r="F3623" s="2">
        <v>4</v>
      </c>
      <c r="G3623" s="4">
        <v>3</v>
      </c>
      <c r="H3623" s="13"/>
      <c r="I3623" s="15"/>
      <c r="J3623" s="19">
        <v>4</v>
      </c>
      <c r="K3623" s="2" t="s">
        <v>7256</v>
      </c>
      <c r="L3623" s="11" t="str">
        <f t="shared" si="60"/>
        <v>Ver Imagen</v>
      </c>
      <c r="M3623" t="s">
        <v>15</v>
      </c>
    </row>
    <row r="3624" spans="1:13" x14ac:dyDescent="0.25">
      <c r="A3624">
        <v>3623</v>
      </c>
      <c r="B3624" t="s">
        <v>7257</v>
      </c>
      <c r="C3624" s="1">
        <v>37.269457938099997</v>
      </c>
      <c r="D3624" s="1">
        <v>-7.1391181989500003</v>
      </c>
      <c r="E3624" s="3">
        <v>3</v>
      </c>
      <c r="F3624" s="2">
        <v>4</v>
      </c>
      <c r="G3624" s="4">
        <v>4</v>
      </c>
      <c r="H3624" s="13"/>
      <c r="I3624" s="15"/>
      <c r="J3624" s="19">
        <v>4</v>
      </c>
      <c r="K3624" s="2" t="s">
        <v>7258</v>
      </c>
      <c r="L3624" s="11" t="str">
        <f t="shared" si="60"/>
        <v>Ver Imagen</v>
      </c>
      <c r="M3624" t="s">
        <v>15</v>
      </c>
    </row>
    <row r="3625" spans="1:13" x14ac:dyDescent="0.25">
      <c r="A3625">
        <v>3624</v>
      </c>
      <c r="B3625" t="s">
        <v>7259</v>
      </c>
      <c r="C3625" s="1">
        <v>37.268990816399999</v>
      </c>
      <c r="D3625" s="1">
        <v>-7.1384083480299996</v>
      </c>
      <c r="E3625" s="3">
        <v>4</v>
      </c>
      <c r="F3625" s="2">
        <v>4</v>
      </c>
      <c r="G3625" s="4">
        <v>3</v>
      </c>
      <c r="H3625" s="13"/>
      <c r="I3625" s="15"/>
      <c r="J3625" s="19">
        <v>4</v>
      </c>
      <c r="K3625" s="2" t="s">
        <v>7260</v>
      </c>
      <c r="L3625" s="11" t="str">
        <f t="shared" si="60"/>
        <v>Ver Imagen</v>
      </c>
      <c r="M3625" t="s">
        <v>15</v>
      </c>
    </row>
    <row r="3626" spans="1:13" x14ac:dyDescent="0.25">
      <c r="A3626">
        <v>3625</v>
      </c>
      <c r="B3626" t="s">
        <v>7261</v>
      </c>
      <c r="C3626" s="1">
        <v>37.261575601700002</v>
      </c>
      <c r="D3626" s="1">
        <v>-7.1300585273200001</v>
      </c>
      <c r="E3626" s="3">
        <v>4</v>
      </c>
      <c r="F3626" s="2">
        <v>4</v>
      </c>
      <c r="G3626" s="4">
        <v>3</v>
      </c>
      <c r="H3626" s="13"/>
      <c r="I3626" s="15"/>
      <c r="J3626" s="19">
        <v>4</v>
      </c>
      <c r="K3626" s="2" t="s">
        <v>7262</v>
      </c>
      <c r="L3626" s="11" t="str">
        <f t="shared" si="60"/>
        <v>Ver Imagen</v>
      </c>
      <c r="M3626" t="s">
        <v>15</v>
      </c>
    </row>
    <row r="3627" spans="1:13" x14ac:dyDescent="0.25">
      <c r="A3627">
        <v>3626</v>
      </c>
      <c r="B3627" t="s">
        <v>7263</v>
      </c>
      <c r="C3627" s="1">
        <v>37.223965984099998</v>
      </c>
      <c r="D3627" s="1">
        <v>-7.1252718182199999</v>
      </c>
      <c r="E3627" s="3">
        <v>4</v>
      </c>
      <c r="F3627" s="2">
        <v>4</v>
      </c>
      <c r="G3627" s="4">
        <v>3</v>
      </c>
      <c r="H3627" s="13"/>
      <c r="I3627" s="15"/>
      <c r="J3627" s="19">
        <v>4</v>
      </c>
      <c r="K3627" s="2" t="s">
        <v>7264</v>
      </c>
      <c r="L3627" s="11" t="str">
        <f t="shared" si="60"/>
        <v>Ver Imagen</v>
      </c>
      <c r="M3627" t="s">
        <v>15</v>
      </c>
    </row>
    <row r="3628" spans="1:13" x14ac:dyDescent="0.25">
      <c r="A3628">
        <v>3627</v>
      </c>
      <c r="B3628" t="s">
        <v>7265</v>
      </c>
      <c r="C3628" s="1">
        <v>37.495471466600002</v>
      </c>
      <c r="D3628" s="1">
        <v>-7.27002868798</v>
      </c>
      <c r="E3628" s="3">
        <v>3</v>
      </c>
      <c r="F3628" s="2">
        <v>4</v>
      </c>
      <c r="G3628" s="4">
        <v>4</v>
      </c>
      <c r="H3628" s="13"/>
      <c r="I3628" s="15"/>
      <c r="J3628" s="19">
        <v>4</v>
      </c>
      <c r="K3628" s="2" t="s">
        <v>7266</v>
      </c>
      <c r="L3628" s="11" t="str">
        <f t="shared" si="60"/>
        <v>Ver Imagen</v>
      </c>
      <c r="M3628" t="s">
        <v>15</v>
      </c>
    </row>
    <row r="3629" spans="1:13" x14ac:dyDescent="0.25">
      <c r="A3629">
        <v>3628</v>
      </c>
      <c r="B3629" t="s">
        <v>7267</v>
      </c>
      <c r="C3629" s="1">
        <v>37.267172094199999</v>
      </c>
      <c r="D3629" s="1">
        <v>-6.9917322931300001</v>
      </c>
      <c r="E3629" s="3">
        <v>4</v>
      </c>
      <c r="F3629" s="2">
        <v>4</v>
      </c>
      <c r="G3629" s="4">
        <v>3</v>
      </c>
      <c r="H3629" s="13"/>
      <c r="I3629" s="15"/>
      <c r="J3629" s="19">
        <v>4</v>
      </c>
      <c r="K3629" s="2" t="s">
        <v>7268</v>
      </c>
      <c r="L3629" s="11" t="str">
        <f t="shared" si="60"/>
        <v>Ver Imagen</v>
      </c>
      <c r="M3629" t="s">
        <v>15</v>
      </c>
    </row>
    <row r="3630" spans="1:13" x14ac:dyDescent="0.25">
      <c r="A3630">
        <v>3629</v>
      </c>
      <c r="B3630" t="s">
        <v>7269</v>
      </c>
      <c r="C3630" s="1">
        <v>37.247274025599999</v>
      </c>
      <c r="D3630" s="1">
        <v>-7.0184055510299999</v>
      </c>
      <c r="E3630" s="3">
        <v>4</v>
      </c>
      <c r="F3630" s="2">
        <v>4</v>
      </c>
      <c r="G3630" s="4">
        <v>3</v>
      </c>
      <c r="H3630" s="13"/>
      <c r="I3630" s="15"/>
      <c r="J3630" s="19">
        <v>4</v>
      </c>
      <c r="K3630" s="2" t="s">
        <v>7270</v>
      </c>
      <c r="L3630" s="11" t="str">
        <f t="shared" si="60"/>
        <v>Ver Imagen</v>
      </c>
      <c r="M3630" t="s">
        <v>15</v>
      </c>
    </row>
    <row r="3631" spans="1:13" x14ac:dyDescent="0.25">
      <c r="A3631">
        <v>3630</v>
      </c>
      <c r="B3631" t="s">
        <v>7271</v>
      </c>
      <c r="C3631" s="1">
        <v>37.204166083200001</v>
      </c>
      <c r="D3631" s="1">
        <v>-7.0120655629400002</v>
      </c>
      <c r="E3631" s="3">
        <v>3</v>
      </c>
      <c r="F3631" s="2">
        <v>4</v>
      </c>
      <c r="G3631" s="4">
        <v>4</v>
      </c>
      <c r="H3631" s="13"/>
      <c r="I3631" s="15"/>
      <c r="J3631" s="19">
        <v>4</v>
      </c>
      <c r="K3631" s="2" t="s">
        <v>7272</v>
      </c>
      <c r="L3631" s="11" t="str">
        <f t="shared" si="60"/>
        <v>Ver Imagen</v>
      </c>
      <c r="M3631" t="s">
        <v>15</v>
      </c>
    </row>
    <row r="3632" spans="1:13" x14ac:dyDescent="0.25">
      <c r="A3632">
        <v>3631</v>
      </c>
      <c r="B3632" t="s">
        <v>7273</v>
      </c>
      <c r="C3632" s="1">
        <v>37.446613295200002</v>
      </c>
      <c r="D3632" s="1">
        <v>-7.1320170107700003</v>
      </c>
      <c r="E3632" s="3">
        <v>3</v>
      </c>
      <c r="F3632" s="2">
        <v>4</v>
      </c>
      <c r="G3632" s="4">
        <v>4</v>
      </c>
      <c r="H3632" s="13"/>
      <c r="I3632" s="15"/>
      <c r="J3632" s="19">
        <v>4</v>
      </c>
      <c r="K3632" s="2" t="s">
        <v>7274</v>
      </c>
      <c r="L3632" s="11" t="str">
        <f t="shared" si="60"/>
        <v>Ver Imagen</v>
      </c>
      <c r="M3632" t="s">
        <v>15</v>
      </c>
    </row>
    <row r="3633" spans="1:13" x14ac:dyDescent="0.25">
      <c r="A3633">
        <v>3632</v>
      </c>
      <c r="B3633" t="s">
        <v>7275</v>
      </c>
      <c r="C3633" s="1">
        <v>37.447264765200003</v>
      </c>
      <c r="D3633" s="1">
        <v>-7.1269836869000001</v>
      </c>
      <c r="E3633" s="3">
        <v>4</v>
      </c>
      <c r="F3633" s="2">
        <v>5</v>
      </c>
      <c r="G3633" s="4">
        <v>4</v>
      </c>
      <c r="H3633" s="13"/>
      <c r="I3633" s="15"/>
      <c r="J3633" s="19">
        <v>4</v>
      </c>
      <c r="K3633" s="2" t="s">
        <v>7276</v>
      </c>
      <c r="L3633" s="11" t="str">
        <f t="shared" si="60"/>
        <v>Ver Imagen</v>
      </c>
      <c r="M3633" t="s">
        <v>15</v>
      </c>
    </row>
    <row r="3634" spans="1:13" x14ac:dyDescent="0.25">
      <c r="A3634">
        <v>3633</v>
      </c>
      <c r="B3634" t="s">
        <v>7277</v>
      </c>
      <c r="C3634" s="1">
        <v>37.447187934900001</v>
      </c>
      <c r="D3634" s="1">
        <v>-7.1274658401000002</v>
      </c>
      <c r="E3634" s="3">
        <v>4</v>
      </c>
      <c r="F3634" s="2">
        <v>5</v>
      </c>
      <c r="G3634" s="4">
        <v>4</v>
      </c>
      <c r="H3634" s="13"/>
      <c r="I3634" s="15"/>
      <c r="J3634" s="19">
        <v>4</v>
      </c>
      <c r="K3634" s="2" t="s">
        <v>7278</v>
      </c>
      <c r="L3634" s="11" t="str">
        <f t="shared" si="60"/>
        <v>Ver Imagen</v>
      </c>
      <c r="M3634" t="s">
        <v>15</v>
      </c>
    </row>
    <row r="3635" spans="1:13" x14ac:dyDescent="0.25">
      <c r="A3635">
        <v>3634</v>
      </c>
      <c r="B3635" t="s">
        <v>7279</v>
      </c>
      <c r="C3635" s="1">
        <v>37.447158960099998</v>
      </c>
      <c r="D3635" s="1">
        <v>-7.12774900447</v>
      </c>
      <c r="E3635" s="3">
        <v>4</v>
      </c>
      <c r="F3635" s="2">
        <v>4</v>
      </c>
      <c r="G3635" s="4">
        <v>3</v>
      </c>
      <c r="H3635" s="13"/>
      <c r="I3635" s="15"/>
      <c r="J3635" s="19">
        <v>4</v>
      </c>
      <c r="K3635" s="2" t="s">
        <v>7280</v>
      </c>
      <c r="L3635" s="11" t="str">
        <f t="shared" si="60"/>
        <v>Ver Imagen</v>
      </c>
      <c r="M3635" t="s">
        <v>15</v>
      </c>
    </row>
    <row r="3636" spans="1:13" x14ac:dyDescent="0.25">
      <c r="A3636">
        <v>3635</v>
      </c>
      <c r="B3636" t="s">
        <v>7281</v>
      </c>
      <c r="C3636" s="1">
        <v>37.4471450717</v>
      </c>
      <c r="D3636" s="1">
        <v>-7.12896618092</v>
      </c>
      <c r="E3636" s="3">
        <v>4</v>
      </c>
      <c r="F3636" s="2">
        <v>5</v>
      </c>
      <c r="G3636" s="4">
        <v>4</v>
      </c>
      <c r="H3636" s="13"/>
      <c r="I3636" s="15"/>
      <c r="J3636" s="19">
        <v>4</v>
      </c>
      <c r="K3636" s="2" t="s">
        <v>7282</v>
      </c>
      <c r="L3636" s="11" t="str">
        <f t="shared" si="60"/>
        <v>Ver Imagen</v>
      </c>
      <c r="M3636" t="s">
        <v>15</v>
      </c>
    </row>
    <row r="3637" spans="1:13" x14ac:dyDescent="0.25">
      <c r="A3637">
        <v>3636</v>
      </c>
      <c r="B3637" t="s">
        <v>7283</v>
      </c>
      <c r="C3637" s="1">
        <v>37.4470435673</v>
      </c>
      <c r="D3637" s="1">
        <v>-7.1300083677000003</v>
      </c>
      <c r="E3637" s="3">
        <v>4</v>
      </c>
      <c r="F3637" s="2">
        <v>5</v>
      </c>
      <c r="G3637" s="4">
        <v>4</v>
      </c>
      <c r="H3637" s="13"/>
      <c r="I3637" s="15"/>
      <c r="J3637" s="19">
        <v>4</v>
      </c>
      <c r="K3637" s="2" t="s">
        <v>7284</v>
      </c>
      <c r="L3637" s="11" t="str">
        <f t="shared" si="60"/>
        <v>Ver Imagen</v>
      </c>
      <c r="M3637" t="s">
        <v>15</v>
      </c>
    </row>
    <row r="3638" spans="1:13" x14ac:dyDescent="0.25">
      <c r="A3638">
        <v>3637</v>
      </c>
      <c r="B3638" t="s">
        <v>7285</v>
      </c>
      <c r="C3638" s="1">
        <v>37.446983592800002</v>
      </c>
      <c r="D3638" s="1">
        <v>-7.1302322681200003</v>
      </c>
      <c r="E3638" s="3">
        <v>4</v>
      </c>
      <c r="F3638" s="2">
        <v>5</v>
      </c>
      <c r="G3638" s="4">
        <v>4</v>
      </c>
      <c r="H3638" s="13"/>
      <c r="I3638" s="15"/>
      <c r="J3638" s="19">
        <v>4</v>
      </c>
      <c r="K3638" s="2" t="s">
        <v>7286</v>
      </c>
      <c r="L3638" s="11" t="str">
        <f t="shared" si="60"/>
        <v>Ver Imagen</v>
      </c>
      <c r="M3638" t="s">
        <v>15</v>
      </c>
    </row>
    <row r="3639" spans="1:13" x14ac:dyDescent="0.25">
      <c r="A3639">
        <v>3638</v>
      </c>
      <c r="B3639" t="s">
        <v>7287</v>
      </c>
      <c r="C3639" s="1">
        <v>37.448509402399999</v>
      </c>
      <c r="D3639" s="1">
        <v>-7.14374260633</v>
      </c>
      <c r="E3639" s="3">
        <v>3</v>
      </c>
      <c r="F3639" s="2">
        <v>4</v>
      </c>
      <c r="G3639" s="4">
        <v>4</v>
      </c>
      <c r="H3639" s="13"/>
      <c r="I3639" s="15"/>
      <c r="J3639" s="19">
        <v>4</v>
      </c>
      <c r="K3639" s="2" t="s">
        <v>7288</v>
      </c>
      <c r="L3639" s="11" t="str">
        <f t="shared" si="60"/>
        <v>Ver Imagen</v>
      </c>
      <c r="M3639" t="s">
        <v>15</v>
      </c>
    </row>
    <row r="3640" spans="1:13" x14ac:dyDescent="0.25">
      <c r="A3640">
        <v>3639</v>
      </c>
      <c r="B3640" t="s">
        <v>7289</v>
      </c>
      <c r="C3640" s="1">
        <v>37.448581096799998</v>
      </c>
      <c r="D3640" s="1">
        <v>-7.1449703835399996</v>
      </c>
      <c r="E3640" s="3">
        <v>3</v>
      </c>
      <c r="F3640" s="2">
        <v>4</v>
      </c>
      <c r="G3640" s="4">
        <v>4</v>
      </c>
      <c r="H3640" s="13"/>
      <c r="I3640" s="15"/>
      <c r="J3640" s="19">
        <v>4</v>
      </c>
      <c r="K3640" s="2" t="s">
        <v>7290</v>
      </c>
      <c r="L3640" s="11" t="str">
        <f t="shared" si="60"/>
        <v>Ver Imagen</v>
      </c>
      <c r="M3640" t="s">
        <v>15</v>
      </c>
    </row>
    <row r="3641" spans="1:13" x14ac:dyDescent="0.25">
      <c r="A3641">
        <v>3640</v>
      </c>
      <c r="B3641" t="s">
        <v>7291</v>
      </c>
      <c r="C3641" s="1">
        <v>37.448594069999999</v>
      </c>
      <c r="D3641" s="1">
        <v>-7.1451857962199998</v>
      </c>
      <c r="E3641" s="3">
        <v>3</v>
      </c>
      <c r="F3641" s="2">
        <v>4</v>
      </c>
      <c r="G3641" s="4">
        <v>4</v>
      </c>
      <c r="H3641" s="13"/>
      <c r="I3641" s="15"/>
      <c r="J3641" s="19">
        <v>4</v>
      </c>
      <c r="K3641" s="2" t="s">
        <v>7292</v>
      </c>
      <c r="L3641" s="11" t="str">
        <f t="shared" si="60"/>
        <v>Ver Imagen</v>
      </c>
      <c r="M3641" t="s">
        <v>15</v>
      </c>
    </row>
    <row r="3642" spans="1:13" x14ac:dyDescent="0.25">
      <c r="A3642">
        <v>3641</v>
      </c>
      <c r="B3642" t="s">
        <v>7293</v>
      </c>
      <c r="C3642" s="1">
        <v>37.449357266900002</v>
      </c>
      <c r="D3642" s="1">
        <v>-7.1511418620300002</v>
      </c>
      <c r="E3642" s="3">
        <v>3</v>
      </c>
      <c r="F3642" s="2">
        <v>4</v>
      </c>
      <c r="G3642" s="4">
        <v>4</v>
      </c>
      <c r="H3642" s="13"/>
      <c r="I3642" s="15"/>
      <c r="J3642" s="19">
        <v>4</v>
      </c>
      <c r="K3642" s="2" t="s">
        <v>7294</v>
      </c>
      <c r="L3642" s="11" t="str">
        <f t="shared" si="60"/>
        <v>Ver Imagen</v>
      </c>
      <c r="M3642" t="s">
        <v>15</v>
      </c>
    </row>
    <row r="3643" spans="1:13" x14ac:dyDescent="0.25">
      <c r="A3643">
        <v>3642</v>
      </c>
      <c r="B3643" t="s">
        <v>7295</v>
      </c>
      <c r="C3643" s="1">
        <v>37.449460151799997</v>
      </c>
      <c r="D3643" s="1">
        <v>-7.1513595243200001</v>
      </c>
      <c r="E3643" s="3">
        <v>3</v>
      </c>
      <c r="F3643" s="2">
        <v>4</v>
      </c>
      <c r="G3643" s="4">
        <v>4</v>
      </c>
      <c r="H3643" s="13"/>
      <c r="I3643" s="15"/>
      <c r="J3643" s="19">
        <v>4</v>
      </c>
      <c r="K3643" s="2" t="s">
        <v>7296</v>
      </c>
      <c r="L3643" s="11" t="str">
        <f t="shared" si="60"/>
        <v>Ver Imagen</v>
      </c>
      <c r="M3643" t="s">
        <v>15</v>
      </c>
    </row>
    <row r="3644" spans="1:13" x14ac:dyDescent="0.25">
      <c r="A3644">
        <v>3643</v>
      </c>
      <c r="B3644" t="s">
        <v>7297</v>
      </c>
      <c r="C3644" s="1">
        <v>37.4495751308</v>
      </c>
      <c r="D3644" s="1">
        <v>-7.1515644730899997</v>
      </c>
      <c r="E3644" s="3">
        <v>4</v>
      </c>
      <c r="F3644" s="2">
        <v>4</v>
      </c>
      <c r="G3644" s="4">
        <v>5</v>
      </c>
      <c r="H3644" s="13"/>
      <c r="I3644" s="15"/>
      <c r="J3644" s="19">
        <v>4</v>
      </c>
      <c r="K3644" s="2" t="s">
        <v>7298</v>
      </c>
      <c r="L3644" s="11" t="str">
        <f t="shared" si="60"/>
        <v>Ver Imagen</v>
      </c>
      <c r="M3644" t="s">
        <v>15</v>
      </c>
    </row>
    <row r="3645" spans="1:13" x14ac:dyDescent="0.25">
      <c r="A3645">
        <v>3644</v>
      </c>
      <c r="B3645" t="s">
        <v>7299</v>
      </c>
      <c r="C3645" s="1">
        <v>37.462432842399998</v>
      </c>
      <c r="D3645" s="1">
        <v>-7.1758382765800004</v>
      </c>
      <c r="E3645" s="3">
        <v>3</v>
      </c>
      <c r="F3645" s="2">
        <v>4</v>
      </c>
      <c r="G3645" s="4">
        <v>4</v>
      </c>
      <c r="H3645" s="13"/>
      <c r="I3645" s="15"/>
      <c r="J3645" s="19">
        <v>4</v>
      </c>
      <c r="K3645" s="2" t="s">
        <v>7300</v>
      </c>
      <c r="L3645" s="11" t="str">
        <f t="shared" si="60"/>
        <v>Ver Imagen</v>
      </c>
      <c r="M3645" t="s">
        <v>15</v>
      </c>
    </row>
    <row r="3646" spans="1:13" x14ac:dyDescent="0.25">
      <c r="A3646">
        <v>3645</v>
      </c>
      <c r="B3646" t="s">
        <v>7301</v>
      </c>
      <c r="C3646" s="1">
        <v>37.4556673027</v>
      </c>
      <c r="D3646" s="1">
        <v>-7.1663911521000001</v>
      </c>
      <c r="E3646" s="3">
        <v>3</v>
      </c>
      <c r="F3646" s="2">
        <v>4</v>
      </c>
      <c r="G3646" s="4">
        <v>4</v>
      </c>
      <c r="H3646" s="13"/>
      <c r="I3646" s="15"/>
      <c r="J3646" s="19">
        <v>4</v>
      </c>
      <c r="K3646" s="2" t="s">
        <v>7302</v>
      </c>
      <c r="L3646" s="11" t="str">
        <f t="shared" si="60"/>
        <v>Ver Imagen</v>
      </c>
      <c r="M3646" t="s">
        <v>15</v>
      </c>
    </row>
    <row r="3647" spans="1:13" x14ac:dyDescent="0.25">
      <c r="A3647">
        <v>3646</v>
      </c>
      <c r="B3647" t="s">
        <v>7303</v>
      </c>
      <c r="C3647" s="1">
        <v>37.4606036355</v>
      </c>
      <c r="D3647" s="1">
        <v>-7.1728277050599996</v>
      </c>
      <c r="E3647" s="3">
        <v>3</v>
      </c>
      <c r="F3647" s="2">
        <v>4</v>
      </c>
      <c r="G3647" s="4">
        <v>4</v>
      </c>
      <c r="H3647" s="13"/>
      <c r="I3647" s="15"/>
      <c r="J3647" s="19">
        <v>4</v>
      </c>
      <c r="K3647" s="2" t="s">
        <v>7304</v>
      </c>
      <c r="L3647" s="11" t="str">
        <f t="shared" si="60"/>
        <v>Ver Imagen</v>
      </c>
      <c r="M3647" t="s">
        <v>15</v>
      </c>
    </row>
    <row r="3648" spans="1:13" x14ac:dyDescent="0.25">
      <c r="A3648">
        <v>3647</v>
      </c>
      <c r="B3648" t="s">
        <v>7305</v>
      </c>
      <c r="C3648" s="1">
        <v>37.462543341</v>
      </c>
      <c r="D3648" s="1">
        <v>-7.1760180743099999</v>
      </c>
      <c r="E3648" s="3">
        <v>3</v>
      </c>
      <c r="F3648" s="2">
        <v>4</v>
      </c>
      <c r="G3648" s="4">
        <v>4</v>
      </c>
      <c r="H3648" s="13"/>
      <c r="I3648" s="15"/>
      <c r="J3648" s="19">
        <v>4</v>
      </c>
      <c r="K3648" s="2" t="s">
        <v>7306</v>
      </c>
      <c r="L3648" s="11" t="str">
        <f t="shared" si="60"/>
        <v>Ver Imagen</v>
      </c>
      <c r="M3648" t="s">
        <v>15</v>
      </c>
    </row>
    <row r="3649" spans="1:13" x14ac:dyDescent="0.25">
      <c r="A3649">
        <v>3648</v>
      </c>
      <c r="B3649" t="s">
        <v>7307</v>
      </c>
      <c r="C3649" s="1">
        <v>37.463884492600002</v>
      </c>
      <c r="D3649" s="1">
        <v>-7.1782965164699997</v>
      </c>
      <c r="E3649" s="3">
        <v>3</v>
      </c>
      <c r="F3649" s="2">
        <v>4</v>
      </c>
      <c r="G3649" s="4">
        <v>4</v>
      </c>
      <c r="H3649" s="13"/>
      <c r="I3649" s="15"/>
      <c r="J3649" s="19">
        <v>4</v>
      </c>
      <c r="K3649" s="2" t="s">
        <v>7308</v>
      </c>
      <c r="L3649" s="11" t="str">
        <f t="shared" si="60"/>
        <v>Ver Imagen</v>
      </c>
      <c r="M3649" t="s">
        <v>15</v>
      </c>
    </row>
    <row r="3650" spans="1:13" x14ac:dyDescent="0.25">
      <c r="A3650">
        <v>3649</v>
      </c>
      <c r="B3650" t="s">
        <v>7309</v>
      </c>
      <c r="C3650" s="1">
        <v>37.464350421200002</v>
      </c>
      <c r="D3650" s="1">
        <v>-7.1791692316800004</v>
      </c>
      <c r="E3650" s="3">
        <v>4</v>
      </c>
      <c r="F3650" s="2">
        <v>4</v>
      </c>
      <c r="G3650" s="4">
        <v>5</v>
      </c>
      <c r="H3650" s="13"/>
      <c r="I3650" s="15"/>
      <c r="J3650" s="19">
        <v>4</v>
      </c>
      <c r="K3650" s="2" t="s">
        <v>7310</v>
      </c>
      <c r="L3650" s="11" t="str">
        <f t="shared" si="60"/>
        <v>Ver Imagen</v>
      </c>
      <c r="M3650" t="s">
        <v>15</v>
      </c>
    </row>
    <row r="3651" spans="1:13" x14ac:dyDescent="0.25">
      <c r="A3651">
        <v>3650</v>
      </c>
      <c r="B3651" t="s">
        <v>7311</v>
      </c>
      <c r="C3651" s="1">
        <v>37.464584202399998</v>
      </c>
      <c r="D3651" s="1">
        <v>-7.1795713623999999</v>
      </c>
      <c r="E3651" s="3">
        <v>3</v>
      </c>
      <c r="F3651" s="2">
        <v>4</v>
      </c>
      <c r="G3651" s="4">
        <v>4</v>
      </c>
      <c r="H3651" s="13"/>
      <c r="I3651" s="15"/>
      <c r="J3651" s="19">
        <v>4</v>
      </c>
      <c r="K3651" s="2" t="s">
        <v>7312</v>
      </c>
      <c r="L3651" s="11" t="str">
        <f t="shared" si="60"/>
        <v>Ver Imagen</v>
      </c>
      <c r="M3651" t="s">
        <v>15</v>
      </c>
    </row>
    <row r="3652" spans="1:13" x14ac:dyDescent="0.25">
      <c r="A3652">
        <v>3651</v>
      </c>
      <c r="B3652" t="s">
        <v>7313</v>
      </c>
      <c r="C3652" s="1">
        <v>37.464840613299998</v>
      </c>
      <c r="D3652" s="1">
        <v>-7.1800152194900004</v>
      </c>
      <c r="E3652" s="3">
        <v>4</v>
      </c>
      <c r="F3652" s="2">
        <v>4</v>
      </c>
      <c r="G3652" s="4">
        <v>5</v>
      </c>
      <c r="H3652" s="13"/>
      <c r="I3652" s="15"/>
      <c r="J3652" s="19">
        <v>4</v>
      </c>
      <c r="K3652" s="2" t="s">
        <v>7314</v>
      </c>
      <c r="L3652" s="11" t="str">
        <f t="shared" si="60"/>
        <v>Ver Imagen</v>
      </c>
      <c r="M3652" t="s">
        <v>15</v>
      </c>
    </row>
    <row r="3653" spans="1:13" x14ac:dyDescent="0.25">
      <c r="A3653">
        <v>3652</v>
      </c>
      <c r="B3653" t="s">
        <v>7315</v>
      </c>
      <c r="C3653" s="1">
        <v>37.464970093200002</v>
      </c>
      <c r="D3653" s="1">
        <v>-7.1802514570899998</v>
      </c>
      <c r="E3653" s="3">
        <v>4</v>
      </c>
      <c r="F3653" s="2">
        <v>4</v>
      </c>
      <c r="G3653" s="4">
        <v>5</v>
      </c>
      <c r="H3653" s="13"/>
      <c r="I3653" s="15"/>
      <c r="J3653" s="19">
        <v>4</v>
      </c>
      <c r="K3653" s="2" t="s">
        <v>7316</v>
      </c>
      <c r="L3653" s="11" t="str">
        <f t="shared" si="60"/>
        <v>Ver Imagen</v>
      </c>
      <c r="M3653" t="s">
        <v>15</v>
      </c>
    </row>
    <row r="3654" spans="1:13" x14ac:dyDescent="0.25">
      <c r="A3654">
        <v>3653</v>
      </c>
      <c r="B3654" t="s">
        <v>7317</v>
      </c>
      <c r="C3654" s="1">
        <v>37.466305645299997</v>
      </c>
      <c r="D3654" s="1">
        <v>-7.1827404683499996</v>
      </c>
      <c r="E3654" s="3">
        <v>3</v>
      </c>
      <c r="F3654" s="2">
        <v>4</v>
      </c>
      <c r="G3654" s="4">
        <v>4</v>
      </c>
      <c r="H3654" s="13"/>
      <c r="I3654" s="15"/>
      <c r="J3654" s="19">
        <v>4</v>
      </c>
      <c r="K3654" s="2" t="s">
        <v>7318</v>
      </c>
      <c r="L3654" s="11" t="str">
        <f t="shared" si="60"/>
        <v>Ver Imagen</v>
      </c>
      <c r="M3654" t="s">
        <v>15</v>
      </c>
    </row>
    <row r="3655" spans="1:13" x14ac:dyDescent="0.25">
      <c r="A3655">
        <v>3654</v>
      </c>
      <c r="B3655" t="s">
        <v>7319</v>
      </c>
      <c r="C3655" s="1">
        <v>37.466847421899999</v>
      </c>
      <c r="D3655" s="1">
        <v>-7.1837829048000001</v>
      </c>
      <c r="E3655" s="3">
        <v>3</v>
      </c>
      <c r="F3655" s="2">
        <v>4</v>
      </c>
      <c r="G3655" s="4">
        <v>4</v>
      </c>
      <c r="H3655" s="13"/>
      <c r="I3655" s="15"/>
      <c r="J3655" s="19">
        <v>4</v>
      </c>
      <c r="K3655" s="2" t="s">
        <v>7320</v>
      </c>
      <c r="L3655" s="11" t="str">
        <f t="shared" si="60"/>
        <v>Ver Imagen</v>
      </c>
      <c r="M3655" t="s">
        <v>15</v>
      </c>
    </row>
    <row r="3656" spans="1:13" x14ac:dyDescent="0.25">
      <c r="A3656">
        <v>3655</v>
      </c>
      <c r="B3656" t="s">
        <v>7321</v>
      </c>
      <c r="C3656" s="1">
        <v>37.467049944300001</v>
      </c>
      <c r="D3656" s="1">
        <v>-7.18419336941</v>
      </c>
      <c r="E3656" s="3">
        <v>3</v>
      </c>
      <c r="F3656" s="2">
        <v>4</v>
      </c>
      <c r="G3656" s="4">
        <v>4</v>
      </c>
      <c r="H3656" s="13"/>
      <c r="I3656" s="15"/>
      <c r="J3656" s="19">
        <v>4</v>
      </c>
      <c r="K3656" s="2" t="s">
        <v>7322</v>
      </c>
      <c r="L3656" s="11" t="str">
        <f t="shared" si="60"/>
        <v>Ver Imagen</v>
      </c>
      <c r="M3656" t="s">
        <v>15</v>
      </c>
    </row>
    <row r="3657" spans="1:13" x14ac:dyDescent="0.25">
      <c r="A3657">
        <v>3656</v>
      </c>
      <c r="B3657" t="s">
        <v>7323</v>
      </c>
      <c r="C3657" s="1">
        <v>37.452368833199998</v>
      </c>
      <c r="D3657" s="1">
        <v>-7.1117201009700004</v>
      </c>
      <c r="E3657" s="3">
        <v>4</v>
      </c>
      <c r="F3657" s="2">
        <v>5</v>
      </c>
      <c r="G3657" s="4">
        <v>4</v>
      </c>
      <c r="H3657" s="13"/>
      <c r="I3657" s="15"/>
      <c r="J3657" s="19">
        <v>4</v>
      </c>
      <c r="K3657" s="2" t="s">
        <v>7324</v>
      </c>
      <c r="L3657" s="11" t="str">
        <f t="shared" si="60"/>
        <v>Ver Imagen</v>
      </c>
      <c r="M3657" t="s">
        <v>15</v>
      </c>
    </row>
    <row r="3658" spans="1:13" x14ac:dyDescent="0.25">
      <c r="A3658">
        <v>3657</v>
      </c>
      <c r="B3658" t="s">
        <v>7325</v>
      </c>
      <c r="C3658" s="1">
        <v>37.274176864700003</v>
      </c>
      <c r="D3658" s="1">
        <v>-6.9913078776599997</v>
      </c>
      <c r="E3658" s="3">
        <v>3</v>
      </c>
      <c r="F3658" s="2">
        <v>4</v>
      </c>
      <c r="G3658" s="4">
        <v>4</v>
      </c>
      <c r="H3658" s="13"/>
      <c r="I3658" s="15"/>
      <c r="J3658" s="19">
        <v>4</v>
      </c>
      <c r="K3658" s="2" t="s">
        <v>7326</v>
      </c>
      <c r="L3658" s="11" t="str">
        <f t="shared" si="60"/>
        <v>Ver Imagen</v>
      </c>
      <c r="M3658" t="s">
        <v>15</v>
      </c>
    </row>
    <row r="3659" spans="1:13" x14ac:dyDescent="0.25">
      <c r="A3659">
        <v>3658</v>
      </c>
      <c r="B3659" t="s">
        <v>7327</v>
      </c>
      <c r="C3659" s="1">
        <v>37.277252683699999</v>
      </c>
      <c r="D3659" s="1">
        <v>-6.9919785708199997</v>
      </c>
      <c r="E3659" s="3">
        <v>3</v>
      </c>
      <c r="F3659" s="2">
        <v>4</v>
      </c>
      <c r="G3659" s="4">
        <v>4</v>
      </c>
      <c r="H3659" s="13"/>
      <c r="I3659" s="15"/>
      <c r="J3659" s="19">
        <v>4</v>
      </c>
      <c r="K3659" s="2" t="s">
        <v>7328</v>
      </c>
      <c r="L3659" s="11" t="str">
        <f t="shared" si="60"/>
        <v>Ver Imagen</v>
      </c>
      <c r="M3659" t="s">
        <v>15</v>
      </c>
    </row>
    <row r="3660" spans="1:13" x14ac:dyDescent="0.25">
      <c r="A3660">
        <v>3659</v>
      </c>
      <c r="B3660" t="s">
        <v>7329</v>
      </c>
      <c r="C3660" s="1">
        <v>37.277563394700003</v>
      </c>
      <c r="D3660" s="1">
        <v>-6.9922525897299996</v>
      </c>
      <c r="E3660" s="3">
        <v>4</v>
      </c>
      <c r="F3660" s="2">
        <v>4</v>
      </c>
      <c r="G3660" s="4">
        <v>3</v>
      </c>
      <c r="H3660" s="13"/>
      <c r="I3660" s="15"/>
      <c r="J3660" s="19">
        <v>4</v>
      </c>
      <c r="K3660" s="2" t="s">
        <v>7330</v>
      </c>
      <c r="L3660" s="11" t="str">
        <f t="shared" si="60"/>
        <v>Ver Imagen</v>
      </c>
      <c r="M3660" t="s">
        <v>15</v>
      </c>
    </row>
    <row r="3661" spans="1:13" x14ac:dyDescent="0.25">
      <c r="A3661">
        <v>3660</v>
      </c>
      <c r="B3661" t="s">
        <v>7331</v>
      </c>
      <c r="C3661" s="1">
        <v>37.2778885213</v>
      </c>
      <c r="D3661" s="1">
        <v>-6.9925555589800004</v>
      </c>
      <c r="E3661" s="3">
        <v>4</v>
      </c>
      <c r="F3661" s="2">
        <v>5</v>
      </c>
      <c r="G3661" s="4">
        <v>4</v>
      </c>
      <c r="H3661" s="13"/>
      <c r="I3661" s="15"/>
      <c r="J3661" s="19">
        <v>4</v>
      </c>
      <c r="K3661" s="2" t="s">
        <v>7332</v>
      </c>
      <c r="L3661" s="11" t="str">
        <f t="shared" si="60"/>
        <v>Ver Imagen</v>
      </c>
      <c r="M3661" t="s">
        <v>15</v>
      </c>
    </row>
    <row r="3662" spans="1:13" x14ac:dyDescent="0.25">
      <c r="A3662">
        <v>3661</v>
      </c>
      <c r="B3662" t="s">
        <v>7333</v>
      </c>
      <c r="C3662" s="1">
        <v>37.279891176699998</v>
      </c>
      <c r="D3662" s="1">
        <v>-6.99849943216</v>
      </c>
      <c r="E3662" s="3">
        <v>4</v>
      </c>
      <c r="F3662" s="2">
        <v>3</v>
      </c>
      <c r="G3662" s="4">
        <v>4</v>
      </c>
      <c r="H3662" s="13"/>
      <c r="I3662" s="15"/>
      <c r="J3662" s="19">
        <v>4</v>
      </c>
      <c r="K3662" s="2" t="s">
        <v>7334</v>
      </c>
      <c r="L3662" s="11" t="str">
        <f t="shared" si="60"/>
        <v>Ver Imagen</v>
      </c>
      <c r="M3662" t="s">
        <v>15</v>
      </c>
    </row>
    <row r="3663" spans="1:13" x14ac:dyDescent="0.25">
      <c r="A3663">
        <v>3662</v>
      </c>
      <c r="B3663" t="s">
        <v>7335</v>
      </c>
      <c r="C3663" s="1">
        <v>37.280271391500001</v>
      </c>
      <c r="D3663" s="1">
        <v>-6.9999970025799998</v>
      </c>
      <c r="E3663" s="3">
        <v>4</v>
      </c>
      <c r="F3663" s="2">
        <v>3</v>
      </c>
      <c r="G3663" s="4">
        <v>4</v>
      </c>
      <c r="H3663" s="13"/>
      <c r="I3663" s="15"/>
      <c r="J3663" s="19">
        <v>4</v>
      </c>
      <c r="K3663" s="2" t="s">
        <v>7336</v>
      </c>
      <c r="L3663" s="11" t="str">
        <f t="shared" si="60"/>
        <v>Ver Imagen</v>
      </c>
      <c r="M3663" t="s">
        <v>15</v>
      </c>
    </row>
    <row r="3664" spans="1:13" x14ac:dyDescent="0.25">
      <c r="A3664">
        <v>3663</v>
      </c>
      <c r="B3664" t="s">
        <v>7337</v>
      </c>
      <c r="C3664" s="1">
        <v>37.280451036300001</v>
      </c>
      <c r="D3664" s="1">
        <v>-7.0001381252600003</v>
      </c>
      <c r="E3664" s="3">
        <v>3</v>
      </c>
      <c r="F3664" s="2">
        <v>4</v>
      </c>
      <c r="G3664" s="4">
        <v>4</v>
      </c>
      <c r="H3664" s="13"/>
      <c r="I3664" s="15"/>
      <c r="J3664" s="19">
        <v>4</v>
      </c>
      <c r="K3664" s="2" t="s">
        <v>7338</v>
      </c>
      <c r="L3664" s="11" t="str">
        <f t="shared" si="60"/>
        <v>Ver Imagen</v>
      </c>
      <c r="M3664" t="s">
        <v>15</v>
      </c>
    </row>
    <row r="3665" spans="1:14" x14ac:dyDescent="0.25">
      <c r="A3665">
        <v>3664</v>
      </c>
      <c r="B3665" t="s">
        <v>7339</v>
      </c>
      <c r="C3665" s="1">
        <v>37.280523471499997</v>
      </c>
      <c r="D3665" s="1">
        <v>-7.0009184493900003</v>
      </c>
      <c r="E3665" s="3">
        <v>3</v>
      </c>
      <c r="F3665" s="2">
        <v>4</v>
      </c>
      <c r="G3665" s="4">
        <v>4</v>
      </c>
      <c r="H3665" s="13"/>
      <c r="I3665" s="15"/>
      <c r="J3665" s="19">
        <v>4</v>
      </c>
      <c r="K3665" s="2" t="s">
        <v>7340</v>
      </c>
      <c r="L3665" s="11" t="str">
        <f t="shared" si="60"/>
        <v>Ver Imagen</v>
      </c>
      <c r="M3665" t="s">
        <v>15</v>
      </c>
    </row>
    <row r="3666" spans="1:14" x14ac:dyDescent="0.25">
      <c r="A3666">
        <v>3665</v>
      </c>
      <c r="B3666" t="s">
        <v>7341</v>
      </c>
      <c r="C3666" s="1">
        <v>37.278188187399998</v>
      </c>
      <c r="D3666" s="1">
        <v>-7.0103825331599996</v>
      </c>
      <c r="E3666" s="3">
        <v>3</v>
      </c>
      <c r="F3666" s="2">
        <v>4</v>
      </c>
      <c r="G3666" s="4">
        <v>4</v>
      </c>
      <c r="H3666" s="13"/>
      <c r="I3666" s="15"/>
      <c r="J3666" s="19">
        <v>4</v>
      </c>
      <c r="K3666" s="2" t="s">
        <v>7342</v>
      </c>
      <c r="L3666" s="11" t="str">
        <f t="shared" si="60"/>
        <v>Ver Imagen</v>
      </c>
      <c r="M3666" t="s">
        <v>15</v>
      </c>
    </row>
    <row r="3667" spans="1:14" x14ac:dyDescent="0.25">
      <c r="A3667">
        <v>3666</v>
      </c>
      <c r="B3667" t="s">
        <v>7343</v>
      </c>
      <c r="C3667" s="1">
        <v>37.276816646999997</v>
      </c>
      <c r="D3667" s="1">
        <v>-7.0128893997899997</v>
      </c>
      <c r="E3667" s="3">
        <v>3</v>
      </c>
      <c r="F3667" s="2">
        <v>4</v>
      </c>
      <c r="G3667" s="4">
        <v>4</v>
      </c>
      <c r="H3667" s="13"/>
      <c r="I3667" s="15"/>
      <c r="J3667" s="19">
        <v>4</v>
      </c>
      <c r="K3667" s="2" t="s">
        <v>7344</v>
      </c>
      <c r="L3667" s="11" t="str">
        <f t="shared" si="60"/>
        <v>Ver Imagen</v>
      </c>
      <c r="M3667" t="s">
        <v>15</v>
      </c>
    </row>
    <row r="3668" spans="1:14" x14ac:dyDescent="0.25">
      <c r="A3668">
        <v>3667</v>
      </c>
      <c r="B3668" t="s">
        <v>7345</v>
      </c>
      <c r="C3668" s="1">
        <v>37.3193613742</v>
      </c>
      <c r="D3668" s="1">
        <v>-7.0714958904099996</v>
      </c>
      <c r="E3668" s="3">
        <v>3</v>
      </c>
      <c r="F3668" s="2">
        <v>4</v>
      </c>
      <c r="G3668" s="4">
        <v>4</v>
      </c>
      <c r="H3668" s="13"/>
      <c r="I3668" s="15"/>
      <c r="J3668" s="19">
        <v>4</v>
      </c>
      <c r="K3668" s="2" t="s">
        <v>7346</v>
      </c>
      <c r="L3668" s="11" t="str">
        <f t="shared" si="60"/>
        <v>Ver Imagen</v>
      </c>
      <c r="M3668" t="s">
        <v>15</v>
      </c>
    </row>
    <row r="3669" spans="1:14" x14ac:dyDescent="0.25">
      <c r="A3669">
        <v>3668</v>
      </c>
      <c r="B3669" t="s">
        <v>7347</v>
      </c>
      <c r="C3669" s="1">
        <v>37.455202889200002</v>
      </c>
      <c r="D3669" s="1">
        <v>-7.1132196971399999</v>
      </c>
      <c r="E3669" s="3">
        <v>4</v>
      </c>
      <c r="F3669" s="2">
        <v>4</v>
      </c>
      <c r="G3669" s="4">
        <v>5</v>
      </c>
      <c r="H3669" s="13"/>
      <c r="I3669" s="15"/>
      <c r="J3669" s="19">
        <v>4</v>
      </c>
      <c r="K3669" s="2" t="s">
        <v>7348</v>
      </c>
      <c r="L3669" s="11" t="str">
        <f t="shared" si="60"/>
        <v>Ver Imagen</v>
      </c>
      <c r="M3669" t="s">
        <v>15</v>
      </c>
    </row>
    <row r="3670" spans="1:14" x14ac:dyDescent="0.25">
      <c r="A3670">
        <v>3669</v>
      </c>
      <c r="B3670" t="s">
        <v>7349</v>
      </c>
      <c r="C3670" s="1">
        <v>37.450795676600002</v>
      </c>
      <c r="D3670" s="1">
        <v>-7.1106840226700001</v>
      </c>
      <c r="E3670" s="3">
        <v>4</v>
      </c>
      <c r="F3670" s="2">
        <v>5</v>
      </c>
      <c r="G3670" s="4">
        <v>4</v>
      </c>
      <c r="H3670" s="13"/>
      <c r="I3670" s="15"/>
      <c r="J3670" s="19">
        <v>4</v>
      </c>
      <c r="K3670" s="2" t="s">
        <v>7350</v>
      </c>
      <c r="L3670" s="11" t="str">
        <f t="shared" si="60"/>
        <v>Ver Imagen</v>
      </c>
      <c r="M3670" t="s">
        <v>15</v>
      </c>
    </row>
    <row r="3671" spans="1:14" x14ac:dyDescent="0.25">
      <c r="A3671">
        <v>3670</v>
      </c>
      <c r="B3671" t="s">
        <v>7351</v>
      </c>
      <c r="C3671" s="1">
        <v>37.450418470499997</v>
      </c>
      <c r="D3671" s="1">
        <v>-7.1105160635300004</v>
      </c>
      <c r="E3671" s="3">
        <v>4</v>
      </c>
      <c r="F3671" s="2">
        <v>3</v>
      </c>
      <c r="G3671" s="4">
        <v>4</v>
      </c>
      <c r="H3671" s="13"/>
      <c r="I3671" s="15"/>
      <c r="J3671" s="19">
        <v>4</v>
      </c>
      <c r="K3671" s="2" t="s">
        <v>7352</v>
      </c>
      <c r="L3671" s="11" t="str">
        <f t="shared" si="60"/>
        <v>Ver Imagen</v>
      </c>
      <c r="M3671" t="s">
        <v>15</v>
      </c>
    </row>
    <row r="3672" spans="1:14" x14ac:dyDescent="0.25">
      <c r="A3672" s="16">
        <v>3671</v>
      </c>
      <c r="B3672" s="16" t="s">
        <v>9999</v>
      </c>
      <c r="C3672" s="16">
        <v>37.446794609900003</v>
      </c>
      <c r="D3672" s="16">
        <v>-7.1064360525200003</v>
      </c>
      <c r="E3672" s="16">
        <v>3</v>
      </c>
      <c r="F3672" s="16">
        <v>4</v>
      </c>
      <c r="G3672" s="16">
        <v>4</v>
      </c>
      <c r="H3672" s="16"/>
      <c r="I3672" s="16"/>
      <c r="J3672" s="21">
        <v>4</v>
      </c>
      <c r="K3672" s="16" t="s">
        <v>10000</v>
      </c>
      <c r="L3672" s="17" t="str">
        <f t="shared" si="60"/>
        <v>Ver Imagen</v>
      </c>
      <c r="M3672" s="16" t="s">
        <v>10001</v>
      </c>
      <c r="N3672" s="16"/>
    </row>
    <row r="3673" spans="1:14" x14ac:dyDescent="0.25">
      <c r="A3673">
        <v>3672</v>
      </c>
      <c r="B3673" t="s">
        <v>7353</v>
      </c>
      <c r="C3673" s="1">
        <v>37.267472411100002</v>
      </c>
      <c r="D3673" s="1">
        <v>-6.96177595187</v>
      </c>
      <c r="E3673" s="3">
        <v>4</v>
      </c>
      <c r="F3673" s="2">
        <v>3</v>
      </c>
      <c r="G3673" s="4">
        <v>4</v>
      </c>
      <c r="H3673" s="13"/>
      <c r="I3673" s="15"/>
      <c r="J3673" s="19">
        <v>4</v>
      </c>
      <c r="K3673" s="2" t="s">
        <v>7354</v>
      </c>
      <c r="L3673" s="11" t="str">
        <f t="shared" si="60"/>
        <v>Ver Imagen</v>
      </c>
      <c r="M3673" t="s">
        <v>15</v>
      </c>
    </row>
    <row r="3674" spans="1:14" x14ac:dyDescent="0.25">
      <c r="A3674">
        <v>3673</v>
      </c>
      <c r="B3674" t="s">
        <v>7355</v>
      </c>
      <c r="C3674" s="1">
        <v>37.266759030899998</v>
      </c>
      <c r="D3674" s="1">
        <v>-6.9581509289200003</v>
      </c>
      <c r="E3674" s="3">
        <v>3</v>
      </c>
      <c r="F3674" s="2">
        <v>4</v>
      </c>
      <c r="G3674" s="4">
        <v>4</v>
      </c>
      <c r="H3674" s="13"/>
      <c r="I3674" s="15"/>
      <c r="J3674" s="19">
        <v>4</v>
      </c>
      <c r="K3674" s="2" t="s">
        <v>7356</v>
      </c>
      <c r="L3674" s="11" t="str">
        <f t="shared" si="60"/>
        <v>Ver Imagen</v>
      </c>
      <c r="M3674" t="s">
        <v>15</v>
      </c>
    </row>
    <row r="3675" spans="1:14" x14ac:dyDescent="0.25">
      <c r="A3675">
        <v>3674</v>
      </c>
      <c r="B3675" t="s">
        <v>7357</v>
      </c>
      <c r="C3675" s="1">
        <v>37.202789570100002</v>
      </c>
      <c r="D3675" s="1">
        <v>-7.0150337916699996</v>
      </c>
      <c r="E3675" s="3">
        <v>3</v>
      </c>
      <c r="F3675" s="2">
        <v>4</v>
      </c>
      <c r="G3675" s="4">
        <v>4</v>
      </c>
      <c r="H3675" s="13"/>
      <c r="I3675" s="15"/>
      <c r="J3675" s="19">
        <v>4</v>
      </c>
      <c r="K3675" s="2" t="s">
        <v>7358</v>
      </c>
      <c r="L3675" s="11" t="str">
        <f t="shared" si="60"/>
        <v>Ver Imagen</v>
      </c>
      <c r="M3675" t="s">
        <v>15</v>
      </c>
    </row>
    <row r="3676" spans="1:14" x14ac:dyDescent="0.25">
      <c r="A3676">
        <v>3675</v>
      </c>
      <c r="B3676" t="s">
        <v>7359</v>
      </c>
      <c r="C3676" s="1">
        <v>37.2071010481</v>
      </c>
      <c r="D3676" s="1">
        <v>-7.0217337008199996</v>
      </c>
      <c r="E3676" s="3">
        <v>4</v>
      </c>
      <c r="F3676" s="2">
        <v>3</v>
      </c>
      <c r="G3676" s="4">
        <v>4</v>
      </c>
      <c r="H3676" s="13"/>
      <c r="I3676" s="15"/>
      <c r="J3676" s="19">
        <v>4</v>
      </c>
      <c r="K3676" s="2" t="s">
        <v>7360</v>
      </c>
      <c r="L3676" s="11" t="str">
        <f t="shared" si="60"/>
        <v>Ver Imagen</v>
      </c>
      <c r="M3676" t="s">
        <v>15</v>
      </c>
    </row>
    <row r="3677" spans="1:14" x14ac:dyDescent="0.25">
      <c r="A3677">
        <v>3676</v>
      </c>
      <c r="B3677" t="s">
        <v>7361</v>
      </c>
      <c r="C3677" s="1">
        <v>37.207436638799997</v>
      </c>
      <c r="D3677" s="1">
        <v>-7.0220961505000004</v>
      </c>
      <c r="E3677" s="3">
        <v>4</v>
      </c>
      <c r="F3677" s="2">
        <v>3</v>
      </c>
      <c r="G3677" s="4">
        <v>4</v>
      </c>
      <c r="H3677" s="13"/>
      <c r="I3677" s="15"/>
      <c r="J3677" s="19">
        <v>4</v>
      </c>
      <c r="K3677" s="2" t="s">
        <v>7362</v>
      </c>
      <c r="L3677" s="11" t="str">
        <f t="shared" si="60"/>
        <v>Ver Imagen</v>
      </c>
      <c r="M3677" t="s">
        <v>15</v>
      </c>
    </row>
    <row r="3678" spans="1:14" x14ac:dyDescent="0.25">
      <c r="A3678">
        <v>3677</v>
      </c>
      <c r="B3678" t="s">
        <v>7363</v>
      </c>
      <c r="C3678" s="1">
        <v>37.211124898100003</v>
      </c>
      <c r="D3678" s="1">
        <v>-7.0447727874600004</v>
      </c>
      <c r="E3678" s="3">
        <v>4</v>
      </c>
      <c r="F3678" s="2">
        <v>4</v>
      </c>
      <c r="G3678" s="4">
        <v>3</v>
      </c>
      <c r="H3678" s="13"/>
      <c r="I3678" s="15"/>
      <c r="J3678" s="19">
        <v>4</v>
      </c>
      <c r="K3678" s="2" t="s">
        <v>7364</v>
      </c>
      <c r="L3678" s="11" t="str">
        <f t="shared" si="60"/>
        <v>Ver Imagen</v>
      </c>
      <c r="M3678" t="s">
        <v>15</v>
      </c>
    </row>
    <row r="3679" spans="1:14" x14ac:dyDescent="0.25">
      <c r="A3679">
        <v>3678</v>
      </c>
      <c r="B3679" t="s">
        <v>7365</v>
      </c>
      <c r="C3679" s="1">
        <v>37.204468354100001</v>
      </c>
      <c r="D3679" s="1">
        <v>-7.0277888181100003</v>
      </c>
      <c r="E3679" s="3">
        <v>4</v>
      </c>
      <c r="F3679" s="2">
        <v>3</v>
      </c>
      <c r="G3679" s="4">
        <v>4</v>
      </c>
      <c r="H3679" s="13"/>
      <c r="I3679" s="15"/>
      <c r="J3679" s="19">
        <v>4</v>
      </c>
      <c r="K3679" s="2" t="s">
        <v>7366</v>
      </c>
      <c r="L3679" s="11" t="str">
        <f t="shared" si="60"/>
        <v>Ver Imagen</v>
      </c>
      <c r="M3679" t="s">
        <v>15</v>
      </c>
    </row>
    <row r="3680" spans="1:14" x14ac:dyDescent="0.25">
      <c r="A3680">
        <v>3679</v>
      </c>
      <c r="B3680" t="s">
        <v>7367</v>
      </c>
      <c r="C3680" s="1">
        <v>37.278620915600001</v>
      </c>
      <c r="D3680" s="1">
        <v>-7.1443271300699998</v>
      </c>
      <c r="E3680" s="3">
        <v>4</v>
      </c>
      <c r="F3680" s="2">
        <v>3</v>
      </c>
      <c r="G3680" s="4">
        <v>4</v>
      </c>
      <c r="H3680" s="13"/>
      <c r="I3680" s="15"/>
      <c r="J3680" s="19">
        <v>4</v>
      </c>
      <c r="K3680" s="2" t="s">
        <v>7368</v>
      </c>
      <c r="L3680" s="11" t="str">
        <f t="shared" si="60"/>
        <v>Ver Imagen</v>
      </c>
      <c r="M3680" t="s">
        <v>15</v>
      </c>
    </row>
    <row r="3681" spans="1:13" x14ac:dyDescent="0.25">
      <c r="A3681">
        <v>3680</v>
      </c>
      <c r="B3681" t="s">
        <v>7369</v>
      </c>
      <c r="C3681" s="1">
        <v>37.273707774499997</v>
      </c>
      <c r="D3681" s="1">
        <v>-7.1420991674599996</v>
      </c>
      <c r="E3681" s="3">
        <v>5</v>
      </c>
      <c r="F3681" s="2">
        <v>4</v>
      </c>
      <c r="G3681" s="4">
        <v>4</v>
      </c>
      <c r="H3681" s="13"/>
      <c r="I3681" s="15"/>
      <c r="J3681" s="19">
        <v>4</v>
      </c>
      <c r="K3681" s="2" t="s">
        <v>7370</v>
      </c>
      <c r="L3681" s="11" t="str">
        <f t="shared" ref="L3681:L3744" si="61">HYPERLINK("4\1\" &amp; K3681, "Ver Imagen")</f>
        <v>Ver Imagen</v>
      </c>
      <c r="M3681" t="s">
        <v>15</v>
      </c>
    </row>
    <row r="3682" spans="1:13" x14ac:dyDescent="0.25">
      <c r="A3682">
        <v>3681</v>
      </c>
      <c r="B3682" t="s">
        <v>7371</v>
      </c>
      <c r="C3682" s="1">
        <v>37.273329530399998</v>
      </c>
      <c r="D3682" s="1">
        <v>-7.1419357263299998</v>
      </c>
      <c r="E3682" s="3">
        <v>5</v>
      </c>
      <c r="F3682" s="2">
        <v>4</v>
      </c>
      <c r="G3682" s="4">
        <v>4</v>
      </c>
      <c r="H3682" s="13"/>
      <c r="I3682" s="15"/>
      <c r="J3682" s="19">
        <v>4</v>
      </c>
      <c r="K3682" s="2" t="s">
        <v>7372</v>
      </c>
      <c r="L3682" s="11" t="str">
        <f t="shared" si="61"/>
        <v>Ver Imagen</v>
      </c>
      <c r="M3682" t="s">
        <v>15</v>
      </c>
    </row>
    <row r="3683" spans="1:13" x14ac:dyDescent="0.25">
      <c r="A3683">
        <v>3682</v>
      </c>
      <c r="B3683" t="s">
        <v>7373</v>
      </c>
      <c r="C3683" s="1">
        <v>37.272770215000001</v>
      </c>
      <c r="D3683" s="1">
        <v>-7.1416587686500002</v>
      </c>
      <c r="E3683" s="3">
        <v>5</v>
      </c>
      <c r="F3683" s="2">
        <v>4</v>
      </c>
      <c r="G3683" s="4">
        <v>4</v>
      </c>
      <c r="H3683" s="13"/>
      <c r="I3683" s="15"/>
      <c r="J3683" s="19">
        <v>4</v>
      </c>
      <c r="K3683" s="2" t="s">
        <v>7374</v>
      </c>
      <c r="L3683" s="11" t="str">
        <f t="shared" si="61"/>
        <v>Ver Imagen</v>
      </c>
      <c r="M3683" t="s">
        <v>15</v>
      </c>
    </row>
    <row r="3684" spans="1:13" x14ac:dyDescent="0.25">
      <c r="A3684">
        <v>3683</v>
      </c>
      <c r="B3684" t="s">
        <v>7375</v>
      </c>
      <c r="C3684" s="1">
        <v>37.270158966700002</v>
      </c>
      <c r="D3684" s="1">
        <v>-7.13969102151</v>
      </c>
      <c r="E3684" s="3">
        <v>4</v>
      </c>
      <c r="F3684" s="2">
        <v>3</v>
      </c>
      <c r="G3684" s="4">
        <v>4</v>
      </c>
      <c r="H3684" s="13"/>
      <c r="I3684" s="15"/>
      <c r="J3684" s="19">
        <v>4</v>
      </c>
      <c r="K3684" s="2" t="s">
        <v>7376</v>
      </c>
      <c r="L3684" s="11" t="str">
        <f t="shared" si="61"/>
        <v>Ver Imagen</v>
      </c>
      <c r="M3684" t="s">
        <v>15</v>
      </c>
    </row>
    <row r="3685" spans="1:13" x14ac:dyDescent="0.25">
      <c r="A3685">
        <v>3684</v>
      </c>
      <c r="B3685" t="s">
        <v>7377</v>
      </c>
      <c r="C3685" s="1">
        <v>37.269990672600002</v>
      </c>
      <c r="D3685" s="1">
        <v>-7.1395727130599997</v>
      </c>
      <c r="E3685" s="3">
        <v>4</v>
      </c>
      <c r="F3685" s="2">
        <v>3</v>
      </c>
      <c r="G3685" s="4">
        <v>4</v>
      </c>
      <c r="H3685" s="13"/>
      <c r="I3685" s="15"/>
      <c r="J3685" s="19">
        <v>4</v>
      </c>
      <c r="K3685" s="2" t="s">
        <v>7378</v>
      </c>
      <c r="L3685" s="11" t="str">
        <f t="shared" si="61"/>
        <v>Ver Imagen</v>
      </c>
      <c r="M3685" t="s">
        <v>15</v>
      </c>
    </row>
    <row r="3686" spans="1:13" x14ac:dyDescent="0.25">
      <c r="A3686">
        <v>3685</v>
      </c>
      <c r="B3686" t="s">
        <v>7379</v>
      </c>
      <c r="C3686" s="1">
        <v>37.2687942341</v>
      </c>
      <c r="D3686" s="1">
        <v>-7.1379424055199996</v>
      </c>
      <c r="E3686" s="3">
        <v>4</v>
      </c>
      <c r="F3686" s="2">
        <v>3</v>
      </c>
      <c r="G3686" s="4">
        <v>4</v>
      </c>
      <c r="H3686" s="13"/>
      <c r="I3686" s="15"/>
      <c r="J3686" s="19">
        <v>4</v>
      </c>
      <c r="K3686" s="2" t="s">
        <v>7380</v>
      </c>
      <c r="L3686" s="11" t="str">
        <f t="shared" si="61"/>
        <v>Ver Imagen</v>
      </c>
      <c r="M3686" t="s">
        <v>15</v>
      </c>
    </row>
    <row r="3687" spans="1:13" x14ac:dyDescent="0.25">
      <c r="A3687">
        <v>3686</v>
      </c>
      <c r="B3687" t="s">
        <v>7381</v>
      </c>
      <c r="C3687" s="1">
        <v>37.268717873299998</v>
      </c>
      <c r="D3687" s="1">
        <v>-7.1376879682199998</v>
      </c>
      <c r="E3687" s="3">
        <v>5</v>
      </c>
      <c r="F3687" s="2">
        <v>4</v>
      </c>
      <c r="G3687" s="4">
        <v>4</v>
      </c>
      <c r="H3687" s="13"/>
      <c r="I3687" s="15"/>
      <c r="J3687" s="19">
        <v>4</v>
      </c>
      <c r="K3687" s="2" t="s">
        <v>7382</v>
      </c>
      <c r="L3687" s="11" t="str">
        <f t="shared" si="61"/>
        <v>Ver Imagen</v>
      </c>
      <c r="M3687" t="s">
        <v>15</v>
      </c>
    </row>
    <row r="3688" spans="1:13" x14ac:dyDescent="0.25">
      <c r="A3688">
        <v>3687</v>
      </c>
      <c r="B3688" t="s">
        <v>7383</v>
      </c>
      <c r="C3688" s="1">
        <v>37.268652094499998</v>
      </c>
      <c r="D3688" s="1">
        <v>-7.1374250132499997</v>
      </c>
      <c r="E3688" s="3">
        <v>5</v>
      </c>
      <c r="F3688" s="2">
        <v>4</v>
      </c>
      <c r="G3688" s="4">
        <v>4</v>
      </c>
      <c r="H3688" s="13"/>
      <c r="I3688" s="15"/>
      <c r="J3688" s="19">
        <v>4</v>
      </c>
      <c r="K3688" s="2" t="s">
        <v>7384</v>
      </c>
      <c r="L3688" s="11" t="str">
        <f t="shared" si="61"/>
        <v>Ver Imagen</v>
      </c>
      <c r="M3688" t="s">
        <v>15</v>
      </c>
    </row>
    <row r="3689" spans="1:13" x14ac:dyDescent="0.25">
      <c r="A3689">
        <v>3688</v>
      </c>
      <c r="B3689" t="s">
        <v>7385</v>
      </c>
      <c r="C3689" s="1">
        <v>37.267843907299998</v>
      </c>
      <c r="D3689" s="1">
        <v>-7.1345781613900003</v>
      </c>
      <c r="E3689" s="3">
        <v>5</v>
      </c>
      <c r="F3689" s="2">
        <v>4</v>
      </c>
      <c r="G3689" s="4">
        <v>4</v>
      </c>
      <c r="H3689" s="13"/>
      <c r="I3689" s="15"/>
      <c r="J3689" s="19">
        <v>4</v>
      </c>
      <c r="K3689" s="2" t="s">
        <v>7386</v>
      </c>
      <c r="L3689" s="11" t="str">
        <f t="shared" si="61"/>
        <v>Ver Imagen</v>
      </c>
      <c r="M3689" t="s">
        <v>15</v>
      </c>
    </row>
    <row r="3690" spans="1:13" x14ac:dyDescent="0.25">
      <c r="A3690">
        <v>3689</v>
      </c>
      <c r="B3690" t="s">
        <v>7387</v>
      </c>
      <c r="C3690" s="1">
        <v>37.264473872300002</v>
      </c>
      <c r="D3690" s="1">
        <v>-7.1318905156000003</v>
      </c>
      <c r="E3690" s="3">
        <v>5</v>
      </c>
      <c r="F3690" s="2">
        <v>4</v>
      </c>
      <c r="G3690" s="4">
        <v>4</v>
      </c>
      <c r="H3690" s="13"/>
      <c r="I3690" s="15"/>
      <c r="J3690" s="19">
        <v>4</v>
      </c>
      <c r="K3690" s="2" t="s">
        <v>7388</v>
      </c>
      <c r="L3690" s="11" t="str">
        <f t="shared" si="61"/>
        <v>Ver Imagen</v>
      </c>
      <c r="M3690" t="s">
        <v>15</v>
      </c>
    </row>
    <row r="3691" spans="1:13" x14ac:dyDescent="0.25">
      <c r="A3691">
        <v>3690</v>
      </c>
      <c r="B3691" t="s">
        <v>7389</v>
      </c>
      <c r="C3691" s="1">
        <v>37.262314653799997</v>
      </c>
      <c r="D3691" s="1">
        <v>-7.1305394585900004</v>
      </c>
      <c r="E3691" s="3">
        <v>5</v>
      </c>
      <c r="F3691" s="2">
        <v>4</v>
      </c>
      <c r="G3691" s="4">
        <v>4</v>
      </c>
      <c r="H3691" s="13"/>
      <c r="I3691" s="15"/>
      <c r="J3691" s="19">
        <v>4</v>
      </c>
      <c r="K3691" s="2" t="s">
        <v>7390</v>
      </c>
      <c r="L3691" s="11" t="str">
        <f t="shared" si="61"/>
        <v>Ver Imagen</v>
      </c>
      <c r="M3691" t="s">
        <v>15</v>
      </c>
    </row>
    <row r="3692" spans="1:13" x14ac:dyDescent="0.25">
      <c r="A3692">
        <v>3691</v>
      </c>
      <c r="B3692" t="s">
        <v>7391</v>
      </c>
      <c r="C3692" s="1">
        <v>37.227665786499998</v>
      </c>
      <c r="D3692" s="1">
        <v>-7.1265803303300004</v>
      </c>
      <c r="E3692" s="3">
        <v>4</v>
      </c>
      <c r="F3692" s="2">
        <v>3</v>
      </c>
      <c r="G3692" s="4">
        <v>4</v>
      </c>
      <c r="H3692" s="13"/>
      <c r="I3692" s="15"/>
      <c r="J3692" s="19">
        <v>4</v>
      </c>
      <c r="K3692" s="2" t="s">
        <v>7392</v>
      </c>
      <c r="L3692" s="11" t="str">
        <f t="shared" si="61"/>
        <v>Ver Imagen</v>
      </c>
      <c r="M3692" t="s">
        <v>15</v>
      </c>
    </row>
    <row r="3693" spans="1:13" x14ac:dyDescent="0.25">
      <c r="A3693">
        <v>3692</v>
      </c>
      <c r="B3693" t="s">
        <v>7393</v>
      </c>
      <c r="C3693" s="1">
        <v>37.4402433745</v>
      </c>
      <c r="D3693" s="1">
        <v>-7.0881555519599999</v>
      </c>
      <c r="E3693" s="3">
        <v>4</v>
      </c>
      <c r="F3693" s="2">
        <v>3</v>
      </c>
      <c r="G3693" s="4">
        <v>4</v>
      </c>
      <c r="H3693" s="13"/>
      <c r="I3693" s="15"/>
      <c r="J3693" s="19">
        <v>4</v>
      </c>
      <c r="K3693" s="2" t="s">
        <v>7394</v>
      </c>
      <c r="L3693" s="11" t="str">
        <f t="shared" si="61"/>
        <v>Ver Imagen</v>
      </c>
      <c r="M3693" t="s">
        <v>15</v>
      </c>
    </row>
    <row r="3694" spans="1:13" x14ac:dyDescent="0.25">
      <c r="A3694">
        <v>3693</v>
      </c>
      <c r="B3694" t="s">
        <v>7395</v>
      </c>
      <c r="C3694" s="1">
        <v>37.439820326700001</v>
      </c>
      <c r="D3694" s="1">
        <v>-7.08728118302</v>
      </c>
      <c r="E3694" s="3">
        <v>4</v>
      </c>
      <c r="F3694" s="2">
        <v>3</v>
      </c>
      <c r="G3694" s="4">
        <v>4</v>
      </c>
      <c r="H3694" s="13"/>
      <c r="I3694" s="15"/>
      <c r="J3694" s="19">
        <v>4</v>
      </c>
      <c r="K3694" s="2" t="s">
        <v>7396</v>
      </c>
      <c r="L3694" s="11" t="str">
        <f t="shared" si="61"/>
        <v>Ver Imagen</v>
      </c>
      <c r="M3694" t="s">
        <v>15</v>
      </c>
    </row>
    <row r="3695" spans="1:13" x14ac:dyDescent="0.25">
      <c r="A3695">
        <v>3694</v>
      </c>
      <c r="B3695" t="s">
        <v>7397</v>
      </c>
      <c r="C3695" s="1">
        <v>37.437917059199997</v>
      </c>
      <c r="D3695" s="1">
        <v>-7.0824749534700002</v>
      </c>
      <c r="E3695" s="3">
        <v>4</v>
      </c>
      <c r="F3695" s="2">
        <v>3</v>
      </c>
      <c r="G3695" s="4">
        <v>4</v>
      </c>
      <c r="H3695" s="13"/>
      <c r="I3695" s="15"/>
      <c r="J3695" s="19">
        <v>4</v>
      </c>
      <c r="K3695" s="2" t="s">
        <v>7398</v>
      </c>
      <c r="L3695" s="11" t="str">
        <f t="shared" si="61"/>
        <v>Ver Imagen</v>
      </c>
      <c r="M3695" t="s">
        <v>15</v>
      </c>
    </row>
    <row r="3696" spans="1:13" x14ac:dyDescent="0.25">
      <c r="A3696">
        <v>3695</v>
      </c>
      <c r="B3696" t="s">
        <v>7399</v>
      </c>
      <c r="C3696" s="1">
        <v>37.4373648897</v>
      </c>
      <c r="D3696" s="1">
        <v>-7.0809226814399997</v>
      </c>
      <c r="E3696" s="3">
        <v>4</v>
      </c>
      <c r="F3696" s="2">
        <v>3</v>
      </c>
      <c r="G3696" s="4">
        <v>4</v>
      </c>
      <c r="H3696" s="13"/>
      <c r="I3696" s="15"/>
      <c r="J3696" s="19">
        <v>4</v>
      </c>
      <c r="K3696" s="2" t="s">
        <v>7400</v>
      </c>
      <c r="L3696" s="11" t="str">
        <f t="shared" si="61"/>
        <v>Ver Imagen</v>
      </c>
      <c r="M3696" t="s">
        <v>15</v>
      </c>
    </row>
    <row r="3697" spans="1:13" x14ac:dyDescent="0.25">
      <c r="A3697">
        <v>3696</v>
      </c>
      <c r="B3697" t="s">
        <v>7401</v>
      </c>
      <c r="C3697" s="1">
        <v>37.435520323399999</v>
      </c>
      <c r="D3697" s="1">
        <v>-7.0742930822799996</v>
      </c>
      <c r="E3697" s="3">
        <v>4</v>
      </c>
      <c r="F3697" s="2">
        <v>4</v>
      </c>
      <c r="G3697" s="4">
        <v>5</v>
      </c>
      <c r="H3697" s="13"/>
      <c r="I3697" s="15"/>
      <c r="J3697" s="19">
        <v>4</v>
      </c>
      <c r="K3697" s="2" t="s">
        <v>7402</v>
      </c>
      <c r="L3697" s="11" t="str">
        <f t="shared" si="61"/>
        <v>Ver Imagen</v>
      </c>
      <c r="M3697" t="s">
        <v>15</v>
      </c>
    </row>
    <row r="3698" spans="1:13" x14ac:dyDescent="0.25">
      <c r="A3698">
        <v>3697</v>
      </c>
      <c r="B3698" t="s">
        <v>7403</v>
      </c>
      <c r="C3698" s="1">
        <v>37.4352432827</v>
      </c>
      <c r="D3698" s="1">
        <v>-7.0712409685299997</v>
      </c>
      <c r="E3698" s="3">
        <v>4</v>
      </c>
      <c r="F3698" s="2">
        <v>3</v>
      </c>
      <c r="G3698" s="4">
        <v>4</v>
      </c>
      <c r="H3698" s="13"/>
      <c r="I3698" s="15"/>
      <c r="J3698" s="19">
        <v>4</v>
      </c>
      <c r="K3698" s="2" t="s">
        <v>7404</v>
      </c>
      <c r="L3698" s="11" t="str">
        <f t="shared" si="61"/>
        <v>Ver Imagen</v>
      </c>
      <c r="M3698" t="s">
        <v>15</v>
      </c>
    </row>
    <row r="3699" spans="1:13" x14ac:dyDescent="0.25">
      <c r="A3699">
        <v>3698</v>
      </c>
      <c r="B3699" t="s">
        <v>7405</v>
      </c>
      <c r="C3699" s="1">
        <v>37.233847903799997</v>
      </c>
      <c r="D3699" s="1">
        <v>-7.0660532953599997</v>
      </c>
      <c r="E3699" s="3">
        <v>4</v>
      </c>
      <c r="F3699" s="2">
        <v>3</v>
      </c>
      <c r="G3699" s="4">
        <v>4</v>
      </c>
      <c r="H3699" s="13"/>
      <c r="I3699" s="15"/>
      <c r="J3699" s="19">
        <v>4</v>
      </c>
      <c r="K3699" s="2" t="s">
        <v>7406</v>
      </c>
      <c r="L3699" s="11" t="str">
        <f t="shared" si="61"/>
        <v>Ver Imagen</v>
      </c>
      <c r="M3699" t="s">
        <v>15</v>
      </c>
    </row>
    <row r="3700" spans="1:13" x14ac:dyDescent="0.25">
      <c r="A3700">
        <v>3699</v>
      </c>
      <c r="B3700" t="s">
        <v>7407</v>
      </c>
      <c r="C3700" s="1">
        <v>37.233872882999997</v>
      </c>
      <c r="D3700" s="1">
        <v>-7.0662768040600001</v>
      </c>
      <c r="E3700" s="3">
        <v>4</v>
      </c>
      <c r="F3700" s="2">
        <v>3</v>
      </c>
      <c r="G3700" s="4">
        <v>4</v>
      </c>
      <c r="H3700" s="13"/>
      <c r="I3700" s="15"/>
      <c r="J3700" s="19">
        <v>4</v>
      </c>
      <c r="K3700" s="2" t="s">
        <v>7408</v>
      </c>
      <c r="L3700" s="11" t="str">
        <f t="shared" si="61"/>
        <v>Ver Imagen</v>
      </c>
      <c r="M3700" t="s">
        <v>15</v>
      </c>
    </row>
    <row r="3701" spans="1:13" x14ac:dyDescent="0.25">
      <c r="A3701">
        <v>3700</v>
      </c>
      <c r="B3701" t="s">
        <v>7409</v>
      </c>
      <c r="C3701" s="1">
        <v>37.233920345400001</v>
      </c>
      <c r="D3701" s="1">
        <v>-7.0664539740899999</v>
      </c>
      <c r="E3701" s="3">
        <v>4</v>
      </c>
      <c r="F3701" s="2">
        <v>3</v>
      </c>
      <c r="G3701" s="4">
        <v>4</v>
      </c>
      <c r="H3701" s="13"/>
      <c r="I3701" s="15"/>
      <c r="J3701" s="19">
        <v>4</v>
      </c>
      <c r="K3701" s="2" t="s">
        <v>7410</v>
      </c>
      <c r="L3701" s="11" t="str">
        <f t="shared" si="61"/>
        <v>Ver Imagen</v>
      </c>
      <c r="M3701" t="s">
        <v>15</v>
      </c>
    </row>
    <row r="3702" spans="1:13" x14ac:dyDescent="0.25">
      <c r="A3702">
        <v>3701</v>
      </c>
      <c r="B3702" t="s">
        <v>7411</v>
      </c>
      <c r="C3702" s="1">
        <v>37.233877761899997</v>
      </c>
      <c r="D3702" s="1">
        <v>-7.0666647479</v>
      </c>
      <c r="E3702" s="3">
        <v>4</v>
      </c>
      <c r="F3702" s="2">
        <v>3</v>
      </c>
      <c r="G3702" s="4">
        <v>4</v>
      </c>
      <c r="H3702" s="13"/>
      <c r="I3702" s="15"/>
      <c r="J3702" s="19">
        <v>4</v>
      </c>
      <c r="K3702" s="2" t="s">
        <v>7412</v>
      </c>
      <c r="L3702" s="11" t="str">
        <f t="shared" si="61"/>
        <v>Ver Imagen</v>
      </c>
      <c r="M3702" t="s">
        <v>15</v>
      </c>
    </row>
    <row r="3703" spans="1:13" x14ac:dyDescent="0.25">
      <c r="A3703">
        <v>3702</v>
      </c>
      <c r="B3703" t="s">
        <v>7413</v>
      </c>
      <c r="C3703" s="1">
        <v>37.235159558399999</v>
      </c>
      <c r="D3703" s="1">
        <v>-7.0732964249799997</v>
      </c>
      <c r="E3703" s="3">
        <v>4</v>
      </c>
      <c r="F3703" s="2">
        <v>3</v>
      </c>
      <c r="G3703" s="4">
        <v>4</v>
      </c>
      <c r="H3703" s="13"/>
      <c r="I3703" s="15"/>
      <c r="J3703" s="19">
        <v>4</v>
      </c>
      <c r="K3703" s="2" t="s">
        <v>7414</v>
      </c>
      <c r="L3703" s="11" t="str">
        <f t="shared" si="61"/>
        <v>Ver Imagen</v>
      </c>
      <c r="M3703" t="s">
        <v>15</v>
      </c>
    </row>
    <row r="3704" spans="1:13" x14ac:dyDescent="0.25">
      <c r="A3704">
        <v>3703</v>
      </c>
      <c r="B3704" t="s">
        <v>7415</v>
      </c>
      <c r="C3704" s="1">
        <v>37.235759551000001</v>
      </c>
      <c r="D3704" s="1">
        <v>-7.0743751913499997</v>
      </c>
      <c r="E3704" s="3">
        <v>4</v>
      </c>
      <c r="F3704" s="2">
        <v>3</v>
      </c>
      <c r="G3704" s="4">
        <v>4</v>
      </c>
      <c r="H3704" s="13"/>
      <c r="I3704" s="15"/>
      <c r="J3704" s="19">
        <v>4</v>
      </c>
      <c r="K3704" s="2" t="s">
        <v>7416</v>
      </c>
      <c r="L3704" s="11" t="str">
        <f t="shared" si="61"/>
        <v>Ver Imagen</v>
      </c>
      <c r="M3704" t="s">
        <v>15</v>
      </c>
    </row>
    <row r="3705" spans="1:13" x14ac:dyDescent="0.25">
      <c r="A3705">
        <v>3704</v>
      </c>
      <c r="B3705" t="s">
        <v>7417</v>
      </c>
      <c r="C3705" s="1">
        <v>37.236211243600003</v>
      </c>
      <c r="D3705" s="1">
        <v>-7.0751808886800003</v>
      </c>
      <c r="E3705" s="3">
        <v>4</v>
      </c>
      <c r="F3705" s="2">
        <v>3</v>
      </c>
      <c r="G3705" s="4">
        <v>4</v>
      </c>
      <c r="H3705" s="13"/>
      <c r="I3705" s="15"/>
      <c r="J3705" s="19">
        <v>4</v>
      </c>
      <c r="K3705" s="2" t="s">
        <v>7418</v>
      </c>
      <c r="L3705" s="11" t="str">
        <f t="shared" si="61"/>
        <v>Ver Imagen</v>
      </c>
      <c r="M3705" t="s">
        <v>15</v>
      </c>
    </row>
    <row r="3706" spans="1:13" x14ac:dyDescent="0.25">
      <c r="A3706">
        <v>3705</v>
      </c>
      <c r="B3706" t="s">
        <v>7419</v>
      </c>
      <c r="C3706" s="1">
        <v>37.237028753899999</v>
      </c>
      <c r="D3706" s="1">
        <v>-7.0766445714800001</v>
      </c>
      <c r="E3706" s="3">
        <v>4</v>
      </c>
      <c r="F3706" s="2">
        <v>3</v>
      </c>
      <c r="G3706" s="4">
        <v>4</v>
      </c>
      <c r="H3706" s="13"/>
      <c r="I3706" s="15"/>
      <c r="J3706" s="19">
        <v>4</v>
      </c>
      <c r="K3706" s="2" t="s">
        <v>7420</v>
      </c>
      <c r="L3706" s="11" t="str">
        <f t="shared" si="61"/>
        <v>Ver Imagen</v>
      </c>
      <c r="M3706" t="s">
        <v>15</v>
      </c>
    </row>
    <row r="3707" spans="1:13" x14ac:dyDescent="0.25">
      <c r="A3707">
        <v>3706</v>
      </c>
      <c r="B3707" t="s">
        <v>7421</v>
      </c>
      <c r="C3707" s="1">
        <v>37.242960300900002</v>
      </c>
      <c r="D3707" s="1">
        <v>-7.0876689519699996</v>
      </c>
      <c r="E3707" s="3">
        <v>4</v>
      </c>
      <c r="F3707" s="2">
        <v>3</v>
      </c>
      <c r="G3707" s="4">
        <v>4</v>
      </c>
      <c r="H3707" s="13"/>
      <c r="I3707" s="15"/>
      <c r="J3707" s="19">
        <v>4</v>
      </c>
      <c r="K3707" s="2" t="s">
        <v>7422</v>
      </c>
      <c r="L3707" s="11" t="str">
        <f t="shared" si="61"/>
        <v>Ver Imagen</v>
      </c>
      <c r="M3707" t="s">
        <v>15</v>
      </c>
    </row>
    <row r="3708" spans="1:13" x14ac:dyDescent="0.25">
      <c r="A3708">
        <v>3707</v>
      </c>
      <c r="B3708" t="s">
        <v>7423</v>
      </c>
      <c r="C3708" s="1">
        <v>37.243414279900001</v>
      </c>
      <c r="D3708" s="1">
        <v>-7.0888017165999999</v>
      </c>
      <c r="E3708" s="3">
        <v>4</v>
      </c>
      <c r="F3708" s="2">
        <v>3</v>
      </c>
      <c r="G3708" s="4">
        <v>4</v>
      </c>
      <c r="H3708" s="13"/>
      <c r="I3708" s="15"/>
      <c r="J3708" s="19">
        <v>4</v>
      </c>
      <c r="K3708" s="2" t="s">
        <v>7424</v>
      </c>
      <c r="L3708" s="11" t="str">
        <f t="shared" si="61"/>
        <v>Ver Imagen</v>
      </c>
      <c r="M3708" t="s">
        <v>15</v>
      </c>
    </row>
    <row r="3709" spans="1:13" x14ac:dyDescent="0.25">
      <c r="A3709">
        <v>3708</v>
      </c>
      <c r="B3709" t="s">
        <v>7425</v>
      </c>
      <c r="C3709" s="1">
        <v>37.2438328629</v>
      </c>
      <c r="D3709" s="1">
        <v>-7.0896328993899997</v>
      </c>
      <c r="E3709" s="3">
        <v>4</v>
      </c>
      <c r="F3709" s="2">
        <v>3</v>
      </c>
      <c r="G3709" s="4">
        <v>4</v>
      </c>
      <c r="H3709" s="13"/>
      <c r="I3709" s="15"/>
      <c r="J3709" s="19">
        <v>4</v>
      </c>
      <c r="K3709" s="2" t="s">
        <v>7426</v>
      </c>
      <c r="L3709" s="11" t="str">
        <f t="shared" si="61"/>
        <v>Ver Imagen</v>
      </c>
      <c r="M3709" t="s">
        <v>15</v>
      </c>
    </row>
    <row r="3710" spans="1:13" x14ac:dyDescent="0.25">
      <c r="A3710">
        <v>3709</v>
      </c>
      <c r="B3710" t="s">
        <v>7427</v>
      </c>
      <c r="C3710" s="1">
        <v>37.244052946799997</v>
      </c>
      <c r="D3710" s="1">
        <v>-7.0900697531199999</v>
      </c>
      <c r="E3710" s="3">
        <v>4</v>
      </c>
      <c r="F3710" s="2">
        <v>3</v>
      </c>
      <c r="G3710" s="4">
        <v>4</v>
      </c>
      <c r="H3710" s="13"/>
      <c r="I3710" s="15"/>
      <c r="J3710" s="19">
        <v>4</v>
      </c>
      <c r="K3710" s="2" t="s">
        <v>7428</v>
      </c>
      <c r="L3710" s="11" t="str">
        <f t="shared" si="61"/>
        <v>Ver Imagen</v>
      </c>
      <c r="M3710" t="s">
        <v>15</v>
      </c>
    </row>
    <row r="3711" spans="1:13" x14ac:dyDescent="0.25">
      <c r="A3711">
        <v>3710</v>
      </c>
      <c r="B3711" t="s">
        <v>7429</v>
      </c>
      <c r="C3711" s="1">
        <v>37.244160561800001</v>
      </c>
      <c r="D3711" s="1">
        <v>-7.0902849570199997</v>
      </c>
      <c r="E3711" s="3">
        <v>4</v>
      </c>
      <c r="F3711" s="2">
        <v>3</v>
      </c>
      <c r="G3711" s="4">
        <v>4</v>
      </c>
      <c r="H3711" s="13"/>
      <c r="I3711" s="15"/>
      <c r="J3711" s="19">
        <v>4</v>
      </c>
      <c r="K3711" s="2" t="s">
        <v>7430</v>
      </c>
      <c r="L3711" s="11" t="str">
        <f t="shared" si="61"/>
        <v>Ver Imagen</v>
      </c>
      <c r="M3711" t="s">
        <v>15</v>
      </c>
    </row>
    <row r="3712" spans="1:13" x14ac:dyDescent="0.25">
      <c r="A3712">
        <v>3711</v>
      </c>
      <c r="B3712" t="s">
        <v>7431</v>
      </c>
      <c r="C3712" s="1">
        <v>37.244268552500003</v>
      </c>
      <c r="D3712" s="1">
        <v>-7.09049949022</v>
      </c>
      <c r="E3712" s="3">
        <v>4</v>
      </c>
      <c r="F3712" s="2">
        <v>3</v>
      </c>
      <c r="G3712" s="4">
        <v>4</v>
      </c>
      <c r="H3712" s="13"/>
      <c r="I3712" s="15"/>
      <c r="J3712" s="19">
        <v>4</v>
      </c>
      <c r="K3712" s="2" t="s">
        <v>7432</v>
      </c>
      <c r="L3712" s="11" t="str">
        <f t="shared" si="61"/>
        <v>Ver Imagen</v>
      </c>
      <c r="M3712" t="s">
        <v>15</v>
      </c>
    </row>
    <row r="3713" spans="1:13" x14ac:dyDescent="0.25">
      <c r="A3713">
        <v>3712</v>
      </c>
      <c r="B3713" t="s">
        <v>7433</v>
      </c>
      <c r="C3713" s="1">
        <v>37.2443754496</v>
      </c>
      <c r="D3713" s="1">
        <v>-7.0907129376200002</v>
      </c>
      <c r="E3713" s="3">
        <v>4</v>
      </c>
      <c r="F3713" s="2">
        <v>3</v>
      </c>
      <c r="G3713" s="4">
        <v>4</v>
      </c>
      <c r="H3713" s="13"/>
      <c r="I3713" s="15"/>
      <c r="J3713" s="19">
        <v>4</v>
      </c>
      <c r="K3713" s="2" t="s">
        <v>7434</v>
      </c>
      <c r="L3713" s="11" t="str">
        <f t="shared" si="61"/>
        <v>Ver Imagen</v>
      </c>
      <c r="M3713" t="s">
        <v>15</v>
      </c>
    </row>
    <row r="3714" spans="1:13" x14ac:dyDescent="0.25">
      <c r="A3714">
        <v>3713</v>
      </c>
      <c r="B3714" t="s">
        <v>7435</v>
      </c>
      <c r="C3714" s="1">
        <v>37.244699470199997</v>
      </c>
      <c r="D3714" s="1">
        <v>-7.0913528107500001</v>
      </c>
      <c r="E3714" s="3">
        <v>4</v>
      </c>
      <c r="F3714" s="2">
        <v>3</v>
      </c>
      <c r="G3714" s="4">
        <v>4</v>
      </c>
      <c r="H3714" s="13"/>
      <c r="I3714" s="15"/>
      <c r="J3714" s="19">
        <v>4</v>
      </c>
      <c r="K3714" s="2" t="s">
        <v>7436</v>
      </c>
      <c r="L3714" s="11" t="str">
        <f t="shared" si="61"/>
        <v>Ver Imagen</v>
      </c>
      <c r="M3714" t="s">
        <v>15</v>
      </c>
    </row>
    <row r="3715" spans="1:13" x14ac:dyDescent="0.25">
      <c r="A3715">
        <v>3714</v>
      </c>
      <c r="B3715" t="s">
        <v>7437</v>
      </c>
      <c r="C3715" s="1">
        <v>37.245180878699998</v>
      </c>
      <c r="D3715" s="1">
        <v>-7.0924641901300003</v>
      </c>
      <c r="E3715" s="3">
        <v>4</v>
      </c>
      <c r="F3715" s="2">
        <v>3</v>
      </c>
      <c r="G3715" s="4">
        <v>4</v>
      </c>
      <c r="H3715" s="13"/>
      <c r="I3715" s="15"/>
      <c r="J3715" s="19">
        <v>4</v>
      </c>
      <c r="K3715" s="2" t="s">
        <v>7438</v>
      </c>
      <c r="L3715" s="11" t="str">
        <f t="shared" si="61"/>
        <v>Ver Imagen</v>
      </c>
      <c r="M3715" t="s">
        <v>15</v>
      </c>
    </row>
    <row r="3716" spans="1:13" x14ac:dyDescent="0.25">
      <c r="A3716">
        <v>3715</v>
      </c>
      <c r="B3716" t="s">
        <v>7439</v>
      </c>
      <c r="C3716" s="1">
        <v>37.245406704099999</v>
      </c>
      <c r="D3716" s="1">
        <v>-7.0937097192499996</v>
      </c>
      <c r="E3716" s="3">
        <v>4</v>
      </c>
      <c r="F3716" s="2">
        <v>3</v>
      </c>
      <c r="G3716" s="4">
        <v>4</v>
      </c>
      <c r="H3716" s="13"/>
      <c r="I3716" s="15"/>
      <c r="J3716" s="19">
        <v>4</v>
      </c>
      <c r="K3716" s="2" t="s">
        <v>7440</v>
      </c>
      <c r="L3716" s="11" t="str">
        <f t="shared" si="61"/>
        <v>Ver Imagen</v>
      </c>
      <c r="M3716" t="s">
        <v>15</v>
      </c>
    </row>
    <row r="3717" spans="1:13" x14ac:dyDescent="0.25">
      <c r="A3717">
        <v>3716</v>
      </c>
      <c r="B3717" t="s">
        <v>7441</v>
      </c>
      <c r="C3717" s="1">
        <v>37.245449673499998</v>
      </c>
      <c r="D3717" s="1">
        <v>-7.09423117543</v>
      </c>
      <c r="E3717" s="3">
        <v>4</v>
      </c>
      <c r="F3717" s="2">
        <v>3</v>
      </c>
      <c r="G3717" s="4">
        <v>4</v>
      </c>
      <c r="H3717" s="13"/>
      <c r="I3717" s="15"/>
      <c r="J3717" s="19">
        <v>4</v>
      </c>
      <c r="K3717" s="2" t="s">
        <v>7442</v>
      </c>
      <c r="L3717" s="11" t="str">
        <f t="shared" si="61"/>
        <v>Ver Imagen</v>
      </c>
      <c r="M3717" t="s">
        <v>15</v>
      </c>
    </row>
    <row r="3718" spans="1:13" x14ac:dyDescent="0.25">
      <c r="A3718">
        <v>3717</v>
      </c>
      <c r="B3718" t="s">
        <v>7443</v>
      </c>
      <c r="C3718" s="1">
        <v>37.246165619400003</v>
      </c>
      <c r="D3718" s="1">
        <v>-7.0986237175199998</v>
      </c>
      <c r="E3718" s="3">
        <v>4</v>
      </c>
      <c r="F3718" s="2">
        <v>3</v>
      </c>
      <c r="G3718" s="4">
        <v>4</v>
      </c>
      <c r="H3718" s="13"/>
      <c r="I3718" s="15"/>
      <c r="J3718" s="19">
        <v>4</v>
      </c>
      <c r="K3718" s="2" t="s">
        <v>7444</v>
      </c>
      <c r="L3718" s="11" t="str">
        <f t="shared" si="61"/>
        <v>Ver Imagen</v>
      </c>
      <c r="M3718" t="s">
        <v>15</v>
      </c>
    </row>
    <row r="3719" spans="1:13" x14ac:dyDescent="0.25">
      <c r="A3719">
        <v>3718</v>
      </c>
      <c r="B3719" t="s">
        <v>7445</v>
      </c>
      <c r="C3719" s="1">
        <v>37.246284484199997</v>
      </c>
      <c r="D3719" s="1">
        <v>-7.0988333051900003</v>
      </c>
      <c r="E3719" s="3">
        <v>4</v>
      </c>
      <c r="F3719" s="2">
        <v>3</v>
      </c>
      <c r="G3719" s="4">
        <v>4</v>
      </c>
      <c r="H3719" s="13"/>
      <c r="I3719" s="15"/>
      <c r="J3719" s="19">
        <v>4</v>
      </c>
      <c r="K3719" s="2" t="s">
        <v>7446</v>
      </c>
      <c r="L3719" s="11" t="str">
        <f t="shared" si="61"/>
        <v>Ver Imagen</v>
      </c>
      <c r="M3719" t="s">
        <v>15</v>
      </c>
    </row>
    <row r="3720" spans="1:13" x14ac:dyDescent="0.25">
      <c r="A3720">
        <v>3719</v>
      </c>
      <c r="B3720" t="s">
        <v>7447</v>
      </c>
      <c r="C3720" s="1">
        <v>37.246795190100002</v>
      </c>
      <c r="D3720" s="1">
        <v>-7.0996355597500003</v>
      </c>
      <c r="E3720" s="3">
        <v>4</v>
      </c>
      <c r="F3720" s="2">
        <v>3</v>
      </c>
      <c r="G3720" s="4">
        <v>4</v>
      </c>
      <c r="H3720" s="13"/>
      <c r="I3720" s="15"/>
      <c r="J3720" s="19">
        <v>4</v>
      </c>
      <c r="K3720" s="2" t="s">
        <v>7448</v>
      </c>
      <c r="L3720" s="11" t="str">
        <f t="shared" si="61"/>
        <v>Ver Imagen</v>
      </c>
      <c r="M3720" t="s">
        <v>15</v>
      </c>
    </row>
    <row r="3721" spans="1:13" x14ac:dyDescent="0.25">
      <c r="A3721">
        <v>3720</v>
      </c>
      <c r="B3721" t="s">
        <v>7449</v>
      </c>
      <c r="C3721" s="1">
        <v>37.247049680400004</v>
      </c>
      <c r="D3721" s="1">
        <v>-7.1000207012700001</v>
      </c>
      <c r="E3721" s="3">
        <v>4</v>
      </c>
      <c r="F3721" s="2">
        <v>3</v>
      </c>
      <c r="G3721" s="4">
        <v>4</v>
      </c>
      <c r="H3721" s="13"/>
      <c r="I3721" s="15"/>
      <c r="J3721" s="19">
        <v>4</v>
      </c>
      <c r="K3721" s="2" t="s">
        <v>7450</v>
      </c>
      <c r="L3721" s="11" t="str">
        <f t="shared" si="61"/>
        <v>Ver Imagen</v>
      </c>
      <c r="M3721" t="s">
        <v>15</v>
      </c>
    </row>
    <row r="3722" spans="1:13" x14ac:dyDescent="0.25">
      <c r="A3722">
        <v>3721</v>
      </c>
      <c r="B3722" t="s">
        <v>7451</v>
      </c>
      <c r="C3722" s="1">
        <v>37.248422620200003</v>
      </c>
      <c r="D3722" s="1">
        <v>-7.1018806882299996</v>
      </c>
      <c r="E3722" s="3">
        <v>4</v>
      </c>
      <c r="F3722" s="2">
        <v>3</v>
      </c>
      <c r="G3722" s="4">
        <v>4</v>
      </c>
      <c r="H3722" s="13"/>
      <c r="I3722" s="15"/>
      <c r="J3722" s="19">
        <v>4</v>
      </c>
      <c r="K3722" s="2" t="s">
        <v>7452</v>
      </c>
      <c r="L3722" s="11" t="str">
        <f t="shared" si="61"/>
        <v>Ver Imagen</v>
      </c>
      <c r="M3722" t="s">
        <v>15</v>
      </c>
    </row>
    <row r="3723" spans="1:13" x14ac:dyDescent="0.25">
      <c r="A3723">
        <v>3722</v>
      </c>
      <c r="B3723" t="s">
        <v>7453</v>
      </c>
      <c r="C3723" s="1">
        <v>37.248786894399998</v>
      </c>
      <c r="D3723" s="1">
        <v>-7.1021282667900003</v>
      </c>
      <c r="E3723" s="3">
        <v>4</v>
      </c>
      <c r="F3723" s="2">
        <v>3</v>
      </c>
      <c r="G3723" s="4">
        <v>4</v>
      </c>
      <c r="H3723" s="13"/>
      <c r="I3723" s="15"/>
      <c r="J3723" s="19">
        <v>4</v>
      </c>
      <c r="K3723" s="2" t="s">
        <v>7454</v>
      </c>
      <c r="L3723" s="11" t="str">
        <f t="shared" si="61"/>
        <v>Ver Imagen</v>
      </c>
      <c r="M3723" t="s">
        <v>15</v>
      </c>
    </row>
    <row r="3724" spans="1:13" x14ac:dyDescent="0.25">
      <c r="A3724">
        <v>3723</v>
      </c>
      <c r="B3724" t="s">
        <v>7455</v>
      </c>
      <c r="C3724" s="1">
        <v>37.258857403299999</v>
      </c>
      <c r="D3724" s="1">
        <v>-7.1230666191900003</v>
      </c>
      <c r="E3724" s="3">
        <v>4</v>
      </c>
      <c r="F3724" s="2">
        <v>3</v>
      </c>
      <c r="G3724" s="4">
        <v>4</v>
      </c>
      <c r="H3724" s="13"/>
      <c r="I3724" s="15"/>
      <c r="J3724" s="19">
        <v>4</v>
      </c>
      <c r="K3724" s="2" t="s">
        <v>7456</v>
      </c>
      <c r="L3724" s="11" t="str">
        <f t="shared" si="61"/>
        <v>Ver Imagen</v>
      </c>
      <c r="M3724" t="s">
        <v>15</v>
      </c>
    </row>
    <row r="3725" spans="1:13" x14ac:dyDescent="0.25">
      <c r="A3725">
        <v>3724</v>
      </c>
      <c r="B3725" t="s">
        <v>7457</v>
      </c>
      <c r="C3725" s="1">
        <v>37.259078867200003</v>
      </c>
      <c r="D3725" s="1">
        <v>-7.1250543822300001</v>
      </c>
      <c r="E3725" s="3">
        <v>4</v>
      </c>
      <c r="F3725" s="2">
        <v>3</v>
      </c>
      <c r="G3725" s="4">
        <v>4</v>
      </c>
      <c r="H3725" s="13"/>
      <c r="I3725" s="15"/>
      <c r="J3725" s="19">
        <v>4</v>
      </c>
      <c r="K3725" s="2" t="s">
        <v>7458</v>
      </c>
      <c r="L3725" s="11" t="str">
        <f t="shared" si="61"/>
        <v>Ver Imagen</v>
      </c>
      <c r="M3725" t="s">
        <v>15</v>
      </c>
    </row>
    <row r="3726" spans="1:13" x14ac:dyDescent="0.25">
      <c r="A3726">
        <v>3725</v>
      </c>
      <c r="B3726" t="s">
        <v>7459</v>
      </c>
      <c r="C3726" s="1">
        <v>37.480332424099998</v>
      </c>
      <c r="D3726" s="1">
        <v>-7.1277918034200001</v>
      </c>
      <c r="E3726" s="3">
        <v>4</v>
      </c>
      <c r="F3726" s="2">
        <v>3</v>
      </c>
      <c r="G3726" s="4">
        <v>4</v>
      </c>
      <c r="H3726" s="13"/>
      <c r="I3726" s="15"/>
      <c r="J3726" s="19">
        <v>4</v>
      </c>
      <c r="K3726" s="2" t="s">
        <v>7460</v>
      </c>
      <c r="L3726" s="11" t="str">
        <f t="shared" si="61"/>
        <v>Ver Imagen</v>
      </c>
      <c r="M3726" t="s">
        <v>15</v>
      </c>
    </row>
    <row r="3727" spans="1:13" x14ac:dyDescent="0.25">
      <c r="A3727">
        <v>3726</v>
      </c>
      <c r="B3727" t="s">
        <v>7461</v>
      </c>
      <c r="C3727" s="1">
        <v>37.478550568499998</v>
      </c>
      <c r="D3727" s="1">
        <v>-7.1277931101499998</v>
      </c>
      <c r="E3727" s="3">
        <v>4</v>
      </c>
      <c r="F3727" s="2">
        <v>3</v>
      </c>
      <c r="G3727" s="4">
        <v>4</v>
      </c>
      <c r="H3727" s="13"/>
      <c r="I3727" s="15"/>
      <c r="J3727" s="19">
        <v>4</v>
      </c>
      <c r="K3727" s="2" t="s">
        <v>7462</v>
      </c>
      <c r="L3727" s="11" t="str">
        <f t="shared" si="61"/>
        <v>Ver Imagen</v>
      </c>
      <c r="M3727" t="s">
        <v>15</v>
      </c>
    </row>
    <row r="3728" spans="1:13" x14ac:dyDescent="0.25">
      <c r="A3728">
        <v>3727</v>
      </c>
      <c r="B3728" t="s">
        <v>7463</v>
      </c>
      <c r="C3728" s="1">
        <v>37.477925921800001</v>
      </c>
      <c r="D3728" s="1">
        <v>-7.1271924362299997</v>
      </c>
      <c r="E3728" s="3">
        <v>4</v>
      </c>
      <c r="F3728" s="2">
        <v>3</v>
      </c>
      <c r="G3728" s="4">
        <v>4</v>
      </c>
      <c r="H3728" s="13"/>
      <c r="I3728" s="15"/>
      <c r="J3728" s="19">
        <v>4</v>
      </c>
      <c r="K3728" s="2" t="s">
        <v>7464</v>
      </c>
      <c r="L3728" s="11" t="str">
        <f t="shared" si="61"/>
        <v>Ver Imagen</v>
      </c>
      <c r="M3728" t="s">
        <v>15</v>
      </c>
    </row>
    <row r="3729" spans="1:13" x14ac:dyDescent="0.25">
      <c r="A3729">
        <v>3728</v>
      </c>
      <c r="B3729" t="s">
        <v>7465</v>
      </c>
      <c r="C3729" s="1">
        <v>37.477521992299998</v>
      </c>
      <c r="D3729" s="1">
        <v>-7.1266270150300004</v>
      </c>
      <c r="E3729" s="3">
        <v>4</v>
      </c>
      <c r="F3729" s="2">
        <v>3</v>
      </c>
      <c r="G3729" s="4">
        <v>4</v>
      </c>
      <c r="H3729" s="13"/>
      <c r="I3729" s="15"/>
      <c r="J3729" s="19">
        <v>4</v>
      </c>
      <c r="K3729" s="2" t="s">
        <v>7466</v>
      </c>
      <c r="L3729" s="11" t="str">
        <f t="shared" si="61"/>
        <v>Ver Imagen</v>
      </c>
      <c r="M3729" t="s">
        <v>15</v>
      </c>
    </row>
    <row r="3730" spans="1:13" x14ac:dyDescent="0.25">
      <c r="A3730">
        <v>3729</v>
      </c>
      <c r="B3730" t="s">
        <v>7467</v>
      </c>
      <c r="C3730" s="1">
        <v>37.477383197499996</v>
      </c>
      <c r="D3730" s="1">
        <v>-7.12641831009</v>
      </c>
      <c r="E3730" s="3">
        <v>4</v>
      </c>
      <c r="F3730" s="2">
        <v>3</v>
      </c>
      <c r="G3730" s="4">
        <v>4</v>
      </c>
      <c r="H3730" s="13"/>
      <c r="I3730" s="15"/>
      <c r="J3730" s="19">
        <v>4</v>
      </c>
      <c r="K3730" s="2" t="s">
        <v>7468</v>
      </c>
      <c r="L3730" s="11" t="str">
        <f t="shared" si="61"/>
        <v>Ver Imagen</v>
      </c>
      <c r="M3730" t="s">
        <v>15</v>
      </c>
    </row>
    <row r="3731" spans="1:13" x14ac:dyDescent="0.25">
      <c r="A3731">
        <v>3730</v>
      </c>
      <c r="B3731" t="s">
        <v>7469</v>
      </c>
      <c r="C3731" s="1">
        <v>37.476147162799997</v>
      </c>
      <c r="D3731" s="1">
        <v>-7.1257753463000002</v>
      </c>
      <c r="E3731" s="3">
        <v>4</v>
      </c>
      <c r="F3731" s="2">
        <v>3</v>
      </c>
      <c r="G3731" s="4">
        <v>4</v>
      </c>
      <c r="H3731" s="13"/>
      <c r="I3731" s="15"/>
      <c r="J3731" s="19">
        <v>4</v>
      </c>
      <c r="K3731" s="2" t="s">
        <v>7470</v>
      </c>
      <c r="L3731" s="11" t="str">
        <f t="shared" si="61"/>
        <v>Ver Imagen</v>
      </c>
      <c r="M3731" t="s">
        <v>15</v>
      </c>
    </row>
    <row r="3732" spans="1:13" x14ac:dyDescent="0.25">
      <c r="A3732">
        <v>3731</v>
      </c>
      <c r="B3732" t="s">
        <v>7471</v>
      </c>
      <c r="C3732" s="1">
        <v>37.475372016599998</v>
      </c>
      <c r="D3732" s="1">
        <v>-7.1259228747999996</v>
      </c>
      <c r="E3732" s="3">
        <v>4</v>
      </c>
      <c r="F3732" s="2">
        <v>3</v>
      </c>
      <c r="G3732" s="4">
        <v>4</v>
      </c>
      <c r="H3732" s="13"/>
      <c r="I3732" s="15"/>
      <c r="J3732" s="19">
        <v>4</v>
      </c>
      <c r="K3732" s="2" t="s">
        <v>7472</v>
      </c>
      <c r="L3732" s="11" t="str">
        <f t="shared" si="61"/>
        <v>Ver Imagen</v>
      </c>
      <c r="M3732" t="s">
        <v>15</v>
      </c>
    </row>
    <row r="3733" spans="1:13" x14ac:dyDescent="0.25">
      <c r="A3733">
        <v>3732</v>
      </c>
      <c r="B3733" t="s">
        <v>7473</v>
      </c>
      <c r="C3733" s="1">
        <v>37.474765401500001</v>
      </c>
      <c r="D3733" s="1">
        <v>-7.1260567440699996</v>
      </c>
      <c r="E3733" s="3">
        <v>4</v>
      </c>
      <c r="F3733" s="2">
        <v>3</v>
      </c>
      <c r="G3733" s="4">
        <v>4</v>
      </c>
      <c r="H3733" s="13"/>
      <c r="I3733" s="15"/>
      <c r="J3733" s="19">
        <v>4</v>
      </c>
      <c r="K3733" s="2" t="s">
        <v>7474</v>
      </c>
      <c r="L3733" s="11" t="str">
        <f t="shared" si="61"/>
        <v>Ver Imagen</v>
      </c>
      <c r="M3733" t="s">
        <v>15</v>
      </c>
    </row>
    <row r="3734" spans="1:13" x14ac:dyDescent="0.25">
      <c r="A3734">
        <v>3733</v>
      </c>
      <c r="B3734" t="s">
        <v>7475</v>
      </c>
      <c r="C3734" s="1">
        <v>37.473755216900003</v>
      </c>
      <c r="D3734" s="1">
        <v>-7.1262768984199996</v>
      </c>
      <c r="E3734" s="3">
        <v>4</v>
      </c>
      <c r="F3734" s="2">
        <v>3</v>
      </c>
      <c r="G3734" s="4">
        <v>4</v>
      </c>
      <c r="H3734" s="13"/>
      <c r="I3734" s="15"/>
      <c r="J3734" s="19">
        <v>4</v>
      </c>
      <c r="K3734" s="2" t="s">
        <v>7476</v>
      </c>
      <c r="L3734" s="11" t="str">
        <f t="shared" si="61"/>
        <v>Ver Imagen</v>
      </c>
      <c r="M3734" t="s">
        <v>15</v>
      </c>
    </row>
    <row r="3735" spans="1:13" x14ac:dyDescent="0.25">
      <c r="A3735">
        <v>3734</v>
      </c>
      <c r="B3735" t="s">
        <v>7477</v>
      </c>
      <c r="C3735" s="1">
        <v>37.472965358000003</v>
      </c>
      <c r="D3735" s="1">
        <v>-7.1264069903899996</v>
      </c>
      <c r="E3735" s="3">
        <v>4</v>
      </c>
      <c r="F3735" s="2">
        <v>3</v>
      </c>
      <c r="G3735" s="4">
        <v>4</v>
      </c>
      <c r="H3735" s="13"/>
      <c r="I3735" s="15"/>
      <c r="J3735" s="19">
        <v>4</v>
      </c>
      <c r="K3735" s="2" t="s">
        <v>7478</v>
      </c>
      <c r="L3735" s="11" t="str">
        <f t="shared" si="61"/>
        <v>Ver Imagen</v>
      </c>
      <c r="M3735" t="s">
        <v>15</v>
      </c>
    </row>
    <row r="3736" spans="1:13" x14ac:dyDescent="0.25">
      <c r="A3736">
        <v>3735</v>
      </c>
      <c r="B3736" t="s">
        <v>7479</v>
      </c>
      <c r="C3736" s="1">
        <v>37.472344098900003</v>
      </c>
      <c r="D3736" s="1">
        <v>-7.1263594703599997</v>
      </c>
      <c r="E3736" s="3">
        <v>4</v>
      </c>
      <c r="F3736" s="2">
        <v>3</v>
      </c>
      <c r="G3736" s="4">
        <v>4</v>
      </c>
      <c r="H3736" s="13"/>
      <c r="I3736" s="15"/>
      <c r="J3736" s="19">
        <v>4</v>
      </c>
      <c r="K3736" s="2" t="s">
        <v>7480</v>
      </c>
      <c r="L3736" s="11" t="str">
        <f t="shared" si="61"/>
        <v>Ver Imagen</v>
      </c>
      <c r="M3736" t="s">
        <v>15</v>
      </c>
    </row>
    <row r="3737" spans="1:13" x14ac:dyDescent="0.25">
      <c r="A3737">
        <v>3736</v>
      </c>
      <c r="B3737" t="s">
        <v>7481</v>
      </c>
      <c r="C3737" s="1">
        <v>37.4719894459</v>
      </c>
      <c r="D3737" s="1">
        <v>-7.1261876428599997</v>
      </c>
      <c r="E3737" s="3">
        <v>4</v>
      </c>
      <c r="F3737" s="2">
        <v>3</v>
      </c>
      <c r="G3737" s="4">
        <v>4</v>
      </c>
      <c r="H3737" s="13"/>
      <c r="I3737" s="15"/>
      <c r="J3737" s="19">
        <v>4</v>
      </c>
      <c r="K3737" s="2" t="s">
        <v>7482</v>
      </c>
      <c r="L3737" s="11" t="str">
        <f t="shared" si="61"/>
        <v>Ver Imagen</v>
      </c>
      <c r="M3737" t="s">
        <v>15</v>
      </c>
    </row>
    <row r="3738" spans="1:13" x14ac:dyDescent="0.25">
      <c r="A3738">
        <v>3737</v>
      </c>
      <c r="B3738" t="s">
        <v>7483</v>
      </c>
      <c r="C3738" s="1">
        <v>37.471472608600003</v>
      </c>
      <c r="D3738" s="1">
        <v>-7.1257911239</v>
      </c>
      <c r="E3738" s="3">
        <v>4</v>
      </c>
      <c r="F3738" s="2">
        <v>3</v>
      </c>
      <c r="G3738" s="4">
        <v>4</v>
      </c>
      <c r="H3738" s="13"/>
      <c r="I3738" s="15"/>
      <c r="J3738" s="19">
        <v>4</v>
      </c>
      <c r="K3738" s="2" t="s">
        <v>7484</v>
      </c>
      <c r="L3738" s="11" t="str">
        <f t="shared" si="61"/>
        <v>Ver Imagen</v>
      </c>
      <c r="M3738" t="s">
        <v>15</v>
      </c>
    </row>
    <row r="3739" spans="1:13" x14ac:dyDescent="0.25">
      <c r="A3739">
        <v>3738</v>
      </c>
      <c r="B3739" t="s">
        <v>7485</v>
      </c>
      <c r="C3739" s="1">
        <v>37.471286272699999</v>
      </c>
      <c r="D3739" s="1">
        <v>-7.1256380483399999</v>
      </c>
      <c r="E3739" s="3">
        <v>4</v>
      </c>
      <c r="F3739" s="2">
        <v>3</v>
      </c>
      <c r="G3739" s="4">
        <v>4</v>
      </c>
      <c r="H3739" s="13"/>
      <c r="I3739" s="15"/>
      <c r="J3739" s="19">
        <v>4</v>
      </c>
      <c r="K3739" s="2" t="s">
        <v>7486</v>
      </c>
      <c r="L3739" s="11" t="str">
        <f t="shared" si="61"/>
        <v>Ver Imagen</v>
      </c>
      <c r="M3739" t="s">
        <v>15</v>
      </c>
    </row>
    <row r="3740" spans="1:13" x14ac:dyDescent="0.25">
      <c r="A3740">
        <v>3739</v>
      </c>
      <c r="B3740" t="s">
        <v>7487</v>
      </c>
      <c r="C3740" s="1">
        <v>37.469383878800002</v>
      </c>
      <c r="D3740" s="1">
        <v>-7.1242048167099998</v>
      </c>
      <c r="E3740" s="3">
        <v>5</v>
      </c>
      <c r="F3740" s="2">
        <v>4</v>
      </c>
      <c r="G3740" s="4">
        <v>4</v>
      </c>
      <c r="H3740" s="13"/>
      <c r="I3740" s="15"/>
      <c r="J3740" s="19">
        <v>4</v>
      </c>
      <c r="K3740" s="2" t="s">
        <v>7488</v>
      </c>
      <c r="L3740" s="11" t="str">
        <f t="shared" si="61"/>
        <v>Ver Imagen</v>
      </c>
      <c r="M3740" t="s">
        <v>15</v>
      </c>
    </row>
    <row r="3741" spans="1:13" x14ac:dyDescent="0.25">
      <c r="A3741">
        <v>3740</v>
      </c>
      <c r="B3741" t="s">
        <v>7489</v>
      </c>
      <c r="C3741" s="1">
        <v>37.467754138300002</v>
      </c>
      <c r="D3741" s="1">
        <v>-7.1231435576099997</v>
      </c>
      <c r="E3741" s="3">
        <v>4</v>
      </c>
      <c r="F3741" s="2">
        <v>3</v>
      </c>
      <c r="G3741" s="4">
        <v>4</v>
      </c>
      <c r="H3741" s="13"/>
      <c r="I3741" s="15"/>
      <c r="J3741" s="19">
        <v>4</v>
      </c>
      <c r="K3741" s="2" t="s">
        <v>7490</v>
      </c>
      <c r="L3741" s="11" t="str">
        <f t="shared" si="61"/>
        <v>Ver Imagen</v>
      </c>
      <c r="M3741" t="s">
        <v>15</v>
      </c>
    </row>
    <row r="3742" spans="1:13" x14ac:dyDescent="0.25">
      <c r="A3742">
        <v>3741</v>
      </c>
      <c r="B3742" t="s">
        <v>7491</v>
      </c>
      <c r="C3742" s="1">
        <v>37.198188054200003</v>
      </c>
      <c r="D3742" s="1">
        <v>-6.9810306048099999</v>
      </c>
      <c r="E3742" s="3">
        <v>4</v>
      </c>
      <c r="F3742" s="2">
        <v>3</v>
      </c>
      <c r="G3742" s="4">
        <v>4</v>
      </c>
      <c r="H3742" s="13"/>
      <c r="I3742" s="15"/>
      <c r="J3742" s="19">
        <v>4</v>
      </c>
      <c r="K3742" s="2" t="s">
        <v>7492</v>
      </c>
      <c r="L3742" s="11" t="str">
        <f t="shared" si="61"/>
        <v>Ver Imagen</v>
      </c>
      <c r="M3742" t="s">
        <v>15</v>
      </c>
    </row>
    <row r="3743" spans="1:13" x14ac:dyDescent="0.25">
      <c r="A3743">
        <v>3742</v>
      </c>
      <c r="B3743" t="s">
        <v>7493</v>
      </c>
      <c r="C3743" s="1">
        <v>37.194966547</v>
      </c>
      <c r="D3743" s="1">
        <v>-6.9780588095200002</v>
      </c>
      <c r="E3743" s="3">
        <v>4</v>
      </c>
      <c r="F3743" s="2">
        <v>3</v>
      </c>
      <c r="G3743" s="4">
        <v>4</v>
      </c>
      <c r="H3743" s="13"/>
      <c r="I3743" s="15"/>
      <c r="J3743" s="19">
        <v>4</v>
      </c>
      <c r="K3743" s="2" t="s">
        <v>7494</v>
      </c>
      <c r="L3743" s="11" t="str">
        <f t="shared" si="61"/>
        <v>Ver Imagen</v>
      </c>
      <c r="M3743" t="s">
        <v>15</v>
      </c>
    </row>
    <row r="3744" spans="1:13" x14ac:dyDescent="0.25">
      <c r="A3744">
        <v>3743</v>
      </c>
      <c r="B3744" t="s">
        <v>7495</v>
      </c>
      <c r="C3744" s="1">
        <v>37.193258421899998</v>
      </c>
      <c r="D3744" s="1">
        <v>-6.9776518922299999</v>
      </c>
      <c r="E3744" s="3">
        <v>4</v>
      </c>
      <c r="F3744" s="2">
        <v>3</v>
      </c>
      <c r="G3744" s="4">
        <v>4</v>
      </c>
      <c r="H3744" s="13"/>
      <c r="I3744" s="15"/>
      <c r="J3744" s="19">
        <v>4</v>
      </c>
      <c r="K3744" s="2" t="s">
        <v>7496</v>
      </c>
      <c r="L3744" s="11" t="str">
        <f t="shared" si="61"/>
        <v>Ver Imagen</v>
      </c>
      <c r="M3744" t="s">
        <v>15</v>
      </c>
    </row>
    <row r="3745" spans="1:13" x14ac:dyDescent="0.25">
      <c r="A3745">
        <v>3744</v>
      </c>
      <c r="B3745" t="s">
        <v>7497</v>
      </c>
      <c r="C3745" s="1">
        <v>37.192406003400002</v>
      </c>
      <c r="D3745" s="1">
        <v>-6.9776581446100003</v>
      </c>
      <c r="E3745" s="3">
        <v>4</v>
      </c>
      <c r="F3745" s="2">
        <v>3</v>
      </c>
      <c r="G3745" s="4">
        <v>4</v>
      </c>
      <c r="H3745" s="13"/>
      <c r="I3745" s="15"/>
      <c r="J3745" s="19">
        <v>4</v>
      </c>
      <c r="K3745" s="2" t="s">
        <v>7498</v>
      </c>
      <c r="L3745" s="11" t="str">
        <f t="shared" ref="L3745:L3808" si="62">HYPERLINK("4\1\" &amp; K3745, "Ver Imagen")</f>
        <v>Ver Imagen</v>
      </c>
      <c r="M3745" t="s">
        <v>15</v>
      </c>
    </row>
    <row r="3746" spans="1:13" x14ac:dyDescent="0.25">
      <c r="A3746">
        <v>3745</v>
      </c>
      <c r="B3746" t="s">
        <v>7499</v>
      </c>
      <c r="C3746" s="1">
        <v>37.191783203299998</v>
      </c>
      <c r="D3746" s="1">
        <v>-6.9777298114599997</v>
      </c>
      <c r="E3746" s="3">
        <v>4</v>
      </c>
      <c r="F3746" s="2">
        <v>3</v>
      </c>
      <c r="G3746" s="4">
        <v>4</v>
      </c>
      <c r="H3746" s="13"/>
      <c r="I3746" s="15"/>
      <c r="J3746" s="19">
        <v>4</v>
      </c>
      <c r="K3746" s="2" t="s">
        <v>7500</v>
      </c>
      <c r="L3746" s="11" t="str">
        <f t="shared" si="62"/>
        <v>Ver Imagen</v>
      </c>
      <c r="M3746" t="s">
        <v>15</v>
      </c>
    </row>
    <row r="3747" spans="1:13" x14ac:dyDescent="0.25">
      <c r="A3747">
        <v>3746</v>
      </c>
      <c r="B3747" t="s">
        <v>7501</v>
      </c>
      <c r="C3747" s="1">
        <v>37.189992561399997</v>
      </c>
      <c r="D3747" s="1">
        <v>-6.9781378384400004</v>
      </c>
      <c r="E3747" s="3">
        <v>4</v>
      </c>
      <c r="F3747" s="2">
        <v>3</v>
      </c>
      <c r="G3747" s="4">
        <v>4</v>
      </c>
      <c r="H3747" s="13"/>
      <c r="I3747" s="15"/>
      <c r="J3747" s="19">
        <v>4</v>
      </c>
      <c r="K3747" s="2" t="s">
        <v>7502</v>
      </c>
      <c r="L3747" s="11" t="str">
        <f t="shared" si="62"/>
        <v>Ver Imagen</v>
      </c>
      <c r="M3747" t="s">
        <v>15</v>
      </c>
    </row>
    <row r="3748" spans="1:13" x14ac:dyDescent="0.25">
      <c r="A3748">
        <v>3747</v>
      </c>
      <c r="B3748" t="s">
        <v>7503</v>
      </c>
      <c r="C3748" s="1">
        <v>37.267593896299999</v>
      </c>
      <c r="D3748" s="1">
        <v>-6.9620331901799997</v>
      </c>
      <c r="E3748" s="3">
        <v>4</v>
      </c>
      <c r="F3748" s="2">
        <v>3</v>
      </c>
      <c r="G3748" s="4">
        <v>4</v>
      </c>
      <c r="H3748" s="13"/>
      <c r="I3748" s="15"/>
      <c r="J3748" s="19">
        <v>4</v>
      </c>
      <c r="K3748" s="2" t="s">
        <v>7504</v>
      </c>
      <c r="L3748" s="11" t="str">
        <f t="shared" si="62"/>
        <v>Ver Imagen</v>
      </c>
      <c r="M3748" t="s">
        <v>15</v>
      </c>
    </row>
    <row r="3749" spans="1:13" x14ac:dyDescent="0.25">
      <c r="A3749">
        <v>3748</v>
      </c>
      <c r="B3749" t="s">
        <v>7505</v>
      </c>
      <c r="C3749" s="1">
        <v>37.267599838700001</v>
      </c>
      <c r="D3749" s="1">
        <v>-6.9622472989800004</v>
      </c>
      <c r="E3749" s="3">
        <v>4</v>
      </c>
      <c r="F3749" s="2">
        <v>3</v>
      </c>
      <c r="G3749" s="4">
        <v>4</v>
      </c>
      <c r="H3749" s="13"/>
      <c r="I3749" s="15"/>
      <c r="J3749" s="19">
        <v>4</v>
      </c>
      <c r="K3749" s="2" t="s">
        <v>7506</v>
      </c>
      <c r="L3749" s="11" t="str">
        <f t="shared" si="62"/>
        <v>Ver Imagen</v>
      </c>
      <c r="M3749" t="s">
        <v>15</v>
      </c>
    </row>
    <row r="3750" spans="1:13" x14ac:dyDescent="0.25">
      <c r="A3750">
        <v>3749</v>
      </c>
      <c r="B3750" t="s">
        <v>7507</v>
      </c>
      <c r="C3750" s="1">
        <v>37.267628660200003</v>
      </c>
      <c r="D3750" s="1">
        <v>-6.9632732403200004</v>
      </c>
      <c r="E3750" s="3">
        <v>4</v>
      </c>
      <c r="F3750" s="2">
        <v>3</v>
      </c>
      <c r="G3750" s="4">
        <v>4</v>
      </c>
      <c r="H3750" s="13"/>
      <c r="I3750" s="15"/>
      <c r="J3750" s="19">
        <v>4</v>
      </c>
      <c r="K3750" s="2" t="s">
        <v>7508</v>
      </c>
      <c r="L3750" s="11" t="str">
        <f t="shared" si="62"/>
        <v>Ver Imagen</v>
      </c>
      <c r="M3750" t="s">
        <v>15</v>
      </c>
    </row>
    <row r="3751" spans="1:13" x14ac:dyDescent="0.25">
      <c r="A3751">
        <v>3750</v>
      </c>
      <c r="B3751" t="s">
        <v>7509</v>
      </c>
      <c r="C3751" s="1">
        <v>37.269286724099999</v>
      </c>
      <c r="D3751" s="1">
        <v>-6.9765311797200003</v>
      </c>
      <c r="E3751" s="3">
        <v>4</v>
      </c>
      <c r="F3751" s="2">
        <v>3</v>
      </c>
      <c r="G3751" s="4">
        <v>4</v>
      </c>
      <c r="H3751" s="13"/>
      <c r="I3751" s="15"/>
      <c r="J3751" s="19">
        <v>4</v>
      </c>
      <c r="K3751" s="2" t="s">
        <v>7510</v>
      </c>
      <c r="L3751" s="11" t="str">
        <f t="shared" si="62"/>
        <v>Ver Imagen</v>
      </c>
      <c r="M3751" t="s">
        <v>15</v>
      </c>
    </row>
    <row r="3752" spans="1:13" x14ac:dyDescent="0.25">
      <c r="A3752">
        <v>3751</v>
      </c>
      <c r="B3752" t="s">
        <v>7511</v>
      </c>
      <c r="C3752" s="1">
        <v>37.266870755799999</v>
      </c>
      <c r="D3752" s="1">
        <v>-6.9920699967299997</v>
      </c>
      <c r="E3752" s="3">
        <v>5</v>
      </c>
      <c r="F3752" s="2">
        <v>4</v>
      </c>
      <c r="G3752" s="4">
        <v>4</v>
      </c>
      <c r="H3752" s="13"/>
      <c r="I3752" s="15"/>
      <c r="J3752" s="19">
        <v>4</v>
      </c>
      <c r="K3752" s="2" t="s">
        <v>7512</v>
      </c>
      <c r="L3752" s="11" t="str">
        <f t="shared" si="62"/>
        <v>Ver Imagen</v>
      </c>
      <c r="M3752" t="s">
        <v>15</v>
      </c>
    </row>
    <row r="3753" spans="1:13" x14ac:dyDescent="0.25">
      <c r="A3753">
        <v>3752</v>
      </c>
      <c r="B3753" t="s">
        <v>7513</v>
      </c>
      <c r="C3753" s="1">
        <v>37.265918095099998</v>
      </c>
      <c r="D3753" s="1">
        <v>-6.9939657051499999</v>
      </c>
      <c r="E3753" s="3">
        <v>4</v>
      </c>
      <c r="F3753" s="2">
        <v>3</v>
      </c>
      <c r="G3753" s="4">
        <v>4</v>
      </c>
      <c r="H3753" s="13"/>
      <c r="I3753" s="15"/>
      <c r="J3753" s="19">
        <v>4</v>
      </c>
      <c r="K3753" s="2" t="s">
        <v>7514</v>
      </c>
      <c r="L3753" s="11" t="str">
        <f t="shared" si="62"/>
        <v>Ver Imagen</v>
      </c>
      <c r="M3753" t="s">
        <v>15</v>
      </c>
    </row>
    <row r="3754" spans="1:13" x14ac:dyDescent="0.25">
      <c r="A3754">
        <v>3753</v>
      </c>
      <c r="B3754" t="s">
        <v>7515</v>
      </c>
      <c r="C3754" s="1">
        <v>37.192395569399999</v>
      </c>
      <c r="D3754" s="1">
        <v>-6.9774921060799997</v>
      </c>
      <c r="E3754" s="3">
        <v>4</v>
      </c>
      <c r="F3754" s="2">
        <v>3</v>
      </c>
      <c r="G3754" s="4">
        <v>4</v>
      </c>
      <c r="H3754" s="13"/>
      <c r="I3754" s="15"/>
      <c r="J3754" s="19">
        <v>4</v>
      </c>
      <c r="K3754" s="2" t="s">
        <v>7516</v>
      </c>
      <c r="L3754" s="11" t="str">
        <f t="shared" si="62"/>
        <v>Ver Imagen</v>
      </c>
      <c r="M3754" t="s">
        <v>15</v>
      </c>
    </row>
    <row r="3755" spans="1:13" x14ac:dyDescent="0.25">
      <c r="A3755">
        <v>3754</v>
      </c>
      <c r="B3755" t="s">
        <v>7517</v>
      </c>
      <c r="C3755" s="1">
        <v>37.264865126899998</v>
      </c>
      <c r="D3755" s="1">
        <v>-6.9996562735300003</v>
      </c>
      <c r="E3755" s="3">
        <v>4</v>
      </c>
      <c r="F3755" s="2">
        <v>5</v>
      </c>
      <c r="G3755" s="4">
        <v>4</v>
      </c>
      <c r="H3755" s="13"/>
      <c r="I3755" s="15"/>
      <c r="J3755" s="19">
        <v>4</v>
      </c>
      <c r="K3755" s="2" t="s">
        <v>7518</v>
      </c>
      <c r="L3755" s="11" t="str">
        <f t="shared" si="62"/>
        <v>Ver Imagen</v>
      </c>
      <c r="M3755" t="s">
        <v>15</v>
      </c>
    </row>
    <row r="3756" spans="1:13" x14ac:dyDescent="0.25">
      <c r="A3756">
        <v>3755</v>
      </c>
      <c r="B3756" t="s">
        <v>7519</v>
      </c>
      <c r="C3756" s="1">
        <v>37.195697733000003</v>
      </c>
      <c r="D3756" s="1">
        <v>-6.9782311359299998</v>
      </c>
      <c r="E3756" s="3">
        <v>4</v>
      </c>
      <c r="F3756" s="2">
        <v>3</v>
      </c>
      <c r="G3756" s="4">
        <v>4</v>
      </c>
      <c r="H3756" s="13"/>
      <c r="I3756" s="15"/>
      <c r="J3756" s="19">
        <v>4</v>
      </c>
      <c r="K3756" s="2" t="s">
        <v>7520</v>
      </c>
      <c r="L3756" s="11" t="str">
        <f t="shared" si="62"/>
        <v>Ver Imagen</v>
      </c>
      <c r="M3756" t="s">
        <v>15</v>
      </c>
    </row>
    <row r="3757" spans="1:13" x14ac:dyDescent="0.25">
      <c r="A3757">
        <v>3756</v>
      </c>
      <c r="B3757" t="s">
        <v>7521</v>
      </c>
      <c r="C3757" s="1">
        <v>37.203072257999999</v>
      </c>
      <c r="D3757" s="1">
        <v>-7.0035943733400003</v>
      </c>
      <c r="E3757" s="3">
        <v>4</v>
      </c>
      <c r="F3757" s="2">
        <v>3</v>
      </c>
      <c r="G3757" s="4">
        <v>4</v>
      </c>
      <c r="H3757" s="13"/>
      <c r="I3757" s="15"/>
      <c r="J3757" s="19">
        <v>4</v>
      </c>
      <c r="K3757" s="2" t="s">
        <v>7522</v>
      </c>
      <c r="L3757" s="11" t="str">
        <f t="shared" si="62"/>
        <v>Ver Imagen</v>
      </c>
      <c r="M3757" t="s">
        <v>15</v>
      </c>
    </row>
    <row r="3758" spans="1:13" x14ac:dyDescent="0.25">
      <c r="A3758">
        <v>3757</v>
      </c>
      <c r="B3758" t="s">
        <v>7523</v>
      </c>
      <c r="C3758" s="1">
        <v>37.252857844600001</v>
      </c>
      <c r="D3758" s="1">
        <v>-7.0162665460399998</v>
      </c>
      <c r="E3758" s="3">
        <v>4</v>
      </c>
      <c r="F3758" s="2">
        <v>3</v>
      </c>
      <c r="G3758" s="4">
        <v>4</v>
      </c>
      <c r="H3758" s="13"/>
      <c r="I3758" s="15"/>
      <c r="J3758" s="19">
        <v>4</v>
      </c>
      <c r="K3758" s="2" t="s">
        <v>7524</v>
      </c>
      <c r="L3758" s="11" t="str">
        <f t="shared" si="62"/>
        <v>Ver Imagen</v>
      </c>
      <c r="M3758" t="s">
        <v>15</v>
      </c>
    </row>
    <row r="3759" spans="1:13" x14ac:dyDescent="0.25">
      <c r="A3759">
        <v>3758</v>
      </c>
      <c r="B3759" t="s">
        <v>7525</v>
      </c>
      <c r="C3759" s="1">
        <v>37.203780786499998</v>
      </c>
      <c r="D3759" s="1">
        <v>-7.0088738402099997</v>
      </c>
      <c r="E3759" s="3">
        <v>4</v>
      </c>
      <c r="F3759" s="2">
        <v>3</v>
      </c>
      <c r="G3759" s="4">
        <v>4</v>
      </c>
      <c r="H3759" s="13"/>
      <c r="I3759" s="15"/>
      <c r="J3759" s="19">
        <v>4</v>
      </c>
      <c r="K3759" s="2" t="s">
        <v>7526</v>
      </c>
      <c r="L3759" s="11" t="str">
        <f t="shared" si="62"/>
        <v>Ver Imagen</v>
      </c>
      <c r="M3759" t="s">
        <v>15</v>
      </c>
    </row>
    <row r="3760" spans="1:13" x14ac:dyDescent="0.25">
      <c r="A3760">
        <v>3759</v>
      </c>
      <c r="B3760" t="s">
        <v>7527</v>
      </c>
      <c r="C3760" s="1">
        <v>37.250488993099999</v>
      </c>
      <c r="D3760" s="1">
        <v>-7.0177637220599998</v>
      </c>
      <c r="E3760" s="3">
        <v>4</v>
      </c>
      <c r="F3760" s="2">
        <v>3</v>
      </c>
      <c r="G3760" s="4">
        <v>4</v>
      </c>
      <c r="H3760" s="13"/>
      <c r="I3760" s="15"/>
      <c r="J3760" s="19">
        <v>4</v>
      </c>
      <c r="K3760" s="2" t="s">
        <v>7528</v>
      </c>
      <c r="L3760" s="11" t="str">
        <f t="shared" si="62"/>
        <v>Ver Imagen</v>
      </c>
      <c r="M3760" t="s">
        <v>15</v>
      </c>
    </row>
    <row r="3761" spans="1:13" x14ac:dyDescent="0.25">
      <c r="A3761">
        <v>3760</v>
      </c>
      <c r="B3761" t="s">
        <v>7529</v>
      </c>
      <c r="C3761" s="1">
        <v>37.247504147599997</v>
      </c>
      <c r="D3761" s="1">
        <v>-7.0183962482300002</v>
      </c>
      <c r="E3761" s="3">
        <v>4</v>
      </c>
      <c r="F3761" s="2">
        <v>3</v>
      </c>
      <c r="G3761" s="4">
        <v>4</v>
      </c>
      <c r="H3761" s="13"/>
      <c r="I3761" s="15"/>
      <c r="J3761" s="19">
        <v>4</v>
      </c>
      <c r="K3761" s="2" t="s">
        <v>7530</v>
      </c>
      <c r="L3761" s="11" t="str">
        <f t="shared" si="62"/>
        <v>Ver Imagen</v>
      </c>
      <c r="M3761" t="s">
        <v>15</v>
      </c>
    </row>
    <row r="3762" spans="1:13" x14ac:dyDescent="0.25">
      <c r="A3762">
        <v>3761</v>
      </c>
      <c r="B3762" t="s">
        <v>7531</v>
      </c>
      <c r="C3762" s="1">
        <v>37.246712279400001</v>
      </c>
      <c r="D3762" s="1">
        <v>-7.0184259294600002</v>
      </c>
      <c r="E3762" s="3">
        <v>4</v>
      </c>
      <c r="F3762" s="2">
        <v>3</v>
      </c>
      <c r="G3762" s="4">
        <v>4</v>
      </c>
      <c r="H3762" s="13"/>
      <c r="I3762" s="15"/>
      <c r="J3762" s="19">
        <v>4</v>
      </c>
      <c r="K3762" s="2" t="s">
        <v>7532</v>
      </c>
      <c r="L3762" s="11" t="str">
        <f t="shared" si="62"/>
        <v>Ver Imagen</v>
      </c>
      <c r="M3762" t="s">
        <v>15</v>
      </c>
    </row>
    <row r="3763" spans="1:13" x14ac:dyDescent="0.25">
      <c r="A3763">
        <v>3762</v>
      </c>
      <c r="B3763" t="s">
        <v>7533</v>
      </c>
      <c r="C3763" s="1">
        <v>37.2432474318</v>
      </c>
      <c r="D3763" s="1">
        <v>-7.0185583438999997</v>
      </c>
      <c r="E3763" s="3">
        <v>4</v>
      </c>
      <c r="F3763" s="2">
        <v>3</v>
      </c>
      <c r="G3763" s="4">
        <v>4</v>
      </c>
      <c r="H3763" s="13"/>
      <c r="I3763" s="15"/>
      <c r="J3763" s="19">
        <v>4</v>
      </c>
      <c r="K3763" s="2" t="s">
        <v>7534</v>
      </c>
      <c r="L3763" s="11" t="str">
        <f t="shared" si="62"/>
        <v>Ver Imagen</v>
      </c>
      <c r="M3763" t="s">
        <v>15</v>
      </c>
    </row>
    <row r="3764" spans="1:13" x14ac:dyDescent="0.25">
      <c r="A3764">
        <v>3763</v>
      </c>
      <c r="B3764" t="s">
        <v>7535</v>
      </c>
      <c r="C3764" s="1">
        <v>37.205359925899998</v>
      </c>
      <c r="D3764" s="1">
        <v>-7.0172448687399998</v>
      </c>
      <c r="E3764" s="3">
        <v>4</v>
      </c>
      <c r="F3764" s="2">
        <v>3</v>
      </c>
      <c r="G3764" s="4">
        <v>4</v>
      </c>
      <c r="H3764" s="13"/>
      <c r="I3764" s="15"/>
      <c r="J3764" s="19">
        <v>4</v>
      </c>
      <c r="K3764" s="2" t="s">
        <v>7536</v>
      </c>
      <c r="L3764" s="11" t="str">
        <f t="shared" si="62"/>
        <v>Ver Imagen</v>
      </c>
      <c r="M3764" t="s">
        <v>15</v>
      </c>
    </row>
    <row r="3765" spans="1:13" x14ac:dyDescent="0.25">
      <c r="A3765">
        <v>3764</v>
      </c>
      <c r="B3765" t="s">
        <v>7537</v>
      </c>
      <c r="C3765" s="1">
        <v>37.236968555700003</v>
      </c>
      <c r="D3765" s="1">
        <v>-7.0187208762799997</v>
      </c>
      <c r="E3765" s="3">
        <v>4</v>
      </c>
      <c r="F3765" s="2">
        <v>3</v>
      </c>
      <c r="G3765" s="4">
        <v>4</v>
      </c>
      <c r="H3765" s="13"/>
      <c r="I3765" s="15"/>
      <c r="J3765" s="19">
        <v>4</v>
      </c>
      <c r="K3765" s="2" t="s">
        <v>7538</v>
      </c>
      <c r="L3765" s="11" t="str">
        <f t="shared" si="62"/>
        <v>Ver Imagen</v>
      </c>
      <c r="M3765" t="s">
        <v>15</v>
      </c>
    </row>
    <row r="3766" spans="1:13" x14ac:dyDescent="0.25">
      <c r="A3766">
        <v>3765</v>
      </c>
      <c r="B3766" t="s">
        <v>7539</v>
      </c>
      <c r="C3766" s="1">
        <v>37.236775552200001</v>
      </c>
      <c r="D3766" s="1">
        <v>-7.0186967941100002</v>
      </c>
      <c r="E3766" s="3">
        <v>4</v>
      </c>
      <c r="F3766" s="2">
        <v>3</v>
      </c>
      <c r="G3766" s="4">
        <v>4</v>
      </c>
      <c r="H3766" s="13"/>
      <c r="I3766" s="15"/>
      <c r="J3766" s="19">
        <v>4</v>
      </c>
      <c r="K3766" s="2" t="s">
        <v>7540</v>
      </c>
      <c r="L3766" s="11" t="str">
        <f t="shared" si="62"/>
        <v>Ver Imagen</v>
      </c>
      <c r="M3766" t="s">
        <v>15</v>
      </c>
    </row>
    <row r="3767" spans="1:13" x14ac:dyDescent="0.25">
      <c r="A3767">
        <v>3766</v>
      </c>
      <c r="B3767" t="s">
        <v>7541</v>
      </c>
      <c r="C3767" s="1">
        <v>37.236579842799998</v>
      </c>
      <c r="D3767" s="1">
        <v>-7.0186661185199997</v>
      </c>
      <c r="E3767" s="3">
        <v>4</v>
      </c>
      <c r="F3767" s="2">
        <v>3</v>
      </c>
      <c r="G3767" s="4">
        <v>4</v>
      </c>
      <c r="H3767" s="13"/>
      <c r="I3767" s="15"/>
      <c r="J3767" s="19">
        <v>4</v>
      </c>
      <c r="K3767" s="2" t="s">
        <v>7542</v>
      </c>
      <c r="L3767" s="11" t="str">
        <f t="shared" si="62"/>
        <v>Ver Imagen</v>
      </c>
      <c r="M3767" t="s">
        <v>15</v>
      </c>
    </row>
    <row r="3768" spans="1:13" x14ac:dyDescent="0.25">
      <c r="A3768">
        <v>3767</v>
      </c>
      <c r="B3768" t="s">
        <v>7543</v>
      </c>
      <c r="C3768" s="1">
        <v>37.221868848100002</v>
      </c>
      <c r="D3768" s="1">
        <v>-7.0231339848300003</v>
      </c>
      <c r="E3768" s="3">
        <v>4</v>
      </c>
      <c r="F3768" s="2">
        <v>3</v>
      </c>
      <c r="G3768" s="4">
        <v>4</v>
      </c>
      <c r="H3768" s="13"/>
      <c r="I3768" s="15"/>
      <c r="J3768" s="19">
        <v>4</v>
      </c>
      <c r="K3768" s="2" t="s">
        <v>7544</v>
      </c>
      <c r="L3768" s="11" t="str">
        <f t="shared" si="62"/>
        <v>Ver Imagen</v>
      </c>
      <c r="M3768" t="s">
        <v>15</v>
      </c>
    </row>
    <row r="3769" spans="1:13" x14ac:dyDescent="0.25">
      <c r="A3769">
        <v>3768</v>
      </c>
      <c r="B3769" t="s">
        <v>7545</v>
      </c>
      <c r="C3769" s="1">
        <v>37.221646231199998</v>
      </c>
      <c r="D3769" s="1">
        <v>-7.0231120785599996</v>
      </c>
      <c r="E3769" s="3">
        <v>4</v>
      </c>
      <c r="F3769" s="2">
        <v>3</v>
      </c>
      <c r="G3769" s="4">
        <v>4</v>
      </c>
      <c r="H3769" s="13"/>
      <c r="I3769" s="15"/>
      <c r="J3769" s="19">
        <v>4</v>
      </c>
      <c r="K3769" s="2" t="s">
        <v>7546</v>
      </c>
      <c r="L3769" s="11" t="str">
        <f t="shared" si="62"/>
        <v>Ver Imagen</v>
      </c>
      <c r="M3769" t="s">
        <v>15</v>
      </c>
    </row>
    <row r="3770" spans="1:13" x14ac:dyDescent="0.25">
      <c r="A3770">
        <v>3769</v>
      </c>
      <c r="B3770" t="s">
        <v>7547</v>
      </c>
      <c r="C3770" s="1">
        <v>37.221214673799999</v>
      </c>
      <c r="D3770" s="1">
        <v>-7.0230714257500004</v>
      </c>
      <c r="E3770" s="3">
        <v>4</v>
      </c>
      <c r="F3770" s="2">
        <v>3</v>
      </c>
      <c r="G3770" s="4">
        <v>4</v>
      </c>
      <c r="H3770" s="13"/>
      <c r="I3770" s="15"/>
      <c r="J3770" s="19">
        <v>4</v>
      </c>
      <c r="K3770" s="2" t="s">
        <v>7548</v>
      </c>
      <c r="L3770" s="11" t="str">
        <f t="shared" si="62"/>
        <v>Ver Imagen</v>
      </c>
      <c r="M3770" t="s">
        <v>15</v>
      </c>
    </row>
    <row r="3771" spans="1:13" x14ac:dyDescent="0.25">
      <c r="A3771">
        <v>3770</v>
      </c>
      <c r="B3771" t="s">
        <v>7549</v>
      </c>
      <c r="C3771" s="1">
        <v>37.2210234223</v>
      </c>
      <c r="D3771" s="1">
        <v>-7.0230542371100002</v>
      </c>
      <c r="E3771" s="3">
        <v>4</v>
      </c>
      <c r="F3771" s="2">
        <v>3</v>
      </c>
      <c r="G3771" s="4">
        <v>4</v>
      </c>
      <c r="H3771" s="13"/>
      <c r="I3771" s="15"/>
      <c r="J3771" s="19">
        <v>4</v>
      </c>
      <c r="K3771" s="2" t="s">
        <v>7550</v>
      </c>
      <c r="L3771" s="11" t="str">
        <f t="shared" si="62"/>
        <v>Ver Imagen</v>
      </c>
      <c r="M3771" t="s">
        <v>15</v>
      </c>
    </row>
    <row r="3772" spans="1:13" x14ac:dyDescent="0.25">
      <c r="A3772">
        <v>3771</v>
      </c>
      <c r="B3772" t="s">
        <v>7551</v>
      </c>
      <c r="C3772" s="1">
        <v>37.220634645700002</v>
      </c>
      <c r="D3772" s="1">
        <v>-7.0230199341999997</v>
      </c>
      <c r="E3772" s="3">
        <v>4</v>
      </c>
      <c r="F3772" s="2">
        <v>3</v>
      </c>
      <c r="G3772" s="4">
        <v>4</v>
      </c>
      <c r="H3772" s="13"/>
      <c r="I3772" s="15"/>
      <c r="J3772" s="19">
        <v>4</v>
      </c>
      <c r="K3772" s="2" t="s">
        <v>7552</v>
      </c>
      <c r="L3772" s="11" t="str">
        <f t="shared" si="62"/>
        <v>Ver Imagen</v>
      </c>
      <c r="M3772" t="s">
        <v>15</v>
      </c>
    </row>
    <row r="3773" spans="1:13" x14ac:dyDescent="0.25">
      <c r="A3773">
        <v>3772</v>
      </c>
      <c r="B3773" t="s">
        <v>7553</v>
      </c>
      <c r="C3773" s="1">
        <v>37.220242495800001</v>
      </c>
      <c r="D3773" s="1">
        <v>-7.0229852810500004</v>
      </c>
      <c r="E3773" s="3">
        <v>4</v>
      </c>
      <c r="F3773" s="2">
        <v>3</v>
      </c>
      <c r="G3773" s="4">
        <v>4</v>
      </c>
      <c r="H3773" s="13"/>
      <c r="I3773" s="15"/>
      <c r="J3773" s="19">
        <v>4</v>
      </c>
      <c r="K3773" s="2" t="s">
        <v>7554</v>
      </c>
      <c r="L3773" s="11" t="str">
        <f t="shared" si="62"/>
        <v>Ver Imagen</v>
      </c>
      <c r="M3773" t="s">
        <v>15</v>
      </c>
    </row>
    <row r="3774" spans="1:13" x14ac:dyDescent="0.25">
      <c r="A3774">
        <v>3773</v>
      </c>
      <c r="B3774" t="s">
        <v>7555</v>
      </c>
      <c r="C3774" s="1">
        <v>37.218182752600001</v>
      </c>
      <c r="D3774" s="1">
        <v>-7.0230403313099998</v>
      </c>
      <c r="E3774" s="3">
        <v>4</v>
      </c>
      <c r="F3774" s="2">
        <v>3</v>
      </c>
      <c r="G3774" s="4">
        <v>4</v>
      </c>
      <c r="H3774" s="13"/>
      <c r="I3774" s="15"/>
      <c r="J3774" s="19">
        <v>4</v>
      </c>
      <c r="K3774" s="2" t="s">
        <v>7556</v>
      </c>
      <c r="L3774" s="11" t="str">
        <f t="shared" si="62"/>
        <v>Ver Imagen</v>
      </c>
      <c r="M3774" t="s">
        <v>15</v>
      </c>
    </row>
    <row r="3775" spans="1:13" x14ac:dyDescent="0.25">
      <c r="A3775">
        <v>3774</v>
      </c>
      <c r="B3775" t="s">
        <v>7557</v>
      </c>
      <c r="C3775" s="1">
        <v>37.2171841384</v>
      </c>
      <c r="D3775" s="1">
        <v>-7.0232047356700003</v>
      </c>
      <c r="E3775" s="3">
        <v>4</v>
      </c>
      <c r="F3775" s="2">
        <v>3</v>
      </c>
      <c r="G3775" s="4">
        <v>4</v>
      </c>
      <c r="H3775" s="13"/>
      <c r="I3775" s="15"/>
      <c r="J3775" s="19">
        <v>4</v>
      </c>
      <c r="K3775" s="2" t="s">
        <v>7558</v>
      </c>
      <c r="L3775" s="11" t="str">
        <f t="shared" si="62"/>
        <v>Ver Imagen</v>
      </c>
      <c r="M3775" t="s">
        <v>15</v>
      </c>
    </row>
    <row r="3776" spans="1:13" x14ac:dyDescent="0.25">
      <c r="A3776">
        <v>3775</v>
      </c>
      <c r="B3776" t="s">
        <v>7559</v>
      </c>
      <c r="C3776" s="1">
        <v>37.215988728500001</v>
      </c>
      <c r="D3776" s="1">
        <v>-7.0234166893400003</v>
      </c>
      <c r="E3776" s="3">
        <v>4</v>
      </c>
      <c r="F3776" s="2">
        <v>3</v>
      </c>
      <c r="G3776" s="4">
        <v>4</v>
      </c>
      <c r="H3776" s="13"/>
      <c r="I3776" s="15"/>
      <c r="J3776" s="19">
        <v>4</v>
      </c>
      <c r="K3776" s="2" t="s">
        <v>7560</v>
      </c>
      <c r="L3776" s="11" t="str">
        <f t="shared" si="62"/>
        <v>Ver Imagen</v>
      </c>
      <c r="M3776" t="s">
        <v>15</v>
      </c>
    </row>
    <row r="3777" spans="1:13" x14ac:dyDescent="0.25">
      <c r="A3777">
        <v>3776</v>
      </c>
      <c r="B3777" t="s">
        <v>7561</v>
      </c>
      <c r="C3777" s="1">
        <v>37.215791436799996</v>
      </c>
      <c r="D3777" s="1">
        <v>-7.0234502894100004</v>
      </c>
      <c r="E3777" s="3">
        <v>4</v>
      </c>
      <c r="F3777" s="2">
        <v>3</v>
      </c>
      <c r="G3777" s="4">
        <v>4</v>
      </c>
      <c r="H3777" s="13"/>
      <c r="I3777" s="15"/>
      <c r="J3777" s="19">
        <v>4</v>
      </c>
      <c r="K3777" s="2" t="s">
        <v>7562</v>
      </c>
      <c r="L3777" s="11" t="str">
        <f t="shared" si="62"/>
        <v>Ver Imagen</v>
      </c>
      <c r="M3777" t="s">
        <v>15</v>
      </c>
    </row>
    <row r="3778" spans="1:13" x14ac:dyDescent="0.25">
      <c r="A3778">
        <v>3777</v>
      </c>
      <c r="B3778" t="s">
        <v>7563</v>
      </c>
      <c r="C3778" s="1">
        <v>37.2147908874</v>
      </c>
      <c r="D3778" s="1">
        <v>-7.0236223043899999</v>
      </c>
      <c r="E3778" s="3">
        <v>4</v>
      </c>
      <c r="F3778" s="2">
        <v>3</v>
      </c>
      <c r="G3778" s="4">
        <v>4</v>
      </c>
      <c r="H3778" s="13"/>
      <c r="I3778" s="15"/>
      <c r="J3778" s="19">
        <v>4</v>
      </c>
      <c r="K3778" s="2" t="s">
        <v>7564</v>
      </c>
      <c r="L3778" s="11" t="str">
        <f t="shared" si="62"/>
        <v>Ver Imagen</v>
      </c>
      <c r="M3778" t="s">
        <v>15</v>
      </c>
    </row>
    <row r="3779" spans="1:13" x14ac:dyDescent="0.25">
      <c r="A3779">
        <v>3778</v>
      </c>
      <c r="B3779" t="s">
        <v>7565</v>
      </c>
      <c r="C3779" s="1">
        <v>37.2145465284</v>
      </c>
      <c r="D3779" s="1">
        <v>-7.0236677940999996</v>
      </c>
      <c r="E3779" s="3">
        <v>4</v>
      </c>
      <c r="F3779" s="2">
        <v>3</v>
      </c>
      <c r="G3779" s="4">
        <v>4</v>
      </c>
      <c r="H3779" s="13"/>
      <c r="I3779" s="15"/>
      <c r="J3779" s="19">
        <v>4</v>
      </c>
      <c r="K3779" s="2" t="s">
        <v>7566</v>
      </c>
      <c r="L3779" s="11" t="str">
        <f t="shared" si="62"/>
        <v>Ver Imagen</v>
      </c>
      <c r="M3779" t="s">
        <v>15</v>
      </c>
    </row>
    <row r="3780" spans="1:13" x14ac:dyDescent="0.25">
      <c r="A3780">
        <v>3779</v>
      </c>
      <c r="B3780" t="s">
        <v>7567</v>
      </c>
      <c r="C3780" s="1">
        <v>37.214200621099998</v>
      </c>
      <c r="D3780" s="1">
        <v>-7.0237341759299996</v>
      </c>
      <c r="E3780" s="3">
        <v>4</v>
      </c>
      <c r="F3780" s="2">
        <v>3</v>
      </c>
      <c r="G3780" s="4">
        <v>4</v>
      </c>
      <c r="H3780" s="13"/>
      <c r="I3780" s="15"/>
      <c r="J3780" s="19">
        <v>4</v>
      </c>
      <c r="K3780" s="2" t="s">
        <v>7568</v>
      </c>
      <c r="L3780" s="11" t="str">
        <f t="shared" si="62"/>
        <v>Ver Imagen</v>
      </c>
      <c r="M3780" t="s">
        <v>15</v>
      </c>
    </row>
    <row r="3781" spans="1:13" x14ac:dyDescent="0.25">
      <c r="A3781">
        <v>3780</v>
      </c>
      <c r="B3781" t="s">
        <v>7569</v>
      </c>
      <c r="C3781" s="1">
        <v>37.213371695900001</v>
      </c>
      <c r="D3781" s="1">
        <v>-7.0238818074499996</v>
      </c>
      <c r="E3781" s="3">
        <v>4</v>
      </c>
      <c r="F3781" s="2">
        <v>3</v>
      </c>
      <c r="G3781" s="4">
        <v>4</v>
      </c>
      <c r="H3781" s="13"/>
      <c r="I3781" s="15"/>
      <c r="J3781" s="19">
        <v>4</v>
      </c>
      <c r="K3781" s="2" t="s">
        <v>7570</v>
      </c>
      <c r="L3781" s="11" t="str">
        <f t="shared" si="62"/>
        <v>Ver Imagen</v>
      </c>
      <c r="M3781" t="s">
        <v>15</v>
      </c>
    </row>
    <row r="3782" spans="1:13" x14ac:dyDescent="0.25">
      <c r="A3782">
        <v>3781</v>
      </c>
      <c r="B3782" t="s">
        <v>7571</v>
      </c>
      <c r="C3782" s="1">
        <v>37.212419308599998</v>
      </c>
      <c r="D3782" s="1">
        <v>-7.0240180262000003</v>
      </c>
      <c r="E3782" s="3">
        <v>4</v>
      </c>
      <c r="F3782" s="2">
        <v>3</v>
      </c>
      <c r="G3782" s="4">
        <v>4</v>
      </c>
      <c r="H3782" s="13"/>
      <c r="I3782" s="15"/>
      <c r="J3782" s="19">
        <v>4</v>
      </c>
      <c r="K3782" s="2" t="s">
        <v>7572</v>
      </c>
      <c r="L3782" s="11" t="str">
        <f t="shared" si="62"/>
        <v>Ver Imagen</v>
      </c>
      <c r="M3782" t="s">
        <v>15</v>
      </c>
    </row>
    <row r="3783" spans="1:13" x14ac:dyDescent="0.25">
      <c r="A3783">
        <v>3782</v>
      </c>
      <c r="B3783" t="s">
        <v>7573</v>
      </c>
      <c r="C3783" s="1">
        <v>37.209789024400003</v>
      </c>
      <c r="D3783" s="1">
        <v>-7.0236374396999999</v>
      </c>
      <c r="E3783" s="3">
        <v>4</v>
      </c>
      <c r="F3783" s="2">
        <v>3</v>
      </c>
      <c r="G3783" s="4">
        <v>4</v>
      </c>
      <c r="H3783" s="13"/>
      <c r="I3783" s="15"/>
      <c r="J3783" s="19">
        <v>4</v>
      </c>
      <c r="K3783" s="2" t="s">
        <v>7574</v>
      </c>
      <c r="L3783" s="11" t="str">
        <f t="shared" si="62"/>
        <v>Ver Imagen</v>
      </c>
      <c r="M3783" t="s">
        <v>15</v>
      </c>
    </row>
    <row r="3784" spans="1:13" x14ac:dyDescent="0.25">
      <c r="A3784">
        <v>3783</v>
      </c>
      <c r="B3784" t="s">
        <v>7575</v>
      </c>
      <c r="C3784" s="1">
        <v>37.241352578499999</v>
      </c>
      <c r="D3784" s="1">
        <v>-7.01843492303</v>
      </c>
      <c r="E3784" s="3">
        <v>4</v>
      </c>
      <c r="F3784" s="2">
        <v>3</v>
      </c>
      <c r="G3784" s="4">
        <v>4</v>
      </c>
      <c r="H3784" s="13"/>
      <c r="I3784" s="15"/>
      <c r="J3784" s="19">
        <v>4</v>
      </c>
      <c r="K3784" s="2" t="s">
        <v>7576</v>
      </c>
      <c r="L3784" s="11" t="str">
        <f t="shared" si="62"/>
        <v>Ver Imagen</v>
      </c>
      <c r="M3784" t="s">
        <v>15</v>
      </c>
    </row>
    <row r="3785" spans="1:13" x14ac:dyDescent="0.25">
      <c r="A3785">
        <v>3784</v>
      </c>
      <c r="B3785" t="s">
        <v>7577</v>
      </c>
      <c r="C3785" s="1">
        <v>37.241757465799999</v>
      </c>
      <c r="D3785" s="1">
        <v>-7.0184203419699998</v>
      </c>
      <c r="E3785" s="3">
        <v>4</v>
      </c>
      <c r="F3785" s="2">
        <v>3</v>
      </c>
      <c r="G3785" s="4">
        <v>4</v>
      </c>
      <c r="H3785" s="13"/>
      <c r="I3785" s="15"/>
      <c r="J3785" s="19">
        <v>4</v>
      </c>
      <c r="K3785" s="2" t="s">
        <v>7578</v>
      </c>
      <c r="L3785" s="11" t="str">
        <f t="shared" si="62"/>
        <v>Ver Imagen</v>
      </c>
      <c r="M3785" t="s">
        <v>15</v>
      </c>
    </row>
    <row r="3786" spans="1:13" x14ac:dyDescent="0.25">
      <c r="A3786">
        <v>3785</v>
      </c>
      <c r="B3786" t="s">
        <v>7579</v>
      </c>
      <c r="C3786" s="1">
        <v>37.243158528599999</v>
      </c>
      <c r="D3786" s="1">
        <v>-7.0183634572700004</v>
      </c>
      <c r="E3786" s="3">
        <v>4</v>
      </c>
      <c r="F3786" s="2">
        <v>3</v>
      </c>
      <c r="G3786" s="4">
        <v>4</v>
      </c>
      <c r="H3786" s="13"/>
      <c r="I3786" s="15"/>
      <c r="J3786" s="19">
        <v>4</v>
      </c>
      <c r="K3786" s="2" t="s">
        <v>7580</v>
      </c>
      <c r="L3786" s="11" t="str">
        <f t="shared" si="62"/>
        <v>Ver Imagen</v>
      </c>
      <c r="M3786" t="s">
        <v>15</v>
      </c>
    </row>
    <row r="3787" spans="1:13" x14ac:dyDescent="0.25">
      <c r="A3787">
        <v>3786</v>
      </c>
      <c r="B3787" t="s">
        <v>7581</v>
      </c>
      <c r="C3787" s="1">
        <v>37.243353251099997</v>
      </c>
      <c r="D3787" s="1">
        <v>-7.0183549112100003</v>
      </c>
      <c r="E3787" s="3">
        <v>4</v>
      </c>
      <c r="F3787" s="2">
        <v>3</v>
      </c>
      <c r="G3787" s="4">
        <v>4</v>
      </c>
      <c r="H3787" s="13"/>
      <c r="I3787" s="15"/>
      <c r="J3787" s="19">
        <v>4</v>
      </c>
      <c r="K3787" s="2" t="s">
        <v>7582</v>
      </c>
      <c r="L3787" s="11" t="str">
        <f t="shared" si="62"/>
        <v>Ver Imagen</v>
      </c>
      <c r="M3787" t="s">
        <v>15</v>
      </c>
    </row>
    <row r="3788" spans="1:13" x14ac:dyDescent="0.25">
      <c r="A3788">
        <v>3787</v>
      </c>
      <c r="B3788" t="s">
        <v>7583</v>
      </c>
      <c r="C3788" s="1">
        <v>37.245421167400004</v>
      </c>
      <c r="D3788" s="1">
        <v>-7.0182808563699997</v>
      </c>
      <c r="E3788" s="3">
        <v>4</v>
      </c>
      <c r="F3788" s="2">
        <v>3</v>
      </c>
      <c r="G3788" s="4">
        <v>4</v>
      </c>
      <c r="H3788" s="13"/>
      <c r="I3788" s="15"/>
      <c r="J3788" s="19">
        <v>4</v>
      </c>
      <c r="K3788" s="2" t="s">
        <v>7584</v>
      </c>
      <c r="L3788" s="11" t="str">
        <f t="shared" si="62"/>
        <v>Ver Imagen</v>
      </c>
      <c r="M3788" t="s">
        <v>15</v>
      </c>
    </row>
    <row r="3789" spans="1:13" x14ac:dyDescent="0.25">
      <c r="A3789">
        <v>3788</v>
      </c>
      <c r="B3789" t="s">
        <v>7585</v>
      </c>
      <c r="C3789" s="1">
        <v>37.251642300999997</v>
      </c>
      <c r="D3789" s="1">
        <v>-7.01682977869</v>
      </c>
      <c r="E3789" s="3">
        <v>4</v>
      </c>
      <c r="F3789" s="2">
        <v>3</v>
      </c>
      <c r="G3789" s="4">
        <v>4</v>
      </c>
      <c r="H3789" s="13"/>
      <c r="I3789" s="15"/>
      <c r="J3789" s="19">
        <v>4</v>
      </c>
      <c r="K3789" s="2" t="s">
        <v>7586</v>
      </c>
      <c r="L3789" s="11" t="str">
        <f t="shared" si="62"/>
        <v>Ver Imagen</v>
      </c>
      <c r="M3789" t="s">
        <v>15</v>
      </c>
    </row>
    <row r="3790" spans="1:13" x14ac:dyDescent="0.25">
      <c r="A3790">
        <v>3789</v>
      </c>
      <c r="B3790" t="s">
        <v>7587</v>
      </c>
      <c r="C3790" s="1">
        <v>37.255246076500001</v>
      </c>
      <c r="D3790" s="1">
        <v>-7.0145354844299996</v>
      </c>
      <c r="E3790" s="3">
        <v>4</v>
      </c>
      <c r="F3790" s="2">
        <v>3</v>
      </c>
      <c r="G3790" s="4">
        <v>4</v>
      </c>
      <c r="H3790" s="13"/>
      <c r="I3790" s="15"/>
      <c r="J3790" s="19">
        <v>4</v>
      </c>
      <c r="K3790" s="2" t="s">
        <v>7588</v>
      </c>
      <c r="L3790" s="11" t="str">
        <f t="shared" si="62"/>
        <v>Ver Imagen</v>
      </c>
      <c r="M3790" t="s">
        <v>15</v>
      </c>
    </row>
    <row r="3791" spans="1:13" x14ac:dyDescent="0.25">
      <c r="A3791">
        <v>3790</v>
      </c>
      <c r="B3791" t="s">
        <v>7589</v>
      </c>
      <c r="C3791" s="1">
        <v>37.255796350300002</v>
      </c>
      <c r="D3791" s="1">
        <v>-7.01419036311</v>
      </c>
      <c r="E3791" s="3">
        <v>4</v>
      </c>
      <c r="F3791" s="2">
        <v>3</v>
      </c>
      <c r="G3791" s="4">
        <v>4</v>
      </c>
      <c r="H3791" s="13"/>
      <c r="I3791" s="15"/>
      <c r="J3791" s="19">
        <v>4</v>
      </c>
      <c r="K3791" s="2" t="s">
        <v>7590</v>
      </c>
      <c r="L3791" s="11" t="str">
        <f t="shared" si="62"/>
        <v>Ver Imagen</v>
      </c>
      <c r="M3791" t="s">
        <v>15</v>
      </c>
    </row>
    <row r="3792" spans="1:13" x14ac:dyDescent="0.25">
      <c r="A3792">
        <v>3791</v>
      </c>
      <c r="B3792" t="s">
        <v>7591</v>
      </c>
      <c r="C3792" s="1">
        <v>37.257648231899999</v>
      </c>
      <c r="D3792" s="1">
        <v>-7.01300677479</v>
      </c>
      <c r="E3792" s="3">
        <v>4</v>
      </c>
      <c r="F3792" s="2">
        <v>3</v>
      </c>
      <c r="G3792" s="4">
        <v>4</v>
      </c>
      <c r="H3792" s="13"/>
      <c r="I3792" s="15"/>
      <c r="J3792" s="19">
        <v>4</v>
      </c>
      <c r="K3792" s="2" t="s">
        <v>7592</v>
      </c>
      <c r="L3792" s="11" t="str">
        <f t="shared" si="62"/>
        <v>Ver Imagen</v>
      </c>
      <c r="M3792" t="s">
        <v>15</v>
      </c>
    </row>
    <row r="3793" spans="1:13" x14ac:dyDescent="0.25">
      <c r="A3793">
        <v>3792</v>
      </c>
      <c r="B3793" t="s">
        <v>7593</v>
      </c>
      <c r="C3793" s="1">
        <v>37.2577900478</v>
      </c>
      <c r="D3793" s="1">
        <v>-7.0129164265900004</v>
      </c>
      <c r="E3793" s="3">
        <v>4</v>
      </c>
      <c r="F3793" s="2">
        <v>3</v>
      </c>
      <c r="G3793" s="4">
        <v>4</v>
      </c>
      <c r="H3793" s="13"/>
      <c r="I3793" s="15"/>
      <c r="J3793" s="19">
        <v>4</v>
      </c>
      <c r="K3793" s="2" t="s">
        <v>7594</v>
      </c>
      <c r="L3793" s="11" t="str">
        <f t="shared" si="62"/>
        <v>Ver Imagen</v>
      </c>
      <c r="M3793" t="s">
        <v>15</v>
      </c>
    </row>
    <row r="3794" spans="1:13" x14ac:dyDescent="0.25">
      <c r="A3794">
        <v>3793</v>
      </c>
      <c r="B3794" t="s">
        <v>7595</v>
      </c>
      <c r="C3794" s="1">
        <v>37.259995785500003</v>
      </c>
      <c r="D3794" s="1">
        <v>-7.0115090710899999</v>
      </c>
      <c r="E3794" s="3">
        <v>4</v>
      </c>
      <c r="F3794" s="2">
        <v>3</v>
      </c>
      <c r="G3794" s="4">
        <v>4</v>
      </c>
      <c r="H3794" s="13"/>
      <c r="I3794" s="15"/>
      <c r="J3794" s="19">
        <v>4</v>
      </c>
      <c r="K3794" s="2" t="s">
        <v>7596</v>
      </c>
      <c r="L3794" s="11" t="str">
        <f t="shared" si="62"/>
        <v>Ver Imagen</v>
      </c>
      <c r="M3794" t="s">
        <v>15</v>
      </c>
    </row>
    <row r="3795" spans="1:13" x14ac:dyDescent="0.25">
      <c r="A3795">
        <v>3794</v>
      </c>
      <c r="B3795" t="s">
        <v>7597</v>
      </c>
      <c r="C3795" s="1">
        <v>37.263019744799998</v>
      </c>
      <c r="D3795" s="1">
        <v>-7.00842203856</v>
      </c>
      <c r="E3795" s="3">
        <v>4</v>
      </c>
      <c r="F3795" s="2">
        <v>3</v>
      </c>
      <c r="G3795" s="4">
        <v>4</v>
      </c>
      <c r="H3795" s="13"/>
      <c r="I3795" s="15"/>
      <c r="J3795" s="19">
        <v>4</v>
      </c>
      <c r="K3795" s="2" t="s">
        <v>7598</v>
      </c>
      <c r="L3795" s="11" t="str">
        <f t="shared" si="62"/>
        <v>Ver Imagen</v>
      </c>
      <c r="M3795" t="s">
        <v>15</v>
      </c>
    </row>
    <row r="3796" spans="1:13" x14ac:dyDescent="0.25">
      <c r="A3796">
        <v>3795</v>
      </c>
      <c r="B3796" t="s">
        <v>7599</v>
      </c>
      <c r="C3796" s="1">
        <v>37.2712822839</v>
      </c>
      <c r="D3796" s="1">
        <v>-6.9839323385999998</v>
      </c>
      <c r="E3796" s="3">
        <v>5</v>
      </c>
      <c r="F3796" s="2">
        <v>4</v>
      </c>
      <c r="G3796" s="4">
        <v>4</v>
      </c>
      <c r="H3796" s="13"/>
      <c r="I3796" s="15"/>
      <c r="J3796" s="19">
        <v>4</v>
      </c>
      <c r="K3796" s="2" t="s">
        <v>7600</v>
      </c>
      <c r="L3796" s="11" t="str">
        <f t="shared" si="62"/>
        <v>Ver Imagen</v>
      </c>
      <c r="M3796" t="s">
        <v>15</v>
      </c>
    </row>
    <row r="3797" spans="1:13" x14ac:dyDescent="0.25">
      <c r="A3797">
        <v>3796</v>
      </c>
      <c r="B3797" t="s">
        <v>7601</v>
      </c>
      <c r="C3797" s="1">
        <v>37.2710731592</v>
      </c>
      <c r="D3797" s="1">
        <v>-6.9832102298600001</v>
      </c>
      <c r="E3797" s="3">
        <v>4</v>
      </c>
      <c r="F3797" s="2">
        <v>3</v>
      </c>
      <c r="G3797" s="4">
        <v>4</v>
      </c>
      <c r="H3797" s="13"/>
      <c r="I3797" s="15"/>
      <c r="J3797" s="19">
        <v>4</v>
      </c>
      <c r="K3797" s="2" t="s">
        <v>7602</v>
      </c>
      <c r="L3797" s="11" t="str">
        <f t="shared" si="62"/>
        <v>Ver Imagen</v>
      </c>
      <c r="M3797" t="s">
        <v>15</v>
      </c>
    </row>
    <row r="3798" spans="1:13" x14ac:dyDescent="0.25">
      <c r="A3798">
        <v>3797</v>
      </c>
      <c r="B3798" t="s">
        <v>7603</v>
      </c>
      <c r="C3798" s="1">
        <v>37.270867183100002</v>
      </c>
      <c r="D3798" s="1">
        <v>-6.9824911545699999</v>
      </c>
      <c r="E3798" s="3">
        <v>4</v>
      </c>
      <c r="F3798" s="2">
        <v>3</v>
      </c>
      <c r="G3798" s="4">
        <v>4</v>
      </c>
      <c r="H3798" s="13"/>
      <c r="I3798" s="15"/>
      <c r="J3798" s="19">
        <v>4</v>
      </c>
      <c r="K3798" s="2" t="s">
        <v>7604</v>
      </c>
      <c r="L3798" s="11" t="str">
        <f t="shared" si="62"/>
        <v>Ver Imagen</v>
      </c>
      <c r="M3798" t="s">
        <v>15</v>
      </c>
    </row>
    <row r="3799" spans="1:13" x14ac:dyDescent="0.25">
      <c r="A3799">
        <v>3798</v>
      </c>
      <c r="B3799" t="s">
        <v>7605</v>
      </c>
      <c r="C3799" s="1">
        <v>37.269897309999998</v>
      </c>
      <c r="D3799" s="1">
        <v>-6.9791054688900003</v>
      </c>
      <c r="E3799" s="3">
        <v>4</v>
      </c>
      <c r="F3799" s="2">
        <v>3</v>
      </c>
      <c r="G3799" s="4">
        <v>4</v>
      </c>
      <c r="H3799" s="13"/>
      <c r="I3799" s="15"/>
      <c r="J3799" s="19">
        <v>4</v>
      </c>
      <c r="K3799" s="2" t="s">
        <v>7606</v>
      </c>
      <c r="L3799" s="11" t="str">
        <f t="shared" si="62"/>
        <v>Ver Imagen</v>
      </c>
      <c r="M3799" t="s">
        <v>15</v>
      </c>
    </row>
    <row r="3800" spans="1:13" x14ac:dyDescent="0.25">
      <c r="A3800">
        <v>3799</v>
      </c>
      <c r="B3800" t="s">
        <v>7607</v>
      </c>
      <c r="C3800" s="1">
        <v>37.448608358900003</v>
      </c>
      <c r="D3800" s="1">
        <v>-7.1454678062600001</v>
      </c>
      <c r="E3800" s="3">
        <v>4</v>
      </c>
      <c r="F3800" s="2">
        <v>4</v>
      </c>
      <c r="G3800" s="4">
        <v>5</v>
      </c>
      <c r="H3800" s="13"/>
      <c r="I3800" s="15"/>
      <c r="J3800" s="19">
        <v>4</v>
      </c>
      <c r="K3800" s="2" t="s">
        <v>7608</v>
      </c>
      <c r="L3800" s="11" t="str">
        <f t="shared" si="62"/>
        <v>Ver Imagen</v>
      </c>
      <c r="M3800" t="s">
        <v>15</v>
      </c>
    </row>
    <row r="3801" spans="1:13" x14ac:dyDescent="0.25">
      <c r="A3801">
        <v>3800</v>
      </c>
      <c r="B3801" t="s">
        <v>7609</v>
      </c>
      <c r="C3801" s="1">
        <v>37.464493792200003</v>
      </c>
      <c r="D3801" s="1">
        <v>-7.1794191304300004</v>
      </c>
      <c r="E3801" s="3">
        <v>4</v>
      </c>
      <c r="F3801" s="2">
        <v>4</v>
      </c>
      <c r="G3801" s="4">
        <v>5</v>
      </c>
      <c r="H3801" s="13"/>
      <c r="I3801" s="15"/>
      <c r="J3801" s="19">
        <v>4</v>
      </c>
      <c r="K3801" s="2" t="s">
        <v>7610</v>
      </c>
      <c r="L3801" s="11" t="str">
        <f t="shared" si="62"/>
        <v>Ver Imagen</v>
      </c>
      <c r="M3801" t="s">
        <v>15</v>
      </c>
    </row>
    <row r="3802" spans="1:13" x14ac:dyDescent="0.25">
      <c r="A3802">
        <v>3801</v>
      </c>
      <c r="B3802" t="s">
        <v>7611</v>
      </c>
      <c r="C3802" s="1">
        <v>37.466729768500002</v>
      </c>
      <c r="D3802" s="1">
        <v>-7.18354670103</v>
      </c>
      <c r="E3802" s="3">
        <v>4</v>
      </c>
      <c r="F3802" s="2">
        <v>4</v>
      </c>
      <c r="G3802" s="4">
        <v>5</v>
      </c>
      <c r="H3802" s="13"/>
      <c r="I3802" s="15"/>
      <c r="J3802" s="19">
        <v>4</v>
      </c>
      <c r="K3802" s="2" t="s">
        <v>7612</v>
      </c>
      <c r="L3802" s="11" t="str">
        <f t="shared" si="62"/>
        <v>Ver Imagen</v>
      </c>
      <c r="M3802" t="s">
        <v>15</v>
      </c>
    </row>
    <row r="3803" spans="1:13" x14ac:dyDescent="0.25">
      <c r="A3803">
        <v>3802</v>
      </c>
      <c r="B3803" t="s">
        <v>7613</v>
      </c>
      <c r="C3803" s="1">
        <v>37.490103055699997</v>
      </c>
      <c r="D3803" s="1">
        <v>-7.2592219176999997</v>
      </c>
      <c r="E3803" s="3">
        <v>4</v>
      </c>
      <c r="F3803" s="2">
        <v>4</v>
      </c>
      <c r="G3803" s="4">
        <v>5</v>
      </c>
      <c r="H3803" s="13"/>
      <c r="I3803" s="15"/>
      <c r="J3803" s="19">
        <v>4</v>
      </c>
      <c r="K3803" s="2" t="s">
        <v>7614</v>
      </c>
      <c r="L3803" s="11" t="str">
        <f t="shared" si="62"/>
        <v>Ver Imagen</v>
      </c>
      <c r="M3803" t="s">
        <v>15</v>
      </c>
    </row>
    <row r="3804" spans="1:13" x14ac:dyDescent="0.25">
      <c r="A3804">
        <v>3803</v>
      </c>
      <c r="B3804" t="s">
        <v>7615</v>
      </c>
      <c r="C3804" s="1">
        <v>37.273564581199999</v>
      </c>
      <c r="D3804" s="1">
        <v>-6.99126632705</v>
      </c>
      <c r="E3804" s="3">
        <v>4</v>
      </c>
      <c r="F3804" s="2">
        <v>4</v>
      </c>
      <c r="G3804" s="4">
        <v>5</v>
      </c>
      <c r="H3804" s="13"/>
      <c r="I3804" s="15"/>
      <c r="J3804" s="19">
        <v>4</v>
      </c>
      <c r="K3804" s="2" t="s">
        <v>7616</v>
      </c>
      <c r="L3804" s="11" t="str">
        <f t="shared" si="62"/>
        <v>Ver Imagen</v>
      </c>
      <c r="M3804" t="s">
        <v>15</v>
      </c>
    </row>
    <row r="3805" spans="1:13" x14ac:dyDescent="0.25">
      <c r="A3805">
        <v>3804</v>
      </c>
      <c r="B3805" t="s">
        <v>7617</v>
      </c>
      <c r="C3805" s="1">
        <v>37.276055164600002</v>
      </c>
      <c r="D3805" s="1">
        <v>-6.9908467110599997</v>
      </c>
      <c r="E3805" s="3">
        <v>4</v>
      </c>
      <c r="F3805" s="2">
        <v>4</v>
      </c>
      <c r="G3805" s="4">
        <v>5</v>
      </c>
      <c r="H3805" s="13"/>
      <c r="I3805" s="15"/>
      <c r="J3805" s="19">
        <v>4</v>
      </c>
      <c r="K3805" s="2" t="s">
        <v>7618</v>
      </c>
      <c r="L3805" s="11" t="str">
        <f t="shared" si="62"/>
        <v>Ver Imagen</v>
      </c>
      <c r="M3805" t="s">
        <v>15</v>
      </c>
    </row>
    <row r="3806" spans="1:13" x14ac:dyDescent="0.25">
      <c r="A3806">
        <v>3805</v>
      </c>
      <c r="B3806" t="s">
        <v>7619</v>
      </c>
      <c r="C3806" s="1">
        <v>37.280086998400002</v>
      </c>
      <c r="D3806" s="1">
        <v>-6.9994781365399996</v>
      </c>
      <c r="E3806" s="3">
        <v>5</v>
      </c>
      <c r="F3806" s="2">
        <v>4</v>
      </c>
      <c r="G3806" s="4">
        <v>4</v>
      </c>
      <c r="H3806" s="13"/>
      <c r="I3806" s="15"/>
      <c r="J3806" s="19">
        <v>4</v>
      </c>
      <c r="K3806" s="2" t="s">
        <v>7620</v>
      </c>
      <c r="L3806" s="11" t="str">
        <f t="shared" si="62"/>
        <v>Ver Imagen</v>
      </c>
      <c r="M3806" t="s">
        <v>15</v>
      </c>
    </row>
    <row r="3807" spans="1:13" x14ac:dyDescent="0.25">
      <c r="A3807">
        <v>3806</v>
      </c>
      <c r="B3807" t="s">
        <v>7621</v>
      </c>
      <c r="C3807" s="1">
        <v>37.2802182378</v>
      </c>
      <c r="D3807" s="1">
        <v>-6.9999257012799996</v>
      </c>
      <c r="E3807" s="3">
        <v>5</v>
      </c>
      <c r="F3807" s="2">
        <v>4</v>
      </c>
      <c r="G3807" s="4">
        <v>4</v>
      </c>
      <c r="H3807" s="13"/>
      <c r="I3807" s="15"/>
      <c r="J3807" s="19">
        <v>4</v>
      </c>
      <c r="K3807" s="2" t="s">
        <v>7622</v>
      </c>
      <c r="L3807" s="11" t="str">
        <f t="shared" si="62"/>
        <v>Ver Imagen</v>
      </c>
      <c r="M3807" t="s">
        <v>15</v>
      </c>
    </row>
    <row r="3808" spans="1:13" x14ac:dyDescent="0.25">
      <c r="A3808">
        <v>3807</v>
      </c>
      <c r="B3808" t="s">
        <v>7623</v>
      </c>
      <c r="C3808" s="1">
        <v>37.4539103177</v>
      </c>
      <c r="D3808" s="1">
        <v>-7.1125578029499996</v>
      </c>
      <c r="E3808" s="3">
        <v>5</v>
      </c>
      <c r="F3808" s="2">
        <v>4</v>
      </c>
      <c r="G3808" s="4">
        <v>4</v>
      </c>
      <c r="H3808" s="13"/>
      <c r="I3808" s="15"/>
      <c r="J3808" s="19">
        <v>4</v>
      </c>
      <c r="K3808" s="2" t="s">
        <v>7624</v>
      </c>
      <c r="L3808" s="11" t="str">
        <f t="shared" si="62"/>
        <v>Ver Imagen</v>
      </c>
      <c r="M3808" t="s">
        <v>15</v>
      </c>
    </row>
    <row r="3809" spans="1:13" x14ac:dyDescent="0.25">
      <c r="A3809">
        <v>3808</v>
      </c>
      <c r="B3809" t="s">
        <v>7625</v>
      </c>
      <c r="C3809" s="1">
        <v>37.453527905000001</v>
      </c>
      <c r="D3809" s="1">
        <v>-7.1123490303999999</v>
      </c>
      <c r="E3809" s="3">
        <v>4</v>
      </c>
      <c r="F3809" s="2">
        <v>4</v>
      </c>
      <c r="G3809" s="4">
        <v>5</v>
      </c>
      <c r="H3809" s="13"/>
      <c r="I3809" s="15"/>
      <c r="J3809" s="19">
        <v>4</v>
      </c>
      <c r="K3809" s="2" t="s">
        <v>7626</v>
      </c>
      <c r="L3809" s="11" t="str">
        <f t="shared" ref="L3809:L3872" si="63">HYPERLINK("4\1\" &amp; K3809, "Ver Imagen")</f>
        <v>Ver Imagen</v>
      </c>
      <c r="M3809" t="s">
        <v>15</v>
      </c>
    </row>
    <row r="3810" spans="1:13" x14ac:dyDescent="0.25">
      <c r="A3810">
        <v>3809</v>
      </c>
      <c r="B3810" t="s">
        <v>7627</v>
      </c>
      <c r="C3810" s="1">
        <v>37.450018553900001</v>
      </c>
      <c r="D3810" s="1">
        <v>-7.11038754454</v>
      </c>
      <c r="E3810" s="3">
        <v>4</v>
      </c>
      <c r="F3810" s="2">
        <v>4</v>
      </c>
      <c r="G3810" s="4">
        <v>5</v>
      </c>
      <c r="H3810" s="13"/>
      <c r="I3810" s="15"/>
      <c r="J3810" s="19">
        <v>4</v>
      </c>
      <c r="K3810" s="2" t="s">
        <v>7628</v>
      </c>
      <c r="L3810" s="11" t="str">
        <f t="shared" si="63"/>
        <v>Ver Imagen</v>
      </c>
      <c r="M3810" t="s">
        <v>15</v>
      </c>
    </row>
    <row r="3811" spans="1:13" x14ac:dyDescent="0.25">
      <c r="A3811">
        <v>3810</v>
      </c>
      <c r="B3811" t="s">
        <v>7629</v>
      </c>
      <c r="C3811" s="1">
        <v>37.449829983500003</v>
      </c>
      <c r="D3811" s="1">
        <v>-7.1103189797599997</v>
      </c>
      <c r="E3811" s="3">
        <v>4</v>
      </c>
      <c r="F3811" s="2">
        <v>4</v>
      </c>
      <c r="G3811" s="4">
        <v>5</v>
      </c>
      <c r="H3811" s="13"/>
      <c r="I3811" s="15"/>
      <c r="J3811" s="19">
        <v>4</v>
      </c>
      <c r="K3811" s="2" t="s">
        <v>7630</v>
      </c>
      <c r="L3811" s="11" t="str">
        <f t="shared" si="63"/>
        <v>Ver Imagen</v>
      </c>
      <c r="M3811" t="s">
        <v>15</v>
      </c>
    </row>
    <row r="3812" spans="1:13" x14ac:dyDescent="0.25">
      <c r="A3812">
        <v>3811</v>
      </c>
      <c r="B3812" t="s">
        <v>7631</v>
      </c>
      <c r="C3812" s="1">
        <v>37.449635384499999</v>
      </c>
      <c r="D3812" s="1">
        <v>-7.1102255797199998</v>
      </c>
      <c r="E3812" s="3">
        <v>4</v>
      </c>
      <c r="F3812" s="2">
        <v>4</v>
      </c>
      <c r="G3812" s="4">
        <v>5</v>
      </c>
      <c r="H3812" s="13"/>
      <c r="I3812" s="15"/>
      <c r="J3812" s="19">
        <v>4</v>
      </c>
      <c r="K3812" s="2" t="s">
        <v>7632</v>
      </c>
      <c r="L3812" s="11" t="str">
        <f t="shared" si="63"/>
        <v>Ver Imagen</v>
      </c>
      <c r="M3812" t="s">
        <v>15</v>
      </c>
    </row>
    <row r="3813" spans="1:13" x14ac:dyDescent="0.25">
      <c r="A3813">
        <v>3812</v>
      </c>
      <c r="B3813" t="s">
        <v>7633</v>
      </c>
      <c r="C3813" s="1">
        <v>37.268789635300003</v>
      </c>
      <c r="D3813" s="1">
        <v>-6.9750118796600002</v>
      </c>
      <c r="E3813" s="3">
        <v>4</v>
      </c>
      <c r="F3813" s="2">
        <v>4</v>
      </c>
      <c r="G3813" s="4">
        <v>5</v>
      </c>
      <c r="H3813" s="13"/>
      <c r="I3813" s="15"/>
      <c r="J3813" s="19">
        <v>4</v>
      </c>
      <c r="K3813" s="2" t="s">
        <v>7634</v>
      </c>
      <c r="L3813" s="11" t="str">
        <f t="shared" si="63"/>
        <v>Ver Imagen</v>
      </c>
      <c r="M3813" t="s">
        <v>15</v>
      </c>
    </row>
    <row r="3814" spans="1:13" x14ac:dyDescent="0.25">
      <c r="A3814">
        <v>3813</v>
      </c>
      <c r="B3814" t="s">
        <v>7635</v>
      </c>
      <c r="C3814" s="1">
        <v>37.268378359099998</v>
      </c>
      <c r="D3814" s="1">
        <v>-6.9730776348000001</v>
      </c>
      <c r="E3814" s="3">
        <v>4</v>
      </c>
      <c r="F3814" s="2">
        <v>4</v>
      </c>
      <c r="G3814" s="4">
        <v>5</v>
      </c>
      <c r="H3814" s="13"/>
      <c r="I3814" s="15"/>
      <c r="J3814" s="19">
        <v>4</v>
      </c>
      <c r="K3814" s="2" t="s">
        <v>7636</v>
      </c>
      <c r="L3814" s="11" t="str">
        <f t="shared" si="63"/>
        <v>Ver Imagen</v>
      </c>
      <c r="M3814" t="s">
        <v>15</v>
      </c>
    </row>
    <row r="3815" spans="1:13" x14ac:dyDescent="0.25">
      <c r="A3815">
        <v>3814</v>
      </c>
      <c r="B3815" t="s">
        <v>7637</v>
      </c>
      <c r="C3815" s="1">
        <v>37.495462736699999</v>
      </c>
      <c r="D3815" s="1">
        <v>-7.2692276577500001</v>
      </c>
      <c r="E3815" s="3">
        <v>4</v>
      </c>
      <c r="F3815" s="2">
        <v>4</v>
      </c>
      <c r="G3815" s="4">
        <v>5</v>
      </c>
      <c r="H3815" s="13"/>
      <c r="I3815" s="15"/>
      <c r="J3815" s="19">
        <v>4</v>
      </c>
      <c r="K3815" s="2" t="s">
        <v>7638</v>
      </c>
      <c r="L3815" s="11" t="str">
        <f t="shared" si="63"/>
        <v>Ver Imagen</v>
      </c>
      <c r="M3815" t="s">
        <v>15</v>
      </c>
    </row>
    <row r="3816" spans="1:13" x14ac:dyDescent="0.25">
      <c r="A3816">
        <v>3815</v>
      </c>
      <c r="B3816" t="s">
        <v>7639</v>
      </c>
      <c r="C3816" s="1">
        <v>37.4471411265</v>
      </c>
      <c r="D3816" s="1">
        <v>-7.1280079789300004</v>
      </c>
      <c r="E3816" s="3">
        <v>4</v>
      </c>
      <c r="F3816" s="2">
        <v>4</v>
      </c>
      <c r="G3816" s="4">
        <v>3</v>
      </c>
      <c r="H3816" s="13"/>
      <c r="I3816" s="15"/>
      <c r="J3816" s="19">
        <v>4</v>
      </c>
      <c r="K3816" s="2" t="s">
        <v>7640</v>
      </c>
      <c r="L3816" s="11" t="str">
        <f t="shared" si="63"/>
        <v>Ver Imagen</v>
      </c>
      <c r="M3816" t="s">
        <v>15</v>
      </c>
    </row>
    <row r="3817" spans="1:13" x14ac:dyDescent="0.25">
      <c r="A3817">
        <v>3816</v>
      </c>
      <c r="B3817" t="s">
        <v>7641</v>
      </c>
      <c r="C3817" s="1">
        <v>37.4669439113</v>
      </c>
      <c r="D3817" s="1">
        <v>-7.1839806036600002</v>
      </c>
      <c r="E3817" s="3">
        <v>3</v>
      </c>
      <c r="F3817" s="2">
        <v>4</v>
      </c>
      <c r="G3817" s="4">
        <v>4</v>
      </c>
      <c r="H3817" s="13"/>
      <c r="I3817" s="15"/>
      <c r="J3817" s="19">
        <v>4</v>
      </c>
      <c r="K3817" s="2" t="s">
        <v>7642</v>
      </c>
      <c r="L3817" s="11" t="str">
        <f t="shared" si="63"/>
        <v>Ver Imagen</v>
      </c>
      <c r="M3817" t="s">
        <v>15</v>
      </c>
    </row>
    <row r="3818" spans="1:13" x14ac:dyDescent="0.25">
      <c r="A3818">
        <v>3817</v>
      </c>
      <c r="B3818" t="s">
        <v>7643</v>
      </c>
      <c r="C3818" s="1">
        <v>37.273410440500001</v>
      </c>
      <c r="D3818" s="1">
        <v>-6.9913537851700003</v>
      </c>
      <c r="E3818" s="3">
        <v>3</v>
      </c>
      <c r="F3818" s="2">
        <v>4</v>
      </c>
      <c r="G3818" s="4">
        <v>4</v>
      </c>
      <c r="H3818" s="13"/>
      <c r="I3818" s="15"/>
      <c r="J3818" s="19">
        <v>4</v>
      </c>
      <c r="K3818" s="2" t="s">
        <v>7644</v>
      </c>
      <c r="L3818" s="11" t="str">
        <f t="shared" si="63"/>
        <v>Ver Imagen</v>
      </c>
      <c r="M3818" t="s">
        <v>15</v>
      </c>
    </row>
    <row r="3819" spans="1:13" x14ac:dyDescent="0.25">
      <c r="A3819">
        <v>3818</v>
      </c>
      <c r="B3819" t="s">
        <v>7645</v>
      </c>
      <c r="C3819" s="1">
        <v>37.274963627399998</v>
      </c>
      <c r="D3819" s="1">
        <v>-6.9911985076100001</v>
      </c>
      <c r="E3819" s="3">
        <v>3</v>
      </c>
      <c r="F3819" s="2">
        <v>4</v>
      </c>
      <c r="G3819" s="4">
        <v>4</v>
      </c>
      <c r="H3819" s="13"/>
      <c r="I3819" s="15"/>
      <c r="J3819" s="19">
        <v>4</v>
      </c>
      <c r="K3819" s="2" t="s">
        <v>7646</v>
      </c>
      <c r="L3819" s="11" t="str">
        <f t="shared" si="63"/>
        <v>Ver Imagen</v>
      </c>
      <c r="M3819" t="s">
        <v>15</v>
      </c>
    </row>
    <row r="3820" spans="1:13" x14ac:dyDescent="0.25">
      <c r="A3820">
        <v>3819</v>
      </c>
      <c r="B3820" t="s">
        <v>7647</v>
      </c>
      <c r="C3820" s="1">
        <v>37.275593556300002</v>
      </c>
      <c r="D3820" s="1">
        <v>-6.9911276510600002</v>
      </c>
      <c r="E3820" s="3">
        <v>3</v>
      </c>
      <c r="F3820" s="2">
        <v>4</v>
      </c>
      <c r="G3820" s="4">
        <v>4</v>
      </c>
      <c r="H3820" s="13"/>
      <c r="I3820" s="15"/>
      <c r="J3820" s="19">
        <v>4</v>
      </c>
      <c r="K3820" s="2" t="s">
        <v>7648</v>
      </c>
      <c r="L3820" s="11" t="str">
        <f t="shared" si="63"/>
        <v>Ver Imagen</v>
      </c>
      <c r="M3820" t="s">
        <v>15</v>
      </c>
    </row>
    <row r="3821" spans="1:13" x14ac:dyDescent="0.25">
      <c r="A3821">
        <v>3820</v>
      </c>
      <c r="B3821" t="s">
        <v>7649</v>
      </c>
      <c r="C3821" s="1">
        <v>37.276536661400002</v>
      </c>
      <c r="D3821" s="1">
        <v>-6.9913859504699998</v>
      </c>
      <c r="E3821" s="3">
        <v>3</v>
      </c>
      <c r="F3821" s="2">
        <v>4</v>
      </c>
      <c r="G3821" s="4">
        <v>4</v>
      </c>
      <c r="H3821" s="13"/>
      <c r="I3821" s="15"/>
      <c r="J3821" s="19">
        <v>4</v>
      </c>
      <c r="K3821" s="2" t="s">
        <v>7650</v>
      </c>
      <c r="L3821" s="11" t="str">
        <f t="shared" si="63"/>
        <v>Ver Imagen</v>
      </c>
      <c r="M3821" t="s">
        <v>15</v>
      </c>
    </row>
    <row r="3822" spans="1:13" x14ac:dyDescent="0.25">
      <c r="A3822">
        <v>3821</v>
      </c>
      <c r="B3822" t="s">
        <v>7651</v>
      </c>
      <c r="C3822" s="1">
        <v>37.2769009565</v>
      </c>
      <c r="D3822" s="1">
        <v>-6.9916723308200002</v>
      </c>
      <c r="E3822" s="3">
        <v>3</v>
      </c>
      <c r="F3822" s="2">
        <v>4</v>
      </c>
      <c r="G3822" s="4">
        <v>4</v>
      </c>
      <c r="H3822" s="13"/>
      <c r="I3822" s="15"/>
      <c r="J3822" s="19">
        <v>4</v>
      </c>
      <c r="K3822" s="2" t="s">
        <v>7652</v>
      </c>
      <c r="L3822" s="11" t="str">
        <f t="shared" si="63"/>
        <v>Ver Imagen</v>
      </c>
      <c r="M3822" t="s">
        <v>15</v>
      </c>
    </row>
    <row r="3823" spans="1:13" x14ac:dyDescent="0.25">
      <c r="A3823">
        <v>3822</v>
      </c>
      <c r="B3823" t="s">
        <v>7653</v>
      </c>
      <c r="C3823" s="1">
        <v>37.277730987600002</v>
      </c>
      <c r="D3823" s="1">
        <v>-6.9924025800600003</v>
      </c>
      <c r="E3823" s="3">
        <v>4</v>
      </c>
      <c r="F3823" s="2">
        <v>4</v>
      </c>
      <c r="G3823" s="4">
        <v>3</v>
      </c>
      <c r="H3823" s="13"/>
      <c r="I3823" s="15"/>
      <c r="J3823" s="19">
        <v>4</v>
      </c>
      <c r="K3823" s="2" t="s">
        <v>7654</v>
      </c>
      <c r="L3823" s="11" t="str">
        <f t="shared" si="63"/>
        <v>Ver Imagen</v>
      </c>
      <c r="M3823" t="s">
        <v>15</v>
      </c>
    </row>
    <row r="3824" spans="1:13" x14ac:dyDescent="0.25">
      <c r="A3824">
        <v>3823</v>
      </c>
      <c r="B3824" t="s">
        <v>7655</v>
      </c>
      <c r="C3824" s="1">
        <v>37.2803935102</v>
      </c>
      <c r="D3824" s="1">
        <v>-7.0049959122800001</v>
      </c>
      <c r="E3824" s="3">
        <v>3</v>
      </c>
      <c r="F3824" s="2">
        <v>4</v>
      </c>
      <c r="G3824" s="4">
        <v>4</v>
      </c>
      <c r="H3824" s="13"/>
      <c r="I3824" s="15"/>
      <c r="J3824" s="19">
        <v>4</v>
      </c>
      <c r="K3824" s="2" t="s">
        <v>7656</v>
      </c>
      <c r="L3824" s="11" t="str">
        <f t="shared" si="63"/>
        <v>Ver Imagen</v>
      </c>
      <c r="M3824" t="s">
        <v>15</v>
      </c>
    </row>
    <row r="3825" spans="1:13" x14ac:dyDescent="0.25">
      <c r="A3825">
        <v>3824</v>
      </c>
      <c r="B3825" t="s">
        <v>7657</v>
      </c>
      <c r="C3825" s="1">
        <v>37.316092050500004</v>
      </c>
      <c r="D3825" s="1">
        <v>-7.0691746891799996</v>
      </c>
      <c r="E3825" s="3">
        <v>3</v>
      </c>
      <c r="F3825" s="2">
        <v>4</v>
      </c>
      <c r="G3825" s="4">
        <v>4</v>
      </c>
      <c r="H3825" s="13"/>
      <c r="I3825" s="15"/>
      <c r="J3825" s="19">
        <v>4</v>
      </c>
      <c r="K3825" s="2" t="s">
        <v>7658</v>
      </c>
      <c r="L3825" s="11" t="str">
        <f t="shared" si="63"/>
        <v>Ver Imagen</v>
      </c>
      <c r="M3825" t="s">
        <v>15</v>
      </c>
    </row>
    <row r="3826" spans="1:13" x14ac:dyDescent="0.25">
      <c r="A3826">
        <v>3825</v>
      </c>
      <c r="B3826" t="s">
        <v>7659</v>
      </c>
      <c r="C3826" s="1">
        <v>37.457163583000003</v>
      </c>
      <c r="D3826" s="1">
        <v>-7.11396894629</v>
      </c>
      <c r="E3826" s="3">
        <v>3</v>
      </c>
      <c r="F3826" s="2">
        <v>4</v>
      </c>
      <c r="G3826" s="4">
        <v>4</v>
      </c>
      <c r="H3826" s="13"/>
      <c r="I3826" s="15"/>
      <c r="J3826" s="19">
        <v>4</v>
      </c>
      <c r="K3826" s="2" t="s">
        <v>7660</v>
      </c>
      <c r="L3826" s="11" t="str">
        <f t="shared" si="63"/>
        <v>Ver Imagen</v>
      </c>
      <c r="M3826" t="s">
        <v>15</v>
      </c>
    </row>
    <row r="3827" spans="1:13" x14ac:dyDescent="0.25">
      <c r="A3827">
        <v>3826</v>
      </c>
      <c r="B3827" t="s">
        <v>7661</v>
      </c>
      <c r="C3827" s="1">
        <v>37.456941445299996</v>
      </c>
      <c r="D3827" s="1">
        <v>-7.1138876700300004</v>
      </c>
      <c r="E3827" s="3">
        <v>3</v>
      </c>
      <c r="F3827" s="2">
        <v>4</v>
      </c>
      <c r="G3827" s="4">
        <v>4</v>
      </c>
      <c r="H3827" s="13"/>
      <c r="I3827" s="15"/>
      <c r="J3827" s="19">
        <v>4</v>
      </c>
      <c r="K3827" s="2" t="s">
        <v>7662</v>
      </c>
      <c r="L3827" s="11" t="str">
        <f t="shared" si="63"/>
        <v>Ver Imagen</v>
      </c>
      <c r="M3827" t="s">
        <v>15</v>
      </c>
    </row>
    <row r="3828" spans="1:13" x14ac:dyDescent="0.25">
      <c r="A3828">
        <v>3827</v>
      </c>
      <c r="B3828" t="s">
        <v>7663</v>
      </c>
      <c r="C3828" s="1">
        <v>37.456364687899999</v>
      </c>
      <c r="D3828" s="1">
        <v>-7.1136770981200002</v>
      </c>
      <c r="E3828" s="3">
        <v>4</v>
      </c>
      <c r="F3828" s="2">
        <v>4</v>
      </c>
      <c r="G3828" s="4">
        <v>3</v>
      </c>
      <c r="H3828" s="13"/>
      <c r="I3828" s="15"/>
      <c r="J3828" s="19">
        <v>4</v>
      </c>
      <c r="K3828" s="2" t="s">
        <v>7664</v>
      </c>
      <c r="L3828" s="11" t="str">
        <f t="shared" si="63"/>
        <v>Ver Imagen</v>
      </c>
      <c r="M3828" t="s">
        <v>15</v>
      </c>
    </row>
    <row r="3829" spans="1:13" x14ac:dyDescent="0.25">
      <c r="A3829">
        <v>3828</v>
      </c>
      <c r="B3829" t="s">
        <v>7665</v>
      </c>
      <c r="C3829" s="1">
        <v>37.4559509523</v>
      </c>
      <c r="D3829" s="1">
        <v>-7.1135260763700003</v>
      </c>
      <c r="E3829" s="3">
        <v>4</v>
      </c>
      <c r="F3829" s="2">
        <v>4</v>
      </c>
      <c r="G3829" s="4">
        <v>3</v>
      </c>
      <c r="H3829" s="13"/>
      <c r="I3829" s="15"/>
      <c r="J3829" s="19">
        <v>4</v>
      </c>
      <c r="K3829" s="2" t="s">
        <v>7666</v>
      </c>
      <c r="L3829" s="11" t="str">
        <f t="shared" si="63"/>
        <v>Ver Imagen</v>
      </c>
      <c r="M3829" t="s">
        <v>15</v>
      </c>
    </row>
    <row r="3830" spans="1:13" x14ac:dyDescent="0.25">
      <c r="A3830">
        <v>3829</v>
      </c>
      <c r="B3830" t="s">
        <v>7667</v>
      </c>
      <c r="C3830" s="1">
        <v>37.453316470200001</v>
      </c>
      <c r="D3830" s="1">
        <v>-7.1122360126200004</v>
      </c>
      <c r="E3830" s="3">
        <v>3</v>
      </c>
      <c r="F3830" s="2">
        <v>4</v>
      </c>
      <c r="G3830" s="4">
        <v>4</v>
      </c>
      <c r="H3830" s="13"/>
      <c r="I3830" s="15"/>
      <c r="J3830" s="19">
        <v>4</v>
      </c>
      <c r="K3830" s="2" t="s">
        <v>7668</v>
      </c>
      <c r="L3830" s="11" t="str">
        <f t="shared" si="63"/>
        <v>Ver Imagen</v>
      </c>
      <c r="M3830" t="s">
        <v>15</v>
      </c>
    </row>
    <row r="3831" spans="1:13" x14ac:dyDescent="0.25">
      <c r="A3831">
        <v>3830</v>
      </c>
      <c r="B3831" t="s">
        <v>7669</v>
      </c>
      <c r="C3831" s="1">
        <v>37.452961085600002</v>
      </c>
      <c r="D3831" s="1">
        <v>-7.11204652218</v>
      </c>
      <c r="E3831" s="3">
        <v>3</v>
      </c>
      <c r="F3831" s="2">
        <v>4</v>
      </c>
      <c r="G3831" s="4">
        <v>4</v>
      </c>
      <c r="H3831" s="13"/>
      <c r="I3831" s="15"/>
      <c r="J3831" s="19">
        <v>4</v>
      </c>
      <c r="K3831" s="2" t="s">
        <v>7670</v>
      </c>
      <c r="L3831" s="11" t="str">
        <f t="shared" si="63"/>
        <v>Ver Imagen</v>
      </c>
      <c r="M3831" t="s">
        <v>15</v>
      </c>
    </row>
    <row r="3832" spans="1:13" x14ac:dyDescent="0.25">
      <c r="A3832">
        <v>3831</v>
      </c>
      <c r="B3832" t="s">
        <v>7671</v>
      </c>
      <c r="C3832" s="1">
        <v>37.452212971500003</v>
      </c>
      <c r="D3832" s="1">
        <v>-7.11163461714</v>
      </c>
      <c r="E3832" s="3">
        <v>3</v>
      </c>
      <c r="F3832" s="2">
        <v>4</v>
      </c>
      <c r="G3832" s="4">
        <v>4</v>
      </c>
      <c r="H3832" s="13"/>
      <c r="I3832" s="15"/>
      <c r="J3832" s="19">
        <v>4</v>
      </c>
      <c r="K3832" s="2" t="s">
        <v>7672</v>
      </c>
      <c r="L3832" s="11" t="str">
        <f t="shared" si="63"/>
        <v>Ver Imagen</v>
      </c>
      <c r="M3832" t="s">
        <v>15</v>
      </c>
    </row>
    <row r="3833" spans="1:13" x14ac:dyDescent="0.25">
      <c r="A3833">
        <v>3832</v>
      </c>
      <c r="B3833" t="s">
        <v>7673</v>
      </c>
      <c r="C3833" s="1">
        <v>37.449081056300003</v>
      </c>
      <c r="D3833" s="1">
        <v>-7.1099196238299998</v>
      </c>
      <c r="E3833" s="3">
        <v>3</v>
      </c>
      <c r="F3833" s="2">
        <v>4</v>
      </c>
      <c r="G3833" s="4">
        <v>4</v>
      </c>
      <c r="H3833" s="13"/>
      <c r="I3833" s="15"/>
      <c r="J3833" s="19">
        <v>4</v>
      </c>
      <c r="K3833" s="2" t="s">
        <v>7674</v>
      </c>
      <c r="L3833" s="11" t="str">
        <f t="shared" si="63"/>
        <v>Ver Imagen</v>
      </c>
      <c r="M3833" t="s">
        <v>15</v>
      </c>
    </row>
    <row r="3834" spans="1:13" x14ac:dyDescent="0.25">
      <c r="A3834">
        <v>3833</v>
      </c>
      <c r="B3834" t="s">
        <v>7675</v>
      </c>
      <c r="C3834" s="1">
        <v>37.268163879500001</v>
      </c>
      <c r="D3834" s="1">
        <v>-6.9718693588000002</v>
      </c>
      <c r="E3834" s="3">
        <v>4</v>
      </c>
      <c r="F3834" s="2">
        <v>4</v>
      </c>
      <c r="G3834" s="4">
        <v>3</v>
      </c>
      <c r="H3834" s="13"/>
      <c r="I3834" s="15"/>
      <c r="J3834" s="19">
        <v>4</v>
      </c>
      <c r="K3834" s="2" t="s">
        <v>7676</v>
      </c>
      <c r="L3834" s="11" t="str">
        <f t="shared" si="63"/>
        <v>Ver Imagen</v>
      </c>
      <c r="M3834" t="s">
        <v>15</v>
      </c>
    </row>
    <row r="3835" spans="1:13" x14ac:dyDescent="0.25">
      <c r="A3835">
        <v>3834</v>
      </c>
      <c r="B3835" t="s">
        <v>7677</v>
      </c>
      <c r="C3835" s="1">
        <v>37.266655398300003</v>
      </c>
      <c r="D3835" s="1">
        <v>-6.9574632845500002</v>
      </c>
      <c r="E3835" s="3">
        <v>3</v>
      </c>
      <c r="F3835" s="2">
        <v>4</v>
      </c>
      <c r="G3835" s="4">
        <v>4</v>
      </c>
      <c r="H3835" s="13"/>
      <c r="I3835" s="15"/>
      <c r="J3835" s="19">
        <v>4</v>
      </c>
      <c r="K3835" s="2" t="s">
        <v>7678</v>
      </c>
      <c r="L3835" s="11" t="str">
        <f t="shared" si="63"/>
        <v>Ver Imagen</v>
      </c>
      <c r="M3835" t="s">
        <v>15</v>
      </c>
    </row>
    <row r="3836" spans="1:13" x14ac:dyDescent="0.25">
      <c r="A3836">
        <v>3835</v>
      </c>
      <c r="B3836" t="s">
        <v>7679</v>
      </c>
      <c r="C3836" s="1">
        <v>37.204580126300002</v>
      </c>
      <c r="D3836" s="1">
        <v>-7.02800256004</v>
      </c>
      <c r="E3836" s="3">
        <v>5</v>
      </c>
      <c r="F3836" s="2">
        <v>4</v>
      </c>
      <c r="G3836" s="4">
        <v>4</v>
      </c>
      <c r="H3836" s="13"/>
      <c r="I3836" s="15"/>
      <c r="J3836" s="19">
        <v>4</v>
      </c>
      <c r="K3836" s="2" t="s">
        <v>7680</v>
      </c>
      <c r="L3836" s="11" t="str">
        <f t="shared" si="63"/>
        <v>Ver Imagen</v>
      </c>
      <c r="M3836" t="s">
        <v>15</v>
      </c>
    </row>
    <row r="3837" spans="1:13" x14ac:dyDescent="0.25">
      <c r="A3837">
        <v>3836</v>
      </c>
      <c r="B3837" t="s">
        <v>7681</v>
      </c>
      <c r="C3837" s="1">
        <v>37.268546240299997</v>
      </c>
      <c r="D3837" s="1">
        <v>-7.1369599731199997</v>
      </c>
      <c r="E3837" s="3">
        <v>5</v>
      </c>
      <c r="F3837" s="2">
        <v>4</v>
      </c>
      <c r="G3837" s="4">
        <v>4</v>
      </c>
      <c r="H3837" s="13"/>
      <c r="I3837" s="15"/>
      <c r="J3837" s="19">
        <v>4</v>
      </c>
      <c r="K3837" s="2" t="s">
        <v>7682</v>
      </c>
      <c r="L3837" s="11" t="str">
        <f t="shared" si="63"/>
        <v>Ver Imagen</v>
      </c>
      <c r="M3837" t="s">
        <v>15</v>
      </c>
    </row>
    <row r="3838" spans="1:13" x14ac:dyDescent="0.25">
      <c r="A3838">
        <v>3837</v>
      </c>
      <c r="B3838" t="s">
        <v>7683</v>
      </c>
      <c r="C3838" s="1">
        <v>37.268326255600002</v>
      </c>
      <c r="D3838" s="1">
        <v>-7.1359682189000004</v>
      </c>
      <c r="E3838" s="3">
        <v>5</v>
      </c>
      <c r="F3838" s="2">
        <v>4</v>
      </c>
      <c r="G3838" s="4">
        <v>4</v>
      </c>
      <c r="H3838" s="13"/>
      <c r="I3838" s="15"/>
      <c r="J3838" s="19">
        <v>4</v>
      </c>
      <c r="K3838" s="2" t="s">
        <v>7684</v>
      </c>
      <c r="L3838" s="11" t="str">
        <f t="shared" si="63"/>
        <v>Ver Imagen</v>
      </c>
      <c r="M3838" t="s">
        <v>15</v>
      </c>
    </row>
    <row r="3839" spans="1:13" x14ac:dyDescent="0.25">
      <c r="A3839">
        <v>3838</v>
      </c>
      <c r="B3839" t="s">
        <v>7685</v>
      </c>
      <c r="C3839" s="1">
        <v>37.268053686599998</v>
      </c>
      <c r="D3839" s="1">
        <v>-7.1350291871399998</v>
      </c>
      <c r="E3839" s="3">
        <v>5</v>
      </c>
      <c r="F3839" s="2">
        <v>4</v>
      </c>
      <c r="G3839" s="4">
        <v>4</v>
      </c>
      <c r="H3839" s="13"/>
      <c r="I3839" s="15"/>
      <c r="J3839" s="19">
        <v>4</v>
      </c>
      <c r="K3839" s="2" t="s">
        <v>7686</v>
      </c>
      <c r="L3839" s="11" t="str">
        <f t="shared" si="63"/>
        <v>Ver Imagen</v>
      </c>
      <c r="M3839" t="s">
        <v>15</v>
      </c>
    </row>
    <row r="3840" spans="1:13" x14ac:dyDescent="0.25">
      <c r="A3840">
        <v>3839</v>
      </c>
      <c r="B3840" t="s">
        <v>7687</v>
      </c>
      <c r="C3840" s="1">
        <v>37.2646664241</v>
      </c>
      <c r="D3840" s="1">
        <v>-7.1320091254899998</v>
      </c>
      <c r="E3840" s="3">
        <v>5</v>
      </c>
      <c r="F3840" s="2">
        <v>4</v>
      </c>
      <c r="G3840" s="4">
        <v>4</v>
      </c>
      <c r="H3840" s="13"/>
      <c r="I3840" s="15"/>
      <c r="J3840" s="19">
        <v>4</v>
      </c>
      <c r="K3840" s="2" t="s">
        <v>7688</v>
      </c>
      <c r="L3840" s="11" t="str">
        <f t="shared" si="63"/>
        <v>Ver Imagen</v>
      </c>
      <c r="M3840" t="s">
        <v>15</v>
      </c>
    </row>
    <row r="3841" spans="1:13" x14ac:dyDescent="0.25">
      <c r="A3841">
        <v>3840</v>
      </c>
      <c r="B3841" t="s">
        <v>7689</v>
      </c>
      <c r="C3841" s="1">
        <v>37.221229505099998</v>
      </c>
      <c r="D3841" s="1">
        <v>-7.0539042925500004</v>
      </c>
      <c r="E3841" s="3">
        <v>4</v>
      </c>
      <c r="F3841" s="2">
        <v>4</v>
      </c>
      <c r="G3841" s="4">
        <v>3</v>
      </c>
      <c r="H3841" s="13"/>
      <c r="I3841" s="15"/>
      <c r="J3841" s="19">
        <v>4</v>
      </c>
      <c r="K3841" s="2" t="s">
        <v>7690</v>
      </c>
      <c r="L3841" s="11" t="str">
        <f t="shared" si="63"/>
        <v>Ver Imagen</v>
      </c>
      <c r="M3841" t="s">
        <v>15</v>
      </c>
    </row>
    <row r="3842" spans="1:13" x14ac:dyDescent="0.25">
      <c r="A3842">
        <v>3841</v>
      </c>
      <c r="B3842" t="s">
        <v>7691</v>
      </c>
      <c r="C3842" s="1">
        <v>37.435426608699998</v>
      </c>
      <c r="D3842" s="1">
        <v>-7.0732497807000003</v>
      </c>
      <c r="E3842" s="3">
        <v>4</v>
      </c>
      <c r="F3842" s="2">
        <v>4</v>
      </c>
      <c r="G3842" s="4">
        <v>5</v>
      </c>
      <c r="H3842" s="13"/>
      <c r="I3842" s="15"/>
      <c r="J3842" s="19">
        <v>4</v>
      </c>
      <c r="K3842" s="2" t="s">
        <v>7692</v>
      </c>
      <c r="L3842" s="11" t="str">
        <f t="shared" si="63"/>
        <v>Ver Imagen</v>
      </c>
      <c r="M3842" t="s">
        <v>15</v>
      </c>
    </row>
    <row r="3843" spans="1:13" x14ac:dyDescent="0.25">
      <c r="A3843">
        <v>3842</v>
      </c>
      <c r="B3843" t="s">
        <v>7693</v>
      </c>
      <c r="C3843" s="1">
        <v>37.435318246999998</v>
      </c>
      <c r="D3843" s="1">
        <v>-7.0719894499700002</v>
      </c>
      <c r="E3843" s="3">
        <v>4</v>
      </c>
      <c r="F3843" s="2">
        <v>4</v>
      </c>
      <c r="G3843" s="4">
        <v>3</v>
      </c>
      <c r="H3843" s="13"/>
      <c r="I3843" s="15"/>
      <c r="J3843" s="19">
        <v>4</v>
      </c>
      <c r="K3843" s="2" t="s">
        <v>7694</v>
      </c>
      <c r="L3843" s="11" t="str">
        <f t="shared" si="63"/>
        <v>Ver Imagen</v>
      </c>
      <c r="M3843" t="s">
        <v>15</v>
      </c>
    </row>
    <row r="3844" spans="1:13" x14ac:dyDescent="0.25">
      <c r="A3844">
        <v>3843</v>
      </c>
      <c r="B3844" t="s">
        <v>7695</v>
      </c>
      <c r="C3844" s="1">
        <v>37.435271035299998</v>
      </c>
      <c r="D3844" s="1">
        <v>-7.0714992302799997</v>
      </c>
      <c r="E3844" s="3">
        <v>5</v>
      </c>
      <c r="F3844" s="2">
        <v>4</v>
      </c>
      <c r="G3844" s="4">
        <v>4</v>
      </c>
      <c r="H3844" s="13"/>
      <c r="I3844" s="15"/>
      <c r="J3844" s="19">
        <v>4</v>
      </c>
      <c r="K3844" s="2" t="s">
        <v>7696</v>
      </c>
      <c r="L3844" s="11" t="str">
        <f t="shared" si="63"/>
        <v>Ver Imagen</v>
      </c>
      <c r="M3844" t="s">
        <v>15</v>
      </c>
    </row>
    <row r="3845" spans="1:13" x14ac:dyDescent="0.25">
      <c r="A3845">
        <v>3844</v>
      </c>
      <c r="B3845" t="s">
        <v>7697</v>
      </c>
      <c r="C3845" s="1">
        <v>37.243948678199999</v>
      </c>
      <c r="D3845" s="1">
        <v>-7.0898626526599999</v>
      </c>
      <c r="E3845" s="3">
        <v>3</v>
      </c>
      <c r="F3845" s="2">
        <v>4</v>
      </c>
      <c r="G3845" s="4">
        <v>4</v>
      </c>
      <c r="H3845" s="13"/>
      <c r="I3845" s="15"/>
      <c r="J3845" s="19">
        <v>4</v>
      </c>
      <c r="K3845" s="2" t="s">
        <v>7698</v>
      </c>
      <c r="L3845" s="11" t="str">
        <f t="shared" si="63"/>
        <v>Ver Imagen</v>
      </c>
      <c r="M3845" t="s">
        <v>15</v>
      </c>
    </row>
    <row r="3846" spans="1:13" x14ac:dyDescent="0.25">
      <c r="A3846">
        <v>3845</v>
      </c>
      <c r="B3846" t="s">
        <v>7699</v>
      </c>
      <c r="C3846" s="1">
        <v>37.245428770899998</v>
      </c>
      <c r="D3846" s="1">
        <v>-7.0939676072499998</v>
      </c>
      <c r="E3846" s="3">
        <v>5</v>
      </c>
      <c r="F3846" s="2">
        <v>4</v>
      </c>
      <c r="G3846" s="4">
        <v>4</v>
      </c>
      <c r="H3846" s="13"/>
      <c r="I3846" s="15"/>
      <c r="J3846" s="19">
        <v>4</v>
      </c>
      <c r="K3846" s="2" t="s">
        <v>7700</v>
      </c>
      <c r="L3846" s="11" t="str">
        <f t="shared" si="63"/>
        <v>Ver Imagen</v>
      </c>
      <c r="M3846" t="s">
        <v>15</v>
      </c>
    </row>
    <row r="3847" spans="1:13" x14ac:dyDescent="0.25">
      <c r="A3847">
        <v>3846</v>
      </c>
      <c r="B3847" t="s">
        <v>7701</v>
      </c>
      <c r="C3847" s="1">
        <v>37.2493200073</v>
      </c>
      <c r="D3847" s="1">
        <v>-7.1024388241400001</v>
      </c>
      <c r="E3847" s="3">
        <v>3</v>
      </c>
      <c r="F3847" s="2">
        <v>4</v>
      </c>
      <c r="G3847" s="4">
        <v>4</v>
      </c>
      <c r="H3847" s="13"/>
      <c r="I3847" s="15"/>
      <c r="J3847" s="19">
        <v>4</v>
      </c>
      <c r="K3847" s="2" t="s">
        <v>7702</v>
      </c>
      <c r="L3847" s="11" t="str">
        <f t="shared" si="63"/>
        <v>Ver Imagen</v>
      </c>
      <c r="M3847" t="s">
        <v>15</v>
      </c>
    </row>
    <row r="3848" spans="1:13" x14ac:dyDescent="0.25">
      <c r="A3848">
        <v>3847</v>
      </c>
      <c r="B3848" t="s">
        <v>7703</v>
      </c>
      <c r="C3848" s="1">
        <v>37.254993649699998</v>
      </c>
      <c r="D3848" s="1">
        <v>-7.1131585774800001</v>
      </c>
      <c r="E3848" s="3">
        <v>3</v>
      </c>
      <c r="F3848" s="2">
        <v>4</v>
      </c>
      <c r="G3848" s="4">
        <v>4</v>
      </c>
      <c r="H3848" s="13"/>
      <c r="I3848" s="15"/>
      <c r="J3848" s="19">
        <v>4</v>
      </c>
      <c r="K3848" s="2" t="s">
        <v>7704</v>
      </c>
      <c r="L3848" s="11" t="str">
        <f t="shared" si="63"/>
        <v>Ver Imagen</v>
      </c>
      <c r="M3848" t="s">
        <v>15</v>
      </c>
    </row>
    <row r="3849" spans="1:13" x14ac:dyDescent="0.25">
      <c r="A3849">
        <v>3848</v>
      </c>
      <c r="B3849" t="s">
        <v>7705</v>
      </c>
      <c r="C3849" s="1">
        <v>37.258961337800002</v>
      </c>
      <c r="D3849" s="1">
        <v>-7.1243196695400002</v>
      </c>
      <c r="E3849" s="3">
        <v>4</v>
      </c>
      <c r="F3849" s="2">
        <v>4</v>
      </c>
      <c r="G3849" s="4">
        <v>5</v>
      </c>
      <c r="H3849" s="13"/>
      <c r="I3849" s="15"/>
      <c r="J3849" s="19">
        <v>4</v>
      </c>
      <c r="K3849" s="2" t="s">
        <v>7706</v>
      </c>
      <c r="L3849" s="11" t="str">
        <f t="shared" si="63"/>
        <v>Ver Imagen</v>
      </c>
      <c r="M3849" t="s">
        <v>15</v>
      </c>
    </row>
    <row r="3850" spans="1:13" x14ac:dyDescent="0.25">
      <c r="A3850">
        <v>3849</v>
      </c>
      <c r="B3850" t="s">
        <v>7707</v>
      </c>
      <c r="C3850" s="1">
        <v>37.440037752599999</v>
      </c>
      <c r="D3850" s="1">
        <v>-7.0877339554700001</v>
      </c>
      <c r="E3850" s="3">
        <v>4</v>
      </c>
      <c r="F3850" s="2">
        <v>4</v>
      </c>
      <c r="G3850" s="4">
        <v>3</v>
      </c>
      <c r="H3850" s="13"/>
      <c r="I3850" s="15"/>
      <c r="J3850" s="19">
        <v>4</v>
      </c>
      <c r="K3850" s="2" t="s">
        <v>7708</v>
      </c>
      <c r="L3850" s="11" t="str">
        <f t="shared" si="63"/>
        <v>Ver Imagen</v>
      </c>
      <c r="M3850" t="s">
        <v>15</v>
      </c>
    </row>
    <row r="3851" spans="1:13" x14ac:dyDescent="0.25">
      <c r="A3851">
        <v>3850</v>
      </c>
      <c r="B3851" t="s">
        <v>7709</v>
      </c>
      <c r="C3851" s="1">
        <v>37.4787379415</v>
      </c>
      <c r="D3851" s="1">
        <v>-7.1278849314799997</v>
      </c>
      <c r="E3851" s="3">
        <v>4</v>
      </c>
      <c r="F3851" s="2">
        <v>4</v>
      </c>
      <c r="G3851" s="4">
        <v>3</v>
      </c>
      <c r="H3851" s="13"/>
      <c r="I3851" s="15"/>
      <c r="J3851" s="19">
        <v>4</v>
      </c>
      <c r="K3851" s="2" t="s">
        <v>7710</v>
      </c>
      <c r="L3851" s="11" t="str">
        <f t="shared" si="63"/>
        <v>Ver Imagen</v>
      </c>
      <c r="M3851" t="s">
        <v>15</v>
      </c>
    </row>
    <row r="3852" spans="1:13" x14ac:dyDescent="0.25">
      <c r="A3852">
        <v>3851</v>
      </c>
      <c r="B3852" t="s">
        <v>7711</v>
      </c>
      <c r="C3852" s="1">
        <v>37.477106576600001</v>
      </c>
      <c r="D3852" s="1">
        <v>-7.1260708886900002</v>
      </c>
      <c r="E3852" s="3">
        <v>5</v>
      </c>
      <c r="F3852" s="2">
        <v>4</v>
      </c>
      <c r="G3852" s="4">
        <v>4</v>
      </c>
      <c r="H3852" s="13"/>
      <c r="I3852" s="15"/>
      <c r="J3852" s="19">
        <v>4</v>
      </c>
      <c r="K3852" s="2" t="s">
        <v>7712</v>
      </c>
      <c r="L3852" s="11" t="str">
        <f t="shared" si="63"/>
        <v>Ver Imagen</v>
      </c>
      <c r="M3852" t="s">
        <v>15</v>
      </c>
    </row>
    <row r="3853" spans="1:13" x14ac:dyDescent="0.25">
      <c r="A3853">
        <v>3852</v>
      </c>
      <c r="B3853" t="s">
        <v>7713</v>
      </c>
      <c r="C3853" s="1">
        <v>37.476948350299999</v>
      </c>
      <c r="D3853" s="1">
        <v>-7.1259372970700001</v>
      </c>
      <c r="E3853" s="3">
        <v>4</v>
      </c>
      <c r="F3853" s="2">
        <v>4</v>
      </c>
      <c r="G3853" s="4">
        <v>5</v>
      </c>
      <c r="H3853" s="13"/>
      <c r="I3853" s="15"/>
      <c r="J3853" s="19">
        <v>4</v>
      </c>
      <c r="K3853" s="2" t="s">
        <v>7714</v>
      </c>
      <c r="L3853" s="11" t="str">
        <f t="shared" si="63"/>
        <v>Ver Imagen</v>
      </c>
      <c r="M3853" t="s">
        <v>15</v>
      </c>
    </row>
    <row r="3854" spans="1:13" x14ac:dyDescent="0.25">
      <c r="A3854">
        <v>3853</v>
      </c>
      <c r="B3854" t="s">
        <v>7715</v>
      </c>
      <c r="C3854" s="1">
        <v>37.468487608899999</v>
      </c>
      <c r="D3854" s="1">
        <v>-7.1236034911799999</v>
      </c>
      <c r="E3854" s="3">
        <v>4</v>
      </c>
      <c r="F3854" s="2">
        <v>4</v>
      </c>
      <c r="G3854" s="4">
        <v>5</v>
      </c>
      <c r="H3854" s="13"/>
      <c r="I3854" s="15"/>
      <c r="J3854" s="19">
        <v>4</v>
      </c>
      <c r="K3854" s="2" t="s">
        <v>7716</v>
      </c>
      <c r="L3854" s="11" t="str">
        <f t="shared" si="63"/>
        <v>Ver Imagen</v>
      </c>
      <c r="M3854" t="s">
        <v>15</v>
      </c>
    </row>
    <row r="3855" spans="1:13" x14ac:dyDescent="0.25">
      <c r="A3855">
        <v>3854</v>
      </c>
      <c r="B3855" t="s">
        <v>7717</v>
      </c>
      <c r="C3855" s="1">
        <v>37.4953476361</v>
      </c>
      <c r="D3855" s="1">
        <v>-7.2711960815600003</v>
      </c>
      <c r="E3855" s="3">
        <v>5</v>
      </c>
      <c r="F3855" s="2">
        <v>4</v>
      </c>
      <c r="G3855" s="4">
        <v>4</v>
      </c>
      <c r="H3855" s="13"/>
      <c r="I3855" s="15"/>
      <c r="J3855" s="19">
        <v>4</v>
      </c>
      <c r="K3855" s="2" t="s">
        <v>7718</v>
      </c>
      <c r="L3855" s="11" t="str">
        <f t="shared" si="63"/>
        <v>Ver Imagen</v>
      </c>
      <c r="M3855" t="s">
        <v>15</v>
      </c>
    </row>
    <row r="3856" spans="1:13" x14ac:dyDescent="0.25">
      <c r="A3856">
        <v>3855</v>
      </c>
      <c r="B3856" t="s">
        <v>7719</v>
      </c>
      <c r="C3856" s="1">
        <v>37.193419833100002</v>
      </c>
      <c r="D3856" s="1">
        <v>-6.9776642567799998</v>
      </c>
      <c r="E3856" s="3">
        <v>3</v>
      </c>
      <c r="F3856" s="2">
        <v>4</v>
      </c>
      <c r="G3856" s="4">
        <v>4</v>
      </c>
      <c r="H3856" s="13"/>
      <c r="I3856" s="15"/>
      <c r="J3856" s="19">
        <v>4</v>
      </c>
      <c r="K3856" s="2" t="s">
        <v>7720</v>
      </c>
      <c r="L3856" s="11" t="str">
        <f t="shared" si="63"/>
        <v>Ver Imagen</v>
      </c>
      <c r="M3856" t="s">
        <v>15</v>
      </c>
    </row>
    <row r="3857" spans="1:13" x14ac:dyDescent="0.25">
      <c r="A3857">
        <v>3856</v>
      </c>
      <c r="B3857" t="s">
        <v>7721</v>
      </c>
      <c r="C3857" s="1">
        <v>37.186608464700001</v>
      </c>
      <c r="D3857" s="1">
        <v>-6.9796009374199999</v>
      </c>
      <c r="E3857" s="3">
        <v>4</v>
      </c>
      <c r="F3857" s="2">
        <v>4</v>
      </c>
      <c r="G3857" s="4">
        <v>5</v>
      </c>
      <c r="H3857" s="13"/>
      <c r="I3857" s="15"/>
      <c r="J3857" s="19">
        <v>4</v>
      </c>
      <c r="K3857" s="2" t="s">
        <v>7722</v>
      </c>
      <c r="L3857" s="11" t="str">
        <f t="shared" si="63"/>
        <v>Ver Imagen</v>
      </c>
      <c r="M3857" t="s">
        <v>15</v>
      </c>
    </row>
    <row r="3858" spans="1:13" x14ac:dyDescent="0.25">
      <c r="A3858">
        <v>3857</v>
      </c>
      <c r="B3858" t="s">
        <v>7723</v>
      </c>
      <c r="C3858" s="1">
        <v>37.267358033800001</v>
      </c>
      <c r="D3858" s="1">
        <v>-6.9582329332399997</v>
      </c>
      <c r="E3858" s="3">
        <v>4</v>
      </c>
      <c r="F3858" s="2">
        <v>4</v>
      </c>
      <c r="G3858" s="4">
        <v>3</v>
      </c>
      <c r="H3858" s="13"/>
      <c r="I3858" s="15"/>
      <c r="J3858" s="19">
        <v>4</v>
      </c>
      <c r="K3858" s="2" t="s">
        <v>7724</v>
      </c>
      <c r="L3858" s="11" t="str">
        <f t="shared" si="63"/>
        <v>Ver Imagen</v>
      </c>
      <c r="M3858" t="s">
        <v>15</v>
      </c>
    </row>
    <row r="3859" spans="1:13" x14ac:dyDescent="0.25">
      <c r="A3859">
        <v>3858</v>
      </c>
      <c r="B3859" t="s">
        <v>7725</v>
      </c>
      <c r="C3859" s="1">
        <v>37.269417466699998</v>
      </c>
      <c r="D3859" s="1">
        <v>-6.9769977701599997</v>
      </c>
      <c r="E3859" s="3">
        <v>4</v>
      </c>
      <c r="F3859" s="2">
        <v>4</v>
      </c>
      <c r="G3859" s="4">
        <v>3</v>
      </c>
      <c r="H3859" s="13"/>
      <c r="I3859" s="15"/>
      <c r="J3859" s="19">
        <v>4</v>
      </c>
      <c r="K3859" s="2" t="s">
        <v>7726</v>
      </c>
      <c r="L3859" s="11" t="str">
        <f t="shared" si="63"/>
        <v>Ver Imagen</v>
      </c>
      <c r="M3859" t="s">
        <v>15</v>
      </c>
    </row>
    <row r="3860" spans="1:13" x14ac:dyDescent="0.25">
      <c r="A3860">
        <v>3859</v>
      </c>
      <c r="B3860" t="s">
        <v>7727</v>
      </c>
      <c r="C3860" s="1">
        <v>37.270238487599997</v>
      </c>
      <c r="D3860" s="1">
        <v>-6.9798723380199998</v>
      </c>
      <c r="E3860" s="3">
        <v>5</v>
      </c>
      <c r="F3860" s="2">
        <v>4</v>
      </c>
      <c r="G3860" s="4">
        <v>4</v>
      </c>
      <c r="H3860" s="13"/>
      <c r="I3860" s="15"/>
      <c r="J3860" s="19">
        <v>4</v>
      </c>
      <c r="K3860" s="2" t="s">
        <v>7728</v>
      </c>
      <c r="L3860" s="11" t="str">
        <f t="shared" si="63"/>
        <v>Ver Imagen</v>
      </c>
      <c r="M3860" t="s">
        <v>15</v>
      </c>
    </row>
    <row r="3861" spans="1:13" x14ac:dyDescent="0.25">
      <c r="A3861">
        <v>3860</v>
      </c>
      <c r="B3861" t="s">
        <v>7729</v>
      </c>
      <c r="C3861" s="1">
        <v>37.270305886800003</v>
      </c>
      <c r="D3861" s="1">
        <v>-6.9801063715599998</v>
      </c>
      <c r="E3861" s="3">
        <v>3</v>
      </c>
      <c r="F3861" s="2">
        <v>4</v>
      </c>
      <c r="G3861" s="4">
        <v>4</v>
      </c>
      <c r="H3861" s="13"/>
      <c r="I3861" s="15"/>
      <c r="J3861" s="19">
        <v>4</v>
      </c>
      <c r="K3861" s="2" t="s">
        <v>7730</v>
      </c>
      <c r="L3861" s="11" t="str">
        <f t="shared" si="63"/>
        <v>Ver Imagen</v>
      </c>
      <c r="M3861" t="s">
        <v>15</v>
      </c>
    </row>
    <row r="3862" spans="1:13" x14ac:dyDescent="0.25">
      <c r="A3862">
        <v>3861</v>
      </c>
      <c r="B3862" t="s">
        <v>7731</v>
      </c>
      <c r="C3862" s="1">
        <v>37.271260056099997</v>
      </c>
      <c r="D3862" s="1">
        <v>-6.9834164901899998</v>
      </c>
      <c r="E3862" s="3">
        <v>4</v>
      </c>
      <c r="F3862" s="2">
        <v>4</v>
      </c>
      <c r="G3862" s="4">
        <v>3</v>
      </c>
      <c r="H3862" s="13"/>
      <c r="I3862" s="15"/>
      <c r="J3862" s="19">
        <v>4</v>
      </c>
      <c r="K3862" s="2" t="s">
        <v>7732</v>
      </c>
      <c r="L3862" s="11" t="str">
        <f t="shared" si="63"/>
        <v>Ver Imagen</v>
      </c>
      <c r="M3862" t="s">
        <v>15</v>
      </c>
    </row>
    <row r="3863" spans="1:13" x14ac:dyDescent="0.25">
      <c r="A3863">
        <v>3862</v>
      </c>
      <c r="B3863" t="s">
        <v>7733</v>
      </c>
      <c r="C3863" s="1">
        <v>37.266727068900003</v>
      </c>
      <c r="D3863" s="1">
        <v>-6.99225815459</v>
      </c>
      <c r="E3863" s="3">
        <v>4</v>
      </c>
      <c r="F3863" s="2">
        <v>4</v>
      </c>
      <c r="G3863" s="4">
        <v>3</v>
      </c>
      <c r="H3863" s="13"/>
      <c r="I3863" s="15"/>
      <c r="J3863" s="19">
        <v>4</v>
      </c>
      <c r="K3863" s="2" t="s">
        <v>7734</v>
      </c>
      <c r="L3863" s="11" t="str">
        <f t="shared" si="63"/>
        <v>Ver Imagen</v>
      </c>
      <c r="M3863" t="s">
        <v>15</v>
      </c>
    </row>
    <row r="3864" spans="1:13" x14ac:dyDescent="0.25">
      <c r="A3864">
        <v>3863</v>
      </c>
      <c r="B3864" t="s">
        <v>7735</v>
      </c>
      <c r="C3864" s="1">
        <v>37.265655191</v>
      </c>
      <c r="D3864" s="1">
        <v>-6.9952056164699998</v>
      </c>
      <c r="E3864" s="3">
        <v>5</v>
      </c>
      <c r="F3864" s="2">
        <v>4</v>
      </c>
      <c r="G3864" s="4">
        <v>4</v>
      </c>
      <c r="H3864" s="13"/>
      <c r="I3864" s="15"/>
      <c r="J3864" s="19">
        <v>4</v>
      </c>
      <c r="K3864" s="2" t="s">
        <v>7736</v>
      </c>
      <c r="L3864" s="11" t="str">
        <f t="shared" si="63"/>
        <v>Ver Imagen</v>
      </c>
      <c r="M3864" t="s">
        <v>15</v>
      </c>
    </row>
    <row r="3865" spans="1:13" x14ac:dyDescent="0.25">
      <c r="A3865">
        <v>3864</v>
      </c>
      <c r="B3865" t="s">
        <v>7737</v>
      </c>
      <c r="C3865" s="1">
        <v>37.265141611899999</v>
      </c>
      <c r="D3865" s="1">
        <v>-6.9979507014899998</v>
      </c>
      <c r="E3865" s="3">
        <v>4</v>
      </c>
      <c r="F3865" s="2">
        <v>4</v>
      </c>
      <c r="G3865" s="4">
        <v>3</v>
      </c>
      <c r="H3865" s="13"/>
      <c r="I3865" s="15"/>
      <c r="J3865" s="19">
        <v>4</v>
      </c>
      <c r="K3865" s="2" t="s">
        <v>7738</v>
      </c>
      <c r="L3865" s="11" t="str">
        <f t="shared" si="63"/>
        <v>Ver Imagen</v>
      </c>
      <c r="M3865" t="s">
        <v>15</v>
      </c>
    </row>
    <row r="3866" spans="1:13" x14ac:dyDescent="0.25">
      <c r="A3866">
        <v>3865</v>
      </c>
      <c r="B3866" t="s">
        <v>7739</v>
      </c>
      <c r="C3866" s="1">
        <v>37.194192452999999</v>
      </c>
      <c r="D3866" s="1">
        <v>-6.9776278315300004</v>
      </c>
      <c r="E3866" s="3">
        <v>3</v>
      </c>
      <c r="F3866" s="2">
        <v>4</v>
      </c>
      <c r="G3866" s="4">
        <v>4</v>
      </c>
      <c r="H3866" s="13"/>
      <c r="I3866" s="15"/>
      <c r="J3866" s="19">
        <v>4</v>
      </c>
      <c r="K3866" s="2" t="s">
        <v>7740</v>
      </c>
      <c r="L3866" s="11" t="str">
        <f t="shared" si="63"/>
        <v>Ver Imagen</v>
      </c>
      <c r="M3866" t="s">
        <v>15</v>
      </c>
    </row>
    <row r="3867" spans="1:13" x14ac:dyDescent="0.25">
      <c r="A3867">
        <v>3866</v>
      </c>
      <c r="B3867" t="s">
        <v>7741</v>
      </c>
      <c r="C3867" s="1">
        <v>37.264951433199997</v>
      </c>
      <c r="D3867" s="1">
        <v>-6.9991606773499999</v>
      </c>
      <c r="E3867" s="3">
        <v>4</v>
      </c>
      <c r="F3867" s="2">
        <v>4</v>
      </c>
      <c r="G3867" s="4">
        <v>3</v>
      </c>
      <c r="H3867" s="13"/>
      <c r="I3867" s="15"/>
      <c r="J3867" s="19">
        <v>4</v>
      </c>
      <c r="K3867" s="2" t="s">
        <v>7742</v>
      </c>
      <c r="L3867" s="11" t="str">
        <f t="shared" si="63"/>
        <v>Ver Imagen</v>
      </c>
      <c r="M3867" t="s">
        <v>15</v>
      </c>
    </row>
    <row r="3868" spans="1:13" x14ac:dyDescent="0.25">
      <c r="A3868">
        <v>3867</v>
      </c>
      <c r="B3868" t="s">
        <v>7743</v>
      </c>
      <c r="C3868" s="1">
        <v>37.264910383900002</v>
      </c>
      <c r="D3868" s="1">
        <v>-6.9993997183100003</v>
      </c>
      <c r="E3868" s="3">
        <v>4</v>
      </c>
      <c r="F3868" s="2">
        <v>4</v>
      </c>
      <c r="G3868" s="4">
        <v>3</v>
      </c>
      <c r="H3868" s="13"/>
      <c r="I3868" s="15"/>
      <c r="J3868" s="19">
        <v>4</v>
      </c>
      <c r="K3868" s="2" t="s">
        <v>7744</v>
      </c>
      <c r="L3868" s="11" t="str">
        <f t="shared" si="63"/>
        <v>Ver Imagen</v>
      </c>
      <c r="M3868" t="s">
        <v>15</v>
      </c>
    </row>
    <row r="3869" spans="1:13" x14ac:dyDescent="0.25">
      <c r="A3869">
        <v>3868</v>
      </c>
      <c r="B3869" t="s">
        <v>7745</v>
      </c>
      <c r="C3869" s="1">
        <v>37.264818879499998</v>
      </c>
      <c r="D3869" s="1">
        <v>-6.9999235741700003</v>
      </c>
      <c r="E3869" s="3">
        <v>4</v>
      </c>
      <c r="F3869" s="2">
        <v>4</v>
      </c>
      <c r="G3869" s="4">
        <v>3</v>
      </c>
      <c r="H3869" s="13"/>
      <c r="I3869" s="15"/>
      <c r="J3869" s="19">
        <v>4</v>
      </c>
      <c r="K3869" s="2" t="s">
        <v>7746</v>
      </c>
      <c r="L3869" s="11" t="str">
        <f t="shared" si="63"/>
        <v>Ver Imagen</v>
      </c>
      <c r="M3869" t="s">
        <v>15</v>
      </c>
    </row>
    <row r="3870" spans="1:13" x14ac:dyDescent="0.25">
      <c r="A3870">
        <v>3869</v>
      </c>
      <c r="B3870" t="s">
        <v>7747</v>
      </c>
      <c r="C3870" s="1">
        <v>37.1958700494</v>
      </c>
      <c r="D3870" s="1">
        <v>-6.9783332736999997</v>
      </c>
      <c r="E3870" s="3">
        <v>3</v>
      </c>
      <c r="F3870" s="2">
        <v>4</v>
      </c>
      <c r="G3870" s="4">
        <v>4</v>
      </c>
      <c r="H3870" s="13"/>
      <c r="I3870" s="15"/>
      <c r="J3870" s="19">
        <v>4</v>
      </c>
      <c r="K3870" s="2" t="s">
        <v>7748</v>
      </c>
      <c r="L3870" s="11" t="str">
        <f t="shared" si="63"/>
        <v>Ver Imagen</v>
      </c>
      <c r="M3870" t="s">
        <v>15</v>
      </c>
    </row>
    <row r="3871" spans="1:13" x14ac:dyDescent="0.25">
      <c r="A3871">
        <v>3870</v>
      </c>
      <c r="B3871" t="s">
        <v>7749</v>
      </c>
      <c r="C3871" s="1">
        <v>37.196477002500004</v>
      </c>
      <c r="D3871" s="1">
        <v>-6.9787618056899996</v>
      </c>
      <c r="E3871" s="3">
        <v>3</v>
      </c>
      <c r="F3871" s="2">
        <v>4</v>
      </c>
      <c r="G3871" s="4">
        <v>4</v>
      </c>
      <c r="H3871" s="13"/>
      <c r="I3871" s="15"/>
      <c r="J3871" s="19">
        <v>4</v>
      </c>
      <c r="K3871" s="2" t="s">
        <v>7750</v>
      </c>
      <c r="L3871" s="11" t="str">
        <f t="shared" si="63"/>
        <v>Ver Imagen</v>
      </c>
      <c r="M3871" t="s">
        <v>15</v>
      </c>
    </row>
    <row r="3872" spans="1:13" x14ac:dyDescent="0.25">
      <c r="A3872">
        <v>3871</v>
      </c>
      <c r="B3872" t="s">
        <v>7751</v>
      </c>
      <c r="C3872" s="1">
        <v>37.264651823000001</v>
      </c>
      <c r="D3872" s="1">
        <v>-7.0008775744899996</v>
      </c>
      <c r="E3872" s="3">
        <v>4</v>
      </c>
      <c r="F3872" s="2">
        <v>4</v>
      </c>
      <c r="G3872" s="4">
        <v>3</v>
      </c>
      <c r="H3872" s="13"/>
      <c r="I3872" s="15"/>
      <c r="J3872" s="19">
        <v>4</v>
      </c>
      <c r="K3872" s="2" t="s">
        <v>7752</v>
      </c>
      <c r="L3872" s="11" t="str">
        <f t="shared" si="63"/>
        <v>Ver Imagen</v>
      </c>
      <c r="M3872" t="s">
        <v>15</v>
      </c>
    </row>
    <row r="3873" spans="1:13" x14ac:dyDescent="0.25">
      <c r="A3873">
        <v>3872</v>
      </c>
      <c r="B3873" t="s">
        <v>7753</v>
      </c>
      <c r="C3873" s="1">
        <v>37.198336408899998</v>
      </c>
      <c r="D3873" s="1">
        <v>-6.9809756700900003</v>
      </c>
      <c r="E3873" s="3">
        <v>3</v>
      </c>
      <c r="F3873" s="2">
        <v>4</v>
      </c>
      <c r="G3873" s="4">
        <v>4</v>
      </c>
      <c r="H3873" s="13"/>
      <c r="I3873" s="15"/>
      <c r="J3873" s="19">
        <v>4</v>
      </c>
      <c r="K3873" s="2" t="s">
        <v>7754</v>
      </c>
      <c r="L3873" s="11" t="str">
        <f t="shared" ref="L3873:L3932" si="64">HYPERLINK("4\1\" &amp; K3873, "Ver Imagen")</f>
        <v>Ver Imagen</v>
      </c>
      <c r="M3873" t="s">
        <v>15</v>
      </c>
    </row>
    <row r="3874" spans="1:13" x14ac:dyDescent="0.25">
      <c r="A3874">
        <v>3873</v>
      </c>
      <c r="B3874" t="s">
        <v>7755</v>
      </c>
      <c r="C3874" s="1">
        <v>37.261992521899998</v>
      </c>
      <c r="D3874" s="1">
        <v>-7.0102735786799997</v>
      </c>
      <c r="E3874" s="3">
        <v>3</v>
      </c>
      <c r="F3874" s="2">
        <v>4</v>
      </c>
      <c r="G3874" s="4">
        <v>4</v>
      </c>
      <c r="H3874" s="13"/>
      <c r="I3874" s="15"/>
      <c r="J3874" s="19">
        <v>4</v>
      </c>
      <c r="K3874" s="2" t="s">
        <v>7756</v>
      </c>
      <c r="L3874" s="11" t="str">
        <f t="shared" si="64"/>
        <v>Ver Imagen</v>
      </c>
      <c r="M3874" t="s">
        <v>15</v>
      </c>
    </row>
    <row r="3875" spans="1:13" x14ac:dyDescent="0.25">
      <c r="A3875">
        <v>3874</v>
      </c>
      <c r="B3875" t="s">
        <v>7757</v>
      </c>
      <c r="C3875" s="1">
        <v>37.261817189699997</v>
      </c>
      <c r="D3875" s="1">
        <v>-7.0104433332199996</v>
      </c>
      <c r="E3875" s="3">
        <v>3</v>
      </c>
      <c r="F3875" s="2">
        <v>4</v>
      </c>
      <c r="G3875" s="4">
        <v>4</v>
      </c>
      <c r="H3875" s="13"/>
      <c r="I3875" s="15"/>
      <c r="J3875" s="19">
        <v>4</v>
      </c>
      <c r="K3875" s="2" t="s">
        <v>7758</v>
      </c>
      <c r="L3875" s="11" t="str">
        <f t="shared" si="64"/>
        <v>Ver Imagen</v>
      </c>
      <c r="M3875" t="s">
        <v>15</v>
      </c>
    </row>
    <row r="3876" spans="1:13" x14ac:dyDescent="0.25">
      <c r="A3876">
        <v>3875</v>
      </c>
      <c r="B3876" t="s">
        <v>7759</v>
      </c>
      <c r="C3876" s="1">
        <v>37.200673946899997</v>
      </c>
      <c r="D3876" s="1">
        <v>-6.98871386162</v>
      </c>
      <c r="E3876" s="3">
        <v>5</v>
      </c>
      <c r="F3876" s="2">
        <v>4</v>
      </c>
      <c r="G3876" s="4">
        <v>4</v>
      </c>
      <c r="H3876" s="13"/>
      <c r="I3876" s="15"/>
      <c r="J3876" s="19">
        <v>4</v>
      </c>
      <c r="K3876" s="2" t="s">
        <v>7760</v>
      </c>
      <c r="L3876" s="11" t="str">
        <f t="shared" si="64"/>
        <v>Ver Imagen</v>
      </c>
      <c r="M3876" t="s">
        <v>15</v>
      </c>
    </row>
    <row r="3877" spans="1:13" x14ac:dyDescent="0.25">
      <c r="A3877">
        <v>3876</v>
      </c>
      <c r="B3877" t="s">
        <v>7761</v>
      </c>
      <c r="C3877" s="1">
        <v>37.200736419199998</v>
      </c>
      <c r="D3877" s="1">
        <v>-6.9889930364500001</v>
      </c>
      <c r="E3877" s="3">
        <v>5</v>
      </c>
      <c r="F3877" s="2">
        <v>4</v>
      </c>
      <c r="G3877" s="4">
        <v>4</v>
      </c>
      <c r="H3877" s="13"/>
      <c r="I3877" s="15"/>
      <c r="J3877" s="19">
        <v>4</v>
      </c>
      <c r="K3877" s="2" t="s">
        <v>7762</v>
      </c>
      <c r="L3877" s="11" t="str">
        <f t="shared" si="64"/>
        <v>Ver Imagen</v>
      </c>
      <c r="M3877" t="s">
        <v>15</v>
      </c>
    </row>
    <row r="3878" spans="1:13" x14ac:dyDescent="0.25">
      <c r="A3878">
        <v>3877</v>
      </c>
      <c r="B3878" t="s">
        <v>7763</v>
      </c>
      <c r="C3878" s="1">
        <v>37.202258712800003</v>
      </c>
      <c r="D3878" s="1">
        <v>-6.9971284989999996</v>
      </c>
      <c r="E3878" s="3">
        <v>5</v>
      </c>
      <c r="F3878" s="2">
        <v>4</v>
      </c>
      <c r="G3878" s="4">
        <v>4</v>
      </c>
      <c r="H3878" s="13"/>
      <c r="I3878" s="15"/>
      <c r="J3878" s="19">
        <v>4</v>
      </c>
      <c r="K3878" s="2" t="s">
        <v>7764</v>
      </c>
      <c r="L3878" s="11" t="str">
        <f t="shared" si="64"/>
        <v>Ver Imagen</v>
      </c>
      <c r="M3878" t="s">
        <v>15</v>
      </c>
    </row>
    <row r="3879" spans="1:13" x14ac:dyDescent="0.25">
      <c r="A3879">
        <v>3878</v>
      </c>
      <c r="B3879" t="s">
        <v>7765</v>
      </c>
      <c r="C3879" s="1">
        <v>37.202330945299998</v>
      </c>
      <c r="D3879" s="1">
        <v>-6.9976464515199996</v>
      </c>
      <c r="E3879" s="3">
        <v>5</v>
      </c>
      <c r="F3879" s="2">
        <v>4</v>
      </c>
      <c r="G3879" s="4">
        <v>4</v>
      </c>
      <c r="H3879" s="13"/>
      <c r="I3879" s="15"/>
      <c r="J3879" s="19">
        <v>4</v>
      </c>
      <c r="K3879" s="2" t="s">
        <v>7766</v>
      </c>
      <c r="L3879" s="11" t="str">
        <f t="shared" si="64"/>
        <v>Ver Imagen</v>
      </c>
      <c r="M3879" t="s">
        <v>15</v>
      </c>
    </row>
    <row r="3880" spans="1:13" x14ac:dyDescent="0.25">
      <c r="A3880">
        <v>3879</v>
      </c>
      <c r="B3880" t="s">
        <v>7767</v>
      </c>
      <c r="C3880" s="1">
        <v>37.202616890500003</v>
      </c>
      <c r="D3880" s="1">
        <v>-6.9996678873400002</v>
      </c>
      <c r="E3880" s="3">
        <v>4</v>
      </c>
      <c r="F3880" s="2">
        <v>4</v>
      </c>
      <c r="G3880" s="4">
        <v>3</v>
      </c>
      <c r="H3880" s="13"/>
      <c r="I3880" s="15"/>
      <c r="J3880" s="19">
        <v>4</v>
      </c>
      <c r="K3880" s="2" t="s">
        <v>7768</v>
      </c>
      <c r="L3880" s="11" t="str">
        <f t="shared" si="64"/>
        <v>Ver Imagen</v>
      </c>
      <c r="M3880" t="s">
        <v>15</v>
      </c>
    </row>
    <row r="3881" spans="1:13" x14ac:dyDescent="0.25">
      <c r="A3881">
        <v>3880</v>
      </c>
      <c r="B3881" t="s">
        <v>7769</v>
      </c>
      <c r="C3881" s="1">
        <v>37.203163088700002</v>
      </c>
      <c r="D3881" s="1">
        <v>-7.0043818869200001</v>
      </c>
      <c r="E3881" s="3">
        <v>5</v>
      </c>
      <c r="F3881" s="2">
        <v>4</v>
      </c>
      <c r="G3881" s="4">
        <v>4</v>
      </c>
      <c r="H3881" s="13"/>
      <c r="I3881" s="15"/>
      <c r="J3881" s="19">
        <v>4</v>
      </c>
      <c r="K3881" s="2" t="s">
        <v>7770</v>
      </c>
      <c r="L3881" s="11" t="str">
        <f t="shared" si="64"/>
        <v>Ver Imagen</v>
      </c>
      <c r="M3881" t="s">
        <v>15</v>
      </c>
    </row>
    <row r="3882" spans="1:13" x14ac:dyDescent="0.25">
      <c r="A3882">
        <v>3881</v>
      </c>
      <c r="B3882" t="s">
        <v>7771</v>
      </c>
      <c r="C3882" s="1">
        <v>37.203351820800002</v>
      </c>
      <c r="D3882" s="1">
        <v>-7.0058729303599998</v>
      </c>
      <c r="E3882" s="3">
        <v>5</v>
      </c>
      <c r="F3882" s="2">
        <v>4</v>
      </c>
      <c r="G3882" s="4">
        <v>4</v>
      </c>
      <c r="H3882" s="13"/>
      <c r="I3882" s="15"/>
      <c r="J3882" s="19">
        <v>4</v>
      </c>
      <c r="K3882" s="2" t="s">
        <v>7772</v>
      </c>
      <c r="L3882" s="11" t="str">
        <f t="shared" si="64"/>
        <v>Ver Imagen</v>
      </c>
      <c r="M3882" t="s">
        <v>15</v>
      </c>
    </row>
    <row r="3883" spans="1:13" x14ac:dyDescent="0.25">
      <c r="A3883">
        <v>3882</v>
      </c>
      <c r="B3883" t="s">
        <v>7773</v>
      </c>
      <c r="C3883" s="1">
        <v>37.254649160600003</v>
      </c>
      <c r="D3883" s="1">
        <v>-7.0151190505400001</v>
      </c>
      <c r="E3883" s="3">
        <v>4</v>
      </c>
      <c r="F3883" s="2">
        <v>4</v>
      </c>
      <c r="G3883" s="4">
        <v>5</v>
      </c>
      <c r="H3883" s="13"/>
      <c r="I3883" s="15"/>
      <c r="J3883" s="19">
        <v>4</v>
      </c>
      <c r="K3883" s="2" t="s">
        <v>7774</v>
      </c>
      <c r="L3883" s="11" t="str">
        <f t="shared" si="64"/>
        <v>Ver Imagen</v>
      </c>
      <c r="M3883" t="s">
        <v>15</v>
      </c>
    </row>
    <row r="3884" spans="1:13" x14ac:dyDescent="0.25">
      <c r="A3884">
        <v>3883</v>
      </c>
      <c r="B3884" t="s">
        <v>7775</v>
      </c>
      <c r="C3884" s="1">
        <v>37.203380489899999</v>
      </c>
      <c r="D3884" s="1">
        <v>-7.0060937804999996</v>
      </c>
      <c r="E3884" s="3">
        <v>5</v>
      </c>
      <c r="F3884" s="2">
        <v>4</v>
      </c>
      <c r="G3884" s="4">
        <v>4</v>
      </c>
      <c r="H3884" s="13"/>
      <c r="I3884" s="15"/>
      <c r="J3884" s="19">
        <v>4</v>
      </c>
      <c r="K3884" s="2" t="s">
        <v>7776</v>
      </c>
      <c r="L3884" s="11" t="str">
        <f t="shared" si="64"/>
        <v>Ver Imagen</v>
      </c>
      <c r="M3884" t="s">
        <v>15</v>
      </c>
    </row>
    <row r="3885" spans="1:13" x14ac:dyDescent="0.25">
      <c r="A3885">
        <v>3884</v>
      </c>
      <c r="B3885" t="s">
        <v>7777</v>
      </c>
      <c r="C3885" s="1">
        <v>37.203447841799999</v>
      </c>
      <c r="D3885" s="1">
        <v>-7.0066056702699999</v>
      </c>
      <c r="E3885" s="3">
        <v>5</v>
      </c>
      <c r="F3885" s="2">
        <v>4</v>
      </c>
      <c r="G3885" s="4">
        <v>4</v>
      </c>
      <c r="H3885" s="13"/>
      <c r="I3885" s="15"/>
      <c r="J3885" s="19">
        <v>4</v>
      </c>
      <c r="K3885" s="2" t="s">
        <v>7778</v>
      </c>
      <c r="L3885" s="11" t="str">
        <f t="shared" si="64"/>
        <v>Ver Imagen</v>
      </c>
      <c r="M3885" t="s">
        <v>15</v>
      </c>
    </row>
    <row r="3886" spans="1:13" x14ac:dyDescent="0.25">
      <c r="A3886">
        <v>3885</v>
      </c>
      <c r="B3886" t="s">
        <v>7779</v>
      </c>
      <c r="C3886" s="1">
        <v>37.251400528600001</v>
      </c>
      <c r="D3886" s="1">
        <v>-7.0172012095299996</v>
      </c>
      <c r="E3886" s="3">
        <v>3</v>
      </c>
      <c r="F3886" s="2">
        <v>4</v>
      </c>
      <c r="G3886" s="4">
        <v>4</v>
      </c>
      <c r="H3886" s="13"/>
      <c r="I3886" s="15"/>
      <c r="J3886" s="19">
        <v>4</v>
      </c>
      <c r="K3886" s="2" t="s">
        <v>7780</v>
      </c>
      <c r="L3886" s="11" t="str">
        <f t="shared" si="64"/>
        <v>Ver Imagen</v>
      </c>
      <c r="M3886" t="s">
        <v>15</v>
      </c>
    </row>
    <row r="3887" spans="1:13" x14ac:dyDescent="0.25">
      <c r="A3887">
        <v>3886</v>
      </c>
      <c r="B3887" t="s">
        <v>7781</v>
      </c>
      <c r="C3887" s="1">
        <v>37.203902687800003</v>
      </c>
      <c r="D3887" s="1">
        <v>-7.0096495804599996</v>
      </c>
      <c r="E3887" s="3">
        <v>3</v>
      </c>
      <c r="F3887" s="2">
        <v>4</v>
      </c>
      <c r="G3887" s="4">
        <v>4</v>
      </c>
      <c r="H3887" s="13"/>
      <c r="I3887" s="15"/>
      <c r="J3887" s="19">
        <v>4</v>
      </c>
      <c r="K3887" s="2" t="s">
        <v>7782</v>
      </c>
      <c r="L3887" s="11" t="str">
        <f t="shared" si="64"/>
        <v>Ver Imagen</v>
      </c>
      <c r="M3887" t="s">
        <v>15</v>
      </c>
    </row>
    <row r="3888" spans="1:13" x14ac:dyDescent="0.25">
      <c r="A3888">
        <v>3887</v>
      </c>
      <c r="B3888" t="s">
        <v>7783</v>
      </c>
      <c r="C3888" s="1">
        <v>37.250661005600001</v>
      </c>
      <c r="D3888" s="1">
        <v>-7.0176606363599996</v>
      </c>
      <c r="E3888" s="3">
        <v>5</v>
      </c>
      <c r="F3888" s="2">
        <v>4</v>
      </c>
      <c r="G3888" s="4">
        <v>4</v>
      </c>
      <c r="H3888" s="13"/>
      <c r="I3888" s="15"/>
      <c r="J3888" s="19">
        <v>4</v>
      </c>
      <c r="K3888" s="2" t="s">
        <v>7784</v>
      </c>
      <c r="L3888" s="11" t="str">
        <f t="shared" si="64"/>
        <v>Ver Imagen</v>
      </c>
      <c r="M3888" t="s">
        <v>15</v>
      </c>
    </row>
    <row r="3889" spans="1:13" x14ac:dyDescent="0.25">
      <c r="A3889">
        <v>3888</v>
      </c>
      <c r="B3889" t="s">
        <v>7785</v>
      </c>
      <c r="C3889" s="1">
        <v>37.248506414600001</v>
      </c>
      <c r="D3889" s="1">
        <v>-7.0183546969500004</v>
      </c>
      <c r="E3889" s="3">
        <v>5</v>
      </c>
      <c r="F3889" s="2">
        <v>4</v>
      </c>
      <c r="G3889" s="4">
        <v>4</v>
      </c>
      <c r="H3889" s="13"/>
      <c r="I3889" s="15"/>
      <c r="J3889" s="19">
        <v>4</v>
      </c>
      <c r="K3889" s="2" t="s">
        <v>7786</v>
      </c>
      <c r="L3889" s="11" t="str">
        <f t="shared" si="64"/>
        <v>Ver Imagen</v>
      </c>
      <c r="M3889" t="s">
        <v>15</v>
      </c>
    </row>
    <row r="3890" spans="1:13" x14ac:dyDescent="0.25">
      <c r="A3890">
        <v>3889</v>
      </c>
      <c r="B3890" t="s">
        <v>7787</v>
      </c>
      <c r="C3890" s="1">
        <v>37.248270219600002</v>
      </c>
      <c r="D3890" s="1">
        <v>-7.0183676961400003</v>
      </c>
      <c r="E3890" s="3">
        <v>5</v>
      </c>
      <c r="F3890" s="2">
        <v>4</v>
      </c>
      <c r="G3890" s="4">
        <v>4</v>
      </c>
      <c r="H3890" s="13"/>
      <c r="I3890" s="15"/>
      <c r="J3890" s="19">
        <v>4</v>
      </c>
      <c r="K3890" s="2" t="s">
        <v>7788</v>
      </c>
      <c r="L3890" s="11" t="str">
        <f t="shared" si="64"/>
        <v>Ver Imagen</v>
      </c>
      <c r="M3890" t="s">
        <v>15</v>
      </c>
    </row>
    <row r="3891" spans="1:13" x14ac:dyDescent="0.25">
      <c r="A3891">
        <v>3890</v>
      </c>
      <c r="B3891" t="s">
        <v>7789</v>
      </c>
      <c r="C3891" s="1">
        <v>37.2468993783</v>
      </c>
      <c r="D3891" s="1">
        <v>-7.0184194933799997</v>
      </c>
      <c r="E3891" s="3">
        <v>4</v>
      </c>
      <c r="F3891" s="2">
        <v>4</v>
      </c>
      <c r="G3891" s="4">
        <v>5</v>
      </c>
      <c r="H3891" s="13"/>
      <c r="I3891" s="15"/>
      <c r="J3891" s="19">
        <v>4</v>
      </c>
      <c r="K3891" s="2" t="s">
        <v>7790</v>
      </c>
      <c r="L3891" s="11" t="str">
        <f t="shared" si="64"/>
        <v>Ver Imagen</v>
      </c>
      <c r="M3891" t="s">
        <v>15</v>
      </c>
    </row>
    <row r="3892" spans="1:13" x14ac:dyDescent="0.25">
      <c r="A3892">
        <v>3891</v>
      </c>
      <c r="B3892" t="s">
        <v>7791</v>
      </c>
      <c r="C3892" s="1">
        <v>37.204460816800001</v>
      </c>
      <c r="D3892" s="1">
        <v>-7.0128881013599997</v>
      </c>
      <c r="E3892" s="3">
        <v>4</v>
      </c>
      <c r="F3892" s="2">
        <v>4</v>
      </c>
      <c r="G3892" s="4">
        <v>5</v>
      </c>
      <c r="H3892" s="13"/>
      <c r="I3892" s="15"/>
      <c r="J3892" s="19">
        <v>4</v>
      </c>
      <c r="K3892" s="2" t="s">
        <v>7792</v>
      </c>
      <c r="L3892" s="11" t="str">
        <f t="shared" si="64"/>
        <v>Ver Imagen</v>
      </c>
      <c r="M3892" t="s">
        <v>15</v>
      </c>
    </row>
    <row r="3893" spans="1:13" x14ac:dyDescent="0.25">
      <c r="A3893">
        <v>3892</v>
      </c>
      <c r="B3893" t="s">
        <v>7793</v>
      </c>
      <c r="C3893" s="1">
        <v>37.245294791200003</v>
      </c>
      <c r="D3893" s="1">
        <v>-7.0184750082800003</v>
      </c>
      <c r="E3893" s="3">
        <v>3</v>
      </c>
      <c r="F3893" s="2">
        <v>4</v>
      </c>
      <c r="G3893" s="4">
        <v>4</v>
      </c>
      <c r="H3893" s="13"/>
      <c r="I3893" s="15"/>
      <c r="J3893" s="19">
        <v>4</v>
      </c>
      <c r="K3893" s="2" t="s">
        <v>7794</v>
      </c>
      <c r="L3893" s="11" t="str">
        <f t="shared" si="64"/>
        <v>Ver Imagen</v>
      </c>
      <c r="M3893" t="s">
        <v>15</v>
      </c>
    </row>
    <row r="3894" spans="1:13" x14ac:dyDescent="0.25">
      <c r="A3894">
        <v>3893</v>
      </c>
      <c r="B3894" t="s">
        <v>7795</v>
      </c>
      <c r="C3894" s="1">
        <v>37.245058130799997</v>
      </c>
      <c r="D3894" s="1">
        <v>-7.0184824287999996</v>
      </c>
      <c r="E3894" s="3">
        <v>5</v>
      </c>
      <c r="F3894" s="2">
        <v>4</v>
      </c>
      <c r="G3894" s="4">
        <v>4</v>
      </c>
      <c r="H3894" s="13"/>
      <c r="I3894" s="15"/>
      <c r="J3894" s="19">
        <v>4</v>
      </c>
      <c r="K3894" s="2" t="s">
        <v>7796</v>
      </c>
      <c r="L3894" s="11" t="str">
        <f t="shared" si="64"/>
        <v>Ver Imagen</v>
      </c>
      <c r="M3894" t="s">
        <v>15</v>
      </c>
    </row>
    <row r="3895" spans="1:13" x14ac:dyDescent="0.25">
      <c r="A3895">
        <v>3894</v>
      </c>
      <c r="B3895" t="s">
        <v>7797</v>
      </c>
      <c r="C3895" s="1">
        <v>37.244647876400002</v>
      </c>
      <c r="D3895" s="1">
        <v>-7.0184980300399999</v>
      </c>
      <c r="E3895" s="3">
        <v>4</v>
      </c>
      <c r="F3895" s="2">
        <v>4</v>
      </c>
      <c r="G3895" s="4">
        <v>3</v>
      </c>
      <c r="H3895" s="13"/>
      <c r="I3895" s="15"/>
      <c r="J3895" s="19">
        <v>4</v>
      </c>
      <c r="K3895" s="2" t="s">
        <v>7798</v>
      </c>
      <c r="L3895" s="11" t="str">
        <f t="shared" si="64"/>
        <v>Ver Imagen</v>
      </c>
      <c r="M3895" t="s">
        <v>15</v>
      </c>
    </row>
    <row r="3896" spans="1:13" x14ac:dyDescent="0.25">
      <c r="A3896">
        <v>3895</v>
      </c>
      <c r="B3896" t="s">
        <v>7799</v>
      </c>
      <c r="C3896" s="1">
        <v>37.243681218699997</v>
      </c>
      <c r="D3896" s="1">
        <v>-7.0185394724799997</v>
      </c>
      <c r="E3896" s="3">
        <v>3</v>
      </c>
      <c r="F3896" s="2">
        <v>4</v>
      </c>
      <c r="G3896" s="4">
        <v>4</v>
      </c>
      <c r="H3896" s="13"/>
      <c r="I3896" s="15"/>
      <c r="J3896" s="19">
        <v>4</v>
      </c>
      <c r="K3896" s="2" t="s">
        <v>7800</v>
      </c>
      <c r="L3896" s="11" t="str">
        <f t="shared" si="64"/>
        <v>Ver Imagen</v>
      </c>
      <c r="M3896" t="s">
        <v>15</v>
      </c>
    </row>
    <row r="3897" spans="1:13" x14ac:dyDescent="0.25">
      <c r="A3897">
        <v>3896</v>
      </c>
      <c r="B3897" t="s">
        <v>7801</v>
      </c>
      <c r="C3897" s="1">
        <v>37.243446651100001</v>
      </c>
      <c r="D3897" s="1">
        <v>-7.0185503230500004</v>
      </c>
      <c r="E3897" s="3">
        <v>5</v>
      </c>
      <c r="F3897" s="2">
        <v>4</v>
      </c>
      <c r="G3897" s="4">
        <v>4</v>
      </c>
      <c r="H3897" s="13"/>
      <c r="I3897" s="15"/>
      <c r="J3897" s="19">
        <v>4</v>
      </c>
      <c r="K3897" s="2" t="s">
        <v>7802</v>
      </c>
      <c r="L3897" s="11" t="str">
        <f t="shared" si="64"/>
        <v>Ver Imagen</v>
      </c>
      <c r="M3897" t="s">
        <v>15</v>
      </c>
    </row>
    <row r="3898" spans="1:13" x14ac:dyDescent="0.25">
      <c r="A3898">
        <v>3897</v>
      </c>
      <c r="B3898" t="s">
        <v>7803</v>
      </c>
      <c r="C3898" s="1">
        <v>37.243038178399999</v>
      </c>
      <c r="D3898" s="1">
        <v>-7.0185654617299997</v>
      </c>
      <c r="E3898" s="3">
        <v>4</v>
      </c>
      <c r="F3898" s="2">
        <v>4</v>
      </c>
      <c r="G3898" s="4">
        <v>5</v>
      </c>
      <c r="H3898" s="13"/>
      <c r="I3898" s="15"/>
      <c r="J3898" s="19">
        <v>4</v>
      </c>
      <c r="K3898" s="2" t="s">
        <v>7804</v>
      </c>
      <c r="L3898" s="11" t="str">
        <f t="shared" si="64"/>
        <v>Ver Imagen</v>
      </c>
      <c r="M3898" t="s">
        <v>15</v>
      </c>
    </row>
    <row r="3899" spans="1:13" x14ac:dyDescent="0.25">
      <c r="A3899">
        <v>3898</v>
      </c>
      <c r="B3899" t="s">
        <v>7805</v>
      </c>
      <c r="C3899" s="1">
        <v>37.242219530900002</v>
      </c>
      <c r="D3899" s="1">
        <v>-7.0185880411600001</v>
      </c>
      <c r="E3899" s="3">
        <v>5</v>
      </c>
      <c r="F3899" s="2">
        <v>4</v>
      </c>
      <c r="G3899" s="4">
        <v>4</v>
      </c>
      <c r="H3899" s="13"/>
      <c r="I3899" s="15"/>
      <c r="J3899" s="19">
        <v>4</v>
      </c>
      <c r="K3899" s="2" t="s">
        <v>7806</v>
      </c>
      <c r="L3899" s="11" t="str">
        <f t="shared" si="64"/>
        <v>Ver Imagen</v>
      </c>
      <c r="M3899" t="s">
        <v>15</v>
      </c>
    </row>
    <row r="3900" spans="1:13" x14ac:dyDescent="0.25">
      <c r="A3900">
        <v>3899</v>
      </c>
      <c r="B3900" t="s">
        <v>7807</v>
      </c>
      <c r="C3900" s="1">
        <v>37.241425612999997</v>
      </c>
      <c r="D3900" s="1">
        <v>-7.0186188496500002</v>
      </c>
      <c r="E3900" s="3">
        <v>4</v>
      </c>
      <c r="F3900" s="2">
        <v>4</v>
      </c>
      <c r="G3900" s="4">
        <v>3</v>
      </c>
      <c r="H3900" s="13"/>
      <c r="I3900" s="15"/>
      <c r="J3900" s="19">
        <v>4</v>
      </c>
      <c r="K3900" s="2" t="s">
        <v>7808</v>
      </c>
      <c r="L3900" s="11" t="str">
        <f t="shared" si="64"/>
        <v>Ver Imagen</v>
      </c>
      <c r="M3900" t="s">
        <v>15</v>
      </c>
    </row>
    <row r="3901" spans="1:13" x14ac:dyDescent="0.25">
      <c r="A3901">
        <v>3900</v>
      </c>
      <c r="B3901" t="s">
        <v>7809</v>
      </c>
      <c r="C3901" s="1">
        <v>37.240827165600003</v>
      </c>
      <c r="D3901" s="1">
        <v>-7.0186442232599999</v>
      </c>
      <c r="E3901" s="3">
        <v>4</v>
      </c>
      <c r="F3901" s="2">
        <v>4</v>
      </c>
      <c r="G3901" s="4">
        <v>3</v>
      </c>
      <c r="H3901" s="13"/>
      <c r="I3901" s="15"/>
      <c r="J3901" s="19">
        <v>4</v>
      </c>
      <c r="K3901" s="2" t="s">
        <v>7810</v>
      </c>
      <c r="L3901" s="11" t="str">
        <f t="shared" si="64"/>
        <v>Ver Imagen</v>
      </c>
      <c r="M3901" t="s">
        <v>15</v>
      </c>
    </row>
    <row r="3902" spans="1:13" x14ac:dyDescent="0.25">
      <c r="A3902">
        <v>3901</v>
      </c>
      <c r="B3902" t="s">
        <v>7811</v>
      </c>
      <c r="C3902" s="1">
        <v>37.236406155399997</v>
      </c>
      <c r="D3902" s="1">
        <v>-7.0186341510999997</v>
      </c>
      <c r="E3902" s="3">
        <v>5</v>
      </c>
      <c r="F3902" s="2">
        <v>4</v>
      </c>
      <c r="G3902" s="4">
        <v>4</v>
      </c>
      <c r="H3902" s="13"/>
      <c r="I3902" s="15"/>
      <c r="J3902" s="19">
        <v>4</v>
      </c>
      <c r="K3902" s="2" t="s">
        <v>7812</v>
      </c>
      <c r="L3902" s="11" t="str">
        <f t="shared" si="64"/>
        <v>Ver Imagen</v>
      </c>
      <c r="M3902" t="s">
        <v>15</v>
      </c>
    </row>
    <row r="3903" spans="1:13" x14ac:dyDescent="0.25">
      <c r="A3903">
        <v>3902</v>
      </c>
      <c r="B3903" t="s">
        <v>7813</v>
      </c>
      <c r="C3903" s="1">
        <v>37.2361509877</v>
      </c>
      <c r="D3903" s="1">
        <v>-7.0185784122300001</v>
      </c>
      <c r="E3903" s="3">
        <v>5</v>
      </c>
      <c r="F3903" s="2">
        <v>4</v>
      </c>
      <c r="G3903" s="4">
        <v>4</v>
      </c>
      <c r="H3903" s="13"/>
      <c r="I3903" s="15"/>
      <c r="J3903" s="19">
        <v>4</v>
      </c>
      <c r="K3903" s="2" t="s">
        <v>7814</v>
      </c>
      <c r="L3903" s="11" t="str">
        <f t="shared" si="64"/>
        <v>Ver Imagen</v>
      </c>
      <c r="M3903" t="s">
        <v>15</v>
      </c>
    </row>
    <row r="3904" spans="1:13" x14ac:dyDescent="0.25">
      <c r="A3904">
        <v>3903</v>
      </c>
      <c r="B3904" t="s">
        <v>7815</v>
      </c>
      <c r="C3904" s="1">
        <v>37.231167534299999</v>
      </c>
      <c r="D3904" s="1">
        <v>-7.0195742509699999</v>
      </c>
      <c r="E3904" s="3">
        <v>5</v>
      </c>
      <c r="F3904" s="2">
        <v>4</v>
      </c>
      <c r="G3904" s="4">
        <v>4</v>
      </c>
      <c r="H3904" s="13"/>
      <c r="I3904" s="15"/>
      <c r="J3904" s="19">
        <v>4</v>
      </c>
      <c r="K3904" s="2" t="s">
        <v>7816</v>
      </c>
      <c r="L3904" s="11" t="str">
        <f t="shared" si="64"/>
        <v>Ver Imagen</v>
      </c>
      <c r="M3904" t="s">
        <v>15</v>
      </c>
    </row>
    <row r="3905" spans="1:13" x14ac:dyDescent="0.25">
      <c r="A3905">
        <v>3904</v>
      </c>
      <c r="B3905" t="s">
        <v>7817</v>
      </c>
      <c r="C3905" s="1">
        <v>37.221417800200001</v>
      </c>
      <c r="D3905" s="1">
        <v>-7.0230902977999996</v>
      </c>
      <c r="E3905" s="3">
        <v>4</v>
      </c>
      <c r="F3905" s="2">
        <v>4</v>
      </c>
      <c r="G3905" s="4">
        <v>5</v>
      </c>
      <c r="H3905" s="13"/>
      <c r="I3905" s="15"/>
      <c r="J3905" s="19">
        <v>4</v>
      </c>
      <c r="K3905" s="2" t="s">
        <v>7818</v>
      </c>
      <c r="L3905" s="11" t="str">
        <f t="shared" si="64"/>
        <v>Ver Imagen</v>
      </c>
      <c r="M3905" t="s">
        <v>15</v>
      </c>
    </row>
    <row r="3906" spans="1:13" x14ac:dyDescent="0.25">
      <c r="A3906">
        <v>3905</v>
      </c>
      <c r="B3906" t="s">
        <v>7819</v>
      </c>
      <c r="C3906" s="1">
        <v>37.220818696499997</v>
      </c>
      <c r="D3906" s="1">
        <v>-7.0230361868799998</v>
      </c>
      <c r="E3906" s="3">
        <v>4</v>
      </c>
      <c r="F3906" s="2">
        <v>4</v>
      </c>
      <c r="G3906" s="4">
        <v>5</v>
      </c>
      <c r="H3906" s="13"/>
      <c r="I3906" s="15"/>
      <c r="J3906" s="19">
        <v>4</v>
      </c>
      <c r="K3906" s="2" t="s">
        <v>7820</v>
      </c>
      <c r="L3906" s="11" t="str">
        <f t="shared" si="64"/>
        <v>Ver Imagen</v>
      </c>
      <c r="M3906" t="s">
        <v>15</v>
      </c>
    </row>
    <row r="3907" spans="1:13" x14ac:dyDescent="0.25">
      <c r="A3907">
        <v>3906</v>
      </c>
      <c r="B3907" t="s">
        <v>7821</v>
      </c>
      <c r="C3907" s="1">
        <v>37.217614382500003</v>
      </c>
      <c r="D3907" s="1">
        <v>-7.0231300709399997</v>
      </c>
      <c r="E3907" s="3">
        <v>4</v>
      </c>
      <c r="F3907" s="2">
        <v>4</v>
      </c>
      <c r="G3907" s="4">
        <v>3</v>
      </c>
      <c r="H3907" s="13"/>
      <c r="I3907" s="15"/>
      <c r="J3907" s="19">
        <v>4</v>
      </c>
      <c r="K3907" s="2" t="s">
        <v>7822</v>
      </c>
      <c r="L3907" s="11" t="str">
        <f t="shared" si="64"/>
        <v>Ver Imagen</v>
      </c>
      <c r="M3907" t="s">
        <v>15</v>
      </c>
    </row>
    <row r="3908" spans="1:13" x14ac:dyDescent="0.25">
      <c r="A3908">
        <v>3907</v>
      </c>
      <c r="B3908" t="s">
        <v>7823</v>
      </c>
      <c r="C3908" s="1">
        <v>37.217393479499997</v>
      </c>
      <c r="D3908" s="1">
        <v>-7.0231676532999998</v>
      </c>
      <c r="E3908" s="3">
        <v>3</v>
      </c>
      <c r="F3908" s="2">
        <v>4</v>
      </c>
      <c r="G3908" s="4">
        <v>4</v>
      </c>
      <c r="H3908" s="13"/>
      <c r="I3908" s="15"/>
      <c r="J3908" s="19">
        <v>4</v>
      </c>
      <c r="K3908" s="2" t="s">
        <v>7824</v>
      </c>
      <c r="L3908" s="11" t="str">
        <f t="shared" si="64"/>
        <v>Ver Imagen</v>
      </c>
      <c r="M3908" t="s">
        <v>15</v>
      </c>
    </row>
    <row r="3909" spans="1:13" x14ac:dyDescent="0.25">
      <c r="A3909">
        <v>3908</v>
      </c>
      <c r="B3909" t="s">
        <v>7825</v>
      </c>
      <c r="C3909" s="1">
        <v>37.216824601900001</v>
      </c>
      <c r="D3909" s="1">
        <v>-7.0232701301900002</v>
      </c>
      <c r="E3909" s="3">
        <v>3</v>
      </c>
      <c r="F3909" s="2">
        <v>4</v>
      </c>
      <c r="G3909" s="4">
        <v>4</v>
      </c>
      <c r="H3909" s="13"/>
      <c r="I3909" s="15"/>
      <c r="J3909" s="19">
        <v>4</v>
      </c>
      <c r="K3909" s="2" t="s">
        <v>7826</v>
      </c>
      <c r="L3909" s="11" t="str">
        <f t="shared" si="64"/>
        <v>Ver Imagen</v>
      </c>
      <c r="M3909" t="s">
        <v>15</v>
      </c>
    </row>
    <row r="3910" spans="1:13" x14ac:dyDescent="0.25">
      <c r="A3910">
        <v>3909</v>
      </c>
      <c r="B3910" t="s">
        <v>7827</v>
      </c>
      <c r="C3910" s="1">
        <v>37.215399082499999</v>
      </c>
      <c r="D3910" s="1">
        <v>-7.0235166060900003</v>
      </c>
      <c r="E3910" s="3">
        <v>4</v>
      </c>
      <c r="F3910" s="2">
        <v>4</v>
      </c>
      <c r="G3910" s="4">
        <v>3</v>
      </c>
      <c r="H3910" s="13"/>
      <c r="I3910" s="15"/>
      <c r="J3910" s="19">
        <v>4</v>
      </c>
      <c r="K3910" s="2" t="s">
        <v>7828</v>
      </c>
      <c r="L3910" s="11" t="str">
        <f t="shared" si="64"/>
        <v>Ver Imagen</v>
      </c>
      <c r="M3910" t="s">
        <v>15</v>
      </c>
    </row>
    <row r="3911" spans="1:13" x14ac:dyDescent="0.25">
      <c r="A3911">
        <v>3910</v>
      </c>
      <c r="B3911" t="s">
        <v>7829</v>
      </c>
      <c r="C3911" s="1">
        <v>37.204434307100001</v>
      </c>
      <c r="D3911" s="1">
        <v>-7.0135300114000003</v>
      </c>
      <c r="E3911" s="3">
        <v>3</v>
      </c>
      <c r="F3911" s="2">
        <v>4</v>
      </c>
      <c r="G3911" s="4">
        <v>4</v>
      </c>
      <c r="H3911" s="13"/>
      <c r="I3911" s="15"/>
      <c r="J3911" s="19">
        <v>4</v>
      </c>
      <c r="K3911" s="2" t="s">
        <v>7830</v>
      </c>
      <c r="L3911" s="11" t="str">
        <f t="shared" si="64"/>
        <v>Ver Imagen</v>
      </c>
      <c r="M3911" t="s">
        <v>15</v>
      </c>
    </row>
    <row r="3912" spans="1:13" x14ac:dyDescent="0.25">
      <c r="A3912">
        <v>3911</v>
      </c>
      <c r="B3912" t="s">
        <v>7831</v>
      </c>
      <c r="C3912" s="1">
        <v>37.204392186500002</v>
      </c>
      <c r="D3912" s="1">
        <v>-7.0133036193800002</v>
      </c>
      <c r="E3912" s="3">
        <v>3</v>
      </c>
      <c r="F3912" s="2">
        <v>4</v>
      </c>
      <c r="G3912" s="4">
        <v>4</v>
      </c>
      <c r="H3912" s="13"/>
      <c r="I3912" s="15"/>
      <c r="J3912" s="19">
        <v>4</v>
      </c>
      <c r="K3912" s="2" t="s">
        <v>7832</v>
      </c>
      <c r="L3912" s="11" t="str">
        <f t="shared" si="64"/>
        <v>Ver Imagen</v>
      </c>
      <c r="M3912" t="s">
        <v>15</v>
      </c>
    </row>
    <row r="3913" spans="1:13" x14ac:dyDescent="0.25">
      <c r="A3913">
        <v>3912</v>
      </c>
      <c r="B3913" t="s">
        <v>7833</v>
      </c>
      <c r="C3913" s="1">
        <v>37.204351825700002</v>
      </c>
      <c r="D3913" s="1">
        <v>-7.0130841963800004</v>
      </c>
      <c r="E3913" s="3">
        <v>3</v>
      </c>
      <c r="F3913" s="2">
        <v>4</v>
      </c>
      <c r="G3913" s="4">
        <v>4</v>
      </c>
      <c r="H3913" s="13"/>
      <c r="I3913" s="15"/>
      <c r="J3913" s="19">
        <v>4</v>
      </c>
      <c r="K3913" s="2" t="s">
        <v>7834</v>
      </c>
      <c r="L3913" s="11" t="str">
        <f t="shared" si="64"/>
        <v>Ver Imagen</v>
      </c>
      <c r="M3913" t="s">
        <v>15</v>
      </c>
    </row>
    <row r="3914" spans="1:13" x14ac:dyDescent="0.25">
      <c r="A3914">
        <v>3913</v>
      </c>
      <c r="B3914" t="s">
        <v>7835</v>
      </c>
      <c r="C3914" s="1">
        <v>37.203905347999999</v>
      </c>
      <c r="D3914" s="1">
        <v>-7.0105494081000002</v>
      </c>
      <c r="E3914" s="3">
        <v>4</v>
      </c>
      <c r="F3914" s="2">
        <v>4</v>
      </c>
      <c r="G3914" s="4">
        <v>3</v>
      </c>
      <c r="H3914" s="13"/>
      <c r="I3914" s="15"/>
      <c r="J3914" s="19">
        <v>4</v>
      </c>
      <c r="K3914" s="2" t="s">
        <v>7836</v>
      </c>
      <c r="L3914" s="11" t="str">
        <f t="shared" si="64"/>
        <v>Ver Imagen</v>
      </c>
      <c r="M3914" t="s">
        <v>15</v>
      </c>
    </row>
    <row r="3915" spans="1:13" x14ac:dyDescent="0.25">
      <c r="A3915">
        <v>3914</v>
      </c>
      <c r="B3915" t="s">
        <v>7837</v>
      </c>
      <c r="C3915" s="1">
        <v>37.203200401499998</v>
      </c>
      <c r="D3915" s="1">
        <v>-7.0058219892200002</v>
      </c>
      <c r="E3915" s="3">
        <v>4</v>
      </c>
      <c r="F3915" s="2">
        <v>4</v>
      </c>
      <c r="G3915" s="4">
        <v>3</v>
      </c>
      <c r="H3915" s="13"/>
      <c r="I3915" s="15"/>
      <c r="J3915" s="19">
        <v>4</v>
      </c>
      <c r="K3915" s="2" t="s">
        <v>7838</v>
      </c>
      <c r="L3915" s="11" t="str">
        <f t="shared" si="64"/>
        <v>Ver Imagen</v>
      </c>
      <c r="M3915" t="s">
        <v>15</v>
      </c>
    </row>
    <row r="3916" spans="1:13" x14ac:dyDescent="0.25">
      <c r="A3916">
        <v>3915</v>
      </c>
      <c r="B3916" t="s">
        <v>7839</v>
      </c>
      <c r="C3916" s="1">
        <v>37.203169446799997</v>
      </c>
      <c r="D3916" s="1">
        <v>-7.0055948842899998</v>
      </c>
      <c r="E3916" s="3">
        <v>4</v>
      </c>
      <c r="F3916" s="2">
        <v>4</v>
      </c>
      <c r="G3916" s="4">
        <v>3</v>
      </c>
      <c r="H3916" s="13"/>
      <c r="I3916" s="15"/>
      <c r="J3916" s="19">
        <v>4</v>
      </c>
      <c r="K3916" s="2" t="s">
        <v>7840</v>
      </c>
      <c r="L3916" s="11" t="str">
        <f t="shared" si="64"/>
        <v>Ver Imagen</v>
      </c>
      <c r="M3916" t="s">
        <v>15</v>
      </c>
    </row>
    <row r="3917" spans="1:13" x14ac:dyDescent="0.25">
      <c r="A3917">
        <v>3916</v>
      </c>
      <c r="B3917" t="s">
        <v>7841</v>
      </c>
      <c r="C3917" s="1">
        <v>37.202982614100002</v>
      </c>
      <c r="D3917" s="1">
        <v>-7.0041123458600003</v>
      </c>
      <c r="E3917" s="3">
        <v>3</v>
      </c>
      <c r="F3917" s="2">
        <v>4</v>
      </c>
      <c r="G3917" s="4">
        <v>4</v>
      </c>
      <c r="H3917" s="13"/>
      <c r="I3917" s="15"/>
      <c r="J3917" s="19">
        <v>4</v>
      </c>
      <c r="K3917" s="2" t="s">
        <v>7842</v>
      </c>
      <c r="L3917" s="11" t="str">
        <f t="shared" si="64"/>
        <v>Ver Imagen</v>
      </c>
      <c r="M3917" t="s">
        <v>15</v>
      </c>
    </row>
    <row r="3918" spans="1:13" x14ac:dyDescent="0.25">
      <c r="A3918">
        <v>3917</v>
      </c>
      <c r="B3918" t="s">
        <v>7843</v>
      </c>
      <c r="C3918" s="1">
        <v>37.2027357431</v>
      </c>
      <c r="D3918" s="1">
        <v>-7.0018921696699996</v>
      </c>
      <c r="E3918" s="3">
        <v>3</v>
      </c>
      <c r="F3918" s="2">
        <v>4</v>
      </c>
      <c r="G3918" s="4">
        <v>4</v>
      </c>
      <c r="H3918" s="13"/>
      <c r="I3918" s="15"/>
      <c r="J3918" s="19">
        <v>4</v>
      </c>
      <c r="K3918" s="2" t="s">
        <v>7844</v>
      </c>
      <c r="L3918" s="11" t="str">
        <f t="shared" si="64"/>
        <v>Ver Imagen</v>
      </c>
      <c r="M3918" t="s">
        <v>15</v>
      </c>
    </row>
    <row r="3919" spans="1:13" x14ac:dyDescent="0.25">
      <c r="A3919">
        <v>3918</v>
      </c>
      <c r="B3919" t="s">
        <v>7845</v>
      </c>
      <c r="C3919" s="1">
        <v>37.201940321000002</v>
      </c>
      <c r="D3919" s="1">
        <v>-6.9960827855299996</v>
      </c>
      <c r="E3919" s="3">
        <v>4</v>
      </c>
      <c r="F3919" s="2">
        <v>4</v>
      </c>
      <c r="G3919" s="4">
        <v>3</v>
      </c>
      <c r="H3919" s="13"/>
      <c r="I3919" s="15"/>
      <c r="J3919" s="19">
        <v>4</v>
      </c>
      <c r="K3919" s="2" t="s">
        <v>7846</v>
      </c>
      <c r="L3919" s="11" t="str">
        <f t="shared" si="64"/>
        <v>Ver Imagen</v>
      </c>
      <c r="M3919" t="s">
        <v>15</v>
      </c>
    </row>
    <row r="3920" spans="1:13" x14ac:dyDescent="0.25">
      <c r="A3920">
        <v>3919</v>
      </c>
      <c r="B3920" t="s">
        <v>7847</v>
      </c>
      <c r="C3920" s="1">
        <v>37.229879241200003</v>
      </c>
      <c r="D3920" s="1">
        <v>-7.02035050843</v>
      </c>
      <c r="E3920" s="3">
        <v>4</v>
      </c>
      <c r="F3920" s="2">
        <v>4</v>
      </c>
      <c r="G3920" s="4">
        <v>3</v>
      </c>
      <c r="H3920" s="13"/>
      <c r="I3920" s="15"/>
      <c r="J3920" s="19">
        <v>4</v>
      </c>
      <c r="K3920" s="2" t="s">
        <v>7848</v>
      </c>
      <c r="L3920" s="11" t="str">
        <f t="shared" si="64"/>
        <v>Ver Imagen</v>
      </c>
      <c r="M3920" t="s">
        <v>15</v>
      </c>
    </row>
    <row r="3921" spans="1:13" x14ac:dyDescent="0.25">
      <c r="A3921">
        <v>3920</v>
      </c>
      <c r="B3921" t="s">
        <v>7849</v>
      </c>
      <c r="C3921" s="1">
        <v>37.230058411199998</v>
      </c>
      <c r="D3921" s="1">
        <v>-7.02021279608</v>
      </c>
      <c r="E3921" s="3">
        <v>4</v>
      </c>
      <c r="F3921" s="2">
        <v>4</v>
      </c>
      <c r="G3921" s="4">
        <v>3</v>
      </c>
      <c r="H3921" s="13"/>
      <c r="I3921" s="15"/>
      <c r="J3921" s="19">
        <v>4</v>
      </c>
      <c r="K3921" s="2" t="s">
        <v>7850</v>
      </c>
      <c r="L3921" s="11" t="str">
        <f t="shared" si="64"/>
        <v>Ver Imagen</v>
      </c>
      <c r="M3921" t="s">
        <v>15</v>
      </c>
    </row>
    <row r="3922" spans="1:13" x14ac:dyDescent="0.25">
      <c r="A3922">
        <v>3921</v>
      </c>
      <c r="B3922" t="s">
        <v>7851</v>
      </c>
      <c r="C3922" s="1">
        <v>37.230279109800001</v>
      </c>
      <c r="D3922" s="1">
        <v>-7.0200424423100003</v>
      </c>
      <c r="E3922" s="3">
        <v>4</v>
      </c>
      <c r="F3922" s="2">
        <v>4</v>
      </c>
      <c r="G3922" s="4">
        <v>3</v>
      </c>
      <c r="H3922" s="13"/>
      <c r="I3922" s="15"/>
      <c r="J3922" s="19">
        <v>4</v>
      </c>
      <c r="K3922" s="2" t="s">
        <v>7852</v>
      </c>
      <c r="L3922" s="11" t="str">
        <f t="shared" si="64"/>
        <v>Ver Imagen</v>
      </c>
      <c r="M3922" t="s">
        <v>15</v>
      </c>
    </row>
    <row r="3923" spans="1:13" x14ac:dyDescent="0.25">
      <c r="A3923">
        <v>3922</v>
      </c>
      <c r="B3923" t="s">
        <v>7853</v>
      </c>
      <c r="C3923" s="1">
        <v>37.230638663500002</v>
      </c>
      <c r="D3923" s="1">
        <v>-7.0197657516499996</v>
      </c>
      <c r="E3923" s="3">
        <v>4</v>
      </c>
      <c r="F3923" s="2">
        <v>4</v>
      </c>
      <c r="G3923" s="4">
        <v>3</v>
      </c>
      <c r="H3923" s="13"/>
      <c r="I3923" s="15"/>
      <c r="J3923" s="19">
        <v>4</v>
      </c>
      <c r="K3923" s="2" t="s">
        <v>7854</v>
      </c>
      <c r="L3923" s="11" t="str">
        <f t="shared" si="64"/>
        <v>Ver Imagen</v>
      </c>
      <c r="M3923" t="s">
        <v>15</v>
      </c>
    </row>
    <row r="3924" spans="1:13" x14ac:dyDescent="0.25">
      <c r="A3924">
        <v>3923</v>
      </c>
      <c r="B3924" t="s">
        <v>7855</v>
      </c>
      <c r="C3924" s="1">
        <v>37.230779553300003</v>
      </c>
      <c r="D3924" s="1">
        <v>-7.0196574461900001</v>
      </c>
      <c r="E3924" s="3">
        <v>4</v>
      </c>
      <c r="F3924" s="2">
        <v>4</v>
      </c>
      <c r="G3924" s="4">
        <v>3</v>
      </c>
      <c r="H3924" s="13"/>
      <c r="I3924" s="15"/>
      <c r="J3924" s="19">
        <v>4</v>
      </c>
      <c r="K3924" s="2" t="s">
        <v>7856</v>
      </c>
      <c r="L3924" s="11" t="str">
        <f t="shared" si="64"/>
        <v>Ver Imagen</v>
      </c>
      <c r="M3924" t="s">
        <v>15</v>
      </c>
    </row>
    <row r="3925" spans="1:13" x14ac:dyDescent="0.25">
      <c r="A3925">
        <v>3924</v>
      </c>
      <c r="B3925" t="s">
        <v>7857</v>
      </c>
      <c r="C3925" s="1">
        <v>37.230927216300003</v>
      </c>
      <c r="D3925" s="1">
        <v>-7.0195440479200002</v>
      </c>
      <c r="E3925" s="3">
        <v>4</v>
      </c>
      <c r="F3925" s="2">
        <v>4</v>
      </c>
      <c r="G3925" s="4">
        <v>3</v>
      </c>
      <c r="H3925" s="13"/>
      <c r="I3925" s="15"/>
      <c r="J3925" s="19">
        <v>4</v>
      </c>
      <c r="K3925" s="2" t="s">
        <v>7858</v>
      </c>
      <c r="L3925" s="11" t="str">
        <f t="shared" si="64"/>
        <v>Ver Imagen</v>
      </c>
      <c r="M3925" t="s">
        <v>15</v>
      </c>
    </row>
    <row r="3926" spans="1:13" x14ac:dyDescent="0.25">
      <c r="A3926">
        <v>3925</v>
      </c>
      <c r="B3926" t="s">
        <v>7859</v>
      </c>
      <c r="C3926" s="1">
        <v>37.248448982100001</v>
      </c>
      <c r="D3926" s="1">
        <v>-7.0181609967299998</v>
      </c>
      <c r="E3926" s="3">
        <v>4</v>
      </c>
      <c r="F3926" s="2">
        <v>4</v>
      </c>
      <c r="G3926" s="4">
        <v>3</v>
      </c>
      <c r="H3926" s="13"/>
      <c r="I3926" s="15"/>
      <c r="J3926" s="19">
        <v>4</v>
      </c>
      <c r="K3926" s="2" t="s">
        <v>7860</v>
      </c>
      <c r="L3926" s="11" t="str">
        <f t="shared" si="64"/>
        <v>Ver Imagen</v>
      </c>
      <c r="M3926" t="s">
        <v>15</v>
      </c>
    </row>
    <row r="3927" spans="1:13" x14ac:dyDescent="0.25">
      <c r="A3927">
        <v>3926</v>
      </c>
      <c r="B3927" t="s">
        <v>7861</v>
      </c>
      <c r="C3927" s="1">
        <v>37.2496339506</v>
      </c>
      <c r="D3927" s="1">
        <v>-7.0179601865899999</v>
      </c>
      <c r="E3927" s="3">
        <v>3</v>
      </c>
      <c r="F3927" s="2">
        <v>4</v>
      </c>
      <c r="G3927" s="4">
        <v>4</v>
      </c>
      <c r="H3927" s="13"/>
      <c r="I3927" s="15"/>
      <c r="J3927" s="19">
        <v>4</v>
      </c>
      <c r="K3927" s="2" t="s">
        <v>7862</v>
      </c>
      <c r="L3927" s="11" t="str">
        <f t="shared" si="64"/>
        <v>Ver Imagen</v>
      </c>
      <c r="M3927" t="s">
        <v>15</v>
      </c>
    </row>
    <row r="3928" spans="1:13" x14ac:dyDescent="0.25">
      <c r="A3928">
        <v>3927</v>
      </c>
      <c r="B3928" t="s">
        <v>7863</v>
      </c>
      <c r="C3928" s="1">
        <v>37.254192600300001</v>
      </c>
      <c r="D3928" s="1">
        <v>-7.01520826389</v>
      </c>
      <c r="E3928" s="3">
        <v>3</v>
      </c>
      <c r="F3928" s="2">
        <v>4</v>
      </c>
      <c r="G3928" s="4">
        <v>4</v>
      </c>
      <c r="H3928" s="13"/>
      <c r="I3928" s="15"/>
      <c r="J3928" s="19">
        <v>4</v>
      </c>
      <c r="K3928" s="2" t="s">
        <v>7864</v>
      </c>
      <c r="L3928" s="11" t="str">
        <f t="shared" si="64"/>
        <v>Ver Imagen</v>
      </c>
      <c r="M3928" t="s">
        <v>15</v>
      </c>
    </row>
    <row r="3929" spans="1:13" x14ac:dyDescent="0.25">
      <c r="A3929">
        <v>3928</v>
      </c>
      <c r="B3929" t="s">
        <v>7865</v>
      </c>
      <c r="C3929" s="1">
        <v>37.254521277199999</v>
      </c>
      <c r="D3929" s="1">
        <v>-7.0149969350700001</v>
      </c>
      <c r="E3929" s="3">
        <v>4</v>
      </c>
      <c r="F3929" s="2">
        <v>4</v>
      </c>
      <c r="G3929" s="4">
        <v>3</v>
      </c>
      <c r="H3929" s="13"/>
      <c r="I3929" s="15"/>
      <c r="J3929" s="19">
        <v>4</v>
      </c>
      <c r="K3929" s="2" t="s">
        <v>7866</v>
      </c>
      <c r="L3929" s="11" t="str">
        <f t="shared" si="64"/>
        <v>Ver Imagen</v>
      </c>
      <c r="M3929" t="s">
        <v>15</v>
      </c>
    </row>
    <row r="3930" spans="1:13" x14ac:dyDescent="0.25">
      <c r="A3930">
        <v>3929</v>
      </c>
      <c r="B3930" t="s">
        <v>7867</v>
      </c>
      <c r="C3930" s="1">
        <v>37.263117804399997</v>
      </c>
      <c r="D3930" s="1">
        <v>-7.00817947003</v>
      </c>
      <c r="E3930" s="3">
        <v>4</v>
      </c>
      <c r="F3930" s="2">
        <v>4</v>
      </c>
      <c r="G3930" s="4">
        <v>3</v>
      </c>
      <c r="H3930" s="13"/>
      <c r="I3930" s="15"/>
      <c r="J3930" s="19">
        <v>4</v>
      </c>
      <c r="K3930" s="2" t="s">
        <v>7868</v>
      </c>
      <c r="L3930" s="11" t="str">
        <f t="shared" si="64"/>
        <v>Ver Imagen</v>
      </c>
      <c r="M3930" t="s">
        <v>15</v>
      </c>
    </row>
    <row r="3931" spans="1:13" x14ac:dyDescent="0.25">
      <c r="A3931">
        <v>3930</v>
      </c>
      <c r="B3931" t="s">
        <v>7869</v>
      </c>
      <c r="C3931" s="1">
        <v>37.263478605899998</v>
      </c>
      <c r="D3931" s="1">
        <v>-7.0067907717100004</v>
      </c>
      <c r="E3931" s="3">
        <v>4</v>
      </c>
      <c r="F3931" s="2">
        <v>4</v>
      </c>
      <c r="G3931" s="4">
        <v>3</v>
      </c>
      <c r="H3931" s="13"/>
      <c r="I3931" s="15"/>
      <c r="J3931" s="19">
        <v>4</v>
      </c>
      <c r="K3931" s="2" t="s">
        <v>7870</v>
      </c>
      <c r="L3931" s="11" t="str">
        <f t="shared" si="64"/>
        <v>Ver Imagen</v>
      </c>
      <c r="M3931" t="s">
        <v>15</v>
      </c>
    </row>
    <row r="3932" spans="1:13" x14ac:dyDescent="0.25">
      <c r="A3932">
        <v>3931</v>
      </c>
      <c r="B3932" t="s">
        <v>7871</v>
      </c>
      <c r="C3932" s="1">
        <v>37.270800284499998</v>
      </c>
      <c r="D3932" s="1">
        <v>-6.9822550399400001</v>
      </c>
      <c r="E3932" s="3">
        <v>3</v>
      </c>
      <c r="F3932" s="2">
        <v>4</v>
      </c>
      <c r="G3932" s="4">
        <v>4</v>
      </c>
      <c r="H3932" s="13"/>
      <c r="I3932" s="15"/>
      <c r="J3932" s="19">
        <v>4</v>
      </c>
      <c r="K3932" s="2" t="s">
        <v>7872</v>
      </c>
      <c r="L3932" s="11" t="str">
        <f t="shared" si="64"/>
        <v>Ver Imagen</v>
      </c>
      <c r="M3932" t="s">
        <v>15</v>
      </c>
    </row>
    <row r="3933" spans="1:13" x14ac:dyDescent="0.25">
      <c r="A3933">
        <v>3932</v>
      </c>
      <c r="B3933" t="s">
        <v>7873</v>
      </c>
      <c r="C3933" s="1">
        <v>37.456176667599998</v>
      </c>
      <c r="D3933" s="1">
        <v>-7.1136105797500004</v>
      </c>
      <c r="E3933" s="3">
        <v>5</v>
      </c>
      <c r="F3933" s="2">
        <v>5</v>
      </c>
      <c r="G3933" s="4">
        <v>5</v>
      </c>
      <c r="H3933" s="13"/>
      <c r="I3933" s="15"/>
      <c r="J3933" s="19">
        <v>5</v>
      </c>
      <c r="K3933" s="2" t="s">
        <v>7874</v>
      </c>
      <c r="L3933" s="11" t="str">
        <f t="shared" ref="L3933:L3946" si="65">HYPERLINK("5\0\" &amp; K3933, "Ver Imagen")</f>
        <v>Ver Imagen</v>
      </c>
      <c r="M3933" t="s">
        <v>15</v>
      </c>
    </row>
    <row r="3934" spans="1:13" x14ac:dyDescent="0.25">
      <c r="A3934">
        <v>3933</v>
      </c>
      <c r="B3934" t="s">
        <v>7875</v>
      </c>
      <c r="C3934" s="1">
        <v>37.455604473400001</v>
      </c>
      <c r="D3934" s="1">
        <v>-7.1133878514399997</v>
      </c>
      <c r="E3934" s="3">
        <v>5</v>
      </c>
      <c r="F3934" s="2">
        <v>5</v>
      </c>
      <c r="G3934" s="4">
        <v>5</v>
      </c>
      <c r="H3934" s="13"/>
      <c r="I3934" s="15"/>
      <c r="J3934" s="19">
        <v>5</v>
      </c>
      <c r="K3934" s="2" t="s">
        <v>7876</v>
      </c>
      <c r="L3934" s="11" t="str">
        <f t="shared" si="65"/>
        <v>Ver Imagen</v>
      </c>
      <c r="M3934" t="s">
        <v>15</v>
      </c>
    </row>
    <row r="3935" spans="1:13" x14ac:dyDescent="0.25">
      <c r="A3935">
        <v>3934</v>
      </c>
      <c r="B3935" t="s">
        <v>7877</v>
      </c>
      <c r="C3935" s="1">
        <v>37.454808798599998</v>
      </c>
      <c r="D3935" s="1">
        <v>-7.1130373630600001</v>
      </c>
      <c r="E3935" s="3">
        <v>5</v>
      </c>
      <c r="F3935" s="2">
        <v>5</v>
      </c>
      <c r="G3935" s="4">
        <v>5</v>
      </c>
      <c r="H3935" s="13"/>
      <c r="I3935" s="15"/>
      <c r="J3935" s="19">
        <v>5</v>
      </c>
      <c r="K3935" s="2" t="s">
        <v>7878</v>
      </c>
      <c r="L3935" s="11" t="str">
        <f t="shared" si="65"/>
        <v>Ver Imagen</v>
      </c>
      <c r="M3935" t="s">
        <v>15</v>
      </c>
    </row>
    <row r="3936" spans="1:13" x14ac:dyDescent="0.25">
      <c r="A3936">
        <v>3935</v>
      </c>
      <c r="B3936" t="s">
        <v>7879</v>
      </c>
      <c r="C3936" s="1">
        <v>37.454462034000002</v>
      </c>
      <c r="D3936" s="1">
        <v>-7.1128600472699999</v>
      </c>
      <c r="E3936" s="3">
        <v>5</v>
      </c>
      <c r="F3936" s="2">
        <v>5</v>
      </c>
      <c r="G3936" s="4">
        <v>5</v>
      </c>
      <c r="H3936" s="13"/>
      <c r="I3936" s="15"/>
      <c r="J3936" s="19">
        <v>5</v>
      </c>
      <c r="K3936" s="2" t="s">
        <v>7880</v>
      </c>
      <c r="L3936" s="11" t="str">
        <f t="shared" si="65"/>
        <v>Ver Imagen</v>
      </c>
      <c r="M3936" t="s">
        <v>15</v>
      </c>
    </row>
    <row r="3937" spans="1:13" x14ac:dyDescent="0.25">
      <c r="A3937">
        <v>3936</v>
      </c>
      <c r="B3937" t="s">
        <v>7881</v>
      </c>
      <c r="C3937" s="1">
        <v>37.454275823400003</v>
      </c>
      <c r="D3937" s="1">
        <v>-7.1127576442300002</v>
      </c>
      <c r="E3937" s="3">
        <v>5</v>
      </c>
      <c r="F3937" s="2">
        <v>5</v>
      </c>
      <c r="G3937" s="4">
        <v>5</v>
      </c>
      <c r="H3937" s="13"/>
      <c r="I3937" s="15"/>
      <c r="J3937" s="19">
        <v>5</v>
      </c>
      <c r="K3937" s="2" t="s">
        <v>7882</v>
      </c>
      <c r="L3937" s="11" t="str">
        <f t="shared" si="65"/>
        <v>Ver Imagen</v>
      </c>
      <c r="M3937" t="s">
        <v>15</v>
      </c>
    </row>
    <row r="3938" spans="1:13" x14ac:dyDescent="0.25">
      <c r="A3938">
        <v>3937</v>
      </c>
      <c r="B3938" t="s">
        <v>7883</v>
      </c>
      <c r="C3938" s="1">
        <v>37.450623465699998</v>
      </c>
      <c r="D3938" s="1">
        <v>-7.11059612729</v>
      </c>
      <c r="E3938" s="3">
        <v>5</v>
      </c>
      <c r="F3938" s="2">
        <v>5</v>
      </c>
      <c r="G3938" s="4">
        <v>5</v>
      </c>
      <c r="H3938" s="13"/>
      <c r="I3938" s="15"/>
      <c r="J3938" s="19">
        <v>5</v>
      </c>
      <c r="K3938" s="2" t="s">
        <v>7884</v>
      </c>
      <c r="L3938" s="11" t="str">
        <f t="shared" si="65"/>
        <v>Ver Imagen</v>
      </c>
      <c r="M3938" t="s">
        <v>15</v>
      </c>
    </row>
    <row r="3939" spans="1:13" x14ac:dyDescent="0.25">
      <c r="A3939">
        <v>3938</v>
      </c>
      <c r="B3939" t="s">
        <v>7885</v>
      </c>
      <c r="C3939" s="1">
        <v>37.450239091199997</v>
      </c>
      <c r="D3939" s="1">
        <v>-7.1104579866800002</v>
      </c>
      <c r="E3939" s="3">
        <v>5</v>
      </c>
      <c r="F3939" s="2">
        <v>5</v>
      </c>
      <c r="G3939" s="4">
        <v>5</v>
      </c>
      <c r="H3939" s="13"/>
      <c r="I3939" s="15"/>
      <c r="J3939" s="19">
        <v>5</v>
      </c>
      <c r="K3939" s="2" t="s">
        <v>7886</v>
      </c>
      <c r="L3939" s="11" t="str">
        <f t="shared" si="65"/>
        <v>Ver Imagen</v>
      </c>
      <c r="M3939" t="s">
        <v>15</v>
      </c>
    </row>
    <row r="3940" spans="1:13" x14ac:dyDescent="0.25">
      <c r="A3940">
        <v>3939</v>
      </c>
      <c r="B3940" t="s">
        <v>7887</v>
      </c>
      <c r="C3940" s="1">
        <v>37.213251286499997</v>
      </c>
      <c r="D3940" s="1">
        <v>-7.0648337651800004</v>
      </c>
      <c r="E3940" s="3">
        <v>5</v>
      </c>
      <c r="F3940" s="2">
        <v>5</v>
      </c>
      <c r="G3940" s="4">
        <v>5</v>
      </c>
      <c r="H3940" s="13"/>
      <c r="I3940" s="15"/>
      <c r="J3940" s="19">
        <v>5</v>
      </c>
      <c r="K3940" s="2" t="s">
        <v>7888</v>
      </c>
      <c r="L3940" s="11" t="str">
        <f t="shared" si="65"/>
        <v>Ver Imagen</v>
      </c>
      <c r="M3940" t="s">
        <v>15</v>
      </c>
    </row>
    <row r="3941" spans="1:13" x14ac:dyDescent="0.25">
      <c r="A3941">
        <v>3940</v>
      </c>
      <c r="B3941" t="s">
        <v>7889</v>
      </c>
      <c r="C3941" s="1">
        <v>37.213161532000001</v>
      </c>
      <c r="D3941" s="1">
        <v>-7.0646476186499996</v>
      </c>
      <c r="E3941" s="3">
        <v>5</v>
      </c>
      <c r="F3941" s="2">
        <v>5</v>
      </c>
      <c r="G3941" s="4">
        <v>5</v>
      </c>
      <c r="H3941" s="13"/>
      <c r="I3941" s="15"/>
      <c r="J3941" s="19">
        <v>5</v>
      </c>
      <c r="K3941" s="2" t="s">
        <v>7890</v>
      </c>
      <c r="L3941" s="11" t="str">
        <f t="shared" si="65"/>
        <v>Ver Imagen</v>
      </c>
      <c r="M3941" t="s">
        <v>15</v>
      </c>
    </row>
    <row r="3942" spans="1:13" x14ac:dyDescent="0.25">
      <c r="A3942">
        <v>3941</v>
      </c>
      <c r="B3942" t="s">
        <v>7891</v>
      </c>
      <c r="C3942" s="1">
        <v>37.468852637399998</v>
      </c>
      <c r="D3942" s="1">
        <v>-7.1238461906300001</v>
      </c>
      <c r="E3942" s="3">
        <v>5</v>
      </c>
      <c r="F3942" s="2">
        <v>5</v>
      </c>
      <c r="G3942" s="4">
        <v>5</v>
      </c>
      <c r="H3942" s="13"/>
      <c r="I3942" s="15"/>
      <c r="J3942" s="19">
        <v>5</v>
      </c>
      <c r="K3942" s="2" t="s">
        <v>7892</v>
      </c>
      <c r="L3942" s="11" t="str">
        <f t="shared" si="65"/>
        <v>Ver Imagen</v>
      </c>
      <c r="M3942" t="s">
        <v>15</v>
      </c>
    </row>
    <row r="3943" spans="1:13" x14ac:dyDescent="0.25">
      <c r="A3943">
        <v>3942</v>
      </c>
      <c r="B3943" t="s">
        <v>7893</v>
      </c>
      <c r="C3943" s="1">
        <v>37.187036661599997</v>
      </c>
      <c r="D3943" s="1">
        <v>-6.9794642829700004</v>
      </c>
      <c r="E3943" s="3">
        <v>5</v>
      </c>
      <c r="F3943" s="2">
        <v>5</v>
      </c>
      <c r="G3943" s="4">
        <v>5</v>
      </c>
      <c r="H3943" s="13"/>
      <c r="I3943" s="15"/>
      <c r="J3943" s="19">
        <v>5</v>
      </c>
      <c r="K3943" s="2" t="s">
        <v>7894</v>
      </c>
      <c r="L3943" s="11" t="str">
        <f t="shared" si="65"/>
        <v>Ver Imagen</v>
      </c>
      <c r="M3943" t="s">
        <v>15</v>
      </c>
    </row>
    <row r="3944" spans="1:13" x14ac:dyDescent="0.25">
      <c r="A3944">
        <v>3943</v>
      </c>
      <c r="B3944" t="s">
        <v>7895</v>
      </c>
      <c r="C3944" s="1">
        <v>37.204148234599998</v>
      </c>
      <c r="D3944" s="1">
        <v>-7.0111197444700002</v>
      </c>
      <c r="E3944" s="3">
        <v>5</v>
      </c>
      <c r="F3944" s="2">
        <v>5</v>
      </c>
      <c r="G3944" s="4">
        <v>5</v>
      </c>
      <c r="H3944" s="13"/>
      <c r="I3944" s="15"/>
      <c r="J3944" s="19">
        <v>5</v>
      </c>
      <c r="K3944" s="2" t="s">
        <v>7896</v>
      </c>
      <c r="L3944" s="11" t="str">
        <f t="shared" si="65"/>
        <v>Ver Imagen</v>
      </c>
      <c r="M3944" t="s">
        <v>15</v>
      </c>
    </row>
    <row r="3945" spans="1:13" x14ac:dyDescent="0.25">
      <c r="A3945">
        <v>3944</v>
      </c>
      <c r="B3945" t="s">
        <v>7897</v>
      </c>
      <c r="C3945" s="1">
        <v>37.242037004700002</v>
      </c>
      <c r="D3945" s="1">
        <v>-7.0185940635800002</v>
      </c>
      <c r="E3945" s="3">
        <v>5</v>
      </c>
      <c r="F3945" s="2">
        <v>5</v>
      </c>
      <c r="G3945" s="4">
        <v>5</v>
      </c>
      <c r="H3945" s="13"/>
      <c r="I3945" s="15"/>
      <c r="J3945" s="19">
        <v>5</v>
      </c>
      <c r="K3945" s="2" t="s">
        <v>7898</v>
      </c>
      <c r="L3945" s="11" t="str">
        <f t="shared" si="65"/>
        <v>Ver Imagen</v>
      </c>
      <c r="M3945" t="s">
        <v>15</v>
      </c>
    </row>
    <row r="3946" spans="1:13" x14ac:dyDescent="0.25">
      <c r="A3946">
        <v>3945</v>
      </c>
      <c r="B3946" t="s">
        <v>7899</v>
      </c>
      <c r="C3946" s="1">
        <v>37.253975818500003</v>
      </c>
      <c r="D3946" s="1">
        <v>-7.0153466037100003</v>
      </c>
      <c r="E3946" s="3">
        <v>5</v>
      </c>
      <c r="F3946" s="2">
        <v>5</v>
      </c>
      <c r="G3946" s="4">
        <v>5</v>
      </c>
      <c r="H3946" s="13"/>
      <c r="I3946" s="15"/>
      <c r="J3946" s="19">
        <v>5</v>
      </c>
      <c r="K3946" s="2" t="s">
        <v>7900</v>
      </c>
      <c r="L3946" s="11" t="str">
        <f t="shared" si="65"/>
        <v>Ver Imagen</v>
      </c>
      <c r="M3946" t="s">
        <v>15</v>
      </c>
    </row>
    <row r="3947" spans="1:13" x14ac:dyDescent="0.25">
      <c r="A3947">
        <v>3946</v>
      </c>
      <c r="B3947" t="s">
        <v>7901</v>
      </c>
      <c r="C3947" s="1">
        <v>37.451116187300002</v>
      </c>
      <c r="D3947" s="1">
        <v>-7.1542270568699999</v>
      </c>
      <c r="E3947" s="3">
        <v>4</v>
      </c>
      <c r="F3947" s="2">
        <v>5</v>
      </c>
      <c r="G3947" s="4">
        <v>5</v>
      </c>
      <c r="H3947" s="13"/>
      <c r="I3947" s="15"/>
      <c r="J3947" s="19">
        <v>5</v>
      </c>
      <c r="K3947" s="2" t="s">
        <v>7902</v>
      </c>
      <c r="L3947" s="11" t="str">
        <f t="shared" ref="L3947:L3978" si="66">HYPERLINK("5\1\" &amp; K3947, "Ver Imagen")</f>
        <v>Ver Imagen</v>
      </c>
      <c r="M3947" t="s">
        <v>15</v>
      </c>
    </row>
    <row r="3948" spans="1:13" x14ac:dyDescent="0.25">
      <c r="A3948">
        <v>3947</v>
      </c>
      <c r="B3948" t="s">
        <v>7903</v>
      </c>
      <c r="C3948" s="1">
        <v>37.465640173600001</v>
      </c>
      <c r="D3948" s="1">
        <v>-7.1815094256499998</v>
      </c>
      <c r="E3948" s="3">
        <v>4</v>
      </c>
      <c r="F3948" s="2">
        <v>5</v>
      </c>
      <c r="G3948" s="4">
        <v>5</v>
      </c>
      <c r="H3948" s="13"/>
      <c r="I3948" s="15"/>
      <c r="J3948" s="19">
        <v>5</v>
      </c>
      <c r="K3948" s="2" t="s">
        <v>7904</v>
      </c>
      <c r="L3948" s="11" t="str">
        <f t="shared" si="66"/>
        <v>Ver Imagen</v>
      </c>
      <c r="M3948" t="s">
        <v>15</v>
      </c>
    </row>
    <row r="3949" spans="1:13" x14ac:dyDescent="0.25">
      <c r="A3949">
        <v>3948</v>
      </c>
      <c r="B3949" t="s">
        <v>7905</v>
      </c>
      <c r="C3949" s="1">
        <v>37.458116646400001</v>
      </c>
      <c r="D3949" s="1">
        <v>-7.11434482668</v>
      </c>
      <c r="E3949" s="3">
        <v>5</v>
      </c>
      <c r="F3949" s="2">
        <v>5</v>
      </c>
      <c r="G3949" s="4">
        <v>4</v>
      </c>
      <c r="H3949" s="13"/>
      <c r="I3949" s="15"/>
      <c r="J3949" s="19">
        <v>5</v>
      </c>
      <c r="K3949" s="2" t="s">
        <v>7906</v>
      </c>
      <c r="L3949" s="11" t="str">
        <f t="shared" si="66"/>
        <v>Ver Imagen</v>
      </c>
      <c r="M3949" t="s">
        <v>15</v>
      </c>
    </row>
    <row r="3950" spans="1:13" x14ac:dyDescent="0.25">
      <c r="A3950">
        <v>3949</v>
      </c>
      <c r="B3950" t="s">
        <v>7907</v>
      </c>
      <c r="C3950" s="1">
        <v>37.266601832600003</v>
      </c>
      <c r="D3950" s="1">
        <v>-6.9924371449600002</v>
      </c>
      <c r="E3950" s="3">
        <v>5</v>
      </c>
      <c r="F3950" s="2">
        <v>5</v>
      </c>
      <c r="G3950" s="4">
        <v>4</v>
      </c>
      <c r="H3950" s="13"/>
      <c r="I3950" s="15"/>
      <c r="J3950" s="19">
        <v>5</v>
      </c>
      <c r="K3950" s="2" t="s">
        <v>7908</v>
      </c>
      <c r="L3950" s="11" t="str">
        <f t="shared" si="66"/>
        <v>Ver Imagen</v>
      </c>
      <c r="M3950" t="s">
        <v>15</v>
      </c>
    </row>
    <row r="3951" spans="1:13" x14ac:dyDescent="0.25">
      <c r="A3951">
        <v>3950</v>
      </c>
      <c r="B3951" t="s">
        <v>7909</v>
      </c>
      <c r="C3951" s="1">
        <v>37.448934142699997</v>
      </c>
      <c r="D3951" s="1">
        <v>-7.14969086288</v>
      </c>
      <c r="E3951" s="3">
        <v>4</v>
      </c>
      <c r="F3951" s="2">
        <v>5</v>
      </c>
      <c r="G3951" s="4">
        <v>5</v>
      </c>
      <c r="H3951" s="13"/>
      <c r="I3951" s="15"/>
      <c r="J3951" s="19">
        <v>5</v>
      </c>
      <c r="K3951" s="2" t="s">
        <v>7910</v>
      </c>
      <c r="L3951" s="11" t="str">
        <f t="shared" si="66"/>
        <v>Ver Imagen</v>
      </c>
      <c r="M3951" t="s">
        <v>15</v>
      </c>
    </row>
    <row r="3952" spans="1:13" x14ac:dyDescent="0.25">
      <c r="A3952">
        <v>3951</v>
      </c>
      <c r="B3952" t="s">
        <v>7911</v>
      </c>
      <c r="C3952" s="1">
        <v>37.495089083300002</v>
      </c>
      <c r="D3952" s="1">
        <v>-7.2675236462199999</v>
      </c>
      <c r="E3952" s="3">
        <v>4</v>
      </c>
      <c r="F3952" s="2">
        <v>5</v>
      </c>
      <c r="G3952" s="4">
        <v>5</v>
      </c>
      <c r="H3952" s="13"/>
      <c r="I3952" s="15"/>
      <c r="J3952" s="19">
        <v>5</v>
      </c>
      <c r="K3952" s="2" t="s">
        <v>7912</v>
      </c>
      <c r="L3952" s="11" t="str">
        <f t="shared" si="66"/>
        <v>Ver Imagen</v>
      </c>
      <c r="M3952" t="s">
        <v>15</v>
      </c>
    </row>
    <row r="3953" spans="1:13" x14ac:dyDescent="0.25">
      <c r="A3953">
        <v>3952</v>
      </c>
      <c r="B3953" t="s">
        <v>7913</v>
      </c>
      <c r="C3953" s="1">
        <v>37.455777152300001</v>
      </c>
      <c r="D3953" s="1">
        <v>-7.1134574650899998</v>
      </c>
      <c r="E3953" s="3">
        <v>5</v>
      </c>
      <c r="F3953" s="2">
        <v>5</v>
      </c>
      <c r="G3953" s="4">
        <v>4</v>
      </c>
      <c r="H3953" s="13"/>
      <c r="I3953" s="15"/>
      <c r="J3953" s="19">
        <v>5</v>
      </c>
      <c r="K3953" s="2" t="s">
        <v>7914</v>
      </c>
      <c r="L3953" s="11" t="str">
        <f t="shared" si="66"/>
        <v>Ver Imagen</v>
      </c>
      <c r="M3953" t="s">
        <v>15</v>
      </c>
    </row>
    <row r="3954" spans="1:13" x14ac:dyDescent="0.25">
      <c r="A3954">
        <v>3953</v>
      </c>
      <c r="B3954" t="s">
        <v>7915</v>
      </c>
      <c r="C3954" s="1">
        <v>37.455413479400001</v>
      </c>
      <c r="D3954" s="1">
        <v>-7.1133098879099999</v>
      </c>
      <c r="E3954" s="3">
        <v>5</v>
      </c>
      <c r="F3954" s="2">
        <v>4</v>
      </c>
      <c r="G3954" s="4">
        <v>5</v>
      </c>
      <c r="H3954" s="13"/>
      <c r="I3954" s="15"/>
      <c r="J3954" s="19">
        <v>5</v>
      </c>
      <c r="K3954" s="2" t="s">
        <v>7916</v>
      </c>
      <c r="L3954" s="11" t="str">
        <f t="shared" si="66"/>
        <v>Ver Imagen</v>
      </c>
      <c r="M3954" t="s">
        <v>15</v>
      </c>
    </row>
    <row r="3955" spans="1:13" x14ac:dyDescent="0.25">
      <c r="A3955">
        <v>3954</v>
      </c>
      <c r="B3955" t="s">
        <v>7917</v>
      </c>
      <c r="C3955" s="1">
        <v>37.454072113800002</v>
      </c>
      <c r="D3955" s="1">
        <v>-7.1126459457099998</v>
      </c>
      <c r="E3955" s="3">
        <v>5</v>
      </c>
      <c r="F3955" s="2">
        <v>4</v>
      </c>
      <c r="G3955" s="4">
        <v>5</v>
      </c>
      <c r="H3955" s="13"/>
      <c r="I3955" s="15"/>
      <c r="J3955" s="19">
        <v>5</v>
      </c>
      <c r="K3955" s="2" t="s">
        <v>7918</v>
      </c>
      <c r="L3955" s="11" t="str">
        <f t="shared" si="66"/>
        <v>Ver Imagen</v>
      </c>
      <c r="M3955" t="s">
        <v>15</v>
      </c>
    </row>
    <row r="3956" spans="1:13" x14ac:dyDescent="0.25">
      <c r="A3956">
        <v>3955</v>
      </c>
      <c r="B3956" t="s">
        <v>7919</v>
      </c>
      <c r="C3956" s="1">
        <v>37.452772306</v>
      </c>
      <c r="D3956" s="1">
        <v>-7.1119426990000001</v>
      </c>
      <c r="E3956" s="3">
        <v>4</v>
      </c>
      <c r="F3956" s="2">
        <v>5</v>
      </c>
      <c r="G3956" s="4">
        <v>5</v>
      </c>
      <c r="H3956" s="13"/>
      <c r="I3956" s="15"/>
      <c r="J3956" s="19">
        <v>5</v>
      </c>
      <c r="K3956" s="2" t="s">
        <v>7920</v>
      </c>
      <c r="L3956" s="11" t="str">
        <f t="shared" si="66"/>
        <v>Ver Imagen</v>
      </c>
      <c r="M3956" t="s">
        <v>15</v>
      </c>
    </row>
    <row r="3957" spans="1:13" x14ac:dyDescent="0.25">
      <c r="A3957">
        <v>3956</v>
      </c>
      <c r="B3957" t="s">
        <v>7921</v>
      </c>
      <c r="C3957" s="1">
        <v>37.452031665600003</v>
      </c>
      <c r="D3957" s="1">
        <v>-7.1115366080199998</v>
      </c>
      <c r="E3957" s="3">
        <v>5</v>
      </c>
      <c r="F3957" s="2">
        <v>4</v>
      </c>
      <c r="G3957" s="4">
        <v>5</v>
      </c>
      <c r="H3957" s="13"/>
      <c r="I3957" s="15"/>
      <c r="J3957" s="19">
        <v>5</v>
      </c>
      <c r="K3957" s="2" t="s">
        <v>7922</v>
      </c>
      <c r="L3957" s="11" t="str">
        <f t="shared" si="66"/>
        <v>Ver Imagen</v>
      </c>
      <c r="M3957" t="s">
        <v>15</v>
      </c>
    </row>
    <row r="3958" spans="1:13" x14ac:dyDescent="0.25">
      <c r="A3958">
        <v>3957</v>
      </c>
      <c r="B3958" t="s">
        <v>7923</v>
      </c>
      <c r="C3958" s="1">
        <v>37.451320361400001</v>
      </c>
      <c r="D3958" s="1">
        <v>-7.1110737112400004</v>
      </c>
      <c r="E3958" s="3">
        <v>5</v>
      </c>
      <c r="F3958" s="2">
        <v>4</v>
      </c>
      <c r="G3958" s="4">
        <v>5</v>
      </c>
      <c r="H3958" s="13"/>
      <c r="I3958" s="15"/>
      <c r="J3958" s="19">
        <v>5</v>
      </c>
      <c r="K3958" s="2" t="s">
        <v>7924</v>
      </c>
      <c r="L3958" s="11" t="str">
        <f t="shared" si="66"/>
        <v>Ver Imagen</v>
      </c>
      <c r="M3958" t="s">
        <v>15</v>
      </c>
    </row>
    <row r="3959" spans="1:13" x14ac:dyDescent="0.25">
      <c r="A3959">
        <v>3958</v>
      </c>
      <c r="B3959" t="s">
        <v>7925</v>
      </c>
      <c r="C3959" s="1">
        <v>37.213062205900002</v>
      </c>
      <c r="D3959" s="1">
        <v>-7.0643811620900001</v>
      </c>
      <c r="E3959" s="3">
        <v>5</v>
      </c>
      <c r="F3959" s="2">
        <v>4</v>
      </c>
      <c r="G3959" s="4">
        <v>5</v>
      </c>
      <c r="H3959" s="13"/>
      <c r="I3959" s="15"/>
      <c r="J3959" s="19">
        <v>5</v>
      </c>
      <c r="K3959" s="2" t="s">
        <v>7926</v>
      </c>
      <c r="L3959" s="11" t="str">
        <f t="shared" si="66"/>
        <v>Ver Imagen</v>
      </c>
      <c r="M3959" t="s">
        <v>15</v>
      </c>
    </row>
    <row r="3960" spans="1:13" x14ac:dyDescent="0.25">
      <c r="A3960">
        <v>3959</v>
      </c>
      <c r="B3960" t="s">
        <v>7927</v>
      </c>
      <c r="C3960" s="1">
        <v>37.213124738899999</v>
      </c>
      <c r="D3960" s="1">
        <v>-7.0641431506899997</v>
      </c>
      <c r="E3960" s="3">
        <v>5</v>
      </c>
      <c r="F3960" s="2">
        <v>4</v>
      </c>
      <c r="G3960" s="4">
        <v>5</v>
      </c>
      <c r="H3960" s="13"/>
      <c r="I3960" s="15"/>
      <c r="J3960" s="19">
        <v>5</v>
      </c>
      <c r="K3960" s="2" t="s">
        <v>7928</v>
      </c>
      <c r="L3960" s="11" t="str">
        <f t="shared" si="66"/>
        <v>Ver Imagen</v>
      </c>
      <c r="M3960" t="s">
        <v>15</v>
      </c>
    </row>
    <row r="3961" spans="1:13" x14ac:dyDescent="0.25">
      <c r="A3961">
        <v>3960</v>
      </c>
      <c r="B3961" t="s">
        <v>7929</v>
      </c>
      <c r="C3961" s="1">
        <v>37.213224074000003</v>
      </c>
      <c r="D3961" s="1">
        <v>-7.06366603785</v>
      </c>
      <c r="E3961" s="3">
        <v>5</v>
      </c>
      <c r="F3961" s="2">
        <v>4</v>
      </c>
      <c r="G3961" s="4">
        <v>5</v>
      </c>
      <c r="H3961" s="13"/>
      <c r="I3961" s="15"/>
      <c r="J3961" s="19">
        <v>5</v>
      </c>
      <c r="K3961" s="2" t="s">
        <v>7930</v>
      </c>
      <c r="L3961" s="11" t="str">
        <f t="shared" si="66"/>
        <v>Ver Imagen</v>
      </c>
      <c r="M3961" t="s">
        <v>15</v>
      </c>
    </row>
    <row r="3962" spans="1:13" x14ac:dyDescent="0.25">
      <c r="A3962">
        <v>3961</v>
      </c>
      <c r="B3962" t="s">
        <v>7931</v>
      </c>
      <c r="C3962" s="1">
        <v>37.227470770300002</v>
      </c>
      <c r="D3962" s="1">
        <v>-7.1265228591799996</v>
      </c>
      <c r="E3962" s="3">
        <v>5</v>
      </c>
      <c r="F3962" s="2">
        <v>4</v>
      </c>
      <c r="G3962" s="4">
        <v>5</v>
      </c>
      <c r="H3962" s="13"/>
      <c r="I3962" s="15"/>
      <c r="J3962" s="19">
        <v>5</v>
      </c>
      <c r="K3962" s="2" t="s">
        <v>7932</v>
      </c>
      <c r="L3962" s="11" t="str">
        <f t="shared" si="66"/>
        <v>Ver Imagen</v>
      </c>
      <c r="M3962" t="s">
        <v>15</v>
      </c>
    </row>
    <row r="3963" spans="1:13" x14ac:dyDescent="0.25">
      <c r="A3963">
        <v>3962</v>
      </c>
      <c r="B3963" t="s">
        <v>7933</v>
      </c>
      <c r="C3963" s="1">
        <v>37.227273177299999</v>
      </c>
      <c r="D3963" s="1">
        <v>-7.12646463955</v>
      </c>
      <c r="E3963" s="3">
        <v>5</v>
      </c>
      <c r="F3963" s="2">
        <v>4</v>
      </c>
      <c r="G3963" s="4">
        <v>5</v>
      </c>
      <c r="H3963" s="13"/>
      <c r="I3963" s="15"/>
      <c r="J3963" s="19">
        <v>5</v>
      </c>
      <c r="K3963" s="2" t="s">
        <v>7934</v>
      </c>
      <c r="L3963" s="11" t="str">
        <f t="shared" si="66"/>
        <v>Ver Imagen</v>
      </c>
      <c r="M3963" t="s">
        <v>15</v>
      </c>
    </row>
    <row r="3964" spans="1:13" x14ac:dyDescent="0.25">
      <c r="A3964">
        <v>3963</v>
      </c>
      <c r="B3964" t="s">
        <v>7935</v>
      </c>
      <c r="C3964" s="1">
        <v>37.435551700300003</v>
      </c>
      <c r="D3964" s="1">
        <v>-7.0750546183800003</v>
      </c>
      <c r="E3964" s="3">
        <v>5</v>
      </c>
      <c r="F3964" s="2">
        <v>4</v>
      </c>
      <c r="G3964" s="4">
        <v>5</v>
      </c>
      <c r="H3964" s="13"/>
      <c r="I3964" s="15"/>
      <c r="J3964" s="19">
        <v>5</v>
      </c>
      <c r="K3964" s="2" t="s">
        <v>7936</v>
      </c>
      <c r="L3964" s="11" t="str">
        <f t="shared" si="66"/>
        <v>Ver Imagen</v>
      </c>
      <c r="M3964" t="s">
        <v>15</v>
      </c>
    </row>
    <row r="3965" spans="1:13" x14ac:dyDescent="0.25">
      <c r="A3965">
        <v>3964</v>
      </c>
      <c r="B3965" t="s">
        <v>7937</v>
      </c>
      <c r="C3965" s="1">
        <v>37.4354710024</v>
      </c>
      <c r="D3965" s="1">
        <v>-7.0737735649999998</v>
      </c>
      <c r="E3965" s="3">
        <v>5</v>
      </c>
      <c r="F3965" s="2">
        <v>4</v>
      </c>
      <c r="G3965" s="4">
        <v>5</v>
      </c>
      <c r="H3965" s="13"/>
      <c r="I3965" s="15"/>
      <c r="J3965" s="19">
        <v>5</v>
      </c>
      <c r="K3965" s="2" t="s">
        <v>7938</v>
      </c>
      <c r="L3965" s="11" t="str">
        <f t="shared" si="66"/>
        <v>Ver Imagen</v>
      </c>
      <c r="M3965" t="s">
        <v>15</v>
      </c>
    </row>
    <row r="3966" spans="1:13" x14ac:dyDescent="0.25">
      <c r="A3966">
        <v>3965</v>
      </c>
      <c r="B3966" t="s">
        <v>7939</v>
      </c>
      <c r="C3966" s="1">
        <v>37.435447368200002</v>
      </c>
      <c r="D3966" s="1">
        <v>-7.0734994034999996</v>
      </c>
      <c r="E3966" s="3">
        <v>5</v>
      </c>
      <c r="F3966" s="2">
        <v>4</v>
      </c>
      <c r="G3966" s="4">
        <v>5</v>
      </c>
      <c r="H3966" s="13"/>
      <c r="I3966" s="15"/>
      <c r="J3966" s="19">
        <v>5</v>
      </c>
      <c r="K3966" s="2" t="s">
        <v>7940</v>
      </c>
      <c r="L3966" s="11" t="str">
        <f t="shared" si="66"/>
        <v>Ver Imagen</v>
      </c>
      <c r="M3966" t="s">
        <v>15</v>
      </c>
    </row>
    <row r="3967" spans="1:13" x14ac:dyDescent="0.25">
      <c r="A3967">
        <v>3966</v>
      </c>
      <c r="B3967" t="s">
        <v>7941</v>
      </c>
      <c r="C3967" s="1">
        <v>37.435366084800002</v>
      </c>
      <c r="D3967" s="1">
        <v>-7.0725195976600004</v>
      </c>
      <c r="E3967" s="3">
        <v>5</v>
      </c>
      <c r="F3967" s="2">
        <v>4</v>
      </c>
      <c r="G3967" s="4">
        <v>5</v>
      </c>
      <c r="H3967" s="13"/>
      <c r="I3967" s="15"/>
      <c r="J3967" s="19">
        <v>5</v>
      </c>
      <c r="K3967" s="2" t="s">
        <v>7942</v>
      </c>
      <c r="L3967" s="11" t="str">
        <f t="shared" si="66"/>
        <v>Ver Imagen</v>
      </c>
      <c r="M3967" t="s">
        <v>15</v>
      </c>
    </row>
    <row r="3968" spans="1:13" x14ac:dyDescent="0.25">
      <c r="A3968">
        <v>3967</v>
      </c>
      <c r="B3968" t="s">
        <v>7943</v>
      </c>
      <c r="C3968" s="1">
        <v>37.244493214499997</v>
      </c>
      <c r="D3968" s="1">
        <v>-7.0909456554999997</v>
      </c>
      <c r="E3968" s="3">
        <v>5</v>
      </c>
      <c r="F3968" s="2">
        <v>4</v>
      </c>
      <c r="G3968" s="4">
        <v>5</v>
      </c>
      <c r="H3968" s="13"/>
      <c r="I3968" s="15"/>
      <c r="J3968" s="19">
        <v>5</v>
      </c>
      <c r="K3968" s="2" t="s">
        <v>7944</v>
      </c>
      <c r="L3968" s="11" t="str">
        <f t="shared" si="66"/>
        <v>Ver Imagen</v>
      </c>
      <c r="M3968" t="s">
        <v>15</v>
      </c>
    </row>
    <row r="3969" spans="1:13" x14ac:dyDescent="0.25">
      <c r="A3969">
        <v>3968</v>
      </c>
      <c r="B3969" t="s">
        <v>7945</v>
      </c>
      <c r="C3969" s="1">
        <v>37.244590958700002</v>
      </c>
      <c r="D3969" s="1">
        <v>-7.0911390993900003</v>
      </c>
      <c r="E3969" s="3">
        <v>5</v>
      </c>
      <c r="F3969" s="2">
        <v>4</v>
      </c>
      <c r="G3969" s="4">
        <v>5</v>
      </c>
      <c r="H3969" s="13"/>
      <c r="I3969" s="15"/>
      <c r="J3969" s="19">
        <v>5</v>
      </c>
      <c r="K3969" s="2" t="s">
        <v>7946</v>
      </c>
      <c r="L3969" s="11" t="str">
        <f t="shared" si="66"/>
        <v>Ver Imagen</v>
      </c>
      <c r="M3969" t="s">
        <v>15</v>
      </c>
    </row>
    <row r="3970" spans="1:13" x14ac:dyDescent="0.25">
      <c r="A3970">
        <v>3969</v>
      </c>
      <c r="B3970" t="s">
        <v>7947</v>
      </c>
      <c r="C3970" s="1">
        <v>37.469203980899998</v>
      </c>
      <c r="D3970" s="1">
        <v>-7.1240828434700001</v>
      </c>
      <c r="E3970" s="3">
        <v>5</v>
      </c>
      <c r="F3970" s="2">
        <v>4</v>
      </c>
      <c r="G3970" s="4">
        <v>5</v>
      </c>
      <c r="H3970" s="13"/>
      <c r="I3970" s="15"/>
      <c r="J3970" s="19">
        <v>5</v>
      </c>
      <c r="K3970" s="2" t="s">
        <v>7948</v>
      </c>
      <c r="L3970" s="11" t="str">
        <f t="shared" si="66"/>
        <v>Ver Imagen</v>
      </c>
      <c r="M3970" t="s">
        <v>15</v>
      </c>
    </row>
    <row r="3971" spans="1:13" x14ac:dyDescent="0.25">
      <c r="A3971">
        <v>3970</v>
      </c>
      <c r="B3971" t="s">
        <v>7949</v>
      </c>
      <c r="C3971" s="1">
        <v>37.469020231099996</v>
      </c>
      <c r="D3971" s="1">
        <v>-7.1239589931899996</v>
      </c>
      <c r="E3971" s="3">
        <v>5</v>
      </c>
      <c r="F3971" s="2">
        <v>4</v>
      </c>
      <c r="G3971" s="4">
        <v>5</v>
      </c>
      <c r="H3971" s="13"/>
      <c r="I3971" s="15"/>
      <c r="J3971" s="19">
        <v>5</v>
      </c>
      <c r="K3971" s="2" t="s">
        <v>7950</v>
      </c>
      <c r="L3971" s="11" t="str">
        <f t="shared" si="66"/>
        <v>Ver Imagen</v>
      </c>
      <c r="M3971" t="s">
        <v>15</v>
      </c>
    </row>
    <row r="3972" spans="1:13" x14ac:dyDescent="0.25">
      <c r="A3972">
        <v>3971</v>
      </c>
      <c r="B3972" t="s">
        <v>7951</v>
      </c>
      <c r="C3972" s="1">
        <v>37.4686576836</v>
      </c>
      <c r="D3972" s="1">
        <v>-7.1237155539400003</v>
      </c>
      <c r="E3972" s="3">
        <v>5</v>
      </c>
      <c r="F3972" s="2">
        <v>4</v>
      </c>
      <c r="G3972" s="4">
        <v>5</v>
      </c>
      <c r="H3972" s="13"/>
      <c r="I3972" s="15"/>
      <c r="J3972" s="19">
        <v>5</v>
      </c>
      <c r="K3972" s="2" t="s">
        <v>7952</v>
      </c>
      <c r="L3972" s="11" t="str">
        <f t="shared" si="66"/>
        <v>Ver Imagen</v>
      </c>
      <c r="M3972" t="s">
        <v>15</v>
      </c>
    </row>
    <row r="3973" spans="1:13" x14ac:dyDescent="0.25">
      <c r="A3973">
        <v>3972</v>
      </c>
      <c r="B3973" t="s">
        <v>7953</v>
      </c>
      <c r="C3973" s="1">
        <v>37.495193525300003</v>
      </c>
      <c r="D3973" s="1">
        <v>-7.2680698097000001</v>
      </c>
      <c r="E3973" s="3">
        <v>5</v>
      </c>
      <c r="F3973" s="2">
        <v>4</v>
      </c>
      <c r="G3973" s="4">
        <v>5</v>
      </c>
      <c r="H3973" s="13"/>
      <c r="I3973" s="15"/>
      <c r="J3973" s="19">
        <v>5</v>
      </c>
      <c r="K3973" s="2" t="s">
        <v>7954</v>
      </c>
      <c r="L3973" s="11" t="str">
        <f t="shared" si="66"/>
        <v>Ver Imagen</v>
      </c>
      <c r="M3973" t="s">
        <v>15</v>
      </c>
    </row>
    <row r="3974" spans="1:13" x14ac:dyDescent="0.25">
      <c r="A3974">
        <v>3973</v>
      </c>
      <c r="B3974" t="s">
        <v>7955</v>
      </c>
      <c r="C3974" s="1">
        <v>37.495108869200003</v>
      </c>
      <c r="D3974" s="1">
        <v>-7.2678224734699999</v>
      </c>
      <c r="E3974" s="3">
        <v>5</v>
      </c>
      <c r="F3974" s="2">
        <v>4</v>
      </c>
      <c r="G3974" s="4">
        <v>5</v>
      </c>
      <c r="H3974" s="13"/>
      <c r="I3974" s="15"/>
      <c r="J3974" s="19">
        <v>5</v>
      </c>
      <c r="K3974" s="2" t="s">
        <v>7956</v>
      </c>
      <c r="L3974" s="11" t="str">
        <f t="shared" si="66"/>
        <v>Ver Imagen</v>
      </c>
      <c r="M3974" t="s">
        <v>15</v>
      </c>
    </row>
    <row r="3975" spans="1:13" x14ac:dyDescent="0.25">
      <c r="A3975">
        <v>3974</v>
      </c>
      <c r="B3975" t="s">
        <v>7957</v>
      </c>
      <c r="C3975" s="1">
        <v>37.495518933600003</v>
      </c>
      <c r="D3975" s="1">
        <v>-7.26790009598</v>
      </c>
      <c r="E3975" s="3">
        <v>5</v>
      </c>
      <c r="F3975" s="2">
        <v>4</v>
      </c>
      <c r="G3975" s="4">
        <v>5</v>
      </c>
      <c r="H3975" s="13"/>
      <c r="I3975" s="15"/>
      <c r="J3975" s="19">
        <v>5</v>
      </c>
      <c r="K3975" s="2" t="s">
        <v>7958</v>
      </c>
      <c r="L3975" s="11" t="str">
        <f t="shared" si="66"/>
        <v>Ver Imagen</v>
      </c>
      <c r="M3975" t="s">
        <v>15</v>
      </c>
    </row>
    <row r="3976" spans="1:13" x14ac:dyDescent="0.25">
      <c r="A3976">
        <v>3975</v>
      </c>
      <c r="B3976" t="s">
        <v>7959</v>
      </c>
      <c r="C3976" s="1">
        <v>37.186877912299998</v>
      </c>
      <c r="D3976" s="1">
        <v>-6.9796059510499999</v>
      </c>
      <c r="E3976" s="3">
        <v>5</v>
      </c>
      <c r="F3976" s="2">
        <v>4</v>
      </c>
      <c r="G3976" s="4">
        <v>5</v>
      </c>
      <c r="H3976" s="13"/>
      <c r="I3976" s="15"/>
      <c r="J3976" s="19">
        <v>5</v>
      </c>
      <c r="K3976" s="2" t="s">
        <v>7960</v>
      </c>
      <c r="L3976" s="11" t="str">
        <f t="shared" si="66"/>
        <v>Ver Imagen</v>
      </c>
      <c r="M3976" t="s">
        <v>15</v>
      </c>
    </row>
    <row r="3977" spans="1:13" x14ac:dyDescent="0.25">
      <c r="A3977">
        <v>3976</v>
      </c>
      <c r="B3977" t="s">
        <v>7961</v>
      </c>
      <c r="C3977" s="1">
        <v>37.186736564500002</v>
      </c>
      <c r="D3977" s="1">
        <v>-6.9797515352400001</v>
      </c>
      <c r="E3977" s="3">
        <v>5</v>
      </c>
      <c r="F3977" s="2">
        <v>4</v>
      </c>
      <c r="G3977" s="4">
        <v>5</v>
      </c>
      <c r="H3977" s="13"/>
      <c r="I3977" s="15"/>
      <c r="J3977" s="19">
        <v>5</v>
      </c>
      <c r="K3977" s="2" t="s">
        <v>7962</v>
      </c>
      <c r="L3977" s="11" t="str">
        <f t="shared" si="66"/>
        <v>Ver Imagen</v>
      </c>
      <c r="M3977" t="s">
        <v>15</v>
      </c>
    </row>
    <row r="3978" spans="1:13" x14ac:dyDescent="0.25">
      <c r="A3978">
        <v>3977</v>
      </c>
      <c r="B3978" t="s">
        <v>7963</v>
      </c>
      <c r="C3978" s="1">
        <v>37.185995494499998</v>
      </c>
      <c r="D3978" s="1">
        <v>-6.9804521127600001</v>
      </c>
      <c r="E3978" s="3">
        <v>5</v>
      </c>
      <c r="F3978" s="2">
        <v>4</v>
      </c>
      <c r="G3978" s="4">
        <v>5</v>
      </c>
      <c r="H3978" s="13"/>
      <c r="I3978" s="15"/>
      <c r="J3978" s="19">
        <v>5</v>
      </c>
      <c r="K3978" s="2" t="s">
        <v>7964</v>
      </c>
      <c r="L3978" s="11" t="str">
        <f t="shared" si="66"/>
        <v>Ver Imagen</v>
      </c>
      <c r="M3978" t="s">
        <v>15</v>
      </c>
    </row>
    <row r="3979" spans="1:13" x14ac:dyDescent="0.25">
      <c r="A3979">
        <v>3978</v>
      </c>
      <c r="B3979" t="s">
        <v>7965</v>
      </c>
      <c r="C3979" s="1">
        <v>37.2714017634</v>
      </c>
      <c r="D3979" s="1">
        <v>-6.9839129403199998</v>
      </c>
      <c r="E3979" s="3">
        <v>5</v>
      </c>
      <c r="F3979" s="2">
        <v>4</v>
      </c>
      <c r="G3979" s="4">
        <v>5</v>
      </c>
      <c r="H3979" s="13"/>
      <c r="I3979" s="15"/>
      <c r="J3979" s="19">
        <v>5</v>
      </c>
      <c r="K3979" s="2" t="s">
        <v>7966</v>
      </c>
      <c r="L3979" s="11" t="str">
        <f t="shared" ref="L3979:L3997" si="67">HYPERLINK("5\1\" &amp; K3979, "Ver Imagen")</f>
        <v>Ver Imagen</v>
      </c>
      <c r="M3979" t="s">
        <v>15</v>
      </c>
    </row>
    <row r="3980" spans="1:13" x14ac:dyDescent="0.25">
      <c r="A3980">
        <v>3979</v>
      </c>
      <c r="B3980" t="s">
        <v>7967</v>
      </c>
      <c r="C3980" s="1">
        <v>37.186930418000003</v>
      </c>
      <c r="D3980" s="1">
        <v>-6.9793605614700001</v>
      </c>
      <c r="E3980" s="3">
        <v>5</v>
      </c>
      <c r="F3980" s="2">
        <v>4</v>
      </c>
      <c r="G3980" s="4">
        <v>5</v>
      </c>
      <c r="H3980" s="13"/>
      <c r="I3980" s="15"/>
      <c r="J3980" s="19">
        <v>5</v>
      </c>
      <c r="K3980" s="2" t="s">
        <v>7968</v>
      </c>
      <c r="L3980" s="11" t="str">
        <f t="shared" si="67"/>
        <v>Ver Imagen</v>
      </c>
      <c r="M3980" t="s">
        <v>15</v>
      </c>
    </row>
    <row r="3981" spans="1:13" x14ac:dyDescent="0.25">
      <c r="A3981">
        <v>3980</v>
      </c>
      <c r="B3981" t="s">
        <v>7969</v>
      </c>
      <c r="C3981" s="1">
        <v>37.187071773100001</v>
      </c>
      <c r="D3981" s="1">
        <v>-6.9792338623100001</v>
      </c>
      <c r="E3981" s="3">
        <v>5</v>
      </c>
      <c r="F3981" s="2">
        <v>4</v>
      </c>
      <c r="G3981" s="4">
        <v>5</v>
      </c>
      <c r="H3981" s="13"/>
      <c r="I3981" s="15"/>
      <c r="J3981" s="19">
        <v>5</v>
      </c>
      <c r="K3981" s="2" t="s">
        <v>7970</v>
      </c>
      <c r="L3981" s="11" t="str">
        <f t="shared" si="67"/>
        <v>Ver Imagen</v>
      </c>
      <c r="M3981" t="s">
        <v>15</v>
      </c>
    </row>
    <row r="3982" spans="1:13" x14ac:dyDescent="0.25">
      <c r="A3982">
        <v>3981</v>
      </c>
      <c r="B3982" t="s">
        <v>7971</v>
      </c>
      <c r="C3982" s="1">
        <v>37.201591689399997</v>
      </c>
      <c r="D3982" s="1">
        <v>-6.99320601267</v>
      </c>
      <c r="E3982" s="3">
        <v>5</v>
      </c>
      <c r="F3982" s="2">
        <v>4</v>
      </c>
      <c r="G3982" s="4">
        <v>5</v>
      </c>
      <c r="H3982" s="13"/>
      <c r="I3982" s="15"/>
      <c r="J3982" s="19">
        <v>5</v>
      </c>
      <c r="K3982" s="2" t="s">
        <v>7972</v>
      </c>
      <c r="L3982" s="11" t="str">
        <f t="shared" si="67"/>
        <v>Ver Imagen</v>
      </c>
      <c r="M3982" t="s">
        <v>15</v>
      </c>
    </row>
    <row r="3983" spans="1:13" x14ac:dyDescent="0.25">
      <c r="A3983">
        <v>3982</v>
      </c>
      <c r="B3983" t="s">
        <v>7973</v>
      </c>
      <c r="C3983" s="1">
        <v>37.202300255700003</v>
      </c>
      <c r="D3983" s="1">
        <v>-6.9974274110300003</v>
      </c>
      <c r="E3983" s="3">
        <v>5</v>
      </c>
      <c r="F3983" s="2">
        <v>4</v>
      </c>
      <c r="G3983" s="4">
        <v>5</v>
      </c>
      <c r="H3983" s="13"/>
      <c r="I3983" s="15"/>
      <c r="J3983" s="19">
        <v>5</v>
      </c>
      <c r="K3983" s="2" t="s">
        <v>7974</v>
      </c>
      <c r="L3983" s="11" t="str">
        <f t="shared" si="67"/>
        <v>Ver Imagen</v>
      </c>
      <c r="M3983" t="s">
        <v>15</v>
      </c>
    </row>
    <row r="3984" spans="1:13" x14ac:dyDescent="0.25">
      <c r="A3984">
        <v>3983</v>
      </c>
      <c r="B3984" t="s">
        <v>7975</v>
      </c>
      <c r="C3984" s="1">
        <v>37.202767697699997</v>
      </c>
      <c r="D3984" s="1">
        <v>-7.0008909504099996</v>
      </c>
      <c r="E3984" s="3">
        <v>5</v>
      </c>
      <c r="F3984" s="2">
        <v>4</v>
      </c>
      <c r="G3984" s="4">
        <v>5</v>
      </c>
      <c r="H3984" s="13"/>
      <c r="I3984" s="15"/>
      <c r="J3984" s="19">
        <v>5</v>
      </c>
      <c r="K3984" s="2" t="s">
        <v>7976</v>
      </c>
      <c r="L3984" s="11" t="str">
        <f t="shared" si="67"/>
        <v>Ver Imagen</v>
      </c>
      <c r="M3984" t="s">
        <v>15</v>
      </c>
    </row>
    <row r="3985" spans="1:13" x14ac:dyDescent="0.25">
      <c r="A3985">
        <v>3984</v>
      </c>
      <c r="B3985" t="s">
        <v>7977</v>
      </c>
      <c r="C3985" s="1">
        <v>37.203134648099997</v>
      </c>
      <c r="D3985" s="1">
        <v>-7.0041443563800003</v>
      </c>
      <c r="E3985" s="3">
        <v>5</v>
      </c>
      <c r="F3985" s="2">
        <v>4</v>
      </c>
      <c r="G3985" s="4">
        <v>5</v>
      </c>
      <c r="H3985" s="13"/>
      <c r="I3985" s="15"/>
      <c r="J3985" s="19">
        <v>5</v>
      </c>
      <c r="K3985" s="2" t="s">
        <v>7978</v>
      </c>
      <c r="L3985" s="11" t="str">
        <f t="shared" si="67"/>
        <v>Ver Imagen</v>
      </c>
      <c r="M3985" t="s">
        <v>15</v>
      </c>
    </row>
    <row r="3986" spans="1:13" x14ac:dyDescent="0.25">
      <c r="A3986">
        <v>3985</v>
      </c>
      <c r="B3986" t="s">
        <v>7979</v>
      </c>
      <c r="C3986" s="1">
        <v>37.252484124399999</v>
      </c>
      <c r="D3986" s="1">
        <v>-7.0165061804700004</v>
      </c>
      <c r="E3986" s="3">
        <v>5</v>
      </c>
      <c r="F3986" s="2">
        <v>4</v>
      </c>
      <c r="G3986" s="4">
        <v>5</v>
      </c>
      <c r="H3986" s="13"/>
      <c r="I3986" s="15"/>
      <c r="J3986" s="19">
        <v>5</v>
      </c>
      <c r="K3986" s="2" t="s">
        <v>7980</v>
      </c>
      <c r="L3986" s="11" t="str">
        <f t="shared" si="67"/>
        <v>Ver Imagen</v>
      </c>
      <c r="M3986" t="s">
        <v>15</v>
      </c>
    </row>
    <row r="3987" spans="1:13" x14ac:dyDescent="0.25">
      <c r="A3987">
        <v>3986</v>
      </c>
      <c r="B3987" t="s">
        <v>7981</v>
      </c>
      <c r="C3987" s="1">
        <v>37.252114236300002</v>
      </c>
      <c r="D3987" s="1">
        <v>-7.0167422043899998</v>
      </c>
      <c r="E3987" s="3">
        <v>5</v>
      </c>
      <c r="F3987" s="2">
        <v>4</v>
      </c>
      <c r="G3987" s="4">
        <v>5</v>
      </c>
      <c r="H3987" s="13"/>
      <c r="I3987" s="15"/>
      <c r="J3987" s="19">
        <v>5</v>
      </c>
      <c r="K3987" s="2" t="s">
        <v>7982</v>
      </c>
      <c r="L3987" s="11" t="str">
        <f t="shared" si="67"/>
        <v>Ver Imagen</v>
      </c>
      <c r="M3987" t="s">
        <v>15</v>
      </c>
    </row>
    <row r="3988" spans="1:13" x14ac:dyDescent="0.25">
      <c r="A3988">
        <v>3987</v>
      </c>
      <c r="B3988" t="s">
        <v>7983</v>
      </c>
      <c r="C3988" s="1">
        <v>37.204318274000002</v>
      </c>
      <c r="D3988" s="1">
        <v>-7.0120991506200001</v>
      </c>
      <c r="E3988" s="3">
        <v>5</v>
      </c>
      <c r="F3988" s="2">
        <v>4</v>
      </c>
      <c r="G3988" s="4">
        <v>5</v>
      </c>
      <c r="H3988" s="13"/>
      <c r="I3988" s="15"/>
      <c r="J3988" s="19">
        <v>5</v>
      </c>
      <c r="K3988" s="2" t="s">
        <v>7984</v>
      </c>
      <c r="L3988" s="11" t="str">
        <f t="shared" si="67"/>
        <v>Ver Imagen</v>
      </c>
      <c r="M3988" t="s">
        <v>15</v>
      </c>
    </row>
    <row r="3989" spans="1:13" x14ac:dyDescent="0.25">
      <c r="A3989">
        <v>3988</v>
      </c>
      <c r="B3989" t="s">
        <v>7985</v>
      </c>
      <c r="C3989" s="1">
        <v>37.247079404099999</v>
      </c>
      <c r="D3989" s="1">
        <v>-7.0184132655699996</v>
      </c>
      <c r="E3989" s="3">
        <v>5</v>
      </c>
      <c r="F3989" s="2">
        <v>4</v>
      </c>
      <c r="G3989" s="4">
        <v>5</v>
      </c>
      <c r="H3989" s="13"/>
      <c r="I3989" s="15"/>
      <c r="J3989" s="19">
        <v>5</v>
      </c>
      <c r="K3989" s="2" t="s">
        <v>7986</v>
      </c>
      <c r="L3989" s="11" t="str">
        <f t="shared" si="67"/>
        <v>Ver Imagen</v>
      </c>
      <c r="M3989" t="s">
        <v>15</v>
      </c>
    </row>
    <row r="3990" spans="1:13" x14ac:dyDescent="0.25">
      <c r="A3990">
        <v>3989</v>
      </c>
      <c r="B3990" t="s">
        <v>7987</v>
      </c>
      <c r="C3990" s="1">
        <v>37.2394274153</v>
      </c>
      <c r="D3990" s="1">
        <v>-7.0187001999599996</v>
      </c>
      <c r="E3990" s="3">
        <v>5</v>
      </c>
      <c r="F3990" s="2">
        <v>4</v>
      </c>
      <c r="G3990" s="4">
        <v>5</v>
      </c>
      <c r="H3990" s="13"/>
      <c r="I3990" s="15"/>
      <c r="J3990" s="19">
        <v>5</v>
      </c>
      <c r="K3990" s="2" t="s">
        <v>7988</v>
      </c>
      <c r="L3990" s="11" t="str">
        <f t="shared" si="67"/>
        <v>Ver Imagen</v>
      </c>
      <c r="M3990" t="s">
        <v>15</v>
      </c>
    </row>
    <row r="3991" spans="1:13" x14ac:dyDescent="0.25">
      <c r="A3991">
        <v>3990</v>
      </c>
      <c r="B3991" t="s">
        <v>7989</v>
      </c>
      <c r="C3991" s="1">
        <v>37.230699834600003</v>
      </c>
      <c r="D3991" s="1">
        <v>-7.0199336687300002</v>
      </c>
      <c r="E3991" s="3">
        <v>5</v>
      </c>
      <c r="F3991" s="2">
        <v>4</v>
      </c>
      <c r="G3991" s="4">
        <v>5</v>
      </c>
      <c r="H3991" s="13"/>
      <c r="I3991" s="15"/>
      <c r="J3991" s="19">
        <v>5</v>
      </c>
      <c r="K3991" s="2" t="s">
        <v>7990</v>
      </c>
      <c r="L3991" s="11" t="str">
        <f t="shared" si="67"/>
        <v>Ver Imagen</v>
      </c>
      <c r="M3991" t="s">
        <v>15</v>
      </c>
    </row>
    <row r="3992" spans="1:13" x14ac:dyDescent="0.25">
      <c r="A3992">
        <v>3991</v>
      </c>
      <c r="B3992" t="s">
        <v>7991</v>
      </c>
      <c r="C3992" s="1">
        <v>37.250044621599997</v>
      </c>
      <c r="D3992" s="1">
        <v>-7.0177958552000002</v>
      </c>
      <c r="E3992" s="3">
        <v>5</v>
      </c>
      <c r="F3992" s="2">
        <v>4</v>
      </c>
      <c r="G3992" s="4">
        <v>5</v>
      </c>
      <c r="H3992" s="13"/>
      <c r="I3992" s="15"/>
      <c r="J3992" s="19">
        <v>5</v>
      </c>
      <c r="K3992" s="2" t="s">
        <v>7992</v>
      </c>
      <c r="L3992" s="11" t="str">
        <f t="shared" si="67"/>
        <v>Ver Imagen</v>
      </c>
      <c r="M3992" t="s">
        <v>15</v>
      </c>
    </row>
    <row r="3993" spans="1:13" x14ac:dyDescent="0.25">
      <c r="A3993">
        <v>3992</v>
      </c>
      <c r="B3993" t="s">
        <v>7993</v>
      </c>
      <c r="C3993" s="1">
        <v>37.253794219100001</v>
      </c>
      <c r="D3993" s="1">
        <v>-7.0154627350399998</v>
      </c>
      <c r="E3993" s="3">
        <v>5</v>
      </c>
      <c r="F3993" s="2">
        <v>4</v>
      </c>
      <c r="G3993" s="4">
        <v>5</v>
      </c>
      <c r="H3993" s="13"/>
      <c r="I3993" s="15"/>
      <c r="J3993" s="19">
        <v>5</v>
      </c>
      <c r="K3993" s="2" t="s">
        <v>7994</v>
      </c>
      <c r="L3993" s="11" t="str">
        <f t="shared" si="67"/>
        <v>Ver Imagen</v>
      </c>
      <c r="M3993" t="s">
        <v>15</v>
      </c>
    </row>
    <row r="3994" spans="1:13" x14ac:dyDescent="0.25">
      <c r="A3994">
        <v>3993</v>
      </c>
      <c r="B3994" t="s">
        <v>7995</v>
      </c>
      <c r="C3994" s="1">
        <v>37.261850512800002</v>
      </c>
      <c r="D3994" s="1">
        <v>-7.0101917289199998</v>
      </c>
      <c r="E3994" s="3">
        <v>5</v>
      </c>
      <c r="F3994" s="2">
        <v>4</v>
      </c>
      <c r="G3994" s="4">
        <v>5</v>
      </c>
      <c r="H3994" s="13"/>
      <c r="I3994" s="15"/>
      <c r="J3994" s="19">
        <v>5</v>
      </c>
      <c r="K3994" s="2" t="s">
        <v>7996</v>
      </c>
      <c r="L3994" s="11" t="str">
        <f t="shared" si="67"/>
        <v>Ver Imagen</v>
      </c>
      <c r="M3994" t="s">
        <v>15</v>
      </c>
    </row>
    <row r="3995" spans="1:13" x14ac:dyDescent="0.25">
      <c r="A3995">
        <v>3994</v>
      </c>
      <c r="B3995" t="s">
        <v>7997</v>
      </c>
      <c r="C3995" s="1">
        <v>37.187381739499997</v>
      </c>
      <c r="D3995" s="1">
        <v>-6.9792049169699997</v>
      </c>
      <c r="E3995" s="3">
        <v>4</v>
      </c>
      <c r="F3995" s="2">
        <v>5</v>
      </c>
      <c r="G3995" s="4">
        <v>5</v>
      </c>
      <c r="H3995" s="13"/>
      <c r="I3995" s="15"/>
      <c r="J3995" s="19">
        <v>5</v>
      </c>
      <c r="K3995" s="2" t="s">
        <v>7998</v>
      </c>
      <c r="L3995" s="11" t="str">
        <f t="shared" si="67"/>
        <v>Ver Imagen</v>
      </c>
      <c r="M3995" t="s">
        <v>15</v>
      </c>
    </row>
    <row r="3996" spans="1:13" x14ac:dyDescent="0.25">
      <c r="A3996">
        <v>3995</v>
      </c>
      <c r="B3996" t="s">
        <v>7999</v>
      </c>
      <c r="C3996" s="1">
        <v>37.2657005951</v>
      </c>
      <c r="D3996" s="1">
        <v>-6.9949531247200003</v>
      </c>
      <c r="E3996" s="3">
        <v>5</v>
      </c>
      <c r="F3996" s="2">
        <v>5</v>
      </c>
      <c r="G3996" s="4">
        <v>4</v>
      </c>
      <c r="H3996" s="13"/>
      <c r="I3996" s="15"/>
      <c r="J3996" s="19">
        <v>5</v>
      </c>
      <c r="K3996" s="2" t="s">
        <v>8000</v>
      </c>
      <c r="L3996" s="11" t="str">
        <f t="shared" si="67"/>
        <v>Ver Imagen</v>
      </c>
      <c r="M3996" t="s">
        <v>15</v>
      </c>
    </row>
    <row r="3997" spans="1:13" ht="15.75" customHeight="1" thickBot="1" x14ac:dyDescent="0.3">
      <c r="A3997">
        <v>3996</v>
      </c>
      <c r="B3997" t="s">
        <v>8001</v>
      </c>
      <c r="C3997" s="1">
        <v>37.230860532999998</v>
      </c>
      <c r="D3997" s="1">
        <v>-7.01981149596</v>
      </c>
      <c r="E3997" s="3">
        <v>5</v>
      </c>
      <c r="F3997" s="2">
        <v>5</v>
      </c>
      <c r="G3997" s="4">
        <v>4</v>
      </c>
      <c r="H3997" s="13"/>
      <c r="I3997" s="15"/>
      <c r="J3997" s="19">
        <v>5</v>
      </c>
      <c r="K3997" s="2" t="s">
        <v>8002</v>
      </c>
      <c r="L3997" s="11" t="str">
        <f t="shared" si="67"/>
        <v>Ver Imagen</v>
      </c>
      <c r="M3997" t="s">
        <v>15</v>
      </c>
    </row>
    <row r="3998" spans="1:13" x14ac:dyDescent="0.25">
      <c r="A3998" s="23">
        <v>3997</v>
      </c>
      <c r="B3998" s="24" t="s">
        <v>8003</v>
      </c>
      <c r="C3998" s="25">
        <v>37.482943332600001</v>
      </c>
      <c r="D3998" s="25">
        <v>-7.2198985349799996</v>
      </c>
      <c r="E3998" s="26">
        <v>1</v>
      </c>
      <c r="F3998" s="27">
        <v>3</v>
      </c>
      <c r="G3998" s="28">
        <v>1</v>
      </c>
      <c r="H3998" s="29">
        <v>2</v>
      </c>
      <c r="I3998" s="30">
        <v>2</v>
      </c>
      <c r="J3998" s="31">
        <v>2</v>
      </c>
      <c r="K3998" s="27" t="s">
        <v>8004</v>
      </c>
      <c r="L3998" s="32" t="str">
        <f t="shared" ref="L3998:L4061" si="68">HYPERLINK("NoConsenso\" &amp; K3998, "Ver Imagen")</f>
        <v>Ver Imagen</v>
      </c>
      <c r="M3998" t="s">
        <v>8005</v>
      </c>
    </row>
    <row r="3999" spans="1:13" x14ac:dyDescent="0.25">
      <c r="A3999" s="33">
        <v>3998</v>
      </c>
      <c r="B3999" t="s">
        <v>8006</v>
      </c>
      <c r="C3999" s="1">
        <v>37.483110811700001</v>
      </c>
      <c r="D3999" s="1">
        <v>-7.2207443646299998</v>
      </c>
      <c r="E3999" s="3">
        <v>1</v>
      </c>
      <c r="F3999" s="2">
        <v>3</v>
      </c>
      <c r="G3999" s="4">
        <v>1</v>
      </c>
      <c r="H3999" s="13">
        <v>2</v>
      </c>
      <c r="I3999" s="34">
        <v>2</v>
      </c>
      <c r="J3999" s="35">
        <v>2</v>
      </c>
      <c r="K3999" s="2" t="s">
        <v>8007</v>
      </c>
      <c r="L3999" s="36" t="str">
        <f t="shared" si="68"/>
        <v>Ver Imagen</v>
      </c>
      <c r="M3999" t="s">
        <v>8005</v>
      </c>
    </row>
    <row r="4000" spans="1:13" x14ac:dyDescent="0.25">
      <c r="A4000" s="33">
        <v>3999</v>
      </c>
      <c r="B4000" t="s">
        <v>8008</v>
      </c>
      <c r="C4000" s="1">
        <v>37.483537333500003</v>
      </c>
      <c r="D4000" s="1">
        <v>-7.2229085960699999</v>
      </c>
      <c r="E4000" s="3">
        <v>1</v>
      </c>
      <c r="F4000" s="2">
        <v>3</v>
      </c>
      <c r="G4000" s="4">
        <v>1</v>
      </c>
      <c r="H4000" s="13">
        <v>1</v>
      </c>
      <c r="I4000" s="34">
        <v>2</v>
      </c>
      <c r="J4000" s="35">
        <v>1</v>
      </c>
      <c r="K4000" s="2" t="s">
        <v>8009</v>
      </c>
      <c r="L4000" s="36" t="str">
        <f t="shared" si="68"/>
        <v>Ver Imagen</v>
      </c>
      <c r="M4000" t="s">
        <v>8005</v>
      </c>
    </row>
    <row r="4001" spans="1:13" x14ac:dyDescent="0.25">
      <c r="A4001" s="33">
        <v>4000</v>
      </c>
      <c r="B4001" t="s">
        <v>8010</v>
      </c>
      <c r="C4001" s="1">
        <v>37.485022211199997</v>
      </c>
      <c r="D4001" s="1">
        <v>-7.2305648962299998</v>
      </c>
      <c r="E4001" s="3">
        <v>1</v>
      </c>
      <c r="F4001" s="2">
        <v>3</v>
      </c>
      <c r="G4001" s="4">
        <v>1</v>
      </c>
      <c r="H4001" s="13">
        <v>2</v>
      </c>
      <c r="I4001" s="34">
        <v>3</v>
      </c>
      <c r="J4001" s="35">
        <v>2</v>
      </c>
      <c r="K4001" s="2" t="s">
        <v>8011</v>
      </c>
      <c r="L4001" s="36" t="str">
        <f t="shared" si="68"/>
        <v>Ver Imagen</v>
      </c>
      <c r="M4001" t="s">
        <v>8005</v>
      </c>
    </row>
    <row r="4002" spans="1:13" x14ac:dyDescent="0.25">
      <c r="A4002" s="33">
        <v>4001</v>
      </c>
      <c r="B4002" t="s">
        <v>8012</v>
      </c>
      <c r="C4002" s="1">
        <v>37.485637992100003</v>
      </c>
      <c r="D4002" s="1">
        <v>-7.2337929219400001</v>
      </c>
      <c r="E4002" s="3">
        <v>1</v>
      </c>
      <c r="F4002" s="2">
        <v>3</v>
      </c>
      <c r="G4002" s="4">
        <v>1</v>
      </c>
      <c r="H4002" s="13">
        <v>2</v>
      </c>
      <c r="I4002" s="34">
        <v>2</v>
      </c>
      <c r="J4002" s="35">
        <v>2</v>
      </c>
      <c r="K4002" s="2" t="s">
        <v>8013</v>
      </c>
      <c r="L4002" s="36" t="str">
        <f t="shared" si="68"/>
        <v>Ver Imagen</v>
      </c>
      <c r="M4002" t="s">
        <v>8005</v>
      </c>
    </row>
    <row r="4003" spans="1:13" x14ac:dyDescent="0.25">
      <c r="A4003" s="33">
        <v>4002</v>
      </c>
      <c r="B4003" t="s">
        <v>8014</v>
      </c>
      <c r="C4003" s="1">
        <v>37.487010880699998</v>
      </c>
      <c r="D4003" s="1">
        <v>-7.2411830776299997</v>
      </c>
      <c r="E4003" s="3">
        <v>1</v>
      </c>
      <c r="F4003" s="2">
        <v>3</v>
      </c>
      <c r="G4003" s="4">
        <v>1</v>
      </c>
      <c r="H4003" s="13">
        <v>2</v>
      </c>
      <c r="I4003" s="34">
        <v>2</v>
      </c>
      <c r="J4003" s="35">
        <v>2</v>
      </c>
      <c r="K4003" s="2" t="s">
        <v>8015</v>
      </c>
      <c r="L4003" s="36" t="str">
        <f t="shared" si="68"/>
        <v>Ver Imagen</v>
      </c>
      <c r="M4003" t="s">
        <v>8005</v>
      </c>
    </row>
    <row r="4004" spans="1:13" x14ac:dyDescent="0.25">
      <c r="A4004" s="33">
        <v>4003</v>
      </c>
      <c r="B4004" t="s">
        <v>8016</v>
      </c>
      <c r="C4004" s="1">
        <v>37.487174332800002</v>
      </c>
      <c r="D4004" s="1">
        <v>-7.2429624946200004</v>
      </c>
      <c r="E4004" s="3">
        <v>1</v>
      </c>
      <c r="F4004" s="2">
        <v>3</v>
      </c>
      <c r="G4004" s="4">
        <v>1</v>
      </c>
      <c r="H4004" s="13">
        <v>2</v>
      </c>
      <c r="I4004" s="34">
        <v>2</v>
      </c>
      <c r="J4004" s="35">
        <v>2</v>
      </c>
      <c r="K4004" s="2" t="s">
        <v>8017</v>
      </c>
      <c r="L4004" s="36" t="str">
        <f t="shared" si="68"/>
        <v>Ver Imagen</v>
      </c>
      <c r="M4004" t="s">
        <v>8005</v>
      </c>
    </row>
    <row r="4005" spans="1:13" x14ac:dyDescent="0.25">
      <c r="A4005" s="33">
        <v>4004</v>
      </c>
      <c r="B4005" t="s">
        <v>8018</v>
      </c>
      <c r="C4005" s="1">
        <v>37.279669582899999</v>
      </c>
      <c r="D4005" s="1">
        <v>-6.9972994238000004</v>
      </c>
      <c r="E4005" s="3">
        <v>1</v>
      </c>
      <c r="F4005" s="2">
        <v>1</v>
      </c>
      <c r="G4005" s="4">
        <v>3</v>
      </c>
      <c r="H4005" s="13">
        <v>2</v>
      </c>
      <c r="I4005" s="34">
        <v>1</v>
      </c>
      <c r="J4005" s="35">
        <v>1</v>
      </c>
      <c r="K4005" s="2" t="s">
        <v>8019</v>
      </c>
      <c r="L4005" s="36" t="str">
        <f t="shared" si="68"/>
        <v>Ver Imagen</v>
      </c>
      <c r="M4005" t="s">
        <v>8005</v>
      </c>
    </row>
    <row r="4006" spans="1:13" x14ac:dyDescent="0.25">
      <c r="A4006" s="33">
        <v>4005</v>
      </c>
      <c r="B4006" t="s">
        <v>8020</v>
      </c>
      <c r="C4006" s="1">
        <v>37.267369426499997</v>
      </c>
      <c r="D4006" s="1">
        <v>-6.9604849482000004</v>
      </c>
      <c r="E4006" s="3">
        <v>1</v>
      </c>
      <c r="F4006" s="2">
        <v>3</v>
      </c>
      <c r="G4006" s="4">
        <v>1</v>
      </c>
      <c r="H4006" s="13">
        <v>2</v>
      </c>
      <c r="I4006" s="34">
        <v>2</v>
      </c>
      <c r="J4006" s="35">
        <v>2</v>
      </c>
      <c r="K4006" s="2" t="s">
        <v>8021</v>
      </c>
      <c r="L4006" s="36" t="str">
        <f t="shared" si="68"/>
        <v>Ver Imagen</v>
      </c>
      <c r="M4006" t="s">
        <v>8005</v>
      </c>
    </row>
    <row r="4007" spans="1:13" x14ac:dyDescent="0.25">
      <c r="A4007" s="33">
        <v>4006</v>
      </c>
      <c r="B4007" t="s">
        <v>8022</v>
      </c>
      <c r="C4007" s="1">
        <v>37.189671995099999</v>
      </c>
      <c r="D4007" s="1">
        <v>-6.9880815476600002</v>
      </c>
      <c r="E4007" s="3">
        <v>1</v>
      </c>
      <c r="F4007" s="2">
        <v>3</v>
      </c>
      <c r="G4007" s="4">
        <v>3</v>
      </c>
      <c r="H4007" s="13">
        <v>2</v>
      </c>
      <c r="I4007" s="34">
        <v>1</v>
      </c>
      <c r="J4007" s="35">
        <v>2</v>
      </c>
      <c r="K4007" s="2" t="s">
        <v>8023</v>
      </c>
      <c r="L4007" s="36" t="str">
        <f t="shared" si="68"/>
        <v>Ver Imagen</v>
      </c>
      <c r="M4007" t="s">
        <v>8005</v>
      </c>
    </row>
    <row r="4008" spans="1:13" x14ac:dyDescent="0.25">
      <c r="A4008" s="33">
        <v>4007</v>
      </c>
      <c r="B4008" t="s">
        <v>8024</v>
      </c>
      <c r="C4008" s="1">
        <v>37.191302991000001</v>
      </c>
      <c r="D4008" s="1">
        <v>-6.9916181010000003</v>
      </c>
      <c r="E4008" s="3">
        <v>1</v>
      </c>
      <c r="F4008" s="2">
        <v>2</v>
      </c>
      <c r="G4008" s="4">
        <v>3</v>
      </c>
      <c r="H4008" s="13">
        <v>1</v>
      </c>
      <c r="I4008" s="34">
        <v>2</v>
      </c>
      <c r="J4008" s="35">
        <v>2</v>
      </c>
      <c r="K4008" s="2" t="s">
        <v>8025</v>
      </c>
      <c r="L4008" s="36" t="str">
        <f t="shared" si="68"/>
        <v>Ver Imagen</v>
      </c>
      <c r="M4008" t="s">
        <v>8005</v>
      </c>
    </row>
    <row r="4009" spans="1:13" x14ac:dyDescent="0.25">
      <c r="A4009" s="33">
        <v>4008</v>
      </c>
      <c r="B4009" t="s">
        <v>8026</v>
      </c>
      <c r="C4009" s="1">
        <v>37.194216439800002</v>
      </c>
      <c r="D4009" s="1">
        <v>-6.9982314308899998</v>
      </c>
      <c r="E4009" s="3">
        <v>1</v>
      </c>
      <c r="F4009" s="2">
        <v>3</v>
      </c>
      <c r="G4009" s="4">
        <v>2</v>
      </c>
      <c r="H4009" s="13">
        <v>2</v>
      </c>
      <c r="I4009" s="34">
        <v>2</v>
      </c>
      <c r="J4009" s="35">
        <v>2</v>
      </c>
      <c r="K4009" s="2" t="s">
        <v>8027</v>
      </c>
      <c r="L4009" s="36" t="str">
        <f t="shared" si="68"/>
        <v>Ver Imagen</v>
      </c>
      <c r="M4009" t="s">
        <v>8005</v>
      </c>
    </row>
    <row r="4010" spans="1:13" x14ac:dyDescent="0.25">
      <c r="A4010" s="33">
        <v>4009</v>
      </c>
      <c r="B4010" t="s">
        <v>8028</v>
      </c>
      <c r="C4010" s="1">
        <v>37.218208611400001</v>
      </c>
      <c r="D4010" s="1">
        <v>-7.12298624689</v>
      </c>
      <c r="E4010" s="3">
        <v>1</v>
      </c>
      <c r="F4010" s="2">
        <v>2</v>
      </c>
      <c r="G4010" s="4">
        <v>3</v>
      </c>
      <c r="H4010" s="13">
        <v>1</v>
      </c>
      <c r="I4010" s="34">
        <v>1</v>
      </c>
      <c r="J4010" s="35">
        <v>1</v>
      </c>
      <c r="K4010" s="2" t="s">
        <v>8029</v>
      </c>
      <c r="L4010" s="36" t="str">
        <f t="shared" si="68"/>
        <v>Ver Imagen</v>
      </c>
      <c r="M4010" t="s">
        <v>8005</v>
      </c>
    </row>
    <row r="4011" spans="1:13" x14ac:dyDescent="0.25">
      <c r="A4011" s="33">
        <v>4010</v>
      </c>
      <c r="B4011" t="s">
        <v>8030</v>
      </c>
      <c r="C4011" s="1">
        <v>37.218126982999998</v>
      </c>
      <c r="D4011" s="1">
        <v>-7.1187505239900002</v>
      </c>
      <c r="E4011" s="3">
        <v>1</v>
      </c>
      <c r="F4011" s="2">
        <v>3</v>
      </c>
      <c r="G4011" s="4">
        <v>3</v>
      </c>
      <c r="H4011" s="13">
        <v>2</v>
      </c>
      <c r="I4011" s="34">
        <v>2</v>
      </c>
      <c r="J4011" s="35">
        <v>2</v>
      </c>
      <c r="K4011" s="2" t="s">
        <v>8031</v>
      </c>
      <c r="L4011" s="36" t="str">
        <f t="shared" si="68"/>
        <v>Ver Imagen</v>
      </c>
      <c r="M4011" t="s">
        <v>8005</v>
      </c>
    </row>
    <row r="4012" spans="1:13" x14ac:dyDescent="0.25">
      <c r="A4012" s="33">
        <v>4011</v>
      </c>
      <c r="B4012" t="s">
        <v>8032</v>
      </c>
      <c r="C4012" s="1">
        <v>37.217626067600001</v>
      </c>
      <c r="D4012" s="1">
        <v>-7.1092040251000004</v>
      </c>
      <c r="E4012" s="3">
        <v>1</v>
      </c>
      <c r="F4012" s="2">
        <v>1</v>
      </c>
      <c r="G4012" s="4">
        <v>3</v>
      </c>
      <c r="H4012" s="13">
        <v>1</v>
      </c>
      <c r="I4012" s="34">
        <v>1</v>
      </c>
      <c r="J4012" s="35">
        <v>1</v>
      </c>
      <c r="K4012" s="2" t="s">
        <v>8033</v>
      </c>
      <c r="L4012" s="36" t="str">
        <f t="shared" si="68"/>
        <v>Ver Imagen</v>
      </c>
      <c r="M4012" t="s">
        <v>8005</v>
      </c>
    </row>
    <row r="4013" spans="1:13" x14ac:dyDescent="0.25">
      <c r="A4013" s="33">
        <v>4012</v>
      </c>
      <c r="B4013" t="s">
        <v>8034</v>
      </c>
      <c r="C4013" s="1">
        <v>37.217491377199998</v>
      </c>
      <c r="D4013" s="1">
        <v>-7.1082108991400004</v>
      </c>
      <c r="E4013" s="3">
        <v>1</v>
      </c>
      <c r="F4013" s="2">
        <v>2</v>
      </c>
      <c r="G4013" s="4">
        <v>3</v>
      </c>
      <c r="H4013" s="13">
        <v>2</v>
      </c>
      <c r="I4013" s="34">
        <v>2</v>
      </c>
      <c r="J4013" s="35">
        <v>2</v>
      </c>
      <c r="K4013" s="2" t="s">
        <v>8035</v>
      </c>
      <c r="L4013" s="36" t="str">
        <f t="shared" si="68"/>
        <v>Ver Imagen</v>
      </c>
      <c r="M4013" t="s">
        <v>8005</v>
      </c>
    </row>
    <row r="4014" spans="1:13" x14ac:dyDescent="0.25">
      <c r="A4014" s="33">
        <v>4013</v>
      </c>
      <c r="B4014" t="s">
        <v>8036</v>
      </c>
      <c r="C4014" s="1">
        <v>37.216979223000003</v>
      </c>
      <c r="D4014" s="1">
        <v>-7.0988991863799997</v>
      </c>
      <c r="E4014" s="3">
        <v>1</v>
      </c>
      <c r="F4014" s="2">
        <v>1</v>
      </c>
      <c r="G4014" s="4">
        <v>3</v>
      </c>
      <c r="H4014" s="13">
        <v>1</v>
      </c>
      <c r="I4014" s="34">
        <v>1</v>
      </c>
      <c r="J4014" s="35">
        <v>1</v>
      </c>
      <c r="K4014" s="2" t="s">
        <v>8037</v>
      </c>
      <c r="L4014" s="36" t="str">
        <f t="shared" si="68"/>
        <v>Ver Imagen</v>
      </c>
      <c r="M4014" t="s">
        <v>8005</v>
      </c>
    </row>
    <row r="4015" spans="1:13" x14ac:dyDescent="0.25">
      <c r="A4015" s="33">
        <v>4014</v>
      </c>
      <c r="B4015" t="s">
        <v>8038</v>
      </c>
      <c r="C4015" s="1">
        <v>37.216033425299997</v>
      </c>
      <c r="D4015" s="1">
        <v>-7.0863714253200003</v>
      </c>
      <c r="E4015" s="3">
        <v>1</v>
      </c>
      <c r="F4015" s="2">
        <v>2</v>
      </c>
      <c r="G4015" s="4">
        <v>3</v>
      </c>
      <c r="H4015" s="13">
        <v>1</v>
      </c>
      <c r="I4015" s="34">
        <v>1</v>
      </c>
      <c r="J4015" s="35">
        <v>1</v>
      </c>
      <c r="K4015" s="2" t="s">
        <v>8039</v>
      </c>
      <c r="L4015" s="36" t="str">
        <f t="shared" si="68"/>
        <v>Ver Imagen</v>
      </c>
      <c r="M4015" t="s">
        <v>8005</v>
      </c>
    </row>
    <row r="4016" spans="1:13" x14ac:dyDescent="0.25">
      <c r="A4016" s="33">
        <v>4015</v>
      </c>
      <c r="B4016" t="s">
        <v>8040</v>
      </c>
      <c r="C4016" s="1">
        <v>37.215454465400001</v>
      </c>
      <c r="D4016" s="1">
        <v>-7.0812427280100003</v>
      </c>
      <c r="E4016" s="3">
        <v>1</v>
      </c>
      <c r="F4016" s="2">
        <v>2</v>
      </c>
      <c r="G4016" s="4">
        <v>3</v>
      </c>
      <c r="H4016" s="13">
        <v>2</v>
      </c>
      <c r="I4016" s="34">
        <v>2</v>
      </c>
      <c r="J4016" s="35">
        <v>2</v>
      </c>
      <c r="K4016" s="2" t="s">
        <v>8041</v>
      </c>
      <c r="L4016" s="36" t="str">
        <f t="shared" si="68"/>
        <v>Ver Imagen</v>
      </c>
      <c r="M4016" t="s">
        <v>8005</v>
      </c>
    </row>
    <row r="4017" spans="1:13" x14ac:dyDescent="0.25">
      <c r="A4017" s="33">
        <v>4016</v>
      </c>
      <c r="B4017" t="s">
        <v>8042</v>
      </c>
      <c r="C4017" s="1">
        <v>37.215383432499998</v>
      </c>
      <c r="D4017" s="1">
        <v>-7.0810003518100002</v>
      </c>
      <c r="E4017" s="3">
        <v>1</v>
      </c>
      <c r="F4017" s="2">
        <v>2</v>
      </c>
      <c r="G4017" s="4">
        <v>3</v>
      </c>
      <c r="H4017" s="13">
        <v>1</v>
      </c>
      <c r="I4017" s="34">
        <v>2</v>
      </c>
      <c r="J4017" s="35">
        <v>2</v>
      </c>
      <c r="K4017" s="2" t="s">
        <v>8043</v>
      </c>
      <c r="L4017" s="36" t="str">
        <f t="shared" si="68"/>
        <v>Ver Imagen</v>
      </c>
      <c r="M4017" t="s">
        <v>8005</v>
      </c>
    </row>
    <row r="4018" spans="1:13" x14ac:dyDescent="0.25">
      <c r="A4018" s="33">
        <v>4017</v>
      </c>
      <c r="B4018" t="s">
        <v>8044</v>
      </c>
      <c r="C4018" s="1">
        <v>37.215304962499999</v>
      </c>
      <c r="D4018" s="1">
        <v>-7.0807341513899997</v>
      </c>
      <c r="E4018" s="3">
        <v>1</v>
      </c>
      <c r="F4018" s="2">
        <v>2</v>
      </c>
      <c r="G4018" s="4">
        <v>3</v>
      </c>
      <c r="H4018" s="13">
        <v>1</v>
      </c>
      <c r="I4018" s="34">
        <v>1</v>
      </c>
      <c r="J4018" s="35">
        <v>1</v>
      </c>
      <c r="K4018" s="2" t="s">
        <v>8045</v>
      </c>
      <c r="L4018" s="36" t="str">
        <f t="shared" si="68"/>
        <v>Ver Imagen</v>
      </c>
      <c r="M4018" t="s">
        <v>8005</v>
      </c>
    </row>
    <row r="4019" spans="1:13" x14ac:dyDescent="0.25">
      <c r="A4019" s="33">
        <v>4018</v>
      </c>
      <c r="B4019" t="s">
        <v>8046</v>
      </c>
      <c r="C4019" s="1">
        <v>37.214514163099999</v>
      </c>
      <c r="D4019" s="1">
        <v>-7.0771109475099996</v>
      </c>
      <c r="E4019" s="3">
        <v>1</v>
      </c>
      <c r="F4019" s="2">
        <v>1</v>
      </c>
      <c r="G4019" s="4">
        <v>3</v>
      </c>
      <c r="H4019" s="13">
        <v>1</v>
      </c>
      <c r="I4019" s="34">
        <v>1</v>
      </c>
      <c r="J4019" s="35">
        <v>1</v>
      </c>
      <c r="K4019" s="2" t="s">
        <v>8047</v>
      </c>
      <c r="L4019" s="36" t="str">
        <f t="shared" si="68"/>
        <v>Ver Imagen</v>
      </c>
      <c r="M4019" t="s">
        <v>8005</v>
      </c>
    </row>
    <row r="4020" spans="1:13" x14ac:dyDescent="0.25">
      <c r="A4020" s="33">
        <v>4019</v>
      </c>
      <c r="B4020" t="s">
        <v>8048</v>
      </c>
      <c r="C4020" s="1">
        <v>37.213782197999997</v>
      </c>
      <c r="D4020" s="1">
        <v>-7.0726664589299997</v>
      </c>
      <c r="E4020" s="3">
        <v>1</v>
      </c>
      <c r="F4020" s="2">
        <v>2</v>
      </c>
      <c r="G4020" s="4">
        <v>3</v>
      </c>
      <c r="H4020" s="13">
        <v>2</v>
      </c>
      <c r="I4020" s="34">
        <v>2</v>
      </c>
      <c r="J4020" s="35">
        <v>2</v>
      </c>
      <c r="K4020" s="2" t="s">
        <v>8049</v>
      </c>
      <c r="L4020" s="36" t="str">
        <f t="shared" si="68"/>
        <v>Ver Imagen</v>
      </c>
      <c r="M4020" t="s">
        <v>8005</v>
      </c>
    </row>
    <row r="4021" spans="1:13" x14ac:dyDescent="0.25">
      <c r="A4021" s="33">
        <v>4020</v>
      </c>
      <c r="B4021" t="s">
        <v>8050</v>
      </c>
      <c r="C4021" s="1">
        <v>37.213033067700003</v>
      </c>
      <c r="D4021" s="1">
        <v>-7.0619315891500003</v>
      </c>
      <c r="E4021" s="3">
        <v>1</v>
      </c>
      <c r="F4021" s="2">
        <v>2</v>
      </c>
      <c r="G4021" s="4">
        <v>3</v>
      </c>
      <c r="H4021" s="13">
        <v>2</v>
      </c>
      <c r="I4021" s="34">
        <v>3</v>
      </c>
      <c r="J4021" s="37">
        <v>3</v>
      </c>
      <c r="K4021" s="2" t="s">
        <v>8051</v>
      </c>
      <c r="L4021" s="36" t="str">
        <f t="shared" si="68"/>
        <v>Ver Imagen</v>
      </c>
      <c r="M4021" s="37" t="s">
        <v>8052</v>
      </c>
    </row>
    <row r="4022" spans="1:13" x14ac:dyDescent="0.25">
      <c r="A4022" s="33">
        <v>4021</v>
      </c>
      <c r="B4022" t="s">
        <v>8053</v>
      </c>
      <c r="C4022" s="1">
        <v>37.201539770700002</v>
      </c>
      <c r="D4022" s="1">
        <v>-7.0197043756699999</v>
      </c>
      <c r="E4022" s="3">
        <v>1</v>
      </c>
      <c r="F4022" s="2">
        <v>2</v>
      </c>
      <c r="G4022" s="4">
        <v>3</v>
      </c>
      <c r="H4022" s="13">
        <v>2</v>
      </c>
      <c r="I4022" s="34">
        <v>2</v>
      </c>
      <c r="J4022" s="35">
        <v>2</v>
      </c>
      <c r="K4022" s="2" t="s">
        <v>8054</v>
      </c>
      <c r="L4022" s="36" t="str">
        <f t="shared" si="68"/>
        <v>Ver Imagen</v>
      </c>
      <c r="M4022" t="s">
        <v>8005</v>
      </c>
    </row>
    <row r="4023" spans="1:13" x14ac:dyDescent="0.25">
      <c r="A4023" s="33">
        <v>4022</v>
      </c>
      <c r="B4023" t="s">
        <v>8055</v>
      </c>
      <c r="C4023" s="1">
        <v>37.2876639037</v>
      </c>
      <c r="D4023" s="1">
        <v>-7.14124621731</v>
      </c>
      <c r="E4023" s="3">
        <v>1</v>
      </c>
      <c r="F4023" s="2">
        <v>2</v>
      </c>
      <c r="G4023" s="4">
        <v>3</v>
      </c>
      <c r="H4023" s="13">
        <v>2</v>
      </c>
      <c r="I4023" s="34">
        <v>2</v>
      </c>
      <c r="J4023" s="35">
        <v>2</v>
      </c>
      <c r="K4023" s="2" t="s">
        <v>8056</v>
      </c>
      <c r="L4023" s="36" t="str">
        <f t="shared" si="68"/>
        <v>Ver Imagen</v>
      </c>
      <c r="M4023" t="s">
        <v>8005</v>
      </c>
    </row>
    <row r="4024" spans="1:13" x14ac:dyDescent="0.25">
      <c r="A4024" s="33">
        <v>4023</v>
      </c>
      <c r="B4024" t="s">
        <v>8057</v>
      </c>
      <c r="C4024" s="1">
        <v>37.285472066300002</v>
      </c>
      <c r="D4024" s="1">
        <v>-7.1423377428199997</v>
      </c>
      <c r="E4024" s="3">
        <v>1</v>
      </c>
      <c r="F4024" s="2">
        <v>2</v>
      </c>
      <c r="G4024" s="4">
        <v>3</v>
      </c>
      <c r="H4024" s="13">
        <v>2</v>
      </c>
      <c r="I4024" s="34">
        <v>2</v>
      </c>
      <c r="J4024" s="35">
        <v>2</v>
      </c>
      <c r="K4024" s="2" t="s">
        <v>8058</v>
      </c>
      <c r="L4024" s="36" t="str">
        <f t="shared" si="68"/>
        <v>Ver Imagen</v>
      </c>
      <c r="M4024" t="s">
        <v>8005</v>
      </c>
    </row>
    <row r="4025" spans="1:13" x14ac:dyDescent="0.25">
      <c r="A4025" s="33">
        <v>4024</v>
      </c>
      <c r="B4025" t="s">
        <v>8059</v>
      </c>
      <c r="C4025" s="1">
        <v>37.279909794799998</v>
      </c>
      <c r="D4025" s="1">
        <v>-7.1458459692499998</v>
      </c>
      <c r="E4025" s="3">
        <v>1</v>
      </c>
      <c r="F4025" s="2">
        <v>3</v>
      </c>
      <c r="G4025" s="4">
        <v>3</v>
      </c>
      <c r="H4025" s="13">
        <v>2</v>
      </c>
      <c r="I4025" s="34">
        <v>2</v>
      </c>
      <c r="J4025" s="35">
        <v>2</v>
      </c>
      <c r="K4025" s="2" t="s">
        <v>8060</v>
      </c>
      <c r="L4025" s="36" t="str">
        <f t="shared" si="68"/>
        <v>Ver Imagen</v>
      </c>
      <c r="M4025" t="s">
        <v>8005</v>
      </c>
    </row>
    <row r="4026" spans="1:13" x14ac:dyDescent="0.25">
      <c r="A4026" s="33">
        <v>4025</v>
      </c>
      <c r="B4026" t="s">
        <v>8061</v>
      </c>
      <c r="C4026" s="1">
        <v>37.231667635299999</v>
      </c>
      <c r="D4026" s="1">
        <v>-7.1271118212499998</v>
      </c>
      <c r="E4026" s="3">
        <v>1</v>
      </c>
      <c r="F4026" s="2">
        <v>2</v>
      </c>
      <c r="G4026" s="4">
        <v>3</v>
      </c>
      <c r="H4026" s="13">
        <v>1</v>
      </c>
      <c r="I4026" s="34">
        <v>2</v>
      </c>
      <c r="J4026" s="35">
        <v>2</v>
      </c>
      <c r="K4026" s="2" t="s">
        <v>8062</v>
      </c>
      <c r="L4026" s="36" t="str">
        <f t="shared" si="68"/>
        <v>Ver Imagen</v>
      </c>
      <c r="M4026" t="s">
        <v>8005</v>
      </c>
    </row>
    <row r="4027" spans="1:13" x14ac:dyDescent="0.25">
      <c r="A4027" s="33">
        <v>4026</v>
      </c>
      <c r="B4027" t="s">
        <v>8063</v>
      </c>
      <c r="C4027" s="1">
        <v>37.439302403100001</v>
      </c>
      <c r="D4027" s="1">
        <v>-7.0861815230699996</v>
      </c>
      <c r="E4027" s="3">
        <v>3</v>
      </c>
      <c r="F4027" s="2">
        <v>2</v>
      </c>
      <c r="G4027" s="4">
        <v>1</v>
      </c>
      <c r="H4027" s="13">
        <v>2</v>
      </c>
      <c r="I4027" s="34">
        <v>2</v>
      </c>
      <c r="J4027" s="35">
        <v>2</v>
      </c>
      <c r="K4027" s="2" t="s">
        <v>8064</v>
      </c>
      <c r="L4027" s="36" t="str">
        <f t="shared" si="68"/>
        <v>Ver Imagen</v>
      </c>
      <c r="M4027" t="s">
        <v>8005</v>
      </c>
    </row>
    <row r="4028" spans="1:13" x14ac:dyDescent="0.25">
      <c r="A4028" s="33">
        <v>4027</v>
      </c>
      <c r="B4028" t="s">
        <v>8065</v>
      </c>
      <c r="C4028" s="1">
        <v>37.435543081699997</v>
      </c>
      <c r="D4028" s="1">
        <v>-7.0753042170600002</v>
      </c>
      <c r="E4028" s="3">
        <v>3</v>
      </c>
      <c r="F4028" s="2">
        <v>3</v>
      </c>
      <c r="G4028" s="4">
        <v>1</v>
      </c>
      <c r="H4028" s="13">
        <v>2</v>
      </c>
      <c r="I4028" s="34">
        <v>3</v>
      </c>
      <c r="J4028" s="35">
        <v>3</v>
      </c>
      <c r="K4028" s="2" t="s">
        <v>8066</v>
      </c>
      <c r="L4028" s="36" t="str">
        <f t="shared" si="68"/>
        <v>Ver Imagen</v>
      </c>
      <c r="M4028" t="s">
        <v>8005</v>
      </c>
    </row>
    <row r="4029" spans="1:13" x14ac:dyDescent="0.25">
      <c r="A4029" s="33">
        <v>4028</v>
      </c>
      <c r="B4029" t="s">
        <v>8067</v>
      </c>
      <c r="C4029" s="1">
        <v>37.221540128199997</v>
      </c>
      <c r="D4029" s="1">
        <v>-7.0545680201099996</v>
      </c>
      <c r="E4029" s="3">
        <v>3</v>
      </c>
      <c r="F4029" s="2">
        <v>2</v>
      </c>
      <c r="G4029" s="4">
        <v>1</v>
      </c>
      <c r="H4029" s="13">
        <v>2</v>
      </c>
      <c r="I4029" s="34">
        <v>2</v>
      </c>
      <c r="J4029" s="35">
        <v>2</v>
      </c>
      <c r="K4029" s="2" t="s">
        <v>8068</v>
      </c>
      <c r="L4029" s="36" t="str">
        <f t="shared" si="68"/>
        <v>Ver Imagen</v>
      </c>
      <c r="M4029" t="s">
        <v>8005</v>
      </c>
    </row>
    <row r="4030" spans="1:13" x14ac:dyDescent="0.25">
      <c r="A4030" s="33">
        <v>4029</v>
      </c>
      <c r="B4030" t="s">
        <v>8069</v>
      </c>
      <c r="C4030" s="1">
        <v>37.435209700400002</v>
      </c>
      <c r="D4030" s="1">
        <v>-7.0709827171599997</v>
      </c>
      <c r="E4030" s="3">
        <v>3</v>
      </c>
      <c r="F4030" s="2">
        <v>2</v>
      </c>
      <c r="G4030" s="4">
        <v>1</v>
      </c>
      <c r="H4030" s="13">
        <v>2</v>
      </c>
      <c r="I4030" s="34">
        <v>1</v>
      </c>
      <c r="J4030" s="35">
        <v>2</v>
      </c>
      <c r="K4030" s="2" t="s">
        <v>8070</v>
      </c>
      <c r="L4030" s="36" t="str">
        <f t="shared" si="68"/>
        <v>Ver Imagen</v>
      </c>
      <c r="M4030" t="s">
        <v>8005</v>
      </c>
    </row>
    <row r="4031" spans="1:13" x14ac:dyDescent="0.25">
      <c r="A4031" s="33">
        <v>4030</v>
      </c>
      <c r="B4031" t="s">
        <v>8071</v>
      </c>
      <c r="C4031" s="1">
        <v>37.433316419299999</v>
      </c>
      <c r="D4031" s="1">
        <v>-7.06570817326</v>
      </c>
      <c r="E4031" s="3">
        <v>3</v>
      </c>
      <c r="F4031" s="2">
        <v>3</v>
      </c>
      <c r="G4031" s="4">
        <v>1</v>
      </c>
      <c r="H4031" s="13">
        <v>1</v>
      </c>
      <c r="I4031" s="34">
        <v>1</v>
      </c>
      <c r="J4031" s="37">
        <v>2</v>
      </c>
      <c r="K4031" s="2" t="s">
        <v>8072</v>
      </c>
      <c r="L4031" s="36" t="str">
        <f t="shared" si="68"/>
        <v>Ver Imagen</v>
      </c>
      <c r="M4031" s="37" t="s">
        <v>8052</v>
      </c>
    </row>
    <row r="4032" spans="1:13" x14ac:dyDescent="0.25">
      <c r="A4032" s="33">
        <v>4031</v>
      </c>
      <c r="B4032" t="s">
        <v>8073</v>
      </c>
      <c r="C4032" s="1">
        <v>37.433125874700004</v>
      </c>
      <c r="D4032" s="1">
        <v>-7.06529395992</v>
      </c>
      <c r="E4032" s="3">
        <v>2</v>
      </c>
      <c r="F4032" s="2">
        <v>3</v>
      </c>
      <c r="G4032" s="4">
        <v>1</v>
      </c>
      <c r="H4032" s="13">
        <v>3</v>
      </c>
      <c r="I4032" s="34">
        <v>2</v>
      </c>
      <c r="J4032" s="35">
        <v>2</v>
      </c>
      <c r="K4032" s="2" t="s">
        <v>8074</v>
      </c>
      <c r="L4032" s="36" t="str">
        <f t="shared" si="68"/>
        <v>Ver Imagen</v>
      </c>
      <c r="M4032" t="s">
        <v>8005</v>
      </c>
    </row>
    <row r="4033" spans="1:13" x14ac:dyDescent="0.25">
      <c r="A4033" s="33">
        <v>4032</v>
      </c>
      <c r="B4033" t="s">
        <v>8075</v>
      </c>
      <c r="C4033" s="1">
        <v>37.270134270500002</v>
      </c>
      <c r="D4033" s="1">
        <v>-6.9895535603700001</v>
      </c>
      <c r="E4033" s="3">
        <v>1</v>
      </c>
      <c r="F4033" s="2">
        <v>2</v>
      </c>
      <c r="G4033" s="4">
        <v>3</v>
      </c>
      <c r="H4033" s="13">
        <v>2</v>
      </c>
      <c r="I4033" s="34">
        <v>1</v>
      </c>
      <c r="J4033" s="35">
        <v>2</v>
      </c>
      <c r="K4033" s="2" t="s">
        <v>8076</v>
      </c>
      <c r="L4033" s="36" t="str">
        <f t="shared" si="68"/>
        <v>Ver Imagen</v>
      </c>
      <c r="M4033" t="s">
        <v>8005</v>
      </c>
    </row>
    <row r="4034" spans="1:13" x14ac:dyDescent="0.25">
      <c r="A4034" s="33">
        <v>4033</v>
      </c>
      <c r="B4034" t="s">
        <v>8077</v>
      </c>
      <c r="C4034" s="1">
        <v>37.263351762600003</v>
      </c>
      <c r="D4034" s="1">
        <v>-7.0078477448600003</v>
      </c>
      <c r="E4034" s="3">
        <v>1</v>
      </c>
      <c r="F4034" s="2">
        <v>2</v>
      </c>
      <c r="G4034" s="4">
        <v>3</v>
      </c>
      <c r="H4034" s="13">
        <v>1</v>
      </c>
      <c r="I4034" s="34">
        <v>3</v>
      </c>
      <c r="J4034" s="37">
        <v>3</v>
      </c>
      <c r="K4034" s="2" t="s">
        <v>8078</v>
      </c>
      <c r="L4034" s="36" t="str">
        <f t="shared" si="68"/>
        <v>Ver Imagen</v>
      </c>
      <c r="M4034" s="37" t="s">
        <v>8052</v>
      </c>
    </row>
    <row r="4035" spans="1:13" x14ac:dyDescent="0.25">
      <c r="A4035" s="33">
        <v>4034</v>
      </c>
      <c r="B4035" t="s">
        <v>8079</v>
      </c>
      <c r="C4035" s="1">
        <v>37.2632936953</v>
      </c>
      <c r="D4035" s="1">
        <v>-7.0080358455900003</v>
      </c>
      <c r="E4035" s="3">
        <v>1</v>
      </c>
      <c r="F4035" s="2">
        <v>2</v>
      </c>
      <c r="G4035" s="4">
        <v>3</v>
      </c>
      <c r="H4035" s="13">
        <v>2</v>
      </c>
      <c r="I4035" s="34">
        <v>1</v>
      </c>
      <c r="J4035" s="35">
        <v>2</v>
      </c>
      <c r="K4035" s="2" t="s">
        <v>8080</v>
      </c>
      <c r="L4035" s="36" t="str">
        <f t="shared" si="68"/>
        <v>Ver Imagen</v>
      </c>
      <c r="M4035" t="s">
        <v>8005</v>
      </c>
    </row>
    <row r="4036" spans="1:13" x14ac:dyDescent="0.25">
      <c r="A4036" s="33">
        <v>4035</v>
      </c>
      <c r="B4036" t="s">
        <v>8081</v>
      </c>
      <c r="C4036" s="1">
        <v>37.263208622599997</v>
      </c>
      <c r="D4036" s="1">
        <v>-7.0082842895399997</v>
      </c>
      <c r="E4036" s="3">
        <v>1</v>
      </c>
      <c r="F4036" s="2">
        <v>2</v>
      </c>
      <c r="G4036" s="4">
        <v>3</v>
      </c>
      <c r="H4036" s="13">
        <v>2</v>
      </c>
      <c r="I4036" s="34">
        <v>2</v>
      </c>
      <c r="J4036" s="35">
        <v>2</v>
      </c>
      <c r="K4036" s="2" t="s">
        <v>8082</v>
      </c>
      <c r="L4036" s="36" t="str">
        <f t="shared" si="68"/>
        <v>Ver Imagen</v>
      </c>
      <c r="M4036" t="s">
        <v>8005</v>
      </c>
    </row>
    <row r="4037" spans="1:13" x14ac:dyDescent="0.25">
      <c r="A4037" s="33">
        <v>4036</v>
      </c>
      <c r="B4037" t="s">
        <v>8083</v>
      </c>
      <c r="C4037" s="1">
        <v>37.263022368000001</v>
      </c>
      <c r="D4037" s="1">
        <v>-7.0087419856000004</v>
      </c>
      <c r="E4037" s="3">
        <v>1</v>
      </c>
      <c r="F4037" s="2">
        <v>2</v>
      </c>
      <c r="G4037" s="4">
        <v>3</v>
      </c>
      <c r="H4037" s="13">
        <v>2</v>
      </c>
      <c r="I4037" s="34">
        <v>2</v>
      </c>
      <c r="J4037" s="35">
        <v>2</v>
      </c>
      <c r="K4037" s="2" t="s">
        <v>8084</v>
      </c>
      <c r="L4037" s="36" t="str">
        <f t="shared" si="68"/>
        <v>Ver Imagen</v>
      </c>
      <c r="M4037" t="s">
        <v>8005</v>
      </c>
    </row>
    <row r="4038" spans="1:13" x14ac:dyDescent="0.25">
      <c r="A4038" s="33">
        <v>4037</v>
      </c>
      <c r="B4038" t="s">
        <v>8085</v>
      </c>
      <c r="C4038" s="1">
        <v>37.202016534599998</v>
      </c>
      <c r="D4038" s="1">
        <v>-6.9955922041500003</v>
      </c>
      <c r="E4038" s="3">
        <v>1</v>
      </c>
      <c r="F4038" s="2">
        <v>2</v>
      </c>
      <c r="G4038" s="4">
        <v>3</v>
      </c>
      <c r="H4038" s="13">
        <v>2</v>
      </c>
      <c r="I4038" s="34">
        <v>2</v>
      </c>
      <c r="J4038" s="35">
        <v>2</v>
      </c>
      <c r="K4038" s="2" t="s">
        <v>8086</v>
      </c>
      <c r="L4038" s="36" t="str">
        <f t="shared" si="68"/>
        <v>Ver Imagen</v>
      </c>
      <c r="M4038" t="s">
        <v>8005</v>
      </c>
    </row>
    <row r="4039" spans="1:13" x14ac:dyDescent="0.25">
      <c r="A4039" s="33">
        <v>4038</v>
      </c>
      <c r="B4039" t="s">
        <v>8087</v>
      </c>
      <c r="C4039" s="1">
        <v>37.202070375200002</v>
      </c>
      <c r="D4039" s="1">
        <v>-6.99592415545</v>
      </c>
      <c r="E4039" s="3">
        <v>1</v>
      </c>
      <c r="F4039" s="2">
        <v>2</v>
      </c>
      <c r="G4039" s="4">
        <v>3</v>
      </c>
      <c r="H4039" s="13">
        <v>2</v>
      </c>
      <c r="I4039" s="34">
        <v>2</v>
      </c>
      <c r="J4039" s="35">
        <v>2</v>
      </c>
      <c r="K4039" s="2" t="s">
        <v>8088</v>
      </c>
      <c r="L4039" s="36" t="str">
        <f t="shared" si="68"/>
        <v>Ver Imagen</v>
      </c>
      <c r="M4039" t="s">
        <v>8005</v>
      </c>
    </row>
    <row r="4040" spans="1:13" x14ac:dyDescent="0.25">
      <c r="A4040" s="33">
        <v>4039</v>
      </c>
      <c r="B4040" t="s">
        <v>8089</v>
      </c>
      <c r="C4040" s="1">
        <v>37.204790169699997</v>
      </c>
      <c r="D4040" s="1">
        <v>-7.0145658392600003</v>
      </c>
      <c r="E4040" s="3">
        <v>1</v>
      </c>
      <c r="F4040" s="2">
        <v>2</v>
      </c>
      <c r="G4040" s="4">
        <v>3</v>
      </c>
      <c r="H4040" s="13">
        <v>2</v>
      </c>
      <c r="I4040" s="34">
        <v>1</v>
      </c>
      <c r="J4040" s="35">
        <v>2</v>
      </c>
      <c r="K4040" s="2" t="s">
        <v>8090</v>
      </c>
      <c r="L4040" s="36" t="str">
        <f t="shared" si="68"/>
        <v>Ver Imagen</v>
      </c>
      <c r="M4040" t="s">
        <v>8005</v>
      </c>
    </row>
    <row r="4041" spans="1:13" x14ac:dyDescent="0.25">
      <c r="A4041" s="33">
        <v>4040</v>
      </c>
      <c r="B4041" t="s">
        <v>8091</v>
      </c>
      <c r="C4041" s="1">
        <v>37.2048840052</v>
      </c>
      <c r="D4041" s="1">
        <v>-7.0150415456699999</v>
      </c>
      <c r="E4041" s="3">
        <v>1</v>
      </c>
      <c r="F4041" s="2">
        <v>2</v>
      </c>
      <c r="G4041" s="4">
        <v>3</v>
      </c>
      <c r="H4041" s="13">
        <v>2</v>
      </c>
      <c r="I4041" s="34">
        <v>1</v>
      </c>
      <c r="J4041" s="35">
        <v>2</v>
      </c>
      <c r="K4041" s="2" t="s">
        <v>8092</v>
      </c>
      <c r="L4041" s="36" t="str">
        <f t="shared" si="68"/>
        <v>Ver Imagen</v>
      </c>
      <c r="M4041" t="s">
        <v>8005</v>
      </c>
    </row>
    <row r="4042" spans="1:13" x14ac:dyDescent="0.25">
      <c r="A4042" s="33">
        <v>4041</v>
      </c>
      <c r="B4042" t="s">
        <v>8093</v>
      </c>
      <c r="C4042" s="1">
        <v>37.205027983999997</v>
      </c>
      <c r="D4042" s="1">
        <v>-7.0157720371799996</v>
      </c>
      <c r="E4042" s="3">
        <v>1</v>
      </c>
      <c r="F4042" s="2">
        <v>2</v>
      </c>
      <c r="G4042" s="4">
        <v>3</v>
      </c>
      <c r="H4042" s="13">
        <v>2</v>
      </c>
      <c r="I4042" s="34">
        <v>1</v>
      </c>
      <c r="J4042" s="35">
        <v>2</v>
      </c>
      <c r="K4042" s="2" t="s">
        <v>8094</v>
      </c>
      <c r="L4042" s="36" t="str">
        <f t="shared" si="68"/>
        <v>Ver Imagen</v>
      </c>
      <c r="M4042" t="s">
        <v>8005</v>
      </c>
    </row>
    <row r="4043" spans="1:13" x14ac:dyDescent="0.25">
      <c r="A4043" s="33">
        <v>4042</v>
      </c>
      <c r="B4043" t="s">
        <v>8095</v>
      </c>
      <c r="C4043" s="1">
        <v>37.2054792709</v>
      </c>
      <c r="D4043" s="1">
        <v>-7.0176976158200004</v>
      </c>
      <c r="E4043" s="3">
        <v>1</v>
      </c>
      <c r="F4043" s="2">
        <v>2</v>
      </c>
      <c r="G4043" s="4">
        <v>3</v>
      </c>
      <c r="H4043" s="13">
        <v>2</v>
      </c>
      <c r="I4043" s="34">
        <v>2</v>
      </c>
      <c r="J4043" s="35">
        <v>2</v>
      </c>
      <c r="K4043" s="2" t="s">
        <v>8096</v>
      </c>
      <c r="L4043" s="36" t="str">
        <f t="shared" si="68"/>
        <v>Ver Imagen</v>
      </c>
      <c r="M4043" t="s">
        <v>8005</v>
      </c>
    </row>
    <row r="4044" spans="1:13" x14ac:dyDescent="0.25">
      <c r="A4044" s="33">
        <v>4043</v>
      </c>
      <c r="B4044" t="s">
        <v>8097</v>
      </c>
      <c r="C4044" s="1">
        <v>37.2289104846</v>
      </c>
      <c r="D4044" s="1">
        <v>-7.0212888106999998</v>
      </c>
      <c r="E4044" s="3">
        <v>3</v>
      </c>
      <c r="F4044" s="2">
        <v>2</v>
      </c>
      <c r="G4044" s="4">
        <v>1</v>
      </c>
      <c r="H4044" s="13">
        <v>1</v>
      </c>
      <c r="I4044" s="34">
        <v>2</v>
      </c>
      <c r="J4044" s="35">
        <v>2</v>
      </c>
      <c r="K4044" s="2" t="s">
        <v>8098</v>
      </c>
      <c r="L4044" s="36" t="str">
        <f t="shared" si="68"/>
        <v>Ver Imagen</v>
      </c>
      <c r="M4044" t="s">
        <v>8005</v>
      </c>
    </row>
    <row r="4045" spans="1:13" x14ac:dyDescent="0.25">
      <c r="A4045" s="33">
        <v>4044</v>
      </c>
      <c r="B4045" t="s">
        <v>8099</v>
      </c>
      <c r="C4045" s="1">
        <v>37.228779005</v>
      </c>
      <c r="D4045" s="1">
        <v>-7.0213879009399998</v>
      </c>
      <c r="E4045" s="3">
        <v>3</v>
      </c>
      <c r="F4045" s="2">
        <v>2</v>
      </c>
      <c r="G4045" s="4">
        <v>1</v>
      </c>
      <c r="H4045" s="13">
        <v>1</v>
      </c>
      <c r="I4045" s="34">
        <v>2</v>
      </c>
      <c r="J4045" s="35">
        <v>2</v>
      </c>
      <c r="K4045" s="2" t="s">
        <v>8100</v>
      </c>
      <c r="L4045" s="36" t="str">
        <f t="shared" si="68"/>
        <v>Ver Imagen</v>
      </c>
      <c r="M4045" t="s">
        <v>8005</v>
      </c>
    </row>
    <row r="4046" spans="1:13" x14ac:dyDescent="0.25">
      <c r="A4046" s="33">
        <v>4045</v>
      </c>
      <c r="B4046" t="s">
        <v>8101</v>
      </c>
      <c r="C4046" s="1">
        <v>37.222669823499999</v>
      </c>
      <c r="D4046" s="1">
        <v>-7.0232163677399999</v>
      </c>
      <c r="E4046" s="3">
        <v>1</v>
      </c>
      <c r="F4046" s="2">
        <v>2</v>
      </c>
      <c r="G4046" s="4">
        <v>3</v>
      </c>
      <c r="H4046" s="13">
        <v>2</v>
      </c>
      <c r="I4046" s="34">
        <v>2</v>
      </c>
      <c r="J4046" s="35">
        <v>2</v>
      </c>
      <c r="K4046" s="2" t="s">
        <v>8102</v>
      </c>
      <c r="L4046" s="36" t="str">
        <f t="shared" si="68"/>
        <v>Ver Imagen</v>
      </c>
      <c r="M4046" t="s">
        <v>8005</v>
      </c>
    </row>
    <row r="4047" spans="1:13" x14ac:dyDescent="0.25">
      <c r="A4047" s="33">
        <v>4046</v>
      </c>
      <c r="B4047" t="s">
        <v>8103</v>
      </c>
      <c r="C4047" s="1">
        <v>37.2199968786</v>
      </c>
      <c r="D4047" s="1">
        <v>-7.0227887855100004</v>
      </c>
      <c r="E4047" s="3">
        <v>1</v>
      </c>
      <c r="F4047" s="2">
        <v>2</v>
      </c>
      <c r="G4047" s="4">
        <v>3</v>
      </c>
      <c r="H4047" s="13">
        <v>2</v>
      </c>
      <c r="I4047" s="34">
        <v>1</v>
      </c>
      <c r="J4047" s="35">
        <v>2</v>
      </c>
      <c r="K4047" s="2" t="s">
        <v>8104</v>
      </c>
      <c r="L4047" s="36" t="str">
        <f t="shared" si="68"/>
        <v>Ver Imagen</v>
      </c>
      <c r="M4047" t="s">
        <v>8005</v>
      </c>
    </row>
    <row r="4048" spans="1:13" x14ac:dyDescent="0.25">
      <c r="A4048" s="33">
        <v>4047</v>
      </c>
      <c r="B4048" t="s">
        <v>8105</v>
      </c>
      <c r="C4048" s="1">
        <v>37.220977784600002</v>
      </c>
      <c r="D4048" s="1">
        <v>-7.0228653112300004</v>
      </c>
      <c r="E4048" s="3">
        <v>1</v>
      </c>
      <c r="F4048" s="2">
        <v>2</v>
      </c>
      <c r="G4048" s="4">
        <v>3</v>
      </c>
      <c r="H4048" s="13">
        <v>2</v>
      </c>
      <c r="I4048" s="34">
        <v>1</v>
      </c>
      <c r="J4048" s="35">
        <v>2</v>
      </c>
      <c r="K4048" s="2" t="s">
        <v>8106</v>
      </c>
      <c r="L4048" s="36" t="str">
        <f t="shared" si="68"/>
        <v>Ver Imagen</v>
      </c>
      <c r="M4048" t="s">
        <v>8005</v>
      </c>
    </row>
    <row r="4049" spans="1:13" x14ac:dyDescent="0.25">
      <c r="A4049" s="33">
        <v>4048</v>
      </c>
      <c r="B4049" t="s">
        <v>8107</v>
      </c>
      <c r="C4049" s="1">
        <v>37.221212997099997</v>
      </c>
      <c r="D4049" s="1">
        <v>-7.0228880493199997</v>
      </c>
      <c r="E4049" s="3">
        <v>1</v>
      </c>
      <c r="F4049" s="2">
        <v>2</v>
      </c>
      <c r="G4049" s="4">
        <v>3</v>
      </c>
      <c r="H4049" s="13">
        <v>2</v>
      </c>
      <c r="I4049" s="34">
        <v>1</v>
      </c>
      <c r="J4049" s="35">
        <v>2</v>
      </c>
      <c r="K4049" s="2" t="s">
        <v>8108</v>
      </c>
      <c r="L4049" s="36" t="str">
        <f t="shared" si="68"/>
        <v>Ver Imagen</v>
      </c>
      <c r="M4049" t="s">
        <v>8005</v>
      </c>
    </row>
    <row r="4050" spans="1:13" x14ac:dyDescent="0.25">
      <c r="A4050" s="33">
        <v>4049</v>
      </c>
      <c r="B4050" t="s">
        <v>8109</v>
      </c>
      <c r="C4050" s="1">
        <v>37.446426192499999</v>
      </c>
      <c r="D4050" s="1">
        <v>-7.1332344158499996</v>
      </c>
      <c r="E4050" s="3">
        <v>1</v>
      </c>
      <c r="F4050" s="2">
        <v>3</v>
      </c>
      <c r="G4050" s="4">
        <v>2</v>
      </c>
      <c r="H4050" s="13">
        <v>3</v>
      </c>
      <c r="I4050" s="34">
        <v>2</v>
      </c>
      <c r="J4050" s="37">
        <v>3</v>
      </c>
      <c r="K4050" s="2" t="s">
        <v>8110</v>
      </c>
      <c r="L4050" s="36" t="str">
        <f t="shared" si="68"/>
        <v>Ver Imagen</v>
      </c>
      <c r="M4050" s="37" t="s">
        <v>8052</v>
      </c>
    </row>
    <row r="4051" spans="1:13" x14ac:dyDescent="0.25">
      <c r="A4051" s="33">
        <v>4050</v>
      </c>
      <c r="B4051" t="s">
        <v>8111</v>
      </c>
      <c r="C4051" s="1">
        <v>37.446388626599997</v>
      </c>
      <c r="D4051" s="1">
        <v>-7.1334844241299997</v>
      </c>
      <c r="E4051" s="3">
        <v>1</v>
      </c>
      <c r="F4051" s="2">
        <v>3</v>
      </c>
      <c r="G4051" s="4">
        <v>2</v>
      </c>
      <c r="H4051" s="13">
        <v>2</v>
      </c>
      <c r="I4051" s="34">
        <v>2</v>
      </c>
      <c r="J4051" s="35">
        <v>2</v>
      </c>
      <c r="K4051" s="2" t="s">
        <v>8112</v>
      </c>
      <c r="L4051" s="36" t="str">
        <f t="shared" si="68"/>
        <v>Ver Imagen</v>
      </c>
      <c r="M4051" t="s">
        <v>8005</v>
      </c>
    </row>
    <row r="4052" spans="1:13" x14ac:dyDescent="0.25">
      <c r="A4052" s="33">
        <v>4051</v>
      </c>
      <c r="B4052" t="s">
        <v>8113</v>
      </c>
      <c r="C4052" s="1">
        <v>37.448725272399997</v>
      </c>
      <c r="D4052" s="1">
        <v>-7.1479807467800001</v>
      </c>
      <c r="E4052" s="3">
        <v>1</v>
      </c>
      <c r="F4052" s="2">
        <v>3</v>
      </c>
      <c r="G4052" s="4">
        <v>2</v>
      </c>
      <c r="H4052" s="13">
        <v>2</v>
      </c>
      <c r="I4052" s="34">
        <v>2</v>
      </c>
      <c r="J4052" s="35">
        <v>2</v>
      </c>
      <c r="K4052" s="2" t="s">
        <v>8114</v>
      </c>
      <c r="L4052" s="36" t="str">
        <f t="shared" si="68"/>
        <v>Ver Imagen</v>
      </c>
      <c r="M4052" t="s">
        <v>8005</v>
      </c>
    </row>
    <row r="4053" spans="1:13" x14ac:dyDescent="0.25">
      <c r="A4053" s="33">
        <v>4052</v>
      </c>
      <c r="B4053" t="s">
        <v>8115</v>
      </c>
      <c r="C4053" s="1">
        <v>37.451611906399997</v>
      </c>
      <c r="D4053" s="1">
        <v>-7.1564370179200001</v>
      </c>
      <c r="E4053" s="3">
        <v>2</v>
      </c>
      <c r="F4053" s="2">
        <v>3</v>
      </c>
      <c r="G4053" s="4">
        <v>4</v>
      </c>
      <c r="H4053" s="13">
        <v>2</v>
      </c>
      <c r="I4053" s="34">
        <v>3</v>
      </c>
      <c r="J4053" s="35">
        <v>3</v>
      </c>
      <c r="K4053" s="2" t="s">
        <v>8116</v>
      </c>
      <c r="L4053" s="36" t="str">
        <f t="shared" si="68"/>
        <v>Ver Imagen</v>
      </c>
      <c r="M4053" t="s">
        <v>8005</v>
      </c>
    </row>
    <row r="4054" spans="1:13" x14ac:dyDescent="0.25">
      <c r="A4054" s="33">
        <v>4053</v>
      </c>
      <c r="B4054" t="s">
        <v>8117</v>
      </c>
      <c r="C4054" s="1">
        <v>37.467422612</v>
      </c>
      <c r="D4054" s="1">
        <v>-7.1848963071999998</v>
      </c>
      <c r="E4054" s="3">
        <v>1</v>
      </c>
      <c r="F4054" s="2">
        <v>3</v>
      </c>
      <c r="G4054" s="4">
        <v>2</v>
      </c>
      <c r="H4054" s="13">
        <v>2</v>
      </c>
      <c r="I4054" s="34">
        <v>2</v>
      </c>
      <c r="J4054" s="35">
        <v>2</v>
      </c>
      <c r="K4054" s="2" t="s">
        <v>8118</v>
      </c>
      <c r="L4054" s="36" t="str">
        <f t="shared" si="68"/>
        <v>Ver Imagen</v>
      </c>
      <c r="M4054" t="s">
        <v>8005</v>
      </c>
    </row>
    <row r="4055" spans="1:13" x14ac:dyDescent="0.25">
      <c r="A4055" s="33">
        <v>4054</v>
      </c>
      <c r="B4055" t="s">
        <v>8119</v>
      </c>
      <c r="C4055" s="1">
        <v>37.484354579799998</v>
      </c>
      <c r="D4055" s="1">
        <v>-7.22714698348</v>
      </c>
      <c r="E4055" s="3">
        <v>2</v>
      </c>
      <c r="F4055" s="2">
        <v>1</v>
      </c>
      <c r="G4055" s="4">
        <v>3</v>
      </c>
      <c r="H4055" s="13">
        <v>1</v>
      </c>
      <c r="I4055" s="34">
        <v>1</v>
      </c>
      <c r="J4055" s="35">
        <v>1</v>
      </c>
      <c r="K4055" s="2" t="s">
        <v>8120</v>
      </c>
      <c r="L4055" s="36" t="str">
        <f t="shared" si="68"/>
        <v>Ver Imagen</v>
      </c>
      <c r="M4055" t="s">
        <v>8005</v>
      </c>
    </row>
    <row r="4056" spans="1:13" x14ac:dyDescent="0.25">
      <c r="A4056" s="33">
        <v>4055</v>
      </c>
      <c r="B4056" t="s">
        <v>8121</v>
      </c>
      <c r="C4056" s="1">
        <v>37.492702502299998</v>
      </c>
      <c r="D4056" s="1">
        <v>-7.2623383489300002</v>
      </c>
      <c r="E4056" s="3">
        <v>2</v>
      </c>
      <c r="F4056" s="2">
        <v>3</v>
      </c>
      <c r="G4056" s="4">
        <v>4</v>
      </c>
      <c r="H4056" s="13">
        <v>2</v>
      </c>
      <c r="I4056" s="34">
        <v>3</v>
      </c>
      <c r="J4056" s="35">
        <v>3</v>
      </c>
      <c r="K4056" s="2" t="s">
        <v>8122</v>
      </c>
      <c r="L4056" s="36" t="str">
        <f t="shared" si="68"/>
        <v>Ver Imagen</v>
      </c>
      <c r="M4056" t="s">
        <v>8005</v>
      </c>
    </row>
    <row r="4057" spans="1:13" x14ac:dyDescent="0.25">
      <c r="A4057" s="33">
        <v>4056</v>
      </c>
      <c r="B4057" t="s">
        <v>8123</v>
      </c>
      <c r="C4057" s="1">
        <v>37.494677487200001</v>
      </c>
      <c r="D4057" s="1">
        <v>-7.2664446967499998</v>
      </c>
      <c r="E4057" s="3">
        <v>2</v>
      </c>
      <c r="F4057" s="2">
        <v>4</v>
      </c>
      <c r="G4057" s="4">
        <v>3</v>
      </c>
      <c r="H4057" s="13">
        <v>3</v>
      </c>
      <c r="I4057" s="34">
        <v>2</v>
      </c>
      <c r="J4057" s="35">
        <v>3</v>
      </c>
      <c r="K4057" s="2" t="s">
        <v>8124</v>
      </c>
      <c r="L4057" s="36" t="str">
        <f t="shared" si="68"/>
        <v>Ver Imagen</v>
      </c>
      <c r="M4057" t="s">
        <v>8005</v>
      </c>
    </row>
    <row r="4058" spans="1:13" x14ac:dyDescent="0.25">
      <c r="A4058" s="33">
        <v>4057</v>
      </c>
      <c r="B4058" t="s">
        <v>8125</v>
      </c>
      <c r="C4058" s="1">
        <v>37.280126403200001</v>
      </c>
      <c r="D4058" s="1">
        <v>-7.0056825665</v>
      </c>
      <c r="E4058" s="3">
        <v>2</v>
      </c>
      <c r="F4058" s="2">
        <v>2</v>
      </c>
      <c r="G4058" s="4">
        <v>4</v>
      </c>
      <c r="H4058" s="13">
        <v>2</v>
      </c>
      <c r="I4058" s="34">
        <v>2</v>
      </c>
      <c r="J4058" s="35">
        <v>2</v>
      </c>
      <c r="K4058" s="2" t="s">
        <v>8126</v>
      </c>
      <c r="L4058" s="36" t="str">
        <f t="shared" si="68"/>
        <v>Ver Imagen</v>
      </c>
      <c r="M4058" t="s">
        <v>8005</v>
      </c>
    </row>
    <row r="4059" spans="1:13" x14ac:dyDescent="0.25">
      <c r="A4059" s="33">
        <v>4058</v>
      </c>
      <c r="B4059" t="s">
        <v>8127</v>
      </c>
      <c r="C4059" s="1">
        <v>37.278515110900003</v>
      </c>
      <c r="D4059" s="1">
        <v>-7.0097369645900001</v>
      </c>
      <c r="E4059" s="3">
        <v>2</v>
      </c>
      <c r="F4059" s="2">
        <v>3</v>
      </c>
      <c r="G4059" s="4">
        <v>4</v>
      </c>
      <c r="H4059" s="13">
        <v>3</v>
      </c>
      <c r="I4059" s="34">
        <v>3</v>
      </c>
      <c r="J4059" s="35">
        <v>3</v>
      </c>
      <c r="K4059" s="2" t="s">
        <v>8128</v>
      </c>
      <c r="L4059" s="36" t="str">
        <f t="shared" si="68"/>
        <v>Ver Imagen</v>
      </c>
      <c r="M4059" t="s">
        <v>8005</v>
      </c>
    </row>
    <row r="4060" spans="1:13" x14ac:dyDescent="0.25">
      <c r="A4060" s="33">
        <v>4059</v>
      </c>
      <c r="B4060" t="s">
        <v>8129</v>
      </c>
      <c r="C4060" s="1">
        <v>37.276486305299997</v>
      </c>
      <c r="D4060" s="1">
        <v>-7.0135329930800001</v>
      </c>
      <c r="E4060" s="3">
        <v>2</v>
      </c>
      <c r="F4060" s="2">
        <v>3</v>
      </c>
      <c r="G4060" s="4">
        <v>4</v>
      </c>
      <c r="H4060" s="13">
        <v>2</v>
      </c>
      <c r="I4060" s="34">
        <v>3</v>
      </c>
      <c r="J4060" s="35">
        <v>3</v>
      </c>
      <c r="K4060" s="2" t="s">
        <v>8130</v>
      </c>
      <c r="L4060" s="36" t="str">
        <f t="shared" si="68"/>
        <v>Ver Imagen</v>
      </c>
      <c r="M4060" t="s">
        <v>8005</v>
      </c>
    </row>
    <row r="4061" spans="1:13" x14ac:dyDescent="0.25">
      <c r="A4061" s="33">
        <v>4060</v>
      </c>
      <c r="B4061" t="s">
        <v>8131</v>
      </c>
      <c r="C4061" s="1">
        <v>37.276389082599998</v>
      </c>
      <c r="D4061" s="1">
        <v>-7.0137384165499999</v>
      </c>
      <c r="E4061" s="3">
        <v>2</v>
      </c>
      <c r="F4061" s="2">
        <v>3</v>
      </c>
      <c r="G4061" s="4">
        <v>4</v>
      </c>
      <c r="H4061" s="13">
        <v>2</v>
      </c>
      <c r="I4061" s="34">
        <v>3</v>
      </c>
      <c r="J4061" s="35">
        <v>3</v>
      </c>
      <c r="K4061" s="2" t="s">
        <v>8132</v>
      </c>
      <c r="L4061" s="36" t="str">
        <f t="shared" si="68"/>
        <v>Ver Imagen</v>
      </c>
      <c r="M4061" t="s">
        <v>8005</v>
      </c>
    </row>
    <row r="4062" spans="1:13" x14ac:dyDescent="0.25">
      <c r="A4062" s="33">
        <v>4061</v>
      </c>
      <c r="B4062" t="s">
        <v>8133</v>
      </c>
      <c r="C4062" s="1">
        <v>37.276366353900002</v>
      </c>
      <c r="D4062" s="1">
        <v>-7.02423720007</v>
      </c>
      <c r="E4062" s="3">
        <v>2</v>
      </c>
      <c r="F4062" s="2">
        <v>3</v>
      </c>
      <c r="G4062" s="4">
        <v>4</v>
      </c>
      <c r="H4062" s="13">
        <v>2</v>
      </c>
      <c r="I4062" s="34">
        <v>2</v>
      </c>
      <c r="J4062" s="35">
        <v>2</v>
      </c>
      <c r="K4062" s="2" t="s">
        <v>8134</v>
      </c>
      <c r="L4062" s="36" t="str">
        <f t="shared" ref="L4062:L4125" si="69">HYPERLINK("NoConsenso\" &amp; K4062, "Ver Imagen")</f>
        <v>Ver Imagen</v>
      </c>
      <c r="M4062" t="s">
        <v>8005</v>
      </c>
    </row>
    <row r="4063" spans="1:13" x14ac:dyDescent="0.25">
      <c r="A4063" s="33">
        <v>4062</v>
      </c>
      <c r="B4063" t="s">
        <v>8135</v>
      </c>
      <c r="C4063" s="1">
        <v>37.2765806325</v>
      </c>
      <c r="D4063" s="1">
        <v>-7.0257275513500002</v>
      </c>
      <c r="E4063" s="3">
        <v>2</v>
      </c>
      <c r="F4063" s="2">
        <v>3</v>
      </c>
      <c r="G4063" s="4">
        <v>4</v>
      </c>
      <c r="H4063" s="13">
        <v>2</v>
      </c>
      <c r="I4063" s="34">
        <v>2</v>
      </c>
      <c r="J4063" s="35">
        <v>2</v>
      </c>
      <c r="K4063" s="2" t="s">
        <v>8136</v>
      </c>
      <c r="L4063" s="36" t="str">
        <f t="shared" si="69"/>
        <v>Ver Imagen</v>
      </c>
      <c r="M4063" t="s">
        <v>8005</v>
      </c>
    </row>
    <row r="4064" spans="1:13" x14ac:dyDescent="0.25">
      <c r="A4064" s="33">
        <v>4063</v>
      </c>
      <c r="B4064" t="s">
        <v>8137</v>
      </c>
      <c r="C4064" s="1">
        <v>37.276613304500003</v>
      </c>
      <c r="D4064" s="1">
        <v>-7.0259681884300003</v>
      </c>
      <c r="E4064" s="3">
        <v>2</v>
      </c>
      <c r="F4064" s="2">
        <v>3</v>
      </c>
      <c r="G4064" s="4">
        <v>4</v>
      </c>
      <c r="H4064" s="13">
        <v>2</v>
      </c>
      <c r="I4064" s="34">
        <v>3</v>
      </c>
      <c r="J4064" s="35">
        <v>3</v>
      </c>
      <c r="K4064" s="2" t="s">
        <v>8138</v>
      </c>
      <c r="L4064" s="36" t="str">
        <f t="shared" si="69"/>
        <v>Ver Imagen</v>
      </c>
      <c r="M4064" t="s">
        <v>8005</v>
      </c>
    </row>
    <row r="4065" spans="1:13" x14ac:dyDescent="0.25">
      <c r="A4065" s="33">
        <v>4064</v>
      </c>
      <c r="B4065" t="s">
        <v>8139</v>
      </c>
      <c r="C4065" s="1">
        <v>37.284900961300004</v>
      </c>
      <c r="D4065" s="1">
        <v>-7.0399592485699998</v>
      </c>
      <c r="E4065" s="3">
        <v>2</v>
      </c>
      <c r="F4065" s="2">
        <v>3</v>
      </c>
      <c r="G4065" s="4">
        <v>4</v>
      </c>
      <c r="H4065" s="13">
        <v>3</v>
      </c>
      <c r="I4065" s="34">
        <v>3</v>
      </c>
      <c r="J4065" s="35">
        <v>3</v>
      </c>
      <c r="K4065" s="2" t="s">
        <v>8140</v>
      </c>
      <c r="L4065" s="36" t="str">
        <f t="shared" si="69"/>
        <v>Ver Imagen</v>
      </c>
      <c r="M4065" t="s">
        <v>8005</v>
      </c>
    </row>
    <row r="4066" spans="1:13" x14ac:dyDescent="0.25">
      <c r="A4066" s="33">
        <v>4065</v>
      </c>
      <c r="B4066" t="s">
        <v>8141</v>
      </c>
      <c r="C4066" s="1">
        <v>37.286533185899998</v>
      </c>
      <c r="D4066" s="1">
        <v>-7.04173890691</v>
      </c>
      <c r="E4066" s="3">
        <v>2</v>
      </c>
      <c r="F4066" s="2">
        <v>2</v>
      </c>
      <c r="G4066" s="4">
        <v>4</v>
      </c>
      <c r="H4066" s="13">
        <v>2</v>
      </c>
      <c r="I4066" s="34">
        <v>2</v>
      </c>
      <c r="J4066" s="35">
        <v>2</v>
      </c>
      <c r="K4066" s="2" t="s">
        <v>8142</v>
      </c>
      <c r="L4066" s="36" t="str">
        <f t="shared" si="69"/>
        <v>Ver Imagen</v>
      </c>
      <c r="M4066" t="s">
        <v>8005</v>
      </c>
    </row>
    <row r="4067" spans="1:13" x14ac:dyDescent="0.25">
      <c r="A4067" s="33">
        <v>4066</v>
      </c>
      <c r="B4067" t="s">
        <v>8143</v>
      </c>
      <c r="C4067" s="1">
        <v>37.2867157616</v>
      </c>
      <c r="D4067" s="1">
        <v>-7.0418301949900002</v>
      </c>
      <c r="E4067" s="3">
        <v>2</v>
      </c>
      <c r="F4067" s="2">
        <v>2</v>
      </c>
      <c r="G4067" s="4">
        <v>4</v>
      </c>
      <c r="H4067" s="13">
        <v>2</v>
      </c>
      <c r="I4067" s="34">
        <v>1</v>
      </c>
      <c r="J4067" s="35">
        <v>2</v>
      </c>
      <c r="K4067" s="2" t="s">
        <v>8144</v>
      </c>
      <c r="L4067" s="36" t="str">
        <f t="shared" si="69"/>
        <v>Ver Imagen</v>
      </c>
      <c r="M4067" t="s">
        <v>8005</v>
      </c>
    </row>
    <row r="4068" spans="1:13" x14ac:dyDescent="0.25">
      <c r="A4068" s="33">
        <v>4067</v>
      </c>
      <c r="B4068" t="s">
        <v>8145</v>
      </c>
      <c r="C4068" s="1">
        <v>37.289251242699997</v>
      </c>
      <c r="D4068" s="1">
        <v>-7.0438399489999997</v>
      </c>
      <c r="E4068" s="3">
        <v>2</v>
      </c>
      <c r="F4068" s="2">
        <v>1</v>
      </c>
      <c r="G4068" s="4">
        <v>3</v>
      </c>
      <c r="H4068" s="13">
        <v>2</v>
      </c>
      <c r="I4068" s="34">
        <v>1</v>
      </c>
      <c r="J4068" s="35">
        <v>2</v>
      </c>
      <c r="K4068" s="2" t="s">
        <v>8146</v>
      </c>
      <c r="L4068" s="36" t="str">
        <f t="shared" si="69"/>
        <v>Ver Imagen</v>
      </c>
      <c r="M4068" t="s">
        <v>8005</v>
      </c>
    </row>
    <row r="4069" spans="1:13" x14ac:dyDescent="0.25">
      <c r="A4069" s="33">
        <v>4068</v>
      </c>
      <c r="B4069" t="s">
        <v>8147</v>
      </c>
      <c r="C4069" s="1">
        <v>37.290259734400003</v>
      </c>
      <c r="D4069" s="1">
        <v>-7.04505791363</v>
      </c>
      <c r="E4069" s="3">
        <v>2</v>
      </c>
      <c r="F4069" s="2">
        <v>2</v>
      </c>
      <c r="G4069" s="4">
        <v>4</v>
      </c>
      <c r="H4069" s="13">
        <v>2</v>
      </c>
      <c r="I4069" s="34">
        <v>2</v>
      </c>
      <c r="J4069" s="35">
        <v>2</v>
      </c>
      <c r="K4069" s="2" t="s">
        <v>8148</v>
      </c>
      <c r="L4069" s="36" t="str">
        <f t="shared" si="69"/>
        <v>Ver Imagen</v>
      </c>
      <c r="M4069" t="s">
        <v>8005</v>
      </c>
    </row>
    <row r="4070" spans="1:13" x14ac:dyDescent="0.25">
      <c r="A4070" s="33">
        <v>4069</v>
      </c>
      <c r="B4070" t="s">
        <v>8149</v>
      </c>
      <c r="C4070" s="1">
        <v>37.296666369999997</v>
      </c>
      <c r="D4070" s="1">
        <v>-7.0506393363299997</v>
      </c>
      <c r="E4070" s="3">
        <v>2</v>
      </c>
      <c r="F4070" s="2">
        <v>2</v>
      </c>
      <c r="G4070" s="4">
        <v>4</v>
      </c>
      <c r="H4070" s="13">
        <v>2</v>
      </c>
      <c r="I4070" s="34">
        <v>1</v>
      </c>
      <c r="J4070" s="35">
        <v>2</v>
      </c>
      <c r="K4070" s="2" t="s">
        <v>8150</v>
      </c>
      <c r="L4070" s="36" t="str">
        <f t="shared" si="69"/>
        <v>Ver Imagen</v>
      </c>
      <c r="M4070" t="s">
        <v>8005</v>
      </c>
    </row>
    <row r="4071" spans="1:13" x14ac:dyDescent="0.25">
      <c r="A4071" s="33">
        <v>4070</v>
      </c>
      <c r="B4071" t="s">
        <v>8151</v>
      </c>
      <c r="C4071" s="1">
        <v>37.300710531299998</v>
      </c>
      <c r="D4071" s="1">
        <v>-7.0559613532099998</v>
      </c>
      <c r="E4071" s="3">
        <v>2</v>
      </c>
      <c r="F4071" s="2">
        <v>3</v>
      </c>
      <c r="G4071" s="4">
        <v>4</v>
      </c>
      <c r="H4071" s="13">
        <v>3</v>
      </c>
      <c r="I4071" s="34">
        <v>2</v>
      </c>
      <c r="J4071" s="35">
        <v>3</v>
      </c>
      <c r="K4071" s="2" t="s">
        <v>8152</v>
      </c>
      <c r="L4071" s="36" t="str">
        <f t="shared" si="69"/>
        <v>Ver Imagen</v>
      </c>
      <c r="M4071" t="s">
        <v>8005</v>
      </c>
    </row>
    <row r="4072" spans="1:13" x14ac:dyDescent="0.25">
      <c r="A4072" s="33">
        <v>4071</v>
      </c>
      <c r="B4072" t="s">
        <v>8153</v>
      </c>
      <c r="C4072" s="1">
        <v>37.3011079479</v>
      </c>
      <c r="D4072" s="1">
        <v>-7.0562039324799999</v>
      </c>
      <c r="E4072" s="3">
        <v>2</v>
      </c>
      <c r="F4072" s="2">
        <v>3</v>
      </c>
      <c r="G4072" s="4">
        <v>4</v>
      </c>
      <c r="H4072" s="13">
        <v>2</v>
      </c>
      <c r="I4072" s="34">
        <v>2</v>
      </c>
      <c r="J4072" s="37">
        <v>3</v>
      </c>
      <c r="K4072" s="2" t="s">
        <v>8154</v>
      </c>
      <c r="L4072" s="36" t="str">
        <f t="shared" si="69"/>
        <v>Ver Imagen</v>
      </c>
      <c r="M4072" s="37" t="s">
        <v>8052</v>
      </c>
    </row>
    <row r="4073" spans="1:13" x14ac:dyDescent="0.25">
      <c r="A4073" s="33">
        <v>4072</v>
      </c>
      <c r="B4073" t="s">
        <v>8155</v>
      </c>
      <c r="C4073" s="1">
        <v>37.302661055999998</v>
      </c>
      <c r="D4073" s="1">
        <v>-7.05658149962</v>
      </c>
      <c r="E4073" s="3">
        <v>2</v>
      </c>
      <c r="F4073" s="2">
        <v>1</v>
      </c>
      <c r="G4073" s="4">
        <v>3</v>
      </c>
      <c r="H4073" s="13">
        <v>1</v>
      </c>
      <c r="I4073" s="34">
        <v>1</v>
      </c>
      <c r="J4073" s="35">
        <v>1</v>
      </c>
      <c r="K4073" s="2" t="s">
        <v>8156</v>
      </c>
      <c r="L4073" s="36" t="str">
        <f t="shared" si="69"/>
        <v>Ver Imagen</v>
      </c>
      <c r="M4073" t="s">
        <v>8005</v>
      </c>
    </row>
    <row r="4074" spans="1:13" x14ac:dyDescent="0.25">
      <c r="A4074" s="33">
        <v>4073</v>
      </c>
      <c r="B4074" t="s">
        <v>8157</v>
      </c>
      <c r="C4074" s="1">
        <v>37.305509497499997</v>
      </c>
      <c r="D4074" s="1">
        <v>-7.05673476698</v>
      </c>
      <c r="E4074" s="3">
        <v>1</v>
      </c>
      <c r="F4074" s="2">
        <v>3</v>
      </c>
      <c r="G4074" s="4">
        <v>2</v>
      </c>
      <c r="H4074" s="13">
        <v>2</v>
      </c>
      <c r="I4074" s="34">
        <v>2</v>
      </c>
      <c r="J4074" s="35">
        <v>2</v>
      </c>
      <c r="K4074" s="2" t="s">
        <v>8158</v>
      </c>
      <c r="L4074" s="36" t="str">
        <f t="shared" si="69"/>
        <v>Ver Imagen</v>
      </c>
      <c r="M4074" t="s">
        <v>8005</v>
      </c>
    </row>
    <row r="4075" spans="1:13" x14ac:dyDescent="0.25">
      <c r="A4075" s="33">
        <v>4074</v>
      </c>
      <c r="B4075" t="s">
        <v>8159</v>
      </c>
      <c r="C4075" s="1">
        <v>37.305714018499998</v>
      </c>
      <c r="D4075" s="1">
        <v>-7.0567393987999996</v>
      </c>
      <c r="E4075" s="3">
        <v>2</v>
      </c>
      <c r="F4075" s="2">
        <v>3</v>
      </c>
      <c r="G4075" s="4">
        <v>4</v>
      </c>
      <c r="H4075" s="13">
        <v>2</v>
      </c>
      <c r="I4075" s="34">
        <v>2</v>
      </c>
      <c r="J4075" s="35">
        <v>2</v>
      </c>
      <c r="K4075" s="2" t="s">
        <v>8160</v>
      </c>
      <c r="L4075" s="36" t="str">
        <f t="shared" si="69"/>
        <v>Ver Imagen</v>
      </c>
      <c r="M4075" t="s">
        <v>8005</v>
      </c>
    </row>
    <row r="4076" spans="1:13" x14ac:dyDescent="0.25">
      <c r="A4076" s="33">
        <v>4075</v>
      </c>
      <c r="B4076" t="s">
        <v>8161</v>
      </c>
      <c r="C4076" s="1">
        <v>37.305882246400003</v>
      </c>
      <c r="D4076" s="1">
        <v>-7.0567475460500004</v>
      </c>
      <c r="E4076" s="3">
        <v>2</v>
      </c>
      <c r="F4076" s="2">
        <v>3</v>
      </c>
      <c r="G4076" s="4">
        <v>4</v>
      </c>
      <c r="H4076" s="13">
        <v>2</v>
      </c>
      <c r="I4076" s="34">
        <v>2</v>
      </c>
      <c r="J4076" s="35">
        <v>2</v>
      </c>
      <c r="K4076" s="2" t="s">
        <v>8162</v>
      </c>
      <c r="L4076" s="36" t="str">
        <f t="shared" si="69"/>
        <v>Ver Imagen</v>
      </c>
      <c r="M4076" t="s">
        <v>8005</v>
      </c>
    </row>
    <row r="4077" spans="1:13" x14ac:dyDescent="0.25">
      <c r="A4077" s="33">
        <v>4076</v>
      </c>
      <c r="B4077" t="s">
        <v>8163</v>
      </c>
      <c r="C4077" s="1">
        <v>37.306101182500001</v>
      </c>
      <c r="D4077" s="1">
        <v>-7.0567655735299999</v>
      </c>
      <c r="E4077" s="3">
        <v>2</v>
      </c>
      <c r="F4077" s="2">
        <v>2</v>
      </c>
      <c r="G4077" s="4">
        <v>4</v>
      </c>
      <c r="H4077" s="13">
        <v>2</v>
      </c>
      <c r="I4077" s="34">
        <v>1</v>
      </c>
      <c r="J4077" s="35">
        <v>2</v>
      </c>
      <c r="K4077" s="2" t="s">
        <v>8164</v>
      </c>
      <c r="L4077" s="36" t="str">
        <f t="shared" si="69"/>
        <v>Ver Imagen</v>
      </c>
      <c r="M4077" t="s">
        <v>8005</v>
      </c>
    </row>
    <row r="4078" spans="1:13" x14ac:dyDescent="0.25">
      <c r="A4078" s="33">
        <v>4077</v>
      </c>
      <c r="B4078" t="s">
        <v>8165</v>
      </c>
      <c r="C4078" s="1">
        <v>37.307119094000001</v>
      </c>
      <c r="D4078" s="1">
        <v>-7.0568954231200003</v>
      </c>
      <c r="E4078" s="3">
        <v>2</v>
      </c>
      <c r="F4078" s="2">
        <v>2</v>
      </c>
      <c r="G4078" s="4">
        <v>4</v>
      </c>
      <c r="H4078" s="13">
        <v>2</v>
      </c>
      <c r="I4078" s="34">
        <v>2</v>
      </c>
      <c r="J4078" s="35">
        <v>2</v>
      </c>
      <c r="K4078" s="2" t="s">
        <v>8166</v>
      </c>
      <c r="L4078" s="36" t="str">
        <f t="shared" si="69"/>
        <v>Ver Imagen</v>
      </c>
      <c r="M4078" t="s">
        <v>8005</v>
      </c>
    </row>
    <row r="4079" spans="1:13" x14ac:dyDescent="0.25">
      <c r="A4079" s="33">
        <v>4078</v>
      </c>
      <c r="B4079" t="s">
        <v>8167</v>
      </c>
      <c r="C4079" s="1">
        <v>37.308108661299997</v>
      </c>
      <c r="D4079" s="1">
        <v>-7.0571232896699998</v>
      </c>
      <c r="E4079" s="3">
        <v>2</v>
      </c>
      <c r="F4079" s="2">
        <v>2</v>
      </c>
      <c r="G4079" s="4">
        <v>4</v>
      </c>
      <c r="H4079" s="13">
        <v>1</v>
      </c>
      <c r="I4079" s="34">
        <v>1</v>
      </c>
      <c r="J4079" s="37">
        <v>1</v>
      </c>
      <c r="K4079" s="2" t="s">
        <v>8168</v>
      </c>
      <c r="L4079" s="36" t="str">
        <f t="shared" si="69"/>
        <v>Ver Imagen</v>
      </c>
      <c r="M4079" s="37" t="s">
        <v>8052</v>
      </c>
    </row>
    <row r="4080" spans="1:13" x14ac:dyDescent="0.25">
      <c r="A4080" s="33">
        <v>4079</v>
      </c>
      <c r="B4080" t="s">
        <v>8169</v>
      </c>
      <c r="C4080" s="1">
        <v>37.308298649199997</v>
      </c>
      <c r="D4080" s="1">
        <v>-7.0571907137199998</v>
      </c>
      <c r="E4080" s="3">
        <v>2</v>
      </c>
      <c r="F4080" s="2">
        <v>3</v>
      </c>
      <c r="G4080" s="4">
        <v>4</v>
      </c>
      <c r="H4080" s="13">
        <v>2</v>
      </c>
      <c r="I4080" s="34">
        <v>2</v>
      </c>
      <c r="J4080" s="35">
        <v>2</v>
      </c>
      <c r="K4080" s="2" t="s">
        <v>8170</v>
      </c>
      <c r="L4080" s="36" t="str">
        <f t="shared" si="69"/>
        <v>Ver Imagen</v>
      </c>
      <c r="M4080" t="s">
        <v>8005</v>
      </c>
    </row>
    <row r="4081" spans="1:13" x14ac:dyDescent="0.25">
      <c r="A4081" s="33">
        <v>4080</v>
      </c>
      <c r="B4081" t="s">
        <v>8171</v>
      </c>
      <c r="C4081" s="1">
        <v>37.3099271448</v>
      </c>
      <c r="D4081" s="1">
        <v>-7.0581763846300003</v>
      </c>
      <c r="E4081" s="3">
        <v>3</v>
      </c>
      <c r="F4081" s="2">
        <v>1</v>
      </c>
      <c r="G4081" s="4">
        <v>2</v>
      </c>
      <c r="H4081" s="13">
        <v>1</v>
      </c>
      <c r="I4081" s="34">
        <v>1</v>
      </c>
      <c r="J4081" s="35">
        <v>1</v>
      </c>
      <c r="K4081" s="2" t="s">
        <v>8172</v>
      </c>
      <c r="L4081" s="36" t="str">
        <f t="shared" si="69"/>
        <v>Ver Imagen</v>
      </c>
      <c r="M4081" t="s">
        <v>8005</v>
      </c>
    </row>
    <row r="4082" spans="1:13" x14ac:dyDescent="0.25">
      <c r="A4082" s="33">
        <v>4081</v>
      </c>
      <c r="B4082" t="s">
        <v>8173</v>
      </c>
      <c r="C4082" s="1">
        <v>37.311598502099997</v>
      </c>
      <c r="D4082" s="1">
        <v>-7.05966275789</v>
      </c>
      <c r="E4082" s="3">
        <v>2</v>
      </c>
      <c r="F4082" s="2">
        <v>1</v>
      </c>
      <c r="G4082" s="4">
        <v>3</v>
      </c>
      <c r="H4082" s="13">
        <v>1</v>
      </c>
      <c r="I4082" s="34">
        <v>1</v>
      </c>
      <c r="J4082" s="35">
        <v>1</v>
      </c>
      <c r="K4082" s="2" t="s">
        <v>8174</v>
      </c>
      <c r="L4082" s="36" t="str">
        <f t="shared" si="69"/>
        <v>Ver Imagen</v>
      </c>
      <c r="M4082" t="s">
        <v>8005</v>
      </c>
    </row>
    <row r="4083" spans="1:13" x14ac:dyDescent="0.25">
      <c r="A4083" s="33">
        <v>4082</v>
      </c>
      <c r="B4083" t="s">
        <v>8175</v>
      </c>
      <c r="C4083" s="1">
        <v>37.315474492600003</v>
      </c>
      <c r="D4083" s="1">
        <v>-7.06726114723</v>
      </c>
      <c r="E4083" s="3">
        <v>2</v>
      </c>
      <c r="F4083" s="2">
        <v>3</v>
      </c>
      <c r="G4083" s="4">
        <v>4</v>
      </c>
      <c r="H4083" s="13">
        <v>2</v>
      </c>
      <c r="I4083" s="34">
        <v>3</v>
      </c>
      <c r="J4083" s="35">
        <v>3</v>
      </c>
      <c r="K4083" s="2" t="s">
        <v>8176</v>
      </c>
      <c r="L4083" s="36" t="str">
        <f t="shared" si="69"/>
        <v>Ver Imagen</v>
      </c>
      <c r="M4083" t="s">
        <v>8005</v>
      </c>
    </row>
    <row r="4084" spans="1:13" x14ac:dyDescent="0.25">
      <c r="A4084" s="33">
        <v>4083</v>
      </c>
      <c r="B4084" t="s">
        <v>8177</v>
      </c>
      <c r="C4084" s="1">
        <v>37.315538072300001</v>
      </c>
      <c r="D4084" s="1">
        <v>-7.06755453299</v>
      </c>
      <c r="E4084" s="3">
        <v>2</v>
      </c>
      <c r="F4084" s="2">
        <v>2</v>
      </c>
      <c r="G4084" s="4">
        <v>4</v>
      </c>
      <c r="H4084" s="13">
        <v>2</v>
      </c>
      <c r="I4084" s="34">
        <v>1</v>
      </c>
      <c r="J4084" s="35">
        <v>2</v>
      </c>
      <c r="K4084" s="2" t="s">
        <v>8178</v>
      </c>
      <c r="L4084" s="36" t="str">
        <f t="shared" si="69"/>
        <v>Ver Imagen</v>
      </c>
      <c r="M4084" t="s">
        <v>8005</v>
      </c>
    </row>
    <row r="4085" spans="1:13" x14ac:dyDescent="0.25">
      <c r="A4085" s="33">
        <v>4084</v>
      </c>
      <c r="B4085" t="s">
        <v>8179</v>
      </c>
      <c r="C4085" s="1">
        <v>37.315985560000001</v>
      </c>
      <c r="D4085" s="1">
        <v>-7.0689377478899997</v>
      </c>
      <c r="E4085" s="3">
        <v>2</v>
      </c>
      <c r="F4085" s="2">
        <v>3</v>
      </c>
      <c r="G4085" s="4">
        <v>4</v>
      </c>
      <c r="H4085" s="13">
        <v>3</v>
      </c>
      <c r="I4085" s="34">
        <v>3</v>
      </c>
      <c r="J4085" s="35">
        <v>3</v>
      </c>
      <c r="K4085" s="2" t="s">
        <v>8180</v>
      </c>
      <c r="L4085" s="36" t="str">
        <f t="shared" si="69"/>
        <v>Ver Imagen</v>
      </c>
      <c r="M4085" t="s">
        <v>8005</v>
      </c>
    </row>
    <row r="4086" spans="1:13" x14ac:dyDescent="0.25">
      <c r="A4086" s="33">
        <v>4085</v>
      </c>
      <c r="B4086" t="s">
        <v>8181</v>
      </c>
      <c r="C4086" s="1">
        <v>37.316297034400002</v>
      </c>
      <c r="D4086" s="1">
        <v>-7.0696053225200002</v>
      </c>
      <c r="E4086" s="3">
        <v>2</v>
      </c>
      <c r="F4086" s="2">
        <v>3</v>
      </c>
      <c r="G4086" s="4">
        <v>4</v>
      </c>
      <c r="H4086" s="13">
        <v>3</v>
      </c>
      <c r="I4086" s="34">
        <v>3</v>
      </c>
      <c r="J4086" s="35">
        <v>3</v>
      </c>
      <c r="K4086" s="2" t="s">
        <v>8182</v>
      </c>
      <c r="L4086" s="36" t="str">
        <f t="shared" si="69"/>
        <v>Ver Imagen</v>
      </c>
      <c r="M4086" t="s">
        <v>8005</v>
      </c>
    </row>
    <row r="4087" spans="1:13" x14ac:dyDescent="0.25">
      <c r="A4087" s="33">
        <v>4086</v>
      </c>
      <c r="B4087" t="s">
        <v>8183</v>
      </c>
      <c r="C4087" s="1">
        <v>37.316398151199998</v>
      </c>
      <c r="D4087" s="1">
        <v>-7.0698052682399997</v>
      </c>
      <c r="E4087" s="3">
        <v>2</v>
      </c>
      <c r="F4087" s="2">
        <v>3</v>
      </c>
      <c r="G4087" s="4">
        <v>4</v>
      </c>
      <c r="H4087" s="13">
        <v>3</v>
      </c>
      <c r="I4087" s="34">
        <v>3</v>
      </c>
      <c r="J4087" s="35">
        <v>3</v>
      </c>
      <c r="K4087" s="2" t="s">
        <v>8184</v>
      </c>
      <c r="L4087" s="36" t="str">
        <f t="shared" si="69"/>
        <v>Ver Imagen</v>
      </c>
      <c r="M4087" t="s">
        <v>8005</v>
      </c>
    </row>
    <row r="4088" spans="1:13" x14ac:dyDescent="0.25">
      <c r="A4088" s="33">
        <v>4087</v>
      </c>
      <c r="B4088" t="s">
        <v>8185</v>
      </c>
      <c r="C4088" s="1">
        <v>37.316907135500003</v>
      </c>
      <c r="D4088" s="1">
        <v>-7.0705775696600002</v>
      </c>
      <c r="E4088" s="3">
        <v>2</v>
      </c>
      <c r="F4088" s="2">
        <v>2</v>
      </c>
      <c r="G4088" s="4">
        <v>4</v>
      </c>
      <c r="H4088" s="13">
        <v>2</v>
      </c>
      <c r="I4088" s="34">
        <v>2</v>
      </c>
      <c r="J4088" s="35">
        <v>2</v>
      </c>
      <c r="K4088" s="2" t="s">
        <v>8186</v>
      </c>
      <c r="L4088" s="36" t="str">
        <f t="shared" si="69"/>
        <v>Ver Imagen</v>
      </c>
      <c r="M4088" t="s">
        <v>8005</v>
      </c>
    </row>
    <row r="4089" spans="1:13" x14ac:dyDescent="0.25">
      <c r="A4089" s="33">
        <v>4088</v>
      </c>
      <c r="B4089" t="s">
        <v>8187</v>
      </c>
      <c r="C4089" s="1">
        <v>37.317045973200003</v>
      </c>
      <c r="D4089" s="1">
        <v>-7.0707184741000004</v>
      </c>
      <c r="E4089" s="3">
        <v>2</v>
      </c>
      <c r="F4089" s="2">
        <v>3</v>
      </c>
      <c r="G4089" s="4">
        <v>4</v>
      </c>
      <c r="H4089" s="13">
        <v>3</v>
      </c>
      <c r="I4089" s="34">
        <v>3</v>
      </c>
      <c r="J4089" s="35">
        <v>3</v>
      </c>
      <c r="K4089" s="2" t="s">
        <v>8188</v>
      </c>
      <c r="L4089" s="36" t="str">
        <f t="shared" si="69"/>
        <v>Ver Imagen</v>
      </c>
      <c r="M4089" t="s">
        <v>8005</v>
      </c>
    </row>
    <row r="4090" spans="1:13" x14ac:dyDescent="0.25">
      <c r="A4090" s="33">
        <v>4089</v>
      </c>
      <c r="B4090" t="s">
        <v>8189</v>
      </c>
      <c r="C4090" s="1">
        <v>37.464233821699999</v>
      </c>
      <c r="D4090" s="1">
        <v>-7.1189614474000003</v>
      </c>
      <c r="E4090" s="3">
        <v>1</v>
      </c>
      <c r="F4090" s="2">
        <v>3</v>
      </c>
      <c r="G4090" s="4">
        <v>2</v>
      </c>
      <c r="H4090" s="13">
        <v>2</v>
      </c>
      <c r="I4090" s="34">
        <v>2</v>
      </c>
      <c r="J4090" s="35">
        <v>2</v>
      </c>
      <c r="K4090" s="2" t="s">
        <v>8190</v>
      </c>
      <c r="L4090" s="36" t="str">
        <f t="shared" si="69"/>
        <v>Ver Imagen</v>
      </c>
      <c r="M4090" t="s">
        <v>8005</v>
      </c>
    </row>
    <row r="4091" spans="1:13" x14ac:dyDescent="0.25">
      <c r="A4091" s="33">
        <v>4090</v>
      </c>
      <c r="B4091" t="s">
        <v>8191</v>
      </c>
      <c r="C4091" s="1">
        <v>37.268425744600002</v>
      </c>
      <c r="D4091" s="1">
        <v>-6.9733208324099998</v>
      </c>
      <c r="E4091" s="3">
        <v>2</v>
      </c>
      <c r="F4091" s="2">
        <v>4</v>
      </c>
      <c r="G4091" s="4">
        <v>2</v>
      </c>
      <c r="H4091" s="13">
        <v>3</v>
      </c>
      <c r="I4091" s="34">
        <v>4</v>
      </c>
      <c r="J4091" s="37">
        <v>4</v>
      </c>
      <c r="K4091" s="2" t="s">
        <v>8192</v>
      </c>
      <c r="L4091" s="36" t="str">
        <f t="shared" si="69"/>
        <v>Ver Imagen</v>
      </c>
      <c r="M4091" s="37" t="s">
        <v>8052</v>
      </c>
    </row>
    <row r="4092" spans="1:13" x14ac:dyDescent="0.25">
      <c r="A4092" s="33">
        <v>4091</v>
      </c>
      <c r="B4092" t="s">
        <v>8193</v>
      </c>
      <c r="C4092" s="1">
        <v>37.2677610677</v>
      </c>
      <c r="D4092" s="1">
        <v>-6.9688158788300001</v>
      </c>
      <c r="E4092" s="3">
        <v>2</v>
      </c>
      <c r="F4092" s="2">
        <v>4</v>
      </c>
      <c r="G4092" s="4">
        <v>2</v>
      </c>
      <c r="H4092" s="13">
        <v>3</v>
      </c>
      <c r="I4092" s="34">
        <v>4</v>
      </c>
      <c r="J4092" s="37">
        <v>4</v>
      </c>
      <c r="K4092" s="2" t="s">
        <v>8194</v>
      </c>
      <c r="L4092" s="36" t="str">
        <f t="shared" si="69"/>
        <v>Ver Imagen</v>
      </c>
      <c r="M4092" s="37" t="s">
        <v>8052</v>
      </c>
    </row>
    <row r="4093" spans="1:13" x14ac:dyDescent="0.25">
      <c r="A4093" s="33">
        <v>4092</v>
      </c>
      <c r="B4093" t="s">
        <v>8195</v>
      </c>
      <c r="C4093" s="1">
        <v>37.267651575599999</v>
      </c>
      <c r="D4093" s="1">
        <v>-6.9675532462499996</v>
      </c>
      <c r="E4093" s="3">
        <v>2</v>
      </c>
      <c r="F4093" s="2">
        <v>4</v>
      </c>
      <c r="G4093" s="4">
        <v>2</v>
      </c>
      <c r="H4093" s="13">
        <v>3</v>
      </c>
      <c r="I4093" s="34">
        <v>3</v>
      </c>
      <c r="J4093" s="37">
        <v>4</v>
      </c>
      <c r="K4093" s="2" t="s">
        <v>8196</v>
      </c>
      <c r="L4093" s="36" t="str">
        <f t="shared" si="69"/>
        <v>Ver Imagen</v>
      </c>
      <c r="M4093" s="37" t="s">
        <v>8052</v>
      </c>
    </row>
    <row r="4094" spans="1:13" x14ac:dyDescent="0.25">
      <c r="A4094" s="33">
        <v>4093</v>
      </c>
      <c r="B4094" t="s">
        <v>8197</v>
      </c>
      <c r="C4094" s="1">
        <v>37.267604760899999</v>
      </c>
      <c r="D4094" s="1">
        <v>-6.9668012277900004</v>
      </c>
      <c r="E4094" s="3">
        <v>2</v>
      </c>
      <c r="F4094" s="2">
        <v>4</v>
      </c>
      <c r="G4094" s="4">
        <v>2</v>
      </c>
      <c r="H4094" s="13">
        <v>3</v>
      </c>
      <c r="I4094" s="34">
        <v>3</v>
      </c>
      <c r="J4094" s="37">
        <v>4</v>
      </c>
      <c r="K4094" s="2" t="s">
        <v>8198</v>
      </c>
      <c r="L4094" s="36" t="str">
        <f t="shared" si="69"/>
        <v>Ver Imagen</v>
      </c>
      <c r="M4094" s="37" t="s">
        <v>8052</v>
      </c>
    </row>
    <row r="4095" spans="1:13" x14ac:dyDescent="0.25">
      <c r="A4095" s="33">
        <v>4094</v>
      </c>
      <c r="B4095" t="s">
        <v>8199</v>
      </c>
      <c r="C4095" s="1">
        <v>37.267560868799997</v>
      </c>
      <c r="D4095" s="1">
        <v>-6.9657946726000004</v>
      </c>
      <c r="E4095" s="3">
        <v>2</v>
      </c>
      <c r="F4095" s="2">
        <v>4</v>
      </c>
      <c r="G4095" s="4">
        <v>2</v>
      </c>
      <c r="H4095" s="13">
        <v>3</v>
      </c>
      <c r="I4095" s="34">
        <v>4</v>
      </c>
      <c r="J4095" s="37">
        <v>4</v>
      </c>
      <c r="K4095" s="2" t="s">
        <v>8200</v>
      </c>
      <c r="L4095" s="36" t="str">
        <f t="shared" si="69"/>
        <v>Ver Imagen</v>
      </c>
      <c r="M4095" s="37" t="s">
        <v>8052</v>
      </c>
    </row>
    <row r="4096" spans="1:13" x14ac:dyDescent="0.25">
      <c r="A4096" s="33">
        <v>4095</v>
      </c>
      <c r="B4096" t="s">
        <v>8201</v>
      </c>
      <c r="C4096" s="1">
        <v>37.267535414100003</v>
      </c>
      <c r="D4096" s="1">
        <v>-6.96477474887</v>
      </c>
      <c r="E4096" s="3">
        <v>2</v>
      </c>
      <c r="F4096" s="2">
        <v>4</v>
      </c>
      <c r="G4096" s="4">
        <v>2</v>
      </c>
      <c r="H4096" s="13">
        <v>3</v>
      </c>
      <c r="I4096" s="34">
        <v>3</v>
      </c>
      <c r="J4096" s="35">
        <v>3</v>
      </c>
      <c r="K4096" s="2" t="s">
        <v>8202</v>
      </c>
      <c r="L4096" s="36" t="str">
        <f t="shared" si="69"/>
        <v>Ver Imagen</v>
      </c>
      <c r="M4096" t="s">
        <v>8005</v>
      </c>
    </row>
    <row r="4097" spans="1:13" x14ac:dyDescent="0.25">
      <c r="A4097" s="33">
        <v>4096</v>
      </c>
      <c r="B4097" t="s">
        <v>8203</v>
      </c>
      <c r="C4097" s="1">
        <v>37.267435736300001</v>
      </c>
      <c r="D4097" s="1">
        <v>-6.9609774125000001</v>
      </c>
      <c r="E4097" s="3">
        <v>1</v>
      </c>
      <c r="F4097" s="2">
        <v>3</v>
      </c>
      <c r="G4097" s="4">
        <v>2</v>
      </c>
      <c r="H4097" s="13">
        <v>2</v>
      </c>
      <c r="I4097" s="34">
        <v>2</v>
      </c>
      <c r="J4097" s="35">
        <v>2</v>
      </c>
      <c r="K4097" s="2" t="s">
        <v>8204</v>
      </c>
      <c r="L4097" s="36" t="str">
        <f t="shared" si="69"/>
        <v>Ver Imagen</v>
      </c>
      <c r="M4097" t="s">
        <v>8005</v>
      </c>
    </row>
    <row r="4098" spans="1:13" x14ac:dyDescent="0.25">
      <c r="A4098" s="33">
        <v>4097</v>
      </c>
      <c r="B4098" t="s">
        <v>8205</v>
      </c>
      <c r="C4098" s="1">
        <v>37.267041194800001</v>
      </c>
      <c r="D4098" s="1">
        <v>-6.9572329120800003</v>
      </c>
      <c r="E4098" s="3">
        <v>2</v>
      </c>
      <c r="F4098" s="2">
        <v>2</v>
      </c>
      <c r="G4098" s="4">
        <v>4</v>
      </c>
      <c r="H4098" s="13">
        <v>1</v>
      </c>
      <c r="I4098" s="34">
        <v>1</v>
      </c>
      <c r="J4098" s="35">
        <v>2</v>
      </c>
      <c r="K4098" s="2" t="s">
        <v>8206</v>
      </c>
      <c r="L4098" s="36" t="str">
        <f t="shared" si="69"/>
        <v>Ver Imagen</v>
      </c>
      <c r="M4098" t="s">
        <v>8005</v>
      </c>
    </row>
    <row r="4099" spans="1:13" x14ac:dyDescent="0.25">
      <c r="A4099" s="33">
        <v>4098</v>
      </c>
      <c r="B4099" t="s">
        <v>8207</v>
      </c>
      <c r="C4099" s="1">
        <v>37.191627006200001</v>
      </c>
      <c r="D4099" s="1">
        <v>-6.9922840627299996</v>
      </c>
      <c r="E4099" s="3">
        <v>2</v>
      </c>
      <c r="F4099" s="2">
        <v>3</v>
      </c>
      <c r="G4099" s="4">
        <v>4</v>
      </c>
      <c r="H4099" s="13">
        <v>2</v>
      </c>
      <c r="I4099" s="34">
        <v>2</v>
      </c>
      <c r="J4099" s="35">
        <v>2</v>
      </c>
      <c r="K4099" s="2" t="s">
        <v>8208</v>
      </c>
      <c r="L4099" s="36" t="str">
        <f t="shared" si="69"/>
        <v>Ver Imagen</v>
      </c>
      <c r="M4099" t="s">
        <v>8005</v>
      </c>
    </row>
    <row r="4100" spans="1:13" x14ac:dyDescent="0.25">
      <c r="A4100" s="33">
        <v>4099</v>
      </c>
      <c r="B4100" t="s">
        <v>8209</v>
      </c>
      <c r="C4100" s="1">
        <v>37.191715540799997</v>
      </c>
      <c r="D4100" s="1">
        <v>-6.9924692566899997</v>
      </c>
      <c r="E4100" s="3">
        <v>2</v>
      </c>
      <c r="F4100" s="2">
        <v>3</v>
      </c>
      <c r="G4100" s="4">
        <v>4</v>
      </c>
      <c r="H4100" s="13">
        <v>2</v>
      </c>
      <c r="I4100" s="34">
        <v>1</v>
      </c>
      <c r="J4100" s="35">
        <v>2</v>
      </c>
      <c r="K4100" s="2" t="s">
        <v>8210</v>
      </c>
      <c r="L4100" s="36" t="str">
        <f t="shared" si="69"/>
        <v>Ver Imagen</v>
      </c>
      <c r="M4100" t="s">
        <v>8005</v>
      </c>
    </row>
    <row r="4101" spans="1:13" x14ac:dyDescent="0.25">
      <c r="A4101" s="33">
        <v>4100</v>
      </c>
      <c r="B4101" t="s">
        <v>8211</v>
      </c>
      <c r="C4101" s="1">
        <v>37.192146516100003</v>
      </c>
      <c r="D4101" s="1">
        <v>-6.9933660973</v>
      </c>
      <c r="E4101" s="3">
        <v>2</v>
      </c>
      <c r="F4101" s="2">
        <v>3</v>
      </c>
      <c r="G4101" s="4">
        <v>4</v>
      </c>
      <c r="H4101" s="13">
        <v>2</v>
      </c>
      <c r="I4101" s="34">
        <v>1</v>
      </c>
      <c r="J4101" s="35">
        <v>2</v>
      </c>
      <c r="K4101" s="2" t="s">
        <v>8212</v>
      </c>
      <c r="L4101" s="36" t="str">
        <f t="shared" si="69"/>
        <v>Ver Imagen</v>
      </c>
      <c r="M4101" t="s">
        <v>8005</v>
      </c>
    </row>
    <row r="4102" spans="1:13" x14ac:dyDescent="0.25">
      <c r="A4102" s="33">
        <v>4101</v>
      </c>
      <c r="B4102" t="s">
        <v>8213</v>
      </c>
      <c r="C4102" s="1">
        <v>37.192344166399998</v>
      </c>
      <c r="D4102" s="1">
        <v>-6.9937821106099998</v>
      </c>
      <c r="E4102" s="3">
        <v>2</v>
      </c>
      <c r="F4102" s="2">
        <v>3</v>
      </c>
      <c r="G4102" s="4">
        <v>4</v>
      </c>
      <c r="H4102" s="13">
        <v>3</v>
      </c>
      <c r="I4102" s="34">
        <v>3</v>
      </c>
      <c r="J4102" s="35">
        <v>3</v>
      </c>
      <c r="K4102" s="2" t="s">
        <v>8214</v>
      </c>
      <c r="L4102" s="36" t="str">
        <f t="shared" si="69"/>
        <v>Ver Imagen</v>
      </c>
      <c r="M4102" t="s">
        <v>8005</v>
      </c>
    </row>
    <row r="4103" spans="1:13" x14ac:dyDescent="0.25">
      <c r="A4103" s="33">
        <v>4102</v>
      </c>
      <c r="B4103" t="s">
        <v>8215</v>
      </c>
      <c r="C4103" s="1">
        <v>37.197593906500003</v>
      </c>
      <c r="D4103" s="1">
        <v>-7.0063248729099996</v>
      </c>
      <c r="E4103" s="3">
        <v>2</v>
      </c>
      <c r="F4103" s="2">
        <v>3</v>
      </c>
      <c r="G4103" s="4">
        <v>4</v>
      </c>
      <c r="H4103" s="13">
        <v>2</v>
      </c>
      <c r="I4103" s="34">
        <v>2</v>
      </c>
      <c r="J4103" s="35">
        <v>2</v>
      </c>
      <c r="K4103" s="2" t="s">
        <v>8216</v>
      </c>
      <c r="L4103" s="36" t="str">
        <f t="shared" si="69"/>
        <v>Ver Imagen</v>
      </c>
      <c r="M4103" t="s">
        <v>8005</v>
      </c>
    </row>
    <row r="4104" spans="1:13" x14ac:dyDescent="0.25">
      <c r="A4104" s="33">
        <v>4103</v>
      </c>
      <c r="B4104" t="s">
        <v>8217</v>
      </c>
      <c r="C4104" s="1">
        <v>37.2034329715</v>
      </c>
      <c r="D4104" s="1">
        <v>-7.0160130132000003</v>
      </c>
      <c r="E4104" s="3">
        <v>2</v>
      </c>
      <c r="F4104" s="2">
        <v>3</v>
      </c>
      <c r="G4104" s="4">
        <v>4</v>
      </c>
      <c r="H4104" s="13">
        <v>3</v>
      </c>
      <c r="I4104" s="34">
        <v>4</v>
      </c>
      <c r="J4104" s="37">
        <v>4</v>
      </c>
      <c r="K4104" s="2" t="s">
        <v>8218</v>
      </c>
      <c r="L4104" s="36" t="str">
        <f t="shared" si="69"/>
        <v>Ver Imagen</v>
      </c>
      <c r="M4104" s="37" t="s">
        <v>8052</v>
      </c>
    </row>
    <row r="4105" spans="1:13" x14ac:dyDescent="0.25">
      <c r="A4105" s="33">
        <v>4104</v>
      </c>
      <c r="B4105" t="s">
        <v>8219</v>
      </c>
      <c r="C4105" s="1">
        <v>37.203839306799999</v>
      </c>
      <c r="D4105" s="1">
        <v>-7.0166422463</v>
      </c>
      <c r="E4105" s="3">
        <v>2</v>
      </c>
      <c r="F4105" s="2">
        <v>3</v>
      </c>
      <c r="G4105" s="4">
        <v>4</v>
      </c>
      <c r="H4105" s="13">
        <v>3</v>
      </c>
      <c r="I4105" s="34">
        <v>4</v>
      </c>
      <c r="J4105" s="37">
        <v>4</v>
      </c>
      <c r="K4105" s="2" t="s">
        <v>8220</v>
      </c>
      <c r="L4105" s="36" t="str">
        <f t="shared" si="69"/>
        <v>Ver Imagen</v>
      </c>
      <c r="M4105" s="37" t="s">
        <v>8052</v>
      </c>
    </row>
    <row r="4106" spans="1:13" x14ac:dyDescent="0.25">
      <c r="A4106" s="33">
        <v>4105</v>
      </c>
      <c r="B4106" t="s">
        <v>8221</v>
      </c>
      <c r="C4106" s="1">
        <v>37.2082001721</v>
      </c>
      <c r="D4106" s="1">
        <v>-7.0232265818000004</v>
      </c>
      <c r="E4106" s="3">
        <v>2</v>
      </c>
      <c r="F4106" s="2">
        <v>2</v>
      </c>
      <c r="G4106" s="4">
        <v>4</v>
      </c>
      <c r="H4106" s="13">
        <v>2</v>
      </c>
      <c r="I4106" s="34">
        <v>2</v>
      </c>
      <c r="J4106" s="35">
        <v>2</v>
      </c>
      <c r="K4106" s="2" t="s">
        <v>8222</v>
      </c>
      <c r="L4106" s="36" t="str">
        <f t="shared" si="69"/>
        <v>Ver Imagen</v>
      </c>
      <c r="M4106" t="s">
        <v>8005</v>
      </c>
    </row>
    <row r="4107" spans="1:13" x14ac:dyDescent="0.25">
      <c r="A4107" s="33">
        <v>4106</v>
      </c>
      <c r="B4107" t="s">
        <v>8223</v>
      </c>
      <c r="C4107" s="1">
        <v>37.217899849799998</v>
      </c>
      <c r="D4107" s="1">
        <v>-7.1169831211899997</v>
      </c>
      <c r="E4107" s="3">
        <v>3</v>
      </c>
      <c r="F4107" s="2">
        <v>1</v>
      </c>
      <c r="G4107" s="4">
        <v>2</v>
      </c>
      <c r="H4107" s="13">
        <v>2</v>
      </c>
      <c r="I4107" s="34">
        <v>1</v>
      </c>
      <c r="J4107" s="35">
        <v>2</v>
      </c>
      <c r="K4107" s="2" t="s">
        <v>8224</v>
      </c>
      <c r="L4107" s="36" t="str">
        <f t="shared" si="69"/>
        <v>Ver Imagen</v>
      </c>
      <c r="M4107" t="s">
        <v>8005</v>
      </c>
    </row>
    <row r="4108" spans="1:13" x14ac:dyDescent="0.25">
      <c r="A4108" s="33">
        <v>4107</v>
      </c>
      <c r="B4108" t="s">
        <v>8225</v>
      </c>
      <c r="C4108" s="1">
        <v>37.211777010200002</v>
      </c>
      <c r="D4108" s="1">
        <v>-7.0584503895199999</v>
      </c>
      <c r="E4108" s="3">
        <v>2</v>
      </c>
      <c r="F4108" s="2">
        <v>4</v>
      </c>
      <c r="G4108" s="4">
        <v>3</v>
      </c>
      <c r="H4108" s="13">
        <v>3</v>
      </c>
      <c r="I4108" s="34">
        <v>4</v>
      </c>
      <c r="J4108" s="35">
        <v>3</v>
      </c>
      <c r="K4108" s="2" t="s">
        <v>8226</v>
      </c>
      <c r="L4108" s="36" t="str">
        <f t="shared" si="69"/>
        <v>Ver Imagen</v>
      </c>
      <c r="M4108" t="s">
        <v>8005</v>
      </c>
    </row>
    <row r="4109" spans="1:13" x14ac:dyDescent="0.25">
      <c r="A4109" s="33">
        <v>4108</v>
      </c>
      <c r="B4109" t="s">
        <v>8227</v>
      </c>
      <c r="C4109" s="1">
        <v>37.210854674399997</v>
      </c>
      <c r="D4109" s="1">
        <v>-7.0535663098099999</v>
      </c>
      <c r="E4109" s="3">
        <v>2</v>
      </c>
      <c r="F4109" s="2">
        <v>3</v>
      </c>
      <c r="G4109" s="4">
        <v>4</v>
      </c>
      <c r="H4109" s="13">
        <v>3</v>
      </c>
      <c r="I4109" s="34">
        <v>3</v>
      </c>
      <c r="J4109" s="35">
        <v>3</v>
      </c>
      <c r="K4109" s="2" t="s">
        <v>8228</v>
      </c>
      <c r="L4109" s="36" t="str">
        <f t="shared" si="69"/>
        <v>Ver Imagen</v>
      </c>
      <c r="M4109" t="s">
        <v>8005</v>
      </c>
    </row>
    <row r="4110" spans="1:13" x14ac:dyDescent="0.25">
      <c r="A4110" s="33">
        <v>4109</v>
      </c>
      <c r="B4110" t="s">
        <v>8229</v>
      </c>
      <c r="C4110" s="1">
        <v>37.211294215099997</v>
      </c>
      <c r="D4110" s="1">
        <v>-7.0501761801100002</v>
      </c>
      <c r="E4110" s="3">
        <v>2</v>
      </c>
      <c r="F4110" s="2">
        <v>4</v>
      </c>
      <c r="G4110" s="4">
        <v>3</v>
      </c>
      <c r="H4110" s="13">
        <v>3</v>
      </c>
      <c r="I4110" s="34">
        <v>3</v>
      </c>
      <c r="J4110" s="35">
        <v>3</v>
      </c>
      <c r="K4110" s="2" t="s">
        <v>8230</v>
      </c>
      <c r="L4110" s="36" t="str">
        <f t="shared" si="69"/>
        <v>Ver Imagen</v>
      </c>
      <c r="M4110" t="s">
        <v>8005</v>
      </c>
    </row>
    <row r="4111" spans="1:13" x14ac:dyDescent="0.25">
      <c r="A4111" s="33">
        <v>4110</v>
      </c>
      <c r="B4111" t="s">
        <v>8231</v>
      </c>
      <c r="C4111" s="1">
        <v>37.211761001500001</v>
      </c>
      <c r="D4111" s="1">
        <v>-7.0484898792299999</v>
      </c>
      <c r="E4111" s="3">
        <v>2</v>
      </c>
      <c r="F4111" s="2">
        <v>2</v>
      </c>
      <c r="G4111" s="4">
        <v>4</v>
      </c>
      <c r="H4111" s="13">
        <v>2</v>
      </c>
      <c r="I4111" s="34">
        <v>2</v>
      </c>
      <c r="J4111" s="35">
        <v>2</v>
      </c>
      <c r="K4111" s="2" t="s">
        <v>8232</v>
      </c>
      <c r="L4111" s="36" t="str">
        <f t="shared" si="69"/>
        <v>Ver Imagen</v>
      </c>
      <c r="M4111" t="s">
        <v>8005</v>
      </c>
    </row>
    <row r="4112" spans="1:13" x14ac:dyDescent="0.25">
      <c r="A4112" s="33">
        <v>4111</v>
      </c>
      <c r="B4112" t="s">
        <v>8233</v>
      </c>
      <c r="C4112" s="1">
        <v>37.206067809700002</v>
      </c>
      <c r="D4112" s="1">
        <v>-7.0315258636199998</v>
      </c>
      <c r="E4112" s="3">
        <v>2</v>
      </c>
      <c r="F4112" s="2">
        <v>3</v>
      </c>
      <c r="G4112" s="4">
        <v>4</v>
      </c>
      <c r="H4112" s="13">
        <v>2</v>
      </c>
      <c r="I4112" s="34">
        <v>3</v>
      </c>
      <c r="J4112" s="35">
        <v>3</v>
      </c>
      <c r="K4112" s="2" t="s">
        <v>8234</v>
      </c>
      <c r="L4112" s="36" t="str">
        <f t="shared" si="69"/>
        <v>Ver Imagen</v>
      </c>
      <c r="M4112" t="s">
        <v>8005</v>
      </c>
    </row>
    <row r="4113" spans="1:13" x14ac:dyDescent="0.25">
      <c r="A4113" s="33">
        <v>4112</v>
      </c>
      <c r="B4113" t="s">
        <v>8235</v>
      </c>
      <c r="C4113" s="1">
        <v>37.204708008300003</v>
      </c>
      <c r="D4113" s="1">
        <v>-7.0282076506199997</v>
      </c>
      <c r="E4113" s="3">
        <v>2</v>
      </c>
      <c r="F4113" s="2">
        <v>3</v>
      </c>
      <c r="G4113" s="4">
        <v>4</v>
      </c>
      <c r="H4113" s="13">
        <v>3</v>
      </c>
      <c r="I4113" s="34">
        <v>3</v>
      </c>
      <c r="J4113" s="35">
        <v>3</v>
      </c>
      <c r="K4113" s="2" t="s">
        <v>8236</v>
      </c>
      <c r="L4113" s="36" t="str">
        <f t="shared" si="69"/>
        <v>Ver Imagen</v>
      </c>
      <c r="M4113" t="s">
        <v>8005</v>
      </c>
    </row>
    <row r="4114" spans="1:13" x14ac:dyDescent="0.25">
      <c r="A4114" s="33">
        <v>4113</v>
      </c>
      <c r="B4114" t="s">
        <v>8237</v>
      </c>
      <c r="C4114" s="1">
        <v>37.200747690299998</v>
      </c>
      <c r="D4114" s="1">
        <v>-7.01764312312</v>
      </c>
      <c r="E4114" s="3">
        <v>1</v>
      </c>
      <c r="F4114" s="2">
        <v>3</v>
      </c>
      <c r="G4114" s="4">
        <v>2</v>
      </c>
      <c r="H4114" s="13">
        <v>2</v>
      </c>
      <c r="I4114" s="34">
        <v>1</v>
      </c>
      <c r="J4114" s="35">
        <v>2</v>
      </c>
      <c r="K4114" s="2" t="s">
        <v>8238</v>
      </c>
      <c r="L4114" s="36" t="str">
        <f t="shared" si="69"/>
        <v>Ver Imagen</v>
      </c>
      <c r="M4114" t="s">
        <v>8005</v>
      </c>
    </row>
    <row r="4115" spans="1:13" x14ac:dyDescent="0.25">
      <c r="A4115" s="33">
        <v>4114</v>
      </c>
      <c r="B4115" t="s">
        <v>8239</v>
      </c>
      <c r="C4115" s="1">
        <v>37.288438956900002</v>
      </c>
      <c r="D4115" s="1">
        <v>-7.1414715441199998</v>
      </c>
      <c r="E4115" s="3">
        <v>2</v>
      </c>
      <c r="F4115" s="2">
        <v>4</v>
      </c>
      <c r="G4115" s="4">
        <v>3</v>
      </c>
      <c r="H4115" s="13">
        <v>3</v>
      </c>
      <c r="I4115" s="34">
        <v>4</v>
      </c>
      <c r="J4115" s="35">
        <v>3</v>
      </c>
      <c r="K4115" s="2" t="s">
        <v>8240</v>
      </c>
      <c r="L4115" s="36" t="str">
        <f t="shared" si="69"/>
        <v>Ver Imagen</v>
      </c>
      <c r="M4115" t="s">
        <v>8005</v>
      </c>
    </row>
    <row r="4116" spans="1:13" x14ac:dyDescent="0.25">
      <c r="A4116" s="33">
        <v>4115</v>
      </c>
      <c r="B4116" t="s">
        <v>8241</v>
      </c>
      <c r="C4116" s="1">
        <v>37.288299634099999</v>
      </c>
      <c r="D4116" s="1">
        <v>-7.1416791819199998</v>
      </c>
      <c r="E4116" s="3">
        <v>2</v>
      </c>
      <c r="F4116" s="2">
        <v>4</v>
      </c>
      <c r="G4116" s="4">
        <v>3</v>
      </c>
      <c r="H4116" s="13">
        <v>3</v>
      </c>
      <c r="I4116" s="34">
        <v>4</v>
      </c>
      <c r="J4116" s="35">
        <v>3</v>
      </c>
      <c r="K4116" s="2" t="s">
        <v>8242</v>
      </c>
      <c r="L4116" s="36" t="str">
        <f t="shared" si="69"/>
        <v>Ver Imagen</v>
      </c>
      <c r="M4116" t="s">
        <v>8005</v>
      </c>
    </row>
    <row r="4117" spans="1:13" x14ac:dyDescent="0.25">
      <c r="A4117" s="33">
        <v>4116</v>
      </c>
      <c r="B4117" t="s">
        <v>8243</v>
      </c>
      <c r="C4117" s="1">
        <v>37.288122066699998</v>
      </c>
      <c r="D4117" s="1">
        <v>-7.1417369872399998</v>
      </c>
      <c r="E4117" s="3">
        <v>2</v>
      </c>
      <c r="F4117" s="2">
        <v>4</v>
      </c>
      <c r="G4117" s="4">
        <v>3</v>
      </c>
      <c r="H4117" s="13">
        <v>3</v>
      </c>
      <c r="I4117" s="34">
        <v>3</v>
      </c>
      <c r="J4117" s="35">
        <v>3</v>
      </c>
      <c r="K4117" s="2" t="s">
        <v>8244</v>
      </c>
      <c r="L4117" s="36" t="str">
        <f t="shared" si="69"/>
        <v>Ver Imagen</v>
      </c>
      <c r="M4117" t="s">
        <v>8005</v>
      </c>
    </row>
    <row r="4118" spans="1:13" x14ac:dyDescent="0.25">
      <c r="A4118" s="33">
        <v>4117</v>
      </c>
      <c r="B4118" t="s">
        <v>8245</v>
      </c>
      <c r="C4118" s="1">
        <v>37.285129816900003</v>
      </c>
      <c r="D4118" s="1">
        <v>-7.1429223149599999</v>
      </c>
      <c r="E4118" s="3">
        <v>2</v>
      </c>
      <c r="F4118" s="2">
        <v>4</v>
      </c>
      <c r="G4118" s="4">
        <v>3</v>
      </c>
      <c r="H4118" s="13">
        <v>2</v>
      </c>
      <c r="I4118" s="34">
        <v>3</v>
      </c>
      <c r="J4118" s="35">
        <v>3</v>
      </c>
      <c r="K4118" s="2" t="s">
        <v>8246</v>
      </c>
      <c r="L4118" s="36" t="str">
        <f t="shared" si="69"/>
        <v>Ver Imagen</v>
      </c>
      <c r="M4118" t="s">
        <v>8005</v>
      </c>
    </row>
    <row r="4119" spans="1:13" x14ac:dyDescent="0.25">
      <c r="A4119" s="33">
        <v>4118</v>
      </c>
      <c r="B4119" t="s">
        <v>8247</v>
      </c>
      <c r="C4119" s="1">
        <v>37.284778700799997</v>
      </c>
      <c r="D4119" s="1">
        <v>-7.1430828577299996</v>
      </c>
      <c r="E4119" s="3">
        <v>2</v>
      </c>
      <c r="F4119" s="2">
        <v>4</v>
      </c>
      <c r="G4119" s="4">
        <v>2</v>
      </c>
      <c r="H4119" s="13">
        <v>2</v>
      </c>
      <c r="I4119" s="34">
        <v>3</v>
      </c>
      <c r="J4119" s="35">
        <v>2</v>
      </c>
      <c r="K4119" s="2" t="s">
        <v>8248</v>
      </c>
      <c r="L4119" s="36" t="str">
        <f t="shared" si="69"/>
        <v>Ver Imagen</v>
      </c>
      <c r="M4119" t="s">
        <v>8005</v>
      </c>
    </row>
    <row r="4120" spans="1:13" x14ac:dyDescent="0.25">
      <c r="A4120" s="33">
        <v>4119</v>
      </c>
      <c r="B4120" t="s">
        <v>8249</v>
      </c>
      <c r="C4120" s="1">
        <v>37.273871323500003</v>
      </c>
      <c r="D4120" s="1">
        <v>-7.1421685880699997</v>
      </c>
      <c r="E4120" s="3">
        <v>3</v>
      </c>
      <c r="F4120" s="2">
        <v>4</v>
      </c>
      <c r="G4120" s="4">
        <v>2</v>
      </c>
      <c r="H4120" s="13">
        <v>3</v>
      </c>
      <c r="I4120" s="34">
        <v>3</v>
      </c>
      <c r="J4120" s="35">
        <v>3</v>
      </c>
      <c r="K4120" s="2" t="s">
        <v>8250</v>
      </c>
      <c r="L4120" s="36" t="str">
        <f t="shared" si="69"/>
        <v>Ver Imagen</v>
      </c>
      <c r="M4120" t="s">
        <v>8005</v>
      </c>
    </row>
    <row r="4121" spans="1:13" x14ac:dyDescent="0.25">
      <c r="A4121" s="33">
        <v>4120</v>
      </c>
      <c r="B4121" t="s">
        <v>8251</v>
      </c>
      <c r="C4121" s="1">
        <v>37.269198087900001</v>
      </c>
      <c r="D4121" s="1">
        <v>-7.1387680503800004</v>
      </c>
      <c r="E4121" s="3">
        <v>2</v>
      </c>
      <c r="F4121" s="2">
        <v>2</v>
      </c>
      <c r="G4121" s="4">
        <v>4</v>
      </c>
      <c r="H4121" s="13">
        <v>2</v>
      </c>
      <c r="I4121" s="34">
        <v>2</v>
      </c>
      <c r="J4121" s="35">
        <v>2</v>
      </c>
      <c r="K4121" s="2" t="s">
        <v>8252</v>
      </c>
      <c r="L4121" s="36" t="str">
        <f t="shared" si="69"/>
        <v>Ver Imagen</v>
      </c>
      <c r="M4121" t="s">
        <v>8005</v>
      </c>
    </row>
    <row r="4122" spans="1:13" x14ac:dyDescent="0.25">
      <c r="A4122" s="33">
        <v>4121</v>
      </c>
      <c r="B4122" t="s">
        <v>8253</v>
      </c>
      <c r="C4122" s="1">
        <v>37.266673210599997</v>
      </c>
      <c r="D4122" s="1">
        <v>-7.1332869520499997</v>
      </c>
      <c r="E4122" s="3">
        <v>4</v>
      </c>
      <c r="F4122" s="2">
        <v>2</v>
      </c>
      <c r="G4122" s="4">
        <v>2</v>
      </c>
      <c r="H4122" s="13">
        <v>2</v>
      </c>
      <c r="I4122" s="34">
        <v>2</v>
      </c>
      <c r="J4122" s="35">
        <v>2</v>
      </c>
      <c r="K4122" s="2" t="s">
        <v>8254</v>
      </c>
      <c r="L4122" s="36" t="str">
        <f t="shared" si="69"/>
        <v>Ver Imagen</v>
      </c>
      <c r="M4122" t="s">
        <v>8005</v>
      </c>
    </row>
    <row r="4123" spans="1:13" x14ac:dyDescent="0.25">
      <c r="A4123" s="33">
        <v>4122</v>
      </c>
      <c r="B4123" t="s">
        <v>8255</v>
      </c>
      <c r="C4123" s="1">
        <v>37.2590618754</v>
      </c>
      <c r="D4123" s="1">
        <v>-7.1284963051699997</v>
      </c>
      <c r="E4123" s="3">
        <v>4</v>
      </c>
      <c r="F4123" s="2">
        <v>3</v>
      </c>
      <c r="G4123" s="4">
        <v>2</v>
      </c>
      <c r="H4123" s="13">
        <v>2</v>
      </c>
      <c r="I4123" s="34">
        <v>2</v>
      </c>
      <c r="J4123" s="35">
        <v>2</v>
      </c>
      <c r="K4123" s="2" t="s">
        <v>8256</v>
      </c>
      <c r="L4123" s="36" t="str">
        <f t="shared" si="69"/>
        <v>Ver Imagen</v>
      </c>
      <c r="M4123" t="s">
        <v>8005</v>
      </c>
    </row>
    <row r="4124" spans="1:13" x14ac:dyDescent="0.25">
      <c r="A4124" s="33">
        <v>4123</v>
      </c>
      <c r="B4124" t="s">
        <v>8257</v>
      </c>
      <c r="C4124" s="1">
        <v>37.440453067900002</v>
      </c>
      <c r="D4124" s="1">
        <v>-7.08859268385</v>
      </c>
      <c r="E4124" s="3">
        <v>4</v>
      </c>
      <c r="F4124" s="2">
        <v>4</v>
      </c>
      <c r="G4124" s="4">
        <v>2</v>
      </c>
      <c r="H4124" s="13">
        <v>3</v>
      </c>
      <c r="I4124" s="34">
        <v>3</v>
      </c>
      <c r="J4124" s="35">
        <v>3</v>
      </c>
      <c r="K4124" s="2" t="s">
        <v>8258</v>
      </c>
      <c r="L4124" s="36" t="str">
        <f t="shared" si="69"/>
        <v>Ver Imagen</v>
      </c>
      <c r="M4124" t="s">
        <v>8005</v>
      </c>
    </row>
    <row r="4125" spans="1:13" x14ac:dyDescent="0.25">
      <c r="A4125" s="33">
        <v>4124</v>
      </c>
      <c r="B4125" t="s">
        <v>8259</v>
      </c>
      <c r="C4125" s="1">
        <v>37.439406658800003</v>
      </c>
      <c r="D4125" s="1">
        <v>-7.08640329216</v>
      </c>
      <c r="E4125" s="3">
        <v>4</v>
      </c>
      <c r="F4125" s="2">
        <v>3</v>
      </c>
      <c r="G4125" s="4">
        <v>2</v>
      </c>
      <c r="H4125" s="13">
        <v>3</v>
      </c>
      <c r="I4125" s="34">
        <v>3</v>
      </c>
      <c r="J4125" s="35">
        <v>3</v>
      </c>
      <c r="K4125" s="2" t="s">
        <v>8260</v>
      </c>
      <c r="L4125" s="36" t="str">
        <f t="shared" si="69"/>
        <v>Ver Imagen</v>
      </c>
      <c r="M4125" t="s">
        <v>8005</v>
      </c>
    </row>
    <row r="4126" spans="1:13" x14ac:dyDescent="0.25">
      <c r="A4126" s="33">
        <v>4125</v>
      </c>
      <c r="B4126" t="s">
        <v>8261</v>
      </c>
      <c r="C4126" s="1">
        <v>37.437460978700003</v>
      </c>
      <c r="D4126" s="1">
        <v>-7.08116429735</v>
      </c>
      <c r="E4126" s="3">
        <v>2</v>
      </c>
      <c r="F4126" s="2">
        <v>3</v>
      </c>
      <c r="G4126" s="4">
        <v>4</v>
      </c>
      <c r="H4126" s="13">
        <v>2</v>
      </c>
      <c r="I4126" s="34">
        <v>3</v>
      </c>
      <c r="J4126" s="35">
        <v>3</v>
      </c>
      <c r="K4126" s="2" t="s">
        <v>8262</v>
      </c>
      <c r="L4126" s="36" t="str">
        <f t="shared" ref="L4126:L4189" si="70">HYPERLINK("NoConsenso\" &amp; K4126, "Ver Imagen")</f>
        <v>Ver Imagen</v>
      </c>
      <c r="M4126" t="s">
        <v>8005</v>
      </c>
    </row>
    <row r="4127" spans="1:13" x14ac:dyDescent="0.25">
      <c r="A4127" s="33">
        <v>4126</v>
      </c>
      <c r="B4127" t="s">
        <v>8263</v>
      </c>
      <c r="C4127" s="1">
        <v>37.435396175599998</v>
      </c>
      <c r="D4127" s="1">
        <v>-7.0763503562499999</v>
      </c>
      <c r="E4127" s="3">
        <v>2</v>
      </c>
      <c r="F4127" s="2">
        <v>3</v>
      </c>
      <c r="G4127" s="4">
        <v>1</v>
      </c>
      <c r="H4127" s="13">
        <v>2</v>
      </c>
      <c r="I4127" s="34">
        <v>2</v>
      </c>
      <c r="J4127" s="35">
        <v>2</v>
      </c>
      <c r="K4127" s="2" t="s">
        <v>8264</v>
      </c>
      <c r="L4127" s="36" t="str">
        <f t="shared" si="70"/>
        <v>Ver Imagen</v>
      </c>
      <c r="M4127" t="s">
        <v>8005</v>
      </c>
    </row>
    <row r="4128" spans="1:13" x14ac:dyDescent="0.25">
      <c r="A4128" s="33">
        <v>4127</v>
      </c>
      <c r="B4128" t="s">
        <v>8265</v>
      </c>
      <c r="C4128" s="1">
        <v>37.433716658999998</v>
      </c>
      <c r="D4128" s="1">
        <v>-7.0665875577600001</v>
      </c>
      <c r="E4128" s="3">
        <v>2</v>
      </c>
      <c r="F4128" s="2">
        <v>3</v>
      </c>
      <c r="G4128" s="4">
        <v>1</v>
      </c>
      <c r="H4128" s="13">
        <v>2</v>
      </c>
      <c r="I4128" s="34">
        <v>2</v>
      </c>
      <c r="J4128" s="35">
        <v>2</v>
      </c>
      <c r="K4128" s="2" t="s">
        <v>8266</v>
      </c>
      <c r="L4128" s="36" t="str">
        <f t="shared" si="70"/>
        <v>Ver Imagen</v>
      </c>
      <c r="M4128" t="s">
        <v>8005</v>
      </c>
    </row>
    <row r="4129" spans="1:13" x14ac:dyDescent="0.25">
      <c r="A4129" s="33">
        <v>4128</v>
      </c>
      <c r="B4129" t="s">
        <v>8267</v>
      </c>
      <c r="C4129" s="1">
        <v>37.432400434400002</v>
      </c>
      <c r="D4129" s="1">
        <v>-7.0637231922600003</v>
      </c>
      <c r="E4129" s="3">
        <v>2</v>
      </c>
      <c r="F4129" s="2">
        <v>3</v>
      </c>
      <c r="G4129" s="4">
        <v>1</v>
      </c>
      <c r="H4129" s="13">
        <v>2</v>
      </c>
      <c r="I4129" s="34">
        <v>2</v>
      </c>
      <c r="J4129" s="35">
        <v>2</v>
      </c>
      <c r="K4129" s="2" t="s">
        <v>8268</v>
      </c>
      <c r="L4129" s="36" t="str">
        <f t="shared" si="70"/>
        <v>Ver Imagen</v>
      </c>
      <c r="M4129" t="s">
        <v>8005</v>
      </c>
    </row>
    <row r="4130" spans="1:13" x14ac:dyDescent="0.25">
      <c r="A4130" s="33">
        <v>4129</v>
      </c>
      <c r="B4130" t="s">
        <v>8269</v>
      </c>
      <c r="C4130" s="1">
        <v>37.474144854599999</v>
      </c>
      <c r="D4130" s="1">
        <v>-7.1261910749900004</v>
      </c>
      <c r="E4130" s="3">
        <v>4</v>
      </c>
      <c r="F4130" s="2">
        <v>3</v>
      </c>
      <c r="G4130" s="4">
        <v>2</v>
      </c>
      <c r="H4130" s="13">
        <v>2</v>
      </c>
      <c r="I4130" s="34">
        <v>2</v>
      </c>
      <c r="J4130" s="35">
        <v>2</v>
      </c>
      <c r="K4130" s="2" t="s">
        <v>8270</v>
      </c>
      <c r="L4130" s="36" t="str">
        <f t="shared" si="70"/>
        <v>Ver Imagen</v>
      </c>
      <c r="M4130" t="s">
        <v>8005</v>
      </c>
    </row>
    <row r="4131" spans="1:13" x14ac:dyDescent="0.25">
      <c r="A4131" s="33">
        <v>4130</v>
      </c>
      <c r="B4131" t="s">
        <v>8271</v>
      </c>
      <c r="C4131" s="1">
        <v>37.448614036099997</v>
      </c>
      <c r="D4131" s="1">
        <v>-7.1267925711700002</v>
      </c>
      <c r="E4131" s="3">
        <v>2</v>
      </c>
      <c r="F4131" s="2">
        <v>3</v>
      </c>
      <c r="G4131" s="4">
        <v>4</v>
      </c>
      <c r="H4131" s="13">
        <v>3</v>
      </c>
      <c r="I4131" s="34">
        <v>3</v>
      </c>
      <c r="J4131" s="35">
        <v>3</v>
      </c>
      <c r="K4131" s="2" t="s">
        <v>8272</v>
      </c>
      <c r="L4131" s="36" t="str">
        <f t="shared" si="70"/>
        <v>Ver Imagen</v>
      </c>
      <c r="M4131" t="s">
        <v>8005</v>
      </c>
    </row>
    <row r="4132" spans="1:13" x14ac:dyDescent="0.25">
      <c r="A4132" s="33">
        <v>4131</v>
      </c>
      <c r="B4132" t="s">
        <v>8273</v>
      </c>
      <c r="C4132" s="1">
        <v>37.495275788500003</v>
      </c>
      <c r="D4132" s="1">
        <v>-7.2764443832100003</v>
      </c>
      <c r="E4132" s="3">
        <v>4</v>
      </c>
      <c r="F4132" s="2">
        <v>2</v>
      </c>
      <c r="G4132" s="4">
        <v>2</v>
      </c>
      <c r="H4132" s="13">
        <v>2</v>
      </c>
      <c r="I4132" s="34">
        <v>2</v>
      </c>
      <c r="J4132" s="35">
        <v>2</v>
      </c>
      <c r="K4132" s="2" t="s">
        <v>8274</v>
      </c>
      <c r="L4132" s="36" t="str">
        <f t="shared" si="70"/>
        <v>Ver Imagen</v>
      </c>
      <c r="M4132" t="s">
        <v>8005</v>
      </c>
    </row>
    <row r="4133" spans="1:13" x14ac:dyDescent="0.25">
      <c r="A4133" s="33">
        <v>4132</v>
      </c>
      <c r="B4133" t="s">
        <v>8275</v>
      </c>
      <c r="C4133" s="1">
        <v>37.500971654399997</v>
      </c>
      <c r="D4133" s="1">
        <v>-7.2667677661000001</v>
      </c>
      <c r="E4133" s="3">
        <v>3</v>
      </c>
      <c r="F4133" s="2">
        <v>1</v>
      </c>
      <c r="G4133" s="4">
        <v>2</v>
      </c>
      <c r="H4133" s="13">
        <v>1</v>
      </c>
      <c r="I4133" s="34">
        <v>1</v>
      </c>
      <c r="J4133" s="35">
        <v>1</v>
      </c>
      <c r="K4133" s="2" t="s">
        <v>8276</v>
      </c>
      <c r="L4133" s="36" t="str">
        <f t="shared" si="70"/>
        <v>Ver Imagen</v>
      </c>
      <c r="M4133" t="s">
        <v>8005</v>
      </c>
    </row>
    <row r="4134" spans="1:13" x14ac:dyDescent="0.25">
      <c r="A4134" s="33">
        <v>4133</v>
      </c>
      <c r="B4134" t="s">
        <v>8277</v>
      </c>
      <c r="C4134" s="1">
        <v>37.511183932599998</v>
      </c>
      <c r="D4134" s="1">
        <v>-7.2680265350899997</v>
      </c>
      <c r="E4134" s="3">
        <v>2</v>
      </c>
      <c r="F4134" s="2">
        <v>1</v>
      </c>
      <c r="G4134" s="4">
        <v>3</v>
      </c>
      <c r="H4134" s="13">
        <v>1</v>
      </c>
      <c r="I4134" s="34">
        <v>1</v>
      </c>
      <c r="J4134" s="35">
        <v>1</v>
      </c>
      <c r="K4134" s="2" t="s">
        <v>8278</v>
      </c>
      <c r="L4134" s="36" t="str">
        <f t="shared" si="70"/>
        <v>Ver Imagen</v>
      </c>
      <c r="M4134" t="s">
        <v>8005</v>
      </c>
    </row>
    <row r="4135" spans="1:13" x14ac:dyDescent="0.25">
      <c r="A4135" s="33">
        <v>4134</v>
      </c>
      <c r="B4135" t="s">
        <v>8279</v>
      </c>
      <c r="C4135" s="1">
        <v>37.511409685799997</v>
      </c>
      <c r="D4135" s="1">
        <v>-7.26812424395</v>
      </c>
      <c r="E4135" s="3">
        <v>2</v>
      </c>
      <c r="F4135" s="2">
        <v>1</v>
      </c>
      <c r="G4135" s="4">
        <v>3</v>
      </c>
      <c r="H4135" s="13">
        <v>1</v>
      </c>
      <c r="I4135" s="34">
        <v>1</v>
      </c>
      <c r="J4135" s="35">
        <v>1</v>
      </c>
      <c r="K4135" s="2" t="s">
        <v>8280</v>
      </c>
      <c r="L4135" s="36" t="str">
        <f t="shared" si="70"/>
        <v>Ver Imagen</v>
      </c>
      <c r="M4135" t="s">
        <v>8005</v>
      </c>
    </row>
    <row r="4136" spans="1:13" x14ac:dyDescent="0.25">
      <c r="A4136" s="33">
        <v>4135</v>
      </c>
      <c r="B4136" t="s">
        <v>8281</v>
      </c>
      <c r="C4136" s="1">
        <v>37.515604612200001</v>
      </c>
      <c r="D4136" s="1">
        <v>-7.26824560795</v>
      </c>
      <c r="E4136" s="3">
        <v>2</v>
      </c>
      <c r="F4136" s="2">
        <v>1</v>
      </c>
      <c r="G4136" s="4">
        <v>3</v>
      </c>
      <c r="H4136" s="13">
        <v>2</v>
      </c>
      <c r="I4136" s="34">
        <v>1</v>
      </c>
      <c r="J4136" s="37">
        <v>1</v>
      </c>
      <c r="K4136" s="2" t="s">
        <v>8282</v>
      </c>
      <c r="L4136" s="36" t="str">
        <f t="shared" si="70"/>
        <v>Ver Imagen</v>
      </c>
      <c r="M4136" s="37" t="s">
        <v>8052</v>
      </c>
    </row>
    <row r="4137" spans="1:13" x14ac:dyDescent="0.25">
      <c r="A4137" s="33">
        <v>4136</v>
      </c>
      <c r="B4137" t="s">
        <v>8283</v>
      </c>
      <c r="C4137" s="1">
        <v>37.516626494699999</v>
      </c>
      <c r="D4137" s="1">
        <v>-7.2665917660700003</v>
      </c>
      <c r="E4137" s="3">
        <v>2</v>
      </c>
      <c r="F4137" s="2">
        <v>1</v>
      </c>
      <c r="G4137" s="4">
        <v>3</v>
      </c>
      <c r="H4137" s="13">
        <v>1</v>
      </c>
      <c r="I4137" s="34">
        <v>1</v>
      </c>
      <c r="J4137" s="35">
        <v>1</v>
      </c>
      <c r="K4137" s="2" t="s">
        <v>8284</v>
      </c>
      <c r="L4137" s="36" t="str">
        <f t="shared" si="70"/>
        <v>Ver Imagen</v>
      </c>
      <c r="M4137" t="s">
        <v>8005</v>
      </c>
    </row>
    <row r="4138" spans="1:13" x14ac:dyDescent="0.25">
      <c r="A4138" s="33">
        <v>4137</v>
      </c>
      <c r="B4138" t="s">
        <v>8285</v>
      </c>
      <c r="C4138" s="1">
        <v>37.521402454799997</v>
      </c>
      <c r="D4138" s="1">
        <v>-7.25995736544</v>
      </c>
      <c r="E4138" s="3">
        <v>2</v>
      </c>
      <c r="F4138" s="2">
        <v>1</v>
      </c>
      <c r="G4138" s="4">
        <v>3</v>
      </c>
      <c r="H4138" s="13">
        <v>1</v>
      </c>
      <c r="I4138" s="34">
        <v>1</v>
      </c>
      <c r="J4138" s="35">
        <v>1</v>
      </c>
      <c r="K4138" s="2" t="s">
        <v>8286</v>
      </c>
      <c r="L4138" s="36" t="str">
        <f t="shared" si="70"/>
        <v>Ver Imagen</v>
      </c>
      <c r="M4138" t="s">
        <v>8005</v>
      </c>
    </row>
    <row r="4139" spans="1:13" x14ac:dyDescent="0.25">
      <c r="A4139" s="33">
        <v>4138</v>
      </c>
      <c r="B4139" t="s">
        <v>8287</v>
      </c>
      <c r="C4139" s="1">
        <v>37.521933930099998</v>
      </c>
      <c r="D4139" s="1">
        <v>-7.2595968749499997</v>
      </c>
      <c r="E4139" s="3">
        <v>2</v>
      </c>
      <c r="F4139" s="2">
        <v>1</v>
      </c>
      <c r="G4139" s="4">
        <v>3</v>
      </c>
      <c r="H4139" s="13">
        <v>2</v>
      </c>
      <c r="I4139" s="34">
        <v>1</v>
      </c>
      <c r="J4139" s="37">
        <v>1</v>
      </c>
      <c r="K4139" s="2" t="s">
        <v>8288</v>
      </c>
      <c r="L4139" s="36" t="str">
        <f t="shared" si="70"/>
        <v>Ver Imagen</v>
      </c>
      <c r="M4139" s="37" t="s">
        <v>8052</v>
      </c>
    </row>
    <row r="4140" spans="1:13" x14ac:dyDescent="0.25">
      <c r="A4140" s="33">
        <v>4139</v>
      </c>
      <c r="B4140" t="s">
        <v>8289</v>
      </c>
      <c r="C4140" s="1">
        <v>37.522895970900002</v>
      </c>
      <c r="D4140" s="1">
        <v>-7.2591996546699997</v>
      </c>
      <c r="E4140" s="3">
        <v>2</v>
      </c>
      <c r="F4140" s="2">
        <v>1</v>
      </c>
      <c r="G4140" s="4">
        <v>3</v>
      </c>
      <c r="H4140" s="13">
        <v>1</v>
      </c>
      <c r="I4140" s="34">
        <v>2</v>
      </c>
      <c r="J4140" s="35">
        <v>2</v>
      </c>
      <c r="K4140" s="2" t="s">
        <v>8290</v>
      </c>
      <c r="L4140" s="36" t="str">
        <f t="shared" si="70"/>
        <v>Ver Imagen</v>
      </c>
      <c r="M4140" t="s">
        <v>8005</v>
      </c>
    </row>
    <row r="4141" spans="1:13" x14ac:dyDescent="0.25">
      <c r="A4141" s="33">
        <v>4140</v>
      </c>
      <c r="B4141" t="s">
        <v>8291</v>
      </c>
      <c r="C4141" s="1">
        <v>37.526852356100001</v>
      </c>
      <c r="D4141" s="1">
        <v>-7.2550545351100002</v>
      </c>
      <c r="E4141" s="3">
        <v>2</v>
      </c>
      <c r="F4141" s="2">
        <v>1</v>
      </c>
      <c r="G4141" s="4">
        <v>3</v>
      </c>
      <c r="H4141" s="13">
        <v>1</v>
      </c>
      <c r="I4141" s="34">
        <v>1</v>
      </c>
      <c r="J4141" s="35">
        <v>1</v>
      </c>
      <c r="K4141" s="2" t="s">
        <v>8292</v>
      </c>
      <c r="L4141" s="36" t="str">
        <f t="shared" si="70"/>
        <v>Ver Imagen</v>
      </c>
      <c r="M4141" t="s">
        <v>8005</v>
      </c>
    </row>
    <row r="4142" spans="1:13" x14ac:dyDescent="0.25">
      <c r="A4142" s="33">
        <v>4141</v>
      </c>
      <c r="B4142" t="s">
        <v>8293</v>
      </c>
      <c r="C4142" s="1">
        <v>37.199879401600001</v>
      </c>
      <c r="D4142" s="1">
        <v>-6.9853686467999996</v>
      </c>
      <c r="E4142" s="3">
        <v>2</v>
      </c>
      <c r="F4142" s="2">
        <v>3</v>
      </c>
      <c r="G4142" s="4">
        <v>4</v>
      </c>
      <c r="H4142" s="13">
        <v>2</v>
      </c>
      <c r="I4142" s="34">
        <v>3</v>
      </c>
      <c r="J4142" s="35">
        <v>3</v>
      </c>
      <c r="K4142" s="2" t="s">
        <v>8294</v>
      </c>
      <c r="L4142" s="36" t="str">
        <f t="shared" si="70"/>
        <v>Ver Imagen</v>
      </c>
      <c r="M4142" t="s">
        <v>8005</v>
      </c>
    </row>
    <row r="4143" spans="1:13" x14ac:dyDescent="0.25">
      <c r="A4143" s="33">
        <v>4142</v>
      </c>
      <c r="B4143" t="s">
        <v>8295</v>
      </c>
      <c r="C4143" s="1">
        <v>37.2544758003</v>
      </c>
      <c r="D4143" s="1">
        <v>-7.0152293641099996</v>
      </c>
      <c r="E4143" s="3">
        <v>2</v>
      </c>
      <c r="F4143" s="2">
        <v>3</v>
      </c>
      <c r="G4143" s="4">
        <v>4</v>
      </c>
      <c r="H4143" s="13">
        <v>2</v>
      </c>
      <c r="I4143" s="34">
        <v>2</v>
      </c>
      <c r="J4143" s="35">
        <v>2</v>
      </c>
      <c r="K4143" s="2" t="s">
        <v>8296</v>
      </c>
      <c r="L4143" s="36" t="str">
        <f t="shared" si="70"/>
        <v>Ver Imagen</v>
      </c>
      <c r="M4143" t="s">
        <v>8005</v>
      </c>
    </row>
    <row r="4144" spans="1:13" x14ac:dyDescent="0.25">
      <c r="A4144" s="33">
        <v>4143</v>
      </c>
      <c r="B4144" t="s">
        <v>8297</v>
      </c>
      <c r="C4144" s="1">
        <v>37.204277131399998</v>
      </c>
      <c r="D4144" s="1">
        <v>-7.0118644655300004</v>
      </c>
      <c r="E4144" s="3">
        <v>2</v>
      </c>
      <c r="F4144" s="2">
        <v>4</v>
      </c>
      <c r="G4144" s="4">
        <v>4</v>
      </c>
      <c r="H4144" s="13">
        <v>3</v>
      </c>
      <c r="I4144" s="34">
        <v>4</v>
      </c>
      <c r="J4144" s="35">
        <v>4</v>
      </c>
      <c r="K4144" s="2" t="s">
        <v>8298</v>
      </c>
      <c r="L4144" s="36" t="str">
        <f t="shared" si="70"/>
        <v>Ver Imagen</v>
      </c>
      <c r="M4144" t="s">
        <v>8005</v>
      </c>
    </row>
    <row r="4145" spans="1:13" x14ac:dyDescent="0.25">
      <c r="A4145" s="33">
        <v>4144</v>
      </c>
      <c r="B4145" t="s">
        <v>8299</v>
      </c>
      <c r="C4145" s="1">
        <v>37.241953778099997</v>
      </c>
      <c r="D4145" s="1">
        <v>-7.0184127953699997</v>
      </c>
      <c r="E4145" s="3">
        <v>4</v>
      </c>
      <c r="F4145" s="2">
        <v>3</v>
      </c>
      <c r="G4145" s="4">
        <v>2</v>
      </c>
      <c r="H4145" s="13">
        <v>2</v>
      </c>
      <c r="I4145" s="34">
        <v>2</v>
      </c>
      <c r="J4145" s="35">
        <v>2</v>
      </c>
      <c r="K4145" s="2" t="s">
        <v>8300</v>
      </c>
      <c r="L4145" s="36" t="str">
        <f t="shared" si="70"/>
        <v>Ver Imagen</v>
      </c>
      <c r="M4145" t="s">
        <v>8005</v>
      </c>
    </row>
    <row r="4146" spans="1:13" x14ac:dyDescent="0.25">
      <c r="A4146" s="33">
        <v>4145</v>
      </c>
      <c r="B4146" t="s">
        <v>8301</v>
      </c>
      <c r="C4146" s="1">
        <v>37.265378294900003</v>
      </c>
      <c r="D4146" s="1">
        <v>-6.9961319801500004</v>
      </c>
      <c r="E4146" s="3">
        <v>2</v>
      </c>
      <c r="F4146" s="2">
        <v>3</v>
      </c>
      <c r="G4146" s="4">
        <v>1</v>
      </c>
      <c r="H4146" s="13">
        <v>2</v>
      </c>
      <c r="I4146" s="34">
        <v>1</v>
      </c>
      <c r="J4146" s="35">
        <v>2</v>
      </c>
      <c r="K4146" s="2" t="s">
        <v>8302</v>
      </c>
      <c r="L4146" s="36" t="str">
        <f t="shared" si="70"/>
        <v>Ver Imagen</v>
      </c>
      <c r="M4146" t="s">
        <v>8005</v>
      </c>
    </row>
    <row r="4147" spans="1:13" x14ac:dyDescent="0.25">
      <c r="A4147" s="33">
        <v>4146</v>
      </c>
      <c r="B4147" t="s">
        <v>8303</v>
      </c>
      <c r="C4147" s="1">
        <v>37.265468287700003</v>
      </c>
      <c r="D4147" s="1">
        <v>-6.9956099278900004</v>
      </c>
      <c r="E4147" s="3">
        <v>2</v>
      </c>
      <c r="F4147" s="2">
        <v>3</v>
      </c>
      <c r="G4147" s="4">
        <v>1</v>
      </c>
      <c r="H4147" s="13">
        <v>2</v>
      </c>
      <c r="I4147" s="34">
        <v>2</v>
      </c>
      <c r="J4147" s="35">
        <v>2</v>
      </c>
      <c r="K4147" s="2" t="s">
        <v>8304</v>
      </c>
      <c r="L4147" s="36" t="str">
        <f t="shared" si="70"/>
        <v>Ver Imagen</v>
      </c>
      <c r="M4147" t="s">
        <v>8005</v>
      </c>
    </row>
    <row r="4148" spans="1:13" x14ac:dyDescent="0.25">
      <c r="A4148" s="33">
        <v>4147</v>
      </c>
      <c r="B4148" t="s">
        <v>8305</v>
      </c>
      <c r="C4148" s="1">
        <v>37.446910134200003</v>
      </c>
      <c r="D4148" s="1">
        <v>-7.1304969805500003</v>
      </c>
      <c r="E4148" s="3">
        <v>2</v>
      </c>
      <c r="F4148" s="2">
        <v>4</v>
      </c>
      <c r="G4148" s="4">
        <v>3</v>
      </c>
      <c r="H4148" s="13">
        <v>3</v>
      </c>
      <c r="I4148" s="34">
        <v>3</v>
      </c>
      <c r="J4148" s="35">
        <v>3</v>
      </c>
      <c r="K4148" s="2" t="s">
        <v>8306</v>
      </c>
      <c r="L4148" s="36" t="str">
        <f t="shared" si="70"/>
        <v>Ver Imagen</v>
      </c>
      <c r="M4148" t="s">
        <v>8005</v>
      </c>
    </row>
    <row r="4149" spans="1:13" x14ac:dyDescent="0.25">
      <c r="A4149" s="33">
        <v>4148</v>
      </c>
      <c r="B4149" t="s">
        <v>8307</v>
      </c>
      <c r="C4149" s="1">
        <v>37.4466928366</v>
      </c>
      <c r="D4149" s="1">
        <v>-7.1314937501799998</v>
      </c>
      <c r="E4149" s="3">
        <v>2</v>
      </c>
      <c r="F4149" s="2">
        <v>4</v>
      </c>
      <c r="G4149" s="4">
        <v>3</v>
      </c>
      <c r="H4149" s="13">
        <v>3</v>
      </c>
      <c r="I4149" s="34">
        <v>3</v>
      </c>
      <c r="J4149" s="35">
        <v>3</v>
      </c>
      <c r="K4149" s="2" t="s">
        <v>8308</v>
      </c>
      <c r="L4149" s="36" t="str">
        <f t="shared" si="70"/>
        <v>Ver Imagen</v>
      </c>
      <c r="M4149" t="s">
        <v>8005</v>
      </c>
    </row>
    <row r="4150" spans="1:13" x14ac:dyDescent="0.25">
      <c r="A4150" s="33">
        <v>4149</v>
      </c>
      <c r="B4150" t="s">
        <v>8309</v>
      </c>
      <c r="C4150" s="1">
        <v>37.446286003700003</v>
      </c>
      <c r="D4150" s="1">
        <v>-7.1342511435300002</v>
      </c>
      <c r="E4150" s="3">
        <v>2</v>
      </c>
      <c r="F4150" s="2">
        <v>4</v>
      </c>
      <c r="G4150" s="4">
        <v>3</v>
      </c>
      <c r="H4150" s="13">
        <v>3</v>
      </c>
      <c r="I4150" s="34">
        <v>3</v>
      </c>
      <c r="J4150" s="35">
        <v>3</v>
      </c>
      <c r="K4150" s="2" t="s">
        <v>8310</v>
      </c>
      <c r="L4150" s="36" t="str">
        <f t="shared" si="70"/>
        <v>Ver Imagen</v>
      </c>
      <c r="M4150" t="s">
        <v>8005</v>
      </c>
    </row>
    <row r="4151" spans="1:13" x14ac:dyDescent="0.25">
      <c r="A4151" s="33">
        <v>4150</v>
      </c>
      <c r="B4151" t="s">
        <v>8311</v>
      </c>
      <c r="C4151" s="1">
        <v>37.446214092200002</v>
      </c>
      <c r="D4151" s="1">
        <v>-7.13496879759</v>
      </c>
      <c r="E4151" s="3">
        <v>2</v>
      </c>
      <c r="F4151" s="2">
        <v>4</v>
      </c>
      <c r="G4151" s="4">
        <v>3</v>
      </c>
      <c r="H4151" s="13">
        <v>3</v>
      </c>
      <c r="I4151" s="34">
        <v>3</v>
      </c>
      <c r="J4151" s="35">
        <v>3</v>
      </c>
      <c r="K4151" s="2" t="s">
        <v>8312</v>
      </c>
      <c r="L4151" s="36" t="str">
        <f t="shared" si="70"/>
        <v>Ver Imagen</v>
      </c>
      <c r="M4151" t="s">
        <v>8005</v>
      </c>
    </row>
    <row r="4152" spans="1:13" x14ac:dyDescent="0.25">
      <c r="A4152" s="33">
        <v>4151</v>
      </c>
      <c r="B4152" t="s">
        <v>8313</v>
      </c>
      <c r="C4152" s="1">
        <v>37.446156840599997</v>
      </c>
      <c r="D4152" s="1">
        <v>-7.1357027156299999</v>
      </c>
      <c r="E4152" s="3">
        <v>2</v>
      </c>
      <c r="F4152" s="2">
        <v>4</v>
      </c>
      <c r="G4152" s="4">
        <v>3</v>
      </c>
      <c r="H4152" s="13">
        <v>3</v>
      </c>
      <c r="I4152" s="34">
        <v>3</v>
      </c>
      <c r="J4152" s="35">
        <v>3</v>
      </c>
      <c r="K4152" s="2" t="s">
        <v>8314</v>
      </c>
      <c r="L4152" s="36" t="str">
        <f t="shared" si="70"/>
        <v>Ver Imagen</v>
      </c>
      <c r="M4152" t="s">
        <v>8005</v>
      </c>
    </row>
    <row r="4153" spans="1:13" x14ac:dyDescent="0.25">
      <c r="A4153" s="33">
        <v>4152</v>
      </c>
      <c r="B4153" t="s">
        <v>8315</v>
      </c>
      <c r="C4153" s="1">
        <v>37.446793766200003</v>
      </c>
      <c r="D4153" s="1">
        <v>-7.1386126507099998</v>
      </c>
      <c r="E4153" s="3">
        <v>2</v>
      </c>
      <c r="F4153" s="2">
        <v>4</v>
      </c>
      <c r="G4153" s="4">
        <v>3</v>
      </c>
      <c r="H4153" s="13">
        <v>3</v>
      </c>
      <c r="I4153" s="34">
        <v>3</v>
      </c>
      <c r="J4153" s="35">
        <v>3</v>
      </c>
      <c r="K4153" s="2" t="s">
        <v>8316</v>
      </c>
      <c r="L4153" s="36" t="str">
        <f t="shared" si="70"/>
        <v>Ver Imagen</v>
      </c>
      <c r="M4153" t="s">
        <v>8005</v>
      </c>
    </row>
    <row r="4154" spans="1:13" x14ac:dyDescent="0.25">
      <c r="A4154" s="33">
        <v>4153</v>
      </c>
      <c r="B4154" t="s">
        <v>8317</v>
      </c>
      <c r="C4154" s="1">
        <v>37.447462861600002</v>
      </c>
      <c r="D4154" s="1">
        <v>-7.1404376162999998</v>
      </c>
      <c r="E4154" s="3">
        <v>2</v>
      </c>
      <c r="F4154" s="2">
        <v>4</v>
      </c>
      <c r="G4154" s="4">
        <v>3</v>
      </c>
      <c r="H4154" s="13">
        <v>3</v>
      </c>
      <c r="I4154" s="34">
        <v>3</v>
      </c>
      <c r="J4154" s="35">
        <v>3</v>
      </c>
      <c r="K4154" s="2" t="s">
        <v>8318</v>
      </c>
      <c r="L4154" s="36" t="str">
        <f t="shared" si="70"/>
        <v>Ver Imagen</v>
      </c>
      <c r="M4154" t="s">
        <v>8005</v>
      </c>
    </row>
    <row r="4155" spans="1:13" x14ac:dyDescent="0.25">
      <c r="A4155" s="33">
        <v>4154</v>
      </c>
      <c r="B4155" t="s">
        <v>8319</v>
      </c>
      <c r="C4155" s="1">
        <v>37.448198362399999</v>
      </c>
      <c r="D4155" s="1">
        <v>-7.1420158672499996</v>
      </c>
      <c r="E4155" s="3">
        <v>1</v>
      </c>
      <c r="F4155" s="2">
        <v>3</v>
      </c>
      <c r="G4155" s="4">
        <v>3</v>
      </c>
      <c r="H4155" s="13">
        <v>2</v>
      </c>
      <c r="I4155" s="34">
        <v>2</v>
      </c>
      <c r="J4155" s="35">
        <v>2</v>
      </c>
      <c r="K4155" s="2" t="s">
        <v>8320</v>
      </c>
      <c r="L4155" s="36" t="str">
        <f t="shared" si="70"/>
        <v>Ver Imagen</v>
      </c>
      <c r="M4155" t="s">
        <v>8005</v>
      </c>
    </row>
    <row r="4156" spans="1:13" x14ac:dyDescent="0.25">
      <c r="A4156" s="33">
        <v>4155</v>
      </c>
      <c r="B4156" t="s">
        <v>8321</v>
      </c>
      <c r="C4156" s="1">
        <v>37.448629089599997</v>
      </c>
      <c r="D4156" s="1">
        <v>-7.1459538331800001</v>
      </c>
      <c r="E4156" s="3">
        <v>3</v>
      </c>
      <c r="F4156" s="2">
        <v>4</v>
      </c>
      <c r="G4156" s="4">
        <v>5</v>
      </c>
      <c r="H4156" s="13">
        <v>3</v>
      </c>
      <c r="I4156" s="34">
        <v>3</v>
      </c>
      <c r="J4156" s="35">
        <v>3</v>
      </c>
      <c r="K4156" s="2" t="s">
        <v>8322</v>
      </c>
      <c r="L4156" s="36" t="str">
        <f t="shared" si="70"/>
        <v>Ver Imagen</v>
      </c>
      <c r="M4156" t="s">
        <v>8005</v>
      </c>
    </row>
    <row r="4157" spans="1:13" x14ac:dyDescent="0.25">
      <c r="A4157" s="33">
        <v>4156</v>
      </c>
      <c r="B4157" t="s">
        <v>8323</v>
      </c>
      <c r="C4157" s="1">
        <v>37.448698696599998</v>
      </c>
      <c r="D4157" s="1">
        <v>-7.1474507433100003</v>
      </c>
      <c r="E4157" s="3">
        <v>1</v>
      </c>
      <c r="F4157" s="2">
        <v>3</v>
      </c>
      <c r="G4157" s="4">
        <v>3</v>
      </c>
      <c r="H4157" s="13">
        <v>3</v>
      </c>
      <c r="I4157" s="34">
        <v>2</v>
      </c>
      <c r="J4157" s="35">
        <v>3</v>
      </c>
      <c r="K4157" s="2" t="s">
        <v>8324</v>
      </c>
      <c r="L4157" s="36" t="str">
        <f t="shared" si="70"/>
        <v>Ver Imagen</v>
      </c>
      <c r="M4157" t="s">
        <v>8005</v>
      </c>
    </row>
    <row r="4158" spans="1:13" x14ac:dyDescent="0.25">
      <c r="A4158" s="33">
        <v>4157</v>
      </c>
      <c r="B4158" t="s">
        <v>8325</v>
      </c>
      <c r="C4158" s="1">
        <v>37.448714188799997</v>
      </c>
      <c r="D4158" s="1">
        <v>-7.1477403632299996</v>
      </c>
      <c r="E4158" s="3">
        <v>2</v>
      </c>
      <c r="F4158" s="2">
        <v>4</v>
      </c>
      <c r="G4158" s="4">
        <v>3</v>
      </c>
      <c r="H4158" s="13">
        <v>3</v>
      </c>
      <c r="I4158" s="34">
        <v>3</v>
      </c>
      <c r="J4158" s="35">
        <v>3</v>
      </c>
      <c r="K4158" s="2" t="s">
        <v>8326</v>
      </c>
      <c r="L4158" s="36" t="str">
        <f t="shared" si="70"/>
        <v>Ver Imagen</v>
      </c>
      <c r="M4158" t="s">
        <v>8005</v>
      </c>
    </row>
    <row r="4159" spans="1:13" x14ac:dyDescent="0.25">
      <c r="A4159" s="33">
        <v>4158</v>
      </c>
      <c r="B4159" t="s">
        <v>8327</v>
      </c>
      <c r="C4159" s="1">
        <v>37.4491360978</v>
      </c>
      <c r="D4159" s="1">
        <v>-7.1504621454499997</v>
      </c>
      <c r="E4159" s="3">
        <v>1</v>
      </c>
      <c r="F4159" s="2">
        <v>3</v>
      </c>
      <c r="G4159" s="4">
        <v>3</v>
      </c>
      <c r="H4159" s="13">
        <v>2</v>
      </c>
      <c r="I4159" s="34">
        <v>2</v>
      </c>
      <c r="J4159" s="35">
        <v>2</v>
      </c>
      <c r="K4159" s="2" t="s">
        <v>8328</v>
      </c>
      <c r="L4159" s="36" t="str">
        <f t="shared" si="70"/>
        <v>Ver Imagen</v>
      </c>
      <c r="M4159" t="s">
        <v>8005</v>
      </c>
    </row>
    <row r="4160" spans="1:13" x14ac:dyDescent="0.25">
      <c r="A4160" s="33">
        <v>4159</v>
      </c>
      <c r="B4160" t="s">
        <v>8329</v>
      </c>
      <c r="C4160" s="1">
        <v>37.4503379079</v>
      </c>
      <c r="D4160" s="1">
        <v>-7.1528104066799996</v>
      </c>
      <c r="E4160" s="3">
        <v>2</v>
      </c>
      <c r="F4160" s="2">
        <v>4</v>
      </c>
      <c r="G4160" s="4">
        <v>3</v>
      </c>
      <c r="H4160" s="13">
        <v>3</v>
      </c>
      <c r="I4160" s="34">
        <v>3</v>
      </c>
      <c r="J4160" s="35">
        <v>3</v>
      </c>
      <c r="K4160" s="2" t="s">
        <v>8330</v>
      </c>
      <c r="L4160" s="36" t="str">
        <f t="shared" si="70"/>
        <v>Ver Imagen</v>
      </c>
      <c r="M4160" t="s">
        <v>8005</v>
      </c>
    </row>
    <row r="4161" spans="1:13" x14ac:dyDescent="0.25">
      <c r="A4161" s="33">
        <v>4160</v>
      </c>
      <c r="B4161" t="s">
        <v>8331</v>
      </c>
      <c r="C4161" s="1">
        <v>37.452874003200002</v>
      </c>
      <c r="D4161" s="1">
        <v>-7.1615481966800001</v>
      </c>
      <c r="E4161" s="3">
        <v>1</v>
      </c>
      <c r="F4161" s="2">
        <v>3</v>
      </c>
      <c r="G4161" s="4">
        <v>3</v>
      </c>
      <c r="H4161" s="13">
        <v>3</v>
      </c>
      <c r="I4161" s="34">
        <v>3</v>
      </c>
      <c r="J4161" s="35">
        <v>3</v>
      </c>
      <c r="K4161" s="2" t="s">
        <v>8332</v>
      </c>
      <c r="L4161" s="36" t="str">
        <f t="shared" si="70"/>
        <v>Ver Imagen</v>
      </c>
      <c r="M4161" t="s">
        <v>8005</v>
      </c>
    </row>
    <row r="4162" spans="1:13" x14ac:dyDescent="0.25">
      <c r="A4162" s="33">
        <v>4161</v>
      </c>
      <c r="B4162" t="s">
        <v>8333</v>
      </c>
      <c r="C4162" s="1">
        <v>37.453178223099997</v>
      </c>
      <c r="D4162" s="1">
        <v>-7.1621428603200004</v>
      </c>
      <c r="E4162" s="3">
        <v>2</v>
      </c>
      <c r="F4162" s="2">
        <v>4</v>
      </c>
      <c r="G4162" s="4">
        <v>3</v>
      </c>
      <c r="H4162" s="13">
        <v>3</v>
      </c>
      <c r="I4162" s="34">
        <v>3</v>
      </c>
      <c r="J4162" s="35">
        <v>3</v>
      </c>
      <c r="K4162" s="2" t="s">
        <v>8334</v>
      </c>
      <c r="L4162" s="36" t="str">
        <f t="shared" si="70"/>
        <v>Ver Imagen</v>
      </c>
      <c r="M4162" t="s">
        <v>8005</v>
      </c>
    </row>
    <row r="4163" spans="1:13" x14ac:dyDescent="0.25">
      <c r="A4163" s="33">
        <v>4162</v>
      </c>
      <c r="B4163" t="s">
        <v>8335</v>
      </c>
      <c r="C4163" s="1">
        <v>37.453511388199999</v>
      </c>
      <c r="D4163" s="1">
        <v>-7.1628079746399997</v>
      </c>
      <c r="E4163" s="3">
        <v>2</v>
      </c>
      <c r="F4163" s="2">
        <v>4</v>
      </c>
      <c r="G4163" s="4">
        <v>3</v>
      </c>
      <c r="H4163" s="13">
        <v>3</v>
      </c>
      <c r="I4163" s="34">
        <v>3</v>
      </c>
      <c r="J4163" s="35">
        <v>3</v>
      </c>
      <c r="K4163" s="2" t="s">
        <v>8336</v>
      </c>
      <c r="L4163" s="36" t="str">
        <f t="shared" si="70"/>
        <v>Ver Imagen</v>
      </c>
      <c r="M4163" t="s">
        <v>8005</v>
      </c>
    </row>
    <row r="4164" spans="1:13" x14ac:dyDescent="0.25">
      <c r="A4164" s="33">
        <v>4163</v>
      </c>
      <c r="B4164" t="s">
        <v>8337</v>
      </c>
      <c r="C4164" s="1">
        <v>37.453853381000002</v>
      </c>
      <c r="D4164" s="1">
        <v>-7.1634736915700001</v>
      </c>
      <c r="E4164" s="3">
        <v>2</v>
      </c>
      <c r="F4164" s="2">
        <v>4</v>
      </c>
      <c r="G4164" s="4">
        <v>3</v>
      </c>
      <c r="H4164" s="13">
        <v>2</v>
      </c>
      <c r="I4164" s="34">
        <v>2</v>
      </c>
      <c r="J4164" s="35">
        <v>2</v>
      </c>
      <c r="K4164" s="2" t="s">
        <v>8338</v>
      </c>
      <c r="L4164" s="36" t="str">
        <f t="shared" si="70"/>
        <v>Ver Imagen</v>
      </c>
      <c r="M4164" t="s">
        <v>8005</v>
      </c>
    </row>
    <row r="4165" spans="1:13" x14ac:dyDescent="0.25">
      <c r="A4165" s="33">
        <v>4164</v>
      </c>
      <c r="B4165" t="s">
        <v>8339</v>
      </c>
      <c r="C4165" s="1">
        <v>37.454047183599997</v>
      </c>
      <c r="D4165" s="1">
        <v>-7.1638608332000002</v>
      </c>
      <c r="E4165" s="3">
        <v>2</v>
      </c>
      <c r="F4165" s="2">
        <v>4</v>
      </c>
      <c r="G4165" s="4">
        <v>3</v>
      </c>
      <c r="H4165" s="13">
        <v>3</v>
      </c>
      <c r="I4165" s="34">
        <v>2</v>
      </c>
      <c r="J4165" s="35">
        <v>3</v>
      </c>
      <c r="K4165" s="2" t="s">
        <v>8340</v>
      </c>
      <c r="L4165" s="36" t="str">
        <f t="shared" si="70"/>
        <v>Ver Imagen</v>
      </c>
      <c r="M4165" t="s">
        <v>8005</v>
      </c>
    </row>
    <row r="4166" spans="1:13" x14ac:dyDescent="0.25">
      <c r="A4166" s="33">
        <v>4165</v>
      </c>
      <c r="B4166" t="s">
        <v>8341</v>
      </c>
      <c r="C4166" s="1">
        <v>37.454839057500003</v>
      </c>
      <c r="D4166" s="1">
        <v>-7.1653463428700004</v>
      </c>
      <c r="E4166" s="3">
        <v>1</v>
      </c>
      <c r="F4166" s="2">
        <v>3</v>
      </c>
      <c r="G4166" s="4">
        <v>3</v>
      </c>
      <c r="H4166" s="13">
        <v>2</v>
      </c>
      <c r="I4166" s="34">
        <v>2</v>
      </c>
      <c r="J4166" s="35">
        <v>2</v>
      </c>
      <c r="K4166" s="2" t="s">
        <v>8342</v>
      </c>
      <c r="L4166" s="36" t="str">
        <f t="shared" si="70"/>
        <v>Ver Imagen</v>
      </c>
      <c r="M4166" t="s">
        <v>8005</v>
      </c>
    </row>
    <row r="4167" spans="1:13" x14ac:dyDescent="0.25">
      <c r="A4167" s="33">
        <v>4166</v>
      </c>
      <c r="B4167" t="s">
        <v>8343</v>
      </c>
      <c r="C4167" s="1">
        <v>37.455417689199997</v>
      </c>
      <c r="D4167" s="1">
        <v>-7.1660862948900004</v>
      </c>
      <c r="E4167" s="3">
        <v>1</v>
      </c>
      <c r="F4167" s="2">
        <v>3</v>
      </c>
      <c r="G4167" s="4">
        <v>3</v>
      </c>
      <c r="H4167" s="13">
        <v>3</v>
      </c>
      <c r="I4167" s="34">
        <v>2</v>
      </c>
      <c r="J4167" s="37">
        <v>2</v>
      </c>
      <c r="K4167" s="2" t="s">
        <v>8344</v>
      </c>
      <c r="L4167" s="36" t="str">
        <f t="shared" si="70"/>
        <v>Ver Imagen</v>
      </c>
      <c r="M4167" s="37" t="s">
        <v>8052</v>
      </c>
    </row>
    <row r="4168" spans="1:13" x14ac:dyDescent="0.25">
      <c r="A4168" s="33">
        <v>4167</v>
      </c>
      <c r="B4168" t="s">
        <v>8345</v>
      </c>
      <c r="C4168" s="1">
        <v>37.457554610400003</v>
      </c>
      <c r="D4168" s="1">
        <v>-7.1687186473900004</v>
      </c>
      <c r="E4168" s="3">
        <v>2</v>
      </c>
      <c r="F4168" s="2">
        <v>1</v>
      </c>
      <c r="G4168" s="4">
        <v>3</v>
      </c>
      <c r="H4168" s="13">
        <v>3</v>
      </c>
      <c r="I4168" s="34">
        <v>2</v>
      </c>
      <c r="J4168" s="35">
        <v>2</v>
      </c>
      <c r="K4168" s="2" t="s">
        <v>8346</v>
      </c>
      <c r="L4168" s="36" t="str">
        <f t="shared" si="70"/>
        <v>Ver Imagen</v>
      </c>
      <c r="M4168" t="s">
        <v>8005</v>
      </c>
    </row>
    <row r="4169" spans="1:13" x14ac:dyDescent="0.25">
      <c r="A4169" s="33">
        <v>4168</v>
      </c>
      <c r="B4169" t="s">
        <v>8347</v>
      </c>
      <c r="C4169" s="1">
        <v>37.457999747999999</v>
      </c>
      <c r="D4169" s="1">
        <v>-7.1692652689600003</v>
      </c>
      <c r="E4169" s="3">
        <v>2</v>
      </c>
      <c r="F4169" s="2">
        <v>4</v>
      </c>
      <c r="G4169" s="4">
        <v>3</v>
      </c>
      <c r="H4169" s="13">
        <v>3</v>
      </c>
      <c r="I4169" s="34">
        <v>2</v>
      </c>
      <c r="J4169" s="35">
        <v>3</v>
      </c>
      <c r="K4169" s="2" t="s">
        <v>8348</v>
      </c>
      <c r="L4169" s="36" t="str">
        <f t="shared" si="70"/>
        <v>Ver Imagen</v>
      </c>
      <c r="M4169" t="s">
        <v>8005</v>
      </c>
    </row>
    <row r="4170" spans="1:13" x14ac:dyDescent="0.25">
      <c r="A4170" s="33">
        <v>4169</v>
      </c>
      <c r="B4170" t="s">
        <v>8349</v>
      </c>
      <c r="C4170" s="1">
        <v>37.460217577800002</v>
      </c>
      <c r="D4170" s="1">
        <v>-7.1721958272300004</v>
      </c>
      <c r="E4170" s="3">
        <v>1</v>
      </c>
      <c r="F4170" s="2">
        <v>2</v>
      </c>
      <c r="G4170" s="4">
        <v>3</v>
      </c>
      <c r="H4170" s="13">
        <v>2</v>
      </c>
      <c r="I4170" s="34">
        <v>2</v>
      </c>
      <c r="J4170" s="35">
        <v>2</v>
      </c>
      <c r="K4170" s="2" t="s">
        <v>8350</v>
      </c>
      <c r="L4170" s="36" t="str">
        <f t="shared" si="70"/>
        <v>Ver Imagen</v>
      </c>
      <c r="M4170" t="s">
        <v>8005</v>
      </c>
    </row>
    <row r="4171" spans="1:13" x14ac:dyDescent="0.25">
      <c r="A4171" s="33">
        <v>4170</v>
      </c>
      <c r="B4171" t="s">
        <v>8351</v>
      </c>
      <c r="C4171" s="1">
        <v>37.4608440027</v>
      </c>
      <c r="D4171" s="1">
        <v>-7.1732233225600002</v>
      </c>
      <c r="E4171" s="3">
        <v>1</v>
      </c>
      <c r="F4171" s="2">
        <v>3</v>
      </c>
      <c r="G4171" s="4">
        <v>3</v>
      </c>
      <c r="H4171" s="13">
        <v>2</v>
      </c>
      <c r="I4171" s="34">
        <v>2</v>
      </c>
      <c r="J4171" s="35">
        <v>2</v>
      </c>
      <c r="K4171" s="2" t="s">
        <v>8352</v>
      </c>
      <c r="L4171" s="36" t="str">
        <f t="shared" si="70"/>
        <v>Ver Imagen</v>
      </c>
      <c r="M4171" t="s">
        <v>8005</v>
      </c>
    </row>
    <row r="4172" spans="1:13" x14ac:dyDescent="0.25">
      <c r="A4172" s="33">
        <v>4171</v>
      </c>
      <c r="B4172" t="s">
        <v>8353</v>
      </c>
      <c r="C4172" s="1">
        <v>37.464105237699997</v>
      </c>
      <c r="D4172" s="1">
        <v>-7.1787134250099998</v>
      </c>
      <c r="E4172" s="3">
        <v>2</v>
      </c>
      <c r="F4172" s="2">
        <v>4</v>
      </c>
      <c r="G4172" s="4">
        <v>3</v>
      </c>
      <c r="H4172" s="13">
        <v>3</v>
      </c>
      <c r="I4172" s="34">
        <v>3</v>
      </c>
      <c r="J4172" s="35">
        <v>3</v>
      </c>
      <c r="K4172" s="2" t="s">
        <v>8354</v>
      </c>
      <c r="L4172" s="36" t="str">
        <f t="shared" si="70"/>
        <v>Ver Imagen</v>
      </c>
      <c r="M4172" t="s">
        <v>8005</v>
      </c>
    </row>
    <row r="4173" spans="1:13" x14ac:dyDescent="0.25">
      <c r="A4173" s="33">
        <v>4172</v>
      </c>
      <c r="B4173" t="s">
        <v>8355</v>
      </c>
      <c r="C4173" s="1">
        <v>37.467297438099997</v>
      </c>
      <c r="D4173" s="1">
        <v>-7.1846628726499997</v>
      </c>
      <c r="E4173" s="3">
        <v>1</v>
      </c>
      <c r="F4173" s="2">
        <v>2</v>
      </c>
      <c r="G4173" s="4">
        <v>3</v>
      </c>
      <c r="H4173" s="13">
        <v>2</v>
      </c>
      <c r="I4173" s="34">
        <v>1</v>
      </c>
      <c r="J4173" s="35">
        <v>2</v>
      </c>
      <c r="K4173" s="2" t="s">
        <v>8356</v>
      </c>
      <c r="L4173" s="36" t="str">
        <f t="shared" si="70"/>
        <v>Ver Imagen</v>
      </c>
      <c r="M4173" t="s">
        <v>8005</v>
      </c>
    </row>
    <row r="4174" spans="1:13" x14ac:dyDescent="0.25">
      <c r="A4174" s="33">
        <v>4173</v>
      </c>
      <c r="B4174" t="s">
        <v>8357</v>
      </c>
      <c r="C4174" s="1">
        <v>37.449703218000003</v>
      </c>
      <c r="D4174" s="1">
        <v>-7.15177574362</v>
      </c>
      <c r="E4174" s="3">
        <v>3</v>
      </c>
      <c r="F4174" s="2">
        <v>3</v>
      </c>
      <c r="G4174" s="4">
        <v>5</v>
      </c>
      <c r="H4174" s="13">
        <v>3</v>
      </c>
      <c r="I4174" s="34">
        <v>3</v>
      </c>
      <c r="J4174" s="35">
        <v>3</v>
      </c>
      <c r="K4174" s="2" t="s">
        <v>8358</v>
      </c>
      <c r="L4174" s="36" t="str">
        <f t="shared" si="70"/>
        <v>Ver Imagen</v>
      </c>
      <c r="M4174" t="s">
        <v>8005</v>
      </c>
    </row>
    <row r="4175" spans="1:13" x14ac:dyDescent="0.25">
      <c r="A4175" s="33">
        <v>4174</v>
      </c>
      <c r="B4175" t="s">
        <v>8359</v>
      </c>
      <c r="C4175" s="1">
        <v>37.476502255100002</v>
      </c>
      <c r="D4175" s="1">
        <v>-7.2022304877299996</v>
      </c>
      <c r="E4175" s="3">
        <v>1</v>
      </c>
      <c r="F4175" s="2">
        <v>3</v>
      </c>
      <c r="G4175" s="4">
        <v>3</v>
      </c>
      <c r="H4175" s="13">
        <v>2</v>
      </c>
      <c r="I4175" s="34">
        <v>1</v>
      </c>
      <c r="J4175" s="35">
        <v>2</v>
      </c>
      <c r="K4175" s="2" t="s">
        <v>8360</v>
      </c>
      <c r="L4175" s="36" t="str">
        <f t="shared" si="70"/>
        <v>Ver Imagen</v>
      </c>
      <c r="M4175" t="s">
        <v>8005</v>
      </c>
    </row>
    <row r="4176" spans="1:13" x14ac:dyDescent="0.25">
      <c r="A4176" s="33">
        <v>4175</v>
      </c>
      <c r="B4176" t="s">
        <v>8361</v>
      </c>
      <c r="C4176" s="1">
        <v>37.477393377200002</v>
      </c>
      <c r="D4176" s="1">
        <v>-7.2043045965500001</v>
      </c>
      <c r="E4176" s="3">
        <v>1</v>
      </c>
      <c r="F4176" s="2">
        <v>2</v>
      </c>
      <c r="G4176" s="4">
        <v>3</v>
      </c>
      <c r="H4176" s="13">
        <v>2</v>
      </c>
      <c r="I4176" s="34">
        <v>1</v>
      </c>
      <c r="J4176" s="35">
        <v>2</v>
      </c>
      <c r="K4176" s="2" t="s">
        <v>8362</v>
      </c>
      <c r="L4176" s="36" t="str">
        <f t="shared" si="70"/>
        <v>Ver Imagen</v>
      </c>
      <c r="M4176" t="s">
        <v>8005</v>
      </c>
    </row>
    <row r="4177" spans="1:13" x14ac:dyDescent="0.25">
      <c r="A4177" s="33">
        <v>4176</v>
      </c>
      <c r="B4177" t="s">
        <v>8363</v>
      </c>
      <c r="C4177" s="1">
        <v>37.477469239900003</v>
      </c>
      <c r="D4177" s="1">
        <v>-7.2044783166100004</v>
      </c>
      <c r="E4177" s="3">
        <v>1</v>
      </c>
      <c r="F4177" s="2">
        <v>3</v>
      </c>
      <c r="G4177" s="4">
        <v>3</v>
      </c>
      <c r="H4177" s="13">
        <v>2</v>
      </c>
      <c r="I4177" s="34">
        <v>2</v>
      </c>
      <c r="J4177" s="35">
        <v>2</v>
      </c>
      <c r="K4177" s="2" t="s">
        <v>8364</v>
      </c>
      <c r="L4177" s="36" t="str">
        <f t="shared" si="70"/>
        <v>Ver Imagen</v>
      </c>
      <c r="M4177" t="s">
        <v>8005</v>
      </c>
    </row>
    <row r="4178" spans="1:13" x14ac:dyDescent="0.25">
      <c r="A4178" s="33">
        <v>4177</v>
      </c>
      <c r="B4178" t="s">
        <v>8365</v>
      </c>
      <c r="C4178" s="1">
        <v>37.4775653863</v>
      </c>
      <c r="D4178" s="1">
        <v>-7.2046976315400002</v>
      </c>
      <c r="E4178" s="3">
        <v>1</v>
      </c>
      <c r="F4178" s="2">
        <v>3</v>
      </c>
      <c r="G4178" s="4">
        <v>3</v>
      </c>
      <c r="H4178" s="13">
        <v>2</v>
      </c>
      <c r="I4178" s="34">
        <v>1</v>
      </c>
      <c r="J4178" s="35">
        <v>2</v>
      </c>
      <c r="K4178" s="2" t="s">
        <v>8366</v>
      </c>
      <c r="L4178" s="36" t="str">
        <f t="shared" si="70"/>
        <v>Ver Imagen</v>
      </c>
      <c r="M4178" t="s">
        <v>8005</v>
      </c>
    </row>
    <row r="4179" spans="1:13" x14ac:dyDescent="0.25">
      <c r="A4179" s="33">
        <v>4178</v>
      </c>
      <c r="B4179" t="s">
        <v>8367</v>
      </c>
      <c r="C4179" s="1">
        <v>37.478329623299999</v>
      </c>
      <c r="D4179" s="1">
        <v>-7.2064745667299999</v>
      </c>
      <c r="E4179" s="3">
        <v>1</v>
      </c>
      <c r="F4179" s="2">
        <v>3</v>
      </c>
      <c r="G4179" s="4">
        <v>3</v>
      </c>
      <c r="H4179" s="13">
        <v>2</v>
      </c>
      <c r="I4179" s="34">
        <v>2</v>
      </c>
      <c r="J4179" s="35">
        <v>2</v>
      </c>
      <c r="K4179" s="2" t="s">
        <v>8368</v>
      </c>
      <c r="L4179" s="36" t="str">
        <f t="shared" si="70"/>
        <v>Ver Imagen</v>
      </c>
      <c r="M4179" t="s">
        <v>8005</v>
      </c>
    </row>
    <row r="4180" spans="1:13" x14ac:dyDescent="0.25">
      <c r="A4180" s="33">
        <v>4179</v>
      </c>
      <c r="B4180" t="s">
        <v>8369</v>
      </c>
      <c r="C4180" s="1">
        <v>37.4790074386</v>
      </c>
      <c r="D4180" s="1">
        <v>-7.2080444133099997</v>
      </c>
      <c r="E4180" s="3">
        <v>1</v>
      </c>
      <c r="F4180" s="2">
        <v>3</v>
      </c>
      <c r="G4180" s="4">
        <v>3</v>
      </c>
      <c r="H4180" s="13">
        <v>2</v>
      </c>
      <c r="I4180" s="34">
        <v>2</v>
      </c>
      <c r="J4180" s="35">
        <v>2</v>
      </c>
      <c r="K4180" s="2" t="s">
        <v>8370</v>
      </c>
      <c r="L4180" s="36" t="str">
        <f t="shared" si="70"/>
        <v>Ver Imagen</v>
      </c>
      <c r="M4180" t="s">
        <v>8005</v>
      </c>
    </row>
    <row r="4181" spans="1:13" x14ac:dyDescent="0.25">
      <c r="A4181" s="33">
        <v>4180</v>
      </c>
      <c r="B4181" t="s">
        <v>8371</v>
      </c>
      <c r="C4181" s="1">
        <v>37.479296839600003</v>
      </c>
      <c r="D4181" s="1">
        <v>-7.20875237993</v>
      </c>
      <c r="E4181" s="3">
        <v>1</v>
      </c>
      <c r="F4181" s="2">
        <v>3</v>
      </c>
      <c r="G4181" s="4">
        <v>3</v>
      </c>
      <c r="H4181" s="13">
        <v>2</v>
      </c>
      <c r="I4181" s="34">
        <v>2</v>
      </c>
      <c r="J4181" s="35">
        <v>2</v>
      </c>
      <c r="K4181" s="2" t="s">
        <v>8372</v>
      </c>
      <c r="L4181" s="36" t="str">
        <f t="shared" si="70"/>
        <v>Ver Imagen</v>
      </c>
      <c r="M4181" t="s">
        <v>8005</v>
      </c>
    </row>
    <row r="4182" spans="1:13" x14ac:dyDescent="0.25">
      <c r="A4182" s="33">
        <v>4181</v>
      </c>
      <c r="B4182" t="s">
        <v>8373</v>
      </c>
      <c r="C4182" s="1">
        <v>37.481139063400001</v>
      </c>
      <c r="D4182" s="1">
        <v>-7.2132299237600002</v>
      </c>
      <c r="E4182" s="3">
        <v>1</v>
      </c>
      <c r="F4182" s="2">
        <v>3</v>
      </c>
      <c r="G4182" s="4">
        <v>3</v>
      </c>
      <c r="H4182" s="13">
        <v>1</v>
      </c>
      <c r="I4182" s="34">
        <v>2</v>
      </c>
      <c r="J4182" s="35">
        <v>2</v>
      </c>
      <c r="K4182" s="2" t="s">
        <v>8374</v>
      </c>
      <c r="L4182" s="36" t="str">
        <f t="shared" si="70"/>
        <v>Ver Imagen</v>
      </c>
      <c r="M4182" t="s">
        <v>8005</v>
      </c>
    </row>
    <row r="4183" spans="1:13" x14ac:dyDescent="0.25">
      <c r="A4183" s="33">
        <v>4182</v>
      </c>
      <c r="B4183" t="s">
        <v>8375</v>
      </c>
      <c r="C4183" s="1">
        <v>37.481295563400003</v>
      </c>
      <c r="D4183" s="1">
        <v>-7.2136601086500001</v>
      </c>
      <c r="E4183" s="3">
        <v>1</v>
      </c>
      <c r="F4183" s="2">
        <v>2</v>
      </c>
      <c r="G4183" s="4">
        <v>3</v>
      </c>
      <c r="H4183" s="13">
        <v>2</v>
      </c>
      <c r="I4183" s="34">
        <v>2</v>
      </c>
      <c r="J4183" s="35">
        <v>2</v>
      </c>
      <c r="K4183" s="2" t="s">
        <v>8376</v>
      </c>
      <c r="L4183" s="36" t="str">
        <f t="shared" si="70"/>
        <v>Ver Imagen</v>
      </c>
      <c r="M4183" t="s">
        <v>8005</v>
      </c>
    </row>
    <row r="4184" spans="1:13" x14ac:dyDescent="0.25">
      <c r="A4184" s="33">
        <v>4183</v>
      </c>
      <c r="B4184" t="s">
        <v>8377</v>
      </c>
      <c r="C4184" s="1">
        <v>37.4814856757</v>
      </c>
      <c r="D4184" s="1">
        <v>-7.2141733538799997</v>
      </c>
      <c r="E4184" s="3">
        <v>1</v>
      </c>
      <c r="F4184" s="2">
        <v>3</v>
      </c>
      <c r="G4184" s="4">
        <v>3</v>
      </c>
      <c r="H4184" s="13">
        <v>2</v>
      </c>
      <c r="I4184" s="34">
        <v>2</v>
      </c>
      <c r="J4184" s="35">
        <v>2</v>
      </c>
      <c r="K4184" s="2" t="s">
        <v>8378</v>
      </c>
      <c r="L4184" s="36" t="str">
        <f t="shared" si="70"/>
        <v>Ver Imagen</v>
      </c>
      <c r="M4184" t="s">
        <v>8005</v>
      </c>
    </row>
    <row r="4185" spans="1:13" x14ac:dyDescent="0.25">
      <c r="A4185" s="33">
        <v>4184</v>
      </c>
      <c r="B4185" t="s">
        <v>8379</v>
      </c>
      <c r="C4185" s="1">
        <v>37.4823637115</v>
      </c>
      <c r="D4185" s="1">
        <v>-7.2169523132000002</v>
      </c>
      <c r="E4185" s="3">
        <v>1</v>
      </c>
      <c r="F4185" s="2">
        <v>2</v>
      </c>
      <c r="G4185" s="4">
        <v>3</v>
      </c>
      <c r="H4185" s="13">
        <v>1</v>
      </c>
      <c r="I4185" s="34">
        <v>2</v>
      </c>
      <c r="J4185" s="35">
        <v>2</v>
      </c>
      <c r="K4185" s="2" t="s">
        <v>8380</v>
      </c>
      <c r="L4185" s="36" t="str">
        <f t="shared" si="70"/>
        <v>Ver Imagen</v>
      </c>
      <c r="M4185" t="s">
        <v>8005</v>
      </c>
    </row>
    <row r="4186" spans="1:13" x14ac:dyDescent="0.25">
      <c r="A4186" s="33">
        <v>4185</v>
      </c>
      <c r="B4186" t="s">
        <v>8381</v>
      </c>
      <c r="C4186" s="1">
        <v>37.482463265600003</v>
      </c>
      <c r="D4186" s="1">
        <v>-7.2174480144600004</v>
      </c>
      <c r="E4186" s="3">
        <v>1</v>
      </c>
      <c r="F4186" s="2">
        <v>2</v>
      </c>
      <c r="G4186" s="4">
        <v>3</v>
      </c>
      <c r="H4186" s="13">
        <v>1</v>
      </c>
      <c r="I4186" s="34">
        <v>1</v>
      </c>
      <c r="J4186" s="35">
        <v>1</v>
      </c>
      <c r="K4186" s="2" t="s">
        <v>8382</v>
      </c>
      <c r="L4186" s="36" t="str">
        <f t="shared" si="70"/>
        <v>Ver Imagen</v>
      </c>
      <c r="M4186" t="s">
        <v>8005</v>
      </c>
    </row>
    <row r="4187" spans="1:13" x14ac:dyDescent="0.25">
      <c r="A4187" s="33">
        <v>4186</v>
      </c>
      <c r="B4187" t="s">
        <v>8383</v>
      </c>
      <c r="C4187" s="1">
        <v>37.483158641700001</v>
      </c>
      <c r="D4187" s="1">
        <v>-7.2209799865199997</v>
      </c>
      <c r="E4187" s="3">
        <v>1</v>
      </c>
      <c r="F4187" s="2">
        <v>2</v>
      </c>
      <c r="G4187" s="4">
        <v>3</v>
      </c>
      <c r="H4187" s="13">
        <v>2</v>
      </c>
      <c r="I4187" s="34">
        <v>2</v>
      </c>
      <c r="J4187" s="35">
        <v>2</v>
      </c>
      <c r="K4187" s="2" t="s">
        <v>8384</v>
      </c>
      <c r="L4187" s="36" t="str">
        <f t="shared" si="70"/>
        <v>Ver Imagen</v>
      </c>
      <c r="M4187" t="s">
        <v>8005</v>
      </c>
    </row>
    <row r="4188" spans="1:13" x14ac:dyDescent="0.25">
      <c r="A4188" s="33">
        <v>4187</v>
      </c>
      <c r="B4188" t="s">
        <v>8385</v>
      </c>
      <c r="C4188" s="1">
        <v>37.487261899700002</v>
      </c>
      <c r="D4188" s="1">
        <v>-7.2434499822599996</v>
      </c>
      <c r="E4188" s="3">
        <v>1</v>
      </c>
      <c r="F4188" s="2">
        <v>3</v>
      </c>
      <c r="G4188" s="4">
        <v>3</v>
      </c>
      <c r="H4188" s="13">
        <v>3</v>
      </c>
      <c r="I4188" s="34">
        <v>3</v>
      </c>
      <c r="J4188" s="35">
        <v>3</v>
      </c>
      <c r="K4188" s="2" t="s">
        <v>8386</v>
      </c>
      <c r="L4188" s="36" t="str">
        <f t="shared" si="70"/>
        <v>Ver Imagen</v>
      </c>
      <c r="M4188" t="s">
        <v>8005</v>
      </c>
    </row>
    <row r="4189" spans="1:13" x14ac:dyDescent="0.25">
      <c r="A4189" s="33">
        <v>4188</v>
      </c>
      <c r="B4189" t="s">
        <v>8387</v>
      </c>
      <c r="C4189" s="1">
        <v>37.487412025200001</v>
      </c>
      <c r="D4189" s="1">
        <v>-7.2439129931300004</v>
      </c>
      <c r="E4189" s="3">
        <v>1</v>
      </c>
      <c r="F4189" s="2">
        <v>3</v>
      </c>
      <c r="G4189" s="4">
        <v>3</v>
      </c>
      <c r="H4189" s="13">
        <v>3</v>
      </c>
      <c r="I4189" s="34">
        <v>2</v>
      </c>
      <c r="J4189" s="35">
        <v>3</v>
      </c>
      <c r="K4189" s="2" t="s">
        <v>8388</v>
      </c>
      <c r="L4189" s="36" t="str">
        <f t="shared" si="70"/>
        <v>Ver Imagen</v>
      </c>
      <c r="M4189" t="s">
        <v>8005</v>
      </c>
    </row>
    <row r="4190" spans="1:13" x14ac:dyDescent="0.25">
      <c r="A4190" s="33">
        <v>4189</v>
      </c>
      <c r="B4190" t="s">
        <v>8389</v>
      </c>
      <c r="C4190" s="1">
        <v>37.4904093253</v>
      </c>
      <c r="D4190" s="1">
        <v>-7.2492653521200001</v>
      </c>
      <c r="E4190" s="3">
        <v>1</v>
      </c>
      <c r="F4190" s="2">
        <v>2</v>
      </c>
      <c r="G4190" s="4">
        <v>3</v>
      </c>
      <c r="H4190" s="13">
        <v>2</v>
      </c>
      <c r="I4190" s="34">
        <v>2</v>
      </c>
      <c r="J4190" s="35">
        <v>2</v>
      </c>
      <c r="K4190" s="2" t="s">
        <v>8390</v>
      </c>
      <c r="L4190" s="36" t="str">
        <f t="shared" ref="L4190:L4253" si="71">HYPERLINK("NoConsenso\" &amp; K4190, "Ver Imagen")</f>
        <v>Ver Imagen</v>
      </c>
      <c r="M4190" t="s">
        <v>8005</v>
      </c>
    </row>
    <row r="4191" spans="1:13" x14ac:dyDescent="0.25">
      <c r="A4191" s="33">
        <v>4190</v>
      </c>
      <c r="B4191" t="s">
        <v>8391</v>
      </c>
      <c r="C4191" s="1">
        <v>37.490719107300002</v>
      </c>
      <c r="D4191" s="1">
        <v>-7.2501749411</v>
      </c>
      <c r="E4191" s="3">
        <v>1</v>
      </c>
      <c r="F4191" s="2">
        <v>3</v>
      </c>
      <c r="G4191" s="4">
        <v>3</v>
      </c>
      <c r="H4191" s="13">
        <v>2</v>
      </c>
      <c r="I4191" s="34">
        <v>2</v>
      </c>
      <c r="J4191" s="35">
        <v>2</v>
      </c>
      <c r="K4191" s="2" t="s">
        <v>8392</v>
      </c>
      <c r="L4191" s="36" t="str">
        <f t="shared" si="71"/>
        <v>Ver Imagen</v>
      </c>
      <c r="M4191" t="s">
        <v>8005</v>
      </c>
    </row>
    <row r="4192" spans="1:13" x14ac:dyDescent="0.25">
      <c r="A4192" s="33">
        <v>4191</v>
      </c>
      <c r="B4192" t="s">
        <v>8393</v>
      </c>
      <c r="C4192" s="1">
        <v>37.490726564299997</v>
      </c>
      <c r="D4192" s="1">
        <v>-7.2503986872999997</v>
      </c>
      <c r="E4192" s="3">
        <v>1</v>
      </c>
      <c r="F4192" s="2">
        <v>3</v>
      </c>
      <c r="G4192" s="4">
        <v>3</v>
      </c>
      <c r="H4192" s="13">
        <v>2</v>
      </c>
      <c r="I4192" s="34">
        <v>2</v>
      </c>
      <c r="J4192" s="35">
        <v>2</v>
      </c>
      <c r="K4192" s="2" t="s">
        <v>8394</v>
      </c>
      <c r="L4192" s="36" t="str">
        <f t="shared" si="71"/>
        <v>Ver Imagen</v>
      </c>
      <c r="M4192" t="s">
        <v>8005</v>
      </c>
    </row>
    <row r="4193" spans="1:13" x14ac:dyDescent="0.25">
      <c r="A4193" s="33">
        <v>4192</v>
      </c>
      <c r="B4193" t="s">
        <v>8395</v>
      </c>
      <c r="C4193" s="1">
        <v>37.490723828999997</v>
      </c>
      <c r="D4193" s="1">
        <v>-7.2507021013599999</v>
      </c>
      <c r="E4193" s="3">
        <v>1</v>
      </c>
      <c r="F4193" s="2">
        <v>3</v>
      </c>
      <c r="G4193" s="4">
        <v>3</v>
      </c>
      <c r="H4193" s="13">
        <v>3</v>
      </c>
      <c r="I4193" s="34">
        <v>2</v>
      </c>
      <c r="J4193" s="35">
        <v>3</v>
      </c>
      <c r="K4193" s="2" t="s">
        <v>8396</v>
      </c>
      <c r="L4193" s="36" t="str">
        <f t="shared" si="71"/>
        <v>Ver Imagen</v>
      </c>
      <c r="M4193" t="s">
        <v>8005</v>
      </c>
    </row>
    <row r="4194" spans="1:13" x14ac:dyDescent="0.25">
      <c r="A4194" s="33">
        <v>4193</v>
      </c>
      <c r="B4194" t="s">
        <v>8397</v>
      </c>
      <c r="C4194" s="1">
        <v>37.490263426299997</v>
      </c>
      <c r="D4194" s="1">
        <v>-7.2596637400899997</v>
      </c>
      <c r="E4194" s="3">
        <v>1</v>
      </c>
      <c r="F4194" s="2">
        <v>3</v>
      </c>
      <c r="G4194" s="4">
        <v>3</v>
      </c>
      <c r="H4194" s="13">
        <v>2</v>
      </c>
      <c r="I4194" s="34">
        <v>2</v>
      </c>
      <c r="J4194" s="35">
        <v>2</v>
      </c>
      <c r="K4194" s="2" t="s">
        <v>8398</v>
      </c>
      <c r="L4194" s="36" t="str">
        <f t="shared" si="71"/>
        <v>Ver Imagen</v>
      </c>
      <c r="M4194" t="s">
        <v>8005</v>
      </c>
    </row>
    <row r="4195" spans="1:13" x14ac:dyDescent="0.25">
      <c r="A4195" s="33">
        <v>4194</v>
      </c>
      <c r="B4195" t="s">
        <v>8399</v>
      </c>
      <c r="C4195" s="1">
        <v>37.491335297699997</v>
      </c>
      <c r="D4195" s="1">
        <v>-7.2608511551800001</v>
      </c>
      <c r="E4195" s="3">
        <v>1</v>
      </c>
      <c r="F4195" s="2">
        <v>3</v>
      </c>
      <c r="G4195" s="4">
        <v>3</v>
      </c>
      <c r="H4195" s="13">
        <v>3</v>
      </c>
      <c r="I4195" s="34">
        <v>2</v>
      </c>
      <c r="J4195" s="35">
        <v>3</v>
      </c>
      <c r="K4195" s="2" t="s">
        <v>8400</v>
      </c>
      <c r="L4195" s="36" t="str">
        <f t="shared" si="71"/>
        <v>Ver Imagen</v>
      </c>
      <c r="M4195" t="s">
        <v>8005</v>
      </c>
    </row>
    <row r="4196" spans="1:13" x14ac:dyDescent="0.25">
      <c r="A4196" s="33">
        <v>4195</v>
      </c>
      <c r="B4196" t="s">
        <v>8401</v>
      </c>
      <c r="C4196" s="1">
        <v>37.492282145499999</v>
      </c>
      <c r="D4196" s="1">
        <v>-7.2617836419100001</v>
      </c>
      <c r="E4196" s="3">
        <v>1</v>
      </c>
      <c r="F4196" s="2">
        <v>2</v>
      </c>
      <c r="G4196" s="4">
        <v>3</v>
      </c>
      <c r="H4196" s="13">
        <v>2</v>
      </c>
      <c r="I4196" s="34">
        <v>2</v>
      </c>
      <c r="J4196" s="35">
        <v>2</v>
      </c>
      <c r="K4196" s="2" t="s">
        <v>8402</v>
      </c>
      <c r="L4196" s="36" t="str">
        <f t="shared" si="71"/>
        <v>Ver Imagen</v>
      </c>
      <c r="M4196" t="s">
        <v>8005</v>
      </c>
    </row>
    <row r="4197" spans="1:13" x14ac:dyDescent="0.25">
      <c r="A4197" s="33">
        <v>4196</v>
      </c>
      <c r="B4197" t="s">
        <v>8403</v>
      </c>
      <c r="C4197" s="1">
        <v>37.492418312200002</v>
      </c>
      <c r="D4197" s="1">
        <v>-7.2619318317100001</v>
      </c>
      <c r="E4197" s="3">
        <v>1</v>
      </c>
      <c r="F4197" s="2">
        <v>2</v>
      </c>
      <c r="G4197" s="4">
        <v>3</v>
      </c>
      <c r="H4197" s="13">
        <v>2</v>
      </c>
      <c r="I4197" s="34">
        <v>2</v>
      </c>
      <c r="J4197" s="35">
        <v>2</v>
      </c>
      <c r="K4197" s="2" t="s">
        <v>8404</v>
      </c>
      <c r="L4197" s="36" t="str">
        <f t="shared" si="71"/>
        <v>Ver Imagen</v>
      </c>
      <c r="M4197" t="s">
        <v>8005</v>
      </c>
    </row>
    <row r="4198" spans="1:13" x14ac:dyDescent="0.25">
      <c r="A4198" s="33">
        <v>4197</v>
      </c>
      <c r="B4198" t="s">
        <v>8405</v>
      </c>
      <c r="C4198" s="1">
        <v>37.493679226399998</v>
      </c>
      <c r="D4198" s="1">
        <v>-7.2648325652799999</v>
      </c>
      <c r="E4198" s="3">
        <v>1</v>
      </c>
      <c r="F4198" s="2">
        <v>3</v>
      </c>
      <c r="G4198" s="4">
        <v>3</v>
      </c>
      <c r="H4198" s="13">
        <v>3</v>
      </c>
      <c r="I4198" s="34">
        <v>2</v>
      </c>
      <c r="J4198" s="35">
        <v>3</v>
      </c>
      <c r="K4198" s="2" t="s">
        <v>8406</v>
      </c>
      <c r="L4198" s="36" t="str">
        <f t="shared" si="71"/>
        <v>Ver Imagen</v>
      </c>
      <c r="M4198" t="s">
        <v>8005</v>
      </c>
    </row>
    <row r="4199" spans="1:13" x14ac:dyDescent="0.25">
      <c r="A4199" s="33">
        <v>4198</v>
      </c>
      <c r="B4199" t="s">
        <v>8407</v>
      </c>
      <c r="C4199" s="1">
        <v>37.493790938399997</v>
      </c>
      <c r="D4199" s="1">
        <v>-7.2650494271700001</v>
      </c>
      <c r="E4199" s="3">
        <v>1</v>
      </c>
      <c r="F4199" s="2">
        <v>3</v>
      </c>
      <c r="G4199" s="4">
        <v>3</v>
      </c>
      <c r="H4199" s="13">
        <v>3</v>
      </c>
      <c r="I4199" s="34">
        <v>3</v>
      </c>
      <c r="J4199" s="35">
        <v>3</v>
      </c>
      <c r="K4199" s="2" t="s">
        <v>8408</v>
      </c>
      <c r="L4199" s="36" t="str">
        <f t="shared" si="71"/>
        <v>Ver Imagen</v>
      </c>
      <c r="M4199" t="s">
        <v>8005</v>
      </c>
    </row>
    <row r="4200" spans="1:13" x14ac:dyDescent="0.25">
      <c r="A4200" s="33">
        <v>4199</v>
      </c>
      <c r="B4200" t="s">
        <v>8409</v>
      </c>
      <c r="C4200" s="1">
        <v>37.494166233599998</v>
      </c>
      <c r="D4200" s="1">
        <v>-7.26564329185</v>
      </c>
      <c r="E4200" s="3">
        <v>1</v>
      </c>
      <c r="F4200" s="2">
        <v>3</v>
      </c>
      <c r="G4200" s="4">
        <v>3</v>
      </c>
      <c r="H4200" s="13">
        <v>3</v>
      </c>
      <c r="I4200" s="34">
        <v>2</v>
      </c>
      <c r="J4200" s="35">
        <v>3</v>
      </c>
      <c r="K4200" s="2" t="s">
        <v>8410</v>
      </c>
      <c r="L4200" s="36" t="str">
        <f t="shared" si="71"/>
        <v>Ver Imagen</v>
      </c>
      <c r="M4200" t="s">
        <v>8005</v>
      </c>
    </row>
    <row r="4201" spans="1:13" x14ac:dyDescent="0.25">
      <c r="A4201" s="33">
        <v>4200</v>
      </c>
      <c r="B4201" t="s">
        <v>8411</v>
      </c>
      <c r="C4201" s="1">
        <v>37.494553755200002</v>
      </c>
      <c r="D4201" s="1">
        <v>-7.2662345513000002</v>
      </c>
      <c r="E4201" s="3">
        <v>1</v>
      </c>
      <c r="F4201" s="2">
        <v>3</v>
      </c>
      <c r="G4201" s="4">
        <v>3</v>
      </c>
      <c r="H4201" s="13">
        <v>3</v>
      </c>
      <c r="I4201" s="34">
        <v>2</v>
      </c>
      <c r="J4201" s="35">
        <v>3</v>
      </c>
      <c r="K4201" s="2" t="s">
        <v>8412</v>
      </c>
      <c r="L4201" s="36" t="str">
        <f t="shared" si="71"/>
        <v>Ver Imagen</v>
      </c>
      <c r="M4201" t="s">
        <v>8005</v>
      </c>
    </row>
    <row r="4202" spans="1:13" x14ac:dyDescent="0.25">
      <c r="A4202" s="33">
        <v>4201</v>
      </c>
      <c r="B4202" t="s">
        <v>8413</v>
      </c>
      <c r="C4202" s="1">
        <v>37.279683186699998</v>
      </c>
      <c r="D4202" s="1">
        <v>-7.00681331947</v>
      </c>
      <c r="E4202" s="3">
        <v>1</v>
      </c>
      <c r="F4202" s="2">
        <v>3</v>
      </c>
      <c r="G4202" s="4">
        <v>3</v>
      </c>
      <c r="H4202" s="13">
        <v>2</v>
      </c>
      <c r="I4202" s="34">
        <v>2</v>
      </c>
      <c r="J4202" s="35">
        <v>2</v>
      </c>
      <c r="K4202" s="2" t="s">
        <v>8414</v>
      </c>
      <c r="L4202" s="36" t="str">
        <f t="shared" si="71"/>
        <v>Ver Imagen</v>
      </c>
      <c r="M4202" t="s">
        <v>8005</v>
      </c>
    </row>
    <row r="4203" spans="1:13" x14ac:dyDescent="0.25">
      <c r="A4203" s="33">
        <v>4202</v>
      </c>
      <c r="B4203" t="s">
        <v>8415</v>
      </c>
      <c r="C4203" s="1">
        <v>37.279596013999999</v>
      </c>
      <c r="D4203" s="1">
        <v>-7.0070372614799998</v>
      </c>
      <c r="E4203" s="3">
        <v>1</v>
      </c>
      <c r="F4203" s="2">
        <v>1</v>
      </c>
      <c r="G4203" s="4">
        <v>3</v>
      </c>
      <c r="H4203" s="13">
        <v>3</v>
      </c>
      <c r="I4203" s="34">
        <v>2</v>
      </c>
      <c r="J4203" s="35">
        <v>2</v>
      </c>
      <c r="K4203" s="2" t="s">
        <v>8416</v>
      </c>
      <c r="L4203" s="36" t="str">
        <f t="shared" si="71"/>
        <v>Ver Imagen</v>
      </c>
      <c r="M4203" t="s">
        <v>8005</v>
      </c>
    </row>
    <row r="4204" spans="1:13" x14ac:dyDescent="0.25">
      <c r="A4204" s="33">
        <v>4203</v>
      </c>
      <c r="B4204" t="s">
        <v>8417</v>
      </c>
      <c r="C4204" s="1">
        <v>37.279504054199997</v>
      </c>
      <c r="D4204" s="1">
        <v>-7.0072737415299997</v>
      </c>
      <c r="E4204" s="3">
        <v>1</v>
      </c>
      <c r="F4204" s="2">
        <v>2</v>
      </c>
      <c r="G4204" s="4">
        <v>3</v>
      </c>
      <c r="H4204" s="13">
        <v>2</v>
      </c>
      <c r="I4204" s="34">
        <v>2</v>
      </c>
      <c r="J4204" s="35">
        <v>2</v>
      </c>
      <c r="K4204" s="2" t="s">
        <v>8418</v>
      </c>
      <c r="L4204" s="36" t="str">
        <f t="shared" si="71"/>
        <v>Ver Imagen</v>
      </c>
      <c r="M4204" t="s">
        <v>8005</v>
      </c>
    </row>
    <row r="4205" spans="1:13" x14ac:dyDescent="0.25">
      <c r="A4205" s="33">
        <v>4204</v>
      </c>
      <c r="B4205" t="s">
        <v>8419</v>
      </c>
      <c r="C4205" s="1">
        <v>37.279317580600001</v>
      </c>
      <c r="D4205" s="1">
        <v>-7.0077513067500004</v>
      </c>
      <c r="E4205" s="3">
        <v>1</v>
      </c>
      <c r="F4205" s="2">
        <v>3</v>
      </c>
      <c r="G4205" s="4">
        <v>3</v>
      </c>
      <c r="H4205" s="13">
        <v>3</v>
      </c>
      <c r="I4205" s="34">
        <v>2</v>
      </c>
      <c r="J4205" s="37">
        <v>2</v>
      </c>
      <c r="K4205" s="2" t="s">
        <v>8420</v>
      </c>
      <c r="L4205" s="36" t="str">
        <f t="shared" si="71"/>
        <v>Ver Imagen</v>
      </c>
      <c r="M4205" s="37" t="s">
        <v>8052</v>
      </c>
    </row>
    <row r="4206" spans="1:13" x14ac:dyDescent="0.25">
      <c r="A4206" s="33">
        <v>4205</v>
      </c>
      <c r="B4206" t="s">
        <v>8421</v>
      </c>
      <c r="C4206" s="1">
        <v>37.279249532400001</v>
      </c>
      <c r="D4206" s="1">
        <v>-7.0079239661999999</v>
      </c>
      <c r="E4206" s="3">
        <v>1</v>
      </c>
      <c r="F4206" s="2">
        <v>2</v>
      </c>
      <c r="G4206" s="4">
        <v>3</v>
      </c>
      <c r="H4206" s="13">
        <v>2</v>
      </c>
      <c r="I4206" s="34">
        <v>2</v>
      </c>
      <c r="J4206" s="35">
        <v>2</v>
      </c>
      <c r="K4206" s="2" t="s">
        <v>8422</v>
      </c>
      <c r="L4206" s="36" t="str">
        <f t="shared" si="71"/>
        <v>Ver Imagen</v>
      </c>
      <c r="M4206" t="s">
        <v>8005</v>
      </c>
    </row>
    <row r="4207" spans="1:13" x14ac:dyDescent="0.25">
      <c r="A4207" s="33">
        <v>4206</v>
      </c>
      <c r="B4207" t="s">
        <v>8423</v>
      </c>
      <c r="C4207" s="1">
        <v>37.278407482600002</v>
      </c>
      <c r="D4207" s="1">
        <v>-7.0099616754099996</v>
      </c>
      <c r="E4207" s="3">
        <v>2</v>
      </c>
      <c r="F4207" s="2">
        <v>4</v>
      </c>
      <c r="G4207" s="4">
        <v>3</v>
      </c>
      <c r="H4207" s="13">
        <v>3</v>
      </c>
      <c r="I4207" s="34">
        <v>3</v>
      </c>
      <c r="J4207" s="35">
        <v>3</v>
      </c>
      <c r="K4207" s="2" t="s">
        <v>8424</v>
      </c>
      <c r="L4207" s="36" t="str">
        <f t="shared" si="71"/>
        <v>Ver Imagen</v>
      </c>
      <c r="M4207" t="s">
        <v>8005</v>
      </c>
    </row>
    <row r="4208" spans="1:13" x14ac:dyDescent="0.25">
      <c r="A4208" s="33">
        <v>4207</v>
      </c>
      <c r="B4208" t="s">
        <v>8425</v>
      </c>
      <c r="C4208" s="1">
        <v>37.276196582700003</v>
      </c>
      <c r="D4208" s="1">
        <v>-7.0141712611399996</v>
      </c>
      <c r="E4208" s="3">
        <v>3</v>
      </c>
      <c r="F4208" s="2">
        <v>2</v>
      </c>
      <c r="G4208" s="4">
        <v>4</v>
      </c>
      <c r="H4208" s="13">
        <v>3</v>
      </c>
      <c r="I4208" s="34">
        <v>3</v>
      </c>
      <c r="J4208" s="35">
        <v>3</v>
      </c>
      <c r="K4208" s="2" t="s">
        <v>8426</v>
      </c>
      <c r="L4208" s="36" t="str">
        <f t="shared" si="71"/>
        <v>Ver Imagen</v>
      </c>
      <c r="M4208" t="s">
        <v>8005</v>
      </c>
    </row>
    <row r="4209" spans="1:13" x14ac:dyDescent="0.25">
      <c r="A4209" s="33">
        <v>4208</v>
      </c>
      <c r="B4209" t="s">
        <v>8427</v>
      </c>
      <c r="C4209" s="1">
        <v>37.2756161601</v>
      </c>
      <c r="D4209" s="1">
        <v>-7.0156116428599997</v>
      </c>
      <c r="E4209" s="3">
        <v>3</v>
      </c>
      <c r="F4209" s="2">
        <v>2</v>
      </c>
      <c r="G4209" s="4">
        <v>4</v>
      </c>
      <c r="H4209" s="13">
        <v>2</v>
      </c>
      <c r="I4209" s="34">
        <v>3</v>
      </c>
      <c r="J4209" s="37">
        <v>2</v>
      </c>
      <c r="K4209" s="2" t="s">
        <v>8428</v>
      </c>
      <c r="L4209" s="36" t="str">
        <f t="shared" si="71"/>
        <v>Ver Imagen</v>
      </c>
      <c r="M4209" s="37" t="s">
        <v>8052</v>
      </c>
    </row>
    <row r="4210" spans="1:13" x14ac:dyDescent="0.25">
      <c r="A4210" s="33">
        <v>4209</v>
      </c>
      <c r="B4210" t="s">
        <v>8429</v>
      </c>
      <c r="C4210" s="1">
        <v>37.275818415300002</v>
      </c>
      <c r="D4210" s="1">
        <v>-7.0202587164299999</v>
      </c>
      <c r="E4210" s="3">
        <v>1</v>
      </c>
      <c r="F4210" s="2">
        <v>2</v>
      </c>
      <c r="G4210" s="4">
        <v>3</v>
      </c>
      <c r="H4210" s="13">
        <v>2</v>
      </c>
      <c r="I4210" s="34">
        <v>1</v>
      </c>
      <c r="J4210" s="35">
        <v>2</v>
      </c>
      <c r="K4210" s="2" t="s">
        <v>8430</v>
      </c>
      <c r="L4210" s="36" t="str">
        <f t="shared" si="71"/>
        <v>Ver Imagen</v>
      </c>
      <c r="M4210" t="s">
        <v>8005</v>
      </c>
    </row>
    <row r="4211" spans="1:13" x14ac:dyDescent="0.25">
      <c r="A4211" s="33">
        <v>4210</v>
      </c>
      <c r="B4211" t="s">
        <v>8431</v>
      </c>
      <c r="C4211" s="1">
        <v>37.2760512738</v>
      </c>
      <c r="D4211" s="1">
        <v>-7.0220099488900001</v>
      </c>
      <c r="E4211" s="3">
        <v>1</v>
      </c>
      <c r="F4211" s="2">
        <v>3</v>
      </c>
      <c r="G4211" s="4">
        <v>3</v>
      </c>
      <c r="H4211" s="13">
        <v>3</v>
      </c>
      <c r="I4211" s="34">
        <v>3</v>
      </c>
      <c r="J4211" s="35">
        <v>3</v>
      </c>
      <c r="K4211" s="2" t="s">
        <v>8432</v>
      </c>
      <c r="L4211" s="36" t="str">
        <f t="shared" si="71"/>
        <v>Ver Imagen</v>
      </c>
      <c r="M4211" t="s">
        <v>8005</v>
      </c>
    </row>
    <row r="4212" spans="1:13" x14ac:dyDescent="0.25">
      <c r="A4212" s="33">
        <v>4211</v>
      </c>
      <c r="B4212" t="s">
        <v>8433</v>
      </c>
      <c r="C4212" s="1">
        <v>37.276161392600002</v>
      </c>
      <c r="D4212" s="1">
        <v>-7.0227751541599996</v>
      </c>
      <c r="E4212" s="3">
        <v>3</v>
      </c>
      <c r="F4212" s="2">
        <v>1</v>
      </c>
      <c r="G4212" s="4">
        <v>3</v>
      </c>
      <c r="H4212" s="13">
        <v>2</v>
      </c>
      <c r="I4212" s="34">
        <v>1</v>
      </c>
      <c r="J4212" s="37">
        <v>1</v>
      </c>
      <c r="K4212" s="2" t="s">
        <v>8434</v>
      </c>
      <c r="L4212" s="36" t="str">
        <f t="shared" si="71"/>
        <v>Ver Imagen</v>
      </c>
      <c r="M4212" s="37" t="s">
        <v>8052</v>
      </c>
    </row>
    <row r="4213" spans="1:13" x14ac:dyDescent="0.25">
      <c r="A4213" s="33">
        <v>4212</v>
      </c>
      <c r="B4213" t="s">
        <v>8435</v>
      </c>
      <c r="C4213" s="1">
        <v>37.277051401199998</v>
      </c>
      <c r="D4213" s="1">
        <v>-7.0279401842800002</v>
      </c>
      <c r="E4213" s="3">
        <v>1</v>
      </c>
      <c r="F4213" s="2">
        <v>3</v>
      </c>
      <c r="G4213" s="4">
        <v>3</v>
      </c>
      <c r="H4213" s="13">
        <v>3</v>
      </c>
      <c r="I4213" s="34">
        <v>2</v>
      </c>
      <c r="J4213" s="35">
        <v>3</v>
      </c>
      <c r="K4213" s="2" t="s">
        <v>8436</v>
      </c>
      <c r="L4213" s="36" t="str">
        <f t="shared" si="71"/>
        <v>Ver Imagen</v>
      </c>
      <c r="M4213" t="s">
        <v>8005</v>
      </c>
    </row>
    <row r="4214" spans="1:13" x14ac:dyDescent="0.25">
      <c r="A4214" s="33">
        <v>4213</v>
      </c>
      <c r="B4214" t="s">
        <v>8437</v>
      </c>
      <c r="C4214" s="1">
        <v>37.2816588588</v>
      </c>
      <c r="D4214" s="1">
        <v>-7.0322179584900004</v>
      </c>
      <c r="E4214" s="3">
        <v>1</v>
      </c>
      <c r="F4214" s="2">
        <v>3</v>
      </c>
      <c r="G4214" s="4">
        <v>3</v>
      </c>
      <c r="H4214" s="13">
        <v>2</v>
      </c>
      <c r="I4214" s="34">
        <v>2</v>
      </c>
      <c r="J4214" s="35">
        <v>2</v>
      </c>
      <c r="K4214" s="2" t="s">
        <v>8438</v>
      </c>
      <c r="L4214" s="36" t="str">
        <f t="shared" si="71"/>
        <v>Ver Imagen</v>
      </c>
      <c r="M4214" t="s">
        <v>8005</v>
      </c>
    </row>
    <row r="4215" spans="1:13" x14ac:dyDescent="0.25">
      <c r="A4215" s="33">
        <v>4214</v>
      </c>
      <c r="B4215" t="s">
        <v>8439</v>
      </c>
      <c r="C4215" s="1">
        <v>37.283730218499997</v>
      </c>
      <c r="D4215" s="1">
        <v>-7.03414425341</v>
      </c>
      <c r="E4215" s="3">
        <v>1</v>
      </c>
      <c r="F4215" s="2">
        <v>3</v>
      </c>
      <c r="G4215" s="4">
        <v>3</v>
      </c>
      <c r="H4215" s="13">
        <v>2</v>
      </c>
      <c r="I4215" s="34">
        <v>1</v>
      </c>
      <c r="J4215" s="35">
        <v>2</v>
      </c>
      <c r="K4215" s="2" t="s">
        <v>8440</v>
      </c>
      <c r="L4215" s="36" t="str">
        <f t="shared" si="71"/>
        <v>Ver Imagen</v>
      </c>
      <c r="M4215" t="s">
        <v>8005</v>
      </c>
    </row>
    <row r="4216" spans="1:13" x14ac:dyDescent="0.25">
      <c r="A4216" s="33">
        <v>4215</v>
      </c>
      <c r="B4216" t="s">
        <v>8441</v>
      </c>
      <c r="C4216" s="1">
        <v>37.2871388577</v>
      </c>
      <c r="D4216" s="1">
        <v>-7.0420227831200002</v>
      </c>
      <c r="E4216" s="3">
        <v>1</v>
      </c>
      <c r="F4216" s="2">
        <v>2</v>
      </c>
      <c r="G4216" s="4">
        <v>3</v>
      </c>
      <c r="H4216" s="13">
        <v>2</v>
      </c>
      <c r="I4216" s="34">
        <v>2</v>
      </c>
      <c r="J4216" s="35">
        <v>2</v>
      </c>
      <c r="K4216" s="2" t="s">
        <v>8442</v>
      </c>
      <c r="L4216" s="36" t="str">
        <f t="shared" si="71"/>
        <v>Ver Imagen</v>
      </c>
      <c r="M4216" t="s">
        <v>8005</v>
      </c>
    </row>
    <row r="4217" spans="1:13" x14ac:dyDescent="0.25">
      <c r="A4217" s="33">
        <v>4216</v>
      </c>
      <c r="B4217" t="s">
        <v>8443</v>
      </c>
      <c r="C4217" s="1">
        <v>37.287459783899997</v>
      </c>
      <c r="D4217" s="1">
        <v>-7.0421688173600003</v>
      </c>
      <c r="E4217" s="3">
        <v>1</v>
      </c>
      <c r="F4217" s="2">
        <v>2</v>
      </c>
      <c r="G4217" s="4">
        <v>3</v>
      </c>
      <c r="H4217" s="13">
        <v>2</v>
      </c>
      <c r="I4217" s="34">
        <v>2</v>
      </c>
      <c r="J4217" s="35">
        <v>2</v>
      </c>
      <c r="K4217" s="2" t="s">
        <v>8444</v>
      </c>
      <c r="L4217" s="36" t="str">
        <f t="shared" si="71"/>
        <v>Ver Imagen</v>
      </c>
      <c r="M4217" t="s">
        <v>8005</v>
      </c>
    </row>
    <row r="4218" spans="1:13" x14ac:dyDescent="0.25">
      <c r="A4218" s="33">
        <v>4217</v>
      </c>
      <c r="B4218" t="s">
        <v>8445</v>
      </c>
      <c r="C4218" s="1">
        <v>37.2882232109</v>
      </c>
      <c r="D4218" s="1">
        <v>-7.0425839988499996</v>
      </c>
      <c r="E4218" s="3">
        <v>1</v>
      </c>
      <c r="F4218" s="2">
        <v>2</v>
      </c>
      <c r="G4218" s="4">
        <v>3</v>
      </c>
      <c r="H4218" s="13">
        <v>2</v>
      </c>
      <c r="I4218" s="34">
        <v>2</v>
      </c>
      <c r="J4218" s="35">
        <v>2</v>
      </c>
      <c r="K4218" s="2" t="s">
        <v>8446</v>
      </c>
      <c r="L4218" s="36" t="str">
        <f t="shared" si="71"/>
        <v>Ver Imagen</v>
      </c>
      <c r="M4218" t="s">
        <v>8005</v>
      </c>
    </row>
    <row r="4219" spans="1:13" x14ac:dyDescent="0.25">
      <c r="A4219" s="33">
        <v>4218</v>
      </c>
      <c r="B4219" t="s">
        <v>8447</v>
      </c>
      <c r="C4219" s="1">
        <v>37.288396081199998</v>
      </c>
      <c r="D4219" s="1">
        <v>-7.0427222629799999</v>
      </c>
      <c r="E4219" s="3">
        <v>1</v>
      </c>
      <c r="F4219" s="2">
        <v>2</v>
      </c>
      <c r="G4219" s="4">
        <v>3</v>
      </c>
      <c r="H4219" s="13">
        <v>2</v>
      </c>
      <c r="I4219" s="34">
        <v>1</v>
      </c>
      <c r="J4219" s="35">
        <v>2</v>
      </c>
      <c r="K4219" s="2" t="s">
        <v>8448</v>
      </c>
      <c r="L4219" s="36" t="str">
        <f t="shared" si="71"/>
        <v>Ver Imagen</v>
      </c>
      <c r="M4219" t="s">
        <v>8005</v>
      </c>
    </row>
    <row r="4220" spans="1:13" x14ac:dyDescent="0.25">
      <c r="A4220" s="33">
        <v>4219</v>
      </c>
      <c r="B4220" t="s">
        <v>8449</v>
      </c>
      <c r="C4220" s="1">
        <v>37.289932688299999</v>
      </c>
      <c r="D4220" s="1">
        <v>-7.0447713107599998</v>
      </c>
      <c r="E4220" s="3">
        <v>1</v>
      </c>
      <c r="F4220" s="2">
        <v>2</v>
      </c>
      <c r="G4220" s="4">
        <v>3</v>
      </c>
      <c r="H4220" s="13">
        <v>2</v>
      </c>
      <c r="I4220" s="34">
        <v>1</v>
      </c>
      <c r="J4220" s="35">
        <v>2</v>
      </c>
      <c r="K4220" s="2" t="s">
        <v>8450</v>
      </c>
      <c r="L4220" s="36" t="str">
        <f t="shared" si="71"/>
        <v>Ver Imagen</v>
      </c>
      <c r="M4220" t="s">
        <v>8005</v>
      </c>
    </row>
    <row r="4221" spans="1:13" x14ac:dyDescent="0.25">
      <c r="A4221" s="33">
        <v>4220</v>
      </c>
      <c r="B4221" t="s">
        <v>8451</v>
      </c>
      <c r="C4221" s="1">
        <v>37.300880225100002</v>
      </c>
      <c r="D4221" s="1">
        <v>-7.05607795337</v>
      </c>
      <c r="E4221" s="3">
        <v>3</v>
      </c>
      <c r="F4221" s="2">
        <v>2</v>
      </c>
      <c r="G4221" s="4">
        <v>4</v>
      </c>
      <c r="H4221" s="13">
        <v>3</v>
      </c>
      <c r="I4221" s="34">
        <v>3</v>
      </c>
      <c r="J4221" s="35">
        <v>3</v>
      </c>
      <c r="K4221" s="2" t="s">
        <v>8452</v>
      </c>
      <c r="L4221" s="36" t="str">
        <f t="shared" si="71"/>
        <v>Ver Imagen</v>
      </c>
      <c r="M4221" t="s">
        <v>8005</v>
      </c>
    </row>
    <row r="4222" spans="1:13" x14ac:dyDescent="0.25">
      <c r="A4222" s="33">
        <v>4221</v>
      </c>
      <c r="B4222" t="s">
        <v>8453</v>
      </c>
      <c r="C4222" s="1">
        <v>37.312282596800003</v>
      </c>
      <c r="D4222" s="1">
        <v>-7.0606167169100003</v>
      </c>
      <c r="E4222" s="3">
        <v>1</v>
      </c>
      <c r="F4222" s="2">
        <v>3</v>
      </c>
      <c r="G4222" s="4">
        <v>3</v>
      </c>
      <c r="H4222" s="13">
        <v>2</v>
      </c>
      <c r="I4222" s="34">
        <v>2</v>
      </c>
      <c r="J4222" s="35">
        <v>2</v>
      </c>
      <c r="K4222" s="2" t="s">
        <v>8454</v>
      </c>
      <c r="L4222" s="36" t="str">
        <f t="shared" si="71"/>
        <v>Ver Imagen</v>
      </c>
      <c r="M4222" t="s">
        <v>8005</v>
      </c>
    </row>
    <row r="4223" spans="1:13" x14ac:dyDescent="0.25">
      <c r="A4223" s="33">
        <v>4222</v>
      </c>
      <c r="B4223" t="s">
        <v>8455</v>
      </c>
      <c r="C4223" s="1">
        <v>37.313469112999996</v>
      </c>
      <c r="D4223" s="1">
        <v>-7.06259714696</v>
      </c>
      <c r="E4223" s="3">
        <v>1</v>
      </c>
      <c r="F4223" s="2">
        <v>2</v>
      </c>
      <c r="G4223" s="4">
        <v>3</v>
      </c>
      <c r="H4223" s="13">
        <v>2</v>
      </c>
      <c r="I4223" s="34">
        <v>1</v>
      </c>
      <c r="J4223" s="35">
        <v>2</v>
      </c>
      <c r="K4223" s="2" t="s">
        <v>8456</v>
      </c>
      <c r="L4223" s="36" t="str">
        <f t="shared" si="71"/>
        <v>Ver Imagen</v>
      </c>
      <c r="M4223" t="s">
        <v>8005</v>
      </c>
    </row>
    <row r="4224" spans="1:13" x14ac:dyDescent="0.25">
      <c r="A4224" s="39">
        <v>4223</v>
      </c>
      <c r="B4224" s="16" t="s">
        <v>10002</v>
      </c>
      <c r="C4224" s="16">
        <v>37.446880797200002</v>
      </c>
      <c r="D4224" s="16">
        <v>-7.1074263675099996</v>
      </c>
      <c r="E4224" s="16">
        <v>2</v>
      </c>
      <c r="F4224" s="16">
        <v>4</v>
      </c>
      <c r="G4224" s="16">
        <v>3</v>
      </c>
      <c r="H4224" s="16">
        <v>5</v>
      </c>
      <c r="I4224" s="40">
        <v>2</v>
      </c>
      <c r="J4224" s="38">
        <v>2</v>
      </c>
      <c r="K4224" s="16" t="s">
        <v>10003</v>
      </c>
      <c r="L4224" s="41" t="str">
        <f t="shared" si="71"/>
        <v>Ver Imagen</v>
      </c>
      <c r="M4224" s="16" t="s">
        <v>10001</v>
      </c>
    </row>
    <row r="4225" spans="1:13" x14ac:dyDescent="0.25">
      <c r="A4225" s="33">
        <v>4224</v>
      </c>
      <c r="B4225" t="s">
        <v>8457</v>
      </c>
      <c r="C4225" s="1">
        <v>37.2674988355</v>
      </c>
      <c r="D4225" s="1">
        <v>-6.9630069307599998</v>
      </c>
      <c r="E4225" s="3">
        <v>2</v>
      </c>
      <c r="F4225" s="2">
        <v>4</v>
      </c>
      <c r="G4225" s="4">
        <v>3</v>
      </c>
      <c r="H4225" s="13">
        <v>3</v>
      </c>
      <c r="I4225" s="34">
        <v>4</v>
      </c>
      <c r="J4225" s="35">
        <v>3</v>
      </c>
      <c r="K4225" s="2" t="s">
        <v>8458</v>
      </c>
      <c r="L4225" s="36" t="str">
        <f t="shared" si="71"/>
        <v>Ver Imagen</v>
      </c>
      <c r="M4225" t="s">
        <v>8005</v>
      </c>
    </row>
    <row r="4226" spans="1:13" x14ac:dyDescent="0.25">
      <c r="A4226" s="33">
        <v>4225</v>
      </c>
      <c r="B4226" t="s">
        <v>8459</v>
      </c>
      <c r="C4226" s="1">
        <v>37.267493460200001</v>
      </c>
      <c r="D4226" s="1">
        <v>-6.9627616828500001</v>
      </c>
      <c r="E4226" s="3">
        <v>2</v>
      </c>
      <c r="F4226" s="2">
        <v>4</v>
      </c>
      <c r="G4226" s="4">
        <v>3</v>
      </c>
      <c r="H4226" s="13">
        <v>4</v>
      </c>
      <c r="I4226" s="34">
        <v>4</v>
      </c>
      <c r="J4226" s="35">
        <v>4</v>
      </c>
      <c r="K4226" s="2" t="s">
        <v>8460</v>
      </c>
      <c r="L4226" s="36" t="str">
        <f t="shared" si="71"/>
        <v>Ver Imagen</v>
      </c>
      <c r="M4226" t="s">
        <v>8005</v>
      </c>
    </row>
    <row r="4227" spans="1:13" x14ac:dyDescent="0.25">
      <c r="A4227" s="33">
        <v>4226</v>
      </c>
      <c r="B4227" t="s">
        <v>8461</v>
      </c>
      <c r="C4227" s="1">
        <v>37.190892826899997</v>
      </c>
      <c r="D4227" s="1">
        <v>-6.9907708249700002</v>
      </c>
      <c r="E4227" s="3">
        <v>1</v>
      </c>
      <c r="F4227" s="2">
        <v>3</v>
      </c>
      <c r="G4227" s="4">
        <v>3</v>
      </c>
      <c r="H4227" s="13">
        <v>2</v>
      </c>
      <c r="I4227" s="34">
        <v>2</v>
      </c>
      <c r="J4227" s="35">
        <v>2</v>
      </c>
      <c r="K4227" s="2" t="s">
        <v>8462</v>
      </c>
      <c r="L4227" s="36" t="str">
        <f t="shared" si="71"/>
        <v>Ver Imagen</v>
      </c>
      <c r="M4227" t="s">
        <v>8005</v>
      </c>
    </row>
    <row r="4228" spans="1:13" x14ac:dyDescent="0.25">
      <c r="A4228" s="33">
        <v>4227</v>
      </c>
      <c r="B4228" t="s">
        <v>8463</v>
      </c>
      <c r="C4228" s="1">
        <v>37.192447562799998</v>
      </c>
      <c r="D4228" s="1">
        <v>-6.9940038922900003</v>
      </c>
      <c r="E4228" s="3">
        <v>2</v>
      </c>
      <c r="F4228" s="2">
        <v>4</v>
      </c>
      <c r="G4228" s="4">
        <v>3</v>
      </c>
      <c r="H4228" s="13">
        <v>3</v>
      </c>
      <c r="I4228" s="34">
        <v>4</v>
      </c>
      <c r="J4228" s="35">
        <v>3</v>
      </c>
      <c r="K4228" s="2" t="s">
        <v>8464</v>
      </c>
      <c r="L4228" s="36" t="str">
        <f t="shared" si="71"/>
        <v>Ver Imagen</v>
      </c>
      <c r="M4228" t="s">
        <v>8005</v>
      </c>
    </row>
    <row r="4229" spans="1:13" x14ac:dyDescent="0.25">
      <c r="A4229" s="33">
        <v>4228</v>
      </c>
      <c r="B4229" t="s">
        <v>8465</v>
      </c>
      <c r="C4229" s="1">
        <v>37.216263290900002</v>
      </c>
      <c r="D4229" s="1">
        <v>-7.0911848698400002</v>
      </c>
      <c r="E4229" s="3">
        <v>2</v>
      </c>
      <c r="F4229" s="2">
        <v>4</v>
      </c>
      <c r="G4229" s="4">
        <v>3</v>
      </c>
      <c r="H4229" s="13">
        <v>3</v>
      </c>
      <c r="I4229" s="34">
        <v>3</v>
      </c>
      <c r="J4229" s="35">
        <v>3</v>
      </c>
      <c r="K4229" s="2" t="s">
        <v>8466</v>
      </c>
      <c r="L4229" s="36" t="str">
        <f t="shared" si="71"/>
        <v>Ver Imagen</v>
      </c>
      <c r="M4229" t="s">
        <v>8005</v>
      </c>
    </row>
    <row r="4230" spans="1:13" x14ac:dyDescent="0.25">
      <c r="A4230" s="33">
        <v>4229</v>
      </c>
      <c r="B4230" t="s">
        <v>8467</v>
      </c>
      <c r="C4230" s="1">
        <v>37.211317448499997</v>
      </c>
      <c r="D4230" s="1">
        <v>-7.0567758255699999</v>
      </c>
      <c r="E4230" s="3">
        <v>2</v>
      </c>
      <c r="F4230" s="2">
        <v>4</v>
      </c>
      <c r="G4230" s="4">
        <v>3</v>
      </c>
      <c r="H4230" s="13">
        <v>3</v>
      </c>
      <c r="I4230" s="34">
        <v>3</v>
      </c>
      <c r="J4230" s="35">
        <v>3</v>
      </c>
      <c r="K4230" s="2" t="s">
        <v>8468</v>
      </c>
      <c r="L4230" s="36" t="str">
        <f t="shared" si="71"/>
        <v>Ver Imagen</v>
      </c>
      <c r="M4230" t="s">
        <v>8005</v>
      </c>
    </row>
    <row r="4231" spans="1:13" x14ac:dyDescent="0.25">
      <c r="A4231" s="33">
        <v>4230</v>
      </c>
      <c r="B4231" t="s">
        <v>8469</v>
      </c>
      <c r="C4231" s="1">
        <v>37.2107889284</v>
      </c>
      <c r="D4231" s="1">
        <v>-7.0525496502099996</v>
      </c>
      <c r="E4231" s="3">
        <v>2</v>
      </c>
      <c r="F4231" s="2">
        <v>4</v>
      </c>
      <c r="G4231" s="4">
        <v>3</v>
      </c>
      <c r="H4231" s="13">
        <v>3</v>
      </c>
      <c r="I4231" s="34">
        <v>3</v>
      </c>
      <c r="J4231" s="35">
        <v>3</v>
      </c>
      <c r="K4231" s="2" t="s">
        <v>8470</v>
      </c>
      <c r="L4231" s="36" t="str">
        <f t="shared" si="71"/>
        <v>Ver Imagen</v>
      </c>
      <c r="M4231" t="s">
        <v>8005</v>
      </c>
    </row>
    <row r="4232" spans="1:13" x14ac:dyDescent="0.25">
      <c r="A4232" s="33">
        <v>4231</v>
      </c>
      <c r="B4232" t="s">
        <v>8471</v>
      </c>
      <c r="C4232" s="1">
        <v>37.2108140904</v>
      </c>
      <c r="D4232" s="1">
        <v>-7.0518026757800003</v>
      </c>
      <c r="E4232" s="3">
        <v>2</v>
      </c>
      <c r="F4232" s="2">
        <v>4</v>
      </c>
      <c r="G4232" s="4">
        <v>3</v>
      </c>
      <c r="H4232" s="13">
        <v>3</v>
      </c>
      <c r="I4232" s="34">
        <v>4</v>
      </c>
      <c r="J4232" s="37">
        <v>4</v>
      </c>
      <c r="K4232" s="2" t="s">
        <v>8472</v>
      </c>
      <c r="L4232" s="36" t="str">
        <f t="shared" si="71"/>
        <v>Ver Imagen</v>
      </c>
      <c r="M4232" s="37" t="s">
        <v>8052</v>
      </c>
    </row>
    <row r="4233" spans="1:13" x14ac:dyDescent="0.25">
      <c r="A4233" s="33">
        <v>4232</v>
      </c>
      <c r="B4233" t="s">
        <v>8473</v>
      </c>
      <c r="C4233" s="1">
        <v>37.210839917100003</v>
      </c>
      <c r="D4233" s="1">
        <v>-7.0515339724999997</v>
      </c>
      <c r="E4233" s="3">
        <v>2</v>
      </c>
      <c r="F4233" s="2">
        <v>4</v>
      </c>
      <c r="G4233" s="4">
        <v>3</v>
      </c>
      <c r="H4233" s="13">
        <v>3</v>
      </c>
      <c r="I4233" s="34">
        <v>3</v>
      </c>
      <c r="J4233" s="35">
        <v>3</v>
      </c>
      <c r="K4233" s="2" t="s">
        <v>8474</v>
      </c>
      <c r="L4233" s="36" t="str">
        <f t="shared" si="71"/>
        <v>Ver Imagen</v>
      </c>
      <c r="M4233" t="s">
        <v>8005</v>
      </c>
    </row>
    <row r="4234" spans="1:13" x14ac:dyDescent="0.25">
      <c r="A4234" s="33">
        <v>4233</v>
      </c>
      <c r="B4234" t="s">
        <v>8475</v>
      </c>
      <c r="C4234" s="1">
        <v>37.204146861200002</v>
      </c>
      <c r="D4234" s="1">
        <v>-7.0265626282499998</v>
      </c>
      <c r="E4234" s="3">
        <v>5</v>
      </c>
      <c r="F4234" s="2">
        <v>4</v>
      </c>
      <c r="G4234" s="4">
        <v>3</v>
      </c>
      <c r="H4234" s="13">
        <v>3</v>
      </c>
      <c r="I4234" s="34">
        <v>3</v>
      </c>
      <c r="J4234" s="35">
        <v>3</v>
      </c>
      <c r="K4234" s="2" t="s">
        <v>8476</v>
      </c>
      <c r="L4234" s="36" t="str">
        <f t="shared" si="71"/>
        <v>Ver Imagen</v>
      </c>
      <c r="M4234" t="s">
        <v>8005</v>
      </c>
    </row>
    <row r="4235" spans="1:13" x14ac:dyDescent="0.25">
      <c r="A4235" s="33">
        <v>4234</v>
      </c>
      <c r="B4235" t="s">
        <v>8477</v>
      </c>
      <c r="C4235" s="1">
        <v>37.2675996782</v>
      </c>
      <c r="D4235" s="1">
        <v>-7.13418204295</v>
      </c>
      <c r="E4235" s="3">
        <v>5</v>
      </c>
      <c r="F4235" s="2">
        <v>4</v>
      </c>
      <c r="G4235" s="4">
        <v>3</v>
      </c>
      <c r="H4235" s="13">
        <v>4</v>
      </c>
      <c r="I4235" s="34">
        <v>4</v>
      </c>
      <c r="J4235" s="35">
        <v>4</v>
      </c>
      <c r="K4235" s="2" t="s">
        <v>8478</v>
      </c>
      <c r="L4235" s="36" t="str">
        <f t="shared" si="71"/>
        <v>Ver Imagen</v>
      </c>
      <c r="M4235" t="s">
        <v>8005</v>
      </c>
    </row>
    <row r="4236" spans="1:13" x14ac:dyDescent="0.25">
      <c r="A4236" s="33">
        <v>4235</v>
      </c>
      <c r="B4236" t="s">
        <v>8479</v>
      </c>
      <c r="C4236" s="1">
        <v>37.437993542599997</v>
      </c>
      <c r="D4236" s="1">
        <v>-7.08269907644</v>
      </c>
      <c r="E4236" s="3">
        <v>3</v>
      </c>
      <c r="F4236" s="2">
        <v>3</v>
      </c>
      <c r="G4236" s="4">
        <v>5</v>
      </c>
      <c r="H4236" s="13">
        <v>3</v>
      </c>
      <c r="I4236" s="34">
        <v>4</v>
      </c>
      <c r="J4236" s="35">
        <v>3</v>
      </c>
      <c r="K4236" s="2" t="s">
        <v>8480</v>
      </c>
      <c r="L4236" s="36" t="str">
        <f t="shared" si="71"/>
        <v>Ver Imagen</v>
      </c>
      <c r="M4236" t="s">
        <v>8005</v>
      </c>
    </row>
    <row r="4237" spans="1:13" x14ac:dyDescent="0.25">
      <c r="A4237" s="33">
        <v>4236</v>
      </c>
      <c r="B4237" t="s">
        <v>8481</v>
      </c>
      <c r="C4237" s="1">
        <v>37.224753500799999</v>
      </c>
      <c r="D4237" s="1">
        <v>-7.0390080739499998</v>
      </c>
      <c r="E4237" s="3">
        <v>3</v>
      </c>
      <c r="F4237" s="2">
        <v>1</v>
      </c>
      <c r="G4237" s="4">
        <v>3</v>
      </c>
      <c r="H4237" s="13">
        <v>2</v>
      </c>
      <c r="I4237" s="34">
        <v>2</v>
      </c>
      <c r="J4237" s="35">
        <v>2</v>
      </c>
      <c r="K4237" s="2" t="s">
        <v>8482</v>
      </c>
      <c r="L4237" s="36" t="str">
        <f t="shared" si="71"/>
        <v>Ver Imagen</v>
      </c>
      <c r="M4237" t="s">
        <v>8005</v>
      </c>
    </row>
    <row r="4238" spans="1:13" x14ac:dyDescent="0.25">
      <c r="A4238" s="33">
        <v>4237</v>
      </c>
      <c r="B4238" t="s">
        <v>8483</v>
      </c>
      <c r="C4238" s="1">
        <v>37.231278549099997</v>
      </c>
      <c r="D4238" s="1">
        <v>-7.0509447003499996</v>
      </c>
      <c r="E4238" s="3">
        <v>3</v>
      </c>
      <c r="F4238" s="2">
        <v>1</v>
      </c>
      <c r="G4238" s="4">
        <v>3</v>
      </c>
      <c r="H4238" s="13">
        <v>2</v>
      </c>
      <c r="I4238" s="34">
        <v>2</v>
      </c>
      <c r="J4238" s="35">
        <v>2</v>
      </c>
      <c r="K4238" s="2" t="s">
        <v>8484</v>
      </c>
      <c r="L4238" s="36" t="str">
        <f t="shared" si="71"/>
        <v>Ver Imagen</v>
      </c>
      <c r="M4238" t="s">
        <v>8005</v>
      </c>
    </row>
    <row r="4239" spans="1:13" x14ac:dyDescent="0.25">
      <c r="A4239" s="33">
        <v>4238</v>
      </c>
      <c r="B4239" t="s">
        <v>8485</v>
      </c>
      <c r="C4239" s="1">
        <v>37.234137532799998</v>
      </c>
      <c r="D4239" s="1">
        <v>-7.05974339607</v>
      </c>
      <c r="E4239" s="3">
        <v>3</v>
      </c>
      <c r="F4239" s="2">
        <v>1</v>
      </c>
      <c r="G4239" s="4">
        <v>3</v>
      </c>
      <c r="H4239" s="13">
        <v>2</v>
      </c>
      <c r="I4239" s="34">
        <v>1</v>
      </c>
      <c r="J4239" s="35">
        <v>2</v>
      </c>
      <c r="K4239" s="2" t="s">
        <v>8486</v>
      </c>
      <c r="L4239" s="36" t="str">
        <f t="shared" si="71"/>
        <v>Ver Imagen</v>
      </c>
      <c r="M4239" t="s">
        <v>8005</v>
      </c>
    </row>
    <row r="4240" spans="1:13" x14ac:dyDescent="0.25">
      <c r="A4240" s="33">
        <v>4239</v>
      </c>
      <c r="B4240" t="s">
        <v>8487</v>
      </c>
      <c r="C4240" s="1">
        <v>37.248101973700003</v>
      </c>
      <c r="D4240" s="1">
        <v>-7.10156740511</v>
      </c>
      <c r="E4240" s="3">
        <v>3</v>
      </c>
      <c r="F4240" s="2">
        <v>1</v>
      </c>
      <c r="G4240" s="4">
        <v>3</v>
      </c>
      <c r="H4240" s="13">
        <v>2</v>
      </c>
      <c r="I4240" s="34">
        <v>2</v>
      </c>
      <c r="J4240" s="35">
        <v>2</v>
      </c>
      <c r="K4240" s="2" t="s">
        <v>8488</v>
      </c>
      <c r="L4240" s="36" t="str">
        <f t="shared" si="71"/>
        <v>Ver Imagen</v>
      </c>
      <c r="M4240" t="s">
        <v>8005</v>
      </c>
    </row>
    <row r="4241" spans="1:13" x14ac:dyDescent="0.25">
      <c r="A4241" s="33">
        <v>4240</v>
      </c>
      <c r="B4241" t="s">
        <v>8489</v>
      </c>
      <c r="C4241" s="1">
        <v>37.249852815499999</v>
      </c>
      <c r="D4241" s="1">
        <v>-7.1027484314100002</v>
      </c>
      <c r="E4241" s="3">
        <v>3</v>
      </c>
      <c r="F4241" s="2">
        <v>1</v>
      </c>
      <c r="G4241" s="4">
        <v>3</v>
      </c>
      <c r="H4241" s="13">
        <v>2</v>
      </c>
      <c r="I4241" s="34">
        <v>1</v>
      </c>
      <c r="J4241" s="35">
        <v>2</v>
      </c>
      <c r="K4241" s="2" t="s">
        <v>8490</v>
      </c>
      <c r="L4241" s="36" t="str">
        <f t="shared" si="71"/>
        <v>Ver Imagen</v>
      </c>
      <c r="M4241" t="s">
        <v>8005</v>
      </c>
    </row>
    <row r="4242" spans="1:13" x14ac:dyDescent="0.25">
      <c r="A4242" s="33">
        <v>4241</v>
      </c>
      <c r="B4242" t="s">
        <v>8491</v>
      </c>
      <c r="C4242" s="1">
        <v>37.2526786751</v>
      </c>
      <c r="D4242" s="1">
        <v>-7.1050905753900002</v>
      </c>
      <c r="E4242" s="3">
        <v>3</v>
      </c>
      <c r="F4242" s="2">
        <v>1</v>
      </c>
      <c r="G4242" s="4">
        <v>3</v>
      </c>
      <c r="H4242" s="13">
        <v>2</v>
      </c>
      <c r="I4242" s="34">
        <v>2</v>
      </c>
      <c r="J4242" s="35">
        <v>2</v>
      </c>
      <c r="K4242" s="2" t="s">
        <v>8492</v>
      </c>
      <c r="L4242" s="36" t="str">
        <f t="shared" si="71"/>
        <v>Ver Imagen</v>
      </c>
      <c r="M4242" t="s">
        <v>8005</v>
      </c>
    </row>
    <row r="4243" spans="1:13" x14ac:dyDescent="0.25">
      <c r="A4243" s="33">
        <v>4242</v>
      </c>
      <c r="B4243" t="s">
        <v>8493</v>
      </c>
      <c r="C4243" s="1">
        <v>37.253445637600002</v>
      </c>
      <c r="D4243" s="1">
        <v>-7.1068775745700004</v>
      </c>
      <c r="E4243" s="3">
        <v>3</v>
      </c>
      <c r="F4243" s="2">
        <v>1</v>
      </c>
      <c r="G4243" s="4">
        <v>3</v>
      </c>
      <c r="H4243" s="13">
        <v>2</v>
      </c>
      <c r="I4243" s="34">
        <v>1</v>
      </c>
      <c r="J4243" s="37">
        <v>1</v>
      </c>
      <c r="K4243" s="2" t="s">
        <v>8494</v>
      </c>
      <c r="L4243" s="36" t="str">
        <f t="shared" si="71"/>
        <v>Ver Imagen</v>
      </c>
      <c r="M4243" s="37" t="s">
        <v>8052</v>
      </c>
    </row>
    <row r="4244" spans="1:13" x14ac:dyDescent="0.25">
      <c r="A4244" s="33">
        <v>4243</v>
      </c>
      <c r="B4244" t="s">
        <v>8495</v>
      </c>
      <c r="C4244" s="1">
        <v>37.253557218399997</v>
      </c>
      <c r="D4244" s="1">
        <v>-7.1070675344399996</v>
      </c>
      <c r="E4244" s="3">
        <v>3</v>
      </c>
      <c r="F4244" s="2">
        <v>1</v>
      </c>
      <c r="G4244" s="4">
        <v>3</v>
      </c>
      <c r="H4244" s="13">
        <v>2</v>
      </c>
      <c r="I4244" s="34">
        <v>1</v>
      </c>
      <c r="J4244" s="37">
        <v>1</v>
      </c>
      <c r="K4244" s="2" t="s">
        <v>8496</v>
      </c>
      <c r="L4244" s="36" t="str">
        <f t="shared" si="71"/>
        <v>Ver Imagen</v>
      </c>
      <c r="M4244" s="37" t="s">
        <v>8052</v>
      </c>
    </row>
    <row r="4245" spans="1:13" x14ac:dyDescent="0.25">
      <c r="A4245" s="33">
        <v>4244</v>
      </c>
      <c r="B4245" t="s">
        <v>8497</v>
      </c>
      <c r="C4245" s="1">
        <v>37.2549618647</v>
      </c>
      <c r="D4245" s="1">
        <v>-7.10877665718</v>
      </c>
      <c r="E4245" s="3">
        <v>3</v>
      </c>
      <c r="F4245" s="2">
        <v>1</v>
      </c>
      <c r="G4245" s="4">
        <v>3</v>
      </c>
      <c r="H4245" s="13">
        <v>1</v>
      </c>
      <c r="I4245" s="34">
        <v>1</v>
      </c>
      <c r="J4245" s="35">
        <v>1</v>
      </c>
      <c r="K4245" s="2" t="s">
        <v>8498</v>
      </c>
      <c r="L4245" s="36" t="str">
        <f t="shared" si="71"/>
        <v>Ver Imagen</v>
      </c>
      <c r="M4245" t="s">
        <v>8005</v>
      </c>
    </row>
    <row r="4246" spans="1:13" x14ac:dyDescent="0.25">
      <c r="A4246" s="33">
        <v>4245</v>
      </c>
      <c r="B4246" t="s">
        <v>8499</v>
      </c>
      <c r="C4246" s="1">
        <v>37.255056783199997</v>
      </c>
      <c r="D4246" s="1">
        <v>-7.1092596744799996</v>
      </c>
      <c r="E4246" s="3">
        <v>3</v>
      </c>
      <c r="F4246" s="2">
        <v>1</v>
      </c>
      <c r="G4246" s="4">
        <v>3</v>
      </c>
      <c r="H4246" s="13">
        <v>2</v>
      </c>
      <c r="I4246" s="34">
        <v>2</v>
      </c>
      <c r="J4246" s="35">
        <v>2</v>
      </c>
      <c r="K4246" s="2" t="s">
        <v>8500</v>
      </c>
      <c r="L4246" s="36" t="str">
        <f t="shared" si="71"/>
        <v>Ver Imagen</v>
      </c>
      <c r="M4246" t="s">
        <v>8005</v>
      </c>
    </row>
    <row r="4247" spans="1:13" x14ac:dyDescent="0.25">
      <c r="A4247" s="33">
        <v>4246</v>
      </c>
      <c r="B4247" t="s">
        <v>8501</v>
      </c>
      <c r="C4247" s="1">
        <v>37.2553786832</v>
      </c>
      <c r="D4247" s="1">
        <v>-7.1178181453800002</v>
      </c>
      <c r="E4247" s="3">
        <v>3</v>
      </c>
      <c r="F4247" s="2">
        <v>1</v>
      </c>
      <c r="G4247" s="4">
        <v>3</v>
      </c>
      <c r="H4247" s="13">
        <v>2</v>
      </c>
      <c r="I4247" s="34">
        <v>2</v>
      </c>
      <c r="J4247" s="35">
        <v>2</v>
      </c>
      <c r="K4247" s="2" t="s">
        <v>8502</v>
      </c>
      <c r="L4247" s="36" t="str">
        <f t="shared" si="71"/>
        <v>Ver Imagen</v>
      </c>
      <c r="M4247" t="s">
        <v>8005</v>
      </c>
    </row>
    <row r="4248" spans="1:13" x14ac:dyDescent="0.25">
      <c r="A4248" s="33">
        <v>4247</v>
      </c>
      <c r="B4248" t="s">
        <v>8503</v>
      </c>
      <c r="C4248" s="1">
        <v>37.4441055761</v>
      </c>
      <c r="D4248" s="1">
        <v>-7.1001978622199999</v>
      </c>
      <c r="E4248" s="3">
        <v>3</v>
      </c>
      <c r="F4248" s="2">
        <v>1</v>
      </c>
      <c r="G4248" s="4">
        <v>3</v>
      </c>
      <c r="H4248" s="13">
        <v>3</v>
      </c>
      <c r="I4248" s="34">
        <v>2</v>
      </c>
      <c r="J4248" s="38">
        <v>3</v>
      </c>
      <c r="K4248" s="2" t="s">
        <v>8504</v>
      </c>
      <c r="L4248" s="36" t="str">
        <f t="shared" si="71"/>
        <v>Ver Imagen</v>
      </c>
      <c r="M4248" t="s">
        <v>8005</v>
      </c>
    </row>
    <row r="4249" spans="1:13" x14ac:dyDescent="0.25">
      <c r="A4249" s="33">
        <v>4248</v>
      </c>
      <c r="B4249" t="s">
        <v>8505</v>
      </c>
      <c r="C4249" s="1">
        <v>37.494964994199997</v>
      </c>
      <c r="D4249" s="1">
        <v>-7.2766686014499999</v>
      </c>
      <c r="E4249" s="3">
        <v>3</v>
      </c>
      <c r="F4249" s="2">
        <v>1</v>
      </c>
      <c r="G4249" s="4">
        <v>3</v>
      </c>
      <c r="H4249" s="13">
        <v>2</v>
      </c>
      <c r="I4249" s="34">
        <v>2</v>
      </c>
      <c r="J4249" s="35">
        <v>2</v>
      </c>
      <c r="K4249" s="2" t="s">
        <v>8506</v>
      </c>
      <c r="L4249" s="36" t="str">
        <f t="shared" si="71"/>
        <v>Ver Imagen</v>
      </c>
      <c r="M4249" t="s">
        <v>8005</v>
      </c>
    </row>
    <row r="4250" spans="1:13" x14ac:dyDescent="0.25">
      <c r="A4250" s="33">
        <v>4249</v>
      </c>
      <c r="B4250" t="s">
        <v>8507</v>
      </c>
      <c r="C4250" s="1">
        <v>37.497638237899999</v>
      </c>
      <c r="D4250" s="1">
        <v>-7.2679107884</v>
      </c>
      <c r="E4250" s="3">
        <v>3</v>
      </c>
      <c r="F4250" s="2">
        <v>4</v>
      </c>
      <c r="G4250" s="4">
        <v>2</v>
      </c>
      <c r="H4250" s="13">
        <v>4</v>
      </c>
      <c r="I4250" s="34">
        <v>1</v>
      </c>
      <c r="J4250" s="37">
        <v>2</v>
      </c>
      <c r="K4250" s="2" t="s">
        <v>8508</v>
      </c>
      <c r="L4250" s="36" t="str">
        <f t="shared" si="71"/>
        <v>Ver Imagen</v>
      </c>
      <c r="M4250" s="37" t="s">
        <v>8052</v>
      </c>
    </row>
    <row r="4251" spans="1:13" x14ac:dyDescent="0.25">
      <c r="A4251" s="33">
        <v>4250</v>
      </c>
      <c r="B4251" t="s">
        <v>8509</v>
      </c>
      <c r="C4251" s="1">
        <v>37.267653378799999</v>
      </c>
      <c r="D4251" s="1">
        <v>-6.9572833996799996</v>
      </c>
      <c r="E4251" s="3">
        <v>2</v>
      </c>
      <c r="F4251" s="2">
        <v>4</v>
      </c>
      <c r="G4251" s="4">
        <v>3</v>
      </c>
      <c r="H4251" s="13">
        <v>3</v>
      </c>
      <c r="I4251" s="34">
        <v>4</v>
      </c>
      <c r="J4251" s="35">
        <v>3</v>
      </c>
      <c r="K4251" s="2" t="s">
        <v>8510</v>
      </c>
      <c r="L4251" s="36" t="str">
        <f t="shared" si="71"/>
        <v>Ver Imagen</v>
      </c>
      <c r="M4251" t="s">
        <v>8005</v>
      </c>
    </row>
    <row r="4252" spans="1:13" x14ac:dyDescent="0.25">
      <c r="A4252" s="33">
        <v>4251</v>
      </c>
      <c r="B4252" t="s">
        <v>8511</v>
      </c>
      <c r="C4252" s="1">
        <v>37.516808428799997</v>
      </c>
      <c r="D4252" s="1">
        <v>-7.2662390668199999</v>
      </c>
      <c r="E4252" s="3">
        <v>2</v>
      </c>
      <c r="F4252" s="2">
        <v>1</v>
      </c>
      <c r="G4252" s="4">
        <v>3</v>
      </c>
      <c r="H4252" s="13">
        <v>2</v>
      </c>
      <c r="I4252" s="34">
        <v>1</v>
      </c>
      <c r="J4252" s="35">
        <v>2</v>
      </c>
      <c r="K4252" s="2" t="s">
        <v>8512</v>
      </c>
      <c r="L4252" s="36" t="str">
        <f t="shared" si="71"/>
        <v>Ver Imagen</v>
      </c>
      <c r="M4252" t="s">
        <v>8005</v>
      </c>
    </row>
    <row r="4253" spans="1:13" x14ac:dyDescent="0.25">
      <c r="A4253" s="33">
        <v>4252</v>
      </c>
      <c r="B4253" t="s">
        <v>8513</v>
      </c>
      <c r="C4253" s="1">
        <v>37.27179477</v>
      </c>
      <c r="D4253" s="1">
        <v>-6.98560046351</v>
      </c>
      <c r="E4253" s="3">
        <v>3</v>
      </c>
      <c r="F4253" s="2">
        <v>1</v>
      </c>
      <c r="G4253" s="4">
        <v>3</v>
      </c>
      <c r="H4253" s="13">
        <v>2</v>
      </c>
      <c r="I4253" s="34">
        <v>2</v>
      </c>
      <c r="J4253" s="35">
        <v>2</v>
      </c>
      <c r="K4253" s="2" t="s">
        <v>8514</v>
      </c>
      <c r="L4253" s="36" t="str">
        <f t="shared" si="71"/>
        <v>Ver Imagen</v>
      </c>
      <c r="M4253" t="s">
        <v>8005</v>
      </c>
    </row>
    <row r="4254" spans="1:13" x14ac:dyDescent="0.25">
      <c r="A4254" s="33">
        <v>4253</v>
      </c>
      <c r="B4254" t="s">
        <v>8515</v>
      </c>
      <c r="C4254" s="1">
        <v>37.206364442899996</v>
      </c>
      <c r="D4254" s="1">
        <v>-7.0200654334400001</v>
      </c>
      <c r="E4254" s="3">
        <v>3</v>
      </c>
      <c r="F4254" s="2">
        <v>1</v>
      </c>
      <c r="G4254" s="4">
        <v>3</v>
      </c>
      <c r="H4254" s="13">
        <v>1</v>
      </c>
      <c r="I4254" s="34">
        <v>1</v>
      </c>
      <c r="J4254" s="35">
        <v>1</v>
      </c>
      <c r="K4254" s="2" t="s">
        <v>8516</v>
      </c>
      <c r="L4254" s="36" t="str">
        <f t="shared" ref="L4254:L4317" si="72">HYPERLINK("NoConsenso\" &amp; K4254, "Ver Imagen")</f>
        <v>Ver Imagen</v>
      </c>
      <c r="M4254" t="s">
        <v>8005</v>
      </c>
    </row>
    <row r="4255" spans="1:13" x14ac:dyDescent="0.25">
      <c r="A4255" s="33">
        <v>4254</v>
      </c>
      <c r="B4255" t="s">
        <v>8517</v>
      </c>
      <c r="C4255" s="1">
        <v>37.207348985000003</v>
      </c>
      <c r="D4255" s="1">
        <v>-7.0215746485699997</v>
      </c>
      <c r="E4255" s="3">
        <v>3</v>
      </c>
      <c r="F4255" s="2">
        <v>1</v>
      </c>
      <c r="G4255" s="4">
        <v>3</v>
      </c>
      <c r="H4255" s="13">
        <v>2</v>
      </c>
      <c r="I4255" s="34">
        <v>2</v>
      </c>
      <c r="J4255" s="35">
        <v>2</v>
      </c>
      <c r="K4255" s="2" t="s">
        <v>8518</v>
      </c>
      <c r="L4255" s="36" t="str">
        <f t="shared" si="72"/>
        <v>Ver Imagen</v>
      </c>
      <c r="M4255" t="s">
        <v>8005</v>
      </c>
    </row>
    <row r="4256" spans="1:13" x14ac:dyDescent="0.25">
      <c r="A4256" s="33">
        <v>4255</v>
      </c>
      <c r="B4256" t="s">
        <v>8519</v>
      </c>
      <c r="C4256" s="1">
        <v>37.233780878700003</v>
      </c>
      <c r="D4256" s="1">
        <v>-7.0181860661400002</v>
      </c>
      <c r="E4256" s="3">
        <v>3</v>
      </c>
      <c r="F4256" s="2">
        <v>1</v>
      </c>
      <c r="G4256" s="4">
        <v>3</v>
      </c>
      <c r="H4256" s="13">
        <v>2</v>
      </c>
      <c r="I4256" s="34">
        <v>1</v>
      </c>
      <c r="J4256" s="37">
        <v>1</v>
      </c>
      <c r="K4256" s="2" t="s">
        <v>8520</v>
      </c>
      <c r="L4256" s="36" t="str">
        <f t="shared" si="72"/>
        <v>Ver Imagen</v>
      </c>
      <c r="M4256" s="37" t="s">
        <v>8052</v>
      </c>
    </row>
    <row r="4257" spans="1:13" x14ac:dyDescent="0.25">
      <c r="A4257" s="33">
        <v>4256</v>
      </c>
      <c r="B4257" t="s">
        <v>8521</v>
      </c>
      <c r="C4257" s="1">
        <v>37.2111560707</v>
      </c>
      <c r="D4257" s="1">
        <v>-7.0238089636999996</v>
      </c>
      <c r="E4257" s="3">
        <v>3</v>
      </c>
      <c r="F4257" s="2">
        <v>1</v>
      </c>
      <c r="G4257" s="4">
        <v>3</v>
      </c>
      <c r="H4257" s="13">
        <v>2</v>
      </c>
      <c r="I4257" s="34">
        <v>3</v>
      </c>
      <c r="J4257" s="37">
        <v>2</v>
      </c>
      <c r="K4257" s="2" t="s">
        <v>8522</v>
      </c>
      <c r="L4257" s="36" t="str">
        <f t="shared" si="72"/>
        <v>Ver Imagen</v>
      </c>
      <c r="M4257" s="37" t="s">
        <v>8052</v>
      </c>
    </row>
    <row r="4258" spans="1:13" x14ac:dyDescent="0.25">
      <c r="A4258" s="33">
        <v>4257</v>
      </c>
      <c r="B4258" t="s">
        <v>8523</v>
      </c>
      <c r="C4258" s="1">
        <v>37.259567611599998</v>
      </c>
      <c r="D4258" s="1">
        <v>-7.0117814093500002</v>
      </c>
      <c r="E4258" s="3">
        <v>3</v>
      </c>
      <c r="F4258" s="2">
        <v>1</v>
      </c>
      <c r="G4258" s="4">
        <v>3</v>
      </c>
      <c r="H4258" s="13">
        <v>1</v>
      </c>
      <c r="I4258" s="34">
        <v>2</v>
      </c>
      <c r="J4258" s="35">
        <v>2</v>
      </c>
      <c r="K4258" s="2" t="s">
        <v>8524</v>
      </c>
      <c r="L4258" s="36" t="str">
        <f t="shared" si="72"/>
        <v>Ver Imagen</v>
      </c>
      <c r="M4258" t="s">
        <v>8005</v>
      </c>
    </row>
    <row r="4259" spans="1:13" x14ac:dyDescent="0.25">
      <c r="A4259" s="33">
        <v>4258</v>
      </c>
      <c r="B4259" t="s">
        <v>8525</v>
      </c>
      <c r="C4259" s="1">
        <v>37.446732115700001</v>
      </c>
      <c r="D4259" s="1">
        <v>-7.1312688690200003</v>
      </c>
      <c r="E4259" s="3">
        <v>2</v>
      </c>
      <c r="F4259" s="2">
        <v>4</v>
      </c>
      <c r="G4259" s="4">
        <v>4</v>
      </c>
      <c r="H4259" s="13">
        <v>4</v>
      </c>
      <c r="I4259" s="34">
        <v>4</v>
      </c>
      <c r="J4259" s="35">
        <v>4</v>
      </c>
      <c r="K4259" s="2" t="s">
        <v>8526</v>
      </c>
      <c r="L4259" s="36" t="str">
        <f t="shared" si="72"/>
        <v>Ver Imagen</v>
      </c>
      <c r="M4259" t="s">
        <v>8005</v>
      </c>
    </row>
    <row r="4260" spans="1:13" x14ac:dyDescent="0.25">
      <c r="A4260" s="33">
        <v>4259</v>
      </c>
      <c r="B4260" t="s">
        <v>8527</v>
      </c>
      <c r="C4260" s="1">
        <v>37.446261094500002</v>
      </c>
      <c r="D4260" s="1">
        <v>-7.13447958234</v>
      </c>
      <c r="E4260" s="3">
        <v>2</v>
      </c>
      <c r="F4260" s="2">
        <v>4</v>
      </c>
      <c r="G4260" s="4">
        <v>4</v>
      </c>
      <c r="H4260" s="13">
        <v>4</v>
      </c>
      <c r="I4260" s="34">
        <v>4</v>
      </c>
      <c r="J4260" s="35">
        <v>4</v>
      </c>
      <c r="K4260" s="2" t="s">
        <v>8528</v>
      </c>
      <c r="L4260" s="36" t="str">
        <f t="shared" si="72"/>
        <v>Ver Imagen</v>
      </c>
      <c r="M4260" t="s">
        <v>8005</v>
      </c>
    </row>
    <row r="4261" spans="1:13" x14ac:dyDescent="0.25">
      <c r="A4261" s="33">
        <v>4260</v>
      </c>
      <c r="B4261" t="s">
        <v>8529</v>
      </c>
      <c r="C4261" s="1">
        <v>37.446647855599998</v>
      </c>
      <c r="D4261" s="1">
        <v>-7.1381317956999997</v>
      </c>
      <c r="E4261" s="3">
        <v>2</v>
      </c>
      <c r="F4261" s="2">
        <v>4</v>
      </c>
      <c r="G4261" s="4">
        <v>4</v>
      </c>
      <c r="H4261" s="13">
        <v>4</v>
      </c>
      <c r="I4261" s="34">
        <v>5</v>
      </c>
      <c r="J4261" s="35">
        <v>4</v>
      </c>
      <c r="K4261" s="2" t="s">
        <v>8530</v>
      </c>
      <c r="L4261" s="36" t="str">
        <f t="shared" si="72"/>
        <v>Ver Imagen</v>
      </c>
      <c r="M4261" t="s">
        <v>8005</v>
      </c>
    </row>
    <row r="4262" spans="1:13" x14ac:dyDescent="0.25">
      <c r="A4262" s="33">
        <v>4261</v>
      </c>
      <c r="B4262" t="s">
        <v>8531</v>
      </c>
      <c r="C4262" s="1">
        <v>37.446998499400003</v>
      </c>
      <c r="D4262" s="1">
        <v>-7.1392885049799997</v>
      </c>
      <c r="E4262" s="3">
        <v>2</v>
      </c>
      <c r="F4262" s="2">
        <v>3</v>
      </c>
      <c r="G4262" s="4">
        <v>4</v>
      </c>
      <c r="H4262" s="13">
        <v>4</v>
      </c>
      <c r="I4262" s="34">
        <v>4</v>
      </c>
      <c r="J4262" s="35">
        <v>4</v>
      </c>
      <c r="K4262" s="2" t="s">
        <v>8532</v>
      </c>
      <c r="L4262" s="36" t="str">
        <f t="shared" si="72"/>
        <v>Ver Imagen</v>
      </c>
      <c r="M4262" t="s">
        <v>8005</v>
      </c>
    </row>
    <row r="4263" spans="1:13" x14ac:dyDescent="0.25">
      <c r="A4263" s="33">
        <v>4262</v>
      </c>
      <c r="B4263" t="s">
        <v>8533</v>
      </c>
      <c r="C4263" s="1">
        <v>37.447777211199998</v>
      </c>
      <c r="D4263" s="1">
        <v>-7.1411197386899996</v>
      </c>
      <c r="E4263" s="3">
        <v>2</v>
      </c>
      <c r="F4263" s="2">
        <v>3</v>
      </c>
      <c r="G4263" s="4">
        <v>4</v>
      </c>
      <c r="H4263" s="13">
        <v>4</v>
      </c>
      <c r="I4263" s="34">
        <v>4</v>
      </c>
      <c r="J4263" s="35">
        <v>4</v>
      </c>
      <c r="K4263" s="2" t="s">
        <v>8534</v>
      </c>
      <c r="L4263" s="36" t="str">
        <f t="shared" si="72"/>
        <v>Ver Imagen</v>
      </c>
      <c r="M4263" t="s">
        <v>8005</v>
      </c>
    </row>
    <row r="4264" spans="1:13" x14ac:dyDescent="0.25">
      <c r="A4264" s="33">
        <v>4263</v>
      </c>
      <c r="B4264" t="s">
        <v>8535</v>
      </c>
      <c r="C4264" s="1">
        <v>37.447874643799999</v>
      </c>
      <c r="D4264" s="1">
        <v>-7.1413294706199997</v>
      </c>
      <c r="E4264" s="3">
        <v>2</v>
      </c>
      <c r="F4264" s="2">
        <v>3</v>
      </c>
      <c r="G4264" s="4">
        <v>4</v>
      </c>
      <c r="H4264" s="13">
        <v>4</v>
      </c>
      <c r="I4264" s="34">
        <v>4</v>
      </c>
      <c r="J4264" s="35">
        <v>4</v>
      </c>
      <c r="K4264" s="2" t="s">
        <v>8536</v>
      </c>
      <c r="L4264" s="36" t="str">
        <f t="shared" si="72"/>
        <v>Ver Imagen</v>
      </c>
      <c r="M4264" t="s">
        <v>8005</v>
      </c>
    </row>
    <row r="4265" spans="1:13" x14ac:dyDescent="0.25">
      <c r="A4265" s="33">
        <v>4264</v>
      </c>
      <c r="B4265" t="s">
        <v>8537</v>
      </c>
      <c r="C4265" s="1">
        <v>37.448096923500003</v>
      </c>
      <c r="D4265" s="1">
        <v>-7.1418015189200004</v>
      </c>
      <c r="E4265" s="3">
        <v>2</v>
      </c>
      <c r="F4265" s="2">
        <v>4</v>
      </c>
      <c r="G4265" s="4">
        <v>4</v>
      </c>
      <c r="H4265" s="13">
        <v>4</v>
      </c>
      <c r="I4265" s="34">
        <v>3</v>
      </c>
      <c r="J4265" s="35">
        <v>4</v>
      </c>
      <c r="K4265" s="2" t="s">
        <v>8538</v>
      </c>
      <c r="L4265" s="36" t="str">
        <f t="shared" si="72"/>
        <v>Ver Imagen</v>
      </c>
      <c r="M4265" t="s">
        <v>8005</v>
      </c>
    </row>
    <row r="4266" spans="1:13" x14ac:dyDescent="0.25">
      <c r="A4266" s="33">
        <v>4265</v>
      </c>
      <c r="B4266" t="s">
        <v>8539</v>
      </c>
      <c r="C4266" s="1">
        <v>37.449072147199999</v>
      </c>
      <c r="D4266" s="1">
        <v>-7.1502155207699998</v>
      </c>
      <c r="E4266" s="3">
        <v>2</v>
      </c>
      <c r="F4266" s="2">
        <v>3</v>
      </c>
      <c r="G4266" s="4">
        <v>4</v>
      </c>
      <c r="H4266" s="13">
        <v>3</v>
      </c>
      <c r="I4266" s="34">
        <v>3</v>
      </c>
      <c r="J4266" s="35">
        <v>3</v>
      </c>
      <c r="K4266" s="2" t="s">
        <v>8540</v>
      </c>
      <c r="L4266" s="36" t="str">
        <f t="shared" si="72"/>
        <v>Ver Imagen</v>
      </c>
      <c r="M4266" t="s">
        <v>8005</v>
      </c>
    </row>
    <row r="4267" spans="1:13" x14ac:dyDescent="0.25">
      <c r="A4267" s="33">
        <v>4266</v>
      </c>
      <c r="B4267" t="s">
        <v>8541</v>
      </c>
      <c r="C4267" s="1">
        <v>37.449193055400002</v>
      </c>
      <c r="D4267" s="1">
        <v>-7.1506714158699998</v>
      </c>
      <c r="E4267" s="3">
        <v>2</v>
      </c>
      <c r="F4267" s="2">
        <v>4</v>
      </c>
      <c r="G4267" s="4">
        <v>4</v>
      </c>
      <c r="H4267" s="13">
        <v>3</v>
      </c>
      <c r="I4267" s="34">
        <v>4</v>
      </c>
      <c r="J4267" s="37">
        <v>3</v>
      </c>
      <c r="K4267" s="2" t="s">
        <v>8542</v>
      </c>
      <c r="L4267" s="36" t="str">
        <f t="shared" si="72"/>
        <v>Ver Imagen</v>
      </c>
      <c r="M4267" s="37" t="s">
        <v>8052</v>
      </c>
    </row>
    <row r="4268" spans="1:13" x14ac:dyDescent="0.25">
      <c r="A4268" s="33">
        <v>4267</v>
      </c>
      <c r="B4268" t="s">
        <v>8543</v>
      </c>
      <c r="C4268" s="1">
        <v>37.450694000299997</v>
      </c>
      <c r="D4268" s="1">
        <v>-7.1533872384899997</v>
      </c>
      <c r="E4268" s="3">
        <v>2</v>
      </c>
      <c r="F4268" s="2">
        <v>3</v>
      </c>
      <c r="G4268" s="4">
        <v>4</v>
      </c>
      <c r="H4268" s="13">
        <v>3</v>
      </c>
      <c r="I4268" s="34">
        <v>3</v>
      </c>
      <c r="J4268" s="35">
        <v>3</v>
      </c>
      <c r="K4268" s="2" t="s">
        <v>8544</v>
      </c>
      <c r="L4268" s="36" t="str">
        <f t="shared" si="72"/>
        <v>Ver Imagen</v>
      </c>
      <c r="M4268" t="s">
        <v>8005</v>
      </c>
    </row>
    <row r="4269" spans="1:13" x14ac:dyDescent="0.25">
      <c r="A4269" s="33">
        <v>4268</v>
      </c>
      <c r="B4269" t="s">
        <v>8545</v>
      </c>
      <c r="C4269" s="1">
        <v>37.452494252900003</v>
      </c>
      <c r="D4269" s="1">
        <v>-7.1605797581799999</v>
      </c>
      <c r="E4269" s="3">
        <v>2</v>
      </c>
      <c r="F4269" s="2">
        <v>4</v>
      </c>
      <c r="G4269" s="4">
        <v>4</v>
      </c>
      <c r="H4269" s="13">
        <v>4</v>
      </c>
      <c r="I4269" s="34">
        <v>4</v>
      </c>
      <c r="J4269" s="35">
        <v>4</v>
      </c>
      <c r="K4269" s="2" t="s">
        <v>8546</v>
      </c>
      <c r="L4269" s="36" t="str">
        <f t="shared" si="72"/>
        <v>Ver Imagen</v>
      </c>
      <c r="M4269" t="s">
        <v>8005</v>
      </c>
    </row>
    <row r="4270" spans="1:13" x14ac:dyDescent="0.25">
      <c r="A4270" s="33">
        <v>4269</v>
      </c>
      <c r="B4270" t="s">
        <v>8547</v>
      </c>
      <c r="C4270" s="1">
        <v>37.452568618999997</v>
      </c>
      <c r="D4270" s="1">
        <v>-7.1608295461200004</v>
      </c>
      <c r="E4270" s="3">
        <v>2</v>
      </c>
      <c r="F4270" s="2">
        <v>4</v>
      </c>
      <c r="G4270" s="4">
        <v>4</v>
      </c>
      <c r="H4270" s="13">
        <v>4</v>
      </c>
      <c r="I4270" s="34">
        <v>4</v>
      </c>
      <c r="J4270" s="35">
        <v>4</v>
      </c>
      <c r="K4270" s="2" t="s">
        <v>8548</v>
      </c>
      <c r="L4270" s="36" t="str">
        <f t="shared" si="72"/>
        <v>Ver Imagen</v>
      </c>
      <c r="M4270" t="s">
        <v>8005</v>
      </c>
    </row>
    <row r="4271" spans="1:13" x14ac:dyDescent="0.25">
      <c r="A4271" s="33">
        <v>4270</v>
      </c>
      <c r="B4271" t="s">
        <v>8549</v>
      </c>
      <c r="C4271" s="1">
        <v>37.455971543899999</v>
      </c>
      <c r="D4271" s="1">
        <v>-7.1667630231899997</v>
      </c>
      <c r="E4271" s="3">
        <v>2</v>
      </c>
      <c r="F4271" s="2">
        <v>4</v>
      </c>
      <c r="G4271" s="4">
        <v>4</v>
      </c>
      <c r="H4271" s="13">
        <v>3</v>
      </c>
      <c r="I4271" s="34">
        <v>3</v>
      </c>
      <c r="J4271" s="35">
        <v>3</v>
      </c>
      <c r="K4271" s="2" t="s">
        <v>8550</v>
      </c>
      <c r="L4271" s="36" t="str">
        <f t="shared" si="72"/>
        <v>Ver Imagen</v>
      </c>
      <c r="M4271" t="s">
        <v>8005</v>
      </c>
    </row>
    <row r="4272" spans="1:13" x14ac:dyDescent="0.25">
      <c r="A4272" s="33">
        <v>4271</v>
      </c>
      <c r="B4272" t="s">
        <v>8551</v>
      </c>
      <c r="C4272" s="1">
        <v>37.456283139999996</v>
      </c>
      <c r="D4272" s="1">
        <v>-7.1671460751299998</v>
      </c>
      <c r="E4272" s="3">
        <v>2</v>
      </c>
      <c r="F4272" s="2">
        <v>4</v>
      </c>
      <c r="G4272" s="4">
        <v>4</v>
      </c>
      <c r="H4272" s="13">
        <v>4</v>
      </c>
      <c r="I4272" s="34">
        <v>4</v>
      </c>
      <c r="J4272" s="35">
        <v>4</v>
      </c>
      <c r="K4272" s="2" t="s">
        <v>8552</v>
      </c>
      <c r="L4272" s="36" t="str">
        <f t="shared" si="72"/>
        <v>Ver Imagen</v>
      </c>
      <c r="M4272" t="s">
        <v>8005</v>
      </c>
    </row>
    <row r="4273" spans="1:13" x14ac:dyDescent="0.25">
      <c r="A4273" s="33">
        <v>4272</v>
      </c>
      <c r="B4273" t="s">
        <v>8553</v>
      </c>
      <c r="C4273" s="1">
        <v>37.457851669500002</v>
      </c>
      <c r="D4273" s="1">
        <v>-7.1690829921699999</v>
      </c>
      <c r="E4273" s="3">
        <v>2</v>
      </c>
      <c r="F4273" s="2">
        <v>4</v>
      </c>
      <c r="G4273" s="4">
        <v>4</v>
      </c>
      <c r="H4273" s="13">
        <v>4</v>
      </c>
      <c r="I4273" s="34">
        <v>4</v>
      </c>
      <c r="J4273" s="35">
        <v>4</v>
      </c>
      <c r="K4273" s="2" t="s">
        <v>8554</v>
      </c>
      <c r="L4273" s="36" t="str">
        <f t="shared" si="72"/>
        <v>Ver Imagen</v>
      </c>
      <c r="M4273" t="s">
        <v>8005</v>
      </c>
    </row>
    <row r="4274" spans="1:13" x14ac:dyDescent="0.25">
      <c r="A4274" s="33">
        <v>4273</v>
      </c>
      <c r="B4274" t="s">
        <v>8555</v>
      </c>
      <c r="C4274" s="1">
        <v>37.458438225199998</v>
      </c>
      <c r="D4274" s="1">
        <v>-7.1698018530500001</v>
      </c>
      <c r="E4274" s="3">
        <v>2</v>
      </c>
      <c r="F4274" s="2">
        <v>4</v>
      </c>
      <c r="G4274" s="4">
        <v>4</v>
      </c>
      <c r="H4274" s="13">
        <v>4</v>
      </c>
      <c r="I4274" s="34">
        <v>4</v>
      </c>
      <c r="J4274" s="35">
        <v>4</v>
      </c>
      <c r="K4274" s="2" t="s">
        <v>8556</v>
      </c>
      <c r="L4274" s="36" t="str">
        <f t="shared" si="72"/>
        <v>Ver Imagen</v>
      </c>
      <c r="M4274" t="s">
        <v>8005</v>
      </c>
    </row>
    <row r="4275" spans="1:13" x14ac:dyDescent="0.25">
      <c r="A4275" s="33">
        <v>4274</v>
      </c>
      <c r="B4275" t="s">
        <v>8557</v>
      </c>
      <c r="C4275" s="1">
        <v>37.458573847899999</v>
      </c>
      <c r="D4275" s="1">
        <v>-7.1699683626999997</v>
      </c>
      <c r="E4275" s="3">
        <v>2</v>
      </c>
      <c r="F4275" s="2">
        <v>4</v>
      </c>
      <c r="G4275" s="4">
        <v>4</v>
      </c>
      <c r="H4275" s="13">
        <v>4</v>
      </c>
      <c r="I4275" s="34">
        <v>4</v>
      </c>
      <c r="J4275" s="35">
        <v>4</v>
      </c>
      <c r="K4275" s="2" t="s">
        <v>8558</v>
      </c>
      <c r="L4275" s="36" t="str">
        <f t="shared" si="72"/>
        <v>Ver Imagen</v>
      </c>
      <c r="M4275" t="s">
        <v>8005</v>
      </c>
    </row>
    <row r="4276" spans="1:13" x14ac:dyDescent="0.25">
      <c r="A4276" s="33">
        <v>4275</v>
      </c>
      <c r="B4276" t="s">
        <v>8559</v>
      </c>
      <c r="C4276" s="1">
        <v>37.458727684599999</v>
      </c>
      <c r="D4276" s="1">
        <v>-7.17015708934</v>
      </c>
      <c r="E4276" s="3">
        <v>2</v>
      </c>
      <c r="F4276" s="2">
        <v>4</v>
      </c>
      <c r="G4276" s="4">
        <v>4</v>
      </c>
      <c r="H4276" s="13">
        <v>4</v>
      </c>
      <c r="I4276" s="34">
        <v>4</v>
      </c>
      <c r="J4276" s="35">
        <v>4</v>
      </c>
      <c r="K4276" s="2" t="s">
        <v>8560</v>
      </c>
      <c r="L4276" s="36" t="str">
        <f t="shared" si="72"/>
        <v>Ver Imagen</v>
      </c>
      <c r="M4276" t="s">
        <v>8005</v>
      </c>
    </row>
    <row r="4277" spans="1:13" x14ac:dyDescent="0.25">
      <c r="A4277" s="33">
        <v>4276</v>
      </c>
      <c r="B4277" t="s">
        <v>8561</v>
      </c>
      <c r="C4277" s="1">
        <v>37.458864187499998</v>
      </c>
      <c r="D4277" s="1">
        <v>-7.1703240778400001</v>
      </c>
      <c r="E4277" s="3">
        <v>2</v>
      </c>
      <c r="F4277" s="2">
        <v>3</v>
      </c>
      <c r="G4277" s="4">
        <v>4</v>
      </c>
      <c r="H4277" s="13">
        <v>4</v>
      </c>
      <c r="I4277" s="34">
        <v>4</v>
      </c>
      <c r="J4277" s="35">
        <v>4</v>
      </c>
      <c r="K4277" s="2" t="s">
        <v>8562</v>
      </c>
      <c r="L4277" s="36" t="str">
        <f t="shared" si="72"/>
        <v>Ver Imagen</v>
      </c>
      <c r="M4277" t="s">
        <v>8005</v>
      </c>
    </row>
    <row r="4278" spans="1:13" x14ac:dyDescent="0.25">
      <c r="A4278" s="33">
        <v>4277</v>
      </c>
      <c r="B4278" t="s">
        <v>8563</v>
      </c>
      <c r="C4278" s="1">
        <v>37.459012210499999</v>
      </c>
      <c r="D4278" s="1">
        <v>-7.1705035555399999</v>
      </c>
      <c r="E4278" s="3">
        <v>2</v>
      </c>
      <c r="F4278" s="2">
        <v>4</v>
      </c>
      <c r="G4278" s="4">
        <v>4</v>
      </c>
      <c r="H4278" s="13">
        <v>4</v>
      </c>
      <c r="I4278" s="34">
        <v>4</v>
      </c>
      <c r="J4278" s="35">
        <v>4</v>
      </c>
      <c r="K4278" s="2" t="s">
        <v>8564</v>
      </c>
      <c r="L4278" s="36" t="str">
        <f t="shared" si="72"/>
        <v>Ver Imagen</v>
      </c>
      <c r="M4278" t="s">
        <v>8005</v>
      </c>
    </row>
    <row r="4279" spans="1:13" x14ac:dyDescent="0.25">
      <c r="A4279" s="33">
        <v>4278</v>
      </c>
      <c r="B4279" t="s">
        <v>8565</v>
      </c>
      <c r="C4279" s="1">
        <v>37.4591635166</v>
      </c>
      <c r="D4279" s="1">
        <v>-7.17068697759</v>
      </c>
      <c r="E4279" s="3">
        <v>2</v>
      </c>
      <c r="F4279" s="2">
        <v>4</v>
      </c>
      <c r="G4279" s="4">
        <v>4</v>
      </c>
      <c r="H4279" s="13">
        <v>4</v>
      </c>
      <c r="I4279" s="34">
        <v>4</v>
      </c>
      <c r="J4279" s="35">
        <v>4</v>
      </c>
      <c r="K4279" s="2" t="s">
        <v>8566</v>
      </c>
      <c r="L4279" s="36" t="str">
        <f t="shared" si="72"/>
        <v>Ver Imagen</v>
      </c>
      <c r="M4279" t="s">
        <v>8005</v>
      </c>
    </row>
    <row r="4280" spans="1:13" x14ac:dyDescent="0.25">
      <c r="A4280" s="33">
        <v>4279</v>
      </c>
      <c r="B4280" t="s">
        <v>8567</v>
      </c>
      <c r="C4280" s="1">
        <v>37.459349096300002</v>
      </c>
      <c r="D4280" s="1">
        <v>-7.1709160882600003</v>
      </c>
      <c r="E4280" s="3">
        <v>2</v>
      </c>
      <c r="F4280" s="2">
        <v>3</v>
      </c>
      <c r="G4280" s="4">
        <v>4</v>
      </c>
      <c r="H4280" s="13">
        <v>3</v>
      </c>
      <c r="I4280" s="34">
        <v>4</v>
      </c>
      <c r="J4280" s="37">
        <v>4</v>
      </c>
      <c r="K4280" s="2" t="s">
        <v>8568</v>
      </c>
      <c r="L4280" s="36" t="str">
        <f t="shared" si="72"/>
        <v>Ver Imagen</v>
      </c>
      <c r="M4280" s="37" t="s">
        <v>8052</v>
      </c>
    </row>
    <row r="4281" spans="1:13" x14ac:dyDescent="0.25">
      <c r="A4281" s="33">
        <v>4280</v>
      </c>
      <c r="B4281" t="s">
        <v>8569</v>
      </c>
      <c r="C4281" s="1">
        <v>37.459708779000003</v>
      </c>
      <c r="D4281" s="1">
        <v>-7.1713982716600002</v>
      </c>
      <c r="E4281" s="3">
        <v>2</v>
      </c>
      <c r="F4281" s="2">
        <v>4</v>
      </c>
      <c r="G4281" s="4">
        <v>4</v>
      </c>
      <c r="H4281" s="13">
        <v>4</v>
      </c>
      <c r="I4281" s="34">
        <v>4</v>
      </c>
      <c r="J4281" s="35">
        <v>4</v>
      </c>
      <c r="K4281" s="2" t="s">
        <v>8570</v>
      </c>
      <c r="L4281" s="36" t="str">
        <f t="shared" si="72"/>
        <v>Ver Imagen</v>
      </c>
      <c r="M4281" t="s">
        <v>8005</v>
      </c>
    </row>
    <row r="4282" spans="1:13" x14ac:dyDescent="0.25">
      <c r="A4282" s="33">
        <v>4281</v>
      </c>
      <c r="B4282" t="s">
        <v>8571</v>
      </c>
      <c r="C4282" s="1">
        <v>37.460958039200001</v>
      </c>
      <c r="D4282" s="1">
        <v>-7.1734112661999996</v>
      </c>
      <c r="E4282" s="3">
        <v>2</v>
      </c>
      <c r="F4282" s="2">
        <v>4</v>
      </c>
      <c r="G4282" s="4">
        <v>4</v>
      </c>
      <c r="H4282" s="13">
        <v>4</v>
      </c>
      <c r="I4282" s="34">
        <v>3</v>
      </c>
      <c r="J4282" s="35">
        <v>4</v>
      </c>
      <c r="K4282" s="2" t="s">
        <v>8572</v>
      </c>
      <c r="L4282" s="36" t="str">
        <f t="shared" si="72"/>
        <v>Ver Imagen</v>
      </c>
      <c r="M4282" t="s">
        <v>8005</v>
      </c>
    </row>
    <row r="4283" spans="1:13" x14ac:dyDescent="0.25">
      <c r="A4283" s="33">
        <v>4282</v>
      </c>
      <c r="B4283" t="s">
        <v>8573</v>
      </c>
      <c r="C4283" s="1">
        <v>37.465960205000002</v>
      </c>
      <c r="D4283" s="1">
        <v>-7.1821022467600004</v>
      </c>
      <c r="E4283" s="3">
        <v>3</v>
      </c>
      <c r="F4283" s="2">
        <v>5</v>
      </c>
      <c r="G4283" s="4">
        <v>4</v>
      </c>
      <c r="H4283" s="13">
        <v>4</v>
      </c>
      <c r="I4283" s="34">
        <v>4</v>
      </c>
      <c r="J4283" s="35">
        <v>4</v>
      </c>
      <c r="K4283" s="2" t="s">
        <v>8574</v>
      </c>
      <c r="L4283" s="36" t="str">
        <f t="shared" si="72"/>
        <v>Ver Imagen</v>
      </c>
      <c r="M4283" t="s">
        <v>8005</v>
      </c>
    </row>
    <row r="4284" spans="1:13" x14ac:dyDescent="0.25">
      <c r="A4284" s="33">
        <v>4283</v>
      </c>
      <c r="B4284" t="s">
        <v>8575</v>
      </c>
      <c r="C4284" s="1">
        <v>37.4665176902</v>
      </c>
      <c r="D4284" s="1">
        <v>-7.1831391132100002</v>
      </c>
      <c r="E4284" s="3">
        <v>2</v>
      </c>
      <c r="F4284" s="2">
        <v>3</v>
      </c>
      <c r="G4284" s="4">
        <v>4</v>
      </c>
      <c r="H4284" s="13">
        <v>3</v>
      </c>
      <c r="I4284" s="34">
        <v>3</v>
      </c>
      <c r="J4284" s="35">
        <v>3</v>
      </c>
      <c r="K4284" s="2" t="s">
        <v>8576</v>
      </c>
      <c r="L4284" s="36" t="str">
        <f t="shared" si="72"/>
        <v>Ver Imagen</v>
      </c>
      <c r="M4284" t="s">
        <v>8005</v>
      </c>
    </row>
    <row r="4285" spans="1:13" x14ac:dyDescent="0.25">
      <c r="A4285" s="33">
        <v>4284</v>
      </c>
      <c r="B4285" t="s">
        <v>8577</v>
      </c>
      <c r="C4285" s="1">
        <v>37.476808482999999</v>
      </c>
      <c r="D4285" s="1">
        <v>-7.2029460999800001</v>
      </c>
      <c r="E4285" s="3">
        <v>2</v>
      </c>
      <c r="F4285" s="2">
        <v>4</v>
      </c>
      <c r="G4285" s="4">
        <v>4</v>
      </c>
      <c r="H4285" s="13">
        <v>3</v>
      </c>
      <c r="I4285" s="34">
        <v>3</v>
      </c>
      <c r="J4285" s="35">
        <v>3</v>
      </c>
      <c r="K4285" s="2" t="s">
        <v>8578</v>
      </c>
      <c r="L4285" s="36" t="str">
        <f t="shared" si="72"/>
        <v>Ver Imagen</v>
      </c>
      <c r="M4285" t="s">
        <v>8005</v>
      </c>
    </row>
    <row r="4286" spans="1:13" x14ac:dyDescent="0.25">
      <c r="A4286" s="33">
        <v>4285</v>
      </c>
      <c r="B4286" t="s">
        <v>8579</v>
      </c>
      <c r="C4286" s="1">
        <v>37.476974775999999</v>
      </c>
      <c r="D4286" s="1">
        <v>-7.2033314529499997</v>
      </c>
      <c r="E4286" s="3">
        <v>2</v>
      </c>
      <c r="F4286" s="2">
        <v>3</v>
      </c>
      <c r="G4286" s="4">
        <v>4</v>
      </c>
      <c r="H4286" s="13">
        <v>3</v>
      </c>
      <c r="I4286" s="34">
        <v>3</v>
      </c>
      <c r="J4286" s="35">
        <v>3</v>
      </c>
      <c r="K4286" s="2" t="s">
        <v>8580</v>
      </c>
      <c r="L4286" s="36" t="str">
        <f t="shared" si="72"/>
        <v>Ver Imagen</v>
      </c>
      <c r="M4286" t="s">
        <v>8005</v>
      </c>
    </row>
    <row r="4287" spans="1:13" x14ac:dyDescent="0.25">
      <c r="A4287" s="33">
        <v>4286</v>
      </c>
      <c r="B4287" t="s">
        <v>8581</v>
      </c>
      <c r="C4287" s="1">
        <v>37.479766871599999</v>
      </c>
      <c r="D4287" s="1">
        <v>-7.2098110479299997</v>
      </c>
      <c r="E4287" s="3">
        <v>2</v>
      </c>
      <c r="F4287" s="2">
        <v>3</v>
      </c>
      <c r="G4287" s="4">
        <v>4</v>
      </c>
      <c r="H4287" s="13">
        <v>3</v>
      </c>
      <c r="I4287" s="34">
        <v>3</v>
      </c>
      <c r="J4287" s="35">
        <v>3</v>
      </c>
      <c r="K4287" s="2" t="s">
        <v>8582</v>
      </c>
      <c r="L4287" s="36" t="str">
        <f t="shared" si="72"/>
        <v>Ver Imagen</v>
      </c>
      <c r="M4287" t="s">
        <v>8005</v>
      </c>
    </row>
    <row r="4288" spans="1:13" x14ac:dyDescent="0.25">
      <c r="A4288" s="33">
        <v>4287</v>
      </c>
      <c r="B4288" t="s">
        <v>8583</v>
      </c>
      <c r="C4288" s="1">
        <v>37.490617605499999</v>
      </c>
      <c r="D4288" s="1">
        <v>-7.24966322604</v>
      </c>
      <c r="E4288" s="3">
        <v>2</v>
      </c>
      <c r="F4288" s="2">
        <v>3</v>
      </c>
      <c r="G4288" s="4">
        <v>4</v>
      </c>
      <c r="H4288" s="13">
        <v>3</v>
      </c>
      <c r="I4288" s="34">
        <v>3</v>
      </c>
      <c r="J4288" s="35">
        <v>3</v>
      </c>
      <c r="K4288" s="2" t="s">
        <v>8584</v>
      </c>
      <c r="L4288" s="36" t="str">
        <f t="shared" si="72"/>
        <v>Ver Imagen</v>
      </c>
      <c r="M4288" t="s">
        <v>8005</v>
      </c>
    </row>
    <row r="4289" spans="1:13" x14ac:dyDescent="0.25">
      <c r="A4289" s="33">
        <v>4288</v>
      </c>
      <c r="B4289" t="s">
        <v>8585</v>
      </c>
      <c r="C4289" s="1">
        <v>37.491759140500001</v>
      </c>
      <c r="D4289" s="1">
        <v>-7.2612684269400001</v>
      </c>
      <c r="E4289" s="3">
        <v>2</v>
      </c>
      <c r="F4289" s="2">
        <v>4</v>
      </c>
      <c r="G4289" s="4">
        <v>4</v>
      </c>
      <c r="H4289" s="13">
        <v>3</v>
      </c>
      <c r="I4289" s="34">
        <v>4</v>
      </c>
      <c r="J4289" s="35">
        <v>4</v>
      </c>
      <c r="K4289" s="2" t="s">
        <v>8586</v>
      </c>
      <c r="L4289" s="36" t="str">
        <f t="shared" si="72"/>
        <v>Ver Imagen</v>
      </c>
      <c r="M4289" t="s">
        <v>8005</v>
      </c>
    </row>
    <row r="4290" spans="1:13" x14ac:dyDescent="0.25">
      <c r="A4290" s="33">
        <v>4289</v>
      </c>
      <c r="B4290" t="s">
        <v>8587</v>
      </c>
      <c r="C4290" s="1">
        <v>37.494998450399997</v>
      </c>
      <c r="D4290" s="1">
        <v>-7.2673366617399999</v>
      </c>
      <c r="E4290" s="3">
        <v>2</v>
      </c>
      <c r="F4290" s="2">
        <v>3</v>
      </c>
      <c r="G4290" s="4">
        <v>4</v>
      </c>
      <c r="H4290" s="13">
        <v>2</v>
      </c>
      <c r="I4290" s="34">
        <v>3</v>
      </c>
      <c r="J4290" s="35">
        <v>3</v>
      </c>
      <c r="K4290" s="2" t="s">
        <v>8588</v>
      </c>
      <c r="L4290" s="36" t="str">
        <f t="shared" si="72"/>
        <v>Ver Imagen</v>
      </c>
      <c r="M4290" t="s">
        <v>8005</v>
      </c>
    </row>
    <row r="4291" spans="1:13" x14ac:dyDescent="0.25">
      <c r="A4291" s="33">
        <v>4290</v>
      </c>
      <c r="B4291" t="s">
        <v>8589</v>
      </c>
      <c r="C4291" s="1">
        <v>37.2725971646</v>
      </c>
      <c r="D4291" s="1">
        <v>-6.9911038759100004</v>
      </c>
      <c r="E4291" s="3">
        <v>2</v>
      </c>
      <c r="F4291" s="2">
        <v>3</v>
      </c>
      <c r="G4291" s="4">
        <v>4</v>
      </c>
      <c r="H4291" s="13">
        <v>3</v>
      </c>
      <c r="I4291" s="34">
        <v>4</v>
      </c>
      <c r="J4291" s="35">
        <v>3</v>
      </c>
      <c r="K4291" s="2" t="s">
        <v>8590</v>
      </c>
      <c r="L4291" s="36" t="str">
        <f t="shared" si="72"/>
        <v>Ver Imagen</v>
      </c>
      <c r="M4291" t="s">
        <v>8005</v>
      </c>
    </row>
    <row r="4292" spans="1:13" x14ac:dyDescent="0.25">
      <c r="A4292" s="33">
        <v>4291</v>
      </c>
      <c r="B4292" t="s">
        <v>8591</v>
      </c>
      <c r="C4292" s="1">
        <v>37.272820255399999</v>
      </c>
      <c r="D4292" s="1">
        <v>-6.9912174702899996</v>
      </c>
      <c r="E4292" s="3">
        <v>2</v>
      </c>
      <c r="F4292" s="2">
        <v>3</v>
      </c>
      <c r="G4292" s="4">
        <v>4</v>
      </c>
      <c r="H4292" s="13">
        <v>3</v>
      </c>
      <c r="I4292" s="34">
        <v>4</v>
      </c>
      <c r="J4292" s="35">
        <v>3</v>
      </c>
      <c r="K4292" s="2" t="s">
        <v>8592</v>
      </c>
      <c r="L4292" s="36" t="str">
        <f t="shared" si="72"/>
        <v>Ver Imagen</v>
      </c>
      <c r="M4292" t="s">
        <v>8005</v>
      </c>
    </row>
    <row r="4293" spans="1:13" x14ac:dyDescent="0.25">
      <c r="A4293" s="33">
        <v>4292</v>
      </c>
      <c r="B4293" t="s">
        <v>8593</v>
      </c>
      <c r="C4293" s="1">
        <v>37.2745687026</v>
      </c>
      <c r="D4293" s="1">
        <v>-6.9912530745300003</v>
      </c>
      <c r="E4293" s="3">
        <v>2</v>
      </c>
      <c r="F4293" s="2">
        <v>4</v>
      </c>
      <c r="G4293" s="4">
        <v>4</v>
      </c>
      <c r="H4293" s="13">
        <v>3</v>
      </c>
      <c r="I4293" s="34">
        <v>4</v>
      </c>
      <c r="J4293" s="35">
        <v>4</v>
      </c>
      <c r="K4293" s="2" t="s">
        <v>8594</v>
      </c>
      <c r="L4293" s="36" t="str">
        <f t="shared" si="72"/>
        <v>Ver Imagen</v>
      </c>
      <c r="M4293" t="s">
        <v>8005</v>
      </c>
    </row>
    <row r="4294" spans="1:13" x14ac:dyDescent="0.25">
      <c r="A4294" s="33">
        <v>4293</v>
      </c>
      <c r="B4294" t="s">
        <v>8595</v>
      </c>
      <c r="C4294" s="1">
        <v>37.276760819899998</v>
      </c>
      <c r="D4294" s="1">
        <v>-6.9915543435699998</v>
      </c>
      <c r="E4294" s="3">
        <v>2</v>
      </c>
      <c r="F4294" s="2">
        <v>3</v>
      </c>
      <c r="G4294" s="4">
        <v>4</v>
      </c>
      <c r="H4294" s="13">
        <v>3</v>
      </c>
      <c r="I4294" s="34">
        <v>4</v>
      </c>
      <c r="J4294" s="37">
        <v>4</v>
      </c>
      <c r="K4294" s="2" t="s">
        <v>8596</v>
      </c>
      <c r="L4294" s="36" t="str">
        <f t="shared" si="72"/>
        <v>Ver Imagen</v>
      </c>
      <c r="M4294" s="37" t="s">
        <v>8052</v>
      </c>
    </row>
    <row r="4295" spans="1:13" x14ac:dyDescent="0.25">
      <c r="A4295" s="33">
        <v>4294</v>
      </c>
      <c r="B4295" t="s">
        <v>8597</v>
      </c>
      <c r="C4295" s="1">
        <v>37.280702718000001</v>
      </c>
      <c r="D4295" s="1">
        <v>-7.0035102370600004</v>
      </c>
      <c r="E4295" s="3">
        <v>4</v>
      </c>
      <c r="F4295" s="2">
        <v>2</v>
      </c>
      <c r="G4295" s="4">
        <v>4</v>
      </c>
      <c r="H4295" s="13">
        <v>2</v>
      </c>
      <c r="I4295" s="34">
        <v>1</v>
      </c>
      <c r="J4295" s="35">
        <v>2</v>
      </c>
      <c r="K4295" s="2" t="s">
        <v>8598</v>
      </c>
      <c r="L4295" s="36" t="str">
        <f t="shared" si="72"/>
        <v>Ver Imagen</v>
      </c>
      <c r="M4295" t="s">
        <v>8005</v>
      </c>
    </row>
    <row r="4296" spans="1:13" x14ac:dyDescent="0.25">
      <c r="A4296" s="33">
        <v>4295</v>
      </c>
      <c r="B4296" t="s">
        <v>8599</v>
      </c>
      <c r="C4296" s="1">
        <v>37.2757974875</v>
      </c>
      <c r="D4296" s="1">
        <v>-7.0154515024700004</v>
      </c>
      <c r="E4296" s="3">
        <v>2</v>
      </c>
      <c r="F4296" s="2">
        <v>4</v>
      </c>
      <c r="G4296" s="4">
        <v>4</v>
      </c>
      <c r="H4296" s="13">
        <v>3</v>
      </c>
      <c r="I4296" s="34">
        <v>2</v>
      </c>
      <c r="J4296" s="35">
        <v>3</v>
      </c>
      <c r="K4296" s="2" t="s">
        <v>8600</v>
      </c>
      <c r="L4296" s="36" t="str">
        <f t="shared" si="72"/>
        <v>Ver Imagen</v>
      </c>
      <c r="M4296" t="s">
        <v>8005</v>
      </c>
    </row>
    <row r="4297" spans="1:13" x14ac:dyDescent="0.25">
      <c r="A4297" s="33">
        <v>4296</v>
      </c>
      <c r="B4297" t="s">
        <v>8601</v>
      </c>
      <c r="C4297" s="1">
        <v>37.311267532499997</v>
      </c>
      <c r="D4297" s="1">
        <v>-7.0593214938299997</v>
      </c>
      <c r="E4297" s="3">
        <v>2</v>
      </c>
      <c r="F4297" s="2">
        <v>3</v>
      </c>
      <c r="G4297" s="4">
        <v>4</v>
      </c>
      <c r="H4297" s="13">
        <v>3</v>
      </c>
      <c r="I4297" s="34">
        <v>3</v>
      </c>
      <c r="J4297" s="35">
        <v>3</v>
      </c>
      <c r="K4297" s="2" t="s">
        <v>8602</v>
      </c>
      <c r="L4297" s="36" t="str">
        <f t="shared" si="72"/>
        <v>Ver Imagen</v>
      </c>
      <c r="M4297" t="s">
        <v>8005</v>
      </c>
    </row>
    <row r="4298" spans="1:13" x14ac:dyDescent="0.25">
      <c r="A4298" s="33">
        <v>4297</v>
      </c>
      <c r="B4298" t="s">
        <v>8603</v>
      </c>
      <c r="C4298" s="1">
        <v>37.315721618300003</v>
      </c>
      <c r="D4298" s="1">
        <v>-7.0682555523900001</v>
      </c>
      <c r="E4298" s="3">
        <v>2</v>
      </c>
      <c r="F4298" s="2">
        <v>3</v>
      </c>
      <c r="G4298" s="4">
        <v>4</v>
      </c>
      <c r="H4298" s="13">
        <v>3</v>
      </c>
      <c r="I4298" s="34">
        <v>4</v>
      </c>
      <c r="J4298" s="35">
        <v>3</v>
      </c>
      <c r="K4298" s="2" t="s">
        <v>8604</v>
      </c>
      <c r="L4298" s="36" t="str">
        <f t="shared" si="72"/>
        <v>Ver Imagen</v>
      </c>
      <c r="M4298" t="s">
        <v>8005</v>
      </c>
    </row>
    <row r="4299" spans="1:13" x14ac:dyDescent="0.25">
      <c r="A4299" s="33">
        <v>4298</v>
      </c>
      <c r="B4299" t="s">
        <v>8605</v>
      </c>
      <c r="C4299" s="1">
        <v>37.3181879276</v>
      </c>
      <c r="D4299" s="1">
        <v>-7.0712849246299996</v>
      </c>
      <c r="E4299" s="3">
        <v>4</v>
      </c>
      <c r="F4299" s="2">
        <v>2</v>
      </c>
      <c r="G4299" s="4">
        <v>4</v>
      </c>
      <c r="H4299" s="13">
        <v>2</v>
      </c>
      <c r="I4299" s="34">
        <v>1</v>
      </c>
      <c r="J4299" s="35">
        <v>2</v>
      </c>
      <c r="K4299" s="2" t="s">
        <v>8606</v>
      </c>
      <c r="L4299" s="36" t="str">
        <f t="shared" si="72"/>
        <v>Ver Imagen</v>
      </c>
      <c r="M4299" t="s">
        <v>8005</v>
      </c>
    </row>
    <row r="4300" spans="1:13" x14ac:dyDescent="0.25">
      <c r="A4300" s="33">
        <v>4299</v>
      </c>
      <c r="B4300" t="s">
        <v>8607</v>
      </c>
      <c r="C4300" s="1">
        <v>37.457519638000001</v>
      </c>
      <c r="D4300" s="1">
        <v>-7.1140987925500001</v>
      </c>
      <c r="E4300" s="3">
        <v>3</v>
      </c>
      <c r="F4300" s="2">
        <v>5</v>
      </c>
      <c r="G4300" s="4">
        <v>4</v>
      </c>
      <c r="H4300" s="13">
        <v>3</v>
      </c>
      <c r="I4300" s="34">
        <v>4</v>
      </c>
      <c r="J4300" s="35">
        <v>4</v>
      </c>
      <c r="K4300" s="2" t="s">
        <v>8608</v>
      </c>
      <c r="L4300" s="36" t="str">
        <f t="shared" si="72"/>
        <v>Ver Imagen</v>
      </c>
      <c r="M4300" t="s">
        <v>8005</v>
      </c>
    </row>
    <row r="4301" spans="1:13" x14ac:dyDescent="0.25">
      <c r="A4301" s="33">
        <v>4300</v>
      </c>
      <c r="B4301" t="s">
        <v>8609</v>
      </c>
      <c r="C4301" s="1">
        <v>37.269419433400003</v>
      </c>
      <c r="D4301" s="1">
        <v>-6.9774377885399996</v>
      </c>
      <c r="E4301" s="3">
        <v>2</v>
      </c>
      <c r="F4301" s="2">
        <v>4</v>
      </c>
      <c r="G4301" s="4">
        <v>4</v>
      </c>
      <c r="H4301" s="13">
        <v>3</v>
      </c>
      <c r="I4301" s="34">
        <v>4</v>
      </c>
      <c r="J4301" s="35">
        <v>4</v>
      </c>
      <c r="K4301" s="2" t="s">
        <v>8610</v>
      </c>
      <c r="L4301" s="36" t="str">
        <f t="shared" si="72"/>
        <v>Ver Imagen</v>
      </c>
      <c r="M4301" t="s">
        <v>8005</v>
      </c>
    </row>
    <row r="4302" spans="1:13" x14ac:dyDescent="0.25">
      <c r="A4302" s="33">
        <v>4301</v>
      </c>
      <c r="B4302" t="s">
        <v>8611</v>
      </c>
      <c r="C4302" s="1">
        <v>37.2673092948</v>
      </c>
      <c r="D4302" s="1">
        <v>-6.9574950935700004</v>
      </c>
      <c r="E4302" s="3">
        <v>2</v>
      </c>
      <c r="F4302" s="2">
        <v>4</v>
      </c>
      <c r="G4302" s="4">
        <v>4</v>
      </c>
      <c r="H4302" s="13">
        <v>3</v>
      </c>
      <c r="I4302" s="34">
        <v>3</v>
      </c>
      <c r="J4302" s="35">
        <v>3</v>
      </c>
      <c r="K4302" s="2" t="s">
        <v>8612</v>
      </c>
      <c r="L4302" s="36" t="str">
        <f t="shared" si="72"/>
        <v>Ver Imagen</v>
      </c>
      <c r="M4302" t="s">
        <v>8005</v>
      </c>
    </row>
    <row r="4303" spans="1:13" x14ac:dyDescent="0.25">
      <c r="A4303" s="33">
        <v>4302</v>
      </c>
      <c r="B4303" t="s">
        <v>8613</v>
      </c>
      <c r="C4303" s="1">
        <v>37.190994855500001</v>
      </c>
      <c r="D4303" s="1">
        <v>-6.99098168087</v>
      </c>
      <c r="E4303" s="3">
        <v>2</v>
      </c>
      <c r="F4303" s="2">
        <v>3</v>
      </c>
      <c r="G4303" s="4">
        <v>4</v>
      </c>
      <c r="H4303" s="13">
        <v>3</v>
      </c>
      <c r="I4303" s="34">
        <v>4</v>
      </c>
      <c r="J4303" s="35">
        <v>3</v>
      </c>
      <c r="K4303" s="2" t="s">
        <v>8614</v>
      </c>
      <c r="L4303" s="36" t="str">
        <f t="shared" si="72"/>
        <v>Ver Imagen</v>
      </c>
      <c r="M4303" t="s">
        <v>8005</v>
      </c>
    </row>
    <row r="4304" spans="1:13" x14ac:dyDescent="0.25">
      <c r="A4304" s="33">
        <v>4303</v>
      </c>
      <c r="B4304" t="s">
        <v>8615</v>
      </c>
      <c r="C4304" s="1">
        <v>37.191097421999999</v>
      </c>
      <c r="D4304" s="1">
        <v>-6.9911915203900001</v>
      </c>
      <c r="E4304" s="3">
        <v>2</v>
      </c>
      <c r="F4304" s="2">
        <v>3</v>
      </c>
      <c r="G4304" s="4">
        <v>4</v>
      </c>
      <c r="H4304" s="13">
        <v>3</v>
      </c>
      <c r="I4304" s="34">
        <v>4</v>
      </c>
      <c r="J4304" s="35">
        <v>3</v>
      </c>
      <c r="K4304" s="2" t="s">
        <v>8616</v>
      </c>
      <c r="L4304" s="36" t="str">
        <f t="shared" si="72"/>
        <v>Ver Imagen</v>
      </c>
      <c r="M4304" t="s">
        <v>8005</v>
      </c>
    </row>
    <row r="4305" spans="1:13" x14ac:dyDescent="0.25">
      <c r="A4305" s="33">
        <v>4304</v>
      </c>
      <c r="B4305" t="s">
        <v>8617</v>
      </c>
      <c r="C4305" s="1">
        <v>37.2179662255</v>
      </c>
      <c r="D4305" s="1">
        <v>-7.12128775492</v>
      </c>
      <c r="E4305" s="3">
        <v>5</v>
      </c>
      <c r="F4305" s="2">
        <v>3</v>
      </c>
      <c r="G4305" s="4">
        <v>4</v>
      </c>
      <c r="H4305" s="13">
        <v>4</v>
      </c>
      <c r="I4305" s="34">
        <v>4</v>
      </c>
      <c r="J4305" s="35">
        <v>4</v>
      </c>
      <c r="K4305" s="2" t="s">
        <v>8618</v>
      </c>
      <c r="L4305" s="36" t="str">
        <f t="shared" si="72"/>
        <v>Ver Imagen</v>
      </c>
      <c r="M4305" t="s">
        <v>8005</v>
      </c>
    </row>
    <row r="4306" spans="1:13" x14ac:dyDescent="0.25">
      <c r="A4306" s="33">
        <v>4305</v>
      </c>
      <c r="B4306" t="s">
        <v>8619</v>
      </c>
      <c r="C4306" s="1">
        <v>37.235992330400002</v>
      </c>
      <c r="D4306" s="1">
        <v>-7.0747909795400004</v>
      </c>
      <c r="E4306" s="3">
        <v>4</v>
      </c>
      <c r="F4306" s="2">
        <v>2</v>
      </c>
      <c r="G4306" s="4">
        <v>4</v>
      </c>
      <c r="H4306" s="13">
        <v>2</v>
      </c>
      <c r="I4306" s="34">
        <v>3</v>
      </c>
      <c r="J4306" s="35">
        <v>3</v>
      </c>
      <c r="K4306" s="2" t="s">
        <v>8620</v>
      </c>
      <c r="L4306" s="36" t="str">
        <f t="shared" si="72"/>
        <v>Ver Imagen</v>
      </c>
      <c r="M4306" t="s">
        <v>8005</v>
      </c>
    </row>
    <row r="4307" spans="1:13" x14ac:dyDescent="0.25">
      <c r="A4307" s="33">
        <v>4306</v>
      </c>
      <c r="B4307" t="s">
        <v>8621</v>
      </c>
      <c r="C4307" s="1">
        <v>37.245248761399999</v>
      </c>
      <c r="D4307" s="1">
        <v>-7.0927032723099996</v>
      </c>
      <c r="E4307" s="3">
        <v>4</v>
      </c>
      <c r="F4307" s="2">
        <v>2</v>
      </c>
      <c r="G4307" s="4">
        <v>4</v>
      </c>
      <c r="H4307" s="13">
        <v>3</v>
      </c>
      <c r="I4307" s="34">
        <v>3</v>
      </c>
      <c r="J4307" s="35">
        <v>3</v>
      </c>
      <c r="K4307" s="2" t="s">
        <v>8622</v>
      </c>
      <c r="L4307" s="36" t="str">
        <f t="shared" si="72"/>
        <v>Ver Imagen</v>
      </c>
      <c r="M4307" t="s">
        <v>8005</v>
      </c>
    </row>
    <row r="4308" spans="1:13" x14ac:dyDescent="0.25">
      <c r="A4308" s="33">
        <v>4307</v>
      </c>
      <c r="B4308" t="s">
        <v>8623</v>
      </c>
      <c r="C4308" s="1">
        <v>37.245547779600003</v>
      </c>
      <c r="D4308" s="1">
        <v>-7.0954714589699996</v>
      </c>
      <c r="E4308" s="3">
        <v>4</v>
      </c>
      <c r="F4308" s="2">
        <v>2</v>
      </c>
      <c r="G4308" s="4">
        <v>4</v>
      </c>
      <c r="H4308" s="13">
        <v>2</v>
      </c>
      <c r="I4308" s="34">
        <v>3</v>
      </c>
      <c r="J4308" s="35">
        <v>3</v>
      </c>
      <c r="K4308" s="2" t="s">
        <v>8624</v>
      </c>
      <c r="L4308" s="36" t="str">
        <f t="shared" si="72"/>
        <v>Ver Imagen</v>
      </c>
      <c r="M4308" t="s">
        <v>8005</v>
      </c>
    </row>
    <row r="4309" spans="1:13" x14ac:dyDescent="0.25">
      <c r="A4309" s="33">
        <v>4308</v>
      </c>
      <c r="B4309" t="s">
        <v>8625</v>
      </c>
      <c r="C4309" s="1">
        <v>37.258793255800001</v>
      </c>
      <c r="D4309" s="1">
        <v>-7.122306901</v>
      </c>
      <c r="E4309" s="3">
        <v>4</v>
      </c>
      <c r="F4309" s="2">
        <v>2</v>
      </c>
      <c r="G4309" s="4">
        <v>4</v>
      </c>
      <c r="H4309" s="13">
        <v>3</v>
      </c>
      <c r="I4309" s="34">
        <v>3</v>
      </c>
      <c r="J4309" s="35">
        <v>3</v>
      </c>
      <c r="K4309" s="2" t="s">
        <v>8626</v>
      </c>
      <c r="L4309" s="36" t="str">
        <f t="shared" si="72"/>
        <v>Ver Imagen</v>
      </c>
      <c r="M4309" t="s">
        <v>8005</v>
      </c>
    </row>
    <row r="4310" spans="1:13" x14ac:dyDescent="0.25">
      <c r="A4310" s="33">
        <v>4309</v>
      </c>
      <c r="B4310" t="s">
        <v>8627</v>
      </c>
      <c r="C4310" s="1">
        <v>37.478092174499999</v>
      </c>
      <c r="D4310" s="1">
        <v>-7.1273946308899996</v>
      </c>
      <c r="E4310" s="3">
        <v>4</v>
      </c>
      <c r="F4310" s="2">
        <v>2</v>
      </c>
      <c r="G4310" s="4">
        <v>4</v>
      </c>
      <c r="H4310" s="13">
        <v>3</v>
      </c>
      <c r="I4310" s="34">
        <v>3</v>
      </c>
      <c r="J4310" s="35">
        <v>3</v>
      </c>
      <c r="K4310" s="2" t="s">
        <v>8628</v>
      </c>
      <c r="L4310" s="36" t="str">
        <f t="shared" si="72"/>
        <v>Ver Imagen</v>
      </c>
      <c r="M4310" t="s">
        <v>8005</v>
      </c>
    </row>
    <row r="4311" spans="1:13" x14ac:dyDescent="0.25">
      <c r="A4311" s="33">
        <v>4310</v>
      </c>
      <c r="B4311" t="s">
        <v>8629</v>
      </c>
      <c r="C4311" s="1">
        <v>37.473159500599998</v>
      </c>
      <c r="D4311" s="1">
        <v>-7.1263866044600004</v>
      </c>
      <c r="E4311" s="3">
        <v>4</v>
      </c>
      <c r="F4311" s="2">
        <v>2</v>
      </c>
      <c r="G4311" s="4">
        <v>4</v>
      </c>
      <c r="H4311" s="13">
        <v>3</v>
      </c>
      <c r="I4311" s="34">
        <v>3</v>
      </c>
      <c r="J4311" s="35">
        <v>3</v>
      </c>
      <c r="K4311" s="2" t="s">
        <v>8630</v>
      </c>
      <c r="L4311" s="36" t="str">
        <f t="shared" si="72"/>
        <v>Ver Imagen</v>
      </c>
      <c r="M4311" t="s">
        <v>8005</v>
      </c>
    </row>
    <row r="4312" spans="1:13" x14ac:dyDescent="0.25">
      <c r="A4312" s="33">
        <v>4311</v>
      </c>
      <c r="B4312" t="s">
        <v>8631</v>
      </c>
      <c r="C4312" s="1">
        <v>37.472764194</v>
      </c>
      <c r="D4312" s="1">
        <v>-7.1264133948100001</v>
      </c>
      <c r="E4312" s="3">
        <v>4</v>
      </c>
      <c r="F4312" s="2">
        <v>2</v>
      </c>
      <c r="G4312" s="4">
        <v>4</v>
      </c>
      <c r="H4312" s="13">
        <v>3</v>
      </c>
      <c r="I4312" s="34">
        <v>3</v>
      </c>
      <c r="J4312" s="35">
        <v>3</v>
      </c>
      <c r="K4312" s="2" t="s">
        <v>8632</v>
      </c>
      <c r="L4312" s="36" t="str">
        <f t="shared" si="72"/>
        <v>Ver Imagen</v>
      </c>
      <c r="M4312" t="s">
        <v>8005</v>
      </c>
    </row>
    <row r="4313" spans="1:13" x14ac:dyDescent="0.25">
      <c r="A4313" s="33">
        <v>4312</v>
      </c>
      <c r="B4313" t="s">
        <v>8633</v>
      </c>
      <c r="C4313" s="1">
        <v>37.471814579899998</v>
      </c>
      <c r="D4313" s="1">
        <v>-7.1260644912400002</v>
      </c>
      <c r="E4313" s="3">
        <v>4</v>
      </c>
      <c r="F4313" s="2">
        <v>2</v>
      </c>
      <c r="G4313" s="4">
        <v>4</v>
      </c>
      <c r="H4313" s="13">
        <v>3</v>
      </c>
      <c r="I4313" s="34">
        <v>3</v>
      </c>
      <c r="J4313" s="35">
        <v>3</v>
      </c>
      <c r="K4313" s="2" t="s">
        <v>8634</v>
      </c>
      <c r="L4313" s="36" t="str">
        <f t="shared" si="72"/>
        <v>Ver Imagen</v>
      </c>
      <c r="M4313" t="s">
        <v>8005</v>
      </c>
    </row>
    <row r="4314" spans="1:13" x14ac:dyDescent="0.25">
      <c r="A4314" s="33">
        <v>4313</v>
      </c>
      <c r="B4314" t="s">
        <v>8635</v>
      </c>
      <c r="C4314" s="1">
        <v>37.4953877031</v>
      </c>
      <c r="D4314" s="1">
        <v>-7.2707925221399998</v>
      </c>
      <c r="E4314" s="3">
        <v>4</v>
      </c>
      <c r="F4314" s="2">
        <v>2</v>
      </c>
      <c r="G4314" s="4">
        <v>4</v>
      </c>
      <c r="H4314" s="13">
        <v>2</v>
      </c>
      <c r="I4314" s="34">
        <v>2</v>
      </c>
      <c r="J4314" s="35">
        <v>2</v>
      </c>
      <c r="K4314" s="2" t="s">
        <v>8636</v>
      </c>
      <c r="L4314" s="36" t="str">
        <f t="shared" si="72"/>
        <v>Ver Imagen</v>
      </c>
      <c r="M4314" t="s">
        <v>8005</v>
      </c>
    </row>
    <row r="4315" spans="1:13" x14ac:dyDescent="0.25">
      <c r="A4315" s="33">
        <v>4314</v>
      </c>
      <c r="B4315" t="s">
        <v>8637</v>
      </c>
      <c r="C4315" s="1">
        <v>37.495416809600002</v>
      </c>
      <c r="D4315" s="1">
        <v>-7.2705188866699997</v>
      </c>
      <c r="E4315" s="3">
        <v>4</v>
      </c>
      <c r="F4315" s="2">
        <v>2</v>
      </c>
      <c r="G4315" s="4">
        <v>4</v>
      </c>
      <c r="H4315" s="13">
        <v>2</v>
      </c>
      <c r="I4315" s="34">
        <v>3</v>
      </c>
      <c r="J4315" s="35">
        <v>3</v>
      </c>
      <c r="K4315" s="2" t="s">
        <v>8638</v>
      </c>
      <c r="L4315" s="36" t="str">
        <f t="shared" si="72"/>
        <v>Ver Imagen</v>
      </c>
      <c r="M4315" t="s">
        <v>8005</v>
      </c>
    </row>
    <row r="4316" spans="1:13" x14ac:dyDescent="0.25">
      <c r="A4316" s="33">
        <v>4315</v>
      </c>
      <c r="B4316" t="s">
        <v>8639</v>
      </c>
      <c r="C4316" s="1">
        <v>37.495638115299997</v>
      </c>
      <c r="D4316" s="1">
        <v>-7.2680389754999997</v>
      </c>
      <c r="E4316" s="3">
        <v>4</v>
      </c>
      <c r="F4316" s="2">
        <v>3</v>
      </c>
      <c r="G4316" s="4">
        <v>5</v>
      </c>
      <c r="H4316" s="13">
        <v>3</v>
      </c>
      <c r="I4316" s="34">
        <v>4</v>
      </c>
      <c r="J4316" s="35">
        <v>4</v>
      </c>
      <c r="K4316" s="2" t="s">
        <v>8640</v>
      </c>
      <c r="L4316" s="36" t="str">
        <f t="shared" si="72"/>
        <v>Ver Imagen</v>
      </c>
      <c r="M4316" t="s">
        <v>8005</v>
      </c>
    </row>
    <row r="4317" spans="1:13" x14ac:dyDescent="0.25">
      <c r="A4317" s="33">
        <v>4316</v>
      </c>
      <c r="B4317" t="s">
        <v>8641</v>
      </c>
      <c r="C4317" s="1">
        <v>37.195148763600002</v>
      </c>
      <c r="D4317" s="1">
        <v>-6.9779563004299998</v>
      </c>
      <c r="E4317" s="3">
        <v>4</v>
      </c>
      <c r="F4317" s="2">
        <v>2</v>
      </c>
      <c r="G4317" s="4">
        <v>4</v>
      </c>
      <c r="H4317" s="13">
        <v>3</v>
      </c>
      <c r="I4317" s="34">
        <v>3</v>
      </c>
      <c r="J4317" s="35">
        <v>3</v>
      </c>
      <c r="K4317" s="2" t="s">
        <v>8642</v>
      </c>
      <c r="L4317" s="36" t="str">
        <f t="shared" si="72"/>
        <v>Ver Imagen</v>
      </c>
      <c r="M4317" t="s">
        <v>8005</v>
      </c>
    </row>
    <row r="4318" spans="1:13" x14ac:dyDescent="0.25">
      <c r="A4318" s="33">
        <v>4317</v>
      </c>
      <c r="B4318" t="s">
        <v>8643</v>
      </c>
      <c r="C4318" s="1">
        <v>37.199931945800003</v>
      </c>
      <c r="D4318" s="1">
        <v>-6.9855737073700004</v>
      </c>
      <c r="E4318" s="3">
        <v>4</v>
      </c>
      <c r="F4318" s="2">
        <v>2</v>
      </c>
      <c r="G4318" s="4">
        <v>4</v>
      </c>
      <c r="H4318" s="13">
        <v>2</v>
      </c>
      <c r="I4318" s="34">
        <v>2</v>
      </c>
      <c r="J4318" s="35">
        <v>2</v>
      </c>
      <c r="K4318" s="2" t="s">
        <v>8644</v>
      </c>
      <c r="L4318" s="36" t="str">
        <f t="shared" ref="L4318:L4381" si="73">HYPERLINK("NoConsenso\" &amp; K4318, "Ver Imagen")</f>
        <v>Ver Imagen</v>
      </c>
      <c r="M4318" t="s">
        <v>8005</v>
      </c>
    </row>
    <row r="4319" spans="1:13" x14ac:dyDescent="0.25">
      <c r="A4319" s="33">
        <v>4318</v>
      </c>
      <c r="B4319" t="s">
        <v>8645</v>
      </c>
      <c r="C4319" s="1">
        <v>37.200525342900001</v>
      </c>
      <c r="D4319" s="1">
        <v>-6.9880467530999999</v>
      </c>
      <c r="E4319" s="3">
        <v>4</v>
      </c>
      <c r="F4319" s="2">
        <v>2</v>
      </c>
      <c r="G4319" s="4">
        <v>4</v>
      </c>
      <c r="H4319" s="13">
        <v>2</v>
      </c>
      <c r="I4319" s="34">
        <v>1</v>
      </c>
      <c r="J4319" s="35">
        <v>2</v>
      </c>
      <c r="K4319" s="2" t="s">
        <v>8646</v>
      </c>
      <c r="L4319" s="36" t="str">
        <f t="shared" si="73"/>
        <v>Ver Imagen</v>
      </c>
      <c r="M4319" t="s">
        <v>8005</v>
      </c>
    </row>
    <row r="4320" spans="1:13" x14ac:dyDescent="0.25">
      <c r="A4320" s="33">
        <v>4319</v>
      </c>
      <c r="B4320" t="s">
        <v>8647</v>
      </c>
      <c r="C4320" s="1">
        <v>37.200963007399999</v>
      </c>
      <c r="D4320" s="1">
        <v>-6.9899869949799998</v>
      </c>
      <c r="E4320" s="3">
        <v>4</v>
      </c>
      <c r="F4320" s="2">
        <v>2</v>
      </c>
      <c r="G4320" s="4">
        <v>4</v>
      </c>
      <c r="H4320" s="13">
        <v>2</v>
      </c>
      <c r="I4320" s="34">
        <v>1</v>
      </c>
      <c r="J4320" s="35">
        <v>2</v>
      </c>
      <c r="K4320" s="2" t="s">
        <v>8648</v>
      </c>
      <c r="L4320" s="36" t="str">
        <f t="shared" si="73"/>
        <v>Ver Imagen</v>
      </c>
      <c r="M4320" t="s">
        <v>8005</v>
      </c>
    </row>
    <row r="4321" spans="1:14" x14ac:dyDescent="0.25">
      <c r="A4321" s="33">
        <v>4320</v>
      </c>
      <c r="B4321" t="s">
        <v>8649</v>
      </c>
      <c r="C4321" s="1">
        <v>37.202915038100002</v>
      </c>
      <c r="D4321" s="1">
        <v>-7.0021469361799999</v>
      </c>
      <c r="E4321" s="3">
        <v>4</v>
      </c>
      <c r="F4321" s="2">
        <v>2</v>
      </c>
      <c r="G4321" s="4">
        <v>4</v>
      </c>
      <c r="H4321" s="13">
        <v>2</v>
      </c>
      <c r="I4321" s="34">
        <v>2</v>
      </c>
      <c r="J4321" s="35">
        <v>2</v>
      </c>
      <c r="K4321" s="2" t="s">
        <v>8650</v>
      </c>
      <c r="L4321" s="36" t="str">
        <f t="shared" si="73"/>
        <v>Ver Imagen</v>
      </c>
      <c r="M4321" t="s">
        <v>8005</v>
      </c>
    </row>
    <row r="4322" spans="1:14" x14ac:dyDescent="0.25">
      <c r="A4322" s="33">
        <v>4321</v>
      </c>
      <c r="B4322" t="s">
        <v>8651</v>
      </c>
      <c r="C4322" s="1">
        <v>37.205697302899999</v>
      </c>
      <c r="D4322" s="1">
        <v>-7.0184244718000004</v>
      </c>
      <c r="E4322" s="3">
        <v>4</v>
      </c>
      <c r="F4322" s="2">
        <v>2</v>
      </c>
      <c r="G4322" s="4">
        <v>4</v>
      </c>
      <c r="H4322" s="13">
        <v>1</v>
      </c>
      <c r="I4322" s="34">
        <v>2</v>
      </c>
      <c r="J4322" s="35">
        <v>2</v>
      </c>
      <c r="K4322" s="2" t="s">
        <v>8652</v>
      </c>
      <c r="L4322" s="36" t="str">
        <f t="shared" si="73"/>
        <v>Ver Imagen</v>
      </c>
      <c r="M4322" t="s">
        <v>8005</v>
      </c>
    </row>
    <row r="4323" spans="1:14" x14ac:dyDescent="0.25">
      <c r="A4323" s="33">
        <v>4322</v>
      </c>
      <c r="B4323" t="s">
        <v>8653</v>
      </c>
      <c r="C4323" s="1">
        <v>37.206798498399998</v>
      </c>
      <c r="D4323" s="1">
        <v>-7.0208330473</v>
      </c>
      <c r="E4323" s="3">
        <v>4</v>
      </c>
      <c r="F4323" s="2">
        <v>2</v>
      </c>
      <c r="G4323" s="4">
        <v>4</v>
      </c>
      <c r="H4323" s="13">
        <v>2</v>
      </c>
      <c r="I4323" s="34">
        <v>2</v>
      </c>
      <c r="J4323" s="35">
        <v>2</v>
      </c>
      <c r="K4323" s="2" t="s">
        <v>8654</v>
      </c>
      <c r="L4323" s="36" t="str">
        <f t="shared" si="73"/>
        <v>Ver Imagen</v>
      </c>
      <c r="M4323" t="s">
        <v>8005</v>
      </c>
    </row>
    <row r="4324" spans="1:14" x14ac:dyDescent="0.25">
      <c r="A4324" s="33">
        <v>4323</v>
      </c>
      <c r="B4324" t="s">
        <v>8655</v>
      </c>
      <c r="C4324" s="1">
        <v>37.203365846499999</v>
      </c>
      <c r="D4324" s="1">
        <v>-7.0070494873299998</v>
      </c>
      <c r="E4324" s="3">
        <v>4</v>
      </c>
      <c r="F4324" s="2">
        <v>2</v>
      </c>
      <c r="G4324" s="4">
        <v>4</v>
      </c>
      <c r="H4324" s="13">
        <v>2</v>
      </c>
      <c r="I4324" s="34">
        <v>3</v>
      </c>
      <c r="J4324" s="37">
        <v>2</v>
      </c>
      <c r="K4324" s="2" t="s">
        <v>8656</v>
      </c>
      <c r="L4324" s="36" t="str">
        <f t="shared" si="73"/>
        <v>Ver Imagen</v>
      </c>
      <c r="M4324" s="37" t="s">
        <v>8052</v>
      </c>
    </row>
    <row r="4325" spans="1:14" x14ac:dyDescent="0.25">
      <c r="A4325" s="33">
        <v>4324</v>
      </c>
      <c r="B4325" t="s">
        <v>8657</v>
      </c>
      <c r="C4325" s="1">
        <v>37.244188550300002</v>
      </c>
      <c r="D4325" s="1">
        <v>-7.01832637551</v>
      </c>
      <c r="E4325" s="3">
        <v>4</v>
      </c>
      <c r="F4325" s="2">
        <v>2</v>
      </c>
      <c r="G4325" s="4">
        <v>4</v>
      </c>
      <c r="H4325" s="13">
        <v>2</v>
      </c>
      <c r="I4325" s="34">
        <v>3</v>
      </c>
      <c r="J4325" s="35">
        <v>3</v>
      </c>
      <c r="K4325" s="2" t="s">
        <v>8658</v>
      </c>
      <c r="L4325" s="36" t="str">
        <f t="shared" si="73"/>
        <v>Ver Imagen</v>
      </c>
      <c r="M4325" t="s">
        <v>8005</v>
      </c>
    </row>
    <row r="4326" spans="1:14" x14ac:dyDescent="0.25">
      <c r="A4326" s="33">
        <v>4325</v>
      </c>
      <c r="B4326" t="s">
        <v>8659</v>
      </c>
      <c r="C4326" s="1">
        <v>37.244589565299997</v>
      </c>
      <c r="D4326" s="1">
        <v>-7.0183152179199997</v>
      </c>
      <c r="E4326" s="3">
        <v>4</v>
      </c>
      <c r="F4326" s="2">
        <v>2</v>
      </c>
      <c r="G4326" s="4">
        <v>4</v>
      </c>
      <c r="H4326" s="13">
        <v>2</v>
      </c>
      <c r="I4326" s="34">
        <v>3</v>
      </c>
      <c r="J4326" s="35">
        <v>3</v>
      </c>
      <c r="K4326" s="2" t="s">
        <v>8660</v>
      </c>
      <c r="L4326" s="36" t="str">
        <f t="shared" si="73"/>
        <v>Ver Imagen</v>
      </c>
      <c r="M4326" t="s">
        <v>8005</v>
      </c>
    </row>
    <row r="4327" spans="1:14" x14ac:dyDescent="0.25">
      <c r="A4327" s="33">
        <v>4326</v>
      </c>
      <c r="B4327" t="s">
        <v>8661</v>
      </c>
      <c r="C4327" s="1">
        <v>37.447155608700001</v>
      </c>
      <c r="D4327" s="1">
        <v>-7.1397522537100002</v>
      </c>
      <c r="E4327" s="3">
        <v>3</v>
      </c>
      <c r="F4327" s="2">
        <v>5</v>
      </c>
      <c r="G4327" s="4">
        <v>5</v>
      </c>
      <c r="H4327" s="13">
        <v>4</v>
      </c>
      <c r="I4327" s="34">
        <v>5</v>
      </c>
      <c r="J4327" s="35">
        <v>5</v>
      </c>
      <c r="K4327" s="2" t="s">
        <v>8662</v>
      </c>
      <c r="L4327" s="36" t="str">
        <f t="shared" si="73"/>
        <v>Ver Imagen</v>
      </c>
      <c r="M4327" t="s">
        <v>8005</v>
      </c>
    </row>
    <row r="4328" spans="1:14" x14ac:dyDescent="0.25">
      <c r="A4328" s="33">
        <v>4327</v>
      </c>
      <c r="B4328" t="s">
        <v>8663</v>
      </c>
      <c r="C4328" s="1">
        <v>37.448519170099999</v>
      </c>
      <c r="D4328" s="1">
        <v>-7.1439212494</v>
      </c>
      <c r="E4328" s="3">
        <v>3</v>
      </c>
      <c r="F4328" s="2">
        <v>5</v>
      </c>
      <c r="G4328" s="4">
        <v>5</v>
      </c>
      <c r="H4328" s="13">
        <v>5</v>
      </c>
      <c r="I4328" s="34">
        <v>4</v>
      </c>
      <c r="J4328" s="35">
        <v>5</v>
      </c>
      <c r="K4328" s="2" t="s">
        <v>8664</v>
      </c>
      <c r="L4328" s="36" t="str">
        <f t="shared" si="73"/>
        <v>Ver Imagen</v>
      </c>
      <c r="M4328" t="s">
        <v>8005</v>
      </c>
    </row>
    <row r="4329" spans="1:14" x14ac:dyDescent="0.25">
      <c r="A4329" s="33">
        <v>4328</v>
      </c>
      <c r="B4329" t="s">
        <v>8665</v>
      </c>
      <c r="C4329" s="1">
        <v>37.448535827699999</v>
      </c>
      <c r="D4329" s="1">
        <v>-7.1442132693999998</v>
      </c>
      <c r="E4329" s="3">
        <v>3</v>
      </c>
      <c r="F4329" s="2">
        <v>5</v>
      </c>
      <c r="G4329" s="4">
        <v>5</v>
      </c>
      <c r="H4329" s="13">
        <v>5</v>
      </c>
      <c r="I4329" s="34">
        <v>5</v>
      </c>
      <c r="J4329" s="35">
        <v>5</v>
      </c>
      <c r="K4329" s="2" t="s">
        <v>8666</v>
      </c>
      <c r="L4329" s="36" t="str">
        <f t="shared" si="73"/>
        <v>Ver Imagen</v>
      </c>
      <c r="M4329" t="s">
        <v>8005</v>
      </c>
    </row>
    <row r="4330" spans="1:14" x14ac:dyDescent="0.25">
      <c r="A4330" s="33">
        <v>4329</v>
      </c>
      <c r="B4330" t="s">
        <v>8667</v>
      </c>
      <c r="C4330" s="1">
        <v>37.273790079599998</v>
      </c>
      <c r="D4330" s="1">
        <v>-6.9912315743400004</v>
      </c>
      <c r="E4330" s="3">
        <v>4</v>
      </c>
      <c r="F4330" s="2">
        <v>3</v>
      </c>
      <c r="G4330" s="4">
        <v>5</v>
      </c>
      <c r="H4330" s="13">
        <v>3</v>
      </c>
      <c r="I4330" s="34">
        <v>4</v>
      </c>
      <c r="J4330" s="35">
        <v>4</v>
      </c>
      <c r="K4330" s="2" t="s">
        <v>8668</v>
      </c>
      <c r="L4330" s="36" t="str">
        <f t="shared" si="73"/>
        <v>Ver Imagen</v>
      </c>
      <c r="M4330" t="s">
        <v>8005</v>
      </c>
    </row>
    <row r="4331" spans="1:14" x14ac:dyDescent="0.25">
      <c r="A4331" s="33">
        <v>4330</v>
      </c>
      <c r="B4331" t="s">
        <v>8669</v>
      </c>
      <c r="C4331" s="1">
        <v>37.458319298900001</v>
      </c>
      <c r="D4331" s="1">
        <v>-7.1144589521199997</v>
      </c>
      <c r="E4331" s="3">
        <v>3</v>
      </c>
      <c r="F4331" s="2">
        <v>4</v>
      </c>
      <c r="G4331" s="4">
        <v>5</v>
      </c>
      <c r="H4331" s="13">
        <v>5</v>
      </c>
      <c r="I4331" s="34">
        <v>5</v>
      </c>
      <c r="J4331" s="35">
        <v>5</v>
      </c>
      <c r="K4331" s="2" t="s">
        <v>8670</v>
      </c>
      <c r="L4331" s="36" t="str">
        <f t="shared" si="73"/>
        <v>Ver Imagen</v>
      </c>
      <c r="M4331" t="s">
        <v>8005</v>
      </c>
    </row>
    <row r="4332" spans="1:14" x14ac:dyDescent="0.25">
      <c r="A4332" s="33">
        <v>4331</v>
      </c>
      <c r="B4332" t="s">
        <v>8671</v>
      </c>
      <c r="C4332" s="1">
        <v>37.454998102700003</v>
      </c>
      <c r="D4332" s="1">
        <v>-7.1131271897900001</v>
      </c>
      <c r="E4332" s="3">
        <v>5</v>
      </c>
      <c r="F4332" s="2">
        <v>3</v>
      </c>
      <c r="G4332" s="4">
        <v>5</v>
      </c>
      <c r="H4332" s="13">
        <v>4</v>
      </c>
      <c r="I4332" s="34">
        <v>4</v>
      </c>
      <c r="J4332" s="35">
        <v>4</v>
      </c>
      <c r="K4332" s="2" t="s">
        <v>8672</v>
      </c>
      <c r="L4332" s="36" t="str">
        <f t="shared" si="73"/>
        <v>Ver Imagen</v>
      </c>
      <c r="M4332" t="s">
        <v>8005</v>
      </c>
    </row>
    <row r="4333" spans="1:14" x14ac:dyDescent="0.25">
      <c r="A4333" s="33">
        <v>4332</v>
      </c>
      <c r="B4333" t="s">
        <v>8673</v>
      </c>
      <c r="C4333" s="1">
        <v>37.451499326799997</v>
      </c>
      <c r="D4333" s="1">
        <v>-7.1112113345100001</v>
      </c>
      <c r="E4333" s="3">
        <v>3</v>
      </c>
      <c r="F4333" s="2">
        <v>4</v>
      </c>
      <c r="G4333" s="4">
        <v>5</v>
      </c>
      <c r="H4333" s="13">
        <v>4</v>
      </c>
      <c r="I4333" s="34">
        <v>5</v>
      </c>
      <c r="J4333" s="37">
        <v>5</v>
      </c>
      <c r="K4333" s="2" t="s">
        <v>8674</v>
      </c>
      <c r="L4333" s="36" t="str">
        <f t="shared" si="73"/>
        <v>Ver Imagen</v>
      </c>
      <c r="M4333" s="37" t="s">
        <v>8052</v>
      </c>
    </row>
    <row r="4334" spans="1:14" x14ac:dyDescent="0.25">
      <c r="A4334" s="33">
        <v>4333</v>
      </c>
      <c r="B4334" t="s">
        <v>8675</v>
      </c>
      <c r="C4334" s="1">
        <v>37.449459716699998</v>
      </c>
      <c r="D4334" s="1">
        <v>-7.1101308235599996</v>
      </c>
      <c r="E4334" s="3">
        <v>3</v>
      </c>
      <c r="F4334" s="2">
        <v>4</v>
      </c>
      <c r="G4334" s="4">
        <v>5</v>
      </c>
      <c r="H4334" s="13">
        <v>4</v>
      </c>
      <c r="I4334" s="34">
        <v>5</v>
      </c>
      <c r="J4334" s="37">
        <v>5</v>
      </c>
      <c r="K4334" s="2" t="s">
        <v>8676</v>
      </c>
      <c r="L4334" s="36" t="str">
        <f t="shared" si="73"/>
        <v>Ver Imagen</v>
      </c>
      <c r="M4334" s="37" t="s">
        <v>8052</v>
      </c>
    </row>
    <row r="4335" spans="1:14" x14ac:dyDescent="0.25">
      <c r="A4335" s="39">
        <v>4334</v>
      </c>
      <c r="B4335" s="16" t="s">
        <v>10004</v>
      </c>
      <c r="C4335" s="16">
        <v>37.446941047999999</v>
      </c>
      <c r="D4335" s="16">
        <v>-7.1079283712699999</v>
      </c>
      <c r="E4335" s="16">
        <v>4</v>
      </c>
      <c r="F4335" s="16">
        <v>3</v>
      </c>
      <c r="G4335" s="16">
        <v>5</v>
      </c>
      <c r="H4335" s="16">
        <v>5</v>
      </c>
      <c r="I4335" s="40">
        <v>3</v>
      </c>
      <c r="J4335" s="38">
        <v>4</v>
      </c>
      <c r="K4335" s="16" t="s">
        <v>10005</v>
      </c>
      <c r="L4335" s="41" t="str">
        <f t="shared" si="73"/>
        <v>Ver Imagen</v>
      </c>
      <c r="M4335" s="16" t="s">
        <v>10006</v>
      </c>
      <c r="N4335" s="16"/>
    </row>
    <row r="4336" spans="1:14" x14ac:dyDescent="0.25">
      <c r="A4336" s="33">
        <v>4335</v>
      </c>
      <c r="B4336" t="s">
        <v>8677</v>
      </c>
      <c r="C4336" s="1">
        <v>37.269099584800003</v>
      </c>
      <c r="D4336" s="1">
        <v>-6.9762751069300002</v>
      </c>
      <c r="E4336" s="3">
        <v>3</v>
      </c>
      <c r="F4336" s="2">
        <v>4</v>
      </c>
      <c r="G4336" s="4">
        <v>5</v>
      </c>
      <c r="H4336" s="13">
        <v>4</v>
      </c>
      <c r="I4336" s="34">
        <v>4</v>
      </c>
      <c r="J4336" s="35">
        <v>4</v>
      </c>
      <c r="K4336" s="2" t="s">
        <v>8678</v>
      </c>
      <c r="L4336" s="36" t="str">
        <f t="shared" si="73"/>
        <v>Ver Imagen</v>
      </c>
      <c r="M4336" t="s">
        <v>8005</v>
      </c>
    </row>
    <row r="4337" spans="1:13" x14ac:dyDescent="0.25">
      <c r="A4337" s="33">
        <v>4336</v>
      </c>
      <c r="B4337" t="s">
        <v>8679</v>
      </c>
      <c r="C4337" s="1">
        <v>37.2690234047</v>
      </c>
      <c r="D4337" s="1">
        <v>-6.9759818497300001</v>
      </c>
      <c r="E4337" s="3">
        <v>3</v>
      </c>
      <c r="F4337" s="2">
        <v>4</v>
      </c>
      <c r="G4337" s="4">
        <v>5</v>
      </c>
      <c r="H4337" s="13">
        <v>3</v>
      </c>
      <c r="I4337" s="34">
        <v>4</v>
      </c>
      <c r="J4337" s="35">
        <v>4</v>
      </c>
      <c r="K4337" s="2" t="s">
        <v>8680</v>
      </c>
      <c r="L4337" s="36" t="str">
        <f t="shared" si="73"/>
        <v>Ver Imagen</v>
      </c>
      <c r="M4337" t="s">
        <v>8005</v>
      </c>
    </row>
    <row r="4338" spans="1:13" x14ac:dyDescent="0.25">
      <c r="A4338" s="33">
        <v>4337</v>
      </c>
      <c r="B4338" t="s">
        <v>8681</v>
      </c>
      <c r="C4338" s="1">
        <v>37.268679775700001</v>
      </c>
      <c r="D4338" s="1">
        <v>-6.97452664457</v>
      </c>
      <c r="E4338" s="3">
        <v>3</v>
      </c>
      <c r="F4338" s="2">
        <v>3</v>
      </c>
      <c r="G4338" s="4">
        <v>5</v>
      </c>
      <c r="H4338" s="13">
        <v>3</v>
      </c>
      <c r="I4338" s="34">
        <v>4</v>
      </c>
      <c r="J4338" s="35">
        <v>3</v>
      </c>
      <c r="K4338" s="2" t="s">
        <v>8682</v>
      </c>
      <c r="L4338" s="36" t="str">
        <f t="shared" si="73"/>
        <v>Ver Imagen</v>
      </c>
      <c r="M4338" t="s">
        <v>8005</v>
      </c>
    </row>
    <row r="4339" spans="1:13" x14ac:dyDescent="0.25">
      <c r="A4339" s="33">
        <v>4338</v>
      </c>
      <c r="B4339" t="s">
        <v>8683</v>
      </c>
      <c r="C4339" s="1">
        <v>37.435550139999997</v>
      </c>
      <c r="D4339" s="1">
        <v>-7.0747629218199997</v>
      </c>
      <c r="E4339" s="3">
        <v>5</v>
      </c>
      <c r="F4339" s="2">
        <v>3</v>
      </c>
      <c r="G4339" s="4">
        <v>5</v>
      </c>
      <c r="H4339" s="13">
        <v>4</v>
      </c>
      <c r="I4339" s="34">
        <v>3</v>
      </c>
      <c r="J4339" s="35">
        <v>4</v>
      </c>
      <c r="K4339" s="2" t="s">
        <v>8684</v>
      </c>
      <c r="L4339" s="36" t="str">
        <f t="shared" si="73"/>
        <v>Ver Imagen</v>
      </c>
      <c r="M4339" t="s">
        <v>8005</v>
      </c>
    </row>
    <row r="4340" spans="1:13" x14ac:dyDescent="0.25">
      <c r="A4340" s="33">
        <v>4339</v>
      </c>
      <c r="B4340" t="s">
        <v>8685</v>
      </c>
      <c r="C4340" s="1">
        <v>37.186207335200002</v>
      </c>
      <c r="D4340" s="1">
        <v>-6.9805068966499997</v>
      </c>
      <c r="E4340" s="3">
        <v>5</v>
      </c>
      <c r="F4340" s="2">
        <v>3</v>
      </c>
      <c r="G4340" s="4">
        <v>5</v>
      </c>
      <c r="H4340" s="13">
        <v>3</v>
      </c>
      <c r="I4340" s="34">
        <v>4</v>
      </c>
      <c r="J4340" s="35">
        <v>4</v>
      </c>
      <c r="K4340" s="2" t="s">
        <v>8686</v>
      </c>
      <c r="L4340" s="36" t="str">
        <f t="shared" si="73"/>
        <v>Ver Imagen</v>
      </c>
      <c r="M4340" t="s">
        <v>8005</v>
      </c>
    </row>
    <row r="4341" spans="1:13" x14ac:dyDescent="0.25">
      <c r="A4341" s="33">
        <v>4340</v>
      </c>
      <c r="B4341" t="s">
        <v>8687</v>
      </c>
      <c r="C4341" s="1">
        <v>37.185863876699997</v>
      </c>
      <c r="D4341" s="1">
        <v>-6.9802462198099997</v>
      </c>
      <c r="E4341" s="3">
        <v>5</v>
      </c>
      <c r="F4341" s="2">
        <v>3</v>
      </c>
      <c r="G4341" s="4">
        <v>5</v>
      </c>
      <c r="H4341" s="13">
        <v>3</v>
      </c>
      <c r="I4341" s="34">
        <v>3</v>
      </c>
      <c r="J4341" s="35">
        <v>3</v>
      </c>
      <c r="K4341" s="2" t="s">
        <v>8688</v>
      </c>
      <c r="L4341" s="36" t="str">
        <f t="shared" si="73"/>
        <v>Ver Imagen</v>
      </c>
      <c r="M4341" t="s">
        <v>8005</v>
      </c>
    </row>
    <row r="4342" spans="1:13" x14ac:dyDescent="0.25">
      <c r="A4342" s="33">
        <v>4341</v>
      </c>
      <c r="B4342" t="s">
        <v>8689</v>
      </c>
      <c r="C4342" s="1">
        <v>37.186736868099999</v>
      </c>
      <c r="D4342" s="1">
        <v>-6.9795132735800003</v>
      </c>
      <c r="E4342" s="3">
        <v>5</v>
      </c>
      <c r="F4342" s="2">
        <v>3</v>
      </c>
      <c r="G4342" s="4">
        <v>5</v>
      </c>
      <c r="H4342" s="13">
        <v>3</v>
      </c>
      <c r="I4342" s="34">
        <v>4</v>
      </c>
      <c r="J4342" s="35">
        <v>4</v>
      </c>
      <c r="K4342" s="2" t="s">
        <v>8690</v>
      </c>
      <c r="L4342" s="36" t="str">
        <f t="shared" si="73"/>
        <v>Ver Imagen</v>
      </c>
      <c r="M4342" t="s">
        <v>8005</v>
      </c>
    </row>
    <row r="4343" spans="1:13" x14ac:dyDescent="0.25">
      <c r="A4343" s="33">
        <v>4342</v>
      </c>
      <c r="B4343" t="s">
        <v>8691</v>
      </c>
      <c r="C4343" s="1">
        <v>37.267588447000001</v>
      </c>
      <c r="D4343" s="1">
        <v>-6.9618002267000003</v>
      </c>
      <c r="E4343" s="3">
        <v>5</v>
      </c>
      <c r="F4343" s="2">
        <v>3</v>
      </c>
      <c r="G4343" s="4">
        <v>5</v>
      </c>
      <c r="H4343" s="13">
        <v>3</v>
      </c>
      <c r="I4343" s="34">
        <v>4</v>
      </c>
      <c r="J4343" s="35">
        <v>4</v>
      </c>
      <c r="K4343" s="2" t="s">
        <v>8692</v>
      </c>
      <c r="L4343" s="36" t="str">
        <f t="shared" si="73"/>
        <v>Ver Imagen</v>
      </c>
      <c r="M4343" t="s">
        <v>8005</v>
      </c>
    </row>
    <row r="4344" spans="1:13" x14ac:dyDescent="0.25">
      <c r="A4344" s="33">
        <v>4343</v>
      </c>
      <c r="B4344" t="s">
        <v>8693</v>
      </c>
      <c r="C4344" s="1">
        <v>37.203109196600003</v>
      </c>
      <c r="D4344" s="1">
        <v>-7.0039202841100003</v>
      </c>
      <c r="E4344" s="3">
        <v>5</v>
      </c>
      <c r="F4344" s="2">
        <v>3</v>
      </c>
      <c r="G4344" s="4">
        <v>5</v>
      </c>
      <c r="H4344" s="13">
        <v>3</v>
      </c>
      <c r="I4344" s="34">
        <v>4</v>
      </c>
      <c r="J4344" s="37">
        <v>3</v>
      </c>
      <c r="K4344" s="2" t="s">
        <v>8694</v>
      </c>
      <c r="L4344" s="36" t="str">
        <f t="shared" si="73"/>
        <v>Ver Imagen</v>
      </c>
      <c r="M4344" s="37" t="s">
        <v>8052</v>
      </c>
    </row>
    <row r="4345" spans="1:13" x14ac:dyDescent="0.25">
      <c r="A4345" s="33">
        <v>4344</v>
      </c>
      <c r="B4345" t="s">
        <v>8695</v>
      </c>
      <c r="C4345" s="1">
        <v>37.203939104</v>
      </c>
      <c r="D4345" s="1">
        <v>-7.0098779594499998</v>
      </c>
      <c r="E4345" s="3">
        <v>5</v>
      </c>
      <c r="F4345" s="2">
        <v>3</v>
      </c>
      <c r="G4345" s="4">
        <v>5</v>
      </c>
      <c r="H4345" s="13">
        <v>4</v>
      </c>
      <c r="I4345" s="34">
        <v>4</v>
      </c>
      <c r="J4345" s="35">
        <v>4</v>
      </c>
      <c r="K4345" s="2" t="s">
        <v>8696</v>
      </c>
      <c r="L4345" s="36" t="str">
        <f t="shared" si="73"/>
        <v>Ver Imagen</v>
      </c>
      <c r="M4345" t="s">
        <v>8005</v>
      </c>
    </row>
    <row r="4346" spans="1:13" x14ac:dyDescent="0.25">
      <c r="A4346" s="33">
        <v>4345</v>
      </c>
      <c r="B4346" t="s">
        <v>8697</v>
      </c>
      <c r="C4346" s="1">
        <v>37.204058013500003</v>
      </c>
      <c r="D4346" s="1">
        <v>-7.0105954237999999</v>
      </c>
      <c r="E4346" s="3">
        <v>5</v>
      </c>
      <c r="F4346" s="2">
        <v>3</v>
      </c>
      <c r="G4346" s="4">
        <v>5</v>
      </c>
      <c r="H4346" s="13">
        <v>4</v>
      </c>
      <c r="I4346" s="34">
        <v>4</v>
      </c>
      <c r="J4346" s="35">
        <v>4</v>
      </c>
      <c r="K4346" s="2" t="s">
        <v>8698</v>
      </c>
      <c r="L4346" s="36" t="str">
        <f t="shared" si="73"/>
        <v>Ver Imagen</v>
      </c>
      <c r="M4346" t="s">
        <v>8005</v>
      </c>
    </row>
    <row r="4347" spans="1:13" x14ac:dyDescent="0.25">
      <c r="A4347" s="33">
        <v>4346</v>
      </c>
      <c r="B4347" t="s">
        <v>8699</v>
      </c>
      <c r="C4347" s="1">
        <v>37.262803517199998</v>
      </c>
      <c r="D4347" s="1">
        <v>-7.0088809770899996</v>
      </c>
      <c r="E4347" s="3">
        <v>5</v>
      </c>
      <c r="F4347" s="2">
        <v>3</v>
      </c>
      <c r="G4347" s="4">
        <v>5</v>
      </c>
      <c r="H4347" s="13">
        <v>2</v>
      </c>
      <c r="I4347" s="34">
        <v>3</v>
      </c>
      <c r="J4347" s="35">
        <v>3</v>
      </c>
      <c r="K4347" s="2" t="s">
        <v>8700</v>
      </c>
      <c r="L4347" s="36" t="str">
        <f t="shared" si="73"/>
        <v>Ver Imagen</v>
      </c>
      <c r="M4347" t="s">
        <v>8005</v>
      </c>
    </row>
    <row r="4348" spans="1:13" x14ac:dyDescent="0.25">
      <c r="A4348" s="33">
        <v>4347</v>
      </c>
      <c r="B4348" t="s">
        <v>8701</v>
      </c>
      <c r="C4348" s="1">
        <v>37.446783099400001</v>
      </c>
      <c r="D4348" s="1">
        <v>-7.1310085820199998</v>
      </c>
      <c r="E4348" s="3">
        <v>2</v>
      </c>
      <c r="F4348" s="2">
        <v>4</v>
      </c>
      <c r="G4348" s="4">
        <v>3</v>
      </c>
      <c r="H4348" s="13">
        <v>3</v>
      </c>
      <c r="I4348" s="34">
        <v>4</v>
      </c>
      <c r="J4348" s="35">
        <v>3</v>
      </c>
      <c r="K4348" s="2" t="s">
        <v>8702</v>
      </c>
      <c r="L4348" s="36" t="str">
        <f t="shared" si="73"/>
        <v>Ver Imagen</v>
      </c>
      <c r="M4348" t="s">
        <v>8005</v>
      </c>
    </row>
    <row r="4349" spans="1:13" x14ac:dyDescent="0.25">
      <c r="A4349" s="33">
        <v>4348</v>
      </c>
      <c r="B4349" t="s">
        <v>8703</v>
      </c>
      <c r="C4349" s="1">
        <v>37.446507447199998</v>
      </c>
      <c r="D4349" s="1">
        <v>-7.1326840336300004</v>
      </c>
      <c r="E4349" s="3">
        <v>3</v>
      </c>
      <c r="F4349" s="2">
        <v>4</v>
      </c>
      <c r="G4349" s="4">
        <v>5</v>
      </c>
      <c r="H4349" s="13">
        <v>4</v>
      </c>
      <c r="I4349" s="34">
        <v>4</v>
      </c>
      <c r="J4349" s="35">
        <v>4</v>
      </c>
      <c r="K4349" s="2" t="s">
        <v>8704</v>
      </c>
      <c r="L4349" s="36" t="str">
        <f t="shared" si="73"/>
        <v>Ver Imagen</v>
      </c>
      <c r="M4349" t="s">
        <v>8005</v>
      </c>
    </row>
    <row r="4350" spans="1:13" x14ac:dyDescent="0.25">
      <c r="A4350" s="33">
        <v>4349</v>
      </c>
      <c r="B4350" t="s">
        <v>8705</v>
      </c>
      <c r="C4350" s="1">
        <v>37.4463473932</v>
      </c>
      <c r="D4350" s="1">
        <v>-7.1337630319000001</v>
      </c>
      <c r="E4350" s="3">
        <v>2</v>
      </c>
      <c r="F4350" s="2">
        <v>4</v>
      </c>
      <c r="G4350" s="4">
        <v>3</v>
      </c>
      <c r="H4350" s="13">
        <v>4</v>
      </c>
      <c r="I4350" s="34">
        <v>4</v>
      </c>
      <c r="J4350" s="35">
        <v>4</v>
      </c>
      <c r="K4350" s="2" t="s">
        <v>8706</v>
      </c>
      <c r="L4350" s="36" t="str">
        <f t="shared" si="73"/>
        <v>Ver Imagen</v>
      </c>
      <c r="M4350" t="s">
        <v>8005</v>
      </c>
    </row>
    <row r="4351" spans="1:13" x14ac:dyDescent="0.25">
      <c r="A4351" s="33">
        <v>4350</v>
      </c>
      <c r="B4351" t="s">
        <v>8707</v>
      </c>
      <c r="C4351" s="1">
        <v>37.4461915125</v>
      </c>
      <c r="D4351" s="1">
        <v>-7.1352306344200001</v>
      </c>
      <c r="E4351" s="3">
        <v>2</v>
      </c>
      <c r="F4351" s="2">
        <v>3</v>
      </c>
      <c r="G4351" s="4">
        <v>4</v>
      </c>
      <c r="H4351" s="13">
        <v>3</v>
      </c>
      <c r="I4351" s="34">
        <v>3</v>
      </c>
      <c r="J4351" s="35">
        <v>3</v>
      </c>
      <c r="K4351" s="2" t="s">
        <v>8708</v>
      </c>
      <c r="L4351" s="36" t="str">
        <f t="shared" si="73"/>
        <v>Ver Imagen</v>
      </c>
      <c r="M4351" t="s">
        <v>8005</v>
      </c>
    </row>
    <row r="4352" spans="1:13" x14ac:dyDescent="0.25">
      <c r="A4352" s="33">
        <v>4351</v>
      </c>
      <c r="B4352" t="s">
        <v>8709</v>
      </c>
      <c r="C4352" s="1">
        <v>37.446151374899998</v>
      </c>
      <c r="D4352" s="1">
        <v>-7.1362223281899997</v>
      </c>
      <c r="E4352" s="3">
        <v>2</v>
      </c>
      <c r="F4352" s="2">
        <v>4</v>
      </c>
      <c r="G4352" s="4">
        <v>4</v>
      </c>
      <c r="H4352" s="13">
        <v>4</v>
      </c>
      <c r="I4352" s="34">
        <v>4</v>
      </c>
      <c r="J4352" s="35">
        <v>4</v>
      </c>
      <c r="K4352" s="2" t="s">
        <v>8710</v>
      </c>
      <c r="L4352" s="36" t="str">
        <f t="shared" si="73"/>
        <v>Ver Imagen</v>
      </c>
      <c r="M4352" t="s">
        <v>8005</v>
      </c>
    </row>
    <row r="4353" spans="1:13" x14ac:dyDescent="0.25">
      <c r="A4353" s="33">
        <v>4352</v>
      </c>
      <c r="B4353" t="s">
        <v>8711</v>
      </c>
      <c r="C4353" s="1">
        <v>37.446237928099997</v>
      </c>
      <c r="D4353" s="1">
        <v>-7.1367065503699996</v>
      </c>
      <c r="E4353" s="3">
        <v>2</v>
      </c>
      <c r="F4353" s="2">
        <v>4</v>
      </c>
      <c r="G4353" s="4">
        <v>4</v>
      </c>
      <c r="H4353" s="13">
        <v>4</v>
      </c>
      <c r="I4353" s="34">
        <v>3</v>
      </c>
      <c r="J4353" s="35">
        <v>4</v>
      </c>
      <c r="K4353" s="2" t="s">
        <v>8712</v>
      </c>
      <c r="L4353" s="36" t="str">
        <f t="shared" si="73"/>
        <v>Ver Imagen</v>
      </c>
      <c r="M4353" t="s">
        <v>8005</v>
      </c>
    </row>
    <row r="4354" spans="1:13" x14ac:dyDescent="0.25">
      <c r="A4354" s="33">
        <v>4353</v>
      </c>
      <c r="B4354" t="s">
        <v>8713</v>
      </c>
      <c r="C4354" s="1">
        <v>37.446863270199998</v>
      </c>
      <c r="D4354" s="1">
        <v>-7.1388415722199996</v>
      </c>
      <c r="E4354" s="3">
        <v>2</v>
      </c>
      <c r="F4354" s="2">
        <v>4</v>
      </c>
      <c r="G4354" s="4">
        <v>3</v>
      </c>
      <c r="H4354" s="13">
        <v>4</v>
      </c>
      <c r="I4354" s="34">
        <v>3</v>
      </c>
      <c r="J4354" s="35">
        <v>3</v>
      </c>
      <c r="K4354" s="2" t="s">
        <v>8714</v>
      </c>
      <c r="L4354" s="36" t="str">
        <f t="shared" si="73"/>
        <v>Ver Imagen</v>
      </c>
      <c r="M4354" t="s">
        <v>8005</v>
      </c>
    </row>
    <row r="4355" spans="1:13" x14ac:dyDescent="0.25">
      <c r="A4355" s="33">
        <v>4354</v>
      </c>
      <c r="B4355" t="s">
        <v>8715</v>
      </c>
      <c r="C4355" s="1">
        <v>37.447260556400003</v>
      </c>
      <c r="D4355" s="1">
        <v>-7.1399972803800003</v>
      </c>
      <c r="E4355" s="3">
        <v>2</v>
      </c>
      <c r="F4355" s="2">
        <v>3</v>
      </c>
      <c r="G4355" s="4">
        <v>4</v>
      </c>
      <c r="H4355" s="13">
        <v>4</v>
      </c>
      <c r="I4355" s="34">
        <v>4</v>
      </c>
      <c r="J4355" s="35">
        <v>4</v>
      </c>
      <c r="K4355" s="2" t="s">
        <v>8716</v>
      </c>
      <c r="L4355" s="36" t="str">
        <f t="shared" si="73"/>
        <v>Ver Imagen</v>
      </c>
      <c r="M4355" t="s">
        <v>8005</v>
      </c>
    </row>
    <row r="4356" spans="1:13" x14ac:dyDescent="0.25">
      <c r="A4356" s="33">
        <v>4355</v>
      </c>
      <c r="B4356" t="s">
        <v>8717</v>
      </c>
      <c r="C4356" s="1">
        <v>37.447641397799998</v>
      </c>
      <c r="D4356" s="1">
        <v>-7.1408249214000001</v>
      </c>
      <c r="E4356" s="3">
        <v>2</v>
      </c>
      <c r="F4356" s="2">
        <v>4</v>
      </c>
      <c r="G4356" s="4">
        <v>3</v>
      </c>
      <c r="H4356" s="13">
        <v>4</v>
      </c>
      <c r="I4356" s="34">
        <v>4</v>
      </c>
      <c r="J4356" s="35">
        <v>4</v>
      </c>
      <c r="K4356" s="2" t="s">
        <v>8718</v>
      </c>
      <c r="L4356" s="36" t="str">
        <f t="shared" si="73"/>
        <v>Ver Imagen</v>
      </c>
      <c r="M4356" t="s">
        <v>8005</v>
      </c>
    </row>
    <row r="4357" spans="1:13" x14ac:dyDescent="0.25">
      <c r="A4357" s="33">
        <v>4356</v>
      </c>
      <c r="B4357" t="s">
        <v>8719</v>
      </c>
      <c r="C4357" s="1">
        <v>37.448494257100002</v>
      </c>
      <c r="D4357" s="1">
        <v>-7.1434211157299998</v>
      </c>
      <c r="E4357" s="3">
        <v>2</v>
      </c>
      <c r="F4357" s="2">
        <v>4</v>
      </c>
      <c r="G4357" s="4">
        <v>4</v>
      </c>
      <c r="H4357" s="13">
        <v>4</v>
      </c>
      <c r="I4357" s="34">
        <v>4</v>
      </c>
      <c r="J4357" s="35">
        <v>4</v>
      </c>
      <c r="K4357" s="2" t="s">
        <v>8720</v>
      </c>
      <c r="L4357" s="36" t="str">
        <f t="shared" si="73"/>
        <v>Ver Imagen</v>
      </c>
      <c r="M4357" t="s">
        <v>8005</v>
      </c>
    </row>
    <row r="4358" spans="1:13" x14ac:dyDescent="0.25">
      <c r="A4358" s="33">
        <v>4357</v>
      </c>
      <c r="B4358" t="s">
        <v>8721</v>
      </c>
      <c r="C4358" s="1">
        <v>37.448619156299998</v>
      </c>
      <c r="D4358" s="1">
        <v>-7.14573899088</v>
      </c>
      <c r="E4358" s="3">
        <v>3</v>
      </c>
      <c r="F4358" s="2">
        <v>4</v>
      </c>
      <c r="G4358" s="4">
        <v>5</v>
      </c>
      <c r="H4358" s="13">
        <v>4</v>
      </c>
      <c r="I4358" s="34">
        <v>4</v>
      </c>
      <c r="J4358" s="35">
        <v>4</v>
      </c>
      <c r="K4358" s="2" t="s">
        <v>8722</v>
      </c>
      <c r="L4358" s="36" t="str">
        <f t="shared" si="73"/>
        <v>Ver Imagen</v>
      </c>
      <c r="M4358" t="s">
        <v>8005</v>
      </c>
    </row>
    <row r="4359" spans="1:13" x14ac:dyDescent="0.25">
      <c r="A4359" s="33">
        <v>4358</v>
      </c>
      <c r="B4359" t="s">
        <v>8723</v>
      </c>
      <c r="C4359" s="1">
        <v>37.448639786599998</v>
      </c>
      <c r="D4359" s="1">
        <v>-7.1462209652700004</v>
      </c>
      <c r="E4359" s="3">
        <v>3</v>
      </c>
      <c r="F4359" s="2">
        <v>5</v>
      </c>
      <c r="G4359" s="4">
        <v>5</v>
      </c>
      <c r="H4359" s="13">
        <v>5</v>
      </c>
      <c r="I4359" s="34">
        <v>5</v>
      </c>
      <c r="J4359" s="35">
        <v>5</v>
      </c>
      <c r="K4359" s="2" t="s">
        <v>8724</v>
      </c>
      <c r="L4359" s="36" t="str">
        <f t="shared" si="73"/>
        <v>Ver Imagen</v>
      </c>
      <c r="M4359" t="s">
        <v>8005</v>
      </c>
    </row>
    <row r="4360" spans="1:13" x14ac:dyDescent="0.25">
      <c r="A4360" s="33">
        <v>4359</v>
      </c>
      <c r="B4360" t="s">
        <v>8725</v>
      </c>
      <c r="C4360" s="1">
        <v>37.448649121099997</v>
      </c>
      <c r="D4360" s="1">
        <v>-7.1464466403199998</v>
      </c>
      <c r="E4360" s="3">
        <v>2</v>
      </c>
      <c r="F4360" s="2">
        <v>2</v>
      </c>
      <c r="G4360" s="4">
        <v>4</v>
      </c>
      <c r="H4360" s="13">
        <v>3</v>
      </c>
      <c r="I4360" s="34">
        <v>3</v>
      </c>
      <c r="J4360" s="35">
        <v>3</v>
      </c>
      <c r="K4360" s="2" t="s">
        <v>8726</v>
      </c>
      <c r="L4360" s="36" t="str">
        <f t="shared" si="73"/>
        <v>Ver Imagen</v>
      </c>
      <c r="M4360" t="s">
        <v>8005</v>
      </c>
    </row>
    <row r="4361" spans="1:13" x14ac:dyDescent="0.25">
      <c r="A4361" s="33">
        <v>4360</v>
      </c>
      <c r="B4361" t="s">
        <v>8727</v>
      </c>
      <c r="C4361" s="1">
        <v>37.448796722700003</v>
      </c>
      <c r="D4361" s="1">
        <v>-7.1490203882700003</v>
      </c>
      <c r="E4361" s="3">
        <v>2</v>
      </c>
      <c r="F4361" s="2">
        <v>4</v>
      </c>
      <c r="G4361" s="4">
        <v>4</v>
      </c>
      <c r="H4361" s="13">
        <v>4</v>
      </c>
      <c r="I4361" s="34">
        <v>3</v>
      </c>
      <c r="J4361" s="35">
        <v>4</v>
      </c>
      <c r="K4361" s="2" t="s">
        <v>8728</v>
      </c>
      <c r="L4361" s="36" t="str">
        <f t="shared" si="73"/>
        <v>Ver Imagen</v>
      </c>
      <c r="M4361" t="s">
        <v>8005</v>
      </c>
    </row>
    <row r="4362" spans="1:13" x14ac:dyDescent="0.25">
      <c r="A4362" s="33">
        <v>4361</v>
      </c>
      <c r="B4362" t="s">
        <v>8729</v>
      </c>
      <c r="C4362" s="1">
        <v>37.4517235199</v>
      </c>
      <c r="D4362" s="1">
        <v>-7.1569761461799999</v>
      </c>
      <c r="E4362" s="3">
        <v>2</v>
      </c>
      <c r="F4362" s="2">
        <v>4</v>
      </c>
      <c r="G4362" s="4">
        <v>4</v>
      </c>
      <c r="H4362" s="13">
        <v>3</v>
      </c>
      <c r="I4362" s="34">
        <v>3</v>
      </c>
      <c r="J4362" s="35">
        <v>3</v>
      </c>
      <c r="K4362" s="2" t="s">
        <v>8730</v>
      </c>
      <c r="L4362" s="36" t="str">
        <f t="shared" si="73"/>
        <v>Ver Imagen</v>
      </c>
      <c r="M4362" t="s">
        <v>8005</v>
      </c>
    </row>
    <row r="4363" spans="1:13" x14ac:dyDescent="0.25">
      <c r="A4363" s="33">
        <v>4362</v>
      </c>
      <c r="B4363" t="s">
        <v>8731</v>
      </c>
      <c r="C4363" s="1">
        <v>37.449825813700002</v>
      </c>
      <c r="D4363" s="1">
        <v>-7.1519762084999998</v>
      </c>
      <c r="E4363" s="3">
        <v>1</v>
      </c>
      <c r="F4363" s="2">
        <v>3</v>
      </c>
      <c r="G4363" s="4">
        <v>2</v>
      </c>
      <c r="H4363" s="13">
        <v>2</v>
      </c>
      <c r="I4363" s="34">
        <v>2</v>
      </c>
      <c r="J4363" s="35">
        <v>2</v>
      </c>
      <c r="K4363" s="2" t="s">
        <v>8732</v>
      </c>
      <c r="L4363" s="36" t="str">
        <f t="shared" si="73"/>
        <v>Ver Imagen</v>
      </c>
      <c r="M4363" t="s">
        <v>8005</v>
      </c>
    </row>
    <row r="4364" spans="1:13" x14ac:dyDescent="0.25">
      <c r="A4364" s="33">
        <v>4363</v>
      </c>
      <c r="B4364" t="s">
        <v>8733</v>
      </c>
      <c r="C4364" s="1">
        <v>37.450193476700001</v>
      </c>
      <c r="D4364" s="1">
        <v>-7.1525749299900001</v>
      </c>
      <c r="E4364" s="3">
        <v>1</v>
      </c>
      <c r="F4364" s="2">
        <v>3</v>
      </c>
      <c r="G4364" s="4">
        <v>3</v>
      </c>
      <c r="H4364" s="13">
        <v>2</v>
      </c>
      <c r="I4364" s="34">
        <v>2</v>
      </c>
      <c r="J4364" s="35">
        <v>2</v>
      </c>
      <c r="K4364" s="2" t="s">
        <v>8734</v>
      </c>
      <c r="L4364" s="36" t="str">
        <f t="shared" si="73"/>
        <v>Ver Imagen</v>
      </c>
      <c r="M4364" t="s">
        <v>8005</v>
      </c>
    </row>
    <row r="4365" spans="1:13" x14ac:dyDescent="0.25">
      <c r="A4365" s="33">
        <v>4364</v>
      </c>
      <c r="B4365" t="s">
        <v>8735</v>
      </c>
      <c r="C4365" s="1">
        <v>37.4504376382</v>
      </c>
      <c r="D4365" s="1">
        <v>-7.1529726518799999</v>
      </c>
      <c r="E4365" s="3">
        <v>2</v>
      </c>
      <c r="F4365" s="2">
        <v>3</v>
      </c>
      <c r="G4365" s="4">
        <v>4</v>
      </c>
      <c r="H4365" s="13">
        <v>3</v>
      </c>
      <c r="I4365" s="34">
        <v>3</v>
      </c>
      <c r="J4365" s="35">
        <v>3</v>
      </c>
      <c r="K4365" s="2" t="s">
        <v>8736</v>
      </c>
      <c r="L4365" s="36" t="str">
        <f t="shared" si="73"/>
        <v>Ver Imagen</v>
      </c>
      <c r="M4365" t="s">
        <v>8005</v>
      </c>
    </row>
    <row r="4366" spans="1:13" x14ac:dyDescent="0.25">
      <c r="A4366" s="33">
        <v>4365</v>
      </c>
      <c r="B4366" t="s">
        <v>8737</v>
      </c>
      <c r="C4366" s="1">
        <v>37.450567774500001</v>
      </c>
      <c r="D4366" s="1">
        <v>-7.1531836049299997</v>
      </c>
      <c r="E4366" s="3">
        <v>2</v>
      </c>
      <c r="F4366" s="2">
        <v>3</v>
      </c>
      <c r="G4366" s="4">
        <v>4</v>
      </c>
      <c r="H4366" s="13">
        <v>3</v>
      </c>
      <c r="I4366" s="34">
        <v>2</v>
      </c>
      <c r="J4366" s="35">
        <v>3</v>
      </c>
      <c r="K4366" s="2" t="s">
        <v>8738</v>
      </c>
      <c r="L4366" s="36" t="str">
        <f t="shared" si="73"/>
        <v>Ver Imagen</v>
      </c>
      <c r="M4366" t="s">
        <v>8005</v>
      </c>
    </row>
    <row r="4367" spans="1:13" x14ac:dyDescent="0.25">
      <c r="A4367" s="33">
        <v>4366</v>
      </c>
      <c r="B4367" t="s">
        <v>8739</v>
      </c>
      <c r="C4367" s="1">
        <v>37.450971355699998</v>
      </c>
      <c r="D4367" s="1">
        <v>-7.1538662778099997</v>
      </c>
      <c r="E4367" s="3">
        <v>2</v>
      </c>
      <c r="F4367" s="2">
        <v>3</v>
      </c>
      <c r="G4367" s="4">
        <v>4</v>
      </c>
      <c r="H4367" s="13">
        <v>3</v>
      </c>
      <c r="I4367" s="34">
        <v>3</v>
      </c>
      <c r="J4367" s="35">
        <v>3</v>
      </c>
      <c r="K4367" s="2" t="s">
        <v>8740</v>
      </c>
      <c r="L4367" s="36" t="str">
        <f t="shared" si="73"/>
        <v>Ver Imagen</v>
      </c>
      <c r="M4367" t="s">
        <v>8005</v>
      </c>
    </row>
    <row r="4368" spans="1:13" x14ac:dyDescent="0.25">
      <c r="A4368" s="33">
        <v>4367</v>
      </c>
      <c r="B4368" t="s">
        <v>8741</v>
      </c>
      <c r="C4368" s="1">
        <v>37.451354966899999</v>
      </c>
      <c r="D4368" s="1">
        <v>-7.1552365139200003</v>
      </c>
      <c r="E4368" s="3">
        <v>2</v>
      </c>
      <c r="F4368" s="2">
        <v>4</v>
      </c>
      <c r="G4368" s="4">
        <v>4</v>
      </c>
      <c r="H4368" s="13">
        <v>3</v>
      </c>
      <c r="I4368" s="34">
        <v>3</v>
      </c>
      <c r="J4368" s="35">
        <v>3</v>
      </c>
      <c r="K4368" s="2" t="s">
        <v>8742</v>
      </c>
      <c r="L4368" s="36" t="str">
        <f t="shared" si="73"/>
        <v>Ver Imagen</v>
      </c>
      <c r="M4368" t="s">
        <v>8005</v>
      </c>
    </row>
    <row r="4369" spans="1:13" x14ac:dyDescent="0.25">
      <c r="A4369" s="33">
        <v>4368</v>
      </c>
      <c r="B4369" t="s">
        <v>8743</v>
      </c>
      <c r="C4369" s="1">
        <v>37.451448233400001</v>
      </c>
      <c r="D4369" s="1">
        <v>-7.1556710706100004</v>
      </c>
      <c r="E4369" s="3">
        <v>3</v>
      </c>
      <c r="F4369" s="2">
        <v>4</v>
      </c>
      <c r="G4369" s="4">
        <v>5</v>
      </c>
      <c r="H4369" s="13">
        <v>5</v>
      </c>
      <c r="I4369" s="34">
        <v>4</v>
      </c>
      <c r="J4369" s="35">
        <v>4</v>
      </c>
      <c r="K4369" s="2" t="s">
        <v>8744</v>
      </c>
      <c r="L4369" s="36" t="str">
        <f t="shared" si="73"/>
        <v>Ver Imagen</v>
      </c>
      <c r="M4369" t="s">
        <v>8005</v>
      </c>
    </row>
    <row r="4370" spans="1:13" x14ac:dyDescent="0.25">
      <c r="A4370" s="33">
        <v>4369</v>
      </c>
      <c r="B4370" t="s">
        <v>8745</v>
      </c>
      <c r="C4370" s="1">
        <v>37.451503299099997</v>
      </c>
      <c r="D4370" s="1">
        <v>-7.15593909632</v>
      </c>
      <c r="E4370" s="3">
        <v>2</v>
      </c>
      <c r="F4370" s="2">
        <v>4</v>
      </c>
      <c r="G4370" s="4">
        <v>4</v>
      </c>
      <c r="H4370" s="13">
        <v>4</v>
      </c>
      <c r="I4370" s="34">
        <v>4</v>
      </c>
      <c r="J4370" s="35">
        <v>4</v>
      </c>
      <c r="K4370" s="2" t="s">
        <v>8746</v>
      </c>
      <c r="L4370" s="36" t="str">
        <f t="shared" si="73"/>
        <v>Ver Imagen</v>
      </c>
      <c r="M4370" t="s">
        <v>8005</v>
      </c>
    </row>
    <row r="4371" spans="1:13" x14ac:dyDescent="0.25">
      <c r="A4371" s="33">
        <v>4370</v>
      </c>
      <c r="B4371" t="s">
        <v>8747</v>
      </c>
      <c r="C4371" s="1">
        <v>37.451557409400003</v>
      </c>
      <c r="D4371" s="1">
        <v>-7.1561900700500001</v>
      </c>
      <c r="E4371" s="3">
        <v>2</v>
      </c>
      <c r="F4371" s="2">
        <v>4</v>
      </c>
      <c r="G4371" s="4">
        <v>4</v>
      </c>
      <c r="H4371" s="13">
        <v>3</v>
      </c>
      <c r="I4371" s="34">
        <v>3</v>
      </c>
      <c r="J4371" s="35">
        <v>3</v>
      </c>
      <c r="K4371" s="2" t="s">
        <v>8748</v>
      </c>
      <c r="L4371" s="36" t="str">
        <f t="shared" si="73"/>
        <v>Ver Imagen</v>
      </c>
      <c r="M4371" t="s">
        <v>8005</v>
      </c>
    </row>
    <row r="4372" spans="1:13" x14ac:dyDescent="0.25">
      <c r="A4372" s="33">
        <v>4371</v>
      </c>
      <c r="B4372" t="s">
        <v>8749</v>
      </c>
      <c r="C4372" s="1">
        <v>37.451667160100001</v>
      </c>
      <c r="D4372" s="1">
        <v>-7.1567019924400004</v>
      </c>
      <c r="E4372" s="3">
        <v>2</v>
      </c>
      <c r="F4372" s="2">
        <v>4</v>
      </c>
      <c r="G4372" s="4">
        <v>4</v>
      </c>
      <c r="H4372" s="13">
        <v>3</v>
      </c>
      <c r="I4372" s="34">
        <v>3</v>
      </c>
      <c r="J4372" s="35">
        <v>3</v>
      </c>
      <c r="K4372" s="2" t="s">
        <v>8750</v>
      </c>
      <c r="L4372" s="36" t="str">
        <f t="shared" si="73"/>
        <v>Ver Imagen</v>
      </c>
      <c r="M4372" t="s">
        <v>8005</v>
      </c>
    </row>
    <row r="4373" spans="1:13" x14ac:dyDescent="0.25">
      <c r="A4373" s="33">
        <v>4372</v>
      </c>
      <c r="B4373" t="s">
        <v>8751</v>
      </c>
      <c r="C4373" s="1">
        <v>37.451771255899999</v>
      </c>
      <c r="D4373" s="1">
        <v>-7.1572035230899997</v>
      </c>
      <c r="E4373" s="3">
        <v>2</v>
      </c>
      <c r="F4373" s="2">
        <v>3</v>
      </c>
      <c r="G4373" s="4">
        <v>4</v>
      </c>
      <c r="H4373" s="13">
        <v>2</v>
      </c>
      <c r="I4373" s="34">
        <v>3</v>
      </c>
      <c r="J4373" s="37">
        <v>2</v>
      </c>
      <c r="K4373" s="2" t="s">
        <v>8752</v>
      </c>
      <c r="L4373" s="36" t="str">
        <f t="shared" si="73"/>
        <v>Ver Imagen</v>
      </c>
      <c r="M4373" s="37" t="s">
        <v>8052</v>
      </c>
    </row>
    <row r="4374" spans="1:13" x14ac:dyDescent="0.25">
      <c r="A4374" s="33">
        <v>4373</v>
      </c>
      <c r="B4374" t="s">
        <v>8753</v>
      </c>
      <c r="C4374" s="1">
        <v>37.451829521199997</v>
      </c>
      <c r="D4374" s="1">
        <v>-7.1574776183799997</v>
      </c>
      <c r="E4374" s="3">
        <v>1</v>
      </c>
      <c r="F4374" s="2">
        <v>2</v>
      </c>
      <c r="G4374" s="4">
        <v>3</v>
      </c>
      <c r="H4374" s="13">
        <v>2</v>
      </c>
      <c r="I4374" s="34">
        <v>2</v>
      </c>
      <c r="J4374" s="35">
        <v>2</v>
      </c>
      <c r="K4374" s="2" t="s">
        <v>8754</v>
      </c>
      <c r="L4374" s="36" t="str">
        <f t="shared" si="73"/>
        <v>Ver Imagen</v>
      </c>
      <c r="M4374" t="s">
        <v>8005</v>
      </c>
    </row>
    <row r="4375" spans="1:13" x14ac:dyDescent="0.25">
      <c r="A4375" s="33">
        <v>4374</v>
      </c>
      <c r="B4375" t="s">
        <v>8755</v>
      </c>
      <c r="C4375" s="1">
        <v>37.451927887799997</v>
      </c>
      <c r="D4375" s="1">
        <v>-7.15794693461</v>
      </c>
      <c r="E4375" s="3">
        <v>1</v>
      </c>
      <c r="F4375" s="2">
        <v>3</v>
      </c>
      <c r="G4375" s="4">
        <v>3</v>
      </c>
      <c r="H4375" s="13">
        <v>2</v>
      </c>
      <c r="I4375" s="34">
        <v>2</v>
      </c>
      <c r="J4375" s="35">
        <v>2</v>
      </c>
      <c r="K4375" s="2" t="s">
        <v>8756</v>
      </c>
      <c r="L4375" s="36" t="str">
        <f t="shared" si="73"/>
        <v>Ver Imagen</v>
      </c>
      <c r="M4375" t="s">
        <v>8005</v>
      </c>
    </row>
    <row r="4376" spans="1:13" x14ac:dyDescent="0.25">
      <c r="A4376" s="33">
        <v>4375</v>
      </c>
      <c r="B4376" t="s">
        <v>8757</v>
      </c>
      <c r="C4376" s="1">
        <v>37.452181018700003</v>
      </c>
      <c r="D4376" s="1">
        <v>-7.1591328167399997</v>
      </c>
      <c r="E4376" s="3">
        <v>2</v>
      </c>
      <c r="F4376" s="2">
        <v>3</v>
      </c>
      <c r="G4376" s="4">
        <v>4</v>
      </c>
      <c r="H4376" s="13">
        <v>3</v>
      </c>
      <c r="I4376" s="34">
        <v>3</v>
      </c>
      <c r="J4376" s="35">
        <v>3</v>
      </c>
      <c r="K4376" s="2" t="s">
        <v>8758</v>
      </c>
      <c r="L4376" s="36" t="str">
        <f t="shared" si="73"/>
        <v>Ver Imagen</v>
      </c>
      <c r="M4376" t="s">
        <v>8005</v>
      </c>
    </row>
    <row r="4377" spans="1:13" x14ac:dyDescent="0.25">
      <c r="A4377" s="33">
        <v>4376</v>
      </c>
      <c r="B4377" t="s">
        <v>8759</v>
      </c>
      <c r="C4377" s="1">
        <v>37.452228633099999</v>
      </c>
      <c r="D4377" s="1">
        <v>-7.1593579119199999</v>
      </c>
      <c r="E4377" s="3">
        <v>3</v>
      </c>
      <c r="F4377" s="2">
        <v>2</v>
      </c>
      <c r="G4377" s="4">
        <v>4</v>
      </c>
      <c r="H4377" s="13">
        <v>2</v>
      </c>
      <c r="I4377" s="34">
        <v>2</v>
      </c>
      <c r="J4377" s="35">
        <v>2</v>
      </c>
      <c r="K4377" s="2" t="s">
        <v>8760</v>
      </c>
      <c r="L4377" s="36" t="str">
        <f t="shared" si="73"/>
        <v>Ver Imagen</v>
      </c>
      <c r="M4377" t="s">
        <v>8005</v>
      </c>
    </row>
    <row r="4378" spans="1:13" x14ac:dyDescent="0.25">
      <c r="A4378" s="33">
        <v>4377</v>
      </c>
      <c r="B4378" t="s">
        <v>8761</v>
      </c>
      <c r="C4378" s="1">
        <v>37.452280451999997</v>
      </c>
      <c r="D4378" s="1">
        <v>-7.1596030400900004</v>
      </c>
      <c r="E4378" s="3">
        <v>3</v>
      </c>
      <c r="F4378" s="2">
        <v>4</v>
      </c>
      <c r="G4378" s="4">
        <v>5</v>
      </c>
      <c r="H4378" s="13">
        <v>4</v>
      </c>
      <c r="I4378" s="34">
        <v>4</v>
      </c>
      <c r="J4378" s="35">
        <v>4</v>
      </c>
      <c r="K4378" s="2" t="s">
        <v>8762</v>
      </c>
      <c r="L4378" s="36" t="str">
        <f t="shared" si="73"/>
        <v>Ver Imagen</v>
      </c>
      <c r="M4378" t="s">
        <v>8005</v>
      </c>
    </row>
    <row r="4379" spans="1:13" x14ac:dyDescent="0.25">
      <c r="A4379" s="33">
        <v>4378</v>
      </c>
      <c r="B4379" t="s">
        <v>8763</v>
      </c>
      <c r="C4379" s="1">
        <v>37.452664304300001</v>
      </c>
      <c r="D4379" s="1">
        <v>-7.16108830659</v>
      </c>
      <c r="E4379" s="3">
        <v>2</v>
      </c>
      <c r="F4379" s="2">
        <v>3</v>
      </c>
      <c r="G4379" s="4">
        <v>4</v>
      </c>
      <c r="H4379" s="13">
        <v>3</v>
      </c>
      <c r="I4379" s="34">
        <v>4</v>
      </c>
      <c r="J4379" s="35">
        <v>3</v>
      </c>
      <c r="K4379" s="2" t="s">
        <v>8764</v>
      </c>
      <c r="L4379" s="36" t="str">
        <f t="shared" si="73"/>
        <v>Ver Imagen</v>
      </c>
      <c r="M4379" t="s">
        <v>8005</v>
      </c>
    </row>
    <row r="4380" spans="1:13" x14ac:dyDescent="0.25">
      <c r="A4380" s="33">
        <v>4379</v>
      </c>
      <c r="B4380" t="s">
        <v>8765</v>
      </c>
      <c r="C4380" s="1">
        <v>37.452990587499997</v>
      </c>
      <c r="D4380" s="1">
        <v>-7.1617772300400002</v>
      </c>
      <c r="E4380" s="3">
        <v>1</v>
      </c>
      <c r="F4380" s="2">
        <v>3</v>
      </c>
      <c r="G4380" s="4">
        <v>3</v>
      </c>
      <c r="H4380" s="13">
        <v>2</v>
      </c>
      <c r="I4380" s="34">
        <v>1</v>
      </c>
      <c r="J4380" s="35">
        <v>2</v>
      </c>
      <c r="K4380" s="2" t="s">
        <v>8766</v>
      </c>
      <c r="L4380" s="36" t="str">
        <f t="shared" si="73"/>
        <v>Ver Imagen</v>
      </c>
      <c r="M4380" t="s">
        <v>8005</v>
      </c>
    </row>
    <row r="4381" spans="1:13" x14ac:dyDescent="0.25">
      <c r="A4381" s="33">
        <v>4380</v>
      </c>
      <c r="B4381" t="s">
        <v>8767</v>
      </c>
      <c r="C4381" s="1">
        <v>37.4531007653</v>
      </c>
      <c r="D4381" s="1">
        <v>-7.1619908936099996</v>
      </c>
      <c r="E4381" s="3">
        <v>1</v>
      </c>
      <c r="F4381" s="2">
        <v>3</v>
      </c>
      <c r="G4381" s="4">
        <v>2</v>
      </c>
      <c r="H4381" s="13">
        <v>2</v>
      </c>
      <c r="I4381" s="34">
        <v>2</v>
      </c>
      <c r="J4381" s="35">
        <v>2</v>
      </c>
      <c r="K4381" s="2" t="s">
        <v>8768</v>
      </c>
      <c r="L4381" s="36" t="str">
        <f t="shared" si="73"/>
        <v>Ver Imagen</v>
      </c>
      <c r="M4381" t="s">
        <v>8005</v>
      </c>
    </row>
    <row r="4382" spans="1:13" x14ac:dyDescent="0.25">
      <c r="A4382" s="33">
        <v>4381</v>
      </c>
      <c r="B4382" t="s">
        <v>8769</v>
      </c>
      <c r="C4382" s="1">
        <v>37.454170159599997</v>
      </c>
      <c r="D4382" s="1">
        <v>-7.1641089744100004</v>
      </c>
      <c r="E4382" s="3">
        <v>1</v>
      </c>
      <c r="F4382" s="2">
        <v>3</v>
      </c>
      <c r="G4382" s="4">
        <v>3</v>
      </c>
      <c r="H4382" s="13">
        <v>1</v>
      </c>
      <c r="I4382" s="34">
        <v>1</v>
      </c>
      <c r="J4382" s="35">
        <v>1</v>
      </c>
      <c r="K4382" s="2" t="s">
        <v>8770</v>
      </c>
      <c r="L4382" s="36" t="str">
        <f t="shared" ref="L4382:L4445" si="74">HYPERLINK("NoConsenso\" &amp; K4382, "Ver Imagen")</f>
        <v>Ver Imagen</v>
      </c>
      <c r="M4382" t="s">
        <v>8005</v>
      </c>
    </row>
    <row r="4383" spans="1:13" x14ac:dyDescent="0.25">
      <c r="A4383" s="33">
        <v>4382</v>
      </c>
      <c r="B4383" t="s">
        <v>8771</v>
      </c>
      <c r="C4383" s="1">
        <v>37.4544893984</v>
      </c>
      <c r="D4383" s="1">
        <v>-7.1647405727700004</v>
      </c>
      <c r="E4383" s="3">
        <v>1</v>
      </c>
      <c r="F4383" s="2">
        <v>3</v>
      </c>
      <c r="G4383" s="4">
        <v>3</v>
      </c>
      <c r="H4383" s="13">
        <v>2</v>
      </c>
      <c r="I4383" s="34">
        <v>1</v>
      </c>
      <c r="J4383" s="35">
        <v>2</v>
      </c>
      <c r="K4383" s="2" t="s">
        <v>8772</v>
      </c>
      <c r="L4383" s="36" t="str">
        <f t="shared" si="74"/>
        <v>Ver Imagen</v>
      </c>
      <c r="M4383" t="s">
        <v>8005</v>
      </c>
    </row>
    <row r="4384" spans="1:13" x14ac:dyDescent="0.25">
      <c r="A4384" s="33">
        <v>4383</v>
      </c>
      <c r="B4384" t="s">
        <v>8773</v>
      </c>
      <c r="C4384" s="1">
        <v>37.454612946700003</v>
      </c>
      <c r="D4384" s="1">
        <v>-7.1649735841200002</v>
      </c>
      <c r="E4384" s="3">
        <v>2</v>
      </c>
      <c r="F4384" s="2">
        <v>4</v>
      </c>
      <c r="G4384" s="4">
        <v>3</v>
      </c>
      <c r="H4384" s="13">
        <v>3</v>
      </c>
      <c r="I4384" s="34">
        <v>4</v>
      </c>
      <c r="J4384" s="35">
        <v>3</v>
      </c>
      <c r="K4384" s="2" t="s">
        <v>8774</v>
      </c>
      <c r="L4384" s="36" t="str">
        <f t="shared" si="74"/>
        <v>Ver Imagen</v>
      </c>
      <c r="M4384" t="s">
        <v>8005</v>
      </c>
    </row>
    <row r="4385" spans="1:13" x14ac:dyDescent="0.25">
      <c r="A4385" s="33">
        <v>4384</v>
      </c>
      <c r="B4385" t="s">
        <v>8775</v>
      </c>
      <c r="C4385" s="1">
        <v>37.454970714600002</v>
      </c>
      <c r="D4385" s="1">
        <v>-7.1655314371000003</v>
      </c>
      <c r="E4385" s="3">
        <v>2</v>
      </c>
      <c r="F4385" s="2">
        <v>3</v>
      </c>
      <c r="G4385" s="4">
        <v>4</v>
      </c>
      <c r="H4385" s="13">
        <v>3</v>
      </c>
      <c r="I4385" s="34">
        <v>3</v>
      </c>
      <c r="J4385" s="35">
        <v>3</v>
      </c>
      <c r="K4385" s="2" t="s">
        <v>8776</v>
      </c>
      <c r="L4385" s="36" t="str">
        <f t="shared" si="74"/>
        <v>Ver Imagen</v>
      </c>
      <c r="M4385" t="s">
        <v>8005</v>
      </c>
    </row>
    <row r="4386" spans="1:13" x14ac:dyDescent="0.25">
      <c r="A4386" s="33">
        <v>4385</v>
      </c>
      <c r="B4386" t="s">
        <v>8777</v>
      </c>
      <c r="C4386" s="1">
        <v>37.456140520700004</v>
      </c>
      <c r="D4386" s="1">
        <v>-7.1669707868200003</v>
      </c>
      <c r="E4386" s="3">
        <v>2</v>
      </c>
      <c r="F4386" s="2">
        <v>4</v>
      </c>
      <c r="G4386" s="4">
        <v>3</v>
      </c>
      <c r="H4386" s="13">
        <v>3</v>
      </c>
      <c r="I4386" s="34">
        <v>3</v>
      </c>
      <c r="J4386" s="35">
        <v>3</v>
      </c>
      <c r="K4386" s="2" t="s">
        <v>8778</v>
      </c>
      <c r="L4386" s="36" t="str">
        <f t="shared" si="74"/>
        <v>Ver Imagen</v>
      </c>
      <c r="M4386" t="s">
        <v>8005</v>
      </c>
    </row>
    <row r="4387" spans="1:13" x14ac:dyDescent="0.25">
      <c r="A4387" s="33">
        <v>4386</v>
      </c>
      <c r="B4387" t="s">
        <v>8779</v>
      </c>
      <c r="C4387" s="1">
        <v>37.456758814200001</v>
      </c>
      <c r="D4387" s="1">
        <v>-7.1677378331500003</v>
      </c>
      <c r="E4387" s="3">
        <v>1</v>
      </c>
      <c r="F4387" s="2">
        <v>3</v>
      </c>
      <c r="G4387" s="4">
        <v>3</v>
      </c>
      <c r="H4387" s="13">
        <v>3</v>
      </c>
      <c r="I4387" s="34">
        <v>3</v>
      </c>
      <c r="J4387" s="35">
        <v>3</v>
      </c>
      <c r="K4387" s="2" t="s">
        <v>8780</v>
      </c>
      <c r="L4387" s="36" t="str">
        <f t="shared" si="74"/>
        <v>Ver Imagen</v>
      </c>
      <c r="M4387" t="s">
        <v>8005</v>
      </c>
    </row>
    <row r="4388" spans="1:13" x14ac:dyDescent="0.25">
      <c r="A4388" s="33">
        <v>4387</v>
      </c>
      <c r="B4388" t="s">
        <v>8781</v>
      </c>
      <c r="C4388" s="1">
        <v>37.456845004400002</v>
      </c>
      <c r="D4388" s="1">
        <v>-7.1678458190000001</v>
      </c>
      <c r="E4388" s="3">
        <v>2</v>
      </c>
      <c r="F4388" s="2">
        <v>3</v>
      </c>
      <c r="G4388" s="4">
        <v>4</v>
      </c>
      <c r="H4388" s="13">
        <v>3</v>
      </c>
      <c r="I4388" s="34">
        <v>3</v>
      </c>
      <c r="J4388" s="35">
        <v>3</v>
      </c>
      <c r="K4388" s="2" t="s">
        <v>8782</v>
      </c>
      <c r="L4388" s="36" t="str">
        <f t="shared" si="74"/>
        <v>Ver Imagen</v>
      </c>
      <c r="M4388" t="s">
        <v>8005</v>
      </c>
    </row>
    <row r="4389" spans="1:13" x14ac:dyDescent="0.25">
      <c r="A4389" s="33">
        <v>4388</v>
      </c>
      <c r="B4389" t="s">
        <v>8783</v>
      </c>
      <c r="C4389" s="1">
        <v>37.457414288999999</v>
      </c>
      <c r="D4389" s="1">
        <v>-7.1685470213500002</v>
      </c>
      <c r="E4389" s="3">
        <v>2</v>
      </c>
      <c r="F4389" s="2">
        <v>4</v>
      </c>
      <c r="G4389" s="4">
        <v>3</v>
      </c>
      <c r="H4389" s="13">
        <v>3</v>
      </c>
      <c r="I4389" s="34">
        <v>3</v>
      </c>
      <c r="J4389" s="35">
        <v>3</v>
      </c>
      <c r="K4389" s="2" t="s">
        <v>8784</v>
      </c>
      <c r="L4389" s="36" t="str">
        <f t="shared" si="74"/>
        <v>Ver Imagen</v>
      </c>
      <c r="M4389" t="s">
        <v>8005</v>
      </c>
    </row>
    <row r="4390" spans="1:13" x14ac:dyDescent="0.25">
      <c r="A4390" s="33">
        <v>4389</v>
      </c>
      <c r="B4390" t="s">
        <v>8785</v>
      </c>
      <c r="C4390" s="1">
        <v>37.459580490699999</v>
      </c>
      <c r="D4390" s="1">
        <v>-7.17121708106</v>
      </c>
      <c r="E4390" s="3">
        <v>2</v>
      </c>
      <c r="F4390" s="2">
        <v>4</v>
      </c>
      <c r="G4390" s="4">
        <v>3</v>
      </c>
      <c r="H4390" s="13">
        <v>3</v>
      </c>
      <c r="I4390" s="34">
        <v>4</v>
      </c>
      <c r="J4390" s="35">
        <v>3</v>
      </c>
      <c r="K4390" s="2" t="s">
        <v>8786</v>
      </c>
      <c r="L4390" s="36" t="str">
        <f t="shared" si="74"/>
        <v>Ver Imagen</v>
      </c>
      <c r="M4390" t="s">
        <v>8005</v>
      </c>
    </row>
    <row r="4391" spans="1:13" x14ac:dyDescent="0.25">
      <c r="A4391" s="33">
        <v>4390</v>
      </c>
      <c r="B4391" t="s">
        <v>8787</v>
      </c>
      <c r="C4391" s="1">
        <v>37.459849799200001</v>
      </c>
      <c r="D4391" s="1">
        <v>-7.1716096941199998</v>
      </c>
      <c r="E4391" s="3">
        <v>1</v>
      </c>
      <c r="F4391" s="2">
        <v>3</v>
      </c>
      <c r="G4391" s="4">
        <v>2</v>
      </c>
      <c r="H4391" s="13">
        <v>2</v>
      </c>
      <c r="I4391" s="34">
        <v>3</v>
      </c>
      <c r="J4391" s="35">
        <v>2</v>
      </c>
      <c r="K4391" s="2" t="s">
        <v>8788</v>
      </c>
      <c r="L4391" s="36" t="str">
        <f t="shared" si="74"/>
        <v>Ver Imagen</v>
      </c>
      <c r="M4391" t="s">
        <v>8005</v>
      </c>
    </row>
    <row r="4392" spans="1:13" x14ac:dyDescent="0.25">
      <c r="A4392" s="33">
        <v>4391</v>
      </c>
      <c r="B4392" t="s">
        <v>8789</v>
      </c>
      <c r="C4392" s="1">
        <v>37.460018847599997</v>
      </c>
      <c r="D4392" s="1">
        <v>-7.1718739280500001</v>
      </c>
      <c r="E4392" s="3">
        <v>1</v>
      </c>
      <c r="F4392" s="2">
        <v>3</v>
      </c>
      <c r="G4392" s="4">
        <v>2</v>
      </c>
      <c r="H4392" s="13">
        <v>2</v>
      </c>
      <c r="I4392" s="34">
        <v>2</v>
      </c>
      <c r="J4392" s="35">
        <v>2</v>
      </c>
      <c r="K4392" s="2" t="s">
        <v>8790</v>
      </c>
      <c r="L4392" s="36" t="str">
        <f t="shared" si="74"/>
        <v>Ver Imagen</v>
      </c>
      <c r="M4392" t="s">
        <v>8005</v>
      </c>
    </row>
    <row r="4393" spans="1:13" x14ac:dyDescent="0.25">
      <c r="A4393" s="33">
        <v>4392</v>
      </c>
      <c r="B4393" t="s">
        <v>8791</v>
      </c>
      <c r="C4393" s="1">
        <v>37.460098566699997</v>
      </c>
      <c r="D4393" s="1">
        <v>-7.1720020525499999</v>
      </c>
      <c r="E4393" s="3">
        <v>2</v>
      </c>
      <c r="F4393" s="2">
        <v>4</v>
      </c>
      <c r="G4393" s="4">
        <v>4</v>
      </c>
      <c r="H4393" s="13">
        <v>2</v>
      </c>
      <c r="I4393" s="34">
        <v>3</v>
      </c>
      <c r="J4393" s="35">
        <v>3</v>
      </c>
      <c r="K4393" s="2" t="s">
        <v>8792</v>
      </c>
      <c r="L4393" s="36" t="str">
        <f t="shared" si="74"/>
        <v>Ver Imagen</v>
      </c>
      <c r="M4393" t="s">
        <v>8005</v>
      </c>
    </row>
    <row r="4394" spans="1:13" x14ac:dyDescent="0.25">
      <c r="A4394" s="33">
        <v>4393</v>
      </c>
      <c r="B4394" t="s">
        <v>8793</v>
      </c>
      <c r="C4394" s="1">
        <v>37.4617056457</v>
      </c>
      <c r="D4394" s="1">
        <v>-7.1746499996099997</v>
      </c>
      <c r="E4394" s="3">
        <v>2</v>
      </c>
      <c r="F4394" s="2">
        <v>4</v>
      </c>
      <c r="G4394" s="4">
        <v>3</v>
      </c>
      <c r="H4394" s="13">
        <v>3</v>
      </c>
      <c r="I4394" s="34">
        <v>4</v>
      </c>
      <c r="J4394" s="35">
        <v>3</v>
      </c>
      <c r="K4394" s="2" t="s">
        <v>8794</v>
      </c>
      <c r="L4394" s="36" t="str">
        <f t="shared" si="74"/>
        <v>Ver Imagen</v>
      </c>
      <c r="M4394" t="s">
        <v>8005</v>
      </c>
    </row>
    <row r="4395" spans="1:13" x14ac:dyDescent="0.25">
      <c r="A4395" s="33">
        <v>4394</v>
      </c>
      <c r="B4395" t="s">
        <v>8795</v>
      </c>
      <c r="C4395" s="1">
        <v>37.4631647884</v>
      </c>
      <c r="D4395" s="1">
        <v>-7.1770344857100001</v>
      </c>
      <c r="E4395" s="3">
        <v>1</v>
      </c>
      <c r="F4395" s="2">
        <v>3</v>
      </c>
      <c r="G4395" s="4">
        <v>2</v>
      </c>
      <c r="H4395" s="13">
        <v>2</v>
      </c>
      <c r="I4395" s="34">
        <v>2</v>
      </c>
      <c r="J4395" s="35">
        <v>2</v>
      </c>
      <c r="K4395" s="2" t="s">
        <v>8796</v>
      </c>
      <c r="L4395" s="36" t="str">
        <f t="shared" si="74"/>
        <v>Ver Imagen</v>
      </c>
      <c r="M4395" t="s">
        <v>8005</v>
      </c>
    </row>
    <row r="4396" spans="1:13" x14ac:dyDescent="0.25">
      <c r="A4396" s="33">
        <v>4395</v>
      </c>
      <c r="B4396" t="s">
        <v>8797</v>
      </c>
      <c r="C4396" s="1">
        <v>37.463308615400003</v>
      </c>
      <c r="D4396" s="1">
        <v>-7.1772692703200001</v>
      </c>
      <c r="E4396" s="3">
        <v>2</v>
      </c>
      <c r="F4396" s="2">
        <v>3</v>
      </c>
      <c r="G4396" s="4">
        <v>1</v>
      </c>
      <c r="H4396" s="13">
        <v>2</v>
      </c>
      <c r="I4396" s="34">
        <v>2</v>
      </c>
      <c r="J4396" s="35">
        <v>2</v>
      </c>
      <c r="K4396" s="2" t="s">
        <v>8798</v>
      </c>
      <c r="L4396" s="36" t="str">
        <f t="shared" si="74"/>
        <v>Ver Imagen</v>
      </c>
      <c r="M4396" t="s">
        <v>8005</v>
      </c>
    </row>
    <row r="4397" spans="1:13" x14ac:dyDescent="0.25">
      <c r="A4397" s="33">
        <v>4396</v>
      </c>
      <c r="B4397" t="s">
        <v>8799</v>
      </c>
      <c r="C4397" s="1">
        <v>37.464246051300002</v>
      </c>
      <c r="D4397" s="1">
        <v>-7.1789779455499998</v>
      </c>
      <c r="E4397" s="3">
        <v>2</v>
      </c>
      <c r="F4397" s="2">
        <v>3</v>
      </c>
      <c r="G4397" s="4">
        <v>4</v>
      </c>
      <c r="H4397" s="13">
        <v>2</v>
      </c>
      <c r="I4397" s="34">
        <v>2</v>
      </c>
      <c r="J4397" s="35">
        <v>2</v>
      </c>
      <c r="K4397" s="2" t="s">
        <v>8800</v>
      </c>
      <c r="L4397" s="36" t="str">
        <f t="shared" si="74"/>
        <v>Ver Imagen</v>
      </c>
      <c r="M4397" t="s">
        <v>8005</v>
      </c>
    </row>
    <row r="4398" spans="1:13" x14ac:dyDescent="0.25">
      <c r="A4398" s="33">
        <v>4397</v>
      </c>
      <c r="B4398" t="s">
        <v>8801</v>
      </c>
      <c r="C4398" s="1">
        <v>37.464733240599998</v>
      </c>
      <c r="D4398" s="1">
        <v>-7.1798257663599996</v>
      </c>
      <c r="E4398" s="3">
        <v>3</v>
      </c>
      <c r="F4398" s="2">
        <v>4</v>
      </c>
      <c r="G4398" s="4">
        <v>5</v>
      </c>
      <c r="H4398" s="13">
        <v>4</v>
      </c>
      <c r="I4398" s="34">
        <v>4</v>
      </c>
      <c r="J4398" s="35">
        <v>4</v>
      </c>
      <c r="K4398" s="2" t="s">
        <v>8802</v>
      </c>
      <c r="L4398" s="36" t="str">
        <f t="shared" si="74"/>
        <v>Ver Imagen</v>
      </c>
      <c r="M4398" t="s">
        <v>8005</v>
      </c>
    </row>
    <row r="4399" spans="1:13" x14ac:dyDescent="0.25">
      <c r="A4399" s="33">
        <v>4398</v>
      </c>
      <c r="B4399" t="s">
        <v>8803</v>
      </c>
      <c r="C4399" s="1">
        <v>37.465048571399997</v>
      </c>
      <c r="D4399" s="1">
        <v>-7.1803972365100002</v>
      </c>
      <c r="E4399" s="3">
        <v>2</v>
      </c>
      <c r="F4399" s="2">
        <v>3</v>
      </c>
      <c r="G4399" s="4">
        <v>4</v>
      </c>
      <c r="H4399" s="13">
        <v>3</v>
      </c>
      <c r="I4399" s="34">
        <v>3</v>
      </c>
      <c r="J4399" s="35">
        <v>3</v>
      </c>
      <c r="K4399" s="2" t="s">
        <v>8804</v>
      </c>
      <c r="L4399" s="36" t="str">
        <f t="shared" si="74"/>
        <v>Ver Imagen</v>
      </c>
      <c r="M4399" t="s">
        <v>8005</v>
      </c>
    </row>
    <row r="4400" spans="1:13" x14ac:dyDescent="0.25">
      <c r="A4400" s="33">
        <v>4399</v>
      </c>
      <c r="B4400" t="s">
        <v>8805</v>
      </c>
      <c r="C4400" s="1">
        <v>37.465495453300001</v>
      </c>
      <c r="D4400" s="1">
        <v>-7.1812375824899997</v>
      </c>
      <c r="E4400" s="3">
        <v>3</v>
      </c>
      <c r="F4400" s="2">
        <v>4</v>
      </c>
      <c r="G4400" s="4">
        <v>5</v>
      </c>
      <c r="H4400" s="13">
        <v>4</v>
      </c>
      <c r="I4400" s="34">
        <v>4</v>
      </c>
      <c r="J4400" s="35">
        <v>4</v>
      </c>
      <c r="K4400" s="2" t="s">
        <v>8806</v>
      </c>
      <c r="L4400" s="36" t="str">
        <f t="shared" si="74"/>
        <v>Ver Imagen</v>
      </c>
      <c r="M4400" t="s">
        <v>8005</v>
      </c>
    </row>
    <row r="4401" spans="1:13" x14ac:dyDescent="0.25">
      <c r="A4401" s="33">
        <v>4400</v>
      </c>
      <c r="B4401" t="s">
        <v>8807</v>
      </c>
      <c r="C4401" s="1">
        <v>37.465716040799997</v>
      </c>
      <c r="D4401" s="1">
        <v>-7.18165073699</v>
      </c>
      <c r="E4401" s="3">
        <v>3</v>
      </c>
      <c r="F4401" s="2">
        <v>3</v>
      </c>
      <c r="G4401" s="4">
        <v>5</v>
      </c>
      <c r="H4401" s="13">
        <v>3</v>
      </c>
      <c r="I4401" s="34">
        <v>4</v>
      </c>
      <c r="J4401" s="35">
        <v>3</v>
      </c>
      <c r="K4401" s="2" t="s">
        <v>8808</v>
      </c>
      <c r="L4401" s="36" t="str">
        <f t="shared" si="74"/>
        <v>Ver Imagen</v>
      </c>
      <c r="M4401" t="s">
        <v>8005</v>
      </c>
    </row>
    <row r="4402" spans="1:13" x14ac:dyDescent="0.25">
      <c r="A4402" s="33">
        <v>4401</v>
      </c>
      <c r="B4402" t="s">
        <v>8809</v>
      </c>
      <c r="C4402" s="1">
        <v>37.467183054700001</v>
      </c>
      <c r="D4402" s="1">
        <v>-7.1844487245600002</v>
      </c>
      <c r="E4402" s="3">
        <v>2</v>
      </c>
      <c r="F4402" s="2">
        <v>2</v>
      </c>
      <c r="G4402" s="4">
        <v>4</v>
      </c>
      <c r="H4402" s="13">
        <v>2</v>
      </c>
      <c r="I4402" s="34">
        <v>1</v>
      </c>
      <c r="J4402" s="35">
        <v>2</v>
      </c>
      <c r="K4402" s="2" t="s">
        <v>8810</v>
      </c>
      <c r="L4402" s="36" t="str">
        <f t="shared" si="74"/>
        <v>Ver Imagen</v>
      </c>
      <c r="M4402" t="s">
        <v>8005</v>
      </c>
    </row>
    <row r="4403" spans="1:13" x14ac:dyDescent="0.25">
      <c r="A4403" s="33">
        <v>4402</v>
      </c>
      <c r="B4403" t="s">
        <v>8811</v>
      </c>
      <c r="C4403" s="1">
        <v>37.449276774099999</v>
      </c>
      <c r="D4403" s="1">
        <v>-7.1509357482700002</v>
      </c>
      <c r="E4403" s="3">
        <v>3</v>
      </c>
      <c r="F4403" s="2">
        <v>4</v>
      </c>
      <c r="G4403" s="4">
        <v>5</v>
      </c>
      <c r="H4403" s="13">
        <v>4</v>
      </c>
      <c r="I4403" s="34">
        <v>4</v>
      </c>
      <c r="J4403" s="35">
        <v>4</v>
      </c>
      <c r="K4403" s="2" t="s">
        <v>8812</v>
      </c>
      <c r="L4403" s="36" t="str">
        <f t="shared" si="74"/>
        <v>Ver Imagen</v>
      </c>
      <c r="M4403" t="s">
        <v>8005</v>
      </c>
    </row>
    <row r="4404" spans="1:13" x14ac:dyDescent="0.25">
      <c r="A4404" s="33">
        <v>4403</v>
      </c>
      <c r="B4404" t="s">
        <v>8813</v>
      </c>
      <c r="C4404" s="1">
        <v>37.4770721792</v>
      </c>
      <c r="D4404" s="1">
        <v>-7.2035579063500004</v>
      </c>
      <c r="E4404" s="3">
        <v>2</v>
      </c>
      <c r="F4404" s="2">
        <v>2</v>
      </c>
      <c r="G4404" s="4">
        <v>4</v>
      </c>
      <c r="H4404" s="13">
        <v>2</v>
      </c>
      <c r="I4404" s="34">
        <v>2</v>
      </c>
      <c r="J4404" s="35">
        <v>2</v>
      </c>
      <c r="K4404" s="2" t="s">
        <v>8814</v>
      </c>
      <c r="L4404" s="36" t="str">
        <f t="shared" si="74"/>
        <v>Ver Imagen</v>
      </c>
      <c r="M4404" t="s">
        <v>8005</v>
      </c>
    </row>
    <row r="4405" spans="1:13" x14ac:dyDescent="0.25">
      <c r="A4405" s="33">
        <v>4404</v>
      </c>
      <c r="B4405" t="s">
        <v>8815</v>
      </c>
      <c r="C4405" s="1">
        <v>37.478250012499998</v>
      </c>
      <c r="D4405" s="1">
        <v>-7.2062877517099997</v>
      </c>
      <c r="E4405" s="3">
        <v>1</v>
      </c>
      <c r="F4405" s="2">
        <v>3</v>
      </c>
      <c r="G4405" s="4">
        <v>2</v>
      </c>
      <c r="H4405" s="13">
        <v>1</v>
      </c>
      <c r="I4405" s="34">
        <v>1</v>
      </c>
      <c r="J4405" s="35">
        <v>1</v>
      </c>
      <c r="K4405" s="2" t="s">
        <v>8816</v>
      </c>
      <c r="L4405" s="36" t="str">
        <f t="shared" si="74"/>
        <v>Ver Imagen</v>
      </c>
      <c r="M4405" t="s">
        <v>8005</v>
      </c>
    </row>
    <row r="4406" spans="1:13" x14ac:dyDescent="0.25">
      <c r="A4406" s="33">
        <v>4405</v>
      </c>
      <c r="B4406" t="s">
        <v>8817</v>
      </c>
      <c r="C4406" s="1">
        <v>37.478428822600002</v>
      </c>
      <c r="D4406" s="1">
        <v>-7.2067080813000004</v>
      </c>
      <c r="E4406" s="3">
        <v>1</v>
      </c>
      <c r="F4406" s="2">
        <v>3</v>
      </c>
      <c r="G4406" s="4">
        <v>2</v>
      </c>
      <c r="H4406" s="13">
        <v>1</v>
      </c>
      <c r="I4406" s="34">
        <v>1</v>
      </c>
      <c r="J4406" s="35">
        <v>1</v>
      </c>
      <c r="K4406" s="2" t="s">
        <v>8818</v>
      </c>
      <c r="L4406" s="36" t="str">
        <f t="shared" si="74"/>
        <v>Ver Imagen</v>
      </c>
      <c r="M4406" t="s">
        <v>8005</v>
      </c>
    </row>
    <row r="4407" spans="1:13" x14ac:dyDescent="0.25">
      <c r="A4407" s="33">
        <v>4406</v>
      </c>
      <c r="B4407" t="s">
        <v>8819</v>
      </c>
      <c r="C4407" s="1">
        <v>37.478903657099998</v>
      </c>
      <c r="D4407" s="1">
        <v>-7.2078018693699999</v>
      </c>
      <c r="E4407" s="3">
        <v>1</v>
      </c>
      <c r="F4407" s="2">
        <v>3</v>
      </c>
      <c r="G4407" s="4">
        <v>2</v>
      </c>
      <c r="H4407" s="13">
        <v>2</v>
      </c>
      <c r="I4407" s="34">
        <v>2</v>
      </c>
      <c r="J4407" s="35">
        <v>2</v>
      </c>
      <c r="K4407" s="2" t="s">
        <v>8820</v>
      </c>
      <c r="L4407" s="36" t="str">
        <f t="shared" si="74"/>
        <v>Ver Imagen</v>
      </c>
      <c r="M4407" t="s">
        <v>8005</v>
      </c>
    </row>
    <row r="4408" spans="1:13" x14ac:dyDescent="0.25">
      <c r="A4408" s="33">
        <v>4407</v>
      </c>
      <c r="B4408" t="s">
        <v>8821</v>
      </c>
      <c r="C4408" s="1">
        <v>37.4795749918</v>
      </c>
      <c r="D4408" s="1">
        <v>-7.2093798618799996</v>
      </c>
      <c r="E4408" s="3">
        <v>2</v>
      </c>
      <c r="F4408" s="2">
        <v>4</v>
      </c>
      <c r="G4408" s="4">
        <v>3</v>
      </c>
      <c r="H4408" s="13">
        <v>3</v>
      </c>
      <c r="I4408" s="34">
        <v>4</v>
      </c>
      <c r="J4408" s="35">
        <v>3</v>
      </c>
      <c r="K4408" s="2" t="s">
        <v>8822</v>
      </c>
      <c r="L4408" s="36" t="str">
        <f t="shared" si="74"/>
        <v>Ver Imagen</v>
      </c>
      <c r="M4408" t="s">
        <v>8005</v>
      </c>
    </row>
    <row r="4409" spans="1:13" x14ac:dyDescent="0.25">
      <c r="A4409" s="33">
        <v>4408</v>
      </c>
      <c r="B4409" t="s">
        <v>8823</v>
      </c>
      <c r="C4409" s="1">
        <v>37.480337441300001</v>
      </c>
      <c r="D4409" s="1">
        <v>-7.2111402555600002</v>
      </c>
      <c r="E4409" s="3">
        <v>1</v>
      </c>
      <c r="F4409" s="2">
        <v>3</v>
      </c>
      <c r="G4409" s="4">
        <v>2</v>
      </c>
      <c r="H4409" s="13">
        <v>2</v>
      </c>
      <c r="I4409" s="34">
        <v>2</v>
      </c>
      <c r="J4409" s="35">
        <v>2</v>
      </c>
      <c r="K4409" s="2" t="s">
        <v>8824</v>
      </c>
      <c r="L4409" s="36" t="str">
        <f t="shared" si="74"/>
        <v>Ver Imagen</v>
      </c>
      <c r="M4409" t="s">
        <v>8005</v>
      </c>
    </row>
    <row r="4410" spans="1:13" x14ac:dyDescent="0.25">
      <c r="A4410" s="33">
        <v>4409</v>
      </c>
      <c r="B4410" t="s">
        <v>8825</v>
      </c>
      <c r="C4410" s="1">
        <v>37.480717392899997</v>
      </c>
      <c r="D4410" s="1">
        <v>-7.2120829834500002</v>
      </c>
      <c r="E4410" s="3">
        <v>1</v>
      </c>
      <c r="F4410" s="2">
        <v>3</v>
      </c>
      <c r="G4410" s="4">
        <v>2</v>
      </c>
      <c r="H4410" s="13">
        <v>2</v>
      </c>
      <c r="I4410" s="34">
        <v>1</v>
      </c>
      <c r="J4410" s="35">
        <v>2</v>
      </c>
      <c r="K4410" s="2" t="s">
        <v>8826</v>
      </c>
      <c r="L4410" s="36" t="str">
        <f t="shared" si="74"/>
        <v>Ver Imagen</v>
      </c>
      <c r="M4410" t="s">
        <v>8005</v>
      </c>
    </row>
    <row r="4411" spans="1:13" x14ac:dyDescent="0.25">
      <c r="A4411" s="33">
        <v>4410</v>
      </c>
      <c r="B4411" t="s">
        <v>8827</v>
      </c>
      <c r="C4411" s="1">
        <v>37.4808033427</v>
      </c>
      <c r="D4411" s="1">
        <v>-7.2123154089800003</v>
      </c>
      <c r="E4411" s="3">
        <v>2</v>
      </c>
      <c r="F4411" s="2">
        <v>4</v>
      </c>
      <c r="G4411" s="4">
        <v>3</v>
      </c>
      <c r="H4411" s="13">
        <v>3</v>
      </c>
      <c r="I4411" s="34">
        <v>3</v>
      </c>
      <c r="J4411" s="35">
        <v>3</v>
      </c>
      <c r="K4411" s="2" t="s">
        <v>8828</v>
      </c>
      <c r="L4411" s="36" t="str">
        <f t="shared" si="74"/>
        <v>Ver Imagen</v>
      </c>
      <c r="M4411" t="s">
        <v>8005</v>
      </c>
    </row>
    <row r="4412" spans="1:13" x14ac:dyDescent="0.25">
      <c r="A4412" s="33">
        <v>4411</v>
      </c>
      <c r="B4412" t="s">
        <v>8829</v>
      </c>
      <c r="C4412" s="1">
        <v>37.480994505699996</v>
      </c>
      <c r="D4412" s="1">
        <v>-7.2128343843699998</v>
      </c>
      <c r="E4412" s="3">
        <v>1</v>
      </c>
      <c r="F4412" s="2">
        <v>3</v>
      </c>
      <c r="G4412" s="4">
        <v>2</v>
      </c>
      <c r="H4412" s="13">
        <v>3</v>
      </c>
      <c r="I4412" s="34">
        <v>3</v>
      </c>
      <c r="J4412" s="35">
        <v>3</v>
      </c>
      <c r="K4412" s="2" t="s">
        <v>8830</v>
      </c>
      <c r="L4412" s="36" t="str">
        <f t="shared" si="74"/>
        <v>Ver Imagen</v>
      </c>
      <c r="M4412" t="s">
        <v>8005</v>
      </c>
    </row>
    <row r="4413" spans="1:13" x14ac:dyDescent="0.25">
      <c r="A4413" s="33">
        <v>4412</v>
      </c>
      <c r="B4413" t="s">
        <v>8831</v>
      </c>
      <c r="C4413" s="1">
        <v>37.481554793100003</v>
      </c>
      <c r="D4413" s="1">
        <v>-7.2143612854699999</v>
      </c>
      <c r="E4413" s="3">
        <v>1</v>
      </c>
      <c r="F4413" s="2">
        <v>3</v>
      </c>
      <c r="G4413" s="4">
        <v>2</v>
      </c>
      <c r="H4413" s="13">
        <v>2</v>
      </c>
      <c r="I4413" s="34">
        <v>2</v>
      </c>
      <c r="J4413" s="35">
        <v>2</v>
      </c>
      <c r="K4413" s="2" t="s">
        <v>8832</v>
      </c>
      <c r="L4413" s="36" t="str">
        <f t="shared" si="74"/>
        <v>Ver Imagen</v>
      </c>
      <c r="M4413" t="s">
        <v>8005</v>
      </c>
    </row>
    <row r="4414" spans="1:13" x14ac:dyDescent="0.25">
      <c r="A4414" s="33">
        <v>4413</v>
      </c>
      <c r="B4414" t="s">
        <v>8833</v>
      </c>
      <c r="C4414" s="1">
        <v>37.481750289499999</v>
      </c>
      <c r="D4414" s="1">
        <v>-7.2148914522699998</v>
      </c>
      <c r="E4414" s="3">
        <v>3</v>
      </c>
      <c r="F4414" s="2">
        <v>4</v>
      </c>
      <c r="G4414" s="4">
        <v>2</v>
      </c>
      <c r="H4414" s="13">
        <v>2</v>
      </c>
      <c r="I4414" s="34">
        <v>2</v>
      </c>
      <c r="J4414" s="35">
        <v>2</v>
      </c>
      <c r="K4414" s="2" t="s">
        <v>8834</v>
      </c>
      <c r="L4414" s="36" t="str">
        <f t="shared" si="74"/>
        <v>Ver Imagen</v>
      </c>
      <c r="M4414" t="s">
        <v>8005</v>
      </c>
    </row>
    <row r="4415" spans="1:13" x14ac:dyDescent="0.25">
      <c r="A4415" s="33">
        <v>4414</v>
      </c>
      <c r="B4415" t="s">
        <v>8835</v>
      </c>
      <c r="C4415" s="1">
        <v>37.481833380099999</v>
      </c>
      <c r="D4415" s="1">
        <v>-7.2151155984499997</v>
      </c>
      <c r="E4415" s="3">
        <v>2</v>
      </c>
      <c r="F4415" s="2">
        <v>3</v>
      </c>
      <c r="G4415" s="4">
        <v>1</v>
      </c>
      <c r="H4415" s="13">
        <v>2</v>
      </c>
      <c r="I4415" s="34">
        <v>2</v>
      </c>
      <c r="J4415" s="35">
        <v>2</v>
      </c>
      <c r="K4415" s="2" t="s">
        <v>8836</v>
      </c>
      <c r="L4415" s="36" t="str">
        <f t="shared" si="74"/>
        <v>Ver Imagen</v>
      </c>
      <c r="M4415" t="s">
        <v>8005</v>
      </c>
    </row>
    <row r="4416" spans="1:13" x14ac:dyDescent="0.25">
      <c r="A4416" s="33">
        <v>4415</v>
      </c>
      <c r="B4416" t="s">
        <v>8837</v>
      </c>
      <c r="C4416" s="1">
        <v>37.481898612000002</v>
      </c>
      <c r="D4416" s="1">
        <v>-7.2152911309299999</v>
      </c>
      <c r="E4416" s="3">
        <v>2</v>
      </c>
      <c r="F4416" s="2">
        <v>3</v>
      </c>
      <c r="G4416" s="4">
        <v>1</v>
      </c>
      <c r="H4416" s="13">
        <v>2</v>
      </c>
      <c r="I4416" s="34">
        <v>2</v>
      </c>
      <c r="J4416" s="35">
        <v>2</v>
      </c>
      <c r="K4416" s="2" t="s">
        <v>8838</v>
      </c>
      <c r="L4416" s="36" t="str">
        <f t="shared" si="74"/>
        <v>Ver Imagen</v>
      </c>
      <c r="M4416" t="s">
        <v>8005</v>
      </c>
    </row>
    <row r="4417" spans="1:13" x14ac:dyDescent="0.25">
      <c r="A4417" s="33">
        <v>4416</v>
      </c>
      <c r="B4417" t="s">
        <v>8839</v>
      </c>
      <c r="C4417" s="1">
        <v>37.482150062800002</v>
      </c>
      <c r="D4417" s="1">
        <v>-7.2160193535200001</v>
      </c>
      <c r="E4417" s="3">
        <v>1</v>
      </c>
      <c r="F4417" s="2">
        <v>3</v>
      </c>
      <c r="G4417" s="4">
        <v>2</v>
      </c>
      <c r="H4417" s="13">
        <v>1</v>
      </c>
      <c r="I4417" s="34">
        <v>1</v>
      </c>
      <c r="J4417" s="35">
        <v>1</v>
      </c>
      <c r="K4417" s="2" t="s">
        <v>8840</v>
      </c>
      <c r="L4417" s="36" t="str">
        <f t="shared" si="74"/>
        <v>Ver Imagen</v>
      </c>
      <c r="M4417" t="s">
        <v>8005</v>
      </c>
    </row>
    <row r="4418" spans="1:13" x14ac:dyDescent="0.25">
      <c r="A4418" s="33">
        <v>4417</v>
      </c>
      <c r="B4418" t="s">
        <v>8841</v>
      </c>
      <c r="C4418" s="1">
        <v>37.482219708899997</v>
      </c>
      <c r="D4418" s="1">
        <v>-7.2162862957899998</v>
      </c>
      <c r="E4418" s="3">
        <v>1</v>
      </c>
      <c r="F4418" s="2">
        <v>3</v>
      </c>
      <c r="G4418" s="4">
        <v>2</v>
      </c>
      <c r="H4418" s="13">
        <v>2</v>
      </c>
      <c r="I4418" s="34">
        <v>2</v>
      </c>
      <c r="J4418" s="35">
        <v>2</v>
      </c>
      <c r="K4418" s="2" t="s">
        <v>8842</v>
      </c>
      <c r="L4418" s="36" t="str">
        <f t="shared" si="74"/>
        <v>Ver Imagen</v>
      </c>
      <c r="M4418" t="s">
        <v>8005</v>
      </c>
    </row>
    <row r="4419" spans="1:13" x14ac:dyDescent="0.25">
      <c r="A4419" s="33">
        <v>4418</v>
      </c>
      <c r="B4419" t="s">
        <v>8843</v>
      </c>
      <c r="C4419" s="1">
        <v>37.482272309700001</v>
      </c>
      <c r="D4419" s="1">
        <v>-7.2165147477699998</v>
      </c>
      <c r="E4419" s="3">
        <v>1</v>
      </c>
      <c r="F4419" s="2">
        <v>3</v>
      </c>
      <c r="G4419" s="4">
        <v>2</v>
      </c>
      <c r="H4419" s="13">
        <v>2</v>
      </c>
      <c r="I4419" s="34">
        <v>2</v>
      </c>
      <c r="J4419" s="35">
        <v>2</v>
      </c>
      <c r="K4419" s="2" t="s">
        <v>8844</v>
      </c>
      <c r="L4419" s="36" t="str">
        <f t="shared" si="74"/>
        <v>Ver Imagen</v>
      </c>
      <c r="M4419" t="s">
        <v>8005</v>
      </c>
    </row>
    <row r="4420" spans="1:13" x14ac:dyDescent="0.25">
      <c r="A4420" s="33">
        <v>4419</v>
      </c>
      <c r="B4420" t="s">
        <v>8845</v>
      </c>
      <c r="C4420" s="1">
        <v>37.482425608500002</v>
      </c>
      <c r="D4420" s="1">
        <v>-7.2172590654200004</v>
      </c>
      <c r="E4420" s="3">
        <v>1</v>
      </c>
      <c r="F4420" s="2">
        <v>3</v>
      </c>
      <c r="G4420" s="4">
        <v>3</v>
      </c>
      <c r="H4420" s="13">
        <v>3</v>
      </c>
      <c r="I4420" s="34">
        <v>3</v>
      </c>
      <c r="J4420" s="35">
        <v>3</v>
      </c>
      <c r="K4420" s="2" t="s">
        <v>8846</v>
      </c>
      <c r="L4420" s="36" t="str">
        <f t="shared" si="74"/>
        <v>Ver Imagen</v>
      </c>
      <c r="M4420" t="s">
        <v>8005</v>
      </c>
    </row>
    <row r="4421" spans="1:13" x14ac:dyDescent="0.25">
      <c r="A4421" s="33">
        <v>4420</v>
      </c>
      <c r="B4421" t="s">
        <v>8847</v>
      </c>
      <c r="C4421" s="1">
        <v>37.4828612867</v>
      </c>
      <c r="D4421" s="1">
        <v>-7.21946788251</v>
      </c>
      <c r="E4421" s="3">
        <v>1</v>
      </c>
      <c r="F4421" s="2">
        <v>3</v>
      </c>
      <c r="G4421" s="4">
        <v>2</v>
      </c>
      <c r="H4421" s="13">
        <v>2</v>
      </c>
      <c r="I4421" s="34">
        <v>2</v>
      </c>
      <c r="J4421" s="35">
        <v>2</v>
      </c>
      <c r="K4421" s="2" t="s">
        <v>8848</v>
      </c>
      <c r="L4421" s="36" t="str">
        <f t="shared" si="74"/>
        <v>Ver Imagen</v>
      </c>
      <c r="M4421" t="s">
        <v>8005</v>
      </c>
    </row>
    <row r="4422" spans="1:13" x14ac:dyDescent="0.25">
      <c r="A4422" s="33">
        <v>4421</v>
      </c>
      <c r="B4422" t="s">
        <v>8849</v>
      </c>
      <c r="C4422" s="1">
        <v>37.483003735399997</v>
      </c>
      <c r="D4422" s="1">
        <v>-7.2202090669899999</v>
      </c>
      <c r="E4422" s="3">
        <v>1</v>
      </c>
      <c r="F4422" s="2">
        <v>2</v>
      </c>
      <c r="G4422" s="4">
        <v>3</v>
      </c>
      <c r="H4422" s="13">
        <v>2</v>
      </c>
      <c r="I4422" s="34">
        <v>2</v>
      </c>
      <c r="J4422" s="35">
        <v>2</v>
      </c>
      <c r="K4422" s="2" t="s">
        <v>8850</v>
      </c>
      <c r="L4422" s="36" t="str">
        <f t="shared" si="74"/>
        <v>Ver Imagen</v>
      </c>
      <c r="M4422" t="s">
        <v>8005</v>
      </c>
    </row>
    <row r="4423" spans="1:13" x14ac:dyDescent="0.25">
      <c r="A4423" s="33">
        <v>4422</v>
      </c>
      <c r="B4423" t="s">
        <v>8851</v>
      </c>
      <c r="C4423" s="1">
        <v>37.483678812699999</v>
      </c>
      <c r="D4423" s="1">
        <v>-7.2236380493699999</v>
      </c>
      <c r="E4423" s="3">
        <v>1</v>
      </c>
      <c r="F4423" s="2">
        <v>3</v>
      </c>
      <c r="G4423" s="4">
        <v>2</v>
      </c>
      <c r="H4423" s="13">
        <v>2</v>
      </c>
      <c r="I4423" s="34">
        <v>2</v>
      </c>
      <c r="J4423" s="35">
        <v>2</v>
      </c>
      <c r="K4423" s="2" t="s">
        <v>8852</v>
      </c>
      <c r="L4423" s="36" t="str">
        <f t="shared" si="74"/>
        <v>Ver Imagen</v>
      </c>
      <c r="M4423" t="s">
        <v>8005</v>
      </c>
    </row>
    <row r="4424" spans="1:13" x14ac:dyDescent="0.25">
      <c r="A4424" s="33">
        <v>4423</v>
      </c>
      <c r="B4424" t="s">
        <v>8853</v>
      </c>
      <c r="C4424" s="1">
        <v>37.483775132200002</v>
      </c>
      <c r="D4424" s="1">
        <v>-7.2241461199100003</v>
      </c>
      <c r="E4424" s="3">
        <v>1</v>
      </c>
      <c r="F4424" s="2">
        <v>3</v>
      </c>
      <c r="G4424" s="4">
        <v>3</v>
      </c>
      <c r="H4424" s="13">
        <v>2</v>
      </c>
      <c r="I4424" s="34">
        <v>1</v>
      </c>
      <c r="J4424" s="35">
        <v>2</v>
      </c>
      <c r="K4424" s="2" t="s">
        <v>8854</v>
      </c>
      <c r="L4424" s="36" t="str">
        <f t="shared" si="74"/>
        <v>Ver Imagen</v>
      </c>
      <c r="M4424" t="s">
        <v>8005</v>
      </c>
    </row>
    <row r="4425" spans="1:13" x14ac:dyDescent="0.25">
      <c r="A4425" s="33">
        <v>4424</v>
      </c>
      <c r="B4425" t="s">
        <v>8855</v>
      </c>
      <c r="C4425" s="1">
        <v>37.483821670799998</v>
      </c>
      <c r="D4425" s="1">
        <v>-7.2243909779499997</v>
      </c>
      <c r="E4425" s="3">
        <v>1</v>
      </c>
      <c r="F4425" s="2">
        <v>2</v>
      </c>
      <c r="G4425" s="4">
        <v>3</v>
      </c>
      <c r="H4425" s="13">
        <v>2</v>
      </c>
      <c r="I4425" s="34">
        <v>2</v>
      </c>
      <c r="J4425" s="35">
        <v>2</v>
      </c>
      <c r="K4425" s="2" t="s">
        <v>8856</v>
      </c>
      <c r="L4425" s="36" t="str">
        <f t="shared" si="74"/>
        <v>Ver Imagen</v>
      </c>
      <c r="M4425" t="s">
        <v>8005</v>
      </c>
    </row>
    <row r="4426" spans="1:13" x14ac:dyDescent="0.25">
      <c r="A4426" s="33">
        <v>4425</v>
      </c>
      <c r="B4426" t="s">
        <v>8857</v>
      </c>
      <c r="C4426" s="1">
        <v>37.484448160299998</v>
      </c>
      <c r="D4426" s="1">
        <v>-7.2276201136499996</v>
      </c>
      <c r="E4426" s="3">
        <v>1</v>
      </c>
      <c r="F4426" s="2">
        <v>3</v>
      </c>
      <c r="G4426" s="4">
        <v>2</v>
      </c>
      <c r="H4426" s="13">
        <v>2</v>
      </c>
      <c r="I4426" s="34">
        <v>2</v>
      </c>
      <c r="J4426" s="35">
        <v>2</v>
      </c>
      <c r="K4426" s="2" t="s">
        <v>8858</v>
      </c>
      <c r="L4426" s="36" t="str">
        <f t="shared" si="74"/>
        <v>Ver Imagen</v>
      </c>
      <c r="M4426" t="s">
        <v>8005</v>
      </c>
    </row>
    <row r="4427" spans="1:13" x14ac:dyDescent="0.25">
      <c r="A4427" s="33">
        <v>4426</v>
      </c>
      <c r="B4427" t="s">
        <v>8859</v>
      </c>
      <c r="C4427" s="1">
        <v>37.485067239599999</v>
      </c>
      <c r="D4427" s="1">
        <v>-7.23079662581</v>
      </c>
      <c r="E4427" s="3">
        <v>1</v>
      </c>
      <c r="F4427" s="2">
        <v>3</v>
      </c>
      <c r="G4427" s="4">
        <v>2</v>
      </c>
      <c r="H4427" s="13">
        <v>2</v>
      </c>
      <c r="I4427" s="34">
        <v>1</v>
      </c>
      <c r="J4427" s="35">
        <v>2</v>
      </c>
      <c r="K4427" s="2" t="s">
        <v>8860</v>
      </c>
      <c r="L4427" s="36" t="str">
        <f t="shared" si="74"/>
        <v>Ver Imagen</v>
      </c>
      <c r="M4427" t="s">
        <v>8005</v>
      </c>
    </row>
    <row r="4428" spans="1:13" x14ac:dyDescent="0.25">
      <c r="A4428" s="33">
        <v>4427</v>
      </c>
      <c r="B4428" t="s">
        <v>8861</v>
      </c>
      <c r="C4428" s="1">
        <v>37.485314214699997</v>
      </c>
      <c r="D4428" s="1">
        <v>-7.2320888122899998</v>
      </c>
      <c r="E4428" s="3">
        <v>1</v>
      </c>
      <c r="F4428" s="2">
        <v>3</v>
      </c>
      <c r="G4428" s="4">
        <v>2</v>
      </c>
      <c r="H4428" s="13">
        <v>2</v>
      </c>
      <c r="I4428" s="34">
        <v>1</v>
      </c>
      <c r="J4428" s="35">
        <v>2</v>
      </c>
      <c r="K4428" s="2" t="s">
        <v>8862</v>
      </c>
      <c r="L4428" s="36" t="str">
        <f t="shared" si="74"/>
        <v>Ver Imagen</v>
      </c>
      <c r="M4428" t="s">
        <v>8005</v>
      </c>
    </row>
    <row r="4429" spans="1:13" x14ac:dyDescent="0.25">
      <c r="A4429" s="33">
        <v>4428</v>
      </c>
      <c r="B4429" t="s">
        <v>8863</v>
      </c>
      <c r="C4429" s="1">
        <v>37.4860190948</v>
      </c>
      <c r="D4429" s="1">
        <v>-7.2357628810900003</v>
      </c>
      <c r="E4429" s="3">
        <v>1</v>
      </c>
      <c r="F4429" s="2">
        <v>3</v>
      </c>
      <c r="G4429" s="4">
        <v>2</v>
      </c>
      <c r="H4429" s="13">
        <v>2</v>
      </c>
      <c r="I4429" s="34">
        <v>1</v>
      </c>
      <c r="J4429" s="35">
        <v>2</v>
      </c>
      <c r="K4429" s="2" t="s">
        <v>8864</v>
      </c>
      <c r="L4429" s="36" t="str">
        <f t="shared" si="74"/>
        <v>Ver Imagen</v>
      </c>
      <c r="M4429" t="s">
        <v>8005</v>
      </c>
    </row>
    <row r="4430" spans="1:13" x14ac:dyDescent="0.25">
      <c r="A4430" s="33">
        <v>4429</v>
      </c>
      <c r="B4430" t="s">
        <v>8865</v>
      </c>
      <c r="C4430" s="1">
        <v>37.486111640300003</v>
      </c>
      <c r="D4430" s="1">
        <v>-7.2362394811500002</v>
      </c>
      <c r="E4430" s="3">
        <v>1</v>
      </c>
      <c r="F4430" s="2">
        <v>3</v>
      </c>
      <c r="G4430" s="4">
        <v>2</v>
      </c>
      <c r="H4430" s="13">
        <v>2</v>
      </c>
      <c r="I4430" s="34">
        <v>1</v>
      </c>
      <c r="J4430" s="35">
        <v>2</v>
      </c>
      <c r="K4430" s="2" t="s">
        <v>8866</v>
      </c>
      <c r="L4430" s="36" t="str">
        <f t="shared" si="74"/>
        <v>Ver Imagen</v>
      </c>
      <c r="M4430" t="s">
        <v>8005</v>
      </c>
    </row>
    <row r="4431" spans="1:13" x14ac:dyDescent="0.25">
      <c r="A4431" s="33">
        <v>4430</v>
      </c>
      <c r="B4431" t="s">
        <v>8867</v>
      </c>
      <c r="C4431" s="1">
        <v>37.486159136399998</v>
      </c>
      <c r="D4431" s="1">
        <v>-7.2364839591300001</v>
      </c>
      <c r="E4431" s="3">
        <v>1</v>
      </c>
      <c r="F4431" s="2">
        <v>3</v>
      </c>
      <c r="G4431" s="4">
        <v>2</v>
      </c>
      <c r="H4431" s="13">
        <v>2</v>
      </c>
      <c r="I4431" s="34">
        <v>1</v>
      </c>
      <c r="J4431" s="35">
        <v>2</v>
      </c>
      <c r="K4431" s="2" t="s">
        <v>8868</v>
      </c>
      <c r="L4431" s="36" t="str">
        <f t="shared" si="74"/>
        <v>Ver Imagen</v>
      </c>
      <c r="M4431" t="s">
        <v>8005</v>
      </c>
    </row>
    <row r="4432" spans="1:13" x14ac:dyDescent="0.25">
      <c r="A4432" s="33">
        <v>4431</v>
      </c>
      <c r="B4432" t="s">
        <v>8869</v>
      </c>
      <c r="C4432" s="1">
        <v>37.486346415299998</v>
      </c>
      <c r="D4432" s="1">
        <v>-7.2374524663999997</v>
      </c>
      <c r="E4432" s="3">
        <v>1</v>
      </c>
      <c r="F4432" s="2">
        <v>3</v>
      </c>
      <c r="G4432" s="4">
        <v>3</v>
      </c>
      <c r="H4432" s="13">
        <v>1</v>
      </c>
      <c r="I4432" s="34">
        <v>1</v>
      </c>
      <c r="J4432" s="35">
        <v>1</v>
      </c>
      <c r="K4432" s="2" t="s">
        <v>8870</v>
      </c>
      <c r="L4432" s="36" t="str">
        <f t="shared" si="74"/>
        <v>Ver Imagen</v>
      </c>
      <c r="M4432" t="s">
        <v>8005</v>
      </c>
    </row>
    <row r="4433" spans="1:13" x14ac:dyDescent="0.25">
      <c r="A4433" s="33">
        <v>4432</v>
      </c>
      <c r="B4433" t="s">
        <v>8871</v>
      </c>
      <c r="C4433" s="1">
        <v>37.486401521600001</v>
      </c>
      <c r="D4433" s="1">
        <v>-7.2377429063000003</v>
      </c>
      <c r="E4433" s="3">
        <v>1</v>
      </c>
      <c r="F4433" s="2">
        <v>3</v>
      </c>
      <c r="G4433" s="4">
        <v>2</v>
      </c>
      <c r="H4433" s="13">
        <v>2</v>
      </c>
      <c r="I4433" s="34">
        <v>1</v>
      </c>
      <c r="J4433" s="35">
        <v>2</v>
      </c>
      <c r="K4433" s="2" t="s">
        <v>8872</v>
      </c>
      <c r="L4433" s="36" t="str">
        <f t="shared" si="74"/>
        <v>Ver Imagen</v>
      </c>
      <c r="M4433" t="s">
        <v>8005</v>
      </c>
    </row>
    <row r="4434" spans="1:13" x14ac:dyDescent="0.25">
      <c r="A4434" s="33">
        <v>4433</v>
      </c>
      <c r="B4434" t="s">
        <v>8873</v>
      </c>
      <c r="C4434" s="1">
        <v>37.486633912099997</v>
      </c>
      <c r="D4434" s="1">
        <v>-7.2389676938000003</v>
      </c>
      <c r="E4434" s="3">
        <v>1</v>
      </c>
      <c r="F4434" s="2">
        <v>3</v>
      </c>
      <c r="G4434" s="4">
        <v>3</v>
      </c>
      <c r="H4434" s="13">
        <v>2</v>
      </c>
      <c r="I4434" s="34">
        <v>3</v>
      </c>
      <c r="J4434" s="37">
        <v>2</v>
      </c>
      <c r="K4434" s="2" t="s">
        <v>8874</v>
      </c>
      <c r="L4434" s="36" t="str">
        <f t="shared" si="74"/>
        <v>Ver Imagen</v>
      </c>
      <c r="M4434" s="37" t="s">
        <v>8052</v>
      </c>
    </row>
    <row r="4435" spans="1:13" x14ac:dyDescent="0.25">
      <c r="A4435" s="33">
        <v>4434</v>
      </c>
      <c r="B4435" t="s">
        <v>8875</v>
      </c>
      <c r="C4435" s="1">
        <v>37.486829003499999</v>
      </c>
      <c r="D4435" s="1">
        <v>-7.2399505321299999</v>
      </c>
      <c r="E4435" s="3">
        <v>1</v>
      </c>
      <c r="F4435" s="2">
        <v>3</v>
      </c>
      <c r="G4435" s="4">
        <v>3</v>
      </c>
      <c r="H4435" s="13">
        <v>2</v>
      </c>
      <c r="I4435" s="34">
        <v>1</v>
      </c>
      <c r="J4435" s="35">
        <v>2</v>
      </c>
      <c r="K4435" s="2" t="s">
        <v>8876</v>
      </c>
      <c r="L4435" s="36" t="str">
        <f t="shared" si="74"/>
        <v>Ver Imagen</v>
      </c>
      <c r="M4435" t="s">
        <v>8005</v>
      </c>
    </row>
    <row r="4436" spans="1:13" x14ac:dyDescent="0.25">
      <c r="A4436" s="33">
        <v>4435</v>
      </c>
      <c r="B4436" t="s">
        <v>8877</v>
      </c>
      <c r="C4436" s="1">
        <v>37.486878039799997</v>
      </c>
      <c r="D4436" s="1">
        <v>-7.2402037740500003</v>
      </c>
      <c r="E4436" s="3">
        <v>1</v>
      </c>
      <c r="F4436" s="2">
        <v>3</v>
      </c>
      <c r="G4436" s="4">
        <v>3</v>
      </c>
      <c r="H4436" s="13">
        <v>3</v>
      </c>
      <c r="I4436" s="34">
        <v>3</v>
      </c>
      <c r="J4436" s="35">
        <v>3</v>
      </c>
      <c r="K4436" s="2" t="s">
        <v>8878</v>
      </c>
      <c r="L4436" s="36" t="str">
        <f t="shared" si="74"/>
        <v>Ver Imagen</v>
      </c>
      <c r="M4436" t="s">
        <v>8005</v>
      </c>
    </row>
    <row r="4437" spans="1:13" x14ac:dyDescent="0.25">
      <c r="A4437" s="33">
        <v>4436</v>
      </c>
      <c r="B4437" t="s">
        <v>8879</v>
      </c>
      <c r="C4437" s="1">
        <v>37.486989192899998</v>
      </c>
      <c r="D4437" s="1">
        <v>-7.2409487863799997</v>
      </c>
      <c r="E4437" s="3">
        <v>1</v>
      </c>
      <c r="F4437" s="2">
        <v>3</v>
      </c>
      <c r="G4437" s="4">
        <v>2</v>
      </c>
      <c r="H4437" s="13">
        <v>2</v>
      </c>
      <c r="I4437" s="34">
        <v>1</v>
      </c>
      <c r="J4437" s="35">
        <v>2</v>
      </c>
      <c r="K4437" s="2" t="s">
        <v>8880</v>
      </c>
      <c r="L4437" s="36" t="str">
        <f t="shared" si="74"/>
        <v>Ver Imagen</v>
      </c>
      <c r="M4437" t="s">
        <v>8005</v>
      </c>
    </row>
    <row r="4438" spans="1:13" x14ac:dyDescent="0.25">
      <c r="A4438" s="33">
        <v>4437</v>
      </c>
      <c r="B4438" t="s">
        <v>8881</v>
      </c>
      <c r="C4438" s="1">
        <v>37.487056827499998</v>
      </c>
      <c r="D4438" s="1">
        <v>-7.24172533574</v>
      </c>
      <c r="E4438" s="3">
        <v>1</v>
      </c>
      <c r="F4438" s="2">
        <v>3</v>
      </c>
      <c r="G4438" s="4">
        <v>3</v>
      </c>
      <c r="H4438" s="13">
        <v>2</v>
      </c>
      <c r="I4438" s="34">
        <v>2</v>
      </c>
      <c r="J4438" s="35">
        <v>2</v>
      </c>
      <c r="K4438" s="2" t="s">
        <v>8882</v>
      </c>
      <c r="L4438" s="36" t="str">
        <f t="shared" si="74"/>
        <v>Ver Imagen</v>
      </c>
      <c r="M4438" t="s">
        <v>8005</v>
      </c>
    </row>
    <row r="4439" spans="1:13" x14ac:dyDescent="0.25">
      <c r="A4439" s="33">
        <v>4438</v>
      </c>
      <c r="B4439" t="s">
        <v>8883</v>
      </c>
      <c r="C4439" s="1">
        <v>37.487124270700001</v>
      </c>
      <c r="D4439" s="1">
        <v>-7.2424584797399998</v>
      </c>
      <c r="E4439" s="3">
        <v>1</v>
      </c>
      <c r="F4439" s="2">
        <v>2</v>
      </c>
      <c r="G4439" s="4">
        <v>3</v>
      </c>
      <c r="H4439" s="13">
        <v>2</v>
      </c>
      <c r="I4439" s="34">
        <v>2</v>
      </c>
      <c r="J4439" s="35">
        <v>2</v>
      </c>
      <c r="K4439" s="2" t="s">
        <v>8884</v>
      </c>
      <c r="L4439" s="36" t="str">
        <f t="shared" si="74"/>
        <v>Ver Imagen</v>
      </c>
      <c r="M4439" t="s">
        <v>8005</v>
      </c>
    </row>
    <row r="4440" spans="1:13" x14ac:dyDescent="0.25">
      <c r="A4440" s="33">
        <v>4439</v>
      </c>
      <c r="B4440" t="s">
        <v>8885</v>
      </c>
      <c r="C4440" s="1">
        <v>37.487212866900002</v>
      </c>
      <c r="D4440" s="1">
        <v>-7.2432229455600003</v>
      </c>
      <c r="E4440" s="3">
        <v>1</v>
      </c>
      <c r="F4440" s="2">
        <v>2</v>
      </c>
      <c r="G4440" s="4">
        <v>3</v>
      </c>
      <c r="H4440" s="13">
        <v>2</v>
      </c>
      <c r="I4440" s="34">
        <v>2</v>
      </c>
      <c r="J4440" s="35">
        <v>2</v>
      </c>
      <c r="K4440" s="2" t="s">
        <v>8886</v>
      </c>
      <c r="L4440" s="36" t="str">
        <f t="shared" si="74"/>
        <v>Ver Imagen</v>
      </c>
      <c r="M4440" t="s">
        <v>8005</v>
      </c>
    </row>
    <row r="4441" spans="1:13" x14ac:dyDescent="0.25">
      <c r="A4441" s="33">
        <v>4440</v>
      </c>
      <c r="B4441" t="s">
        <v>8887</v>
      </c>
      <c r="C4441" s="1">
        <v>37.487679749000002</v>
      </c>
      <c r="D4441" s="1">
        <v>-7.2445945349900001</v>
      </c>
      <c r="E4441" s="3">
        <v>1</v>
      </c>
      <c r="F4441" s="2">
        <v>3</v>
      </c>
      <c r="G4441" s="4">
        <v>2</v>
      </c>
      <c r="H4441" s="13">
        <v>3</v>
      </c>
      <c r="I4441" s="34">
        <v>2</v>
      </c>
      <c r="J4441" s="35">
        <v>2</v>
      </c>
      <c r="K4441" s="2" t="s">
        <v>8888</v>
      </c>
      <c r="L4441" s="36" t="str">
        <f t="shared" si="74"/>
        <v>Ver Imagen</v>
      </c>
      <c r="M4441" t="s">
        <v>8005</v>
      </c>
    </row>
    <row r="4442" spans="1:13" x14ac:dyDescent="0.25">
      <c r="A4442" s="33">
        <v>4441</v>
      </c>
      <c r="B4442" t="s">
        <v>8889</v>
      </c>
      <c r="C4442" s="1">
        <v>37.4890402881</v>
      </c>
      <c r="D4442" s="1">
        <v>-7.2476781968199999</v>
      </c>
      <c r="E4442" s="3">
        <v>1</v>
      </c>
      <c r="F4442" s="2">
        <v>3</v>
      </c>
      <c r="G4442" s="4">
        <v>3</v>
      </c>
      <c r="H4442" s="13">
        <v>2</v>
      </c>
      <c r="I4442" s="34">
        <v>1</v>
      </c>
      <c r="J4442" s="35">
        <v>2</v>
      </c>
      <c r="K4442" s="2" t="s">
        <v>8890</v>
      </c>
      <c r="L4442" s="36" t="str">
        <f t="shared" si="74"/>
        <v>Ver Imagen</v>
      </c>
      <c r="M4442" t="s">
        <v>8005</v>
      </c>
    </row>
    <row r="4443" spans="1:13" x14ac:dyDescent="0.25">
      <c r="A4443" s="33">
        <v>4442</v>
      </c>
      <c r="B4443" t="s">
        <v>8891</v>
      </c>
      <c r="C4443" s="1">
        <v>37.489805220199997</v>
      </c>
      <c r="D4443" s="1">
        <v>-7.2485584563499996</v>
      </c>
      <c r="E4443" s="3">
        <v>1</v>
      </c>
      <c r="F4443" s="2">
        <v>3</v>
      </c>
      <c r="G4443" s="4">
        <v>2</v>
      </c>
      <c r="H4443" s="13">
        <v>2</v>
      </c>
      <c r="I4443" s="34">
        <v>1</v>
      </c>
      <c r="J4443" s="35">
        <v>2</v>
      </c>
      <c r="K4443" s="2" t="s">
        <v>8892</v>
      </c>
      <c r="L4443" s="36" t="str">
        <f t="shared" si="74"/>
        <v>Ver Imagen</v>
      </c>
      <c r="M4443" t="s">
        <v>8005</v>
      </c>
    </row>
    <row r="4444" spans="1:13" x14ac:dyDescent="0.25">
      <c r="A4444" s="33">
        <v>4443</v>
      </c>
      <c r="B4444" t="s">
        <v>8893</v>
      </c>
      <c r="C4444" s="1">
        <v>37.489942746200001</v>
      </c>
      <c r="D4444" s="1">
        <v>-7.2487145554800003</v>
      </c>
      <c r="E4444" s="3">
        <v>1</v>
      </c>
      <c r="F4444" s="2">
        <v>3</v>
      </c>
      <c r="G4444" s="4">
        <v>2</v>
      </c>
      <c r="H4444" s="13">
        <v>2</v>
      </c>
      <c r="I4444" s="34">
        <v>2</v>
      </c>
      <c r="J4444" s="35">
        <v>2</v>
      </c>
      <c r="K4444" s="2" t="s">
        <v>8894</v>
      </c>
      <c r="L4444" s="36" t="str">
        <f t="shared" si="74"/>
        <v>Ver Imagen</v>
      </c>
      <c r="M4444" t="s">
        <v>8005</v>
      </c>
    </row>
    <row r="4445" spans="1:13" x14ac:dyDescent="0.25">
      <c r="A4445" s="33">
        <v>4444</v>
      </c>
      <c r="B4445" t="s">
        <v>8895</v>
      </c>
      <c r="C4445" s="1">
        <v>37.490260003300001</v>
      </c>
      <c r="D4445" s="1">
        <v>-7.2490766384300001</v>
      </c>
      <c r="E4445" s="3">
        <v>1</v>
      </c>
      <c r="F4445" s="2">
        <v>3</v>
      </c>
      <c r="G4445" s="4">
        <v>2</v>
      </c>
      <c r="H4445" s="13">
        <v>3</v>
      </c>
      <c r="I4445" s="34">
        <v>3</v>
      </c>
      <c r="J4445" s="37">
        <v>2</v>
      </c>
      <c r="K4445" s="2" t="s">
        <v>8896</v>
      </c>
      <c r="L4445" s="36" t="str">
        <f t="shared" si="74"/>
        <v>Ver Imagen</v>
      </c>
      <c r="M4445" s="37" t="s">
        <v>8052</v>
      </c>
    </row>
    <row r="4446" spans="1:13" x14ac:dyDescent="0.25">
      <c r="A4446" s="33">
        <v>4445</v>
      </c>
      <c r="B4446" t="s">
        <v>8897</v>
      </c>
      <c r="C4446" s="1">
        <v>37.490718386300003</v>
      </c>
      <c r="D4446" s="1">
        <v>-7.2509461352900004</v>
      </c>
      <c r="E4446" s="3">
        <v>1</v>
      </c>
      <c r="F4446" s="2">
        <v>3</v>
      </c>
      <c r="G4446" s="4">
        <v>2</v>
      </c>
      <c r="H4446" s="13">
        <v>2</v>
      </c>
      <c r="I4446" s="34">
        <v>1</v>
      </c>
      <c r="J4446" s="35">
        <v>2</v>
      </c>
      <c r="K4446" s="2" t="s">
        <v>8898</v>
      </c>
      <c r="L4446" s="36" t="str">
        <f t="shared" ref="L4446:L4509" si="75">HYPERLINK("NoConsenso\" &amp; K4446, "Ver Imagen")</f>
        <v>Ver Imagen</v>
      </c>
      <c r="M4446" t="s">
        <v>8005</v>
      </c>
    </row>
    <row r="4447" spans="1:13" x14ac:dyDescent="0.25">
      <c r="A4447" s="33">
        <v>4446</v>
      </c>
      <c r="B4447" t="s">
        <v>8899</v>
      </c>
      <c r="C4447" s="1">
        <v>37.490712464200001</v>
      </c>
      <c r="D4447" s="1">
        <v>-7.2511816190799996</v>
      </c>
      <c r="E4447" s="3">
        <v>1</v>
      </c>
      <c r="F4447" s="2">
        <v>3</v>
      </c>
      <c r="G4447" s="4">
        <v>2</v>
      </c>
      <c r="H4447" s="13">
        <v>2</v>
      </c>
      <c r="I4447" s="34">
        <v>3</v>
      </c>
      <c r="J4447" s="35">
        <v>2</v>
      </c>
      <c r="K4447" s="2" t="s">
        <v>8900</v>
      </c>
      <c r="L4447" s="36" t="str">
        <f t="shared" si="75"/>
        <v>Ver Imagen</v>
      </c>
      <c r="M4447" t="s">
        <v>8005</v>
      </c>
    </row>
    <row r="4448" spans="1:13" x14ac:dyDescent="0.25">
      <c r="A4448" s="33">
        <v>4447</v>
      </c>
      <c r="B4448" t="s">
        <v>8901</v>
      </c>
      <c r="C4448" s="1">
        <v>37.490656014700001</v>
      </c>
      <c r="D4448" s="1">
        <v>-7.25273619797</v>
      </c>
      <c r="E4448" s="3">
        <v>1</v>
      </c>
      <c r="F4448" s="2">
        <v>3</v>
      </c>
      <c r="G4448" s="4">
        <v>2</v>
      </c>
      <c r="H4448" s="13">
        <v>2</v>
      </c>
      <c r="I4448" s="34">
        <v>1</v>
      </c>
      <c r="J4448" s="35">
        <v>2</v>
      </c>
      <c r="K4448" s="2" t="s">
        <v>8902</v>
      </c>
      <c r="L4448" s="36" t="str">
        <f t="shared" si="75"/>
        <v>Ver Imagen</v>
      </c>
      <c r="M4448" t="s">
        <v>8005</v>
      </c>
    </row>
    <row r="4449" spans="1:13" x14ac:dyDescent="0.25">
      <c r="A4449" s="33">
        <v>4448</v>
      </c>
      <c r="B4449" t="s">
        <v>8903</v>
      </c>
      <c r="C4449" s="1">
        <v>37.490388044500001</v>
      </c>
      <c r="D4449" s="1">
        <v>-7.2559680737400001</v>
      </c>
      <c r="E4449" s="3">
        <v>1</v>
      </c>
      <c r="F4449" s="2">
        <v>3</v>
      </c>
      <c r="G4449" s="4">
        <v>2</v>
      </c>
      <c r="H4449" s="13">
        <v>2</v>
      </c>
      <c r="I4449" s="34">
        <v>2</v>
      </c>
      <c r="J4449" s="35">
        <v>2</v>
      </c>
      <c r="K4449" s="2" t="s">
        <v>8904</v>
      </c>
      <c r="L4449" s="36" t="str">
        <f t="shared" si="75"/>
        <v>Ver Imagen</v>
      </c>
      <c r="M4449" t="s">
        <v>8005</v>
      </c>
    </row>
    <row r="4450" spans="1:13" x14ac:dyDescent="0.25">
      <c r="A4450" s="33">
        <v>4449</v>
      </c>
      <c r="B4450" t="s">
        <v>8905</v>
      </c>
      <c r="C4450" s="1">
        <v>37.4904114518</v>
      </c>
      <c r="D4450" s="1">
        <v>-7.2598927457400002</v>
      </c>
      <c r="E4450" s="3">
        <v>1</v>
      </c>
      <c r="F4450" s="2">
        <v>2</v>
      </c>
      <c r="G4450" s="4">
        <v>3</v>
      </c>
      <c r="H4450" s="13">
        <v>2</v>
      </c>
      <c r="I4450" s="34">
        <v>2</v>
      </c>
      <c r="J4450" s="35">
        <v>2</v>
      </c>
      <c r="K4450" s="2" t="s">
        <v>8906</v>
      </c>
      <c r="L4450" s="36" t="str">
        <f t="shared" si="75"/>
        <v>Ver Imagen</v>
      </c>
      <c r="M4450" t="s">
        <v>8005</v>
      </c>
    </row>
    <row r="4451" spans="1:13" x14ac:dyDescent="0.25">
      <c r="A4451" s="33">
        <v>4450</v>
      </c>
      <c r="B4451" t="s">
        <v>8907</v>
      </c>
      <c r="C4451" s="1">
        <v>37.490538027500001</v>
      </c>
      <c r="D4451" s="1">
        <v>-7.2600451972500002</v>
      </c>
      <c r="E4451" s="3">
        <v>1</v>
      </c>
      <c r="F4451" s="2">
        <v>3</v>
      </c>
      <c r="G4451" s="4">
        <v>3</v>
      </c>
      <c r="H4451" s="13">
        <v>2</v>
      </c>
      <c r="I4451" s="34">
        <v>1</v>
      </c>
      <c r="J4451" s="37">
        <v>1</v>
      </c>
      <c r="K4451" s="2" t="s">
        <v>8908</v>
      </c>
      <c r="L4451" s="36" t="str">
        <f t="shared" si="75"/>
        <v>Ver Imagen</v>
      </c>
      <c r="M4451" s="37" t="s">
        <v>8052</v>
      </c>
    </row>
    <row r="4452" spans="1:13" x14ac:dyDescent="0.25">
      <c r="A4452" s="33">
        <v>4451</v>
      </c>
      <c r="B4452" t="s">
        <v>8909</v>
      </c>
      <c r="C4452" s="1">
        <v>37.490854639600002</v>
      </c>
      <c r="D4452" s="1">
        <v>-7.2603773863200001</v>
      </c>
      <c r="E4452" s="3">
        <v>1</v>
      </c>
      <c r="F4452" s="2">
        <v>2</v>
      </c>
      <c r="G4452" s="4">
        <v>3</v>
      </c>
      <c r="H4452" s="13">
        <v>2</v>
      </c>
      <c r="I4452" s="34">
        <v>2</v>
      </c>
      <c r="J4452" s="35">
        <v>2</v>
      </c>
      <c r="K4452" s="2" t="s">
        <v>8910</v>
      </c>
      <c r="L4452" s="36" t="str">
        <f t="shared" si="75"/>
        <v>Ver Imagen</v>
      </c>
      <c r="M4452" t="s">
        <v>8005</v>
      </c>
    </row>
    <row r="4453" spans="1:13" x14ac:dyDescent="0.25">
      <c r="A4453" s="33">
        <v>4452</v>
      </c>
      <c r="B4453" t="s">
        <v>8911</v>
      </c>
      <c r="C4453" s="1">
        <v>37.491449230400001</v>
      </c>
      <c r="D4453" s="1">
        <v>-7.2609630883399996</v>
      </c>
      <c r="E4453" s="3">
        <v>2</v>
      </c>
      <c r="F4453" s="2">
        <v>4</v>
      </c>
      <c r="G4453" s="4">
        <v>3</v>
      </c>
      <c r="H4453" s="13">
        <v>3</v>
      </c>
      <c r="I4453" s="34">
        <v>4</v>
      </c>
      <c r="J4453" s="35">
        <v>3</v>
      </c>
      <c r="K4453" s="2" t="s">
        <v>8912</v>
      </c>
      <c r="L4453" s="36" t="str">
        <f t="shared" si="75"/>
        <v>Ver Imagen</v>
      </c>
      <c r="M4453" t="s">
        <v>8005</v>
      </c>
    </row>
    <row r="4454" spans="1:13" x14ac:dyDescent="0.25">
      <c r="A4454" s="33">
        <v>4453</v>
      </c>
      <c r="B4454" t="s">
        <v>8913</v>
      </c>
      <c r="C4454" s="1">
        <v>37.491609269400001</v>
      </c>
      <c r="D4454" s="1">
        <v>-7.2611207455200004</v>
      </c>
      <c r="E4454" s="3">
        <v>2</v>
      </c>
      <c r="F4454" s="2">
        <v>4</v>
      </c>
      <c r="G4454" s="4">
        <v>3</v>
      </c>
      <c r="H4454" s="13">
        <v>3</v>
      </c>
      <c r="I4454" s="34">
        <v>4</v>
      </c>
      <c r="J4454" s="35">
        <v>3</v>
      </c>
      <c r="K4454" s="2" t="s">
        <v>8914</v>
      </c>
      <c r="L4454" s="36" t="str">
        <f t="shared" si="75"/>
        <v>Ver Imagen</v>
      </c>
      <c r="M4454" t="s">
        <v>8005</v>
      </c>
    </row>
    <row r="4455" spans="1:13" x14ac:dyDescent="0.25">
      <c r="A4455" s="33">
        <v>4454</v>
      </c>
      <c r="B4455" t="s">
        <v>8915</v>
      </c>
      <c r="C4455" s="1">
        <v>37.491937615799998</v>
      </c>
      <c r="D4455" s="1">
        <v>-7.2614435331799996</v>
      </c>
      <c r="E4455" s="3">
        <v>2</v>
      </c>
      <c r="F4455" s="2">
        <v>4</v>
      </c>
      <c r="G4455" s="4">
        <v>3</v>
      </c>
      <c r="H4455" s="13">
        <v>3</v>
      </c>
      <c r="I4455" s="34">
        <v>3</v>
      </c>
      <c r="J4455" s="35">
        <v>3</v>
      </c>
      <c r="K4455" s="2" t="s">
        <v>8916</v>
      </c>
      <c r="L4455" s="36" t="str">
        <f t="shared" si="75"/>
        <v>Ver Imagen</v>
      </c>
      <c r="M4455" t="s">
        <v>8005</v>
      </c>
    </row>
    <row r="4456" spans="1:13" x14ac:dyDescent="0.25">
      <c r="A4456" s="33">
        <v>4455</v>
      </c>
      <c r="B4456" t="s">
        <v>8917</v>
      </c>
      <c r="C4456" s="1">
        <v>37.492088639899997</v>
      </c>
      <c r="D4456" s="1">
        <v>-7.2615908255999999</v>
      </c>
      <c r="E4456" s="3">
        <v>2</v>
      </c>
      <c r="F4456" s="2">
        <v>1</v>
      </c>
      <c r="G4456" s="4">
        <v>3</v>
      </c>
      <c r="H4456" s="13">
        <v>3</v>
      </c>
      <c r="I4456" s="34">
        <v>2</v>
      </c>
      <c r="J4456" s="35">
        <v>2</v>
      </c>
      <c r="K4456" s="2" t="s">
        <v>8918</v>
      </c>
      <c r="L4456" s="36" t="str">
        <f t="shared" si="75"/>
        <v>Ver Imagen</v>
      </c>
      <c r="M4456" t="s">
        <v>8005</v>
      </c>
    </row>
    <row r="4457" spans="1:13" x14ac:dyDescent="0.25">
      <c r="A4457" s="33">
        <v>4456</v>
      </c>
      <c r="B4457" t="s">
        <v>8919</v>
      </c>
      <c r="C4457" s="1">
        <v>37.4928970295</v>
      </c>
      <c r="D4457" s="1">
        <v>-7.2628089264</v>
      </c>
      <c r="E4457" s="3">
        <v>1</v>
      </c>
      <c r="F4457" s="2">
        <v>3</v>
      </c>
      <c r="G4457" s="4">
        <v>2</v>
      </c>
      <c r="H4457" s="13">
        <v>1</v>
      </c>
      <c r="I4457" s="34">
        <v>2</v>
      </c>
      <c r="J4457" s="37">
        <v>1</v>
      </c>
      <c r="K4457" s="2" t="s">
        <v>8920</v>
      </c>
      <c r="L4457" s="36" t="str">
        <f t="shared" si="75"/>
        <v>Ver Imagen</v>
      </c>
      <c r="M4457" s="37" t="s">
        <v>8052</v>
      </c>
    </row>
    <row r="4458" spans="1:13" x14ac:dyDescent="0.25">
      <c r="A4458" s="33">
        <v>4457</v>
      </c>
      <c r="B4458" t="s">
        <v>8921</v>
      </c>
      <c r="C4458" s="1">
        <v>37.492974644199997</v>
      </c>
      <c r="D4458" s="1">
        <v>-7.2630311088399999</v>
      </c>
      <c r="E4458" s="3">
        <v>1</v>
      </c>
      <c r="F4458" s="2">
        <v>3</v>
      </c>
      <c r="G4458" s="4">
        <v>2</v>
      </c>
      <c r="H4458" s="13">
        <v>1</v>
      </c>
      <c r="I4458" s="34">
        <v>1</v>
      </c>
      <c r="J4458" s="35">
        <v>1</v>
      </c>
      <c r="K4458" s="2" t="s">
        <v>8922</v>
      </c>
      <c r="L4458" s="36" t="str">
        <f t="shared" si="75"/>
        <v>Ver Imagen</v>
      </c>
      <c r="M4458" t="s">
        <v>8005</v>
      </c>
    </row>
    <row r="4459" spans="1:13" x14ac:dyDescent="0.25">
      <c r="A4459" s="33">
        <v>4458</v>
      </c>
      <c r="B4459" t="s">
        <v>8923</v>
      </c>
      <c r="C4459" s="1">
        <v>37.493305877899999</v>
      </c>
      <c r="D4459" s="1">
        <v>-7.2639260829300003</v>
      </c>
      <c r="E4459" s="3">
        <v>1</v>
      </c>
      <c r="F4459" s="2">
        <v>2</v>
      </c>
      <c r="G4459" s="4">
        <v>3</v>
      </c>
      <c r="H4459" s="13">
        <v>2</v>
      </c>
      <c r="I4459" s="34">
        <v>2</v>
      </c>
      <c r="J4459" s="35">
        <v>2</v>
      </c>
      <c r="K4459" s="2" t="s">
        <v>8924</v>
      </c>
      <c r="L4459" s="36" t="str">
        <f t="shared" si="75"/>
        <v>Ver Imagen</v>
      </c>
      <c r="M4459" t="s">
        <v>8005</v>
      </c>
    </row>
    <row r="4460" spans="1:13" x14ac:dyDescent="0.25">
      <c r="A4460" s="33">
        <v>4459</v>
      </c>
      <c r="B4460" t="s">
        <v>8925</v>
      </c>
      <c r="C4460" s="1">
        <v>37.4935946501</v>
      </c>
      <c r="D4460" s="1">
        <v>-7.26464475604</v>
      </c>
      <c r="E4460" s="3">
        <v>1</v>
      </c>
      <c r="F4460" s="2">
        <v>3</v>
      </c>
      <c r="G4460" s="4">
        <v>2</v>
      </c>
      <c r="H4460" s="13">
        <v>2</v>
      </c>
      <c r="I4460" s="34">
        <v>2</v>
      </c>
      <c r="J4460" s="35">
        <v>2</v>
      </c>
      <c r="K4460" s="2" t="s">
        <v>8926</v>
      </c>
      <c r="L4460" s="36" t="str">
        <f t="shared" si="75"/>
        <v>Ver Imagen</v>
      </c>
      <c r="M4460" t="s">
        <v>8005</v>
      </c>
    </row>
    <row r="4461" spans="1:13" x14ac:dyDescent="0.25">
      <c r="A4461" s="33">
        <v>4460</v>
      </c>
      <c r="B4461" t="s">
        <v>8927</v>
      </c>
      <c r="C4461" s="1">
        <v>37.494850927999998</v>
      </c>
      <c r="D4461" s="1">
        <v>-7.2668701104000002</v>
      </c>
      <c r="E4461" s="3">
        <v>2</v>
      </c>
      <c r="F4461" s="2">
        <v>2</v>
      </c>
      <c r="G4461" s="4">
        <v>4</v>
      </c>
      <c r="H4461" s="13">
        <v>3</v>
      </c>
      <c r="I4461" s="34">
        <v>4</v>
      </c>
      <c r="J4461" s="35">
        <v>3</v>
      </c>
      <c r="K4461" s="2" t="s">
        <v>8928</v>
      </c>
      <c r="L4461" s="36" t="str">
        <f t="shared" si="75"/>
        <v>Ver Imagen</v>
      </c>
      <c r="M4461" t="s">
        <v>8005</v>
      </c>
    </row>
    <row r="4462" spans="1:13" x14ac:dyDescent="0.25">
      <c r="A4462" s="33">
        <v>4461</v>
      </c>
      <c r="B4462" t="s">
        <v>8929</v>
      </c>
      <c r="C4462" s="1">
        <v>37.494919593699997</v>
      </c>
      <c r="D4462" s="1">
        <v>-7.2670876989800002</v>
      </c>
      <c r="E4462" s="3">
        <v>2</v>
      </c>
      <c r="F4462" s="2">
        <v>3</v>
      </c>
      <c r="G4462" s="4">
        <v>4</v>
      </c>
      <c r="H4462" s="13">
        <v>3</v>
      </c>
      <c r="I4462" s="34">
        <v>3</v>
      </c>
      <c r="J4462" s="35">
        <v>3</v>
      </c>
      <c r="K4462" s="2" t="s">
        <v>8930</v>
      </c>
      <c r="L4462" s="36" t="str">
        <f t="shared" si="75"/>
        <v>Ver Imagen</v>
      </c>
      <c r="M4462" t="s">
        <v>8005</v>
      </c>
    </row>
    <row r="4463" spans="1:13" x14ac:dyDescent="0.25">
      <c r="A4463" s="33">
        <v>4462</v>
      </c>
      <c r="B4463" t="s">
        <v>8931</v>
      </c>
      <c r="C4463" s="1">
        <v>37.272436514600003</v>
      </c>
      <c r="D4463" s="1">
        <v>-6.9910014300099999</v>
      </c>
      <c r="E4463" s="3">
        <v>2</v>
      </c>
      <c r="F4463" s="2">
        <v>3</v>
      </c>
      <c r="G4463" s="4">
        <v>4</v>
      </c>
      <c r="H4463" s="13">
        <v>3</v>
      </c>
      <c r="I4463" s="34">
        <v>4</v>
      </c>
      <c r="J4463" s="35">
        <v>3</v>
      </c>
      <c r="K4463" s="2" t="s">
        <v>8932</v>
      </c>
      <c r="L4463" s="36" t="str">
        <f t="shared" si="75"/>
        <v>Ver Imagen</v>
      </c>
      <c r="M4463" t="s">
        <v>8005</v>
      </c>
    </row>
    <row r="4464" spans="1:13" x14ac:dyDescent="0.25">
      <c r="A4464" s="33">
        <v>4463</v>
      </c>
      <c r="B4464" t="s">
        <v>8933</v>
      </c>
      <c r="C4464" s="1">
        <v>37.274384587699998</v>
      </c>
      <c r="D4464" s="1">
        <v>-6.9912795074599998</v>
      </c>
      <c r="E4464" s="3">
        <v>2</v>
      </c>
      <c r="F4464" s="2">
        <v>3</v>
      </c>
      <c r="G4464" s="4">
        <v>4</v>
      </c>
      <c r="H4464" s="13">
        <v>3</v>
      </c>
      <c r="I4464" s="34">
        <v>4</v>
      </c>
      <c r="J4464" s="35">
        <v>3</v>
      </c>
      <c r="K4464" s="2" t="s">
        <v>8934</v>
      </c>
      <c r="L4464" s="36" t="str">
        <f t="shared" si="75"/>
        <v>Ver Imagen</v>
      </c>
      <c r="M4464" t="s">
        <v>8005</v>
      </c>
    </row>
    <row r="4465" spans="1:13" x14ac:dyDescent="0.25">
      <c r="A4465" s="33">
        <v>4464</v>
      </c>
      <c r="B4465" t="s">
        <v>8935</v>
      </c>
      <c r="C4465" s="1">
        <v>37.274788813199997</v>
      </c>
      <c r="D4465" s="1">
        <v>-6.99122182202</v>
      </c>
      <c r="E4465" s="3">
        <v>2</v>
      </c>
      <c r="F4465" s="2">
        <v>3</v>
      </c>
      <c r="G4465" s="4">
        <v>4</v>
      </c>
      <c r="H4465" s="13">
        <v>4</v>
      </c>
      <c r="I4465" s="34">
        <v>4</v>
      </c>
      <c r="J4465" s="35">
        <v>4</v>
      </c>
      <c r="K4465" s="2" t="s">
        <v>8936</v>
      </c>
      <c r="L4465" s="36" t="str">
        <f t="shared" si="75"/>
        <v>Ver Imagen</v>
      </c>
      <c r="M4465" t="s">
        <v>8005</v>
      </c>
    </row>
    <row r="4466" spans="1:13" x14ac:dyDescent="0.25">
      <c r="A4466" s="33">
        <v>4465</v>
      </c>
      <c r="B4466" t="s">
        <v>8937</v>
      </c>
      <c r="C4466" s="1">
        <v>37.276240569899997</v>
      </c>
      <c r="D4466" s="1">
        <v>-6.9909336342800001</v>
      </c>
      <c r="E4466" s="3">
        <v>2</v>
      </c>
      <c r="F4466" s="2">
        <v>4</v>
      </c>
      <c r="G4466" s="4">
        <v>4</v>
      </c>
      <c r="H4466" s="13">
        <v>4</v>
      </c>
      <c r="I4466" s="34">
        <v>4</v>
      </c>
      <c r="J4466" s="35">
        <v>4</v>
      </c>
      <c r="K4466" s="2" t="s">
        <v>8938</v>
      </c>
      <c r="L4466" s="36" t="str">
        <f t="shared" si="75"/>
        <v>Ver Imagen</v>
      </c>
      <c r="M4466" t="s">
        <v>8005</v>
      </c>
    </row>
    <row r="4467" spans="1:13" x14ac:dyDescent="0.25">
      <c r="A4467" s="33">
        <v>4466</v>
      </c>
      <c r="B4467" t="s">
        <v>8939</v>
      </c>
      <c r="C4467" s="1">
        <v>37.276420342599998</v>
      </c>
      <c r="D4467" s="1">
        <v>-6.9912765010399998</v>
      </c>
      <c r="E4467" s="3">
        <v>2</v>
      </c>
      <c r="F4467" s="2">
        <v>4</v>
      </c>
      <c r="G4467" s="4">
        <v>4</v>
      </c>
      <c r="H4467" s="13">
        <v>4</v>
      </c>
      <c r="I4467" s="34">
        <v>5</v>
      </c>
      <c r="J4467" s="37">
        <v>5</v>
      </c>
      <c r="K4467" s="2" t="s">
        <v>8940</v>
      </c>
      <c r="L4467" s="36" t="str">
        <f t="shared" si="75"/>
        <v>Ver Imagen</v>
      </c>
      <c r="M4467" s="37" t="s">
        <v>8052</v>
      </c>
    </row>
    <row r="4468" spans="1:13" x14ac:dyDescent="0.25">
      <c r="A4468" s="33">
        <v>4467</v>
      </c>
      <c r="B4468" t="s">
        <v>8941</v>
      </c>
      <c r="C4468" s="1">
        <v>37.278054407500001</v>
      </c>
      <c r="D4468" s="1">
        <v>-6.9927415357599996</v>
      </c>
      <c r="E4468" s="3">
        <v>3</v>
      </c>
      <c r="F4468" s="2">
        <v>5</v>
      </c>
      <c r="G4468" s="4">
        <v>4</v>
      </c>
      <c r="H4468" s="13">
        <v>4</v>
      </c>
      <c r="I4468" s="34">
        <v>4</v>
      </c>
      <c r="J4468" s="35">
        <v>4</v>
      </c>
      <c r="K4468" s="2" t="s">
        <v>8942</v>
      </c>
      <c r="L4468" s="36" t="str">
        <f t="shared" si="75"/>
        <v>Ver Imagen</v>
      </c>
      <c r="M4468" t="s">
        <v>8005</v>
      </c>
    </row>
    <row r="4469" spans="1:13" x14ac:dyDescent="0.25">
      <c r="A4469" s="33">
        <v>4468</v>
      </c>
      <c r="B4469" t="s">
        <v>8943</v>
      </c>
      <c r="C4469" s="1">
        <v>37.279290553099997</v>
      </c>
      <c r="D4469" s="1">
        <v>-6.9955819778899997</v>
      </c>
      <c r="E4469" s="3">
        <v>3</v>
      </c>
      <c r="F4469" s="2">
        <v>2</v>
      </c>
      <c r="G4469" s="4">
        <v>4</v>
      </c>
      <c r="H4469" s="13">
        <v>1</v>
      </c>
      <c r="I4469" s="34">
        <v>1</v>
      </c>
      <c r="J4469" s="37">
        <v>1</v>
      </c>
      <c r="K4469" s="2" t="s">
        <v>8944</v>
      </c>
      <c r="L4469" s="36" t="str">
        <f t="shared" si="75"/>
        <v>Ver Imagen</v>
      </c>
      <c r="M4469" s="37" t="s">
        <v>8052</v>
      </c>
    </row>
    <row r="4470" spans="1:13" x14ac:dyDescent="0.25">
      <c r="A4470" s="33">
        <v>4469</v>
      </c>
      <c r="B4470" t="s">
        <v>8945</v>
      </c>
      <c r="C4470" s="1">
        <v>37.279353679099998</v>
      </c>
      <c r="D4470" s="1">
        <v>-6.9958476104700003</v>
      </c>
      <c r="E4470" s="3">
        <v>2</v>
      </c>
      <c r="F4470" s="2">
        <v>1</v>
      </c>
      <c r="G4470" s="4">
        <v>3</v>
      </c>
      <c r="H4470" s="13">
        <v>1</v>
      </c>
      <c r="I4470" s="34">
        <v>1</v>
      </c>
      <c r="J4470" s="35">
        <v>1</v>
      </c>
      <c r="K4470" s="2" t="s">
        <v>8946</v>
      </c>
      <c r="L4470" s="36" t="str">
        <f t="shared" si="75"/>
        <v>Ver Imagen</v>
      </c>
      <c r="M4470" t="s">
        <v>8005</v>
      </c>
    </row>
    <row r="4471" spans="1:13" x14ac:dyDescent="0.25">
      <c r="A4471" s="33">
        <v>4470</v>
      </c>
      <c r="B4471" t="s">
        <v>8947</v>
      </c>
      <c r="C4471" s="1">
        <v>37.280685539799997</v>
      </c>
      <c r="D4471" s="1">
        <v>-7.0037811971400004</v>
      </c>
      <c r="E4471" s="3">
        <v>3</v>
      </c>
      <c r="F4471" s="2">
        <v>2</v>
      </c>
      <c r="G4471" s="4">
        <v>4</v>
      </c>
      <c r="H4471" s="13">
        <v>2</v>
      </c>
      <c r="I4471" s="34">
        <v>3</v>
      </c>
      <c r="J4471" s="37">
        <v>2</v>
      </c>
      <c r="K4471" s="2" t="s">
        <v>8948</v>
      </c>
      <c r="L4471" s="36" t="str">
        <f t="shared" si="75"/>
        <v>Ver Imagen</v>
      </c>
      <c r="M4471" s="37" t="s">
        <v>8052</v>
      </c>
    </row>
    <row r="4472" spans="1:13" x14ac:dyDescent="0.25">
      <c r="A4472" s="33">
        <v>4471</v>
      </c>
      <c r="B4472" t="s">
        <v>8949</v>
      </c>
      <c r="C4472" s="1">
        <v>37.279867769500001</v>
      </c>
      <c r="D4472" s="1">
        <v>-7.0063411804899998</v>
      </c>
      <c r="E4472" s="3">
        <v>1</v>
      </c>
      <c r="F4472" s="2">
        <v>3</v>
      </c>
      <c r="G4472" s="4">
        <v>3</v>
      </c>
      <c r="H4472" s="13">
        <v>2</v>
      </c>
      <c r="I4472" s="34">
        <v>2</v>
      </c>
      <c r="J4472" s="35">
        <v>2</v>
      </c>
      <c r="K4472" s="2" t="s">
        <v>8950</v>
      </c>
      <c r="L4472" s="36" t="str">
        <f t="shared" si="75"/>
        <v>Ver Imagen</v>
      </c>
      <c r="M4472" t="s">
        <v>8005</v>
      </c>
    </row>
    <row r="4473" spans="1:13" x14ac:dyDescent="0.25">
      <c r="A4473" s="33">
        <v>4472</v>
      </c>
      <c r="B4473" t="s">
        <v>8951</v>
      </c>
      <c r="C4473" s="1">
        <v>37.279436197099997</v>
      </c>
      <c r="D4473" s="1">
        <v>-7.0074481095200003</v>
      </c>
      <c r="E4473" s="3">
        <v>1</v>
      </c>
      <c r="F4473" s="2">
        <v>3</v>
      </c>
      <c r="G4473" s="4">
        <v>3</v>
      </c>
      <c r="H4473" s="13">
        <v>2</v>
      </c>
      <c r="I4473" s="34">
        <v>1</v>
      </c>
      <c r="J4473" s="35">
        <v>2</v>
      </c>
      <c r="K4473" s="2" t="s">
        <v>8952</v>
      </c>
      <c r="L4473" s="36" t="str">
        <f t="shared" si="75"/>
        <v>Ver Imagen</v>
      </c>
      <c r="M4473" t="s">
        <v>8005</v>
      </c>
    </row>
    <row r="4474" spans="1:13" x14ac:dyDescent="0.25">
      <c r="A4474" s="33">
        <v>4473</v>
      </c>
      <c r="B4474" t="s">
        <v>8953</v>
      </c>
      <c r="C4474" s="1">
        <v>37.277278342300001</v>
      </c>
      <c r="D4474" s="1">
        <v>-7.0120453566799998</v>
      </c>
      <c r="E4474" s="3">
        <v>2</v>
      </c>
      <c r="F4474" s="2">
        <v>3</v>
      </c>
      <c r="G4474" s="4">
        <v>4</v>
      </c>
      <c r="H4474" s="13">
        <v>2</v>
      </c>
      <c r="I4474" s="34">
        <v>2</v>
      </c>
      <c r="J4474" s="35">
        <v>2</v>
      </c>
      <c r="K4474" s="2" t="s">
        <v>8954</v>
      </c>
      <c r="L4474" s="36" t="str">
        <f t="shared" si="75"/>
        <v>Ver Imagen</v>
      </c>
      <c r="M4474" t="s">
        <v>8005</v>
      </c>
    </row>
    <row r="4475" spans="1:13" x14ac:dyDescent="0.25">
      <c r="A4475" s="33">
        <v>4474</v>
      </c>
      <c r="B4475" t="s">
        <v>8955</v>
      </c>
      <c r="C4475" s="1">
        <v>37.277038343100003</v>
      </c>
      <c r="D4475" s="1">
        <v>-7.0124783124999999</v>
      </c>
      <c r="E4475" s="3">
        <v>2</v>
      </c>
      <c r="F4475" s="2">
        <v>3</v>
      </c>
      <c r="G4475" s="4">
        <v>4</v>
      </c>
      <c r="H4475" s="13">
        <v>3</v>
      </c>
      <c r="I4475" s="34">
        <v>3</v>
      </c>
      <c r="J4475" s="35">
        <v>3</v>
      </c>
      <c r="K4475" s="2" t="s">
        <v>8956</v>
      </c>
      <c r="L4475" s="36" t="str">
        <f t="shared" si="75"/>
        <v>Ver Imagen</v>
      </c>
      <c r="M4475" t="s">
        <v>8005</v>
      </c>
    </row>
    <row r="4476" spans="1:13" x14ac:dyDescent="0.25">
      <c r="A4476" s="33">
        <v>4475</v>
      </c>
      <c r="B4476" t="s">
        <v>8957</v>
      </c>
      <c r="C4476" s="1">
        <v>37.2760942508</v>
      </c>
      <c r="D4476" s="1">
        <v>-7.0144139570800004</v>
      </c>
      <c r="E4476" s="3">
        <v>2</v>
      </c>
      <c r="F4476" s="2">
        <v>3</v>
      </c>
      <c r="G4476" s="4">
        <v>4</v>
      </c>
      <c r="H4476" s="13">
        <v>2</v>
      </c>
      <c r="I4476" s="34">
        <v>2</v>
      </c>
      <c r="J4476" s="35">
        <v>2</v>
      </c>
      <c r="K4476" s="2" t="s">
        <v>8958</v>
      </c>
      <c r="L4476" s="36" t="str">
        <f t="shared" si="75"/>
        <v>Ver Imagen</v>
      </c>
      <c r="M4476" t="s">
        <v>8005</v>
      </c>
    </row>
    <row r="4477" spans="1:13" x14ac:dyDescent="0.25">
      <c r="A4477" s="33">
        <v>4476</v>
      </c>
      <c r="B4477" t="s">
        <v>8959</v>
      </c>
      <c r="C4477" s="1">
        <v>37.275922778499996</v>
      </c>
      <c r="D4477" s="1">
        <v>-7.01525624738</v>
      </c>
      <c r="E4477" s="3">
        <v>2</v>
      </c>
      <c r="F4477" s="2">
        <v>3</v>
      </c>
      <c r="G4477" s="4">
        <v>4</v>
      </c>
      <c r="H4477" s="13">
        <v>4</v>
      </c>
      <c r="I4477" s="34">
        <v>3</v>
      </c>
      <c r="J4477" s="35">
        <v>3</v>
      </c>
      <c r="K4477" s="2" t="s">
        <v>8960</v>
      </c>
      <c r="L4477" s="36" t="str">
        <f t="shared" si="75"/>
        <v>Ver Imagen</v>
      </c>
      <c r="M4477" t="s">
        <v>8005</v>
      </c>
    </row>
    <row r="4478" spans="1:13" x14ac:dyDescent="0.25">
      <c r="A4478" s="33">
        <v>4477</v>
      </c>
      <c r="B4478" t="s">
        <v>8961</v>
      </c>
      <c r="C4478" s="1">
        <v>37.2756179577</v>
      </c>
      <c r="D4478" s="1">
        <v>-7.0187642885399999</v>
      </c>
      <c r="E4478" s="3">
        <v>1</v>
      </c>
      <c r="F4478" s="2">
        <v>2</v>
      </c>
      <c r="G4478" s="4">
        <v>3</v>
      </c>
      <c r="H4478" s="13">
        <v>1</v>
      </c>
      <c r="I4478" s="34">
        <v>1</v>
      </c>
      <c r="J4478" s="35">
        <v>1</v>
      </c>
      <c r="K4478" s="2" t="s">
        <v>8962</v>
      </c>
      <c r="L4478" s="36" t="str">
        <f t="shared" si="75"/>
        <v>Ver Imagen</v>
      </c>
      <c r="M4478" t="s">
        <v>8005</v>
      </c>
    </row>
    <row r="4479" spans="1:13" x14ac:dyDescent="0.25">
      <c r="A4479" s="33">
        <v>4478</v>
      </c>
      <c r="B4479" t="s">
        <v>8963</v>
      </c>
      <c r="C4479" s="1">
        <v>37.275651360799998</v>
      </c>
      <c r="D4479" s="1">
        <v>-7.0190108473299997</v>
      </c>
      <c r="E4479" s="3">
        <v>1</v>
      </c>
      <c r="F4479" s="2">
        <v>2</v>
      </c>
      <c r="G4479" s="4">
        <v>3</v>
      </c>
      <c r="H4479" s="13">
        <v>1</v>
      </c>
      <c r="I4479" s="34">
        <v>1</v>
      </c>
      <c r="J4479" s="35">
        <v>1</v>
      </c>
      <c r="K4479" s="2" t="s">
        <v>8964</v>
      </c>
      <c r="L4479" s="36" t="str">
        <f t="shared" si="75"/>
        <v>Ver Imagen</v>
      </c>
      <c r="M4479" t="s">
        <v>8005</v>
      </c>
    </row>
    <row r="4480" spans="1:13" x14ac:dyDescent="0.25">
      <c r="A4480" s="33">
        <v>4479</v>
      </c>
      <c r="B4480" t="s">
        <v>8965</v>
      </c>
      <c r="C4480" s="1">
        <v>37.275686468799996</v>
      </c>
      <c r="D4480" s="1">
        <v>-7.0192729980799999</v>
      </c>
      <c r="E4480" s="3">
        <v>1</v>
      </c>
      <c r="F4480" s="2">
        <v>2</v>
      </c>
      <c r="G4480" s="4">
        <v>3</v>
      </c>
      <c r="H4480" s="13">
        <v>1</v>
      </c>
      <c r="I4480" s="34">
        <v>1</v>
      </c>
      <c r="J4480" s="35">
        <v>1</v>
      </c>
      <c r="K4480" s="2" t="s">
        <v>8966</v>
      </c>
      <c r="L4480" s="36" t="str">
        <f t="shared" si="75"/>
        <v>Ver Imagen</v>
      </c>
      <c r="M4480" t="s">
        <v>8005</v>
      </c>
    </row>
    <row r="4481" spans="1:13" x14ac:dyDescent="0.25">
      <c r="A4481" s="33">
        <v>4480</v>
      </c>
      <c r="B4481" t="s">
        <v>8967</v>
      </c>
      <c r="C4481" s="1">
        <v>37.275716269999997</v>
      </c>
      <c r="D4481" s="1">
        <v>-7.0194968841799996</v>
      </c>
      <c r="E4481" s="3">
        <v>1</v>
      </c>
      <c r="F4481" s="2">
        <v>2</v>
      </c>
      <c r="G4481" s="4">
        <v>3</v>
      </c>
      <c r="H4481" s="13">
        <v>2</v>
      </c>
      <c r="I4481" s="34">
        <v>2</v>
      </c>
      <c r="J4481" s="35">
        <v>2</v>
      </c>
      <c r="K4481" s="2" t="s">
        <v>8968</v>
      </c>
      <c r="L4481" s="36" t="str">
        <f t="shared" si="75"/>
        <v>Ver Imagen</v>
      </c>
      <c r="M4481" t="s">
        <v>8005</v>
      </c>
    </row>
    <row r="4482" spans="1:13" x14ac:dyDescent="0.25">
      <c r="A4482" s="33">
        <v>4481</v>
      </c>
      <c r="B4482" t="s">
        <v>8969</v>
      </c>
      <c r="C4482" s="1">
        <v>37.275759111500001</v>
      </c>
      <c r="D4482" s="1">
        <v>-7.0198176600900002</v>
      </c>
      <c r="E4482" s="3">
        <v>1</v>
      </c>
      <c r="F4482" s="2">
        <v>3</v>
      </c>
      <c r="G4482" s="4">
        <v>3</v>
      </c>
      <c r="H4482" s="13">
        <v>2</v>
      </c>
      <c r="I4482" s="34">
        <v>2</v>
      </c>
      <c r="J4482" s="35">
        <v>2</v>
      </c>
      <c r="K4482" s="2" t="s">
        <v>8970</v>
      </c>
      <c r="L4482" s="36" t="str">
        <f t="shared" si="75"/>
        <v>Ver Imagen</v>
      </c>
      <c r="M4482" t="s">
        <v>8005</v>
      </c>
    </row>
    <row r="4483" spans="1:13" x14ac:dyDescent="0.25">
      <c r="A4483" s="33">
        <v>4482</v>
      </c>
      <c r="B4483" t="s">
        <v>8971</v>
      </c>
      <c r="C4483" s="1">
        <v>37.275783980100002</v>
      </c>
      <c r="D4483" s="1">
        <v>-7.0200042415199997</v>
      </c>
      <c r="E4483" s="3">
        <v>1</v>
      </c>
      <c r="F4483" s="2">
        <v>2</v>
      </c>
      <c r="G4483" s="4">
        <v>3</v>
      </c>
      <c r="H4483" s="13">
        <v>1</v>
      </c>
      <c r="I4483" s="34">
        <v>2</v>
      </c>
      <c r="J4483" s="35">
        <v>2</v>
      </c>
      <c r="K4483" s="2" t="s">
        <v>8972</v>
      </c>
      <c r="L4483" s="36" t="str">
        <f t="shared" si="75"/>
        <v>Ver Imagen</v>
      </c>
      <c r="M4483" t="s">
        <v>8005</v>
      </c>
    </row>
    <row r="4484" spans="1:13" x14ac:dyDescent="0.25">
      <c r="A4484" s="33">
        <v>4483</v>
      </c>
      <c r="B4484" t="s">
        <v>8973</v>
      </c>
      <c r="C4484" s="1">
        <v>37.275856304500003</v>
      </c>
      <c r="D4484" s="1">
        <v>-7.0205363860199999</v>
      </c>
      <c r="E4484" s="3">
        <v>1</v>
      </c>
      <c r="F4484" s="2">
        <v>2</v>
      </c>
      <c r="G4484" s="4">
        <v>3</v>
      </c>
      <c r="H4484" s="13">
        <v>2</v>
      </c>
      <c r="I4484" s="34">
        <v>2</v>
      </c>
      <c r="J4484" s="35">
        <v>2</v>
      </c>
      <c r="K4484" s="2" t="s">
        <v>8974</v>
      </c>
      <c r="L4484" s="36" t="str">
        <f t="shared" si="75"/>
        <v>Ver Imagen</v>
      </c>
      <c r="M4484" t="s">
        <v>8005</v>
      </c>
    </row>
    <row r="4485" spans="1:13" x14ac:dyDescent="0.25">
      <c r="A4485" s="33">
        <v>4484</v>
      </c>
      <c r="B4485" t="s">
        <v>8975</v>
      </c>
      <c r="C4485" s="1">
        <v>37.275949412499997</v>
      </c>
      <c r="D4485" s="1">
        <v>-7.0212384021199998</v>
      </c>
      <c r="E4485" s="3">
        <v>1</v>
      </c>
      <c r="F4485" s="2">
        <v>2</v>
      </c>
      <c r="G4485" s="4">
        <v>3</v>
      </c>
      <c r="H4485" s="13">
        <v>2</v>
      </c>
      <c r="I4485" s="34">
        <v>2</v>
      </c>
      <c r="J4485" s="35">
        <v>2</v>
      </c>
      <c r="K4485" s="2" t="s">
        <v>8976</v>
      </c>
      <c r="L4485" s="36" t="str">
        <f t="shared" si="75"/>
        <v>Ver Imagen</v>
      </c>
      <c r="M4485" t="s">
        <v>8005</v>
      </c>
    </row>
    <row r="4486" spans="1:13" x14ac:dyDescent="0.25">
      <c r="A4486" s="33">
        <v>4485</v>
      </c>
      <c r="B4486" t="s">
        <v>8977</v>
      </c>
      <c r="C4486" s="1">
        <v>37.276014781400001</v>
      </c>
      <c r="D4486" s="1">
        <v>-7.0217456011700001</v>
      </c>
      <c r="E4486" s="3">
        <v>1</v>
      </c>
      <c r="F4486" s="2">
        <v>2</v>
      </c>
      <c r="G4486" s="4">
        <v>3</v>
      </c>
      <c r="H4486" s="13">
        <v>1</v>
      </c>
      <c r="I4486" s="34">
        <v>2</v>
      </c>
      <c r="J4486" s="35">
        <v>2</v>
      </c>
      <c r="K4486" s="2" t="s">
        <v>8978</v>
      </c>
      <c r="L4486" s="36" t="str">
        <f t="shared" si="75"/>
        <v>Ver Imagen</v>
      </c>
      <c r="M4486" t="s">
        <v>8005</v>
      </c>
    </row>
    <row r="4487" spans="1:13" x14ac:dyDescent="0.25">
      <c r="A4487" s="33">
        <v>4486</v>
      </c>
      <c r="B4487" t="s">
        <v>8979</v>
      </c>
      <c r="C4487" s="1">
        <v>37.276121401899999</v>
      </c>
      <c r="D4487" s="1">
        <v>-7.0224979690099998</v>
      </c>
      <c r="E4487" s="3">
        <v>2</v>
      </c>
      <c r="F4487" s="2">
        <v>3</v>
      </c>
      <c r="G4487" s="4">
        <v>4</v>
      </c>
      <c r="H4487" s="13">
        <v>2</v>
      </c>
      <c r="I4487" s="34">
        <v>3</v>
      </c>
      <c r="J4487" s="35">
        <v>3</v>
      </c>
      <c r="K4487" s="2" t="s">
        <v>8980</v>
      </c>
      <c r="L4487" s="36" t="str">
        <f t="shared" si="75"/>
        <v>Ver Imagen</v>
      </c>
      <c r="M4487" t="s">
        <v>8005</v>
      </c>
    </row>
    <row r="4488" spans="1:13" x14ac:dyDescent="0.25">
      <c r="A4488" s="33">
        <v>4487</v>
      </c>
      <c r="B4488" t="s">
        <v>8981</v>
      </c>
      <c r="C4488" s="1">
        <v>37.276198944299999</v>
      </c>
      <c r="D4488" s="1">
        <v>-7.0230367999699999</v>
      </c>
      <c r="E4488" s="3">
        <v>1</v>
      </c>
      <c r="F4488" s="2">
        <v>2</v>
      </c>
      <c r="G4488" s="4">
        <v>3</v>
      </c>
      <c r="H4488" s="13">
        <v>2</v>
      </c>
      <c r="I4488" s="34">
        <v>2</v>
      </c>
      <c r="J4488" s="35">
        <v>2</v>
      </c>
      <c r="K4488" s="2" t="s">
        <v>8982</v>
      </c>
      <c r="L4488" s="36" t="str">
        <f t="shared" si="75"/>
        <v>Ver Imagen</v>
      </c>
      <c r="M4488" t="s">
        <v>8005</v>
      </c>
    </row>
    <row r="4489" spans="1:13" x14ac:dyDescent="0.25">
      <c r="A4489" s="33">
        <v>4488</v>
      </c>
      <c r="B4489" t="s">
        <v>8983</v>
      </c>
      <c r="C4489" s="1">
        <v>37.276401590200003</v>
      </c>
      <c r="D4489" s="1">
        <v>-7.0244796124100004</v>
      </c>
      <c r="E4489" s="3">
        <v>1</v>
      </c>
      <c r="F4489" s="2">
        <v>2</v>
      </c>
      <c r="G4489" s="4">
        <v>3</v>
      </c>
      <c r="H4489" s="13">
        <v>2</v>
      </c>
      <c r="I4489" s="34">
        <v>1</v>
      </c>
      <c r="J4489" s="35">
        <v>2</v>
      </c>
      <c r="K4489" s="2" t="s">
        <v>8984</v>
      </c>
      <c r="L4489" s="36" t="str">
        <f t="shared" si="75"/>
        <v>Ver Imagen</v>
      </c>
      <c r="M4489" t="s">
        <v>8005</v>
      </c>
    </row>
    <row r="4490" spans="1:13" x14ac:dyDescent="0.25">
      <c r="A4490" s="33">
        <v>4489</v>
      </c>
      <c r="B4490" t="s">
        <v>8985</v>
      </c>
      <c r="C4490" s="1">
        <v>37.276651347600001</v>
      </c>
      <c r="D4490" s="1">
        <v>-7.02624839933</v>
      </c>
      <c r="E4490" s="3">
        <v>1</v>
      </c>
      <c r="F4490" s="2">
        <v>2</v>
      </c>
      <c r="G4490" s="4">
        <v>3</v>
      </c>
      <c r="H4490" s="13">
        <v>2</v>
      </c>
      <c r="I4490" s="34">
        <v>2</v>
      </c>
      <c r="J4490" s="35">
        <v>2</v>
      </c>
      <c r="K4490" s="2" t="s">
        <v>8986</v>
      </c>
      <c r="L4490" s="36" t="str">
        <f t="shared" si="75"/>
        <v>Ver Imagen</v>
      </c>
      <c r="M4490" t="s">
        <v>8005</v>
      </c>
    </row>
    <row r="4491" spans="1:13" x14ac:dyDescent="0.25">
      <c r="A4491" s="33">
        <v>4490</v>
      </c>
      <c r="B4491" t="s">
        <v>8987</v>
      </c>
      <c r="C4491" s="1">
        <v>37.276891823299998</v>
      </c>
      <c r="D4491" s="1">
        <v>-7.0274627651700001</v>
      </c>
      <c r="E4491" s="3">
        <v>1</v>
      </c>
      <c r="F4491" s="2">
        <v>3</v>
      </c>
      <c r="G4491" s="4">
        <v>3</v>
      </c>
      <c r="H4491" s="13">
        <v>2</v>
      </c>
      <c r="I4491" s="34">
        <v>1</v>
      </c>
      <c r="J4491" s="35">
        <v>2</v>
      </c>
      <c r="K4491" s="2" t="s">
        <v>8988</v>
      </c>
      <c r="L4491" s="36" t="str">
        <f t="shared" si="75"/>
        <v>Ver Imagen</v>
      </c>
      <c r="M4491" t="s">
        <v>8005</v>
      </c>
    </row>
    <row r="4492" spans="1:13" x14ac:dyDescent="0.25">
      <c r="A4492" s="33">
        <v>4491</v>
      </c>
      <c r="B4492" t="s">
        <v>8989</v>
      </c>
      <c r="C4492" s="1">
        <v>37.2769611481</v>
      </c>
      <c r="D4492" s="1">
        <v>-7.0276874273000001</v>
      </c>
      <c r="E4492" s="3">
        <v>1</v>
      </c>
      <c r="F4492" s="2">
        <v>2</v>
      </c>
      <c r="G4492" s="4">
        <v>3</v>
      </c>
      <c r="H4492" s="13">
        <v>2</v>
      </c>
      <c r="I4492" s="34">
        <v>1</v>
      </c>
      <c r="J4492" s="35">
        <v>2</v>
      </c>
      <c r="K4492" s="2" t="s">
        <v>8990</v>
      </c>
      <c r="L4492" s="36" t="str">
        <f t="shared" si="75"/>
        <v>Ver Imagen</v>
      </c>
      <c r="M4492" t="s">
        <v>8005</v>
      </c>
    </row>
    <row r="4493" spans="1:13" x14ac:dyDescent="0.25">
      <c r="A4493" s="33">
        <v>4492</v>
      </c>
      <c r="B4493" t="s">
        <v>8991</v>
      </c>
      <c r="C4493" s="1">
        <v>37.277251830600001</v>
      </c>
      <c r="D4493" s="1">
        <v>-7.0283966125599999</v>
      </c>
      <c r="E4493" s="3">
        <v>1</v>
      </c>
      <c r="F4493" s="2">
        <v>2</v>
      </c>
      <c r="G4493" s="4">
        <v>3</v>
      </c>
      <c r="H4493" s="13">
        <v>2</v>
      </c>
      <c r="I4493" s="34">
        <v>1</v>
      </c>
      <c r="J4493" s="35">
        <v>2</v>
      </c>
      <c r="K4493" s="2" t="s">
        <v>8992</v>
      </c>
      <c r="L4493" s="36" t="str">
        <f t="shared" si="75"/>
        <v>Ver Imagen</v>
      </c>
      <c r="M4493" t="s">
        <v>8005</v>
      </c>
    </row>
    <row r="4494" spans="1:13" x14ac:dyDescent="0.25">
      <c r="A4494" s="33">
        <v>4493</v>
      </c>
      <c r="B4494" t="s">
        <v>8993</v>
      </c>
      <c r="C4494" s="1">
        <v>37.277349851899999</v>
      </c>
      <c r="D4494" s="1">
        <v>-7.0285815464499999</v>
      </c>
      <c r="E4494" s="3">
        <v>1</v>
      </c>
      <c r="F4494" s="2">
        <v>2</v>
      </c>
      <c r="G4494" s="4">
        <v>3</v>
      </c>
      <c r="H4494" s="13">
        <v>2</v>
      </c>
      <c r="I4494" s="34">
        <v>1</v>
      </c>
      <c r="J4494" s="35">
        <v>2</v>
      </c>
      <c r="K4494" s="2" t="s">
        <v>8994</v>
      </c>
      <c r="L4494" s="36" t="str">
        <f t="shared" si="75"/>
        <v>Ver Imagen</v>
      </c>
      <c r="M4494" t="s">
        <v>8005</v>
      </c>
    </row>
    <row r="4495" spans="1:13" x14ac:dyDescent="0.25">
      <c r="A4495" s="33">
        <v>4494</v>
      </c>
      <c r="B4495" t="s">
        <v>8995</v>
      </c>
      <c r="C4495" s="1">
        <v>37.278334386600001</v>
      </c>
      <c r="D4495" s="1">
        <v>-7.0298179964700003</v>
      </c>
      <c r="E4495" s="3">
        <v>1</v>
      </c>
      <c r="F4495" s="2">
        <v>3</v>
      </c>
      <c r="G4495" s="4">
        <v>3</v>
      </c>
      <c r="H4495" s="13">
        <v>1</v>
      </c>
      <c r="I4495" s="34">
        <v>1</v>
      </c>
      <c r="J4495" s="35">
        <v>1</v>
      </c>
      <c r="K4495" s="2" t="s">
        <v>8996</v>
      </c>
      <c r="L4495" s="36" t="str">
        <f t="shared" si="75"/>
        <v>Ver Imagen</v>
      </c>
      <c r="M4495" t="s">
        <v>8005</v>
      </c>
    </row>
    <row r="4496" spans="1:13" x14ac:dyDescent="0.25">
      <c r="A4496" s="33">
        <v>4495</v>
      </c>
      <c r="B4496" t="s">
        <v>8997</v>
      </c>
      <c r="C4496" s="1">
        <v>37.278501168699997</v>
      </c>
      <c r="D4496" s="1">
        <v>-7.02997186184</v>
      </c>
      <c r="E4496" s="3">
        <v>1</v>
      </c>
      <c r="F4496" s="2">
        <v>3</v>
      </c>
      <c r="G4496" s="4">
        <v>3</v>
      </c>
      <c r="H4496" s="13">
        <v>2</v>
      </c>
      <c r="I4496" s="34">
        <v>1</v>
      </c>
      <c r="J4496" s="35">
        <v>2</v>
      </c>
      <c r="K4496" s="2" t="s">
        <v>8998</v>
      </c>
      <c r="L4496" s="36" t="str">
        <f t="shared" si="75"/>
        <v>Ver Imagen</v>
      </c>
      <c r="M4496" t="s">
        <v>8005</v>
      </c>
    </row>
    <row r="4497" spans="1:13" x14ac:dyDescent="0.25">
      <c r="A4497" s="33">
        <v>4496</v>
      </c>
      <c r="B4497" t="s">
        <v>8999</v>
      </c>
      <c r="C4497" s="1">
        <v>37.278665053899999</v>
      </c>
      <c r="D4497" s="1">
        <v>-7.03012298267</v>
      </c>
      <c r="E4497" s="3">
        <v>1</v>
      </c>
      <c r="F4497" s="2">
        <v>2</v>
      </c>
      <c r="G4497" s="4">
        <v>3</v>
      </c>
      <c r="H4497" s="13">
        <v>2</v>
      </c>
      <c r="I4497" s="34">
        <v>1</v>
      </c>
      <c r="J4497" s="35">
        <v>2</v>
      </c>
      <c r="K4497" s="2" t="s">
        <v>9000</v>
      </c>
      <c r="L4497" s="36" t="str">
        <f t="shared" si="75"/>
        <v>Ver Imagen</v>
      </c>
      <c r="M4497" t="s">
        <v>8005</v>
      </c>
    </row>
    <row r="4498" spans="1:13" x14ac:dyDescent="0.25">
      <c r="A4498" s="33">
        <v>4497</v>
      </c>
      <c r="B4498" t="s">
        <v>9001</v>
      </c>
      <c r="C4498" s="1">
        <v>37.280140965699999</v>
      </c>
      <c r="D4498" s="1">
        <v>-7.0314287070699999</v>
      </c>
      <c r="E4498" s="3">
        <v>2</v>
      </c>
      <c r="F4498" s="2">
        <v>4</v>
      </c>
      <c r="G4498" s="4">
        <v>4</v>
      </c>
      <c r="H4498" s="13">
        <v>3</v>
      </c>
      <c r="I4498" s="34">
        <v>4</v>
      </c>
      <c r="J4498" s="35">
        <v>4</v>
      </c>
      <c r="K4498" s="2" t="s">
        <v>9002</v>
      </c>
      <c r="L4498" s="36" t="str">
        <f t="shared" si="75"/>
        <v>Ver Imagen</v>
      </c>
      <c r="M4498" t="s">
        <v>8005</v>
      </c>
    </row>
    <row r="4499" spans="1:13" x14ac:dyDescent="0.25">
      <c r="A4499" s="33">
        <v>4498</v>
      </c>
      <c r="B4499" t="s">
        <v>9003</v>
      </c>
      <c r="C4499" s="1">
        <v>37.281071249199996</v>
      </c>
      <c r="D4499" s="1">
        <v>-7.0319227960999999</v>
      </c>
      <c r="E4499" s="3">
        <v>1</v>
      </c>
      <c r="F4499" s="2">
        <v>2</v>
      </c>
      <c r="G4499" s="4">
        <v>3</v>
      </c>
      <c r="H4499" s="13">
        <v>2</v>
      </c>
      <c r="I4499" s="34">
        <v>1</v>
      </c>
      <c r="J4499" s="35">
        <v>2</v>
      </c>
      <c r="K4499" s="2" t="s">
        <v>9004</v>
      </c>
      <c r="L4499" s="36" t="str">
        <f t="shared" si="75"/>
        <v>Ver Imagen</v>
      </c>
      <c r="M4499" t="s">
        <v>8005</v>
      </c>
    </row>
    <row r="4500" spans="1:13" x14ac:dyDescent="0.25">
      <c r="A4500" s="33">
        <v>4499</v>
      </c>
      <c r="B4500" t="s">
        <v>9005</v>
      </c>
      <c r="C4500" s="1">
        <v>37.281274648199997</v>
      </c>
      <c r="D4500" s="1">
        <v>-7.0320211812200002</v>
      </c>
      <c r="E4500" s="3">
        <v>1</v>
      </c>
      <c r="F4500" s="2">
        <v>3</v>
      </c>
      <c r="G4500" s="4">
        <v>3</v>
      </c>
      <c r="H4500" s="13">
        <v>2</v>
      </c>
      <c r="I4500" s="34">
        <v>1</v>
      </c>
      <c r="J4500" s="35">
        <v>2</v>
      </c>
      <c r="K4500" s="2" t="s">
        <v>9006</v>
      </c>
      <c r="L4500" s="36" t="str">
        <f t="shared" si="75"/>
        <v>Ver Imagen</v>
      </c>
      <c r="M4500" t="s">
        <v>8005</v>
      </c>
    </row>
    <row r="4501" spans="1:13" x14ac:dyDescent="0.25">
      <c r="A4501" s="33">
        <v>4500</v>
      </c>
      <c r="B4501" t="s">
        <v>9007</v>
      </c>
      <c r="C4501" s="1">
        <v>37.281844285399998</v>
      </c>
      <c r="D4501" s="1">
        <v>-7.0323192332</v>
      </c>
      <c r="E4501" s="3">
        <v>1</v>
      </c>
      <c r="F4501" s="2">
        <v>1</v>
      </c>
      <c r="G4501" s="4">
        <v>3</v>
      </c>
      <c r="H4501" s="13">
        <v>2</v>
      </c>
      <c r="I4501" s="34">
        <v>1</v>
      </c>
      <c r="J4501" s="35">
        <v>1</v>
      </c>
      <c r="K4501" s="2" t="s">
        <v>9008</v>
      </c>
      <c r="L4501" s="36" t="str">
        <f t="shared" si="75"/>
        <v>Ver Imagen</v>
      </c>
      <c r="M4501" t="s">
        <v>8005</v>
      </c>
    </row>
    <row r="4502" spans="1:13" x14ac:dyDescent="0.25">
      <c r="A4502" s="33">
        <v>4501</v>
      </c>
      <c r="B4502" t="s">
        <v>9009</v>
      </c>
      <c r="C4502" s="1">
        <v>37.282014281800002</v>
      </c>
      <c r="D4502" s="1">
        <v>-7.0324163822400001</v>
      </c>
      <c r="E4502" s="3">
        <v>1</v>
      </c>
      <c r="F4502" s="2">
        <v>2</v>
      </c>
      <c r="G4502" s="4">
        <v>3</v>
      </c>
      <c r="H4502" s="13">
        <v>2</v>
      </c>
      <c r="I4502" s="34">
        <v>1</v>
      </c>
      <c r="J4502" s="35">
        <v>2</v>
      </c>
      <c r="K4502" s="2" t="s">
        <v>9010</v>
      </c>
      <c r="L4502" s="36" t="str">
        <f t="shared" si="75"/>
        <v>Ver Imagen</v>
      </c>
      <c r="M4502" t="s">
        <v>8005</v>
      </c>
    </row>
    <row r="4503" spans="1:13" x14ac:dyDescent="0.25">
      <c r="A4503" s="33">
        <v>4502</v>
      </c>
      <c r="B4503" t="s">
        <v>9011</v>
      </c>
      <c r="C4503" s="1">
        <v>37.282542735600003</v>
      </c>
      <c r="D4503" s="1">
        <v>-7.0327452990200001</v>
      </c>
      <c r="E4503" s="3">
        <v>1</v>
      </c>
      <c r="F4503" s="2">
        <v>2</v>
      </c>
      <c r="G4503" s="4">
        <v>3</v>
      </c>
      <c r="H4503" s="13">
        <v>1</v>
      </c>
      <c r="I4503" s="34">
        <v>1</v>
      </c>
      <c r="J4503" s="35">
        <v>1</v>
      </c>
      <c r="K4503" s="2" t="s">
        <v>9012</v>
      </c>
      <c r="L4503" s="36" t="str">
        <f t="shared" si="75"/>
        <v>Ver Imagen</v>
      </c>
      <c r="M4503" t="s">
        <v>8005</v>
      </c>
    </row>
    <row r="4504" spans="1:13" x14ac:dyDescent="0.25">
      <c r="A4504" s="33">
        <v>4503</v>
      </c>
      <c r="B4504" t="s">
        <v>9013</v>
      </c>
      <c r="C4504" s="1">
        <v>37.284030827000002</v>
      </c>
      <c r="D4504" s="1">
        <v>-7.0350728790400003</v>
      </c>
      <c r="E4504" s="3">
        <v>1</v>
      </c>
      <c r="F4504" s="2">
        <v>2</v>
      </c>
      <c r="G4504" s="4">
        <v>3</v>
      </c>
      <c r="H4504" s="13">
        <v>2</v>
      </c>
      <c r="I4504" s="34">
        <v>1</v>
      </c>
      <c r="J4504" s="35">
        <v>2</v>
      </c>
      <c r="K4504" s="2" t="s">
        <v>9014</v>
      </c>
      <c r="L4504" s="36" t="str">
        <f t="shared" si="75"/>
        <v>Ver Imagen</v>
      </c>
      <c r="M4504" t="s">
        <v>8005</v>
      </c>
    </row>
    <row r="4505" spans="1:13" x14ac:dyDescent="0.25">
      <c r="A4505" s="33">
        <v>4504</v>
      </c>
      <c r="B4505" t="s">
        <v>9015</v>
      </c>
      <c r="C4505" s="1">
        <v>37.284068630599997</v>
      </c>
      <c r="D4505" s="1">
        <v>-7.0353160429899999</v>
      </c>
      <c r="E4505" s="3">
        <v>1</v>
      </c>
      <c r="F4505" s="2">
        <v>2</v>
      </c>
      <c r="G4505" s="4">
        <v>3</v>
      </c>
      <c r="H4505" s="13">
        <v>2</v>
      </c>
      <c r="I4505" s="34">
        <v>1</v>
      </c>
      <c r="J4505" s="35">
        <v>2</v>
      </c>
      <c r="K4505" s="2" t="s">
        <v>9016</v>
      </c>
      <c r="L4505" s="36" t="str">
        <f t="shared" si="75"/>
        <v>Ver Imagen</v>
      </c>
      <c r="M4505" t="s">
        <v>8005</v>
      </c>
    </row>
    <row r="4506" spans="1:13" x14ac:dyDescent="0.25">
      <c r="A4506" s="33">
        <v>4505</v>
      </c>
      <c r="B4506" t="s">
        <v>9017</v>
      </c>
      <c r="C4506" s="1">
        <v>37.284093046300001</v>
      </c>
      <c r="D4506" s="1">
        <v>-7.0355766860899998</v>
      </c>
      <c r="E4506" s="3">
        <v>1</v>
      </c>
      <c r="F4506" s="2">
        <v>2</v>
      </c>
      <c r="G4506" s="4">
        <v>3</v>
      </c>
      <c r="H4506" s="13">
        <v>2</v>
      </c>
      <c r="I4506" s="34">
        <v>1</v>
      </c>
      <c r="J4506" s="35">
        <v>2</v>
      </c>
      <c r="K4506" s="2" t="s">
        <v>9018</v>
      </c>
      <c r="L4506" s="36" t="str">
        <f t="shared" si="75"/>
        <v>Ver Imagen</v>
      </c>
      <c r="M4506" t="s">
        <v>8005</v>
      </c>
    </row>
    <row r="4507" spans="1:13" x14ac:dyDescent="0.25">
      <c r="A4507" s="33">
        <v>4506</v>
      </c>
      <c r="B4507" t="s">
        <v>9019</v>
      </c>
      <c r="C4507" s="1">
        <v>37.284105841600002</v>
      </c>
      <c r="D4507" s="1">
        <v>-7.0361148199299999</v>
      </c>
      <c r="E4507" s="3">
        <v>1</v>
      </c>
      <c r="F4507" s="2">
        <v>2</v>
      </c>
      <c r="G4507" s="4">
        <v>3</v>
      </c>
      <c r="H4507" s="13">
        <v>2</v>
      </c>
      <c r="I4507" s="34">
        <v>1</v>
      </c>
      <c r="J4507" s="35">
        <v>2</v>
      </c>
      <c r="K4507" s="2" t="s">
        <v>9020</v>
      </c>
      <c r="L4507" s="36" t="str">
        <f t="shared" si="75"/>
        <v>Ver Imagen</v>
      </c>
      <c r="M4507" t="s">
        <v>8005</v>
      </c>
    </row>
    <row r="4508" spans="1:13" x14ac:dyDescent="0.25">
      <c r="A4508" s="33">
        <v>4507</v>
      </c>
      <c r="B4508" t="s">
        <v>9021</v>
      </c>
      <c r="C4508" s="1">
        <v>37.284104073899996</v>
      </c>
      <c r="D4508" s="1">
        <v>-7.0363499322800003</v>
      </c>
      <c r="E4508" s="3">
        <v>1</v>
      </c>
      <c r="F4508" s="2">
        <v>3</v>
      </c>
      <c r="G4508" s="4">
        <v>3</v>
      </c>
      <c r="H4508" s="13">
        <v>2</v>
      </c>
      <c r="I4508" s="34">
        <v>1</v>
      </c>
      <c r="J4508" s="35">
        <v>2</v>
      </c>
      <c r="K4508" s="2" t="s">
        <v>9022</v>
      </c>
      <c r="L4508" s="36" t="str">
        <f t="shared" si="75"/>
        <v>Ver Imagen</v>
      </c>
      <c r="M4508" t="s">
        <v>8005</v>
      </c>
    </row>
    <row r="4509" spans="1:13" x14ac:dyDescent="0.25">
      <c r="A4509" s="33">
        <v>4508</v>
      </c>
      <c r="B4509" t="s">
        <v>9023</v>
      </c>
      <c r="C4509" s="1">
        <v>37.284138338600002</v>
      </c>
      <c r="D4509" s="1">
        <v>-7.0371034395300001</v>
      </c>
      <c r="E4509" s="3">
        <v>1</v>
      </c>
      <c r="F4509" s="2">
        <v>2</v>
      </c>
      <c r="G4509" s="4">
        <v>3</v>
      </c>
      <c r="H4509" s="13">
        <v>2</v>
      </c>
      <c r="I4509" s="34">
        <v>1</v>
      </c>
      <c r="J4509" s="35">
        <v>2</v>
      </c>
      <c r="K4509" s="2" t="s">
        <v>9024</v>
      </c>
      <c r="L4509" s="36" t="str">
        <f t="shared" si="75"/>
        <v>Ver Imagen</v>
      </c>
      <c r="M4509" t="s">
        <v>8005</v>
      </c>
    </row>
    <row r="4510" spans="1:13" x14ac:dyDescent="0.25">
      <c r="A4510" s="33">
        <v>4509</v>
      </c>
      <c r="B4510" t="s">
        <v>9025</v>
      </c>
      <c r="C4510" s="1">
        <v>37.284171631299998</v>
      </c>
      <c r="D4510" s="1">
        <v>-7.0373234483599996</v>
      </c>
      <c r="E4510" s="3">
        <v>1</v>
      </c>
      <c r="F4510" s="2">
        <v>2</v>
      </c>
      <c r="G4510" s="4">
        <v>3</v>
      </c>
      <c r="H4510" s="13">
        <v>2</v>
      </c>
      <c r="I4510" s="34">
        <v>1</v>
      </c>
      <c r="J4510" s="35">
        <v>2</v>
      </c>
      <c r="K4510" s="2" t="s">
        <v>9026</v>
      </c>
      <c r="L4510" s="36" t="str">
        <f t="shared" ref="L4510:L4573" si="76">HYPERLINK("NoConsenso\" &amp; K4510, "Ver Imagen")</f>
        <v>Ver Imagen</v>
      </c>
      <c r="M4510" t="s">
        <v>8005</v>
      </c>
    </row>
    <row r="4511" spans="1:13" x14ac:dyDescent="0.25">
      <c r="A4511" s="33">
        <v>4510</v>
      </c>
      <c r="B4511" t="s">
        <v>9027</v>
      </c>
      <c r="C4511" s="1">
        <v>37.284727959400001</v>
      </c>
      <c r="D4511" s="1">
        <v>-7.0395154636999999</v>
      </c>
      <c r="E4511" s="3">
        <v>2</v>
      </c>
      <c r="F4511" s="2">
        <v>2</v>
      </c>
      <c r="G4511" s="4">
        <v>4</v>
      </c>
      <c r="H4511" s="13">
        <v>2</v>
      </c>
      <c r="I4511" s="34">
        <v>1</v>
      </c>
      <c r="J4511" s="35">
        <v>2</v>
      </c>
      <c r="K4511" s="2" t="s">
        <v>9028</v>
      </c>
      <c r="L4511" s="36" t="str">
        <f t="shared" si="76"/>
        <v>Ver Imagen</v>
      </c>
      <c r="M4511" t="s">
        <v>8005</v>
      </c>
    </row>
    <row r="4512" spans="1:13" x14ac:dyDescent="0.25">
      <c r="A4512" s="33">
        <v>4511</v>
      </c>
      <c r="B4512" t="s">
        <v>9029</v>
      </c>
      <c r="C4512" s="1">
        <v>37.285366423699998</v>
      </c>
      <c r="D4512" s="1">
        <v>-7.0407536137899998</v>
      </c>
      <c r="E4512" s="3">
        <v>1</v>
      </c>
      <c r="F4512" s="2">
        <v>2</v>
      </c>
      <c r="G4512" s="4">
        <v>3</v>
      </c>
      <c r="H4512" s="13">
        <v>3</v>
      </c>
      <c r="I4512" s="34">
        <v>2</v>
      </c>
      <c r="J4512" s="35">
        <v>2</v>
      </c>
      <c r="K4512" s="2" t="s">
        <v>9030</v>
      </c>
      <c r="L4512" s="36" t="str">
        <f t="shared" si="76"/>
        <v>Ver Imagen</v>
      </c>
      <c r="M4512" t="s">
        <v>8005</v>
      </c>
    </row>
    <row r="4513" spans="1:13" x14ac:dyDescent="0.25">
      <c r="A4513" s="33">
        <v>4512</v>
      </c>
      <c r="B4513" t="s">
        <v>9031</v>
      </c>
      <c r="C4513" s="1">
        <v>37.286368406199998</v>
      </c>
      <c r="D4513" s="1">
        <v>-7.0416489169799998</v>
      </c>
      <c r="E4513" s="3">
        <v>1</v>
      </c>
      <c r="F4513" s="2">
        <v>2</v>
      </c>
      <c r="G4513" s="4">
        <v>3</v>
      </c>
      <c r="H4513" s="13">
        <v>2</v>
      </c>
      <c r="I4513" s="34">
        <v>2</v>
      </c>
      <c r="J4513" s="35">
        <v>2</v>
      </c>
      <c r="K4513" s="2" t="s">
        <v>9032</v>
      </c>
      <c r="L4513" s="36" t="str">
        <f t="shared" si="76"/>
        <v>Ver Imagen</v>
      </c>
      <c r="M4513" t="s">
        <v>8005</v>
      </c>
    </row>
    <row r="4514" spans="1:13" x14ac:dyDescent="0.25">
      <c r="A4514" s="33">
        <v>4513</v>
      </c>
      <c r="B4514" t="s">
        <v>9033</v>
      </c>
      <c r="C4514" s="1">
        <v>37.288981164399999</v>
      </c>
      <c r="D4514" s="1">
        <v>-7.0434193008200001</v>
      </c>
      <c r="E4514" s="3">
        <v>1</v>
      </c>
      <c r="F4514" s="2">
        <v>3</v>
      </c>
      <c r="G4514" s="4">
        <v>3</v>
      </c>
      <c r="H4514" s="13">
        <v>2</v>
      </c>
      <c r="I4514" s="34">
        <v>1</v>
      </c>
      <c r="J4514" s="35">
        <v>2</v>
      </c>
      <c r="K4514" s="2" t="s">
        <v>9034</v>
      </c>
      <c r="L4514" s="36" t="str">
        <f t="shared" si="76"/>
        <v>Ver Imagen</v>
      </c>
      <c r="M4514" t="s">
        <v>8005</v>
      </c>
    </row>
    <row r="4515" spans="1:13" x14ac:dyDescent="0.25">
      <c r="A4515" s="33">
        <v>4514</v>
      </c>
      <c r="B4515" t="s">
        <v>9035</v>
      </c>
      <c r="C4515" s="1">
        <v>37.289492130299998</v>
      </c>
      <c r="D4515" s="1">
        <v>-7.0442161608699996</v>
      </c>
      <c r="E4515" s="3">
        <v>1</v>
      </c>
      <c r="F4515" s="2">
        <v>2</v>
      </c>
      <c r="G4515" s="4">
        <v>3</v>
      </c>
      <c r="H4515" s="13">
        <v>2</v>
      </c>
      <c r="I4515" s="34">
        <v>1</v>
      </c>
      <c r="J4515" s="35">
        <v>2</v>
      </c>
      <c r="K4515" s="2" t="s">
        <v>9036</v>
      </c>
      <c r="L4515" s="36" t="str">
        <f t="shared" si="76"/>
        <v>Ver Imagen</v>
      </c>
      <c r="M4515" t="s">
        <v>8005</v>
      </c>
    </row>
    <row r="4516" spans="1:13" x14ac:dyDescent="0.25">
      <c r="A4516" s="33">
        <v>4515</v>
      </c>
      <c r="B4516" t="s">
        <v>9037</v>
      </c>
      <c r="C4516" s="1">
        <v>37.289646183099997</v>
      </c>
      <c r="D4516" s="1">
        <v>-7.0444313156299998</v>
      </c>
      <c r="E4516" s="3">
        <v>1</v>
      </c>
      <c r="F4516" s="2">
        <v>1</v>
      </c>
      <c r="G4516" s="4">
        <v>3</v>
      </c>
      <c r="H4516" s="13">
        <v>2</v>
      </c>
      <c r="I4516" s="34">
        <v>2</v>
      </c>
      <c r="J4516" s="35">
        <v>2</v>
      </c>
      <c r="K4516" s="2" t="s">
        <v>9038</v>
      </c>
      <c r="L4516" s="36" t="str">
        <f t="shared" si="76"/>
        <v>Ver Imagen</v>
      </c>
      <c r="M4516" t="s">
        <v>8005</v>
      </c>
    </row>
    <row r="4517" spans="1:13" x14ac:dyDescent="0.25">
      <c r="A4517" s="33">
        <v>4516</v>
      </c>
      <c r="B4517" t="s">
        <v>9039</v>
      </c>
      <c r="C4517" s="1">
        <v>37.290426994000001</v>
      </c>
      <c r="D4517" s="1">
        <v>-7.0451675554099999</v>
      </c>
      <c r="E4517" s="3">
        <v>1</v>
      </c>
      <c r="F4517" s="2">
        <v>2</v>
      </c>
      <c r="G4517" s="4">
        <v>3</v>
      </c>
      <c r="H4517" s="13">
        <v>3</v>
      </c>
      <c r="I4517" s="34">
        <v>2</v>
      </c>
      <c r="J4517" s="35">
        <v>2</v>
      </c>
      <c r="K4517" s="2" t="s">
        <v>9040</v>
      </c>
      <c r="L4517" s="36" t="str">
        <f t="shared" si="76"/>
        <v>Ver Imagen</v>
      </c>
      <c r="M4517" t="s">
        <v>8005</v>
      </c>
    </row>
    <row r="4518" spans="1:13" x14ac:dyDescent="0.25">
      <c r="A4518" s="33">
        <v>4517</v>
      </c>
      <c r="B4518" t="s">
        <v>9041</v>
      </c>
      <c r="C4518" s="1">
        <v>37.290809697500002</v>
      </c>
      <c r="D4518" s="1">
        <v>-7.0453318880799998</v>
      </c>
      <c r="E4518" s="3">
        <v>1</v>
      </c>
      <c r="F4518" s="2">
        <v>2</v>
      </c>
      <c r="G4518" s="4">
        <v>3</v>
      </c>
      <c r="H4518" s="13">
        <v>2</v>
      </c>
      <c r="I4518" s="34">
        <v>1</v>
      </c>
      <c r="J4518" s="35">
        <v>2</v>
      </c>
      <c r="K4518" s="2" t="s">
        <v>9042</v>
      </c>
      <c r="L4518" s="36" t="str">
        <f t="shared" si="76"/>
        <v>Ver Imagen</v>
      </c>
      <c r="M4518" t="s">
        <v>8005</v>
      </c>
    </row>
    <row r="4519" spans="1:13" x14ac:dyDescent="0.25">
      <c r="A4519" s="33">
        <v>4518</v>
      </c>
      <c r="B4519" t="s">
        <v>9043</v>
      </c>
      <c r="C4519" s="1">
        <v>37.290999149100003</v>
      </c>
      <c r="D4519" s="1">
        <v>-7.0453800424699997</v>
      </c>
      <c r="E4519" s="3">
        <v>1</v>
      </c>
      <c r="F4519" s="2">
        <v>2</v>
      </c>
      <c r="G4519" s="4">
        <v>3</v>
      </c>
      <c r="H4519" s="13">
        <v>2</v>
      </c>
      <c r="I4519" s="34">
        <v>1</v>
      </c>
      <c r="J4519" s="35">
        <v>2</v>
      </c>
      <c r="K4519" s="2" t="s">
        <v>9044</v>
      </c>
      <c r="L4519" s="36" t="str">
        <f t="shared" si="76"/>
        <v>Ver Imagen</v>
      </c>
      <c r="M4519" t="s">
        <v>8005</v>
      </c>
    </row>
    <row r="4520" spans="1:13" x14ac:dyDescent="0.25">
      <c r="A4520" s="33">
        <v>4519</v>
      </c>
      <c r="B4520" t="s">
        <v>9045</v>
      </c>
      <c r="C4520" s="1">
        <v>37.291393483</v>
      </c>
      <c r="D4520" s="1">
        <v>-7.0454451147099997</v>
      </c>
      <c r="E4520" s="3">
        <v>1</v>
      </c>
      <c r="F4520" s="2">
        <v>2</v>
      </c>
      <c r="G4520" s="4">
        <v>3</v>
      </c>
      <c r="H4520" s="13">
        <v>3</v>
      </c>
      <c r="I4520" s="34">
        <v>2</v>
      </c>
      <c r="J4520" s="37">
        <v>3</v>
      </c>
      <c r="K4520" s="2" t="s">
        <v>9046</v>
      </c>
      <c r="L4520" s="36" t="str">
        <f t="shared" si="76"/>
        <v>Ver Imagen</v>
      </c>
      <c r="M4520" s="37" t="s">
        <v>8052</v>
      </c>
    </row>
    <row r="4521" spans="1:13" x14ac:dyDescent="0.25">
      <c r="A4521" s="33">
        <v>4520</v>
      </c>
      <c r="B4521" t="s">
        <v>9047</v>
      </c>
      <c r="C4521" s="1">
        <v>37.291583162199998</v>
      </c>
      <c r="D4521" s="1">
        <v>-7.0454714113000003</v>
      </c>
      <c r="E4521" s="3">
        <v>1</v>
      </c>
      <c r="F4521" s="2">
        <v>3</v>
      </c>
      <c r="G4521" s="4">
        <v>2</v>
      </c>
      <c r="H4521" s="13">
        <v>2</v>
      </c>
      <c r="I4521" s="34">
        <v>1</v>
      </c>
      <c r="J4521" s="35">
        <v>2</v>
      </c>
      <c r="K4521" s="2" t="s">
        <v>9048</v>
      </c>
      <c r="L4521" s="36" t="str">
        <f t="shared" si="76"/>
        <v>Ver Imagen</v>
      </c>
      <c r="M4521" t="s">
        <v>8005</v>
      </c>
    </row>
    <row r="4522" spans="1:13" x14ac:dyDescent="0.25">
      <c r="A4522" s="33">
        <v>4521</v>
      </c>
      <c r="B4522" t="s">
        <v>9049</v>
      </c>
      <c r="C4522" s="1">
        <v>37.2917957688</v>
      </c>
      <c r="D4522" s="1">
        <v>-7.0455052102</v>
      </c>
      <c r="E4522" s="3">
        <v>1</v>
      </c>
      <c r="F4522" s="2">
        <v>3</v>
      </c>
      <c r="G4522" s="4">
        <v>3</v>
      </c>
      <c r="H4522" s="13">
        <v>2</v>
      </c>
      <c r="I4522" s="34">
        <v>2</v>
      </c>
      <c r="J4522" s="35">
        <v>2</v>
      </c>
      <c r="K4522" s="2" t="s">
        <v>9050</v>
      </c>
      <c r="L4522" s="36" t="str">
        <f t="shared" si="76"/>
        <v>Ver Imagen</v>
      </c>
      <c r="M4522" t="s">
        <v>8005</v>
      </c>
    </row>
    <row r="4523" spans="1:13" x14ac:dyDescent="0.25">
      <c r="A4523" s="33">
        <v>4522</v>
      </c>
      <c r="B4523" t="s">
        <v>9051</v>
      </c>
      <c r="C4523" s="1">
        <v>37.292020571199998</v>
      </c>
      <c r="D4523" s="1">
        <v>-7.0455505433700001</v>
      </c>
      <c r="E4523" s="3">
        <v>1</v>
      </c>
      <c r="F4523" s="2">
        <v>2</v>
      </c>
      <c r="G4523" s="4">
        <v>3</v>
      </c>
      <c r="H4523" s="13">
        <v>2</v>
      </c>
      <c r="I4523" s="34">
        <v>1</v>
      </c>
      <c r="J4523" s="35">
        <v>2</v>
      </c>
      <c r="K4523" s="2" t="s">
        <v>9052</v>
      </c>
      <c r="L4523" s="36" t="str">
        <f t="shared" si="76"/>
        <v>Ver Imagen</v>
      </c>
      <c r="M4523" t="s">
        <v>8005</v>
      </c>
    </row>
    <row r="4524" spans="1:13" x14ac:dyDescent="0.25">
      <c r="A4524" s="33">
        <v>4523</v>
      </c>
      <c r="B4524" t="s">
        <v>9053</v>
      </c>
      <c r="C4524" s="1">
        <v>37.292229388700001</v>
      </c>
      <c r="D4524" s="1">
        <v>-7.0456065693100003</v>
      </c>
      <c r="E4524" s="3">
        <v>1</v>
      </c>
      <c r="F4524" s="2">
        <v>2</v>
      </c>
      <c r="G4524" s="4">
        <v>3</v>
      </c>
      <c r="H4524" s="13">
        <v>2</v>
      </c>
      <c r="I4524" s="34">
        <v>1</v>
      </c>
      <c r="J4524" s="35">
        <v>2</v>
      </c>
      <c r="K4524" s="2" t="s">
        <v>9054</v>
      </c>
      <c r="L4524" s="36" t="str">
        <f t="shared" si="76"/>
        <v>Ver Imagen</v>
      </c>
      <c r="M4524" t="s">
        <v>8005</v>
      </c>
    </row>
    <row r="4525" spans="1:13" x14ac:dyDescent="0.25">
      <c r="A4525" s="33">
        <v>4524</v>
      </c>
      <c r="B4525" t="s">
        <v>9055</v>
      </c>
      <c r="C4525" s="1">
        <v>37.292414231800002</v>
      </c>
      <c r="D4525" s="1">
        <v>-7.04567380672</v>
      </c>
      <c r="E4525" s="3">
        <v>2</v>
      </c>
      <c r="F4525" s="2">
        <v>2</v>
      </c>
      <c r="G4525" s="4">
        <v>4</v>
      </c>
      <c r="H4525" s="13">
        <v>2</v>
      </c>
      <c r="I4525" s="34">
        <v>2</v>
      </c>
      <c r="J4525" s="35">
        <v>2</v>
      </c>
      <c r="K4525" s="2" t="s">
        <v>9056</v>
      </c>
      <c r="L4525" s="36" t="str">
        <f t="shared" si="76"/>
        <v>Ver Imagen</v>
      </c>
      <c r="M4525" t="s">
        <v>8005</v>
      </c>
    </row>
    <row r="4526" spans="1:13" x14ac:dyDescent="0.25">
      <c r="A4526" s="33">
        <v>4525</v>
      </c>
      <c r="B4526" t="s">
        <v>9057</v>
      </c>
      <c r="C4526" s="1">
        <v>37.2927437815</v>
      </c>
      <c r="D4526" s="1">
        <v>-7.0458486278799999</v>
      </c>
      <c r="E4526" s="3">
        <v>1</v>
      </c>
      <c r="F4526" s="2">
        <v>2</v>
      </c>
      <c r="G4526" s="4">
        <v>3</v>
      </c>
      <c r="H4526" s="13">
        <v>2</v>
      </c>
      <c r="I4526" s="34">
        <v>1</v>
      </c>
      <c r="J4526" s="35">
        <v>2</v>
      </c>
      <c r="K4526" s="2" t="s">
        <v>9058</v>
      </c>
      <c r="L4526" s="36" t="str">
        <f t="shared" si="76"/>
        <v>Ver Imagen</v>
      </c>
      <c r="M4526" t="s">
        <v>8005</v>
      </c>
    </row>
    <row r="4527" spans="1:13" x14ac:dyDescent="0.25">
      <c r="A4527" s="33">
        <v>4526</v>
      </c>
      <c r="B4527" t="s">
        <v>9059</v>
      </c>
      <c r="C4527" s="1">
        <v>37.292938444900003</v>
      </c>
      <c r="D4527" s="1">
        <v>-7.0459918219400004</v>
      </c>
      <c r="E4527" s="3">
        <v>1</v>
      </c>
      <c r="F4527" s="2">
        <v>3</v>
      </c>
      <c r="G4527" s="4">
        <v>3</v>
      </c>
      <c r="H4527" s="13">
        <v>2</v>
      </c>
      <c r="I4527" s="34">
        <v>1</v>
      </c>
      <c r="J4527" s="35">
        <v>2</v>
      </c>
      <c r="K4527" s="2" t="s">
        <v>9060</v>
      </c>
      <c r="L4527" s="36" t="str">
        <f t="shared" si="76"/>
        <v>Ver Imagen</v>
      </c>
      <c r="M4527" t="s">
        <v>8005</v>
      </c>
    </row>
    <row r="4528" spans="1:13" x14ac:dyDescent="0.25">
      <c r="A4528" s="33">
        <v>4527</v>
      </c>
      <c r="B4528" t="s">
        <v>9061</v>
      </c>
      <c r="C4528" s="1">
        <v>37.295077269899998</v>
      </c>
      <c r="D4528" s="1">
        <v>-7.0487204858399997</v>
      </c>
      <c r="E4528" s="3">
        <v>2</v>
      </c>
      <c r="F4528" s="2">
        <v>3</v>
      </c>
      <c r="G4528" s="4">
        <v>4</v>
      </c>
      <c r="H4528" s="13">
        <v>3</v>
      </c>
      <c r="I4528" s="34">
        <v>3</v>
      </c>
      <c r="J4528" s="35">
        <v>3</v>
      </c>
      <c r="K4528" s="2" t="s">
        <v>9062</v>
      </c>
      <c r="L4528" s="36" t="str">
        <f t="shared" si="76"/>
        <v>Ver Imagen</v>
      </c>
      <c r="M4528" t="s">
        <v>8005</v>
      </c>
    </row>
    <row r="4529" spans="1:13" x14ac:dyDescent="0.25">
      <c r="A4529" s="33">
        <v>4528</v>
      </c>
      <c r="B4529" t="s">
        <v>9063</v>
      </c>
      <c r="C4529" s="1">
        <v>37.295204323199997</v>
      </c>
      <c r="D4529" s="1">
        <v>-7.0488766698500003</v>
      </c>
      <c r="E4529" s="3">
        <v>2</v>
      </c>
      <c r="F4529" s="2">
        <v>2</v>
      </c>
      <c r="G4529" s="4">
        <v>4</v>
      </c>
      <c r="H4529" s="13">
        <v>3</v>
      </c>
      <c r="I4529" s="34">
        <v>2</v>
      </c>
      <c r="J4529" s="35">
        <v>2</v>
      </c>
      <c r="K4529" s="2" t="s">
        <v>9064</v>
      </c>
      <c r="L4529" s="36" t="str">
        <f t="shared" si="76"/>
        <v>Ver Imagen</v>
      </c>
      <c r="M4529" t="s">
        <v>8005</v>
      </c>
    </row>
    <row r="4530" spans="1:13" x14ac:dyDescent="0.25">
      <c r="A4530" s="33">
        <v>4529</v>
      </c>
      <c r="B4530" t="s">
        <v>9065</v>
      </c>
      <c r="C4530" s="1">
        <v>37.2965488221</v>
      </c>
      <c r="D4530" s="1">
        <v>-7.0504573180700003</v>
      </c>
      <c r="E4530" s="3">
        <v>1</v>
      </c>
      <c r="F4530" s="2">
        <v>2</v>
      </c>
      <c r="G4530" s="4">
        <v>3</v>
      </c>
      <c r="H4530" s="13">
        <v>2</v>
      </c>
      <c r="I4530" s="34">
        <v>2</v>
      </c>
      <c r="J4530" s="35">
        <v>2</v>
      </c>
      <c r="K4530" s="2" t="s">
        <v>9066</v>
      </c>
      <c r="L4530" s="36" t="str">
        <f t="shared" si="76"/>
        <v>Ver Imagen</v>
      </c>
      <c r="M4530" t="s">
        <v>8005</v>
      </c>
    </row>
    <row r="4531" spans="1:13" x14ac:dyDescent="0.25">
      <c r="A4531" s="33">
        <v>4530</v>
      </c>
      <c r="B4531" t="s">
        <v>9067</v>
      </c>
      <c r="C4531" s="1">
        <v>37.2972310384</v>
      </c>
      <c r="D4531" s="1">
        <v>-7.0519772061300001</v>
      </c>
      <c r="E4531" s="3">
        <v>1</v>
      </c>
      <c r="F4531" s="2">
        <v>3</v>
      </c>
      <c r="G4531" s="4">
        <v>3</v>
      </c>
      <c r="H4531" s="13">
        <v>2</v>
      </c>
      <c r="I4531" s="34">
        <v>1</v>
      </c>
      <c r="J4531" s="35">
        <v>2</v>
      </c>
      <c r="K4531" s="2" t="s">
        <v>9068</v>
      </c>
      <c r="L4531" s="36" t="str">
        <f t="shared" si="76"/>
        <v>Ver Imagen</v>
      </c>
      <c r="M4531" t="s">
        <v>8005</v>
      </c>
    </row>
    <row r="4532" spans="1:13" x14ac:dyDescent="0.25">
      <c r="A4532" s="33">
        <v>4531</v>
      </c>
      <c r="B4532" t="s">
        <v>9069</v>
      </c>
      <c r="C4532" s="1">
        <v>37.297484930000003</v>
      </c>
      <c r="D4532" s="1">
        <v>-7.0527162171700004</v>
      </c>
      <c r="E4532" s="3">
        <v>1</v>
      </c>
      <c r="F4532" s="2">
        <v>1</v>
      </c>
      <c r="G4532" s="4">
        <v>3</v>
      </c>
      <c r="H4532" s="13">
        <v>2</v>
      </c>
      <c r="I4532" s="34">
        <v>1</v>
      </c>
      <c r="J4532" s="35">
        <v>1</v>
      </c>
      <c r="K4532" s="2" t="s">
        <v>9070</v>
      </c>
      <c r="L4532" s="36" t="str">
        <f t="shared" si="76"/>
        <v>Ver Imagen</v>
      </c>
      <c r="M4532" t="s">
        <v>8005</v>
      </c>
    </row>
    <row r="4533" spans="1:13" x14ac:dyDescent="0.25">
      <c r="A4533" s="33">
        <v>4532</v>
      </c>
      <c r="B4533" t="s">
        <v>9071</v>
      </c>
      <c r="C4533" s="1">
        <v>37.298109839200002</v>
      </c>
      <c r="D4533" s="1">
        <v>-7.0536696979700002</v>
      </c>
      <c r="E4533" s="3">
        <v>1</v>
      </c>
      <c r="F4533" s="2">
        <v>3</v>
      </c>
      <c r="G4533" s="4">
        <v>3</v>
      </c>
      <c r="H4533" s="13">
        <v>2</v>
      </c>
      <c r="I4533" s="34">
        <v>1</v>
      </c>
      <c r="J4533" s="35">
        <v>2</v>
      </c>
      <c r="K4533" s="2" t="s">
        <v>9072</v>
      </c>
      <c r="L4533" s="36" t="str">
        <f t="shared" si="76"/>
        <v>Ver Imagen</v>
      </c>
      <c r="M4533" t="s">
        <v>8005</v>
      </c>
    </row>
    <row r="4534" spans="1:13" x14ac:dyDescent="0.25">
      <c r="A4534" s="33">
        <v>4533</v>
      </c>
      <c r="B4534" t="s">
        <v>9073</v>
      </c>
      <c r="C4534" s="1">
        <v>37.298287941200002</v>
      </c>
      <c r="D4534" s="1">
        <v>-7.05382536757</v>
      </c>
      <c r="E4534" s="3">
        <v>1</v>
      </c>
      <c r="F4534" s="2">
        <v>2</v>
      </c>
      <c r="G4534" s="4">
        <v>3</v>
      </c>
      <c r="H4534" s="13">
        <v>2</v>
      </c>
      <c r="I4534" s="34">
        <v>1</v>
      </c>
      <c r="J4534" s="35">
        <v>2</v>
      </c>
      <c r="K4534" s="2" t="s">
        <v>9074</v>
      </c>
      <c r="L4534" s="36" t="str">
        <f t="shared" si="76"/>
        <v>Ver Imagen</v>
      </c>
      <c r="M4534" t="s">
        <v>8005</v>
      </c>
    </row>
    <row r="4535" spans="1:13" x14ac:dyDescent="0.25">
      <c r="A4535" s="33">
        <v>4534</v>
      </c>
      <c r="B4535" t="s">
        <v>9075</v>
      </c>
      <c r="C4535" s="1">
        <v>37.298629755599997</v>
      </c>
      <c r="D4535" s="1">
        <v>-7.0540672950900003</v>
      </c>
      <c r="E4535" s="3">
        <v>1</v>
      </c>
      <c r="F4535" s="2">
        <v>2</v>
      </c>
      <c r="G4535" s="4">
        <v>3</v>
      </c>
      <c r="H4535" s="13">
        <v>2</v>
      </c>
      <c r="I4535" s="34">
        <v>1</v>
      </c>
      <c r="J4535" s="35">
        <v>2</v>
      </c>
      <c r="K4535" s="2" t="s">
        <v>9076</v>
      </c>
      <c r="L4535" s="36" t="str">
        <f t="shared" si="76"/>
        <v>Ver Imagen</v>
      </c>
      <c r="M4535" t="s">
        <v>8005</v>
      </c>
    </row>
    <row r="4536" spans="1:13" x14ac:dyDescent="0.25">
      <c r="A4536" s="33">
        <v>4535</v>
      </c>
      <c r="B4536" t="s">
        <v>9077</v>
      </c>
      <c r="C4536" s="1">
        <v>37.299153603599997</v>
      </c>
      <c r="D4536" s="1">
        <v>-7.0543928903199999</v>
      </c>
      <c r="E4536" s="3">
        <v>1</v>
      </c>
      <c r="F4536" s="2">
        <v>2</v>
      </c>
      <c r="G4536" s="4">
        <v>3</v>
      </c>
      <c r="H4536" s="13">
        <v>2</v>
      </c>
      <c r="I4536" s="34">
        <v>1</v>
      </c>
      <c r="J4536" s="35">
        <v>2</v>
      </c>
      <c r="K4536" s="2" t="s">
        <v>9078</v>
      </c>
      <c r="L4536" s="36" t="str">
        <f t="shared" si="76"/>
        <v>Ver Imagen</v>
      </c>
      <c r="M4536" t="s">
        <v>8005</v>
      </c>
    </row>
    <row r="4537" spans="1:13" x14ac:dyDescent="0.25">
      <c r="A4537" s="33">
        <v>4536</v>
      </c>
      <c r="B4537" t="s">
        <v>9079</v>
      </c>
      <c r="C4537" s="1">
        <v>37.306923176200002</v>
      </c>
      <c r="D4537" s="1">
        <v>-7.0568669317900001</v>
      </c>
      <c r="E4537" s="3">
        <v>1</v>
      </c>
      <c r="F4537" s="2">
        <v>2</v>
      </c>
      <c r="G4537" s="4">
        <v>3</v>
      </c>
      <c r="H4537" s="13">
        <v>1</v>
      </c>
      <c r="I4537" s="34">
        <v>1</v>
      </c>
      <c r="J4537" s="35">
        <v>1</v>
      </c>
      <c r="K4537" s="2" t="s">
        <v>9080</v>
      </c>
      <c r="L4537" s="36" t="str">
        <f t="shared" si="76"/>
        <v>Ver Imagen</v>
      </c>
      <c r="M4537" t="s">
        <v>8005</v>
      </c>
    </row>
    <row r="4538" spans="1:13" x14ac:dyDescent="0.25">
      <c r="A4538" s="33">
        <v>4537</v>
      </c>
      <c r="B4538" t="s">
        <v>9081</v>
      </c>
      <c r="C4538" s="1">
        <v>37.310446097400003</v>
      </c>
      <c r="D4538" s="1">
        <v>-7.05861310468</v>
      </c>
      <c r="E4538" s="3">
        <v>1</v>
      </c>
      <c r="F4538" s="2">
        <v>2</v>
      </c>
      <c r="G4538" s="4">
        <v>3</v>
      </c>
      <c r="H4538" s="13">
        <v>1</v>
      </c>
      <c r="I4538" s="34">
        <v>1</v>
      </c>
      <c r="J4538" s="35">
        <v>1</v>
      </c>
      <c r="K4538" s="2" t="s">
        <v>9082</v>
      </c>
      <c r="L4538" s="36" t="str">
        <f t="shared" si="76"/>
        <v>Ver Imagen</v>
      </c>
      <c r="M4538" t="s">
        <v>8005</v>
      </c>
    </row>
    <row r="4539" spans="1:13" x14ac:dyDescent="0.25">
      <c r="A4539" s="33">
        <v>4538</v>
      </c>
      <c r="B4539" t="s">
        <v>9083</v>
      </c>
      <c r="C4539" s="1">
        <v>37.311122973099998</v>
      </c>
      <c r="D4539" s="1">
        <v>-7.0591903348300002</v>
      </c>
      <c r="E4539" s="3">
        <v>1</v>
      </c>
      <c r="F4539" s="2">
        <v>2</v>
      </c>
      <c r="G4539" s="4">
        <v>3</v>
      </c>
      <c r="H4539" s="13">
        <v>1</v>
      </c>
      <c r="I4539" s="34">
        <v>2</v>
      </c>
      <c r="J4539" s="37">
        <v>1</v>
      </c>
      <c r="K4539" s="2" t="s">
        <v>9084</v>
      </c>
      <c r="L4539" s="36" t="str">
        <f t="shared" si="76"/>
        <v>Ver Imagen</v>
      </c>
      <c r="M4539" s="37" t="s">
        <v>8052</v>
      </c>
    </row>
    <row r="4540" spans="1:13" x14ac:dyDescent="0.25">
      <c r="A4540" s="33">
        <v>4539</v>
      </c>
      <c r="B4540" t="s">
        <v>9085</v>
      </c>
      <c r="C4540" s="1">
        <v>37.312416345300001</v>
      </c>
      <c r="D4540" s="1">
        <v>-7.0608249295999999</v>
      </c>
      <c r="E4540" s="3">
        <v>1</v>
      </c>
      <c r="F4540" s="2">
        <v>2</v>
      </c>
      <c r="G4540" s="4">
        <v>3</v>
      </c>
      <c r="H4540" s="13">
        <v>1</v>
      </c>
      <c r="I4540" s="34">
        <v>1</v>
      </c>
      <c r="J4540" s="35">
        <v>1</v>
      </c>
      <c r="K4540" s="2" t="s">
        <v>9086</v>
      </c>
      <c r="L4540" s="36" t="str">
        <f t="shared" si="76"/>
        <v>Ver Imagen</v>
      </c>
      <c r="M4540" t="s">
        <v>8005</v>
      </c>
    </row>
    <row r="4541" spans="1:13" x14ac:dyDescent="0.25">
      <c r="A4541" s="33">
        <v>4540</v>
      </c>
      <c r="B4541" t="s">
        <v>9087</v>
      </c>
      <c r="C4541" s="1">
        <v>37.313604726800001</v>
      </c>
      <c r="D4541" s="1">
        <v>-7.0628514658999997</v>
      </c>
      <c r="E4541" s="3">
        <v>2</v>
      </c>
      <c r="F4541" s="2">
        <v>4</v>
      </c>
      <c r="G4541" s="4">
        <v>3</v>
      </c>
      <c r="H4541" s="13">
        <v>3</v>
      </c>
      <c r="I4541" s="34">
        <v>2</v>
      </c>
      <c r="J4541" s="35">
        <v>3</v>
      </c>
      <c r="K4541" s="2" t="s">
        <v>9088</v>
      </c>
      <c r="L4541" s="36" t="str">
        <f t="shared" si="76"/>
        <v>Ver Imagen</v>
      </c>
      <c r="M4541" t="s">
        <v>8005</v>
      </c>
    </row>
    <row r="4542" spans="1:13" x14ac:dyDescent="0.25">
      <c r="A4542" s="33">
        <v>4541</v>
      </c>
      <c r="B4542" t="s">
        <v>9089</v>
      </c>
      <c r="C4542" s="1">
        <v>37.313717486400002</v>
      </c>
      <c r="D4542" s="1">
        <v>-7.0630632784499996</v>
      </c>
      <c r="E4542" s="3">
        <v>2</v>
      </c>
      <c r="F4542" s="2">
        <v>2</v>
      </c>
      <c r="G4542" s="4">
        <v>4</v>
      </c>
      <c r="H4542" s="13">
        <v>2</v>
      </c>
      <c r="I4542" s="34">
        <v>1</v>
      </c>
      <c r="J4542" s="35">
        <v>2</v>
      </c>
      <c r="K4542" s="2" t="s">
        <v>9090</v>
      </c>
      <c r="L4542" s="36" t="str">
        <f t="shared" si="76"/>
        <v>Ver Imagen</v>
      </c>
      <c r="M4542" t="s">
        <v>8005</v>
      </c>
    </row>
    <row r="4543" spans="1:13" x14ac:dyDescent="0.25">
      <c r="A4543" s="33">
        <v>4542</v>
      </c>
      <c r="B4543" t="s">
        <v>9091</v>
      </c>
      <c r="C4543" s="1">
        <v>37.315585241500003</v>
      </c>
      <c r="D4543" s="1">
        <v>-7.0677641637499997</v>
      </c>
      <c r="E4543" s="3">
        <v>2</v>
      </c>
      <c r="F4543" s="2">
        <v>4</v>
      </c>
      <c r="G4543" s="4">
        <v>4</v>
      </c>
      <c r="H4543" s="13">
        <v>3</v>
      </c>
      <c r="I4543" s="34">
        <v>3</v>
      </c>
      <c r="J4543" s="35">
        <v>3</v>
      </c>
      <c r="K4543" s="2" t="s">
        <v>9092</v>
      </c>
      <c r="L4543" s="36" t="str">
        <f t="shared" si="76"/>
        <v>Ver Imagen</v>
      </c>
      <c r="M4543" t="s">
        <v>8005</v>
      </c>
    </row>
    <row r="4544" spans="1:13" x14ac:dyDescent="0.25">
      <c r="A4544" s="33">
        <v>4543</v>
      </c>
      <c r="B4544" t="s">
        <v>9093</v>
      </c>
      <c r="C4544" s="1">
        <v>37.315801605200001</v>
      </c>
      <c r="D4544" s="1">
        <v>-7.0684868284000002</v>
      </c>
      <c r="E4544" s="3">
        <v>2</v>
      </c>
      <c r="F4544" s="2">
        <v>3</v>
      </c>
      <c r="G4544" s="4">
        <v>4</v>
      </c>
      <c r="H4544" s="13">
        <v>3</v>
      </c>
      <c r="I4544" s="34">
        <v>3</v>
      </c>
      <c r="J4544" s="35">
        <v>3</v>
      </c>
      <c r="K4544" s="2" t="s">
        <v>9094</v>
      </c>
      <c r="L4544" s="36" t="str">
        <f t="shared" si="76"/>
        <v>Ver Imagen</v>
      </c>
      <c r="M4544" t="s">
        <v>8005</v>
      </c>
    </row>
    <row r="4545" spans="1:13" x14ac:dyDescent="0.25">
      <c r="A4545" s="33">
        <v>4544</v>
      </c>
      <c r="B4545" t="s">
        <v>9095</v>
      </c>
      <c r="C4545" s="1">
        <v>37.316754473300001</v>
      </c>
      <c r="D4545" s="1">
        <v>-7.0703947727200003</v>
      </c>
      <c r="E4545" s="3">
        <v>3</v>
      </c>
      <c r="F4545" s="2">
        <v>2</v>
      </c>
      <c r="G4545" s="4">
        <v>4</v>
      </c>
      <c r="H4545" s="13">
        <v>2</v>
      </c>
      <c r="I4545" s="34">
        <v>2</v>
      </c>
      <c r="J4545" s="35">
        <v>2</v>
      </c>
      <c r="K4545" s="2" t="s">
        <v>9096</v>
      </c>
      <c r="L4545" s="36" t="str">
        <f t="shared" si="76"/>
        <v>Ver Imagen</v>
      </c>
      <c r="M4545" t="s">
        <v>8005</v>
      </c>
    </row>
    <row r="4546" spans="1:13" x14ac:dyDescent="0.25">
      <c r="A4546" s="33">
        <v>4545</v>
      </c>
      <c r="B4546" t="s">
        <v>9097</v>
      </c>
      <c r="C4546" s="1">
        <v>37.317224410199998</v>
      </c>
      <c r="D4546" s="1">
        <v>-7.0708701684399999</v>
      </c>
      <c r="E4546" s="3">
        <v>3</v>
      </c>
      <c r="F4546" s="2">
        <v>2</v>
      </c>
      <c r="G4546" s="4">
        <v>4</v>
      </c>
      <c r="H4546" s="13">
        <v>2</v>
      </c>
      <c r="I4546" s="34">
        <v>3</v>
      </c>
      <c r="J4546" s="35">
        <v>3</v>
      </c>
      <c r="K4546" s="2" t="s">
        <v>9098</v>
      </c>
      <c r="L4546" s="36" t="str">
        <f t="shared" si="76"/>
        <v>Ver Imagen</v>
      </c>
      <c r="M4546" t="s">
        <v>8005</v>
      </c>
    </row>
    <row r="4547" spans="1:13" x14ac:dyDescent="0.25">
      <c r="A4547" s="33">
        <v>4546</v>
      </c>
      <c r="B4547" t="s">
        <v>9099</v>
      </c>
      <c r="C4547" s="1">
        <v>37.3179807243</v>
      </c>
      <c r="D4547" s="1">
        <v>-7.0712368937900001</v>
      </c>
      <c r="E4547" s="3">
        <v>2</v>
      </c>
      <c r="F4547" s="2">
        <v>3</v>
      </c>
      <c r="G4547" s="4">
        <v>4</v>
      </c>
      <c r="H4547" s="13">
        <v>3</v>
      </c>
      <c r="I4547" s="34">
        <v>2</v>
      </c>
      <c r="J4547" s="35">
        <v>3</v>
      </c>
      <c r="K4547" s="2" t="s">
        <v>9100</v>
      </c>
      <c r="L4547" s="36" t="str">
        <f t="shared" si="76"/>
        <v>Ver Imagen</v>
      </c>
      <c r="M4547" t="s">
        <v>8005</v>
      </c>
    </row>
    <row r="4548" spans="1:13" x14ac:dyDescent="0.25">
      <c r="A4548" s="33">
        <v>4547</v>
      </c>
      <c r="B4548" t="s">
        <v>9101</v>
      </c>
      <c r="C4548" s="1">
        <v>37.4577202957</v>
      </c>
      <c r="D4548" s="1">
        <v>-7.1141734009300004</v>
      </c>
      <c r="E4548" s="3">
        <v>3</v>
      </c>
      <c r="F4548" s="2">
        <v>4</v>
      </c>
      <c r="G4548" s="4">
        <v>5</v>
      </c>
      <c r="H4548" s="13">
        <v>5</v>
      </c>
      <c r="I4548" s="34">
        <v>4</v>
      </c>
      <c r="J4548" s="35">
        <v>4</v>
      </c>
      <c r="K4548" s="2" t="s">
        <v>9102</v>
      </c>
      <c r="L4548" s="36" t="str">
        <f t="shared" si="76"/>
        <v>Ver Imagen</v>
      </c>
      <c r="M4548" t="s">
        <v>8005</v>
      </c>
    </row>
    <row r="4549" spans="1:13" x14ac:dyDescent="0.25">
      <c r="A4549" s="33">
        <v>4548</v>
      </c>
      <c r="B4549" t="s">
        <v>9103</v>
      </c>
      <c r="C4549" s="1">
        <v>37.457372899399999</v>
      </c>
      <c r="D4549" s="1">
        <v>-7.1140452463099999</v>
      </c>
      <c r="E4549" s="3">
        <v>3</v>
      </c>
      <c r="F4549" s="2">
        <v>5</v>
      </c>
      <c r="G4549" s="4">
        <v>4</v>
      </c>
      <c r="H4549" s="13">
        <v>5</v>
      </c>
      <c r="I4549" s="34">
        <v>5</v>
      </c>
      <c r="J4549" s="35">
        <v>5</v>
      </c>
      <c r="K4549" s="2" t="s">
        <v>9104</v>
      </c>
      <c r="L4549" s="36" t="str">
        <f t="shared" si="76"/>
        <v>Ver Imagen</v>
      </c>
      <c r="M4549" t="s">
        <v>8005</v>
      </c>
    </row>
    <row r="4550" spans="1:13" x14ac:dyDescent="0.25">
      <c r="A4550" s="33">
        <v>4549</v>
      </c>
      <c r="B4550" t="s">
        <v>9105</v>
      </c>
      <c r="C4550" s="1">
        <v>37.451873172799999</v>
      </c>
      <c r="D4550" s="1">
        <v>-7.11145028374</v>
      </c>
      <c r="E4550" s="3">
        <v>3</v>
      </c>
      <c r="F4550" s="2">
        <v>5</v>
      </c>
      <c r="G4550" s="4">
        <v>4</v>
      </c>
      <c r="H4550" s="13">
        <v>4</v>
      </c>
      <c r="I4550" s="34">
        <v>4</v>
      </c>
      <c r="J4550" s="35">
        <v>4</v>
      </c>
      <c r="K4550" s="2" t="s">
        <v>9106</v>
      </c>
      <c r="L4550" s="36" t="str">
        <f t="shared" si="76"/>
        <v>Ver Imagen</v>
      </c>
      <c r="M4550" t="s">
        <v>8005</v>
      </c>
    </row>
    <row r="4551" spans="1:13" x14ac:dyDescent="0.25">
      <c r="A4551" s="33">
        <v>4550</v>
      </c>
      <c r="B4551" t="s">
        <v>9107</v>
      </c>
      <c r="C4551" s="1">
        <v>37.451131752999999</v>
      </c>
      <c r="D4551" s="1">
        <v>-7.1109211430999997</v>
      </c>
      <c r="E4551" s="3">
        <v>3</v>
      </c>
      <c r="F4551" s="2">
        <v>5</v>
      </c>
      <c r="G4551" s="4">
        <v>4</v>
      </c>
      <c r="H4551" s="13">
        <v>5</v>
      </c>
      <c r="I4551" s="34">
        <v>4</v>
      </c>
      <c r="J4551" s="37">
        <v>5</v>
      </c>
      <c r="K4551" s="2" t="s">
        <v>9108</v>
      </c>
      <c r="L4551" s="36" t="str">
        <f t="shared" si="76"/>
        <v>Ver Imagen</v>
      </c>
      <c r="M4551" s="37" t="s">
        <v>8052</v>
      </c>
    </row>
    <row r="4552" spans="1:13" x14ac:dyDescent="0.25">
      <c r="A4552" s="33">
        <v>4551</v>
      </c>
      <c r="B4552" t="s">
        <v>9109</v>
      </c>
      <c r="C4552" s="1">
        <v>37.448886666299998</v>
      </c>
      <c r="D4552" s="1">
        <v>-7.10981227104</v>
      </c>
      <c r="E4552" s="3">
        <v>1</v>
      </c>
      <c r="F4552" s="2">
        <v>3</v>
      </c>
      <c r="G4552" s="4">
        <v>3</v>
      </c>
      <c r="H4552" s="13">
        <v>2</v>
      </c>
      <c r="I4552" s="34">
        <v>2</v>
      </c>
      <c r="J4552" s="35">
        <v>2</v>
      </c>
      <c r="K4552" s="2" t="s">
        <v>9110</v>
      </c>
      <c r="L4552" s="36" t="str">
        <f t="shared" si="76"/>
        <v>Ver Imagen</v>
      </c>
      <c r="M4552" t="s">
        <v>8005</v>
      </c>
    </row>
    <row r="4553" spans="1:13" x14ac:dyDescent="0.25">
      <c r="A4553" s="33">
        <v>4552</v>
      </c>
      <c r="B4553" t="s">
        <v>9111</v>
      </c>
      <c r="C4553" s="1">
        <v>37.4481697047</v>
      </c>
      <c r="D4553" s="1">
        <v>-7.1094150015200004</v>
      </c>
      <c r="E4553" s="3">
        <v>2</v>
      </c>
      <c r="F4553" s="2">
        <v>3</v>
      </c>
      <c r="G4553" s="4">
        <v>4</v>
      </c>
      <c r="H4553" s="13">
        <v>3</v>
      </c>
      <c r="I4553" s="34">
        <v>3</v>
      </c>
      <c r="J4553" s="35">
        <v>3</v>
      </c>
      <c r="K4553" s="2" t="s">
        <v>9112</v>
      </c>
      <c r="L4553" s="36" t="str">
        <f t="shared" si="76"/>
        <v>Ver Imagen</v>
      </c>
      <c r="M4553" t="s">
        <v>8005</v>
      </c>
    </row>
    <row r="4554" spans="1:13" x14ac:dyDescent="0.25">
      <c r="A4554" s="33">
        <v>4553</v>
      </c>
      <c r="B4554" t="s">
        <v>9113</v>
      </c>
      <c r="C4554" s="1">
        <v>37.269553490500002</v>
      </c>
      <c r="D4554" s="1">
        <v>-6.9779051680700004</v>
      </c>
      <c r="E4554" s="3">
        <v>2</v>
      </c>
      <c r="F4554" s="2">
        <v>3</v>
      </c>
      <c r="G4554" s="4">
        <v>4</v>
      </c>
      <c r="H4554" s="13">
        <v>3</v>
      </c>
      <c r="I4554" s="34">
        <v>4</v>
      </c>
      <c r="J4554" s="35">
        <v>3</v>
      </c>
      <c r="K4554" s="2" t="s">
        <v>9114</v>
      </c>
      <c r="L4554" s="36" t="str">
        <f t="shared" si="76"/>
        <v>Ver Imagen</v>
      </c>
      <c r="M4554" t="s">
        <v>8005</v>
      </c>
    </row>
    <row r="4555" spans="1:13" x14ac:dyDescent="0.25">
      <c r="A4555" s="33">
        <v>4554</v>
      </c>
      <c r="B4555" t="s">
        <v>9115</v>
      </c>
      <c r="C4555" s="1">
        <v>37.269500022300001</v>
      </c>
      <c r="D4555" s="1">
        <v>-6.9777197710700003</v>
      </c>
      <c r="E4555" s="3">
        <v>3</v>
      </c>
      <c r="F4555" s="2">
        <v>4</v>
      </c>
      <c r="G4555" s="4">
        <v>5</v>
      </c>
      <c r="H4555" s="13">
        <v>3</v>
      </c>
      <c r="I4555" s="34">
        <v>4</v>
      </c>
      <c r="J4555" s="35">
        <v>4</v>
      </c>
      <c r="K4555" s="2" t="s">
        <v>9116</v>
      </c>
      <c r="L4555" s="36" t="str">
        <f t="shared" si="76"/>
        <v>Ver Imagen</v>
      </c>
      <c r="M4555" t="s">
        <v>8005</v>
      </c>
    </row>
    <row r="4556" spans="1:13" x14ac:dyDescent="0.25">
      <c r="A4556" s="33">
        <v>4555</v>
      </c>
      <c r="B4556" t="s">
        <v>9117</v>
      </c>
      <c r="C4556" s="1">
        <v>37.269282551099998</v>
      </c>
      <c r="D4556" s="1">
        <v>-6.97694645269</v>
      </c>
      <c r="E4556" s="3">
        <v>3</v>
      </c>
      <c r="F4556" s="2">
        <v>4</v>
      </c>
      <c r="G4556" s="4">
        <v>5</v>
      </c>
      <c r="H4556" s="13">
        <v>3</v>
      </c>
      <c r="I4556" s="34">
        <v>4</v>
      </c>
      <c r="J4556" s="35">
        <v>4</v>
      </c>
      <c r="K4556" s="2" t="s">
        <v>9118</v>
      </c>
      <c r="L4556" s="36" t="str">
        <f t="shared" si="76"/>
        <v>Ver Imagen</v>
      </c>
      <c r="M4556" t="s">
        <v>8005</v>
      </c>
    </row>
    <row r="4557" spans="1:13" x14ac:dyDescent="0.25">
      <c r="A4557" s="33">
        <v>4556</v>
      </c>
      <c r="B4557" t="s">
        <v>9119</v>
      </c>
      <c r="C4557" s="1">
        <v>37.2692177351</v>
      </c>
      <c r="D4557" s="1">
        <v>-6.9767126673100002</v>
      </c>
      <c r="E4557" s="3">
        <v>3</v>
      </c>
      <c r="F4557" s="2">
        <v>4</v>
      </c>
      <c r="G4557" s="4">
        <v>5</v>
      </c>
      <c r="H4557" s="13">
        <v>3</v>
      </c>
      <c r="I4557" s="34">
        <v>4</v>
      </c>
      <c r="J4557" s="35">
        <v>4</v>
      </c>
      <c r="K4557" s="2" t="s">
        <v>9120</v>
      </c>
      <c r="L4557" s="36" t="str">
        <f t="shared" si="76"/>
        <v>Ver Imagen</v>
      </c>
      <c r="M4557" t="s">
        <v>8005</v>
      </c>
    </row>
    <row r="4558" spans="1:13" x14ac:dyDescent="0.25">
      <c r="A4558" s="33">
        <v>4557</v>
      </c>
      <c r="B4558" t="s">
        <v>9121</v>
      </c>
      <c r="C4558" s="1">
        <v>37.269153308600004</v>
      </c>
      <c r="D4558" s="1">
        <v>-6.9764762716200002</v>
      </c>
      <c r="E4558" s="3">
        <v>3</v>
      </c>
      <c r="F4558" s="2">
        <v>4</v>
      </c>
      <c r="G4558" s="4">
        <v>5</v>
      </c>
      <c r="H4558" s="13">
        <v>3</v>
      </c>
      <c r="I4558" s="34">
        <v>4</v>
      </c>
      <c r="J4558" s="35">
        <v>4</v>
      </c>
      <c r="K4558" s="2" t="s">
        <v>9122</v>
      </c>
      <c r="L4558" s="36" t="str">
        <f t="shared" si="76"/>
        <v>Ver Imagen</v>
      </c>
      <c r="M4558" t="s">
        <v>8005</v>
      </c>
    </row>
    <row r="4559" spans="1:13" x14ac:dyDescent="0.25">
      <c r="A4559" s="33">
        <v>4558</v>
      </c>
      <c r="B4559" t="s">
        <v>9123</v>
      </c>
      <c r="C4559" s="1">
        <v>37.268853174299998</v>
      </c>
      <c r="D4559" s="1">
        <v>-6.9752865460200004</v>
      </c>
      <c r="E4559" s="3">
        <v>3</v>
      </c>
      <c r="F4559" s="2">
        <v>3</v>
      </c>
      <c r="G4559" s="4">
        <v>5</v>
      </c>
      <c r="H4559" s="13">
        <v>3</v>
      </c>
      <c r="I4559" s="34">
        <v>4</v>
      </c>
      <c r="J4559" s="35">
        <v>3</v>
      </c>
      <c r="K4559" s="2" t="s">
        <v>9124</v>
      </c>
      <c r="L4559" s="36" t="str">
        <f t="shared" si="76"/>
        <v>Ver Imagen</v>
      </c>
      <c r="M4559" t="s">
        <v>8005</v>
      </c>
    </row>
    <row r="4560" spans="1:13" x14ac:dyDescent="0.25">
      <c r="A4560" s="33">
        <v>4559</v>
      </c>
      <c r="B4560" t="s">
        <v>9125</v>
      </c>
      <c r="C4560" s="1">
        <v>37.268573477499999</v>
      </c>
      <c r="D4560" s="1">
        <v>-6.9740411502699997</v>
      </c>
      <c r="E4560" s="3">
        <v>2</v>
      </c>
      <c r="F4560" s="2">
        <v>4</v>
      </c>
      <c r="G4560" s="4">
        <v>4</v>
      </c>
      <c r="H4560" s="13">
        <v>3</v>
      </c>
      <c r="I4560" s="34">
        <v>3</v>
      </c>
      <c r="J4560" s="35">
        <v>3</v>
      </c>
      <c r="K4560" s="2" t="s">
        <v>9126</v>
      </c>
      <c r="L4560" s="36" t="str">
        <f t="shared" si="76"/>
        <v>Ver Imagen</v>
      </c>
      <c r="M4560" t="s">
        <v>8005</v>
      </c>
    </row>
    <row r="4561" spans="1:13" x14ac:dyDescent="0.25">
      <c r="A4561" s="33">
        <v>4560</v>
      </c>
      <c r="B4561" t="s">
        <v>9127</v>
      </c>
      <c r="C4561" s="1">
        <v>37.268287598900002</v>
      </c>
      <c r="D4561" s="1">
        <v>-6.9725889455000001</v>
      </c>
      <c r="E4561" s="3">
        <v>3</v>
      </c>
      <c r="F4561" s="2">
        <v>4</v>
      </c>
      <c r="G4561" s="4">
        <v>2</v>
      </c>
      <c r="H4561" s="13">
        <v>3</v>
      </c>
      <c r="I4561" s="34">
        <v>4</v>
      </c>
      <c r="J4561" s="35">
        <v>3</v>
      </c>
      <c r="K4561" s="2" t="s">
        <v>9128</v>
      </c>
      <c r="L4561" s="36" t="str">
        <f t="shared" si="76"/>
        <v>Ver Imagen</v>
      </c>
      <c r="M4561" t="s">
        <v>8005</v>
      </c>
    </row>
    <row r="4562" spans="1:13" x14ac:dyDescent="0.25">
      <c r="A4562" s="33">
        <v>4561</v>
      </c>
      <c r="B4562" t="s">
        <v>9129</v>
      </c>
      <c r="C4562" s="1">
        <v>37.268008813000002</v>
      </c>
      <c r="D4562" s="1">
        <v>-6.9708497676699999</v>
      </c>
      <c r="E4562" s="3">
        <v>2</v>
      </c>
      <c r="F4562" s="2">
        <v>4</v>
      </c>
      <c r="G4562" s="4">
        <v>3</v>
      </c>
      <c r="H4562" s="13">
        <v>3</v>
      </c>
      <c r="I4562" s="34">
        <v>4</v>
      </c>
      <c r="J4562" s="35">
        <v>3</v>
      </c>
      <c r="K4562" s="2" t="s">
        <v>9130</v>
      </c>
      <c r="L4562" s="36" t="str">
        <f t="shared" si="76"/>
        <v>Ver Imagen</v>
      </c>
      <c r="M4562" t="s">
        <v>8005</v>
      </c>
    </row>
    <row r="4563" spans="1:13" x14ac:dyDescent="0.25">
      <c r="A4563" s="33">
        <v>4562</v>
      </c>
      <c r="B4563" t="s">
        <v>9131</v>
      </c>
      <c r="C4563" s="1">
        <v>37.267974051700001</v>
      </c>
      <c r="D4563" s="1">
        <v>-6.97060516232</v>
      </c>
      <c r="E4563" s="3">
        <v>2</v>
      </c>
      <c r="F4563" s="2">
        <v>4</v>
      </c>
      <c r="G4563" s="4">
        <v>3</v>
      </c>
      <c r="H4563" s="13">
        <v>3</v>
      </c>
      <c r="I4563" s="34">
        <v>4</v>
      </c>
      <c r="J4563" s="35">
        <v>3</v>
      </c>
      <c r="K4563" s="2" t="s">
        <v>9132</v>
      </c>
      <c r="L4563" s="36" t="str">
        <f t="shared" si="76"/>
        <v>Ver Imagen</v>
      </c>
      <c r="M4563" t="s">
        <v>8005</v>
      </c>
    </row>
    <row r="4564" spans="1:13" x14ac:dyDescent="0.25">
      <c r="A4564" s="33">
        <v>4563</v>
      </c>
      <c r="B4564" t="s">
        <v>9133</v>
      </c>
      <c r="C4564" s="1">
        <v>37.267872011400001</v>
      </c>
      <c r="D4564" s="1">
        <v>-6.96981995256</v>
      </c>
      <c r="E4564" s="3">
        <v>2</v>
      </c>
      <c r="F4564" s="2">
        <v>4</v>
      </c>
      <c r="G4564" s="4">
        <v>3</v>
      </c>
      <c r="H4564" s="13">
        <v>3</v>
      </c>
      <c r="I4564" s="34">
        <v>4</v>
      </c>
      <c r="J4564" s="35">
        <v>3</v>
      </c>
      <c r="K4564" s="2" t="s">
        <v>9134</v>
      </c>
      <c r="L4564" s="36" t="str">
        <f t="shared" si="76"/>
        <v>Ver Imagen</v>
      </c>
      <c r="M4564" t="s">
        <v>8005</v>
      </c>
    </row>
    <row r="4565" spans="1:13" x14ac:dyDescent="0.25">
      <c r="A4565" s="33">
        <v>4564</v>
      </c>
      <c r="B4565" t="s">
        <v>9135</v>
      </c>
      <c r="C4565" s="1">
        <v>37.267838450299998</v>
      </c>
      <c r="D4565" s="1">
        <v>-6.9695412238000003</v>
      </c>
      <c r="E4565" s="3">
        <v>2</v>
      </c>
      <c r="F4565" s="2">
        <v>4</v>
      </c>
      <c r="G4565" s="4">
        <v>4</v>
      </c>
      <c r="H4565" s="13">
        <v>3</v>
      </c>
      <c r="I4565" s="34">
        <v>3</v>
      </c>
      <c r="J4565" s="35">
        <v>3</v>
      </c>
      <c r="K4565" s="2" t="s">
        <v>9136</v>
      </c>
      <c r="L4565" s="36" t="str">
        <f t="shared" si="76"/>
        <v>Ver Imagen</v>
      </c>
      <c r="M4565" t="s">
        <v>8005</v>
      </c>
    </row>
    <row r="4566" spans="1:13" x14ac:dyDescent="0.25">
      <c r="A4566" s="33">
        <v>4565</v>
      </c>
      <c r="B4566" t="s">
        <v>9137</v>
      </c>
      <c r="C4566" s="1">
        <v>37.267784784600003</v>
      </c>
      <c r="D4566" s="1">
        <v>-6.9690507451599997</v>
      </c>
      <c r="E4566" s="3">
        <v>2</v>
      </c>
      <c r="F4566" s="2">
        <v>4</v>
      </c>
      <c r="G4566" s="4">
        <v>3</v>
      </c>
      <c r="H4566" s="13">
        <v>3</v>
      </c>
      <c r="I4566" s="34">
        <v>3</v>
      </c>
      <c r="J4566" s="35">
        <v>3</v>
      </c>
      <c r="K4566" s="2" t="s">
        <v>9138</v>
      </c>
      <c r="L4566" s="36" t="str">
        <f t="shared" si="76"/>
        <v>Ver Imagen</v>
      </c>
      <c r="M4566" t="s">
        <v>8005</v>
      </c>
    </row>
    <row r="4567" spans="1:13" x14ac:dyDescent="0.25">
      <c r="A4567" s="33">
        <v>4566</v>
      </c>
      <c r="B4567" t="s">
        <v>9139</v>
      </c>
      <c r="C4567" s="1">
        <v>37.267671501000002</v>
      </c>
      <c r="D4567" s="1">
        <v>-6.9678137401600004</v>
      </c>
      <c r="E4567" s="3">
        <v>2</v>
      </c>
      <c r="F4567" s="2">
        <v>4</v>
      </c>
      <c r="G4567" s="4">
        <v>3</v>
      </c>
      <c r="H4567" s="13">
        <v>3</v>
      </c>
      <c r="I4567" s="34">
        <v>4</v>
      </c>
      <c r="J4567" s="35">
        <v>3</v>
      </c>
      <c r="K4567" s="2" t="s">
        <v>9140</v>
      </c>
      <c r="L4567" s="36" t="str">
        <f t="shared" si="76"/>
        <v>Ver Imagen</v>
      </c>
      <c r="M4567" t="s">
        <v>8005</v>
      </c>
    </row>
    <row r="4568" spans="1:13" x14ac:dyDescent="0.25">
      <c r="A4568" s="33">
        <v>4567</v>
      </c>
      <c r="B4568" t="s">
        <v>9141</v>
      </c>
      <c r="C4568" s="1">
        <v>37.267591253200003</v>
      </c>
      <c r="D4568" s="1">
        <v>-6.9665411706600002</v>
      </c>
      <c r="E4568" s="3">
        <v>2</v>
      </c>
      <c r="F4568" s="2">
        <v>3</v>
      </c>
      <c r="G4568" s="4">
        <v>4</v>
      </c>
      <c r="H4568" s="13">
        <v>3</v>
      </c>
      <c r="I4568" s="34">
        <v>4</v>
      </c>
      <c r="J4568" s="35">
        <v>3</v>
      </c>
      <c r="K4568" s="2" t="s">
        <v>9142</v>
      </c>
      <c r="L4568" s="36" t="str">
        <f t="shared" si="76"/>
        <v>Ver Imagen</v>
      </c>
      <c r="M4568" t="s">
        <v>8005</v>
      </c>
    </row>
    <row r="4569" spans="1:13" x14ac:dyDescent="0.25">
      <c r="A4569" s="33">
        <v>4568</v>
      </c>
      <c r="B4569" t="s">
        <v>9143</v>
      </c>
      <c r="C4569" s="1">
        <v>37.267568733099999</v>
      </c>
      <c r="D4569" s="1">
        <v>-6.9660184529300002</v>
      </c>
      <c r="E4569" s="3">
        <v>2</v>
      </c>
      <c r="F4569" s="2">
        <v>4</v>
      </c>
      <c r="G4569" s="4">
        <v>3</v>
      </c>
      <c r="H4569" s="13">
        <v>3</v>
      </c>
      <c r="I4569" s="34">
        <v>3</v>
      </c>
      <c r="J4569" s="35">
        <v>3</v>
      </c>
      <c r="K4569" s="2" t="s">
        <v>9144</v>
      </c>
      <c r="L4569" s="36" t="str">
        <f t="shared" si="76"/>
        <v>Ver Imagen</v>
      </c>
      <c r="M4569" t="s">
        <v>8005</v>
      </c>
    </row>
    <row r="4570" spans="1:13" x14ac:dyDescent="0.25">
      <c r="A4570" s="33">
        <v>4569</v>
      </c>
      <c r="B4570" t="s">
        <v>9145</v>
      </c>
      <c r="C4570" s="1">
        <v>37.267553317000001</v>
      </c>
      <c r="D4570" s="1">
        <v>-6.9655561092099996</v>
      </c>
      <c r="E4570" s="3">
        <v>3</v>
      </c>
      <c r="F4570" s="2">
        <v>4</v>
      </c>
      <c r="G4570" s="4">
        <v>2</v>
      </c>
      <c r="H4570" s="13">
        <v>3</v>
      </c>
      <c r="I4570" s="34">
        <v>4</v>
      </c>
      <c r="J4570" s="35">
        <v>3</v>
      </c>
      <c r="K4570" s="2" t="s">
        <v>9146</v>
      </c>
      <c r="L4570" s="36" t="str">
        <f t="shared" si="76"/>
        <v>Ver Imagen</v>
      </c>
      <c r="M4570" t="s">
        <v>8005</v>
      </c>
    </row>
    <row r="4571" spans="1:13" x14ac:dyDescent="0.25">
      <c r="A4571" s="33">
        <v>4570</v>
      </c>
      <c r="B4571" t="s">
        <v>9147</v>
      </c>
      <c r="C4571" s="1">
        <v>37.267540428499998</v>
      </c>
      <c r="D4571" s="1">
        <v>-6.965040396</v>
      </c>
      <c r="E4571" s="3">
        <v>2</v>
      </c>
      <c r="F4571" s="2">
        <v>4</v>
      </c>
      <c r="G4571" s="4">
        <v>3</v>
      </c>
      <c r="H4571" s="13">
        <v>3</v>
      </c>
      <c r="I4571" s="34">
        <v>4</v>
      </c>
      <c r="J4571" s="35">
        <v>3</v>
      </c>
      <c r="K4571" s="2" t="s">
        <v>9148</v>
      </c>
      <c r="L4571" s="36" t="str">
        <f t="shared" si="76"/>
        <v>Ver Imagen</v>
      </c>
      <c r="M4571" t="s">
        <v>8005</v>
      </c>
    </row>
    <row r="4572" spans="1:13" x14ac:dyDescent="0.25">
      <c r="A4572" s="33">
        <v>4571</v>
      </c>
      <c r="B4572" t="s">
        <v>9149</v>
      </c>
      <c r="C4572" s="1">
        <v>37.2675151344</v>
      </c>
      <c r="D4572" s="1">
        <v>-6.9637721257900003</v>
      </c>
      <c r="E4572" s="3">
        <v>2</v>
      </c>
      <c r="F4572" s="2">
        <v>4</v>
      </c>
      <c r="G4572" s="4">
        <v>4</v>
      </c>
      <c r="H4572" s="13">
        <v>3</v>
      </c>
      <c r="I4572" s="34">
        <v>4</v>
      </c>
      <c r="J4572" s="35">
        <v>4</v>
      </c>
      <c r="K4572" s="2" t="s">
        <v>9150</v>
      </c>
      <c r="L4572" s="36" t="str">
        <f t="shared" si="76"/>
        <v>Ver Imagen</v>
      </c>
      <c r="M4572" t="s">
        <v>8005</v>
      </c>
    </row>
    <row r="4573" spans="1:13" x14ac:dyDescent="0.25">
      <c r="A4573" s="33">
        <v>4572</v>
      </c>
      <c r="B4573" t="s">
        <v>9151</v>
      </c>
      <c r="C4573" s="1">
        <v>37.2672421567</v>
      </c>
      <c r="D4573" s="1">
        <v>-6.9597790674300004</v>
      </c>
      <c r="E4573" s="3">
        <v>2</v>
      </c>
      <c r="F4573" s="2">
        <v>3</v>
      </c>
      <c r="G4573" s="4">
        <v>4</v>
      </c>
      <c r="H4573" s="13">
        <v>2</v>
      </c>
      <c r="I4573" s="34">
        <v>2</v>
      </c>
      <c r="J4573" s="35">
        <v>2</v>
      </c>
      <c r="K4573" s="2" t="s">
        <v>9152</v>
      </c>
      <c r="L4573" s="36" t="str">
        <f t="shared" si="76"/>
        <v>Ver Imagen</v>
      </c>
      <c r="M4573" t="s">
        <v>8005</v>
      </c>
    </row>
    <row r="4574" spans="1:13" x14ac:dyDescent="0.25">
      <c r="A4574" s="33">
        <v>4573</v>
      </c>
      <c r="B4574" t="s">
        <v>9153</v>
      </c>
      <c r="C4574" s="1">
        <v>37.266637515200003</v>
      </c>
      <c r="D4574" s="1">
        <v>-6.9579361002200004</v>
      </c>
      <c r="E4574" s="3">
        <v>2</v>
      </c>
      <c r="F4574" s="2">
        <v>2</v>
      </c>
      <c r="G4574" s="4">
        <v>4</v>
      </c>
      <c r="H4574" s="13">
        <v>2</v>
      </c>
      <c r="I4574" s="34">
        <v>3</v>
      </c>
      <c r="J4574" s="35">
        <v>2</v>
      </c>
      <c r="K4574" s="2" t="s">
        <v>9154</v>
      </c>
      <c r="L4574" s="36" t="str">
        <f t="shared" ref="L4574:L4637" si="77">HYPERLINK("NoConsenso\" &amp; K4574, "Ver Imagen")</f>
        <v>Ver Imagen</v>
      </c>
      <c r="M4574" t="s">
        <v>8005</v>
      </c>
    </row>
    <row r="4575" spans="1:13" x14ac:dyDescent="0.25">
      <c r="A4575" s="33">
        <v>4574</v>
      </c>
      <c r="B4575" t="s">
        <v>9155</v>
      </c>
      <c r="C4575" s="1">
        <v>37.189772812400001</v>
      </c>
      <c r="D4575" s="1">
        <v>-6.9883260153200002</v>
      </c>
      <c r="E4575" s="3">
        <v>1</v>
      </c>
      <c r="F4575" s="2">
        <v>3</v>
      </c>
      <c r="G4575" s="4">
        <v>3</v>
      </c>
      <c r="H4575" s="13">
        <v>2</v>
      </c>
      <c r="I4575" s="34">
        <v>2</v>
      </c>
      <c r="J4575" s="35">
        <v>2</v>
      </c>
      <c r="K4575" s="2" t="s">
        <v>9156</v>
      </c>
      <c r="L4575" s="36" t="str">
        <f t="shared" si="77"/>
        <v>Ver Imagen</v>
      </c>
      <c r="M4575" t="s">
        <v>8005</v>
      </c>
    </row>
    <row r="4576" spans="1:13" x14ac:dyDescent="0.25">
      <c r="A4576" s="33">
        <v>4575</v>
      </c>
      <c r="B4576" t="s">
        <v>9157</v>
      </c>
      <c r="C4576" s="1">
        <v>37.191409309800001</v>
      </c>
      <c r="D4576" s="1">
        <v>-6.99183755404</v>
      </c>
      <c r="E4576" s="3">
        <v>2</v>
      </c>
      <c r="F4576" s="2">
        <v>3</v>
      </c>
      <c r="G4576" s="4">
        <v>4</v>
      </c>
      <c r="H4576" s="13">
        <v>3</v>
      </c>
      <c r="I4576" s="34">
        <v>3</v>
      </c>
      <c r="J4576" s="35">
        <v>3</v>
      </c>
      <c r="K4576" s="2" t="s">
        <v>9158</v>
      </c>
      <c r="L4576" s="36" t="str">
        <f t="shared" si="77"/>
        <v>Ver Imagen</v>
      </c>
      <c r="M4576" t="s">
        <v>8005</v>
      </c>
    </row>
    <row r="4577" spans="1:13" x14ac:dyDescent="0.25">
      <c r="A4577" s="33">
        <v>4576</v>
      </c>
      <c r="B4577" t="s">
        <v>9159</v>
      </c>
      <c r="C4577" s="1">
        <v>37.191813606300002</v>
      </c>
      <c r="D4577" s="1">
        <v>-6.9926736008199999</v>
      </c>
      <c r="E4577" s="3">
        <v>2</v>
      </c>
      <c r="F4577" s="2">
        <v>3</v>
      </c>
      <c r="G4577" s="4">
        <v>4</v>
      </c>
      <c r="H4577" s="13">
        <v>2</v>
      </c>
      <c r="I4577" s="34">
        <v>2</v>
      </c>
      <c r="J4577" s="35">
        <v>2</v>
      </c>
      <c r="K4577" s="2" t="s">
        <v>9160</v>
      </c>
      <c r="L4577" s="36" t="str">
        <f t="shared" si="77"/>
        <v>Ver Imagen</v>
      </c>
      <c r="M4577" t="s">
        <v>8005</v>
      </c>
    </row>
    <row r="4578" spans="1:13" x14ac:dyDescent="0.25">
      <c r="A4578" s="33">
        <v>4577</v>
      </c>
      <c r="B4578" t="s">
        <v>9161</v>
      </c>
      <c r="C4578" s="1">
        <v>37.192255322800001</v>
      </c>
      <c r="D4578" s="1">
        <v>-6.9935948532300003</v>
      </c>
      <c r="E4578" s="3">
        <v>2</v>
      </c>
      <c r="F4578" s="2">
        <v>2</v>
      </c>
      <c r="G4578" s="4">
        <v>4</v>
      </c>
      <c r="H4578" s="13">
        <v>2</v>
      </c>
      <c r="I4578" s="34">
        <v>2</v>
      </c>
      <c r="J4578" s="35">
        <v>2</v>
      </c>
      <c r="K4578" s="2" t="s">
        <v>9162</v>
      </c>
      <c r="L4578" s="36" t="str">
        <f t="shared" si="77"/>
        <v>Ver Imagen</v>
      </c>
      <c r="M4578" t="s">
        <v>8005</v>
      </c>
    </row>
    <row r="4579" spans="1:13" x14ac:dyDescent="0.25">
      <c r="A4579" s="33">
        <v>4578</v>
      </c>
      <c r="B4579" t="s">
        <v>9163</v>
      </c>
      <c r="C4579" s="1">
        <v>37.192647664600003</v>
      </c>
      <c r="D4579" s="1">
        <v>-6.9944547633300003</v>
      </c>
      <c r="E4579" s="3">
        <v>2</v>
      </c>
      <c r="F4579" s="2">
        <v>3</v>
      </c>
      <c r="G4579" s="4">
        <v>4</v>
      </c>
      <c r="H4579" s="13">
        <v>3</v>
      </c>
      <c r="I4579" s="34">
        <v>4</v>
      </c>
      <c r="J4579" s="35">
        <v>3</v>
      </c>
      <c r="K4579" s="2" t="s">
        <v>9164</v>
      </c>
      <c r="L4579" s="36" t="str">
        <f t="shared" si="77"/>
        <v>Ver Imagen</v>
      </c>
      <c r="M4579" t="s">
        <v>8005</v>
      </c>
    </row>
    <row r="4580" spans="1:13" x14ac:dyDescent="0.25">
      <c r="A4580" s="33">
        <v>4579</v>
      </c>
      <c r="B4580" t="s">
        <v>9165</v>
      </c>
      <c r="C4580" s="1">
        <v>37.1928288716</v>
      </c>
      <c r="D4580" s="1">
        <v>-6.9948838988600004</v>
      </c>
      <c r="E4580" s="3">
        <v>1</v>
      </c>
      <c r="F4580" s="2">
        <v>3</v>
      </c>
      <c r="G4580" s="4">
        <v>3</v>
      </c>
      <c r="H4580" s="13">
        <v>2</v>
      </c>
      <c r="I4580" s="34">
        <v>2</v>
      </c>
      <c r="J4580" s="35">
        <v>2</v>
      </c>
      <c r="K4580" s="2" t="s">
        <v>9166</v>
      </c>
      <c r="L4580" s="36" t="str">
        <f t="shared" si="77"/>
        <v>Ver Imagen</v>
      </c>
      <c r="M4580" t="s">
        <v>8005</v>
      </c>
    </row>
    <row r="4581" spans="1:13" x14ac:dyDescent="0.25">
      <c r="A4581" s="33">
        <v>4580</v>
      </c>
      <c r="B4581" t="s">
        <v>9167</v>
      </c>
      <c r="C4581" s="1">
        <v>37.202673917299997</v>
      </c>
      <c r="D4581" s="1">
        <v>-7.0148559810600002</v>
      </c>
      <c r="E4581" s="3">
        <v>2</v>
      </c>
      <c r="F4581" s="2">
        <v>3</v>
      </c>
      <c r="G4581" s="4">
        <v>4</v>
      </c>
      <c r="H4581" s="13">
        <v>2</v>
      </c>
      <c r="I4581" s="34">
        <v>3</v>
      </c>
      <c r="J4581" s="35">
        <v>3</v>
      </c>
      <c r="K4581" s="2" t="s">
        <v>9168</v>
      </c>
      <c r="L4581" s="36" t="str">
        <f t="shared" si="77"/>
        <v>Ver Imagen</v>
      </c>
      <c r="M4581" t="s">
        <v>8005</v>
      </c>
    </row>
    <row r="4582" spans="1:13" x14ac:dyDescent="0.25">
      <c r="A4582" s="33">
        <v>4581</v>
      </c>
      <c r="B4582" t="s">
        <v>9169</v>
      </c>
      <c r="C4582" s="1">
        <v>37.218677114599998</v>
      </c>
      <c r="D4582" s="1">
        <v>-7.1256196327700003</v>
      </c>
      <c r="E4582" s="3">
        <v>1</v>
      </c>
      <c r="F4582" s="2">
        <v>3</v>
      </c>
      <c r="G4582" s="4">
        <v>3</v>
      </c>
      <c r="H4582" s="13">
        <v>3</v>
      </c>
      <c r="I4582" s="34">
        <v>2</v>
      </c>
      <c r="J4582" s="35">
        <v>3</v>
      </c>
      <c r="K4582" s="2" t="s">
        <v>9170</v>
      </c>
      <c r="L4582" s="36" t="str">
        <f t="shared" si="77"/>
        <v>Ver Imagen</v>
      </c>
      <c r="M4582" t="s">
        <v>8005</v>
      </c>
    </row>
    <row r="4583" spans="1:13" x14ac:dyDescent="0.25">
      <c r="A4583" s="33">
        <v>4582</v>
      </c>
      <c r="B4583" t="s">
        <v>9171</v>
      </c>
      <c r="C4583" s="1">
        <v>37.217915483100001</v>
      </c>
      <c r="D4583" s="1">
        <v>-7.1215260016500004</v>
      </c>
      <c r="E4583" s="3">
        <v>5</v>
      </c>
      <c r="F4583" s="2">
        <v>3</v>
      </c>
      <c r="G4583" s="4">
        <v>4</v>
      </c>
      <c r="H4583" s="13">
        <v>3</v>
      </c>
      <c r="I4583" s="34">
        <v>3</v>
      </c>
      <c r="J4583" s="35">
        <v>3</v>
      </c>
      <c r="K4583" s="2" t="s">
        <v>9172</v>
      </c>
      <c r="L4583" s="36" t="str">
        <f t="shared" si="77"/>
        <v>Ver Imagen</v>
      </c>
      <c r="M4583" t="s">
        <v>8005</v>
      </c>
    </row>
    <row r="4584" spans="1:13" x14ac:dyDescent="0.25">
      <c r="A4584" s="33">
        <v>4583</v>
      </c>
      <c r="B4584" t="s">
        <v>9173</v>
      </c>
      <c r="C4584" s="1">
        <v>37.215780172800002</v>
      </c>
      <c r="D4584" s="1">
        <v>-7.0824649502400003</v>
      </c>
      <c r="E4584" s="3">
        <v>1</v>
      </c>
      <c r="F4584" s="2">
        <v>2</v>
      </c>
      <c r="G4584" s="4">
        <v>3</v>
      </c>
      <c r="H4584" s="13">
        <v>2</v>
      </c>
      <c r="I4584" s="34">
        <v>2</v>
      </c>
      <c r="J4584" s="35">
        <v>2</v>
      </c>
      <c r="K4584" s="2" t="s">
        <v>9174</v>
      </c>
      <c r="L4584" s="36" t="str">
        <f t="shared" si="77"/>
        <v>Ver Imagen</v>
      </c>
      <c r="M4584" t="s">
        <v>8005</v>
      </c>
    </row>
    <row r="4585" spans="1:13" x14ac:dyDescent="0.25">
      <c r="A4585" s="33">
        <v>4584</v>
      </c>
      <c r="B4585" t="s">
        <v>9175</v>
      </c>
      <c r="C4585" s="1">
        <v>37.213187541400004</v>
      </c>
      <c r="D4585" s="1">
        <v>-7.0639223153200001</v>
      </c>
      <c r="E4585" s="3">
        <v>3</v>
      </c>
      <c r="F4585" s="2">
        <v>3</v>
      </c>
      <c r="G4585" s="4">
        <v>5</v>
      </c>
      <c r="H4585" s="13">
        <v>3</v>
      </c>
      <c r="I4585" s="34">
        <v>4</v>
      </c>
      <c r="J4585" s="35">
        <v>3</v>
      </c>
      <c r="K4585" s="2" t="s">
        <v>9176</v>
      </c>
      <c r="L4585" s="36" t="str">
        <f t="shared" si="77"/>
        <v>Ver Imagen</v>
      </c>
      <c r="M4585" t="s">
        <v>8005</v>
      </c>
    </row>
    <row r="4586" spans="1:13" x14ac:dyDescent="0.25">
      <c r="A4586" s="33">
        <v>4585</v>
      </c>
      <c r="B4586" t="s">
        <v>9177</v>
      </c>
      <c r="C4586" s="1">
        <v>37.2122948162</v>
      </c>
      <c r="D4586" s="1">
        <v>-7.0598281572900001</v>
      </c>
      <c r="E4586" s="3">
        <v>1</v>
      </c>
      <c r="F4586" s="2">
        <v>3</v>
      </c>
      <c r="G4586" s="4">
        <v>3</v>
      </c>
      <c r="H4586" s="13">
        <v>2</v>
      </c>
      <c r="I4586" s="34">
        <v>2</v>
      </c>
      <c r="J4586" s="35">
        <v>2</v>
      </c>
      <c r="K4586" s="2" t="s">
        <v>9178</v>
      </c>
      <c r="L4586" s="36" t="str">
        <f t="shared" si="77"/>
        <v>Ver Imagen</v>
      </c>
      <c r="M4586" t="s">
        <v>8005</v>
      </c>
    </row>
    <row r="4587" spans="1:13" x14ac:dyDescent="0.25">
      <c r="A4587" s="33">
        <v>4586</v>
      </c>
      <c r="B4587" t="s">
        <v>9179</v>
      </c>
      <c r="C4587" s="1">
        <v>37.211702228199997</v>
      </c>
      <c r="D4587" s="1">
        <v>-7.04896105089</v>
      </c>
      <c r="E4587" s="3">
        <v>2</v>
      </c>
      <c r="F4587" s="2">
        <v>3</v>
      </c>
      <c r="G4587" s="4">
        <v>4</v>
      </c>
      <c r="H4587" s="13">
        <v>2</v>
      </c>
      <c r="I4587" s="34">
        <v>3</v>
      </c>
      <c r="J4587" s="35">
        <v>3</v>
      </c>
      <c r="K4587" s="2" t="s">
        <v>9180</v>
      </c>
      <c r="L4587" s="36" t="str">
        <f t="shared" si="77"/>
        <v>Ver Imagen</v>
      </c>
      <c r="M4587" t="s">
        <v>8005</v>
      </c>
    </row>
    <row r="4588" spans="1:13" x14ac:dyDescent="0.25">
      <c r="A4588" s="33">
        <v>4587</v>
      </c>
      <c r="B4588" t="s">
        <v>9181</v>
      </c>
      <c r="C4588" s="1">
        <v>37.2090796743</v>
      </c>
      <c r="D4588" s="1">
        <v>-7.0393122579999998</v>
      </c>
      <c r="E4588" s="3">
        <v>3</v>
      </c>
      <c r="F4588" s="2">
        <v>3</v>
      </c>
      <c r="G4588" s="4">
        <v>5</v>
      </c>
      <c r="H4588" s="13">
        <v>3</v>
      </c>
      <c r="I4588" s="34">
        <v>4</v>
      </c>
      <c r="J4588" s="35">
        <v>3</v>
      </c>
      <c r="K4588" s="2" t="s">
        <v>9182</v>
      </c>
      <c r="L4588" s="36" t="str">
        <f t="shared" si="77"/>
        <v>Ver Imagen</v>
      </c>
      <c r="M4588" t="s">
        <v>8005</v>
      </c>
    </row>
    <row r="4589" spans="1:13" x14ac:dyDescent="0.25">
      <c r="A4589" s="33">
        <v>4588</v>
      </c>
      <c r="B4589" t="s">
        <v>9183</v>
      </c>
      <c r="C4589" s="1">
        <v>37.2884512543</v>
      </c>
      <c r="D4589" s="1">
        <v>-7.1409801723799999</v>
      </c>
      <c r="E4589" s="3">
        <v>1</v>
      </c>
      <c r="F4589" s="2">
        <v>2</v>
      </c>
      <c r="G4589" s="4">
        <v>3</v>
      </c>
      <c r="H4589" s="13">
        <v>3</v>
      </c>
      <c r="I4589" s="34">
        <v>2</v>
      </c>
      <c r="J4589" s="35">
        <v>2</v>
      </c>
      <c r="K4589" s="2" t="s">
        <v>9184</v>
      </c>
      <c r="L4589" s="36" t="str">
        <f t="shared" si="77"/>
        <v>Ver Imagen</v>
      </c>
      <c r="M4589" t="s">
        <v>8005</v>
      </c>
    </row>
    <row r="4590" spans="1:13" x14ac:dyDescent="0.25">
      <c r="A4590" s="33">
        <v>4589</v>
      </c>
      <c r="B4590" t="s">
        <v>9185</v>
      </c>
      <c r="C4590" s="1">
        <v>37.269810902000003</v>
      </c>
      <c r="D4590" s="1">
        <v>-7.1394413126599998</v>
      </c>
      <c r="E4590" s="3">
        <v>3</v>
      </c>
      <c r="F4590" s="2">
        <v>3</v>
      </c>
      <c r="G4590" s="4">
        <v>5</v>
      </c>
      <c r="H4590" s="13">
        <v>3</v>
      </c>
      <c r="I4590" s="34">
        <v>3</v>
      </c>
      <c r="J4590" s="35">
        <v>3</v>
      </c>
      <c r="K4590" s="2" t="s">
        <v>9186</v>
      </c>
      <c r="L4590" s="36" t="str">
        <f t="shared" si="77"/>
        <v>Ver Imagen</v>
      </c>
      <c r="M4590" t="s">
        <v>8005</v>
      </c>
    </row>
    <row r="4591" spans="1:13" x14ac:dyDescent="0.25">
      <c r="A4591" s="33">
        <v>4590</v>
      </c>
      <c r="B4591" t="s">
        <v>9187</v>
      </c>
      <c r="C4591" s="1">
        <v>37.268594641500002</v>
      </c>
      <c r="D4591" s="1">
        <v>-7.1371755729500004</v>
      </c>
      <c r="E4591" s="3">
        <v>5</v>
      </c>
      <c r="F4591" s="2">
        <v>3</v>
      </c>
      <c r="G4591" s="4">
        <v>3</v>
      </c>
      <c r="H4591" s="13">
        <v>3</v>
      </c>
      <c r="I4591" s="34">
        <v>4</v>
      </c>
      <c r="J4591" s="35">
        <v>3</v>
      </c>
      <c r="K4591" s="2" t="s">
        <v>9188</v>
      </c>
      <c r="L4591" s="36" t="str">
        <f t="shared" si="77"/>
        <v>Ver Imagen</v>
      </c>
      <c r="M4591" t="s">
        <v>8005</v>
      </c>
    </row>
    <row r="4592" spans="1:13" x14ac:dyDescent="0.25">
      <c r="A4592" s="33">
        <v>4591</v>
      </c>
      <c r="B4592" t="s">
        <v>9189</v>
      </c>
      <c r="C4592" s="1">
        <v>37.268499293399998</v>
      </c>
      <c r="D4592" s="1">
        <v>-7.1367486852299997</v>
      </c>
      <c r="E4592" s="3">
        <v>5</v>
      </c>
      <c r="F4592" s="2">
        <v>3</v>
      </c>
      <c r="G4592" s="4">
        <v>3</v>
      </c>
      <c r="H4592" s="13">
        <v>3</v>
      </c>
      <c r="I4592" s="34">
        <v>4</v>
      </c>
      <c r="J4592" s="35">
        <v>3</v>
      </c>
      <c r="K4592" s="2" t="s">
        <v>9190</v>
      </c>
      <c r="L4592" s="36" t="str">
        <f t="shared" si="77"/>
        <v>Ver Imagen</v>
      </c>
      <c r="M4592" t="s">
        <v>8005</v>
      </c>
    </row>
    <row r="4593" spans="1:13" x14ac:dyDescent="0.25">
      <c r="A4593" s="33">
        <v>4592</v>
      </c>
      <c r="B4593" t="s">
        <v>9191</v>
      </c>
      <c r="C4593" s="1">
        <v>37.268377724200001</v>
      </c>
      <c r="D4593" s="1">
        <v>-7.1361979708199996</v>
      </c>
      <c r="E4593" s="3">
        <v>5</v>
      </c>
      <c r="F4593" s="2">
        <v>3</v>
      </c>
      <c r="G4593" s="4">
        <v>4</v>
      </c>
      <c r="H4593" s="13">
        <v>3</v>
      </c>
      <c r="I4593" s="34">
        <v>4</v>
      </c>
      <c r="J4593" s="35">
        <v>4</v>
      </c>
      <c r="K4593" s="2" t="s">
        <v>9192</v>
      </c>
      <c r="L4593" s="36" t="str">
        <f t="shared" si="77"/>
        <v>Ver Imagen</v>
      </c>
      <c r="M4593" t="s">
        <v>8005</v>
      </c>
    </row>
    <row r="4594" spans="1:13" x14ac:dyDescent="0.25">
      <c r="A4594" s="33">
        <v>4593</v>
      </c>
      <c r="B4594" t="s">
        <v>9193</v>
      </c>
      <c r="C4594" s="1">
        <v>37.268135730600001</v>
      </c>
      <c r="D4594" s="1">
        <v>-7.1352555130499997</v>
      </c>
      <c r="E4594" s="3">
        <v>5</v>
      </c>
      <c r="F4594" s="2">
        <v>3</v>
      </c>
      <c r="G4594" s="4">
        <v>4</v>
      </c>
      <c r="H4594" s="13">
        <v>3</v>
      </c>
      <c r="I4594" s="34">
        <v>4</v>
      </c>
      <c r="J4594" s="35">
        <v>4</v>
      </c>
      <c r="K4594" s="2" t="s">
        <v>9194</v>
      </c>
      <c r="L4594" s="36" t="str">
        <f t="shared" si="77"/>
        <v>Ver Imagen</v>
      </c>
      <c r="M4594" t="s">
        <v>8005</v>
      </c>
    </row>
    <row r="4595" spans="1:13" x14ac:dyDescent="0.25">
      <c r="A4595" s="33">
        <v>4594</v>
      </c>
      <c r="B4595" t="s">
        <v>9195</v>
      </c>
      <c r="C4595" s="1">
        <v>37.267940994</v>
      </c>
      <c r="D4595" s="1">
        <v>-7.1347694261100001</v>
      </c>
      <c r="E4595" s="3">
        <v>5</v>
      </c>
      <c r="F4595" s="2">
        <v>3</v>
      </c>
      <c r="G4595" s="4">
        <v>4</v>
      </c>
      <c r="H4595" s="13">
        <v>3</v>
      </c>
      <c r="I4595" s="34">
        <v>4</v>
      </c>
      <c r="J4595" s="35">
        <v>4</v>
      </c>
      <c r="K4595" s="2" t="s">
        <v>9196</v>
      </c>
      <c r="L4595" s="36" t="str">
        <f t="shared" si="77"/>
        <v>Ver Imagen</v>
      </c>
      <c r="M4595" t="s">
        <v>8005</v>
      </c>
    </row>
    <row r="4596" spans="1:13" x14ac:dyDescent="0.25">
      <c r="A4596" s="33">
        <v>4595</v>
      </c>
      <c r="B4596" t="s">
        <v>9197</v>
      </c>
      <c r="C4596" s="1">
        <v>37.267724328100002</v>
      </c>
      <c r="D4596" s="1">
        <v>-7.1343708749300001</v>
      </c>
      <c r="E4596" s="3">
        <v>5</v>
      </c>
      <c r="F4596" s="2">
        <v>3</v>
      </c>
      <c r="G4596" s="4">
        <v>4</v>
      </c>
      <c r="H4596" s="13">
        <v>3</v>
      </c>
      <c r="I4596" s="34">
        <v>4</v>
      </c>
      <c r="J4596" s="37">
        <v>3</v>
      </c>
      <c r="K4596" s="2" t="s">
        <v>9198</v>
      </c>
      <c r="L4596" s="36" t="str">
        <f t="shared" si="77"/>
        <v>Ver Imagen</v>
      </c>
      <c r="M4596" s="37" t="s">
        <v>8052</v>
      </c>
    </row>
    <row r="4597" spans="1:13" x14ac:dyDescent="0.25">
      <c r="A4597" s="33">
        <v>4596</v>
      </c>
      <c r="B4597" t="s">
        <v>9199</v>
      </c>
      <c r="C4597" s="1">
        <v>37.2671605707</v>
      </c>
      <c r="D4597" s="1">
        <v>-7.1336671750800003</v>
      </c>
      <c r="E4597" s="3">
        <v>5</v>
      </c>
      <c r="F4597" s="2">
        <v>3</v>
      </c>
      <c r="G4597" s="4">
        <v>4</v>
      </c>
      <c r="H4597" s="13">
        <v>3</v>
      </c>
      <c r="I4597" s="34">
        <v>4</v>
      </c>
      <c r="J4597" s="37">
        <v>3</v>
      </c>
      <c r="K4597" s="2" t="s">
        <v>9200</v>
      </c>
      <c r="L4597" s="36" t="str">
        <f t="shared" si="77"/>
        <v>Ver Imagen</v>
      </c>
      <c r="M4597" s="37" t="s">
        <v>8052</v>
      </c>
    </row>
    <row r="4598" spans="1:13" x14ac:dyDescent="0.25">
      <c r="A4598" s="33">
        <v>4597</v>
      </c>
      <c r="B4598" t="s">
        <v>9201</v>
      </c>
      <c r="C4598" s="1">
        <v>37.259954510500002</v>
      </c>
      <c r="D4598" s="1">
        <v>-7.1290548513000003</v>
      </c>
      <c r="E4598" s="3">
        <v>5</v>
      </c>
      <c r="F4598" s="2">
        <v>3</v>
      </c>
      <c r="G4598" s="4">
        <v>4</v>
      </c>
      <c r="H4598" s="13">
        <v>3</v>
      </c>
      <c r="I4598" s="34">
        <v>3</v>
      </c>
      <c r="J4598" s="35">
        <v>3</v>
      </c>
      <c r="K4598" s="2" t="s">
        <v>9202</v>
      </c>
      <c r="L4598" s="36" t="str">
        <f t="shared" si="77"/>
        <v>Ver Imagen</v>
      </c>
      <c r="M4598" t="s">
        <v>8005</v>
      </c>
    </row>
    <row r="4599" spans="1:13" x14ac:dyDescent="0.25">
      <c r="A4599" s="33">
        <v>4598</v>
      </c>
      <c r="B4599" t="s">
        <v>9203</v>
      </c>
      <c r="C4599" s="1">
        <v>37.244664361399998</v>
      </c>
      <c r="D4599" s="1">
        <v>-7.1280705496200003</v>
      </c>
      <c r="E4599" s="3">
        <v>1</v>
      </c>
      <c r="F4599" s="2">
        <v>2</v>
      </c>
      <c r="G4599" s="4">
        <v>3</v>
      </c>
      <c r="H4599" s="13">
        <v>2</v>
      </c>
      <c r="I4599" s="34">
        <v>1</v>
      </c>
      <c r="J4599" s="35">
        <v>2</v>
      </c>
      <c r="K4599" s="2" t="s">
        <v>9204</v>
      </c>
      <c r="L4599" s="36" t="str">
        <f t="shared" si="77"/>
        <v>Ver Imagen</v>
      </c>
      <c r="M4599" t="s">
        <v>8005</v>
      </c>
    </row>
    <row r="4600" spans="1:13" x14ac:dyDescent="0.25">
      <c r="A4600" s="33">
        <v>4599</v>
      </c>
      <c r="B4600" t="s">
        <v>9205</v>
      </c>
      <c r="C4600" s="1">
        <v>37.2278516322</v>
      </c>
      <c r="D4600" s="1">
        <v>-7.12664941304</v>
      </c>
      <c r="E4600" s="3">
        <v>5</v>
      </c>
      <c r="F4600" s="2">
        <v>3</v>
      </c>
      <c r="G4600" s="4">
        <v>4</v>
      </c>
      <c r="H4600" s="13">
        <v>3</v>
      </c>
      <c r="I4600" s="34">
        <v>4</v>
      </c>
      <c r="J4600" s="35">
        <v>4</v>
      </c>
      <c r="K4600" s="2" t="s">
        <v>9206</v>
      </c>
      <c r="L4600" s="36" t="str">
        <f t="shared" si="77"/>
        <v>Ver Imagen</v>
      </c>
      <c r="M4600" t="s">
        <v>8005</v>
      </c>
    </row>
    <row r="4601" spans="1:13" x14ac:dyDescent="0.25">
      <c r="A4601" s="33">
        <v>4600</v>
      </c>
      <c r="B4601" t="s">
        <v>9207</v>
      </c>
      <c r="C4601" s="1">
        <v>37.227073151399999</v>
      </c>
      <c r="D4601" s="1">
        <v>-7.1264033311899997</v>
      </c>
      <c r="E4601" s="3">
        <v>5</v>
      </c>
      <c r="F4601" s="2">
        <v>3</v>
      </c>
      <c r="G4601" s="4">
        <v>4</v>
      </c>
      <c r="H4601" s="13">
        <v>3</v>
      </c>
      <c r="I4601" s="34">
        <v>4</v>
      </c>
      <c r="J4601" s="35">
        <v>4</v>
      </c>
      <c r="K4601" s="2" t="s">
        <v>9208</v>
      </c>
      <c r="L4601" s="36" t="str">
        <f t="shared" si="77"/>
        <v>Ver Imagen</v>
      </c>
      <c r="M4601" t="s">
        <v>8005</v>
      </c>
    </row>
    <row r="4602" spans="1:13" x14ac:dyDescent="0.25">
      <c r="A4602" s="33">
        <v>4601</v>
      </c>
      <c r="B4602" t="s">
        <v>9209</v>
      </c>
      <c r="C4602" s="1">
        <v>37.223382157300001</v>
      </c>
      <c r="D4602" s="1">
        <v>-7.1250808812699997</v>
      </c>
      <c r="E4602" s="3">
        <v>4</v>
      </c>
      <c r="F4602" s="2">
        <v>2</v>
      </c>
      <c r="G4602" s="4">
        <v>2</v>
      </c>
      <c r="H4602" s="13">
        <v>2</v>
      </c>
      <c r="I4602" s="34">
        <v>1</v>
      </c>
      <c r="J4602" s="35">
        <v>2</v>
      </c>
      <c r="K4602" s="2" t="s">
        <v>9210</v>
      </c>
      <c r="L4602" s="36" t="str">
        <f t="shared" si="77"/>
        <v>Ver Imagen</v>
      </c>
      <c r="M4602" t="s">
        <v>8005</v>
      </c>
    </row>
    <row r="4603" spans="1:13" x14ac:dyDescent="0.25">
      <c r="A4603" s="33">
        <v>4602</v>
      </c>
      <c r="B4603" t="s">
        <v>9211</v>
      </c>
      <c r="C4603" s="1">
        <v>37.221138940499998</v>
      </c>
      <c r="D4603" s="1">
        <v>-7.1258030906099998</v>
      </c>
      <c r="E4603" s="3">
        <v>4</v>
      </c>
      <c r="F4603" s="2">
        <v>2</v>
      </c>
      <c r="G4603" s="4">
        <v>3</v>
      </c>
      <c r="H4603" s="13">
        <v>2</v>
      </c>
      <c r="I4603" s="34">
        <v>1</v>
      </c>
      <c r="J4603" s="35">
        <v>2</v>
      </c>
      <c r="K4603" s="2" t="s">
        <v>9212</v>
      </c>
      <c r="L4603" s="36" t="str">
        <f t="shared" si="77"/>
        <v>Ver Imagen</v>
      </c>
      <c r="M4603" t="s">
        <v>8005</v>
      </c>
    </row>
    <row r="4604" spans="1:13" x14ac:dyDescent="0.25">
      <c r="A4604" s="33">
        <v>4603</v>
      </c>
      <c r="B4604" t="s">
        <v>9213</v>
      </c>
      <c r="C4604" s="1">
        <v>37.439101590900002</v>
      </c>
      <c r="D4604" s="1">
        <v>-7.0857392932299996</v>
      </c>
      <c r="E4604" s="3">
        <v>3</v>
      </c>
      <c r="F4604" s="2">
        <v>3</v>
      </c>
      <c r="G4604" s="4">
        <v>5</v>
      </c>
      <c r="H4604" s="13">
        <v>2</v>
      </c>
      <c r="I4604" s="34">
        <v>1</v>
      </c>
      <c r="J4604" s="37">
        <v>2</v>
      </c>
      <c r="K4604" s="2" t="s">
        <v>9214</v>
      </c>
      <c r="L4604" s="36" t="str">
        <f t="shared" si="77"/>
        <v>Ver Imagen</v>
      </c>
      <c r="M4604" s="37" t="s">
        <v>8052</v>
      </c>
    </row>
    <row r="4605" spans="1:13" x14ac:dyDescent="0.25">
      <c r="A4605" s="33">
        <v>4604</v>
      </c>
      <c r="B4605" t="s">
        <v>9215</v>
      </c>
      <c r="C4605" s="1">
        <v>37.439006641799999</v>
      </c>
      <c r="D4605" s="1">
        <v>-7.0855233116800003</v>
      </c>
      <c r="E4605" s="3">
        <v>3</v>
      </c>
      <c r="F4605" s="2">
        <v>3</v>
      </c>
      <c r="G4605" s="4">
        <v>1</v>
      </c>
      <c r="H4605" s="13">
        <v>2</v>
      </c>
      <c r="I4605" s="34">
        <v>3</v>
      </c>
      <c r="J4605" s="35">
        <v>3</v>
      </c>
      <c r="K4605" s="2" t="s">
        <v>9216</v>
      </c>
      <c r="L4605" s="36" t="str">
        <f t="shared" si="77"/>
        <v>Ver Imagen</v>
      </c>
      <c r="M4605" t="s">
        <v>8005</v>
      </c>
    </row>
    <row r="4606" spans="1:13" x14ac:dyDescent="0.25">
      <c r="A4606" s="33">
        <v>4605</v>
      </c>
      <c r="B4606" t="s">
        <v>9217</v>
      </c>
      <c r="C4606" s="1">
        <v>37.438735399099997</v>
      </c>
      <c r="D4606" s="1">
        <v>-7.0848557908899998</v>
      </c>
      <c r="E4606" s="3">
        <v>4</v>
      </c>
      <c r="F4606" s="2">
        <v>3</v>
      </c>
      <c r="G4606" s="4">
        <v>5</v>
      </c>
      <c r="H4606" s="13">
        <v>3</v>
      </c>
      <c r="I4606" s="34">
        <v>3</v>
      </c>
      <c r="J4606" s="35">
        <v>3</v>
      </c>
      <c r="K4606" s="2" t="s">
        <v>9218</v>
      </c>
      <c r="L4606" s="36" t="str">
        <f t="shared" si="77"/>
        <v>Ver Imagen</v>
      </c>
      <c r="M4606" t="s">
        <v>8005</v>
      </c>
    </row>
    <row r="4607" spans="1:13" x14ac:dyDescent="0.25">
      <c r="A4607" s="33">
        <v>4606</v>
      </c>
      <c r="B4607" t="s">
        <v>9219</v>
      </c>
      <c r="C4607" s="1">
        <v>37.438484667300003</v>
      </c>
      <c r="D4607" s="1">
        <v>-7.0841689051500003</v>
      </c>
      <c r="E4607" s="3">
        <v>3</v>
      </c>
      <c r="F4607" s="2">
        <v>3</v>
      </c>
      <c r="G4607" s="4">
        <v>5</v>
      </c>
      <c r="H4607" s="13">
        <v>3</v>
      </c>
      <c r="I4607" s="34">
        <v>3</v>
      </c>
      <c r="J4607" s="35">
        <v>3</v>
      </c>
      <c r="K4607" s="2" t="s">
        <v>9220</v>
      </c>
      <c r="L4607" s="36" t="str">
        <f t="shared" si="77"/>
        <v>Ver Imagen</v>
      </c>
      <c r="M4607" t="s">
        <v>8005</v>
      </c>
    </row>
    <row r="4608" spans="1:13" x14ac:dyDescent="0.25">
      <c r="A4608" s="33">
        <v>4607</v>
      </c>
      <c r="B4608" t="s">
        <v>9221</v>
      </c>
      <c r="C4608" s="1">
        <v>37.438080231999997</v>
      </c>
      <c r="D4608" s="1">
        <v>-7.0829584582700003</v>
      </c>
      <c r="E4608" s="3">
        <v>3</v>
      </c>
      <c r="F4608" s="2">
        <v>3</v>
      </c>
      <c r="G4608" s="4">
        <v>5</v>
      </c>
      <c r="H4608" s="13">
        <v>3</v>
      </c>
      <c r="I4608" s="34">
        <v>2</v>
      </c>
      <c r="J4608" s="37">
        <v>2</v>
      </c>
      <c r="K4608" s="2" t="s">
        <v>9222</v>
      </c>
      <c r="L4608" s="36" t="str">
        <f t="shared" si="77"/>
        <v>Ver Imagen</v>
      </c>
      <c r="M4608" s="37" t="s">
        <v>8052</v>
      </c>
    </row>
    <row r="4609" spans="1:13" x14ac:dyDescent="0.25">
      <c r="A4609" s="33">
        <v>4608</v>
      </c>
      <c r="B4609" t="s">
        <v>9223</v>
      </c>
      <c r="C4609" s="1">
        <v>37.437699470600002</v>
      </c>
      <c r="D4609" s="1">
        <v>-7.08184496255</v>
      </c>
      <c r="E4609" s="3">
        <v>2</v>
      </c>
      <c r="F4609" s="2">
        <v>2</v>
      </c>
      <c r="G4609" s="4">
        <v>4</v>
      </c>
      <c r="H4609" s="13">
        <v>1</v>
      </c>
      <c r="I4609" s="34">
        <v>1</v>
      </c>
      <c r="J4609" s="37">
        <v>1</v>
      </c>
      <c r="K4609" s="2" t="s">
        <v>9224</v>
      </c>
      <c r="L4609" s="36" t="str">
        <f t="shared" si="77"/>
        <v>Ver Imagen</v>
      </c>
      <c r="M4609" s="37" t="s">
        <v>8052</v>
      </c>
    </row>
    <row r="4610" spans="1:13" x14ac:dyDescent="0.25">
      <c r="A4610" s="33">
        <v>4609</v>
      </c>
      <c r="B4610" t="s">
        <v>9225</v>
      </c>
      <c r="C4610" s="1">
        <v>37.437538134299999</v>
      </c>
      <c r="D4610" s="1">
        <v>-7.0813872399099997</v>
      </c>
      <c r="E4610" s="3">
        <v>3</v>
      </c>
      <c r="F4610" s="2">
        <v>3</v>
      </c>
      <c r="G4610" s="4">
        <v>1</v>
      </c>
      <c r="H4610" s="13">
        <v>2</v>
      </c>
      <c r="I4610" s="34">
        <v>3</v>
      </c>
      <c r="J4610" s="35">
        <v>3</v>
      </c>
      <c r="K4610" s="2" t="s">
        <v>9226</v>
      </c>
      <c r="L4610" s="36" t="str">
        <f t="shared" si="77"/>
        <v>Ver Imagen</v>
      </c>
      <c r="M4610" t="s">
        <v>8005</v>
      </c>
    </row>
    <row r="4611" spans="1:13" x14ac:dyDescent="0.25">
      <c r="A4611" s="33">
        <v>4610</v>
      </c>
      <c r="B4611" t="s">
        <v>9227</v>
      </c>
      <c r="C4611" s="1">
        <v>37.437127494599999</v>
      </c>
      <c r="D4611" s="1">
        <v>-7.0803186620799998</v>
      </c>
      <c r="E4611" s="3">
        <v>3</v>
      </c>
      <c r="F4611" s="2">
        <v>3</v>
      </c>
      <c r="G4611" s="4">
        <v>5</v>
      </c>
      <c r="H4611" s="13">
        <v>2</v>
      </c>
      <c r="I4611" s="34">
        <v>2</v>
      </c>
      <c r="J4611" s="37">
        <v>2</v>
      </c>
      <c r="K4611" s="2" t="s">
        <v>9228</v>
      </c>
      <c r="L4611" s="36" t="str">
        <f t="shared" si="77"/>
        <v>Ver Imagen</v>
      </c>
      <c r="M4611" s="37" t="s">
        <v>8052</v>
      </c>
    </row>
    <row r="4612" spans="1:13" x14ac:dyDescent="0.25">
      <c r="A4612" s="33">
        <v>4611</v>
      </c>
      <c r="B4612" t="s">
        <v>9229</v>
      </c>
      <c r="C4612" s="1">
        <v>37.437098555399999</v>
      </c>
      <c r="D4612" s="1">
        <v>-7.0801439884699997</v>
      </c>
      <c r="E4612" s="3">
        <v>3</v>
      </c>
      <c r="F4612" s="2">
        <v>3</v>
      </c>
      <c r="G4612" s="4">
        <v>5</v>
      </c>
      <c r="H4612" s="13">
        <v>2</v>
      </c>
      <c r="I4612" s="34">
        <v>3</v>
      </c>
      <c r="J4612" s="35">
        <v>3</v>
      </c>
      <c r="K4612" s="2" t="s">
        <v>9230</v>
      </c>
      <c r="L4612" s="36" t="str">
        <f t="shared" si="77"/>
        <v>Ver Imagen</v>
      </c>
      <c r="M4612" t="s">
        <v>8005</v>
      </c>
    </row>
    <row r="4613" spans="1:13" x14ac:dyDescent="0.25">
      <c r="A4613" s="33">
        <v>4612</v>
      </c>
      <c r="B4613" t="s">
        <v>9231</v>
      </c>
      <c r="C4613" s="1">
        <v>37.436930597500002</v>
      </c>
      <c r="D4613" s="1">
        <v>-7.0796558908799998</v>
      </c>
      <c r="E4613" s="3">
        <v>3</v>
      </c>
      <c r="F4613" s="2">
        <v>3</v>
      </c>
      <c r="G4613" s="4">
        <v>5</v>
      </c>
      <c r="H4613" s="13">
        <v>2</v>
      </c>
      <c r="I4613" s="34">
        <v>3</v>
      </c>
      <c r="J4613" s="35">
        <v>3</v>
      </c>
      <c r="K4613" s="2" t="s">
        <v>9232</v>
      </c>
      <c r="L4613" s="36" t="str">
        <f t="shared" si="77"/>
        <v>Ver Imagen</v>
      </c>
      <c r="M4613" t="s">
        <v>8005</v>
      </c>
    </row>
    <row r="4614" spans="1:13" x14ac:dyDescent="0.25">
      <c r="A4614" s="33">
        <v>4613</v>
      </c>
      <c r="B4614" t="s">
        <v>9233</v>
      </c>
      <c r="C4614" s="1">
        <v>37.221046032300002</v>
      </c>
      <c r="D4614" s="1">
        <v>-7.0534895250299998</v>
      </c>
      <c r="E4614" s="3">
        <v>3</v>
      </c>
      <c r="F4614" s="2">
        <v>4</v>
      </c>
      <c r="G4614" s="4">
        <v>5</v>
      </c>
      <c r="H4614" s="13">
        <v>3</v>
      </c>
      <c r="I4614" s="34">
        <v>3</v>
      </c>
      <c r="J4614" s="35">
        <v>3</v>
      </c>
      <c r="K4614" s="2" t="s">
        <v>9234</v>
      </c>
      <c r="L4614" s="36" t="str">
        <f t="shared" si="77"/>
        <v>Ver Imagen</v>
      </c>
      <c r="M4614" t="s">
        <v>8005</v>
      </c>
    </row>
    <row r="4615" spans="1:13" x14ac:dyDescent="0.25">
      <c r="A4615" s="33">
        <v>4614</v>
      </c>
      <c r="B4615" t="s">
        <v>9235</v>
      </c>
      <c r="C4615" s="1">
        <v>37.435495046299998</v>
      </c>
      <c r="D4615" s="1">
        <v>-7.0740269526899997</v>
      </c>
      <c r="E4615" s="3">
        <v>4</v>
      </c>
      <c r="F4615" s="2">
        <v>3</v>
      </c>
      <c r="G4615" s="4">
        <v>5</v>
      </c>
      <c r="H4615" s="13">
        <v>3</v>
      </c>
      <c r="I4615" s="34">
        <v>4</v>
      </c>
      <c r="J4615" s="35">
        <v>4</v>
      </c>
      <c r="K4615" s="2" t="s">
        <v>9236</v>
      </c>
      <c r="L4615" s="36" t="str">
        <f t="shared" si="77"/>
        <v>Ver Imagen</v>
      </c>
      <c r="M4615" t="s">
        <v>8005</v>
      </c>
    </row>
    <row r="4616" spans="1:13" x14ac:dyDescent="0.25">
      <c r="A4616" s="33">
        <v>4615</v>
      </c>
      <c r="B4616" t="s">
        <v>9237</v>
      </c>
      <c r="C4616" s="1">
        <v>37.435406222700003</v>
      </c>
      <c r="D4616" s="1">
        <v>-7.0730024488499996</v>
      </c>
      <c r="E4616" s="3">
        <v>3</v>
      </c>
      <c r="F4616" s="2">
        <v>3</v>
      </c>
      <c r="G4616" s="4">
        <v>5</v>
      </c>
      <c r="H4616" s="13">
        <v>2</v>
      </c>
      <c r="I4616" s="34">
        <v>2</v>
      </c>
      <c r="J4616" s="37">
        <v>2</v>
      </c>
      <c r="K4616" s="2" t="s">
        <v>9238</v>
      </c>
      <c r="L4616" s="36" t="str">
        <f t="shared" si="77"/>
        <v>Ver Imagen</v>
      </c>
      <c r="M4616" s="37" t="s">
        <v>8052</v>
      </c>
    </row>
    <row r="4617" spans="1:13" x14ac:dyDescent="0.25">
      <c r="A4617" s="33">
        <v>4616</v>
      </c>
      <c r="B4617" t="s">
        <v>9239</v>
      </c>
      <c r="C4617" s="1">
        <v>37.435385066599999</v>
      </c>
      <c r="D4617" s="1">
        <v>-7.0727440786300004</v>
      </c>
      <c r="E4617" s="3">
        <v>3</v>
      </c>
      <c r="F4617" s="2">
        <v>3</v>
      </c>
      <c r="G4617" s="4">
        <v>5</v>
      </c>
      <c r="H4617" s="13">
        <v>3</v>
      </c>
      <c r="I4617" s="34">
        <v>3</v>
      </c>
      <c r="J4617" s="35">
        <v>3</v>
      </c>
      <c r="K4617" s="2" t="s">
        <v>9240</v>
      </c>
      <c r="L4617" s="36" t="str">
        <f t="shared" si="77"/>
        <v>Ver Imagen</v>
      </c>
      <c r="M4617" t="s">
        <v>8005</v>
      </c>
    </row>
    <row r="4618" spans="1:13" x14ac:dyDescent="0.25">
      <c r="A4618" s="33">
        <v>4617</v>
      </c>
      <c r="B4618" t="s">
        <v>9241</v>
      </c>
      <c r="C4618" s="1">
        <v>37.435171062000002</v>
      </c>
      <c r="D4618" s="1">
        <v>-7.0707321871</v>
      </c>
      <c r="E4618" s="3">
        <v>3</v>
      </c>
      <c r="F4618" s="2">
        <v>3</v>
      </c>
      <c r="G4618" s="4">
        <v>1</v>
      </c>
      <c r="H4618" s="13">
        <v>3</v>
      </c>
      <c r="I4618" s="34">
        <v>3</v>
      </c>
      <c r="J4618" s="35">
        <v>3</v>
      </c>
      <c r="K4618" s="2" t="s">
        <v>9242</v>
      </c>
      <c r="L4618" s="36" t="str">
        <f t="shared" si="77"/>
        <v>Ver Imagen</v>
      </c>
      <c r="M4618" t="s">
        <v>8005</v>
      </c>
    </row>
    <row r="4619" spans="1:13" x14ac:dyDescent="0.25">
      <c r="A4619" s="33">
        <v>4618</v>
      </c>
      <c r="B4619" t="s">
        <v>9243</v>
      </c>
      <c r="C4619" s="1">
        <v>37.434903599199998</v>
      </c>
      <c r="D4619" s="1">
        <v>-7.0695227484999998</v>
      </c>
      <c r="E4619" s="3">
        <v>3</v>
      </c>
      <c r="F4619" s="2">
        <v>3</v>
      </c>
      <c r="G4619" s="4">
        <v>1</v>
      </c>
      <c r="H4619" s="13">
        <v>3</v>
      </c>
      <c r="I4619" s="34">
        <v>3</v>
      </c>
      <c r="J4619" s="35">
        <v>3</v>
      </c>
      <c r="K4619" s="2" t="s">
        <v>9244</v>
      </c>
      <c r="L4619" s="36" t="str">
        <f t="shared" si="77"/>
        <v>Ver Imagen</v>
      </c>
      <c r="M4619" t="s">
        <v>8005</v>
      </c>
    </row>
    <row r="4620" spans="1:13" x14ac:dyDescent="0.25">
      <c r="A4620" s="33">
        <v>4619</v>
      </c>
      <c r="B4620" t="s">
        <v>9245</v>
      </c>
      <c r="C4620" s="1">
        <v>37.234646633899999</v>
      </c>
      <c r="D4620" s="1">
        <v>-7.0719821676199999</v>
      </c>
      <c r="E4620" s="3">
        <v>3</v>
      </c>
      <c r="F4620" s="2">
        <v>2</v>
      </c>
      <c r="G4620" s="4">
        <v>4</v>
      </c>
      <c r="H4620" s="13">
        <v>2</v>
      </c>
      <c r="I4620" s="34">
        <v>1</v>
      </c>
      <c r="J4620" s="37">
        <v>1</v>
      </c>
      <c r="K4620" s="2" t="s">
        <v>9246</v>
      </c>
      <c r="L4620" s="36" t="str">
        <f t="shared" si="77"/>
        <v>Ver Imagen</v>
      </c>
      <c r="M4620" s="37" t="s">
        <v>8052</v>
      </c>
    </row>
    <row r="4621" spans="1:13" x14ac:dyDescent="0.25">
      <c r="A4621" s="33">
        <v>4620</v>
      </c>
      <c r="B4621" t="s">
        <v>9247</v>
      </c>
      <c r="C4621" s="1">
        <v>37.234862778900002</v>
      </c>
      <c r="D4621" s="1">
        <v>-7.0726528652600003</v>
      </c>
      <c r="E4621" s="3">
        <v>3</v>
      </c>
      <c r="F4621" s="2">
        <v>2</v>
      </c>
      <c r="G4621" s="4">
        <v>4</v>
      </c>
      <c r="H4621" s="13">
        <v>2</v>
      </c>
      <c r="I4621" s="34">
        <v>1</v>
      </c>
      <c r="J4621" s="35">
        <v>2</v>
      </c>
      <c r="K4621" s="2" t="s">
        <v>9248</v>
      </c>
      <c r="L4621" s="36" t="str">
        <f t="shared" si="77"/>
        <v>Ver Imagen</v>
      </c>
      <c r="M4621" t="s">
        <v>8005</v>
      </c>
    </row>
    <row r="4622" spans="1:13" x14ac:dyDescent="0.25">
      <c r="A4622" s="33">
        <v>4621</v>
      </c>
      <c r="B4622" t="s">
        <v>9249</v>
      </c>
      <c r="C4622" s="1">
        <v>37.235504255999999</v>
      </c>
      <c r="D4622" s="1">
        <v>-7.0739227229599999</v>
      </c>
      <c r="E4622" s="3">
        <v>3</v>
      </c>
      <c r="F4622" s="2">
        <v>2</v>
      </c>
      <c r="G4622" s="4">
        <v>4</v>
      </c>
      <c r="H4622" s="13">
        <v>2</v>
      </c>
      <c r="I4622" s="34">
        <v>2</v>
      </c>
      <c r="J4622" s="35">
        <v>2</v>
      </c>
      <c r="K4622" s="2" t="s">
        <v>9250</v>
      </c>
      <c r="L4622" s="36" t="str">
        <f t="shared" si="77"/>
        <v>Ver Imagen</v>
      </c>
      <c r="M4622" t="s">
        <v>8005</v>
      </c>
    </row>
    <row r="4623" spans="1:13" x14ac:dyDescent="0.25">
      <c r="A4623" s="33">
        <v>4622</v>
      </c>
      <c r="B4623" t="s">
        <v>9251</v>
      </c>
      <c r="C4623" s="1">
        <v>37.238219489700001</v>
      </c>
      <c r="D4623" s="1">
        <v>-7.0787057613900002</v>
      </c>
      <c r="E4623" s="3">
        <v>3</v>
      </c>
      <c r="F4623" s="2">
        <v>2</v>
      </c>
      <c r="G4623" s="4">
        <v>4</v>
      </c>
      <c r="H4623" s="13">
        <v>2</v>
      </c>
      <c r="I4623" s="34">
        <v>2</v>
      </c>
      <c r="J4623" s="35">
        <v>2</v>
      </c>
      <c r="K4623" s="2" t="s">
        <v>9252</v>
      </c>
      <c r="L4623" s="36" t="str">
        <f t="shared" si="77"/>
        <v>Ver Imagen</v>
      </c>
      <c r="M4623" t="s">
        <v>8005</v>
      </c>
    </row>
    <row r="4624" spans="1:13" x14ac:dyDescent="0.25">
      <c r="A4624" s="33">
        <v>4623</v>
      </c>
      <c r="B4624" t="s">
        <v>9253</v>
      </c>
      <c r="C4624" s="1">
        <v>37.241678919899996</v>
      </c>
      <c r="D4624" s="1">
        <v>-7.0839572134599997</v>
      </c>
      <c r="E4624" s="3">
        <v>3</v>
      </c>
      <c r="F4624" s="2">
        <v>2</v>
      </c>
      <c r="G4624" s="4">
        <v>4</v>
      </c>
      <c r="H4624" s="13">
        <v>2</v>
      </c>
      <c r="I4624" s="34">
        <v>2</v>
      </c>
      <c r="J4624" s="35">
        <v>2</v>
      </c>
      <c r="K4624" s="2" t="s">
        <v>9254</v>
      </c>
      <c r="L4624" s="36" t="str">
        <f t="shared" si="77"/>
        <v>Ver Imagen</v>
      </c>
      <c r="M4624" t="s">
        <v>8005</v>
      </c>
    </row>
    <row r="4625" spans="1:13" x14ac:dyDescent="0.25">
      <c r="A4625" s="33">
        <v>4624</v>
      </c>
      <c r="B4625" t="s">
        <v>9255</v>
      </c>
      <c r="C4625" s="1">
        <v>37.241804261600002</v>
      </c>
      <c r="D4625" s="1">
        <v>-7.0841646256999997</v>
      </c>
      <c r="E4625" s="3">
        <v>3</v>
      </c>
      <c r="F4625" s="2">
        <v>2</v>
      </c>
      <c r="G4625" s="4">
        <v>4</v>
      </c>
      <c r="H4625" s="13">
        <v>2</v>
      </c>
      <c r="I4625" s="34">
        <v>2</v>
      </c>
      <c r="J4625" s="35">
        <v>2</v>
      </c>
      <c r="K4625" s="2" t="s">
        <v>9256</v>
      </c>
      <c r="L4625" s="36" t="str">
        <f t="shared" si="77"/>
        <v>Ver Imagen</v>
      </c>
      <c r="M4625" t="s">
        <v>8005</v>
      </c>
    </row>
    <row r="4626" spans="1:13" x14ac:dyDescent="0.25">
      <c r="A4626" s="33">
        <v>4625</v>
      </c>
      <c r="B4626" t="s">
        <v>9257</v>
      </c>
      <c r="C4626" s="1">
        <v>37.247821658699998</v>
      </c>
      <c r="D4626" s="1">
        <v>-7.1011808370600003</v>
      </c>
      <c r="E4626" s="3">
        <v>3</v>
      </c>
      <c r="F4626" s="2">
        <v>2</v>
      </c>
      <c r="G4626" s="4">
        <v>4</v>
      </c>
      <c r="H4626" s="13">
        <v>2</v>
      </c>
      <c r="I4626" s="34">
        <v>3</v>
      </c>
      <c r="J4626" s="37">
        <v>2</v>
      </c>
      <c r="K4626" s="2" t="s">
        <v>9258</v>
      </c>
      <c r="L4626" s="36" t="str">
        <f t="shared" si="77"/>
        <v>Ver Imagen</v>
      </c>
      <c r="M4626" s="37" t="s">
        <v>8052</v>
      </c>
    </row>
    <row r="4627" spans="1:13" x14ac:dyDescent="0.25">
      <c r="A4627" s="33">
        <v>4626</v>
      </c>
      <c r="B4627" t="s">
        <v>9259</v>
      </c>
      <c r="C4627" s="1">
        <v>37.255375557699999</v>
      </c>
      <c r="D4627" s="1">
        <v>-7.1106908937900002</v>
      </c>
      <c r="E4627" s="3">
        <v>3</v>
      </c>
      <c r="F4627" s="2">
        <v>2</v>
      </c>
      <c r="G4627" s="4">
        <v>4</v>
      </c>
      <c r="H4627" s="13">
        <v>1</v>
      </c>
      <c r="I4627" s="34">
        <v>2</v>
      </c>
      <c r="J4627" s="35">
        <v>2</v>
      </c>
      <c r="K4627" s="2" t="s">
        <v>9260</v>
      </c>
      <c r="L4627" s="36" t="str">
        <f t="shared" si="77"/>
        <v>Ver Imagen</v>
      </c>
      <c r="M4627" t="s">
        <v>8005</v>
      </c>
    </row>
    <row r="4628" spans="1:13" x14ac:dyDescent="0.25">
      <c r="A4628" s="33">
        <v>4627</v>
      </c>
      <c r="B4628" t="s">
        <v>9261</v>
      </c>
      <c r="C4628" s="1">
        <v>37.255382617800002</v>
      </c>
      <c r="D4628" s="1">
        <v>-7.1109169864100004</v>
      </c>
      <c r="E4628" s="3">
        <v>3</v>
      </c>
      <c r="F4628" s="2">
        <v>2</v>
      </c>
      <c r="G4628" s="4">
        <v>4</v>
      </c>
      <c r="H4628" s="13">
        <v>2</v>
      </c>
      <c r="I4628" s="34">
        <v>2</v>
      </c>
      <c r="J4628" s="35">
        <v>2</v>
      </c>
      <c r="K4628" s="2" t="s">
        <v>9262</v>
      </c>
      <c r="L4628" s="36" t="str">
        <f t="shared" si="77"/>
        <v>Ver Imagen</v>
      </c>
      <c r="M4628" t="s">
        <v>8005</v>
      </c>
    </row>
    <row r="4629" spans="1:13" x14ac:dyDescent="0.25">
      <c r="A4629" s="33">
        <v>4628</v>
      </c>
      <c r="B4629" t="s">
        <v>9263</v>
      </c>
      <c r="C4629" s="1">
        <v>37.255376013099998</v>
      </c>
      <c r="D4629" s="1">
        <v>-7.1111734133300004</v>
      </c>
      <c r="E4629" s="3">
        <v>3</v>
      </c>
      <c r="F4629" s="2">
        <v>2</v>
      </c>
      <c r="G4629" s="4">
        <v>4</v>
      </c>
      <c r="H4629" s="13">
        <v>2</v>
      </c>
      <c r="I4629" s="34">
        <v>2</v>
      </c>
      <c r="J4629" s="35">
        <v>2</v>
      </c>
      <c r="K4629" s="2" t="s">
        <v>9264</v>
      </c>
      <c r="L4629" s="36" t="str">
        <f t="shared" si="77"/>
        <v>Ver Imagen</v>
      </c>
      <c r="M4629" t="s">
        <v>8005</v>
      </c>
    </row>
    <row r="4630" spans="1:13" x14ac:dyDescent="0.25">
      <c r="A4630" s="33">
        <v>4629</v>
      </c>
      <c r="B4630" t="s">
        <v>9265</v>
      </c>
      <c r="C4630" s="1">
        <v>37.255111172399999</v>
      </c>
      <c r="D4630" s="1">
        <v>-7.1174468928000003</v>
      </c>
      <c r="E4630" s="3">
        <v>3</v>
      </c>
      <c r="F4630" s="2">
        <v>2</v>
      </c>
      <c r="G4630" s="4">
        <v>4</v>
      </c>
      <c r="H4630" s="13">
        <v>2</v>
      </c>
      <c r="I4630" s="34">
        <v>2</v>
      </c>
      <c r="J4630" s="35">
        <v>2</v>
      </c>
      <c r="K4630" s="2" t="s">
        <v>9266</v>
      </c>
      <c r="L4630" s="36" t="str">
        <f t="shared" si="77"/>
        <v>Ver Imagen</v>
      </c>
      <c r="M4630" t="s">
        <v>8005</v>
      </c>
    </row>
    <row r="4631" spans="1:13" x14ac:dyDescent="0.25">
      <c r="A4631" s="33">
        <v>4630</v>
      </c>
      <c r="B4631" t="s">
        <v>9267</v>
      </c>
      <c r="C4631" s="1">
        <v>37.256550867000001</v>
      </c>
      <c r="D4631" s="1">
        <v>-7.1187973395900004</v>
      </c>
      <c r="E4631" s="3">
        <v>3</v>
      </c>
      <c r="F4631" s="2">
        <v>2</v>
      </c>
      <c r="G4631" s="4">
        <v>4</v>
      </c>
      <c r="H4631" s="13">
        <v>2</v>
      </c>
      <c r="I4631" s="34">
        <v>2</v>
      </c>
      <c r="J4631" s="35">
        <v>2</v>
      </c>
      <c r="K4631" s="2" t="s">
        <v>9268</v>
      </c>
      <c r="L4631" s="36" t="str">
        <f t="shared" si="77"/>
        <v>Ver Imagen</v>
      </c>
      <c r="M4631" t="s">
        <v>8005</v>
      </c>
    </row>
    <row r="4632" spans="1:13" x14ac:dyDescent="0.25">
      <c r="A4632" s="33">
        <v>4631</v>
      </c>
      <c r="B4632" t="s">
        <v>9269</v>
      </c>
      <c r="C4632" s="1">
        <v>37.257769337799999</v>
      </c>
      <c r="D4632" s="1">
        <v>-7.1196901660899998</v>
      </c>
      <c r="E4632" s="3">
        <v>3</v>
      </c>
      <c r="F4632" s="2">
        <v>2</v>
      </c>
      <c r="G4632" s="4">
        <v>4</v>
      </c>
      <c r="H4632" s="13">
        <v>2</v>
      </c>
      <c r="I4632" s="34">
        <v>3</v>
      </c>
      <c r="J4632" s="35">
        <v>3</v>
      </c>
      <c r="K4632" s="2" t="s">
        <v>9270</v>
      </c>
      <c r="L4632" s="36" t="str">
        <f t="shared" si="77"/>
        <v>Ver Imagen</v>
      </c>
      <c r="M4632" t="s">
        <v>8005</v>
      </c>
    </row>
    <row r="4633" spans="1:13" x14ac:dyDescent="0.25">
      <c r="A4633" s="33">
        <v>4632</v>
      </c>
      <c r="B4633" t="s">
        <v>9271</v>
      </c>
      <c r="C4633" s="1">
        <v>37.258894044500003</v>
      </c>
      <c r="D4633" s="1">
        <v>-7.1235269267100003</v>
      </c>
      <c r="E4633" s="3">
        <v>4</v>
      </c>
      <c r="F4633" s="2">
        <v>3</v>
      </c>
      <c r="G4633" s="4">
        <v>5</v>
      </c>
      <c r="H4633" s="13">
        <v>3</v>
      </c>
      <c r="I4633" s="34">
        <v>4</v>
      </c>
      <c r="J4633" s="35">
        <v>4</v>
      </c>
      <c r="K4633" s="2" t="s">
        <v>9272</v>
      </c>
      <c r="L4633" s="36" t="str">
        <f t="shared" si="77"/>
        <v>Ver Imagen</v>
      </c>
      <c r="M4633" t="s">
        <v>8005</v>
      </c>
    </row>
    <row r="4634" spans="1:13" x14ac:dyDescent="0.25">
      <c r="A4634" s="33">
        <v>4633</v>
      </c>
      <c r="B4634" t="s">
        <v>9273</v>
      </c>
      <c r="C4634" s="1">
        <v>37.2589180931</v>
      </c>
      <c r="D4634" s="1">
        <v>-7.1238292239099996</v>
      </c>
      <c r="E4634" s="3">
        <v>4</v>
      </c>
      <c r="F4634" s="2">
        <v>3</v>
      </c>
      <c r="G4634" s="4">
        <v>5</v>
      </c>
      <c r="H4634" s="13">
        <v>3</v>
      </c>
      <c r="I4634" s="34">
        <v>4</v>
      </c>
      <c r="J4634" s="35">
        <v>4</v>
      </c>
      <c r="K4634" s="2" t="s">
        <v>9274</v>
      </c>
      <c r="L4634" s="36" t="str">
        <f t="shared" si="77"/>
        <v>Ver Imagen</v>
      </c>
      <c r="M4634" t="s">
        <v>8005</v>
      </c>
    </row>
    <row r="4635" spans="1:13" x14ac:dyDescent="0.25">
      <c r="A4635" s="33">
        <v>4634</v>
      </c>
      <c r="B4635" t="s">
        <v>9275</v>
      </c>
      <c r="C4635" s="1">
        <v>37.258990104399999</v>
      </c>
      <c r="D4635" s="1">
        <v>-7.1245738105500003</v>
      </c>
      <c r="E4635" s="3">
        <v>4</v>
      </c>
      <c r="F4635" s="2">
        <v>3</v>
      </c>
      <c r="G4635" s="4">
        <v>5</v>
      </c>
      <c r="H4635" s="13">
        <v>3</v>
      </c>
      <c r="I4635" s="34">
        <v>3</v>
      </c>
      <c r="J4635" s="35">
        <v>3</v>
      </c>
      <c r="K4635" s="2" t="s">
        <v>9276</v>
      </c>
      <c r="L4635" s="36" t="str">
        <f t="shared" si="77"/>
        <v>Ver Imagen</v>
      </c>
      <c r="M4635" t="s">
        <v>8005</v>
      </c>
    </row>
    <row r="4636" spans="1:13" x14ac:dyDescent="0.25">
      <c r="A4636" s="33">
        <v>4635</v>
      </c>
      <c r="B4636" t="s">
        <v>9277</v>
      </c>
      <c r="C4636" s="1">
        <v>37.259030052900002</v>
      </c>
      <c r="D4636" s="1">
        <v>-7.1248279390300002</v>
      </c>
      <c r="E4636" s="3">
        <v>3</v>
      </c>
      <c r="F4636" s="2">
        <v>3</v>
      </c>
      <c r="G4636" s="4">
        <v>5</v>
      </c>
      <c r="H4636" s="13">
        <v>2</v>
      </c>
      <c r="I4636" s="34">
        <v>3</v>
      </c>
      <c r="J4636" s="35">
        <v>3</v>
      </c>
      <c r="K4636" s="2" t="s">
        <v>9278</v>
      </c>
      <c r="L4636" s="36" t="str">
        <f t="shared" si="77"/>
        <v>Ver Imagen</v>
      </c>
      <c r="M4636" t="s">
        <v>8005</v>
      </c>
    </row>
    <row r="4637" spans="1:13" x14ac:dyDescent="0.25">
      <c r="A4637" s="33">
        <v>4636</v>
      </c>
      <c r="B4637" t="s">
        <v>9279</v>
      </c>
      <c r="C4637" s="1">
        <v>37.259871133099999</v>
      </c>
      <c r="D4637" s="1">
        <v>-7.1264702160000004</v>
      </c>
      <c r="E4637" s="3">
        <v>3</v>
      </c>
      <c r="F4637" s="2">
        <v>2</v>
      </c>
      <c r="G4637" s="4">
        <v>4</v>
      </c>
      <c r="H4637" s="13">
        <v>2</v>
      </c>
      <c r="I4637" s="34">
        <v>2</v>
      </c>
      <c r="J4637" s="35">
        <v>2</v>
      </c>
      <c r="K4637" s="2" t="s">
        <v>9280</v>
      </c>
      <c r="L4637" s="36" t="str">
        <f t="shared" si="77"/>
        <v>Ver Imagen</v>
      </c>
      <c r="M4637" t="s">
        <v>8005</v>
      </c>
    </row>
    <row r="4638" spans="1:13" x14ac:dyDescent="0.25">
      <c r="A4638" s="33">
        <v>4637</v>
      </c>
      <c r="B4638" t="s">
        <v>9281</v>
      </c>
      <c r="C4638" s="1">
        <v>37.260493537499997</v>
      </c>
      <c r="D4638" s="1">
        <v>-7.1270947206399997</v>
      </c>
      <c r="E4638" s="3">
        <v>3</v>
      </c>
      <c r="F4638" s="2">
        <v>2</v>
      </c>
      <c r="G4638" s="4">
        <v>4</v>
      </c>
      <c r="H4638" s="13">
        <v>2</v>
      </c>
      <c r="I4638" s="34">
        <v>2</v>
      </c>
      <c r="J4638" s="35">
        <v>2</v>
      </c>
      <c r="K4638" s="2" t="s">
        <v>9282</v>
      </c>
      <c r="L4638" s="36" t="str">
        <f t="shared" ref="L4638:L4701" si="78">HYPERLINK("NoConsenso\" &amp; K4638, "Ver Imagen")</f>
        <v>Ver Imagen</v>
      </c>
      <c r="M4638" t="s">
        <v>8005</v>
      </c>
    </row>
    <row r="4639" spans="1:13" x14ac:dyDescent="0.25">
      <c r="A4639" s="33">
        <v>4638</v>
      </c>
      <c r="B4639" t="s">
        <v>9283</v>
      </c>
      <c r="C4639" s="1">
        <v>37.261066654099999</v>
      </c>
      <c r="D4639" s="1">
        <v>-7.1281587782600004</v>
      </c>
      <c r="E4639" s="3">
        <v>3</v>
      </c>
      <c r="F4639" s="2">
        <v>2</v>
      </c>
      <c r="G4639" s="4">
        <v>4</v>
      </c>
      <c r="H4639" s="13">
        <v>1</v>
      </c>
      <c r="I4639" s="34">
        <v>1</v>
      </c>
      <c r="J4639" s="37">
        <v>1</v>
      </c>
      <c r="K4639" s="2" t="s">
        <v>9284</v>
      </c>
      <c r="L4639" s="36" t="str">
        <f t="shared" si="78"/>
        <v>Ver Imagen</v>
      </c>
      <c r="M4639" s="37" t="s">
        <v>8052</v>
      </c>
    </row>
    <row r="4640" spans="1:13" x14ac:dyDescent="0.25">
      <c r="A4640" s="33">
        <v>4639</v>
      </c>
      <c r="B4640" t="s">
        <v>9285</v>
      </c>
      <c r="C4640" s="1">
        <v>37.444086111600001</v>
      </c>
      <c r="D4640" s="1">
        <v>-7.1000021493499998</v>
      </c>
      <c r="E4640" s="3">
        <v>5</v>
      </c>
      <c r="F4640" s="2">
        <v>3</v>
      </c>
      <c r="G4640" s="4">
        <v>3</v>
      </c>
      <c r="H4640" s="13">
        <v>4</v>
      </c>
      <c r="I4640" s="34">
        <v>3</v>
      </c>
      <c r="J4640" s="35">
        <v>3</v>
      </c>
      <c r="K4640" s="2" t="s">
        <v>9286</v>
      </c>
      <c r="L4640" s="36" t="str">
        <f t="shared" si="78"/>
        <v>Ver Imagen</v>
      </c>
      <c r="M4640" t="s">
        <v>8005</v>
      </c>
    </row>
    <row r="4641" spans="1:13" x14ac:dyDescent="0.25">
      <c r="A4641" s="33">
        <v>4640</v>
      </c>
      <c r="B4641" t="s">
        <v>9287</v>
      </c>
      <c r="C4641" s="1">
        <v>37.4836230517</v>
      </c>
      <c r="D4641" s="1">
        <v>-7.1295216251299998</v>
      </c>
      <c r="E4641" s="3">
        <v>2</v>
      </c>
      <c r="F4641" s="2">
        <v>3</v>
      </c>
      <c r="G4641" s="4">
        <v>4</v>
      </c>
      <c r="H4641" s="13">
        <v>2</v>
      </c>
      <c r="I4641" s="34">
        <v>1</v>
      </c>
      <c r="J4641" s="35">
        <v>2</v>
      </c>
      <c r="K4641" s="2" t="s">
        <v>9288</v>
      </c>
      <c r="L4641" s="36" t="str">
        <f t="shared" si="78"/>
        <v>Ver Imagen</v>
      </c>
      <c r="M4641" t="s">
        <v>8005</v>
      </c>
    </row>
    <row r="4642" spans="1:13" x14ac:dyDescent="0.25">
      <c r="A4642" s="33">
        <v>4641</v>
      </c>
      <c r="B4642" t="s">
        <v>9289</v>
      </c>
      <c r="C4642" s="1">
        <v>37.480536313400002</v>
      </c>
      <c r="D4642" s="1">
        <v>-7.1277583396799997</v>
      </c>
      <c r="E4642" s="3">
        <v>5</v>
      </c>
      <c r="F4642" s="2">
        <v>3</v>
      </c>
      <c r="G4642" s="4">
        <v>4</v>
      </c>
      <c r="H4642" s="13">
        <v>4</v>
      </c>
      <c r="I4642" s="34">
        <v>3</v>
      </c>
      <c r="J4642" s="35">
        <v>4</v>
      </c>
      <c r="K4642" s="2" t="s">
        <v>9290</v>
      </c>
      <c r="L4642" s="36" t="str">
        <f t="shared" si="78"/>
        <v>Ver Imagen</v>
      </c>
      <c r="M4642" t="s">
        <v>8005</v>
      </c>
    </row>
    <row r="4643" spans="1:13" x14ac:dyDescent="0.25">
      <c r="A4643" s="33">
        <v>4642</v>
      </c>
      <c r="B4643" t="s">
        <v>9291</v>
      </c>
      <c r="C4643" s="1">
        <v>37.479328979100003</v>
      </c>
      <c r="D4643" s="1">
        <v>-7.1280194446199996</v>
      </c>
      <c r="E4643" s="3">
        <v>5</v>
      </c>
      <c r="F4643" s="2">
        <v>3</v>
      </c>
      <c r="G4643" s="4">
        <v>4</v>
      </c>
      <c r="H4643" s="13">
        <v>3</v>
      </c>
      <c r="I4643" s="34">
        <v>3</v>
      </c>
      <c r="J4643" s="35">
        <v>3</v>
      </c>
      <c r="K4643" s="2" t="s">
        <v>9292</v>
      </c>
      <c r="L4643" s="36" t="str">
        <f t="shared" si="78"/>
        <v>Ver Imagen</v>
      </c>
      <c r="M4643" t="s">
        <v>8005</v>
      </c>
    </row>
    <row r="4644" spans="1:13" x14ac:dyDescent="0.25">
      <c r="A4644" s="33">
        <v>4643</v>
      </c>
      <c r="B4644" t="s">
        <v>9293</v>
      </c>
      <c r="C4644" s="1">
        <v>37.478950059100001</v>
      </c>
      <c r="D4644" s="1">
        <v>-7.1279605572899998</v>
      </c>
      <c r="E4644" s="3">
        <v>4</v>
      </c>
      <c r="F4644" s="2">
        <v>3</v>
      </c>
      <c r="G4644" s="4">
        <v>2</v>
      </c>
      <c r="H4644" s="13">
        <v>2</v>
      </c>
      <c r="I4644" s="34">
        <v>2</v>
      </c>
      <c r="J4644" s="35">
        <v>2</v>
      </c>
      <c r="K4644" s="2" t="s">
        <v>9294</v>
      </c>
      <c r="L4644" s="36" t="str">
        <f t="shared" si="78"/>
        <v>Ver Imagen</v>
      </c>
      <c r="M4644" t="s">
        <v>8005</v>
      </c>
    </row>
    <row r="4645" spans="1:13" x14ac:dyDescent="0.25">
      <c r="A4645" s="33">
        <v>4644</v>
      </c>
      <c r="B4645" t="s">
        <v>9295</v>
      </c>
      <c r="C4645" s="1">
        <v>37.478388455599998</v>
      </c>
      <c r="D4645" s="1">
        <v>-7.1276847702400001</v>
      </c>
      <c r="E4645" s="3">
        <v>5</v>
      </c>
      <c r="F4645" s="2">
        <v>3</v>
      </c>
      <c r="G4645" s="4">
        <v>4</v>
      </c>
      <c r="H4645" s="13">
        <v>3</v>
      </c>
      <c r="I4645" s="34">
        <v>2</v>
      </c>
      <c r="J4645" s="35">
        <v>3</v>
      </c>
      <c r="K4645" s="2" t="s">
        <v>9296</v>
      </c>
      <c r="L4645" s="36" t="str">
        <f t="shared" si="78"/>
        <v>Ver Imagen</v>
      </c>
      <c r="M4645" t="s">
        <v>8005</v>
      </c>
    </row>
    <row r="4646" spans="1:13" x14ac:dyDescent="0.25">
      <c r="A4646" s="33">
        <v>4645</v>
      </c>
      <c r="B4646" t="s">
        <v>9297</v>
      </c>
      <c r="C4646" s="1">
        <v>37.477801395</v>
      </c>
      <c r="D4646" s="1">
        <v>-7.1270296388499998</v>
      </c>
      <c r="E4646" s="3">
        <v>5</v>
      </c>
      <c r="F4646" s="2">
        <v>3</v>
      </c>
      <c r="G4646" s="4">
        <v>3</v>
      </c>
      <c r="H4646" s="13">
        <v>2</v>
      </c>
      <c r="I4646" s="34">
        <v>2</v>
      </c>
      <c r="J4646" s="35">
        <v>3</v>
      </c>
      <c r="K4646" s="2" t="s">
        <v>9298</v>
      </c>
      <c r="L4646" s="36" t="str">
        <f t="shared" si="78"/>
        <v>Ver Imagen</v>
      </c>
      <c r="M4646" t="s">
        <v>8005</v>
      </c>
    </row>
    <row r="4647" spans="1:13" x14ac:dyDescent="0.25">
      <c r="A4647" s="33">
        <v>4646</v>
      </c>
      <c r="B4647" t="s">
        <v>9299</v>
      </c>
      <c r="C4647" s="1">
        <v>37.477662707299999</v>
      </c>
      <c r="D4647" s="1">
        <v>-7.1268358664000004</v>
      </c>
      <c r="E4647" s="3">
        <v>5</v>
      </c>
      <c r="F4647" s="2">
        <v>3</v>
      </c>
      <c r="G4647" s="4">
        <v>4</v>
      </c>
      <c r="H4647" s="13">
        <v>3</v>
      </c>
      <c r="I4647" s="34">
        <v>3</v>
      </c>
      <c r="J4647" s="35">
        <v>3</v>
      </c>
      <c r="K4647" s="2" t="s">
        <v>9300</v>
      </c>
      <c r="L4647" s="36" t="str">
        <f t="shared" si="78"/>
        <v>Ver Imagen</v>
      </c>
      <c r="M4647" t="s">
        <v>8005</v>
      </c>
    </row>
    <row r="4648" spans="1:13" x14ac:dyDescent="0.25">
      <c r="A4648" s="33">
        <v>4647</v>
      </c>
      <c r="B4648" t="s">
        <v>9301</v>
      </c>
      <c r="C4648" s="1">
        <v>37.477261398400003</v>
      </c>
      <c r="D4648" s="1">
        <v>-7.12624825359</v>
      </c>
      <c r="E4648" s="3">
        <v>5</v>
      </c>
      <c r="F4648" s="2">
        <v>3</v>
      </c>
      <c r="G4648" s="4">
        <v>4</v>
      </c>
      <c r="H4648" s="13">
        <v>3</v>
      </c>
      <c r="I4648" s="34">
        <v>3</v>
      </c>
      <c r="J4648" s="35">
        <v>3</v>
      </c>
      <c r="K4648" s="2" t="s">
        <v>9302</v>
      </c>
      <c r="L4648" s="36" t="str">
        <f t="shared" si="78"/>
        <v>Ver Imagen</v>
      </c>
      <c r="M4648" t="s">
        <v>8005</v>
      </c>
    </row>
    <row r="4649" spans="1:13" x14ac:dyDescent="0.25">
      <c r="A4649" s="33">
        <v>4648</v>
      </c>
      <c r="B4649" t="s">
        <v>9303</v>
      </c>
      <c r="C4649" s="1">
        <v>37.475972873899998</v>
      </c>
      <c r="D4649" s="1">
        <v>-7.1258010164199996</v>
      </c>
      <c r="E4649" s="3">
        <v>4</v>
      </c>
      <c r="F4649" s="2">
        <v>3</v>
      </c>
      <c r="G4649" s="4">
        <v>2</v>
      </c>
      <c r="H4649" s="13">
        <v>3</v>
      </c>
      <c r="I4649" s="34">
        <v>3</v>
      </c>
      <c r="J4649" s="35">
        <v>3</v>
      </c>
      <c r="K4649" s="2" t="s">
        <v>9304</v>
      </c>
      <c r="L4649" s="36" t="str">
        <f t="shared" si="78"/>
        <v>Ver Imagen</v>
      </c>
      <c r="M4649" t="s">
        <v>8005</v>
      </c>
    </row>
    <row r="4650" spans="1:13" x14ac:dyDescent="0.25">
      <c r="A4650" s="33">
        <v>4649</v>
      </c>
      <c r="B4650" t="s">
        <v>9305</v>
      </c>
      <c r="C4650" s="1">
        <v>37.474388078499999</v>
      </c>
      <c r="D4650" s="1">
        <v>-7.1261377281799998</v>
      </c>
      <c r="E4650" s="3">
        <v>3</v>
      </c>
      <c r="F4650" s="2">
        <v>3</v>
      </c>
      <c r="G4650" s="4">
        <v>1</v>
      </c>
      <c r="H4650" s="13">
        <v>2</v>
      </c>
      <c r="I4650" s="34">
        <v>1</v>
      </c>
      <c r="J4650" s="35">
        <v>2</v>
      </c>
      <c r="K4650" s="2" t="s">
        <v>9306</v>
      </c>
      <c r="L4650" s="36" t="str">
        <f t="shared" si="78"/>
        <v>Ver Imagen</v>
      </c>
      <c r="M4650" t="s">
        <v>8005</v>
      </c>
    </row>
    <row r="4651" spans="1:13" x14ac:dyDescent="0.25">
      <c r="A4651" s="33">
        <v>4650</v>
      </c>
      <c r="B4651" t="s">
        <v>9307</v>
      </c>
      <c r="C4651" s="1">
        <v>37.464140699700003</v>
      </c>
      <c r="D4651" s="1">
        <v>-7.1237703983599996</v>
      </c>
      <c r="E4651" s="3">
        <v>1</v>
      </c>
      <c r="F4651" s="2">
        <v>3</v>
      </c>
      <c r="G4651" s="4">
        <v>3</v>
      </c>
      <c r="H4651" s="13">
        <v>1</v>
      </c>
      <c r="I4651" s="34">
        <v>1</v>
      </c>
      <c r="J4651" s="35">
        <v>1</v>
      </c>
      <c r="K4651" s="2" t="s">
        <v>9308</v>
      </c>
      <c r="L4651" s="36" t="str">
        <f t="shared" si="78"/>
        <v>Ver Imagen</v>
      </c>
      <c r="M4651" t="s">
        <v>8005</v>
      </c>
    </row>
    <row r="4652" spans="1:13" x14ac:dyDescent="0.25">
      <c r="A4652" s="33">
        <v>4651</v>
      </c>
      <c r="B4652" t="s">
        <v>9309</v>
      </c>
      <c r="C4652" s="1">
        <v>37.191970929</v>
      </c>
      <c r="D4652" s="1">
        <v>-6.9777029872999998</v>
      </c>
      <c r="E4652" s="3">
        <v>5</v>
      </c>
      <c r="F4652" s="2">
        <v>3</v>
      </c>
      <c r="G4652" s="4">
        <v>3</v>
      </c>
      <c r="H4652" s="13">
        <v>2</v>
      </c>
      <c r="I4652" s="34">
        <v>3</v>
      </c>
      <c r="J4652" s="35">
        <v>3</v>
      </c>
      <c r="K4652" s="2" t="s">
        <v>9310</v>
      </c>
      <c r="L4652" s="36" t="str">
        <f t="shared" si="78"/>
        <v>Ver Imagen</v>
      </c>
      <c r="M4652" t="s">
        <v>8005</v>
      </c>
    </row>
    <row r="4653" spans="1:13" x14ac:dyDescent="0.25">
      <c r="A4653" s="33">
        <v>4652</v>
      </c>
      <c r="B4653" t="s">
        <v>9311</v>
      </c>
      <c r="C4653" s="1">
        <v>37.186384467899998</v>
      </c>
      <c r="D4653" s="1">
        <v>-6.9797013793999998</v>
      </c>
      <c r="E4653" s="3">
        <v>3</v>
      </c>
      <c r="F4653" s="2">
        <v>4</v>
      </c>
      <c r="G4653" s="4">
        <v>5</v>
      </c>
      <c r="H4653" s="13">
        <v>3</v>
      </c>
      <c r="I4653" s="34">
        <v>4</v>
      </c>
      <c r="J4653" s="35">
        <v>4</v>
      </c>
      <c r="K4653" s="2" t="s">
        <v>9312</v>
      </c>
      <c r="L4653" s="36" t="str">
        <f t="shared" si="78"/>
        <v>Ver Imagen</v>
      </c>
      <c r="M4653" t="s">
        <v>8005</v>
      </c>
    </row>
    <row r="4654" spans="1:13" x14ac:dyDescent="0.25">
      <c r="A4654" s="33">
        <v>4653</v>
      </c>
      <c r="B4654" t="s">
        <v>9313</v>
      </c>
      <c r="C4654" s="1">
        <v>37.267346836500003</v>
      </c>
      <c r="D4654" s="1">
        <v>-6.95848794653</v>
      </c>
      <c r="E4654" s="3">
        <v>5</v>
      </c>
      <c r="F4654" s="2">
        <v>3</v>
      </c>
      <c r="G4654" s="4">
        <v>3</v>
      </c>
      <c r="H4654" s="13">
        <v>2</v>
      </c>
      <c r="I4654" s="34">
        <v>2</v>
      </c>
      <c r="J4654" s="37">
        <v>2</v>
      </c>
      <c r="K4654" s="2" t="s">
        <v>9314</v>
      </c>
      <c r="L4654" s="36" t="str">
        <f t="shared" si="78"/>
        <v>Ver Imagen</v>
      </c>
      <c r="M4654" s="37" t="s">
        <v>8052</v>
      </c>
    </row>
    <row r="4655" spans="1:13" x14ac:dyDescent="0.25">
      <c r="A4655" s="33">
        <v>4654</v>
      </c>
      <c r="B4655" t="s">
        <v>9315</v>
      </c>
      <c r="C4655" s="1">
        <v>37.2676474541</v>
      </c>
      <c r="D4655" s="1">
        <v>-6.9640481229200004</v>
      </c>
      <c r="E4655" s="3">
        <v>5</v>
      </c>
      <c r="F4655" s="2">
        <v>3</v>
      </c>
      <c r="G4655" s="4">
        <v>3</v>
      </c>
      <c r="H4655" s="13">
        <v>2</v>
      </c>
      <c r="I4655" s="34">
        <v>2</v>
      </c>
      <c r="J4655" s="35">
        <v>3</v>
      </c>
      <c r="K4655" s="2" t="s">
        <v>9316</v>
      </c>
      <c r="L4655" s="36" t="str">
        <f t="shared" si="78"/>
        <v>Ver Imagen</v>
      </c>
      <c r="M4655" t="s">
        <v>8005</v>
      </c>
    </row>
    <row r="4656" spans="1:13" x14ac:dyDescent="0.25">
      <c r="A4656" s="33">
        <v>4655</v>
      </c>
      <c r="B4656" t="s">
        <v>9317</v>
      </c>
      <c r="C4656" s="1">
        <v>37.267653568199997</v>
      </c>
      <c r="D4656" s="1">
        <v>-6.9643232421299999</v>
      </c>
      <c r="E4656" s="3">
        <v>5</v>
      </c>
      <c r="F4656" s="2">
        <v>3</v>
      </c>
      <c r="G4656" s="4">
        <v>3</v>
      </c>
      <c r="H4656" s="13">
        <v>3</v>
      </c>
      <c r="I4656" s="34">
        <v>3</v>
      </c>
      <c r="J4656" s="35">
        <v>3</v>
      </c>
      <c r="K4656" s="2" t="s">
        <v>9318</v>
      </c>
      <c r="L4656" s="36" t="str">
        <f t="shared" si="78"/>
        <v>Ver Imagen</v>
      </c>
      <c r="M4656" t="s">
        <v>8005</v>
      </c>
    </row>
    <row r="4657" spans="1:13" x14ac:dyDescent="0.25">
      <c r="A4657" s="33">
        <v>4656</v>
      </c>
      <c r="B4657" t="s">
        <v>9319</v>
      </c>
      <c r="C4657" s="1">
        <v>37.267660096500002</v>
      </c>
      <c r="D4657" s="1">
        <v>-6.96459546002</v>
      </c>
      <c r="E4657" s="3">
        <v>5</v>
      </c>
      <c r="F4657" s="2">
        <v>3</v>
      </c>
      <c r="G4657" s="4">
        <v>3</v>
      </c>
      <c r="H4657" s="13">
        <v>3</v>
      </c>
      <c r="I4657" s="34">
        <v>3</v>
      </c>
      <c r="J4657" s="35">
        <v>3</v>
      </c>
      <c r="K4657" s="2" t="s">
        <v>9320</v>
      </c>
      <c r="L4657" s="36" t="str">
        <f t="shared" si="78"/>
        <v>Ver Imagen</v>
      </c>
      <c r="M4657" t="s">
        <v>8005</v>
      </c>
    </row>
    <row r="4658" spans="1:13" x14ac:dyDescent="0.25">
      <c r="A4658" s="33">
        <v>4657</v>
      </c>
      <c r="B4658" t="s">
        <v>9321</v>
      </c>
      <c r="C4658" s="1">
        <v>37.267667118200002</v>
      </c>
      <c r="D4658" s="1">
        <v>-6.9648796276200002</v>
      </c>
      <c r="E4658" s="3">
        <v>5</v>
      </c>
      <c r="F4658" s="2">
        <v>3</v>
      </c>
      <c r="G4658" s="4">
        <v>3</v>
      </c>
      <c r="H4658" s="13">
        <v>3</v>
      </c>
      <c r="I4658" s="34">
        <v>3</v>
      </c>
      <c r="J4658" s="35">
        <v>3</v>
      </c>
      <c r="K4658" s="2" t="s">
        <v>9322</v>
      </c>
      <c r="L4658" s="36" t="str">
        <f t="shared" si="78"/>
        <v>Ver Imagen</v>
      </c>
      <c r="M4658" t="s">
        <v>8005</v>
      </c>
    </row>
    <row r="4659" spans="1:13" x14ac:dyDescent="0.25">
      <c r="A4659" s="33">
        <v>4658</v>
      </c>
      <c r="B4659" t="s">
        <v>9323</v>
      </c>
      <c r="C4659" s="1">
        <v>37.504460579800003</v>
      </c>
      <c r="D4659" s="1">
        <v>-7.2655789487</v>
      </c>
      <c r="E4659" s="3">
        <v>2</v>
      </c>
      <c r="F4659" s="2">
        <v>1</v>
      </c>
      <c r="G4659" s="4">
        <v>3</v>
      </c>
      <c r="H4659" s="13">
        <v>1</v>
      </c>
      <c r="I4659" s="34">
        <v>1</v>
      </c>
      <c r="J4659" s="35">
        <v>1</v>
      </c>
      <c r="K4659" s="2" t="s">
        <v>9324</v>
      </c>
      <c r="L4659" s="36" t="str">
        <f t="shared" si="78"/>
        <v>Ver Imagen</v>
      </c>
      <c r="M4659" t="s">
        <v>8005</v>
      </c>
    </row>
    <row r="4660" spans="1:13" x14ac:dyDescent="0.25">
      <c r="A4660" s="33">
        <v>4659</v>
      </c>
      <c r="B4660" t="s">
        <v>9325</v>
      </c>
      <c r="C4660" s="1">
        <v>37.506462263700001</v>
      </c>
      <c r="D4660" s="1">
        <v>-7.2653512195200003</v>
      </c>
      <c r="E4660" s="3">
        <v>2</v>
      </c>
      <c r="F4660" s="2">
        <v>1</v>
      </c>
      <c r="G4660" s="4">
        <v>3</v>
      </c>
      <c r="H4660" s="13">
        <v>1</v>
      </c>
      <c r="I4660" s="34">
        <v>1</v>
      </c>
      <c r="J4660" s="35">
        <v>1</v>
      </c>
      <c r="K4660" s="2" t="s">
        <v>9326</v>
      </c>
      <c r="L4660" s="36" t="str">
        <f t="shared" si="78"/>
        <v>Ver Imagen</v>
      </c>
      <c r="M4660" t="s">
        <v>8005</v>
      </c>
    </row>
    <row r="4661" spans="1:13" x14ac:dyDescent="0.25">
      <c r="A4661" s="33">
        <v>4660</v>
      </c>
      <c r="B4661" t="s">
        <v>9327</v>
      </c>
      <c r="C4661" s="1">
        <v>37.508051429399998</v>
      </c>
      <c r="D4661" s="1">
        <v>-7.2664015167900002</v>
      </c>
      <c r="E4661" s="3">
        <v>2</v>
      </c>
      <c r="F4661" s="2">
        <v>1</v>
      </c>
      <c r="G4661" s="4">
        <v>3</v>
      </c>
      <c r="H4661" s="13">
        <v>1</v>
      </c>
      <c r="I4661" s="34">
        <v>1</v>
      </c>
      <c r="J4661" s="35">
        <v>1</v>
      </c>
      <c r="K4661" s="2" t="s">
        <v>9328</v>
      </c>
      <c r="L4661" s="36" t="str">
        <f t="shared" si="78"/>
        <v>Ver Imagen</v>
      </c>
      <c r="M4661" t="s">
        <v>8005</v>
      </c>
    </row>
    <row r="4662" spans="1:13" x14ac:dyDescent="0.25">
      <c r="A4662" s="33">
        <v>4661</v>
      </c>
      <c r="B4662" t="s">
        <v>9329</v>
      </c>
      <c r="C4662" s="1">
        <v>37.508215288000002</v>
      </c>
      <c r="D4662" s="1">
        <v>-7.2665347273699998</v>
      </c>
      <c r="E4662" s="3">
        <v>2</v>
      </c>
      <c r="F4662" s="2">
        <v>1</v>
      </c>
      <c r="G4662" s="4">
        <v>3</v>
      </c>
      <c r="H4662" s="13">
        <v>1</v>
      </c>
      <c r="I4662" s="34">
        <v>1</v>
      </c>
      <c r="J4662" s="35">
        <v>1</v>
      </c>
      <c r="K4662" s="2" t="s">
        <v>9330</v>
      </c>
      <c r="L4662" s="36" t="str">
        <f t="shared" si="78"/>
        <v>Ver Imagen</v>
      </c>
      <c r="M4662" t="s">
        <v>8005</v>
      </c>
    </row>
    <row r="4663" spans="1:13" x14ac:dyDescent="0.25">
      <c r="A4663" s="33">
        <v>4662</v>
      </c>
      <c r="B4663" t="s">
        <v>9331</v>
      </c>
      <c r="C4663" s="1">
        <v>37.516758156500003</v>
      </c>
      <c r="D4663" s="1">
        <v>-7.26633683851</v>
      </c>
      <c r="E4663" s="3">
        <v>1</v>
      </c>
      <c r="F4663" s="2">
        <v>1</v>
      </c>
      <c r="G4663" s="4">
        <v>3</v>
      </c>
      <c r="H4663" s="13">
        <v>1</v>
      </c>
      <c r="I4663" s="34">
        <v>1</v>
      </c>
      <c r="J4663" s="35">
        <v>1</v>
      </c>
      <c r="K4663" s="2" t="s">
        <v>9332</v>
      </c>
      <c r="L4663" s="36" t="str">
        <f t="shared" si="78"/>
        <v>Ver Imagen</v>
      </c>
      <c r="M4663" t="s">
        <v>8005</v>
      </c>
    </row>
    <row r="4664" spans="1:13" x14ac:dyDescent="0.25">
      <c r="A4664" s="33">
        <v>4663</v>
      </c>
      <c r="B4664" t="s">
        <v>9333</v>
      </c>
      <c r="C4664" s="1">
        <v>37.520257884800003</v>
      </c>
      <c r="D4664" s="1">
        <v>-7.2610141158100001</v>
      </c>
      <c r="E4664" s="3">
        <v>2</v>
      </c>
      <c r="F4664" s="2">
        <v>1</v>
      </c>
      <c r="G4664" s="4">
        <v>3</v>
      </c>
      <c r="H4664" s="13">
        <v>1</v>
      </c>
      <c r="I4664" s="34">
        <v>1</v>
      </c>
      <c r="J4664" s="35">
        <v>1</v>
      </c>
      <c r="K4664" s="2" t="s">
        <v>9334</v>
      </c>
      <c r="L4664" s="36" t="str">
        <f t="shared" si="78"/>
        <v>Ver Imagen</v>
      </c>
      <c r="M4664" t="s">
        <v>8005</v>
      </c>
    </row>
    <row r="4665" spans="1:13" x14ac:dyDescent="0.25">
      <c r="A4665" s="33">
        <v>4664</v>
      </c>
      <c r="B4665" t="s">
        <v>9335</v>
      </c>
      <c r="C4665" s="1">
        <v>37.267695473800003</v>
      </c>
      <c r="D4665" s="1">
        <v>-6.96582409099</v>
      </c>
      <c r="E4665" s="3">
        <v>5</v>
      </c>
      <c r="F4665" s="2">
        <v>3</v>
      </c>
      <c r="G4665" s="4">
        <v>3</v>
      </c>
      <c r="H4665" s="13">
        <v>3</v>
      </c>
      <c r="I4665" s="34">
        <v>3</v>
      </c>
      <c r="J4665" s="35">
        <v>3</v>
      </c>
      <c r="K4665" s="2" t="s">
        <v>9336</v>
      </c>
      <c r="L4665" s="36" t="str">
        <f t="shared" si="78"/>
        <v>Ver Imagen</v>
      </c>
      <c r="M4665" t="s">
        <v>8005</v>
      </c>
    </row>
    <row r="4666" spans="1:13" x14ac:dyDescent="0.25">
      <c r="A4666" s="33">
        <v>4665</v>
      </c>
      <c r="B4666" t="s">
        <v>9337</v>
      </c>
      <c r="C4666" s="1">
        <v>37.267731386900003</v>
      </c>
      <c r="D4666" s="1">
        <v>-6.9666100803499997</v>
      </c>
      <c r="E4666" s="3">
        <v>5</v>
      </c>
      <c r="F4666" s="2">
        <v>3</v>
      </c>
      <c r="G4666" s="4">
        <v>3</v>
      </c>
      <c r="H4666" s="13">
        <v>3</v>
      </c>
      <c r="I4666" s="34">
        <v>4</v>
      </c>
      <c r="J4666" s="35">
        <v>3</v>
      </c>
      <c r="K4666" s="2" t="s">
        <v>9338</v>
      </c>
      <c r="L4666" s="36" t="str">
        <f t="shared" si="78"/>
        <v>Ver Imagen</v>
      </c>
      <c r="M4666" t="s">
        <v>8005</v>
      </c>
    </row>
    <row r="4667" spans="1:13" x14ac:dyDescent="0.25">
      <c r="A4667" s="33">
        <v>4666</v>
      </c>
      <c r="B4667" t="s">
        <v>9339</v>
      </c>
      <c r="C4667" s="1">
        <v>37.267745608399999</v>
      </c>
      <c r="D4667" s="1">
        <v>-6.9668735391299998</v>
      </c>
      <c r="E4667" s="3">
        <v>5</v>
      </c>
      <c r="F4667" s="2">
        <v>3</v>
      </c>
      <c r="G4667" s="4">
        <v>3</v>
      </c>
      <c r="H4667" s="13">
        <v>3</v>
      </c>
      <c r="I4667" s="34">
        <v>4</v>
      </c>
      <c r="J4667" s="35">
        <v>3</v>
      </c>
      <c r="K4667" s="2" t="s">
        <v>9340</v>
      </c>
      <c r="L4667" s="36" t="str">
        <f t="shared" si="78"/>
        <v>Ver Imagen</v>
      </c>
      <c r="M4667" t="s">
        <v>8005</v>
      </c>
    </row>
    <row r="4668" spans="1:13" x14ac:dyDescent="0.25">
      <c r="A4668" s="33">
        <v>4667</v>
      </c>
      <c r="B4668" t="s">
        <v>9341</v>
      </c>
      <c r="C4668" s="1">
        <v>37.267813729399997</v>
      </c>
      <c r="D4668" s="1">
        <v>-6.96787423494</v>
      </c>
      <c r="E4668" s="3">
        <v>5</v>
      </c>
      <c r="F4668" s="2">
        <v>3</v>
      </c>
      <c r="G4668" s="4">
        <v>3</v>
      </c>
      <c r="H4668" s="13">
        <v>3</v>
      </c>
      <c r="I4668" s="34">
        <v>3</v>
      </c>
      <c r="J4668" s="35">
        <v>3</v>
      </c>
      <c r="K4668" s="2" t="s">
        <v>9342</v>
      </c>
      <c r="L4668" s="36" t="str">
        <f t="shared" si="78"/>
        <v>Ver Imagen</v>
      </c>
      <c r="M4668" t="s">
        <v>8005</v>
      </c>
    </row>
    <row r="4669" spans="1:13" x14ac:dyDescent="0.25">
      <c r="A4669" s="33">
        <v>4668</v>
      </c>
      <c r="B4669" t="s">
        <v>9343</v>
      </c>
      <c r="C4669" s="1">
        <v>37.5221139959</v>
      </c>
      <c r="D4669" s="1">
        <v>-7.2595041239700002</v>
      </c>
      <c r="E4669" s="3">
        <v>2</v>
      </c>
      <c r="F4669" s="2">
        <v>1</v>
      </c>
      <c r="G4669" s="4">
        <v>3</v>
      </c>
      <c r="H4669" s="13">
        <v>1</v>
      </c>
      <c r="I4669" s="34">
        <v>1</v>
      </c>
      <c r="J4669" s="35">
        <v>1</v>
      </c>
      <c r="K4669" s="2" t="s">
        <v>9344</v>
      </c>
      <c r="L4669" s="36" t="str">
        <f t="shared" si="78"/>
        <v>Ver Imagen</v>
      </c>
      <c r="M4669" t="s">
        <v>8005</v>
      </c>
    </row>
    <row r="4670" spans="1:13" x14ac:dyDescent="0.25">
      <c r="A4670" s="33">
        <v>4669</v>
      </c>
      <c r="B4670" t="s">
        <v>9345</v>
      </c>
      <c r="C4670" s="1">
        <v>37.268463122999997</v>
      </c>
      <c r="D4670" s="1">
        <v>-6.9728827624100003</v>
      </c>
      <c r="E4670" s="3">
        <v>5</v>
      </c>
      <c r="F4670" s="2">
        <v>3</v>
      </c>
      <c r="G4670" s="4">
        <v>3</v>
      </c>
      <c r="H4670" s="13">
        <v>3</v>
      </c>
      <c r="I4670" s="34">
        <v>3</v>
      </c>
      <c r="J4670" s="35">
        <v>3</v>
      </c>
      <c r="K4670" s="2" t="s">
        <v>9346</v>
      </c>
      <c r="L4670" s="36" t="str">
        <f t="shared" si="78"/>
        <v>Ver Imagen</v>
      </c>
      <c r="M4670" t="s">
        <v>8005</v>
      </c>
    </row>
    <row r="4671" spans="1:13" x14ac:dyDescent="0.25">
      <c r="A4671" s="33">
        <v>4670</v>
      </c>
      <c r="B4671" t="s">
        <v>9347</v>
      </c>
      <c r="C4671" s="1">
        <v>37.268752058799997</v>
      </c>
      <c r="D4671" s="1">
        <v>-6.9743275764900003</v>
      </c>
      <c r="E4671" s="3">
        <v>4</v>
      </c>
      <c r="F4671" s="2">
        <v>3</v>
      </c>
      <c r="G4671" s="4">
        <v>2</v>
      </c>
      <c r="H4671" s="13">
        <v>2</v>
      </c>
      <c r="I4671" s="34">
        <v>2</v>
      </c>
      <c r="J4671" s="35">
        <v>2</v>
      </c>
      <c r="K4671" s="2" t="s">
        <v>9348</v>
      </c>
      <c r="L4671" s="36" t="str">
        <f t="shared" si="78"/>
        <v>Ver Imagen</v>
      </c>
      <c r="M4671" t="s">
        <v>8005</v>
      </c>
    </row>
    <row r="4672" spans="1:13" x14ac:dyDescent="0.25">
      <c r="A4672" s="33">
        <v>4671</v>
      </c>
      <c r="B4672" t="s">
        <v>9349</v>
      </c>
      <c r="C4672" s="1">
        <v>37.2703754602</v>
      </c>
      <c r="D4672" s="1">
        <v>-6.9803482128000001</v>
      </c>
      <c r="E4672" s="3">
        <v>5</v>
      </c>
      <c r="F4672" s="2">
        <v>3</v>
      </c>
      <c r="G4672" s="4">
        <v>3</v>
      </c>
      <c r="H4672" s="13">
        <v>3</v>
      </c>
      <c r="I4672" s="34">
        <v>3</v>
      </c>
      <c r="J4672" s="35">
        <v>3</v>
      </c>
      <c r="K4672" s="2" t="s">
        <v>9350</v>
      </c>
      <c r="L4672" s="36" t="str">
        <f t="shared" si="78"/>
        <v>Ver Imagen</v>
      </c>
      <c r="M4672" t="s">
        <v>8005</v>
      </c>
    </row>
    <row r="4673" spans="1:13" x14ac:dyDescent="0.25">
      <c r="A4673" s="33">
        <v>4672</v>
      </c>
      <c r="B4673" t="s">
        <v>9351</v>
      </c>
      <c r="C4673" s="1">
        <v>37.271330866299998</v>
      </c>
      <c r="D4673" s="1">
        <v>-6.9836658706300003</v>
      </c>
      <c r="E4673" s="3">
        <v>5</v>
      </c>
      <c r="F4673" s="2">
        <v>4</v>
      </c>
      <c r="G4673" s="4">
        <v>3</v>
      </c>
      <c r="H4673" s="13">
        <v>4</v>
      </c>
      <c r="I4673" s="34">
        <v>4</v>
      </c>
      <c r="J4673" s="35">
        <v>4</v>
      </c>
      <c r="K4673" s="2" t="s">
        <v>9352</v>
      </c>
      <c r="L4673" s="36" t="str">
        <f t="shared" si="78"/>
        <v>Ver Imagen</v>
      </c>
      <c r="M4673" t="s">
        <v>8005</v>
      </c>
    </row>
    <row r="4674" spans="1:13" x14ac:dyDescent="0.25">
      <c r="A4674" s="33">
        <v>4673</v>
      </c>
      <c r="B4674" t="s">
        <v>9353</v>
      </c>
      <c r="C4674" s="1">
        <v>37.187237923200001</v>
      </c>
      <c r="D4674" s="1">
        <v>-6.97907327262</v>
      </c>
      <c r="E4674" s="3">
        <v>5</v>
      </c>
      <c r="F4674" s="2">
        <v>4</v>
      </c>
      <c r="G4674" s="4">
        <v>3</v>
      </c>
      <c r="H4674" s="13">
        <v>4</v>
      </c>
      <c r="I4674" s="34">
        <v>3</v>
      </c>
      <c r="J4674" s="35">
        <v>4</v>
      </c>
      <c r="K4674" s="2" t="s">
        <v>9354</v>
      </c>
      <c r="L4674" s="36" t="str">
        <f t="shared" si="78"/>
        <v>Ver Imagen</v>
      </c>
      <c r="M4674" t="s">
        <v>8005</v>
      </c>
    </row>
    <row r="4675" spans="1:13" x14ac:dyDescent="0.25">
      <c r="A4675" s="33">
        <v>4674</v>
      </c>
      <c r="B4675" t="s">
        <v>9355</v>
      </c>
      <c r="C4675" s="1">
        <v>37.267997630099998</v>
      </c>
      <c r="D4675" s="1">
        <v>-6.9910558328299999</v>
      </c>
      <c r="E4675" s="3">
        <v>4</v>
      </c>
      <c r="F4675" s="2">
        <v>2</v>
      </c>
      <c r="G4675" s="4">
        <v>3</v>
      </c>
      <c r="H4675" s="16">
        <v>3</v>
      </c>
      <c r="I4675" s="40">
        <v>1</v>
      </c>
      <c r="J4675" s="35">
        <v>3</v>
      </c>
      <c r="K4675" s="2" t="s">
        <v>9356</v>
      </c>
      <c r="L4675" s="36" t="str">
        <f t="shared" si="78"/>
        <v>Ver Imagen</v>
      </c>
      <c r="M4675" t="s">
        <v>8005</v>
      </c>
    </row>
    <row r="4676" spans="1:13" x14ac:dyDescent="0.25">
      <c r="A4676" s="33">
        <v>4675</v>
      </c>
      <c r="B4676" t="s">
        <v>9357</v>
      </c>
      <c r="C4676" s="1">
        <v>37.267313247200001</v>
      </c>
      <c r="D4676" s="1">
        <v>-6.9915957132599997</v>
      </c>
      <c r="E4676" s="3">
        <v>5</v>
      </c>
      <c r="F4676" s="2">
        <v>3</v>
      </c>
      <c r="G4676" s="4">
        <v>3</v>
      </c>
      <c r="H4676" s="13">
        <v>3</v>
      </c>
      <c r="I4676" s="34">
        <v>2</v>
      </c>
      <c r="J4676" s="35">
        <v>3</v>
      </c>
      <c r="K4676" s="2" t="s">
        <v>9358</v>
      </c>
      <c r="L4676" s="36" t="str">
        <f t="shared" si="78"/>
        <v>Ver Imagen</v>
      </c>
      <c r="M4676" t="s">
        <v>8005</v>
      </c>
    </row>
    <row r="4677" spans="1:13" x14ac:dyDescent="0.25">
      <c r="A4677" s="33">
        <v>4676</v>
      </c>
      <c r="B4677" t="s">
        <v>9359</v>
      </c>
      <c r="C4677" s="1">
        <v>37.2659811081</v>
      </c>
      <c r="D4677" s="1">
        <v>-6.99375332367</v>
      </c>
      <c r="E4677" s="3">
        <v>2</v>
      </c>
      <c r="F4677" s="2">
        <v>4</v>
      </c>
      <c r="G4677" s="4">
        <v>3</v>
      </c>
      <c r="H4677" s="13">
        <v>4</v>
      </c>
      <c r="I4677" s="34">
        <v>3</v>
      </c>
      <c r="J4677" s="35">
        <v>3</v>
      </c>
      <c r="K4677" s="2" t="s">
        <v>9360</v>
      </c>
      <c r="L4677" s="36" t="str">
        <f t="shared" si="78"/>
        <v>Ver Imagen</v>
      </c>
      <c r="M4677" t="s">
        <v>8005</v>
      </c>
    </row>
    <row r="4678" spans="1:13" x14ac:dyDescent="0.25">
      <c r="A4678" s="33">
        <v>4677</v>
      </c>
      <c r="B4678" t="s">
        <v>9361</v>
      </c>
      <c r="C4678" s="1">
        <v>37.265745587399998</v>
      </c>
      <c r="D4678" s="1">
        <v>-6.9947096175299999</v>
      </c>
      <c r="E4678" s="3">
        <v>2</v>
      </c>
      <c r="F4678" s="2">
        <v>4</v>
      </c>
      <c r="G4678" s="4">
        <v>3</v>
      </c>
      <c r="H4678" s="13">
        <v>3</v>
      </c>
      <c r="I4678" s="34">
        <v>2</v>
      </c>
      <c r="J4678" s="35">
        <v>3</v>
      </c>
      <c r="K4678" s="2" t="s">
        <v>9362</v>
      </c>
      <c r="L4678" s="36" t="str">
        <f t="shared" si="78"/>
        <v>Ver Imagen</v>
      </c>
      <c r="M4678" t="s">
        <v>8005</v>
      </c>
    </row>
    <row r="4679" spans="1:13" x14ac:dyDescent="0.25">
      <c r="A4679" s="33">
        <v>4678</v>
      </c>
      <c r="B4679" t="s">
        <v>9363</v>
      </c>
      <c r="C4679" s="1">
        <v>37.196057144100003</v>
      </c>
      <c r="D4679" s="1">
        <v>-6.97845326821</v>
      </c>
      <c r="E4679" s="3">
        <v>2</v>
      </c>
      <c r="F4679" s="2">
        <v>4</v>
      </c>
      <c r="G4679" s="4">
        <v>4</v>
      </c>
      <c r="H4679" s="13">
        <v>3</v>
      </c>
      <c r="I4679" s="34">
        <v>3</v>
      </c>
      <c r="J4679" s="35">
        <v>3</v>
      </c>
      <c r="K4679" s="2" t="s">
        <v>9364</v>
      </c>
      <c r="L4679" s="36" t="str">
        <f t="shared" si="78"/>
        <v>Ver Imagen</v>
      </c>
      <c r="M4679" t="s">
        <v>8005</v>
      </c>
    </row>
    <row r="4680" spans="1:13" x14ac:dyDescent="0.25">
      <c r="A4680" s="33">
        <v>4679</v>
      </c>
      <c r="B4680" t="s">
        <v>9365</v>
      </c>
      <c r="C4680" s="1">
        <v>37.196264403900003</v>
      </c>
      <c r="D4680" s="1">
        <v>-6.97859846361</v>
      </c>
      <c r="E4680" s="3">
        <v>2</v>
      </c>
      <c r="F4680" s="2">
        <v>4</v>
      </c>
      <c r="G4680" s="4">
        <v>4</v>
      </c>
      <c r="H4680" s="13">
        <v>3</v>
      </c>
      <c r="I4680" s="34">
        <v>3</v>
      </c>
      <c r="J4680" s="35">
        <v>3</v>
      </c>
      <c r="K4680" s="2" t="s">
        <v>9366</v>
      </c>
      <c r="L4680" s="36" t="str">
        <f t="shared" si="78"/>
        <v>Ver Imagen</v>
      </c>
      <c r="M4680" t="s">
        <v>8005</v>
      </c>
    </row>
    <row r="4681" spans="1:13" x14ac:dyDescent="0.25">
      <c r="A4681" s="33">
        <v>4680</v>
      </c>
      <c r="B4681" t="s">
        <v>9367</v>
      </c>
      <c r="C4681" s="1">
        <v>37.199114892499999</v>
      </c>
      <c r="D4681" s="1">
        <v>-6.9827149662499997</v>
      </c>
      <c r="E4681" s="3">
        <v>5</v>
      </c>
      <c r="F4681" s="2">
        <v>4</v>
      </c>
      <c r="G4681" s="4">
        <v>3</v>
      </c>
      <c r="H4681" s="13">
        <v>3</v>
      </c>
      <c r="I4681" s="34">
        <v>3</v>
      </c>
      <c r="J4681" s="35">
        <v>3</v>
      </c>
      <c r="K4681" s="2" t="s">
        <v>9368</v>
      </c>
      <c r="L4681" s="36" t="str">
        <f t="shared" si="78"/>
        <v>Ver Imagen</v>
      </c>
      <c r="M4681" t="s">
        <v>8005</v>
      </c>
    </row>
    <row r="4682" spans="1:13" x14ac:dyDescent="0.25">
      <c r="A4682" s="33">
        <v>4681</v>
      </c>
      <c r="B4682" t="s">
        <v>9369</v>
      </c>
      <c r="C4682" s="1">
        <v>37.199624282599999</v>
      </c>
      <c r="D4682" s="1">
        <v>-6.9843792640300002</v>
      </c>
      <c r="E4682" s="3">
        <v>2</v>
      </c>
      <c r="F4682" s="2">
        <v>3</v>
      </c>
      <c r="G4682" s="4">
        <v>4</v>
      </c>
      <c r="H4682" s="13">
        <v>2</v>
      </c>
      <c r="I4682" s="34">
        <v>1</v>
      </c>
      <c r="J4682" s="35">
        <v>2</v>
      </c>
      <c r="K4682" s="2" t="s">
        <v>9370</v>
      </c>
      <c r="L4682" s="36" t="str">
        <f t="shared" si="78"/>
        <v>Ver Imagen</v>
      </c>
      <c r="M4682" t="s">
        <v>8005</v>
      </c>
    </row>
    <row r="4683" spans="1:13" x14ac:dyDescent="0.25">
      <c r="A4683" s="33">
        <v>4682</v>
      </c>
      <c r="B4683" t="s">
        <v>9371</v>
      </c>
      <c r="C4683" s="1">
        <v>37.261639565800003</v>
      </c>
      <c r="D4683" s="1">
        <v>-7.0106019210600001</v>
      </c>
      <c r="E4683" s="3">
        <v>4</v>
      </c>
      <c r="F4683" s="2">
        <v>2</v>
      </c>
      <c r="G4683" s="4">
        <v>2</v>
      </c>
      <c r="H4683" s="13">
        <v>1</v>
      </c>
      <c r="I4683" s="34">
        <v>1</v>
      </c>
      <c r="J4683" s="37">
        <v>1</v>
      </c>
      <c r="K4683" s="2" t="s">
        <v>9372</v>
      </c>
      <c r="L4683" s="36" t="str">
        <f t="shared" si="78"/>
        <v>Ver Imagen</v>
      </c>
      <c r="M4683" s="37" t="s">
        <v>8052</v>
      </c>
    </row>
    <row r="4684" spans="1:13" x14ac:dyDescent="0.25">
      <c r="A4684" s="33">
        <v>4683</v>
      </c>
      <c r="B4684" t="s">
        <v>9373</v>
      </c>
      <c r="C4684" s="1">
        <v>37.201009881200001</v>
      </c>
      <c r="D4684" s="1">
        <v>-6.9902096059599996</v>
      </c>
      <c r="E4684" s="3">
        <v>2</v>
      </c>
      <c r="F4684" s="2">
        <v>3</v>
      </c>
      <c r="G4684" s="4">
        <v>4</v>
      </c>
      <c r="H4684" s="13">
        <v>2</v>
      </c>
      <c r="I4684" s="34">
        <v>2</v>
      </c>
      <c r="J4684" s="35">
        <v>2</v>
      </c>
      <c r="K4684" s="2" t="s">
        <v>9374</v>
      </c>
      <c r="L4684" s="36" t="str">
        <f t="shared" si="78"/>
        <v>Ver Imagen</v>
      </c>
      <c r="M4684" t="s">
        <v>8005</v>
      </c>
    </row>
    <row r="4685" spans="1:13" x14ac:dyDescent="0.25">
      <c r="A4685" s="33">
        <v>4684</v>
      </c>
      <c r="B4685" t="s">
        <v>9375</v>
      </c>
      <c r="C4685" s="1">
        <v>37.201359139099999</v>
      </c>
      <c r="D4685" s="1">
        <v>-6.9919441567599998</v>
      </c>
      <c r="E4685" s="3">
        <v>2</v>
      </c>
      <c r="F4685" s="2">
        <v>3</v>
      </c>
      <c r="G4685" s="4">
        <v>4</v>
      </c>
      <c r="H4685" s="13">
        <v>2</v>
      </c>
      <c r="I4685" s="34">
        <v>2</v>
      </c>
      <c r="J4685" s="35">
        <v>2</v>
      </c>
      <c r="K4685" s="2" t="s">
        <v>9376</v>
      </c>
      <c r="L4685" s="36" t="str">
        <f t="shared" si="78"/>
        <v>Ver Imagen</v>
      </c>
      <c r="M4685" t="s">
        <v>8005</v>
      </c>
    </row>
    <row r="4686" spans="1:13" x14ac:dyDescent="0.25">
      <c r="A4686" s="33">
        <v>4685</v>
      </c>
      <c r="B4686" t="s">
        <v>9377</v>
      </c>
      <c r="C4686" s="1">
        <v>37.2014027934</v>
      </c>
      <c r="D4686" s="1">
        <v>-6.9921796371899996</v>
      </c>
      <c r="E4686" s="3">
        <v>5</v>
      </c>
      <c r="F4686" s="2">
        <v>3</v>
      </c>
      <c r="G4686" s="4">
        <v>4</v>
      </c>
      <c r="H4686" s="13">
        <v>2</v>
      </c>
      <c r="I4686" s="34">
        <v>2</v>
      </c>
      <c r="J4686" s="35">
        <v>3</v>
      </c>
      <c r="K4686" s="2" t="s">
        <v>9378</v>
      </c>
      <c r="L4686" s="36" t="str">
        <f t="shared" si="78"/>
        <v>Ver Imagen</v>
      </c>
      <c r="M4686" t="s">
        <v>8005</v>
      </c>
    </row>
    <row r="4687" spans="1:13" x14ac:dyDescent="0.25">
      <c r="A4687" s="33">
        <v>4686</v>
      </c>
      <c r="B4687" t="s">
        <v>9379</v>
      </c>
      <c r="C4687" s="1">
        <v>37.201489169399999</v>
      </c>
      <c r="D4687" s="1">
        <v>-6.9926540412699998</v>
      </c>
      <c r="E4687" s="3">
        <v>2</v>
      </c>
      <c r="F4687" s="2">
        <v>3</v>
      </c>
      <c r="G4687" s="4">
        <v>4</v>
      </c>
      <c r="H4687" s="13">
        <v>3</v>
      </c>
      <c r="I4687" s="34">
        <v>2</v>
      </c>
      <c r="J4687" s="35">
        <v>3</v>
      </c>
      <c r="K4687" s="2" t="s">
        <v>9380</v>
      </c>
      <c r="L4687" s="36" t="str">
        <f t="shared" si="78"/>
        <v>Ver Imagen</v>
      </c>
      <c r="M4687" t="s">
        <v>8005</v>
      </c>
    </row>
    <row r="4688" spans="1:13" x14ac:dyDescent="0.25">
      <c r="A4688" s="33">
        <v>4687</v>
      </c>
      <c r="B4688" t="s">
        <v>9381</v>
      </c>
      <c r="C4688" s="1">
        <v>37.202548716800003</v>
      </c>
      <c r="D4688" s="1">
        <v>-6.9991637025299998</v>
      </c>
      <c r="E4688" s="3">
        <v>5</v>
      </c>
      <c r="F4688" s="2">
        <v>3</v>
      </c>
      <c r="G4688" s="4">
        <v>3</v>
      </c>
      <c r="H4688" s="13">
        <v>3</v>
      </c>
      <c r="I4688" s="34">
        <v>3</v>
      </c>
      <c r="J4688" s="35">
        <v>3</v>
      </c>
      <c r="K4688" s="2" t="s">
        <v>9382</v>
      </c>
      <c r="L4688" s="36" t="str">
        <f t="shared" si="78"/>
        <v>Ver Imagen</v>
      </c>
      <c r="M4688" t="s">
        <v>8005</v>
      </c>
    </row>
    <row r="4689" spans="1:13" x14ac:dyDescent="0.25">
      <c r="A4689" s="33">
        <v>4688</v>
      </c>
      <c r="B4689" t="s">
        <v>9383</v>
      </c>
      <c r="C4689" s="1">
        <v>37.2028848677</v>
      </c>
      <c r="D4689" s="1">
        <v>-7.0018743809900004</v>
      </c>
      <c r="E4689" s="3">
        <v>5</v>
      </c>
      <c r="F4689" s="2">
        <v>4</v>
      </c>
      <c r="G4689" s="4">
        <v>3</v>
      </c>
      <c r="H4689" s="13">
        <v>3</v>
      </c>
      <c r="I4689" s="34">
        <v>4</v>
      </c>
      <c r="J4689" s="35">
        <v>4</v>
      </c>
      <c r="K4689" s="2" t="s">
        <v>9384</v>
      </c>
      <c r="L4689" s="36" t="str">
        <f t="shared" si="78"/>
        <v>Ver Imagen</v>
      </c>
      <c r="M4689" t="s">
        <v>8005</v>
      </c>
    </row>
    <row r="4690" spans="1:13" x14ac:dyDescent="0.25">
      <c r="A4690" s="33">
        <v>4689</v>
      </c>
      <c r="B4690" t="s">
        <v>9385</v>
      </c>
      <c r="C4690" s="1">
        <v>37.256280100600002</v>
      </c>
      <c r="D4690" s="1">
        <v>-7.0140712583499996</v>
      </c>
      <c r="E4690" s="3">
        <v>2</v>
      </c>
      <c r="F4690" s="2">
        <v>4</v>
      </c>
      <c r="G4690" s="4">
        <v>3</v>
      </c>
      <c r="H4690" s="13">
        <v>3</v>
      </c>
      <c r="I4690" s="34">
        <v>2</v>
      </c>
      <c r="J4690" s="35">
        <v>3</v>
      </c>
      <c r="K4690" s="2" t="s">
        <v>9386</v>
      </c>
      <c r="L4690" s="36" t="str">
        <f t="shared" si="78"/>
        <v>Ver Imagen</v>
      </c>
      <c r="M4690" t="s">
        <v>8005</v>
      </c>
    </row>
    <row r="4691" spans="1:13" x14ac:dyDescent="0.25">
      <c r="A4691" s="33">
        <v>4690</v>
      </c>
      <c r="B4691" t="s">
        <v>9387</v>
      </c>
      <c r="C4691" s="1">
        <v>37.203418097499998</v>
      </c>
      <c r="D4691" s="1">
        <v>-7.0063820507400001</v>
      </c>
      <c r="E4691" s="3">
        <v>5</v>
      </c>
      <c r="F4691" s="2">
        <v>3</v>
      </c>
      <c r="G4691" s="4">
        <v>4</v>
      </c>
      <c r="H4691" s="13">
        <v>3</v>
      </c>
      <c r="I4691" s="34">
        <v>3</v>
      </c>
      <c r="J4691" s="35">
        <v>3</v>
      </c>
      <c r="K4691" s="2" t="s">
        <v>9388</v>
      </c>
      <c r="L4691" s="36" t="str">
        <f t="shared" si="78"/>
        <v>Ver Imagen</v>
      </c>
      <c r="M4691" t="s">
        <v>8005</v>
      </c>
    </row>
    <row r="4692" spans="1:13" x14ac:dyDescent="0.25">
      <c r="A4692" s="33">
        <v>4691</v>
      </c>
      <c r="B4692" t="s">
        <v>9389</v>
      </c>
      <c r="C4692" s="1">
        <v>37.203524809999998</v>
      </c>
      <c r="D4692" s="1">
        <v>-7.0071648983400001</v>
      </c>
      <c r="E4692" s="3">
        <v>5</v>
      </c>
      <c r="F4692" s="2">
        <v>3</v>
      </c>
      <c r="G4692" s="4">
        <v>4</v>
      </c>
      <c r="H4692" s="13">
        <v>2</v>
      </c>
      <c r="I4692" s="34">
        <v>2</v>
      </c>
      <c r="J4692" s="35">
        <v>3</v>
      </c>
      <c r="K4692" s="2" t="s">
        <v>9390</v>
      </c>
      <c r="L4692" s="36" t="str">
        <f t="shared" si="78"/>
        <v>Ver Imagen</v>
      </c>
      <c r="M4692" t="s">
        <v>8005</v>
      </c>
    </row>
    <row r="4693" spans="1:13" x14ac:dyDescent="0.25">
      <c r="A4693" s="33">
        <v>4692</v>
      </c>
      <c r="B4693" t="s">
        <v>9391</v>
      </c>
      <c r="C4693" s="1">
        <v>37.203598107600001</v>
      </c>
      <c r="D4693" s="1">
        <v>-7.0076710028300004</v>
      </c>
      <c r="E4693" s="3">
        <v>5</v>
      </c>
      <c r="F4693" s="2">
        <v>3</v>
      </c>
      <c r="G4693" s="4">
        <v>4</v>
      </c>
      <c r="H4693" s="13">
        <v>2</v>
      </c>
      <c r="I4693" s="34">
        <v>2</v>
      </c>
      <c r="J4693" s="35">
        <v>3</v>
      </c>
      <c r="K4693" s="2" t="s">
        <v>9392</v>
      </c>
      <c r="L4693" s="36" t="str">
        <f t="shared" si="78"/>
        <v>Ver Imagen</v>
      </c>
      <c r="M4693" t="s">
        <v>8005</v>
      </c>
    </row>
    <row r="4694" spans="1:13" x14ac:dyDescent="0.25">
      <c r="A4694" s="33">
        <v>4693</v>
      </c>
      <c r="B4694" t="s">
        <v>9393</v>
      </c>
      <c r="C4694" s="1">
        <v>37.203665459299998</v>
      </c>
      <c r="D4694" s="1">
        <v>-7.0081135405300001</v>
      </c>
      <c r="E4694" s="3">
        <v>5</v>
      </c>
      <c r="F4694" s="2">
        <v>3</v>
      </c>
      <c r="G4694" s="4">
        <v>3</v>
      </c>
      <c r="H4694" s="13">
        <v>3</v>
      </c>
      <c r="I4694" s="34">
        <v>3</v>
      </c>
      <c r="J4694" s="35">
        <v>3</v>
      </c>
      <c r="K4694" s="2" t="s">
        <v>9394</v>
      </c>
      <c r="L4694" s="36" t="str">
        <f t="shared" si="78"/>
        <v>Ver Imagen</v>
      </c>
      <c r="M4694" t="s">
        <v>8005</v>
      </c>
    </row>
    <row r="4695" spans="1:13" x14ac:dyDescent="0.25">
      <c r="A4695" s="33">
        <v>4694</v>
      </c>
      <c r="B4695" t="s">
        <v>9395</v>
      </c>
      <c r="C4695" s="1">
        <v>37.203698311399997</v>
      </c>
      <c r="D4695" s="1">
        <v>-7.0083312113499998</v>
      </c>
      <c r="E4695" s="3">
        <v>5</v>
      </c>
      <c r="F4695" s="2">
        <v>4</v>
      </c>
      <c r="G4695" s="4">
        <v>3</v>
      </c>
      <c r="H4695" s="13">
        <v>3</v>
      </c>
      <c r="I4695" s="34">
        <v>4</v>
      </c>
      <c r="J4695" s="35">
        <v>4</v>
      </c>
      <c r="K4695" s="2" t="s">
        <v>9396</v>
      </c>
      <c r="L4695" s="36" t="str">
        <f t="shared" si="78"/>
        <v>Ver Imagen</v>
      </c>
      <c r="M4695" t="s">
        <v>8005</v>
      </c>
    </row>
    <row r="4696" spans="1:13" x14ac:dyDescent="0.25">
      <c r="A4696" s="33">
        <v>4695</v>
      </c>
      <c r="B4696" t="s">
        <v>9397</v>
      </c>
      <c r="C4696" s="1">
        <v>37.203745839900002</v>
      </c>
      <c r="D4696" s="1">
        <v>-7.0086479394800003</v>
      </c>
      <c r="E4696" s="3">
        <v>5</v>
      </c>
      <c r="F4696" s="2">
        <v>3</v>
      </c>
      <c r="G4696" s="4">
        <v>4</v>
      </c>
      <c r="H4696" s="13">
        <v>2</v>
      </c>
      <c r="I4696" s="34">
        <v>2</v>
      </c>
      <c r="J4696" s="35">
        <v>3</v>
      </c>
      <c r="K4696" s="2" t="s">
        <v>9398</v>
      </c>
      <c r="L4696" s="36" t="str">
        <f t="shared" si="78"/>
        <v>Ver Imagen</v>
      </c>
      <c r="M4696" t="s">
        <v>8005</v>
      </c>
    </row>
    <row r="4697" spans="1:13" x14ac:dyDescent="0.25">
      <c r="A4697" s="33">
        <v>4696</v>
      </c>
      <c r="B4697" t="s">
        <v>9399</v>
      </c>
      <c r="C4697" s="1">
        <v>37.203820226600001</v>
      </c>
      <c r="D4697" s="1">
        <v>-7.0091259054300004</v>
      </c>
      <c r="E4697" s="3">
        <v>5</v>
      </c>
      <c r="F4697" s="2">
        <v>3</v>
      </c>
      <c r="G4697" s="4">
        <v>4</v>
      </c>
      <c r="H4697" s="13">
        <v>3</v>
      </c>
      <c r="I4697" s="34">
        <v>3</v>
      </c>
      <c r="J4697" s="35">
        <v>3</v>
      </c>
      <c r="K4697" s="2" t="s">
        <v>9400</v>
      </c>
      <c r="L4697" s="36" t="str">
        <f t="shared" si="78"/>
        <v>Ver Imagen</v>
      </c>
      <c r="M4697" t="s">
        <v>8005</v>
      </c>
    </row>
    <row r="4698" spans="1:13" x14ac:dyDescent="0.25">
      <c r="A4698" s="33">
        <v>4697</v>
      </c>
      <c r="B4698" t="s">
        <v>9401</v>
      </c>
      <c r="C4698" s="1">
        <v>37.251203813799997</v>
      </c>
      <c r="D4698" s="1">
        <v>-7.0173251476900003</v>
      </c>
      <c r="E4698" s="3">
        <v>5</v>
      </c>
      <c r="F4698" s="2">
        <v>3</v>
      </c>
      <c r="G4698" s="4">
        <v>4</v>
      </c>
      <c r="H4698" s="13">
        <v>3</v>
      </c>
      <c r="I4698" s="34">
        <v>3</v>
      </c>
      <c r="J4698" s="35">
        <v>3</v>
      </c>
      <c r="K4698" s="2" t="s">
        <v>9402</v>
      </c>
      <c r="L4698" s="36" t="str">
        <f t="shared" si="78"/>
        <v>Ver Imagen</v>
      </c>
      <c r="M4698" t="s">
        <v>8005</v>
      </c>
    </row>
    <row r="4699" spans="1:13" x14ac:dyDescent="0.25">
      <c r="A4699" s="33">
        <v>4698</v>
      </c>
      <c r="B4699" t="s">
        <v>9403</v>
      </c>
      <c r="C4699" s="1">
        <v>37.204185508599998</v>
      </c>
      <c r="D4699" s="1">
        <v>-7.0113361449899996</v>
      </c>
      <c r="E4699" s="3">
        <v>5</v>
      </c>
      <c r="F4699" s="2">
        <v>3</v>
      </c>
      <c r="G4699" s="4">
        <v>4</v>
      </c>
      <c r="H4699" s="13">
        <v>3</v>
      </c>
      <c r="I4699" s="34">
        <v>4</v>
      </c>
      <c r="J4699" s="35">
        <v>4</v>
      </c>
      <c r="K4699" s="2" t="s">
        <v>9404</v>
      </c>
      <c r="L4699" s="36" t="str">
        <f t="shared" si="78"/>
        <v>Ver Imagen</v>
      </c>
      <c r="M4699" t="s">
        <v>8005</v>
      </c>
    </row>
    <row r="4700" spans="1:13" x14ac:dyDescent="0.25">
      <c r="A4700" s="33">
        <v>4699</v>
      </c>
      <c r="B4700" t="s">
        <v>9405</v>
      </c>
      <c r="C4700" s="1">
        <v>37.248701035700002</v>
      </c>
      <c r="D4700" s="1">
        <v>-7.0183392626899996</v>
      </c>
      <c r="E4700" s="3">
        <v>5</v>
      </c>
      <c r="F4700" s="2">
        <v>3</v>
      </c>
      <c r="G4700" s="4">
        <v>3</v>
      </c>
      <c r="H4700" s="13">
        <v>2</v>
      </c>
      <c r="I4700" s="34">
        <v>2</v>
      </c>
      <c r="J4700" s="37">
        <v>2</v>
      </c>
      <c r="K4700" s="2" t="s">
        <v>9406</v>
      </c>
      <c r="L4700" s="36" t="str">
        <f t="shared" si="78"/>
        <v>Ver Imagen</v>
      </c>
      <c r="M4700" s="37" t="s">
        <v>8052</v>
      </c>
    </row>
    <row r="4701" spans="1:13" x14ac:dyDescent="0.25">
      <c r="A4701" s="33">
        <v>4700</v>
      </c>
      <c r="B4701" t="s">
        <v>9407</v>
      </c>
      <c r="C4701" s="1">
        <v>37.2054213304</v>
      </c>
      <c r="D4701" s="1">
        <v>-7.0174835457400002</v>
      </c>
      <c r="E4701" s="3">
        <v>2</v>
      </c>
      <c r="F4701" s="2">
        <v>2</v>
      </c>
      <c r="G4701" s="4">
        <v>4</v>
      </c>
      <c r="H4701" s="13">
        <v>2</v>
      </c>
      <c r="I4701" s="34">
        <v>1</v>
      </c>
      <c r="J4701" s="35">
        <v>2</v>
      </c>
      <c r="K4701" s="2" t="s">
        <v>9408</v>
      </c>
      <c r="L4701" s="36" t="str">
        <f t="shared" si="78"/>
        <v>Ver Imagen</v>
      </c>
      <c r="M4701" t="s">
        <v>8005</v>
      </c>
    </row>
    <row r="4702" spans="1:13" x14ac:dyDescent="0.25">
      <c r="A4702" s="33">
        <v>4701</v>
      </c>
      <c r="B4702" t="s">
        <v>9409</v>
      </c>
      <c r="C4702" s="1">
        <v>37.241824241000003</v>
      </c>
      <c r="D4702" s="1">
        <v>-7.0186023680899998</v>
      </c>
      <c r="E4702" s="3">
        <v>5</v>
      </c>
      <c r="F4702" s="2">
        <v>3</v>
      </c>
      <c r="G4702" s="4">
        <v>4</v>
      </c>
      <c r="H4702" s="13">
        <v>3</v>
      </c>
      <c r="I4702" s="34">
        <v>3</v>
      </c>
      <c r="J4702" s="35">
        <v>3</v>
      </c>
      <c r="K4702" s="2" t="s">
        <v>9410</v>
      </c>
      <c r="L4702" s="36" t="str">
        <f t="shared" ref="L4702:L4765" si="79">HYPERLINK("NoConsenso\" &amp; K4702, "Ver Imagen")</f>
        <v>Ver Imagen</v>
      </c>
      <c r="M4702" t="s">
        <v>8005</v>
      </c>
    </row>
    <row r="4703" spans="1:13" x14ac:dyDescent="0.25">
      <c r="A4703" s="33">
        <v>4702</v>
      </c>
      <c r="B4703" t="s">
        <v>9411</v>
      </c>
      <c r="C4703" s="1">
        <v>37.205769482800001</v>
      </c>
      <c r="D4703" s="1">
        <v>-7.0186407447199999</v>
      </c>
      <c r="E4703" s="3">
        <v>5</v>
      </c>
      <c r="F4703" s="2">
        <v>3</v>
      </c>
      <c r="G4703" s="4">
        <v>4</v>
      </c>
      <c r="H4703" s="13">
        <v>3</v>
      </c>
      <c r="I4703" s="34">
        <v>2</v>
      </c>
      <c r="J4703" s="35">
        <v>3</v>
      </c>
      <c r="K4703" s="2" t="s">
        <v>9412</v>
      </c>
      <c r="L4703" s="36" t="str">
        <f t="shared" si="79"/>
        <v>Ver Imagen</v>
      </c>
      <c r="M4703" t="s">
        <v>8005</v>
      </c>
    </row>
    <row r="4704" spans="1:13" x14ac:dyDescent="0.25">
      <c r="A4704" s="33">
        <v>4703</v>
      </c>
      <c r="B4704" t="s">
        <v>9413</v>
      </c>
      <c r="C4704" s="1">
        <v>37.2406523573</v>
      </c>
      <c r="D4704" s="1">
        <v>-7.01865093342</v>
      </c>
      <c r="E4704" s="3">
        <v>5</v>
      </c>
      <c r="F4704" s="2">
        <v>3</v>
      </c>
      <c r="G4704" s="4">
        <v>3</v>
      </c>
      <c r="H4704" s="13">
        <v>3</v>
      </c>
      <c r="I4704" s="34">
        <v>3</v>
      </c>
      <c r="J4704" s="35">
        <v>3</v>
      </c>
      <c r="K4704" s="2" t="s">
        <v>9414</v>
      </c>
      <c r="L4704" s="36" t="str">
        <f t="shared" si="79"/>
        <v>Ver Imagen</v>
      </c>
      <c r="M4704" t="s">
        <v>8005</v>
      </c>
    </row>
    <row r="4705" spans="1:13" x14ac:dyDescent="0.25">
      <c r="A4705" s="33">
        <v>4704</v>
      </c>
      <c r="B4705" t="s">
        <v>9415</v>
      </c>
      <c r="C4705" s="1">
        <v>37.206050155699998</v>
      </c>
      <c r="D4705" s="1">
        <v>-7.0193785822099999</v>
      </c>
      <c r="E4705" s="3">
        <v>4</v>
      </c>
      <c r="F4705" s="2">
        <v>2</v>
      </c>
      <c r="G4705" s="4">
        <v>3</v>
      </c>
      <c r="H4705" s="16">
        <v>3</v>
      </c>
      <c r="I4705" s="40">
        <v>1</v>
      </c>
      <c r="J4705" s="35">
        <v>3</v>
      </c>
      <c r="K4705" s="2" t="s">
        <v>9416</v>
      </c>
      <c r="L4705" s="36" t="str">
        <f t="shared" si="79"/>
        <v>Ver Imagen</v>
      </c>
      <c r="M4705" t="s">
        <v>8005</v>
      </c>
    </row>
    <row r="4706" spans="1:13" x14ac:dyDescent="0.25">
      <c r="A4706" s="33">
        <v>4705</v>
      </c>
      <c r="B4706" t="s">
        <v>9417</v>
      </c>
      <c r="C4706" s="1">
        <v>37.206567263499998</v>
      </c>
      <c r="D4706" s="1">
        <v>-7.02044860126</v>
      </c>
      <c r="E4706" s="3">
        <v>4</v>
      </c>
      <c r="F4706" s="2">
        <v>2</v>
      </c>
      <c r="G4706" s="4">
        <v>3</v>
      </c>
      <c r="H4706" s="13">
        <v>2</v>
      </c>
      <c r="I4706" s="34">
        <v>2</v>
      </c>
      <c r="J4706" s="35">
        <v>2</v>
      </c>
      <c r="K4706" s="2" t="s">
        <v>9418</v>
      </c>
      <c r="L4706" s="36" t="str">
        <f t="shared" si="79"/>
        <v>Ver Imagen</v>
      </c>
      <c r="M4706" t="s">
        <v>8005</v>
      </c>
    </row>
    <row r="4707" spans="1:13" x14ac:dyDescent="0.25">
      <c r="A4707" s="33">
        <v>4706</v>
      </c>
      <c r="B4707" t="s">
        <v>9419</v>
      </c>
      <c r="C4707" s="1">
        <v>37.235956231700001</v>
      </c>
      <c r="D4707" s="1">
        <v>-7.0185301106700004</v>
      </c>
      <c r="E4707" s="3">
        <v>5</v>
      </c>
      <c r="F4707" s="2">
        <v>3</v>
      </c>
      <c r="G4707" s="4">
        <v>4</v>
      </c>
      <c r="H4707" s="13">
        <v>3</v>
      </c>
      <c r="I4707" s="34">
        <v>3</v>
      </c>
      <c r="J4707" s="35">
        <v>3</v>
      </c>
      <c r="K4707" s="2" t="s">
        <v>9420</v>
      </c>
      <c r="L4707" s="36" t="str">
        <f t="shared" si="79"/>
        <v>Ver Imagen</v>
      </c>
      <c r="M4707" t="s">
        <v>8005</v>
      </c>
    </row>
    <row r="4708" spans="1:13" x14ac:dyDescent="0.25">
      <c r="A4708" s="33">
        <v>4707</v>
      </c>
      <c r="B4708" t="s">
        <v>9421</v>
      </c>
      <c r="C4708" s="1">
        <v>37.235757579999998</v>
      </c>
      <c r="D4708" s="1">
        <v>-7.0184781411400001</v>
      </c>
      <c r="E4708" s="3">
        <v>4</v>
      </c>
      <c r="F4708" s="2">
        <v>2</v>
      </c>
      <c r="G4708" s="4">
        <v>3</v>
      </c>
      <c r="H4708" s="13">
        <v>3</v>
      </c>
      <c r="I4708" s="34">
        <v>2</v>
      </c>
      <c r="J4708" s="35">
        <v>3</v>
      </c>
      <c r="K4708" s="2" t="s">
        <v>9422</v>
      </c>
      <c r="L4708" s="36" t="str">
        <f t="shared" si="79"/>
        <v>Ver Imagen</v>
      </c>
      <c r="M4708" t="s">
        <v>8005</v>
      </c>
    </row>
    <row r="4709" spans="1:13" x14ac:dyDescent="0.25">
      <c r="A4709" s="33">
        <v>4708</v>
      </c>
      <c r="B4709" t="s">
        <v>9423</v>
      </c>
      <c r="C4709" s="1">
        <v>37.235327005000002</v>
      </c>
      <c r="D4709" s="1">
        <v>-7.0183600339899996</v>
      </c>
      <c r="E4709" s="3">
        <v>5</v>
      </c>
      <c r="F4709" s="2">
        <v>3</v>
      </c>
      <c r="G4709" s="4">
        <v>4</v>
      </c>
      <c r="H4709" s="13">
        <v>3</v>
      </c>
      <c r="I4709" s="34">
        <v>3</v>
      </c>
      <c r="J4709" s="35">
        <v>3</v>
      </c>
      <c r="K4709" s="2" t="s">
        <v>9424</v>
      </c>
      <c r="L4709" s="36" t="str">
        <f t="shared" si="79"/>
        <v>Ver Imagen</v>
      </c>
      <c r="M4709" t="s">
        <v>8005</v>
      </c>
    </row>
    <row r="4710" spans="1:13" x14ac:dyDescent="0.25">
      <c r="A4710" s="33">
        <v>4709</v>
      </c>
      <c r="B4710" t="s">
        <v>9425</v>
      </c>
      <c r="C4710" s="1">
        <v>37.235194050600001</v>
      </c>
      <c r="D4710" s="1">
        <v>-7.0183241302999999</v>
      </c>
      <c r="E4710" s="3">
        <v>5</v>
      </c>
      <c r="F4710" s="2">
        <v>3</v>
      </c>
      <c r="G4710" s="4">
        <v>4</v>
      </c>
      <c r="H4710" s="13">
        <v>3</v>
      </c>
      <c r="I4710" s="34">
        <v>3</v>
      </c>
      <c r="J4710" s="35">
        <v>3</v>
      </c>
      <c r="K4710" s="2" t="s">
        <v>9426</v>
      </c>
      <c r="L4710" s="36" t="str">
        <f t="shared" si="79"/>
        <v>Ver Imagen</v>
      </c>
      <c r="M4710" t="s">
        <v>8005</v>
      </c>
    </row>
    <row r="4711" spans="1:13" x14ac:dyDescent="0.25">
      <c r="A4711" s="33">
        <v>4710</v>
      </c>
      <c r="B4711" t="s">
        <v>9427</v>
      </c>
      <c r="C4711" s="1">
        <v>37.234786179499999</v>
      </c>
      <c r="D4711" s="1">
        <v>-7.0182323477599997</v>
      </c>
      <c r="E4711" s="3">
        <v>4</v>
      </c>
      <c r="F4711" s="2">
        <v>2</v>
      </c>
      <c r="G4711" s="4">
        <v>3</v>
      </c>
      <c r="H4711" s="13">
        <v>2</v>
      </c>
      <c r="I4711" s="34">
        <v>2</v>
      </c>
      <c r="J4711" s="35">
        <v>2</v>
      </c>
      <c r="K4711" s="2" t="s">
        <v>9428</v>
      </c>
      <c r="L4711" s="36" t="str">
        <f t="shared" si="79"/>
        <v>Ver Imagen</v>
      </c>
      <c r="M4711" t="s">
        <v>8005</v>
      </c>
    </row>
    <row r="4712" spans="1:13" x14ac:dyDescent="0.25">
      <c r="A4712" s="33">
        <v>4711</v>
      </c>
      <c r="B4712" t="s">
        <v>9429</v>
      </c>
      <c r="C4712" s="1">
        <v>37.207970394299998</v>
      </c>
      <c r="D4712" s="1">
        <v>-7.0222331021300004</v>
      </c>
      <c r="E4712" s="3">
        <v>4</v>
      </c>
      <c r="F4712" s="2">
        <v>2</v>
      </c>
      <c r="G4712" s="4">
        <v>3</v>
      </c>
      <c r="H4712" s="13">
        <v>2</v>
      </c>
      <c r="I4712" s="34">
        <v>2</v>
      </c>
      <c r="J4712" s="35">
        <v>2</v>
      </c>
      <c r="K4712" s="2" t="s">
        <v>9430</v>
      </c>
      <c r="L4712" s="36" t="str">
        <f t="shared" si="79"/>
        <v>Ver Imagen</v>
      </c>
      <c r="M4712" t="s">
        <v>8005</v>
      </c>
    </row>
    <row r="4713" spans="1:13" x14ac:dyDescent="0.25">
      <c r="A4713" s="33">
        <v>4712</v>
      </c>
      <c r="B4713" t="s">
        <v>9431</v>
      </c>
      <c r="C4713" s="1">
        <v>37.208666305900003</v>
      </c>
      <c r="D4713" s="1">
        <v>-7.0227989533099997</v>
      </c>
      <c r="E4713" s="3">
        <v>4</v>
      </c>
      <c r="F4713" s="2">
        <v>2</v>
      </c>
      <c r="G4713" s="4">
        <v>3</v>
      </c>
      <c r="H4713" s="13">
        <v>2</v>
      </c>
      <c r="I4713" s="34">
        <v>2</v>
      </c>
      <c r="J4713" s="35">
        <v>2</v>
      </c>
      <c r="K4713" s="2" t="s">
        <v>9432</v>
      </c>
      <c r="L4713" s="36" t="str">
        <f t="shared" si="79"/>
        <v>Ver Imagen</v>
      </c>
      <c r="M4713" t="s">
        <v>8005</v>
      </c>
    </row>
    <row r="4714" spans="1:13" x14ac:dyDescent="0.25">
      <c r="A4714" s="33">
        <v>4713</v>
      </c>
      <c r="B4714" t="s">
        <v>9433</v>
      </c>
      <c r="C4714" s="1">
        <v>37.2088350633</v>
      </c>
      <c r="D4714" s="1">
        <v>-7.0229137072899999</v>
      </c>
      <c r="E4714" s="3">
        <v>4</v>
      </c>
      <c r="F4714" s="2">
        <v>2</v>
      </c>
      <c r="G4714" s="4">
        <v>3</v>
      </c>
      <c r="H4714" s="13">
        <v>3</v>
      </c>
      <c r="I4714" s="34">
        <v>2</v>
      </c>
      <c r="J4714" s="35">
        <v>3</v>
      </c>
      <c r="K4714" s="2" t="s">
        <v>9434</v>
      </c>
      <c r="L4714" s="36" t="str">
        <f t="shared" si="79"/>
        <v>Ver Imagen</v>
      </c>
      <c r="M4714" t="s">
        <v>8005</v>
      </c>
    </row>
    <row r="4715" spans="1:13" x14ac:dyDescent="0.25">
      <c r="A4715" s="33">
        <v>4714</v>
      </c>
      <c r="B4715" t="s">
        <v>9435</v>
      </c>
      <c r="C4715" s="1">
        <v>37.231015321299999</v>
      </c>
      <c r="D4715" s="1">
        <v>-7.0196923227300001</v>
      </c>
      <c r="E4715" s="3">
        <v>5</v>
      </c>
      <c r="F4715" s="2">
        <v>3</v>
      </c>
      <c r="G4715" s="4">
        <v>3</v>
      </c>
      <c r="H4715" s="13">
        <v>3</v>
      </c>
      <c r="I4715" s="34">
        <v>2</v>
      </c>
      <c r="J4715" s="35">
        <v>3</v>
      </c>
      <c r="K4715" s="2" t="s">
        <v>9436</v>
      </c>
      <c r="L4715" s="36" t="str">
        <f t="shared" si="79"/>
        <v>Ver Imagen</v>
      </c>
      <c r="M4715" t="s">
        <v>8005</v>
      </c>
    </row>
    <row r="4716" spans="1:13" x14ac:dyDescent="0.25">
      <c r="A4716" s="33">
        <v>4715</v>
      </c>
      <c r="B4716" t="s">
        <v>9437</v>
      </c>
      <c r="C4716" s="1">
        <v>37.211960313500001</v>
      </c>
      <c r="D4716" s="1">
        <v>-7.0238570220099996</v>
      </c>
      <c r="E4716" s="3">
        <v>4</v>
      </c>
      <c r="F4716" s="2">
        <v>2</v>
      </c>
      <c r="G4716" s="4">
        <v>3</v>
      </c>
      <c r="H4716" s="13">
        <v>2</v>
      </c>
      <c r="I4716" s="34">
        <v>1</v>
      </c>
      <c r="J4716" s="35">
        <v>2</v>
      </c>
      <c r="K4716" s="2" t="s">
        <v>9438</v>
      </c>
      <c r="L4716" s="36" t="str">
        <f t="shared" si="79"/>
        <v>Ver Imagen</v>
      </c>
      <c r="M4716" t="s">
        <v>8005</v>
      </c>
    </row>
    <row r="4717" spans="1:13" x14ac:dyDescent="0.25">
      <c r="A4717" s="33">
        <v>4716</v>
      </c>
      <c r="B4717" t="s">
        <v>9439</v>
      </c>
      <c r="C4717" s="1">
        <v>37.228581738999999</v>
      </c>
      <c r="D4717" s="1">
        <v>-7.0215369128400003</v>
      </c>
      <c r="E4717" s="3">
        <v>4</v>
      </c>
      <c r="F4717" s="2">
        <v>2</v>
      </c>
      <c r="G4717" s="4">
        <v>2</v>
      </c>
      <c r="H4717" s="13">
        <v>2</v>
      </c>
      <c r="I4717" s="34">
        <v>2</v>
      </c>
      <c r="J4717" s="35">
        <v>2</v>
      </c>
      <c r="K4717" s="2" t="s">
        <v>9440</v>
      </c>
      <c r="L4717" s="36" t="str">
        <f t="shared" si="79"/>
        <v>Ver Imagen</v>
      </c>
      <c r="M4717" t="s">
        <v>8005</v>
      </c>
    </row>
    <row r="4718" spans="1:13" x14ac:dyDescent="0.25">
      <c r="A4718" s="33">
        <v>4717</v>
      </c>
      <c r="B4718" t="s">
        <v>9441</v>
      </c>
      <c r="C4718" s="1">
        <v>37.203750915000001</v>
      </c>
      <c r="D4718" s="1">
        <v>-7.0096247458600001</v>
      </c>
      <c r="E4718" s="3">
        <v>4</v>
      </c>
      <c r="F4718" s="2">
        <v>3</v>
      </c>
      <c r="G4718" s="4">
        <v>2</v>
      </c>
      <c r="H4718" s="13">
        <v>2</v>
      </c>
      <c r="I4718" s="34">
        <v>2</v>
      </c>
      <c r="J4718" s="35">
        <v>2</v>
      </c>
      <c r="K4718" s="2" t="s">
        <v>9442</v>
      </c>
      <c r="L4718" s="36" t="str">
        <f t="shared" si="79"/>
        <v>Ver Imagen</v>
      </c>
      <c r="M4718" t="s">
        <v>8005</v>
      </c>
    </row>
    <row r="4719" spans="1:13" x14ac:dyDescent="0.25">
      <c r="A4719" s="33">
        <v>4718</v>
      </c>
      <c r="B4719" t="s">
        <v>9443</v>
      </c>
      <c r="C4719" s="1">
        <v>37.202670535700001</v>
      </c>
      <c r="D4719" s="1">
        <v>-7.0013197793500002</v>
      </c>
      <c r="E4719" s="3">
        <v>2</v>
      </c>
      <c r="F4719" s="2">
        <v>4</v>
      </c>
      <c r="G4719" s="4">
        <v>3</v>
      </c>
      <c r="H4719" s="13">
        <v>3</v>
      </c>
      <c r="I4719" s="34">
        <v>2</v>
      </c>
      <c r="J4719" s="35">
        <v>3</v>
      </c>
      <c r="K4719" s="2" t="s">
        <v>9444</v>
      </c>
      <c r="L4719" s="36" t="str">
        <f t="shared" si="79"/>
        <v>Ver Imagen</v>
      </c>
      <c r="M4719" t="s">
        <v>8005</v>
      </c>
    </row>
    <row r="4720" spans="1:13" x14ac:dyDescent="0.25">
      <c r="A4720" s="33">
        <v>4719</v>
      </c>
      <c r="B4720" t="s">
        <v>9445</v>
      </c>
      <c r="C4720" s="1">
        <v>37.229378549000003</v>
      </c>
      <c r="D4720" s="1">
        <v>-7.02072986653</v>
      </c>
      <c r="E4720" s="3">
        <v>4</v>
      </c>
      <c r="F4720" s="2">
        <v>3</v>
      </c>
      <c r="G4720" s="4">
        <v>2</v>
      </c>
      <c r="H4720" s="13">
        <v>2</v>
      </c>
      <c r="I4720" s="34">
        <v>2</v>
      </c>
      <c r="J4720" s="35">
        <v>2</v>
      </c>
      <c r="K4720" s="2" t="s">
        <v>9446</v>
      </c>
      <c r="L4720" s="36" t="str">
        <f t="shared" si="79"/>
        <v>Ver Imagen</v>
      </c>
      <c r="M4720" t="s">
        <v>8005</v>
      </c>
    </row>
    <row r="4721" spans="1:13" x14ac:dyDescent="0.25">
      <c r="A4721" s="33">
        <v>4720</v>
      </c>
      <c r="B4721" t="s">
        <v>9447</v>
      </c>
      <c r="C4721" s="1">
        <v>37.230437924199997</v>
      </c>
      <c r="D4721" s="1">
        <v>-7.0199201123100003</v>
      </c>
      <c r="E4721" s="3">
        <v>4</v>
      </c>
      <c r="F4721" s="2">
        <v>3</v>
      </c>
      <c r="G4721" s="4">
        <v>2</v>
      </c>
      <c r="H4721" s="13">
        <v>2</v>
      </c>
      <c r="I4721" s="34">
        <v>3</v>
      </c>
      <c r="J4721" s="37">
        <v>2</v>
      </c>
      <c r="K4721" s="2" t="s">
        <v>9448</v>
      </c>
      <c r="L4721" s="36" t="str">
        <f t="shared" si="79"/>
        <v>Ver Imagen</v>
      </c>
      <c r="M4721" s="37" t="s">
        <v>8052</v>
      </c>
    </row>
    <row r="4722" spans="1:13" x14ac:dyDescent="0.25">
      <c r="A4722" s="33">
        <v>4721</v>
      </c>
      <c r="B4722" t="s">
        <v>9449</v>
      </c>
      <c r="C4722" s="1">
        <v>37.252358893</v>
      </c>
      <c r="D4722" s="1">
        <v>-7.0163741383199998</v>
      </c>
      <c r="E4722" s="3">
        <v>2</v>
      </c>
      <c r="F4722" s="2">
        <v>4</v>
      </c>
      <c r="G4722" s="4">
        <v>3</v>
      </c>
      <c r="H4722" s="13">
        <v>3</v>
      </c>
      <c r="I4722" s="34">
        <v>2</v>
      </c>
      <c r="J4722" s="35">
        <v>3</v>
      </c>
      <c r="K4722" s="2" t="s">
        <v>9450</v>
      </c>
      <c r="L4722" s="36" t="str">
        <f t="shared" si="79"/>
        <v>Ver Imagen</v>
      </c>
      <c r="M4722" t="s">
        <v>8005</v>
      </c>
    </row>
    <row r="4723" spans="1:13" x14ac:dyDescent="0.25">
      <c r="A4723" s="33">
        <v>4722</v>
      </c>
      <c r="B4723" t="s">
        <v>9451</v>
      </c>
      <c r="C4723" s="1">
        <v>37.262019109199997</v>
      </c>
      <c r="D4723" s="1">
        <v>-7.0100135521200002</v>
      </c>
      <c r="E4723" s="3">
        <v>4</v>
      </c>
      <c r="F4723" s="2">
        <v>2</v>
      </c>
      <c r="G4723" s="4">
        <v>3</v>
      </c>
      <c r="H4723" s="13">
        <v>2</v>
      </c>
      <c r="I4723" s="34">
        <v>2</v>
      </c>
      <c r="J4723" s="35">
        <v>2</v>
      </c>
      <c r="K4723" s="2" t="s">
        <v>9452</v>
      </c>
      <c r="L4723" s="36" t="str">
        <f t="shared" si="79"/>
        <v>Ver Imagen</v>
      </c>
      <c r="M4723" t="s">
        <v>8005</v>
      </c>
    </row>
    <row r="4724" spans="1:13" x14ac:dyDescent="0.25">
      <c r="A4724" s="33">
        <v>4723</v>
      </c>
      <c r="B4724" t="s">
        <v>9453</v>
      </c>
      <c r="C4724" s="1">
        <v>37.264665817599997</v>
      </c>
      <c r="D4724" s="1">
        <v>-7.0001334860900002</v>
      </c>
      <c r="E4724" s="3">
        <v>4</v>
      </c>
      <c r="F4724" s="2">
        <v>2</v>
      </c>
      <c r="G4724" s="4">
        <v>3</v>
      </c>
      <c r="H4724" s="13">
        <v>2</v>
      </c>
      <c r="I4724" s="34">
        <v>2</v>
      </c>
      <c r="J4724" s="35">
        <v>2</v>
      </c>
      <c r="K4724" s="2" t="s">
        <v>9454</v>
      </c>
      <c r="L4724" s="36" t="str">
        <f t="shared" si="79"/>
        <v>Ver Imagen</v>
      </c>
      <c r="M4724" t="s">
        <v>8005</v>
      </c>
    </row>
    <row r="4725" spans="1:13" x14ac:dyDescent="0.25">
      <c r="A4725" s="33">
        <v>4724</v>
      </c>
      <c r="B4725" t="s">
        <v>9455</v>
      </c>
      <c r="C4725" s="1">
        <v>37.264716993299999</v>
      </c>
      <c r="D4725" s="1">
        <v>-6.9998475814900001</v>
      </c>
      <c r="E4725" s="3">
        <v>5</v>
      </c>
      <c r="F4725" s="2">
        <v>3</v>
      </c>
      <c r="G4725" s="4">
        <v>4</v>
      </c>
      <c r="H4725" s="13">
        <v>3</v>
      </c>
      <c r="I4725" s="34">
        <v>4</v>
      </c>
      <c r="J4725" s="35">
        <v>4</v>
      </c>
      <c r="K4725" s="2" t="s">
        <v>9456</v>
      </c>
      <c r="L4725" s="36" t="str">
        <f t="shared" si="79"/>
        <v>Ver Imagen</v>
      </c>
      <c r="M4725" t="s">
        <v>8005</v>
      </c>
    </row>
    <row r="4726" spans="1:13" x14ac:dyDescent="0.25">
      <c r="A4726" s="33">
        <v>4725</v>
      </c>
      <c r="B4726" t="s">
        <v>9457</v>
      </c>
      <c r="C4726" s="1">
        <v>37.488040629899999</v>
      </c>
      <c r="D4726" s="1">
        <v>-7.2455046359299997</v>
      </c>
      <c r="E4726" s="3">
        <v>1</v>
      </c>
      <c r="F4726" s="2">
        <v>4</v>
      </c>
      <c r="G4726" s="4">
        <v>1</v>
      </c>
      <c r="H4726" s="13">
        <v>2</v>
      </c>
      <c r="I4726" s="34">
        <v>2</v>
      </c>
      <c r="J4726" s="35">
        <v>2</v>
      </c>
      <c r="K4726" s="2" t="s">
        <v>9458</v>
      </c>
      <c r="L4726" s="36" t="str">
        <f t="shared" si="79"/>
        <v>Ver Imagen</v>
      </c>
      <c r="M4726" t="s">
        <v>8005</v>
      </c>
    </row>
    <row r="4727" spans="1:13" x14ac:dyDescent="0.25">
      <c r="A4727" s="33">
        <v>4726</v>
      </c>
      <c r="B4727" t="s">
        <v>9459</v>
      </c>
      <c r="C4727" s="1">
        <v>37.482805985900001</v>
      </c>
      <c r="D4727" s="1">
        <v>-7.1287884444399996</v>
      </c>
      <c r="E4727" s="3">
        <v>1</v>
      </c>
      <c r="F4727" s="2">
        <v>1</v>
      </c>
      <c r="G4727" s="4">
        <v>4</v>
      </c>
      <c r="H4727" s="13">
        <v>1</v>
      </c>
      <c r="I4727" s="34">
        <v>1</v>
      </c>
      <c r="J4727" s="35">
        <v>1</v>
      </c>
      <c r="K4727" s="2" t="s">
        <v>9460</v>
      </c>
      <c r="L4727" s="36" t="str">
        <f t="shared" si="79"/>
        <v>Ver Imagen</v>
      </c>
      <c r="M4727" t="s">
        <v>8005</v>
      </c>
    </row>
    <row r="4728" spans="1:13" x14ac:dyDescent="0.25">
      <c r="A4728" s="33">
        <v>4727</v>
      </c>
      <c r="B4728" t="s">
        <v>9461</v>
      </c>
      <c r="C4728" s="1">
        <v>37.276280821900002</v>
      </c>
      <c r="D4728" s="1">
        <v>-7.0139774289499996</v>
      </c>
      <c r="E4728" s="3">
        <v>2</v>
      </c>
      <c r="F4728" s="2">
        <v>3</v>
      </c>
      <c r="G4728" s="4">
        <v>5</v>
      </c>
      <c r="H4728" s="13">
        <v>2</v>
      </c>
      <c r="I4728" s="34">
        <v>2</v>
      </c>
      <c r="J4728" s="35">
        <v>2</v>
      </c>
      <c r="K4728" s="2" t="s">
        <v>9462</v>
      </c>
      <c r="L4728" s="36" t="str">
        <f t="shared" si="79"/>
        <v>Ver Imagen</v>
      </c>
      <c r="M4728" t="s">
        <v>8005</v>
      </c>
    </row>
    <row r="4729" spans="1:13" x14ac:dyDescent="0.25">
      <c r="A4729" s="33">
        <v>4728</v>
      </c>
      <c r="B4729" t="s">
        <v>9463</v>
      </c>
      <c r="C4729" s="1">
        <v>37.307716522900002</v>
      </c>
      <c r="D4729" s="1">
        <v>-7.0570138367300004</v>
      </c>
      <c r="E4729" s="3">
        <v>2</v>
      </c>
      <c r="F4729" s="2">
        <v>2</v>
      </c>
      <c r="G4729" s="4">
        <v>5</v>
      </c>
      <c r="H4729" s="13">
        <v>2</v>
      </c>
      <c r="I4729" s="34">
        <v>2</v>
      </c>
      <c r="J4729" s="35">
        <v>2</v>
      </c>
      <c r="K4729" s="2" t="s">
        <v>9464</v>
      </c>
      <c r="L4729" s="36" t="str">
        <f t="shared" si="79"/>
        <v>Ver Imagen</v>
      </c>
      <c r="M4729" t="s">
        <v>8005</v>
      </c>
    </row>
    <row r="4730" spans="1:13" x14ac:dyDescent="0.25">
      <c r="A4730" s="33">
        <v>4729</v>
      </c>
      <c r="B4730" t="s">
        <v>9465</v>
      </c>
      <c r="C4730" s="1">
        <v>37.3090769079</v>
      </c>
      <c r="D4730" s="1">
        <v>-7.0575609561099997</v>
      </c>
      <c r="E4730" s="3">
        <v>2</v>
      </c>
      <c r="F4730" s="2">
        <v>3</v>
      </c>
      <c r="G4730" s="4">
        <v>5</v>
      </c>
      <c r="H4730" s="13">
        <v>2</v>
      </c>
      <c r="I4730" s="34">
        <v>2</v>
      </c>
      <c r="J4730" s="35">
        <v>2</v>
      </c>
      <c r="K4730" s="2" t="s">
        <v>9466</v>
      </c>
      <c r="L4730" s="36" t="str">
        <f t="shared" si="79"/>
        <v>Ver Imagen</v>
      </c>
      <c r="M4730" t="s">
        <v>8005</v>
      </c>
    </row>
    <row r="4731" spans="1:13" x14ac:dyDescent="0.25">
      <c r="A4731" s="33">
        <v>4730</v>
      </c>
      <c r="B4731" t="s">
        <v>9467</v>
      </c>
      <c r="C4731" s="1">
        <v>37.199288235200001</v>
      </c>
      <c r="D4731" s="1">
        <v>-6.9832307912299996</v>
      </c>
      <c r="E4731" s="3">
        <v>2</v>
      </c>
      <c r="F4731" s="2">
        <v>3</v>
      </c>
      <c r="G4731" s="4">
        <v>5</v>
      </c>
      <c r="H4731" s="13">
        <v>2</v>
      </c>
      <c r="I4731" s="34">
        <v>3</v>
      </c>
      <c r="J4731" s="35">
        <v>3</v>
      </c>
      <c r="K4731" s="2" t="s">
        <v>9468</v>
      </c>
      <c r="L4731" s="36" t="str">
        <f t="shared" si="79"/>
        <v>Ver Imagen</v>
      </c>
      <c r="M4731" t="s">
        <v>8005</v>
      </c>
    </row>
    <row r="4732" spans="1:13" x14ac:dyDescent="0.25">
      <c r="A4732" s="33">
        <v>4731</v>
      </c>
      <c r="B4732" t="s">
        <v>9469</v>
      </c>
      <c r="C4732" s="1">
        <v>37.453936214300001</v>
      </c>
      <c r="D4732" s="1">
        <v>-7.1636378867500001</v>
      </c>
      <c r="E4732" s="3">
        <v>1</v>
      </c>
      <c r="F4732" s="2">
        <v>4</v>
      </c>
      <c r="G4732" s="4">
        <v>3</v>
      </c>
      <c r="H4732" s="13">
        <v>3</v>
      </c>
      <c r="I4732" s="34">
        <v>2</v>
      </c>
      <c r="J4732" s="35">
        <v>3</v>
      </c>
      <c r="K4732" s="2" t="s">
        <v>9470</v>
      </c>
      <c r="L4732" s="36" t="str">
        <f t="shared" si="79"/>
        <v>Ver Imagen</v>
      </c>
      <c r="M4732" t="s">
        <v>8005</v>
      </c>
    </row>
    <row r="4733" spans="1:13" x14ac:dyDescent="0.25">
      <c r="A4733" s="33">
        <v>4732</v>
      </c>
      <c r="B4733" t="s">
        <v>9471</v>
      </c>
      <c r="C4733" s="1">
        <v>37.477940813799997</v>
      </c>
      <c r="D4733" s="1">
        <v>-7.2055676605799999</v>
      </c>
      <c r="E4733" s="3">
        <v>1</v>
      </c>
      <c r="F4733" s="2">
        <v>4</v>
      </c>
      <c r="G4733" s="4">
        <v>3</v>
      </c>
      <c r="H4733" s="13">
        <v>2</v>
      </c>
      <c r="I4733" s="34">
        <v>2</v>
      </c>
      <c r="J4733" s="35">
        <v>2</v>
      </c>
      <c r="K4733" s="2" t="s">
        <v>9472</v>
      </c>
      <c r="L4733" s="36" t="str">
        <f t="shared" si="79"/>
        <v>Ver Imagen</v>
      </c>
      <c r="M4733" t="s">
        <v>8005</v>
      </c>
    </row>
    <row r="4734" spans="1:13" x14ac:dyDescent="0.25">
      <c r="A4734" s="33">
        <v>4733</v>
      </c>
      <c r="B4734" t="s">
        <v>9473</v>
      </c>
      <c r="C4734" s="1">
        <v>37.482323655199998</v>
      </c>
      <c r="D4734" s="1">
        <v>-7.2167566932099998</v>
      </c>
      <c r="E4734" s="3">
        <v>1</v>
      </c>
      <c r="F4734" s="2">
        <v>4</v>
      </c>
      <c r="G4734" s="4">
        <v>3</v>
      </c>
      <c r="H4734" s="13">
        <v>3</v>
      </c>
      <c r="I4734" s="34">
        <v>2</v>
      </c>
      <c r="J4734" s="35">
        <v>3</v>
      </c>
      <c r="K4734" s="2" t="s">
        <v>9474</v>
      </c>
      <c r="L4734" s="36" t="str">
        <f t="shared" si="79"/>
        <v>Ver Imagen</v>
      </c>
      <c r="M4734" t="s">
        <v>8005</v>
      </c>
    </row>
    <row r="4735" spans="1:13" x14ac:dyDescent="0.25">
      <c r="A4735" s="33">
        <v>4734</v>
      </c>
      <c r="B4735" t="s">
        <v>9475</v>
      </c>
      <c r="C4735" s="1">
        <v>37.446236919599997</v>
      </c>
      <c r="D4735" s="1">
        <v>-7.13472187051</v>
      </c>
      <c r="E4735" s="3">
        <v>2</v>
      </c>
      <c r="F4735" s="2">
        <v>5</v>
      </c>
      <c r="G4735" s="4">
        <v>4</v>
      </c>
      <c r="H4735" s="13">
        <v>4</v>
      </c>
      <c r="I4735" s="34">
        <v>4</v>
      </c>
      <c r="J4735" s="35">
        <v>4</v>
      </c>
      <c r="K4735" s="2" t="s">
        <v>9476</v>
      </c>
      <c r="L4735" s="36" t="str">
        <f t="shared" si="79"/>
        <v>Ver Imagen</v>
      </c>
      <c r="M4735" t="s">
        <v>8005</v>
      </c>
    </row>
    <row r="4736" spans="1:13" x14ac:dyDescent="0.25">
      <c r="A4736" s="33">
        <v>4735</v>
      </c>
      <c r="B4736" t="s">
        <v>9477</v>
      </c>
      <c r="C4736" s="1">
        <v>37.450836380200002</v>
      </c>
      <c r="D4736" s="1">
        <v>-7.15362006327</v>
      </c>
      <c r="E4736" s="3">
        <v>2</v>
      </c>
      <c r="F4736" s="2">
        <v>5</v>
      </c>
      <c r="G4736" s="4">
        <v>4</v>
      </c>
      <c r="H4736" s="13">
        <v>4</v>
      </c>
      <c r="I4736" s="34">
        <v>4</v>
      </c>
      <c r="J4736" s="35">
        <v>4</v>
      </c>
      <c r="K4736" s="2" t="s">
        <v>9478</v>
      </c>
      <c r="L4736" s="36" t="str">
        <f t="shared" si="79"/>
        <v>Ver Imagen</v>
      </c>
      <c r="M4736" t="s">
        <v>8005</v>
      </c>
    </row>
    <row r="4737" spans="1:13" x14ac:dyDescent="0.25">
      <c r="A4737" s="33">
        <v>4736</v>
      </c>
      <c r="B4737" t="s">
        <v>9479</v>
      </c>
      <c r="C4737" s="1">
        <v>37.476898562599999</v>
      </c>
      <c r="D4737" s="1">
        <v>-7.20315471346</v>
      </c>
      <c r="E4737" s="3">
        <v>1</v>
      </c>
      <c r="F4737" s="2">
        <v>3</v>
      </c>
      <c r="G4737" s="4">
        <v>4</v>
      </c>
      <c r="H4737" s="13">
        <v>3</v>
      </c>
      <c r="I4737" s="34">
        <v>3</v>
      </c>
      <c r="J4737" s="35">
        <v>3</v>
      </c>
      <c r="K4737" s="2" t="s">
        <v>9480</v>
      </c>
      <c r="L4737" s="36" t="str">
        <f t="shared" si="79"/>
        <v>Ver Imagen</v>
      </c>
      <c r="M4737" t="s">
        <v>8005</v>
      </c>
    </row>
    <row r="4738" spans="1:13" x14ac:dyDescent="0.25">
      <c r="A4738" s="33">
        <v>4737</v>
      </c>
      <c r="B4738" t="s">
        <v>9481</v>
      </c>
      <c r="C4738" s="1">
        <v>37.458474407700002</v>
      </c>
      <c r="D4738" s="1">
        <v>-7.1145551607700002</v>
      </c>
      <c r="E4738" s="3">
        <v>1</v>
      </c>
      <c r="F4738" s="2">
        <v>4</v>
      </c>
      <c r="G4738" s="4">
        <v>4</v>
      </c>
      <c r="H4738" s="13">
        <v>4</v>
      </c>
      <c r="I4738" s="34">
        <v>4</v>
      </c>
      <c r="J4738" s="35">
        <v>4</v>
      </c>
      <c r="K4738" s="2" t="s">
        <v>9482</v>
      </c>
      <c r="L4738" s="36" t="str">
        <f t="shared" si="79"/>
        <v>Ver Imagen</v>
      </c>
      <c r="M4738" t="s">
        <v>8005</v>
      </c>
    </row>
    <row r="4739" spans="1:13" x14ac:dyDescent="0.25">
      <c r="A4739" s="33">
        <v>4738</v>
      </c>
      <c r="B4739" t="s">
        <v>9483</v>
      </c>
      <c r="C4739" s="1">
        <v>37.471641213700003</v>
      </c>
      <c r="D4739" s="1">
        <v>-7.1259292642899998</v>
      </c>
      <c r="E4739" s="3">
        <v>4</v>
      </c>
      <c r="F4739" s="2">
        <v>1</v>
      </c>
      <c r="G4739" s="4">
        <v>4</v>
      </c>
      <c r="H4739" s="13">
        <v>3</v>
      </c>
      <c r="I4739" s="34">
        <v>2</v>
      </c>
      <c r="J4739" s="35">
        <v>3</v>
      </c>
      <c r="K4739" s="2" t="s">
        <v>9484</v>
      </c>
      <c r="L4739" s="36" t="str">
        <f t="shared" si="79"/>
        <v>Ver Imagen</v>
      </c>
      <c r="M4739" t="s">
        <v>8005</v>
      </c>
    </row>
    <row r="4740" spans="1:13" x14ac:dyDescent="0.25">
      <c r="A4740" s="33">
        <v>4739</v>
      </c>
      <c r="B4740" t="s">
        <v>9485</v>
      </c>
      <c r="C4740" s="1">
        <v>37.4679271296</v>
      </c>
      <c r="D4740" s="1">
        <v>-7.1232493937700001</v>
      </c>
      <c r="E4740" s="3">
        <v>4</v>
      </c>
      <c r="F4740" s="2">
        <v>7</v>
      </c>
      <c r="G4740" s="4">
        <v>4</v>
      </c>
      <c r="H4740" s="13">
        <v>4</v>
      </c>
      <c r="I4740" s="34">
        <v>4</v>
      </c>
      <c r="J4740" s="35">
        <v>4</v>
      </c>
      <c r="K4740" s="2" t="s">
        <v>9486</v>
      </c>
      <c r="L4740" s="36" t="str">
        <f t="shared" si="79"/>
        <v>Ver Imagen</v>
      </c>
      <c r="M4740" t="s">
        <v>8005</v>
      </c>
    </row>
    <row r="4741" spans="1:13" x14ac:dyDescent="0.25">
      <c r="A4741" s="33">
        <v>4740</v>
      </c>
      <c r="B4741" t="s">
        <v>9487</v>
      </c>
      <c r="C4741" s="1">
        <v>37.218428876300003</v>
      </c>
      <c r="D4741" s="1">
        <v>-7.02300902052</v>
      </c>
      <c r="E4741" s="3">
        <v>4</v>
      </c>
      <c r="F4741" s="2">
        <v>1</v>
      </c>
      <c r="G4741" s="4">
        <v>4</v>
      </c>
      <c r="H4741" s="13">
        <v>2</v>
      </c>
      <c r="I4741" s="34">
        <v>1</v>
      </c>
      <c r="J4741" s="35">
        <v>2</v>
      </c>
      <c r="K4741" s="2" t="s">
        <v>9488</v>
      </c>
      <c r="L4741" s="36" t="str">
        <f t="shared" si="79"/>
        <v>Ver Imagen</v>
      </c>
      <c r="M4741" t="s">
        <v>8005</v>
      </c>
    </row>
    <row r="4742" spans="1:13" x14ac:dyDescent="0.25">
      <c r="A4742" s="33">
        <v>4741</v>
      </c>
      <c r="B4742" t="s">
        <v>9489</v>
      </c>
      <c r="C4742" s="1">
        <v>37.447072885399997</v>
      </c>
      <c r="D4742" s="1">
        <v>-7.1395239408400002</v>
      </c>
      <c r="E4742" s="3">
        <v>2</v>
      </c>
      <c r="F4742" s="2">
        <v>5</v>
      </c>
      <c r="G4742" s="4">
        <v>5</v>
      </c>
      <c r="H4742" s="13">
        <v>4</v>
      </c>
      <c r="I4742" s="34">
        <v>5</v>
      </c>
      <c r="J4742" s="35">
        <v>5</v>
      </c>
      <c r="K4742" s="2" t="s">
        <v>9490</v>
      </c>
      <c r="L4742" s="36" t="str">
        <f t="shared" si="79"/>
        <v>Ver Imagen</v>
      </c>
      <c r="M4742" t="s">
        <v>8005</v>
      </c>
    </row>
    <row r="4743" spans="1:13" x14ac:dyDescent="0.25">
      <c r="A4743" s="33">
        <v>4742</v>
      </c>
      <c r="B4743" t="s">
        <v>9491</v>
      </c>
      <c r="C4743" s="1">
        <v>37.269345932299998</v>
      </c>
      <c r="D4743" s="1">
        <v>-6.97717464687</v>
      </c>
      <c r="E4743" s="3">
        <v>2</v>
      </c>
      <c r="F4743" s="2">
        <v>4</v>
      </c>
      <c r="G4743" s="4">
        <v>5</v>
      </c>
      <c r="H4743" s="13">
        <v>4</v>
      </c>
      <c r="I4743" s="34">
        <v>4</v>
      </c>
      <c r="J4743" s="35">
        <v>4</v>
      </c>
      <c r="K4743" s="2" t="s">
        <v>9492</v>
      </c>
      <c r="L4743" s="36" t="str">
        <f t="shared" si="79"/>
        <v>Ver Imagen</v>
      </c>
      <c r="M4743" t="s">
        <v>8005</v>
      </c>
    </row>
    <row r="4744" spans="1:13" x14ac:dyDescent="0.25">
      <c r="A4744" s="33">
        <v>4743</v>
      </c>
      <c r="B4744" t="s">
        <v>9493</v>
      </c>
      <c r="C4744" s="1">
        <v>37.268975123200001</v>
      </c>
      <c r="D4744" s="1">
        <v>-6.9757900834399997</v>
      </c>
      <c r="E4744" s="3">
        <v>2</v>
      </c>
      <c r="F4744" s="2">
        <v>4</v>
      </c>
      <c r="G4744" s="4">
        <v>5</v>
      </c>
      <c r="H4744" s="13">
        <v>3</v>
      </c>
      <c r="I4744" s="34">
        <v>4</v>
      </c>
      <c r="J4744" s="35">
        <v>4</v>
      </c>
      <c r="K4744" s="2" t="s">
        <v>9494</v>
      </c>
      <c r="L4744" s="36" t="str">
        <f t="shared" si="79"/>
        <v>Ver Imagen</v>
      </c>
      <c r="M4744" t="s">
        <v>8005</v>
      </c>
    </row>
    <row r="4745" spans="1:13" x14ac:dyDescent="0.25">
      <c r="A4745" s="33">
        <v>4744</v>
      </c>
      <c r="B4745" t="s">
        <v>9495</v>
      </c>
      <c r="C4745" s="1">
        <v>37.268633718499999</v>
      </c>
      <c r="D4745" s="1">
        <v>-6.9743199361399997</v>
      </c>
      <c r="E4745" s="3">
        <v>2</v>
      </c>
      <c r="F4745" s="2">
        <v>3</v>
      </c>
      <c r="G4745" s="4">
        <v>5</v>
      </c>
      <c r="H4745" s="13">
        <v>3</v>
      </c>
      <c r="I4745" s="34">
        <v>4</v>
      </c>
      <c r="J4745" s="35">
        <v>3</v>
      </c>
      <c r="K4745" s="2" t="s">
        <v>9496</v>
      </c>
      <c r="L4745" s="36" t="str">
        <f t="shared" si="79"/>
        <v>Ver Imagen</v>
      </c>
      <c r="M4745" t="s">
        <v>8005</v>
      </c>
    </row>
    <row r="4746" spans="1:13" x14ac:dyDescent="0.25">
      <c r="A4746" s="33">
        <v>4745</v>
      </c>
      <c r="B4746" t="s">
        <v>9497</v>
      </c>
      <c r="C4746" s="1">
        <v>37.447976764099998</v>
      </c>
      <c r="D4746" s="1">
        <v>-7.1415480206700002</v>
      </c>
      <c r="E4746" s="3">
        <v>1</v>
      </c>
      <c r="F4746" s="2">
        <v>2</v>
      </c>
      <c r="G4746" s="4">
        <v>4</v>
      </c>
      <c r="H4746" s="13">
        <v>3</v>
      </c>
      <c r="I4746" s="34">
        <v>2</v>
      </c>
      <c r="J4746" s="37">
        <v>3</v>
      </c>
      <c r="K4746" s="2" t="s">
        <v>9498</v>
      </c>
      <c r="L4746" s="36" t="str">
        <f t="shared" si="79"/>
        <v>Ver Imagen</v>
      </c>
      <c r="M4746" s="37" t="s">
        <v>8052</v>
      </c>
    </row>
    <row r="4747" spans="1:13" x14ac:dyDescent="0.25">
      <c r="A4747" s="33">
        <v>4746</v>
      </c>
      <c r="B4747" t="s">
        <v>9499</v>
      </c>
      <c r="C4747" s="1">
        <v>37.4461850012</v>
      </c>
      <c r="D4747" s="1">
        <v>-7.1364724975599998</v>
      </c>
      <c r="E4747" s="3">
        <v>2</v>
      </c>
      <c r="F4747" s="2">
        <v>5</v>
      </c>
      <c r="G4747" s="4">
        <v>5</v>
      </c>
      <c r="H4747" s="13">
        <v>4</v>
      </c>
      <c r="I4747" s="34">
        <v>4</v>
      </c>
      <c r="J4747" s="35">
        <v>4</v>
      </c>
      <c r="K4747" s="2" t="s">
        <v>9500</v>
      </c>
      <c r="L4747" s="36" t="str">
        <f t="shared" si="79"/>
        <v>Ver Imagen</v>
      </c>
      <c r="M4747" t="s">
        <v>8005</v>
      </c>
    </row>
    <row r="4748" spans="1:13" x14ac:dyDescent="0.25">
      <c r="A4748" s="33">
        <v>4747</v>
      </c>
      <c r="B4748" t="s">
        <v>9501</v>
      </c>
      <c r="C4748" s="1">
        <v>37.446588611000003</v>
      </c>
      <c r="D4748" s="1">
        <v>-7.1379219536400003</v>
      </c>
      <c r="E4748" s="3">
        <v>2</v>
      </c>
      <c r="F4748" s="2">
        <v>5</v>
      </c>
      <c r="G4748" s="4">
        <v>4</v>
      </c>
      <c r="H4748" s="13">
        <v>4</v>
      </c>
      <c r="I4748" s="34">
        <v>4</v>
      </c>
      <c r="J4748" s="35">
        <v>4</v>
      </c>
      <c r="K4748" s="2" t="s">
        <v>9502</v>
      </c>
      <c r="L4748" s="36" t="str">
        <f t="shared" si="79"/>
        <v>Ver Imagen</v>
      </c>
      <c r="M4748" t="s">
        <v>8005</v>
      </c>
    </row>
    <row r="4749" spans="1:13" x14ac:dyDescent="0.25">
      <c r="A4749" s="33">
        <v>4748</v>
      </c>
      <c r="B4749" t="s">
        <v>9503</v>
      </c>
      <c r="C4749" s="1">
        <v>37.448467982700002</v>
      </c>
      <c r="D4749" s="1">
        <v>-7.1429567466500004</v>
      </c>
      <c r="E4749" s="3">
        <v>1</v>
      </c>
      <c r="F4749" s="2">
        <v>2</v>
      </c>
      <c r="G4749" s="4">
        <v>4</v>
      </c>
      <c r="H4749" s="13">
        <v>2</v>
      </c>
      <c r="I4749" s="34">
        <v>2</v>
      </c>
      <c r="J4749" s="35">
        <v>2</v>
      </c>
      <c r="K4749" s="2" t="s">
        <v>9504</v>
      </c>
      <c r="L4749" s="36" t="str">
        <f t="shared" si="79"/>
        <v>Ver Imagen</v>
      </c>
      <c r="M4749" t="s">
        <v>8005</v>
      </c>
    </row>
    <row r="4750" spans="1:13" x14ac:dyDescent="0.25">
      <c r="A4750" s="33">
        <v>4749</v>
      </c>
      <c r="B4750" t="s">
        <v>9505</v>
      </c>
      <c r="C4750" s="1">
        <v>37.448562428599999</v>
      </c>
      <c r="D4750" s="1">
        <v>-7.1446770580300001</v>
      </c>
      <c r="E4750" s="3">
        <v>2</v>
      </c>
      <c r="F4750" s="2">
        <v>3</v>
      </c>
      <c r="G4750" s="4">
        <v>5</v>
      </c>
      <c r="H4750" s="13">
        <v>3</v>
      </c>
      <c r="I4750" s="34">
        <v>3</v>
      </c>
      <c r="J4750" s="35">
        <v>3</v>
      </c>
      <c r="K4750" s="2" t="s">
        <v>9506</v>
      </c>
      <c r="L4750" s="36" t="str">
        <f t="shared" si="79"/>
        <v>Ver Imagen</v>
      </c>
      <c r="M4750" t="s">
        <v>8005</v>
      </c>
    </row>
    <row r="4751" spans="1:13" x14ac:dyDescent="0.25">
      <c r="A4751" s="33">
        <v>4750</v>
      </c>
      <c r="B4751" t="s">
        <v>9507</v>
      </c>
      <c r="C4751" s="1">
        <v>37.451042043400001</v>
      </c>
      <c r="D4751" s="1">
        <v>-7.1540220853800003</v>
      </c>
      <c r="E4751" s="3">
        <v>2</v>
      </c>
      <c r="F4751" s="2">
        <v>4</v>
      </c>
      <c r="G4751" s="4">
        <v>5</v>
      </c>
      <c r="H4751" s="13">
        <v>4</v>
      </c>
      <c r="I4751" s="34">
        <v>4</v>
      </c>
      <c r="J4751" s="35">
        <v>4</v>
      </c>
      <c r="K4751" s="2" t="s">
        <v>9508</v>
      </c>
      <c r="L4751" s="36" t="str">
        <f t="shared" si="79"/>
        <v>Ver Imagen</v>
      </c>
      <c r="M4751" t="s">
        <v>8005</v>
      </c>
    </row>
    <row r="4752" spans="1:13" x14ac:dyDescent="0.25">
      <c r="A4752" s="33">
        <v>4751</v>
      </c>
      <c r="B4752" t="s">
        <v>9509</v>
      </c>
      <c r="C4752" s="1">
        <v>37.448833266000001</v>
      </c>
      <c r="D4752" s="1">
        <v>-7.1492565019800001</v>
      </c>
      <c r="E4752" s="3">
        <v>2</v>
      </c>
      <c r="F4752" s="2">
        <v>4</v>
      </c>
      <c r="G4752" s="4">
        <v>5</v>
      </c>
      <c r="H4752" s="13">
        <v>4</v>
      </c>
      <c r="I4752" s="34">
        <v>4</v>
      </c>
      <c r="J4752" s="35">
        <v>4</v>
      </c>
      <c r="K4752" s="2" t="s">
        <v>9510</v>
      </c>
      <c r="L4752" s="36" t="str">
        <f t="shared" si="79"/>
        <v>Ver Imagen</v>
      </c>
      <c r="M4752" t="s">
        <v>8005</v>
      </c>
    </row>
    <row r="4753" spans="1:13" x14ac:dyDescent="0.25">
      <c r="A4753" s="33">
        <v>4752</v>
      </c>
      <c r="B4753" t="s">
        <v>9511</v>
      </c>
      <c r="C4753" s="1">
        <v>37.449004012400003</v>
      </c>
      <c r="D4753" s="1">
        <v>-7.1499553029499996</v>
      </c>
      <c r="E4753" s="3">
        <v>2</v>
      </c>
      <c r="F4753" s="2">
        <v>3</v>
      </c>
      <c r="G4753" s="4">
        <v>5</v>
      </c>
      <c r="H4753" s="13">
        <v>3</v>
      </c>
      <c r="I4753" s="34">
        <v>4</v>
      </c>
      <c r="J4753" s="35">
        <v>3</v>
      </c>
      <c r="K4753" s="2" t="s">
        <v>9512</v>
      </c>
      <c r="L4753" s="36" t="str">
        <f t="shared" si="79"/>
        <v>Ver Imagen</v>
      </c>
      <c r="M4753" t="s">
        <v>8005</v>
      </c>
    </row>
    <row r="4754" spans="1:13" x14ac:dyDescent="0.25">
      <c r="A4754" s="33">
        <v>4753</v>
      </c>
      <c r="B4754" t="s">
        <v>9513</v>
      </c>
      <c r="C4754" s="1">
        <v>37.451870655999997</v>
      </c>
      <c r="D4754" s="1">
        <v>-7.1576723227799999</v>
      </c>
      <c r="E4754" s="3">
        <v>2</v>
      </c>
      <c r="F4754" s="2">
        <v>3</v>
      </c>
      <c r="G4754" s="4">
        <v>5</v>
      </c>
      <c r="H4754" s="13">
        <v>3</v>
      </c>
      <c r="I4754" s="34">
        <v>3</v>
      </c>
      <c r="J4754" s="35">
        <v>3</v>
      </c>
      <c r="K4754" s="2" t="s">
        <v>9514</v>
      </c>
      <c r="L4754" s="36" t="str">
        <f t="shared" si="79"/>
        <v>Ver Imagen</v>
      </c>
      <c r="M4754" t="s">
        <v>8005</v>
      </c>
    </row>
    <row r="4755" spans="1:13" x14ac:dyDescent="0.25">
      <c r="A4755" s="33">
        <v>4754</v>
      </c>
      <c r="B4755" t="s">
        <v>9515</v>
      </c>
      <c r="C4755" s="1">
        <v>37.452027841499998</v>
      </c>
      <c r="D4755" s="1">
        <v>-7.1584250229800004</v>
      </c>
      <c r="E4755" s="3">
        <v>2</v>
      </c>
      <c r="F4755" s="2">
        <v>3</v>
      </c>
      <c r="G4755" s="4">
        <v>5</v>
      </c>
      <c r="H4755" s="13">
        <v>3</v>
      </c>
      <c r="I4755" s="34">
        <v>3</v>
      </c>
      <c r="J4755" s="35">
        <v>3</v>
      </c>
      <c r="K4755" s="2" t="s">
        <v>9516</v>
      </c>
      <c r="L4755" s="36" t="str">
        <f t="shared" si="79"/>
        <v>Ver Imagen</v>
      </c>
      <c r="M4755" t="s">
        <v>8005</v>
      </c>
    </row>
    <row r="4756" spans="1:13" x14ac:dyDescent="0.25">
      <c r="A4756" s="33">
        <v>4755</v>
      </c>
      <c r="B4756" t="s">
        <v>9517</v>
      </c>
      <c r="C4756" s="1">
        <v>37.452757214800002</v>
      </c>
      <c r="D4756" s="1">
        <v>-7.1613038923900003</v>
      </c>
      <c r="E4756" s="3">
        <v>1</v>
      </c>
      <c r="F4756" s="2">
        <v>3</v>
      </c>
      <c r="G4756" s="4">
        <v>4</v>
      </c>
      <c r="H4756" s="13">
        <v>2</v>
      </c>
      <c r="I4756" s="34">
        <v>3</v>
      </c>
      <c r="J4756" s="37">
        <v>2</v>
      </c>
      <c r="K4756" s="2" t="s">
        <v>9518</v>
      </c>
      <c r="L4756" s="36" t="str">
        <f t="shared" si="79"/>
        <v>Ver Imagen</v>
      </c>
      <c r="M4756" s="37" t="s">
        <v>8052</v>
      </c>
    </row>
    <row r="4757" spans="1:13" x14ac:dyDescent="0.25">
      <c r="A4757" s="33">
        <v>4756</v>
      </c>
      <c r="B4757" t="s">
        <v>9519</v>
      </c>
      <c r="C4757" s="1">
        <v>37.4546834171</v>
      </c>
      <c r="D4757" s="1">
        <v>-7.1650981423699998</v>
      </c>
      <c r="E4757" s="3">
        <v>2</v>
      </c>
      <c r="F4757" s="2">
        <v>4</v>
      </c>
      <c r="G4757" s="4">
        <v>5</v>
      </c>
      <c r="H4757" s="13">
        <v>4</v>
      </c>
      <c r="I4757" s="34">
        <v>5</v>
      </c>
      <c r="J4757" s="35">
        <v>4</v>
      </c>
      <c r="K4757" s="2" t="s">
        <v>9520</v>
      </c>
      <c r="L4757" s="36" t="str">
        <f t="shared" si="79"/>
        <v>Ver Imagen</v>
      </c>
      <c r="M4757" t="s">
        <v>8005</v>
      </c>
    </row>
    <row r="4758" spans="1:13" x14ac:dyDescent="0.25">
      <c r="A4758" s="33">
        <v>4757</v>
      </c>
      <c r="B4758" t="s">
        <v>9521</v>
      </c>
      <c r="C4758" s="1">
        <v>37.456987168399998</v>
      </c>
      <c r="D4758" s="1">
        <v>-7.16802283071</v>
      </c>
      <c r="E4758" s="3">
        <v>1</v>
      </c>
      <c r="F4758" s="2">
        <v>3</v>
      </c>
      <c r="G4758" s="4">
        <v>4</v>
      </c>
      <c r="H4758" s="13">
        <v>3</v>
      </c>
      <c r="I4758" s="34">
        <v>3</v>
      </c>
      <c r="J4758" s="35">
        <v>3</v>
      </c>
      <c r="K4758" s="2" t="s">
        <v>9522</v>
      </c>
      <c r="L4758" s="36" t="str">
        <f t="shared" si="79"/>
        <v>Ver Imagen</v>
      </c>
      <c r="M4758" t="s">
        <v>8005</v>
      </c>
    </row>
    <row r="4759" spans="1:13" x14ac:dyDescent="0.25">
      <c r="A4759" s="33">
        <v>4758</v>
      </c>
      <c r="B4759" t="s">
        <v>9523</v>
      </c>
      <c r="C4759" s="1">
        <v>37.461836466999998</v>
      </c>
      <c r="D4759" s="1">
        <v>-7.1748650451199998</v>
      </c>
      <c r="E4759" s="3">
        <v>2</v>
      </c>
      <c r="F4759" s="2">
        <v>4</v>
      </c>
      <c r="G4759" s="4">
        <v>5</v>
      </c>
      <c r="H4759" s="13">
        <v>3</v>
      </c>
      <c r="I4759" s="34">
        <v>4</v>
      </c>
      <c r="J4759" s="35">
        <v>4</v>
      </c>
      <c r="K4759" s="2" t="s">
        <v>9524</v>
      </c>
      <c r="L4759" s="36" t="str">
        <f t="shared" si="79"/>
        <v>Ver Imagen</v>
      </c>
      <c r="M4759" t="s">
        <v>8005</v>
      </c>
    </row>
    <row r="4760" spans="1:13" x14ac:dyDescent="0.25">
      <c r="A4760" s="33">
        <v>4759</v>
      </c>
      <c r="B4760" t="s">
        <v>9525</v>
      </c>
      <c r="C4760" s="1">
        <v>37.490075159200003</v>
      </c>
      <c r="D4760" s="1">
        <v>-7.2589985960099996</v>
      </c>
      <c r="E4760" s="3">
        <v>1</v>
      </c>
      <c r="F4760" s="2">
        <v>3</v>
      </c>
      <c r="G4760" s="4">
        <v>4</v>
      </c>
      <c r="H4760" s="13">
        <v>2</v>
      </c>
      <c r="I4760" s="34">
        <v>2</v>
      </c>
      <c r="J4760" s="35">
        <v>2</v>
      </c>
      <c r="K4760" s="2" t="s">
        <v>9526</v>
      </c>
      <c r="L4760" s="36" t="str">
        <f t="shared" si="79"/>
        <v>Ver Imagen</v>
      </c>
      <c r="M4760" t="s">
        <v>8005</v>
      </c>
    </row>
    <row r="4761" spans="1:13" x14ac:dyDescent="0.25">
      <c r="A4761" s="33">
        <v>4760</v>
      </c>
      <c r="B4761" t="s">
        <v>9527</v>
      </c>
      <c r="C4761" s="1">
        <v>37.486534181099998</v>
      </c>
      <c r="D4761" s="1">
        <v>-7.2384470390500004</v>
      </c>
      <c r="E4761" s="3">
        <v>2</v>
      </c>
      <c r="F4761" s="2">
        <v>4</v>
      </c>
      <c r="G4761" s="4">
        <v>5</v>
      </c>
      <c r="H4761" s="13">
        <v>3</v>
      </c>
      <c r="I4761" s="34">
        <v>3</v>
      </c>
      <c r="J4761" s="35">
        <v>3</v>
      </c>
      <c r="K4761" s="2" t="s">
        <v>9528</v>
      </c>
      <c r="L4761" s="36" t="str">
        <f t="shared" si="79"/>
        <v>Ver Imagen</v>
      </c>
      <c r="M4761" t="s">
        <v>8005</v>
      </c>
    </row>
    <row r="4762" spans="1:13" x14ac:dyDescent="0.25">
      <c r="A4762" s="33">
        <v>4761</v>
      </c>
      <c r="B4762" t="s">
        <v>9529</v>
      </c>
      <c r="C4762" s="1">
        <v>37.489219012100001</v>
      </c>
      <c r="D4762" s="1">
        <v>-7.2478939739400001</v>
      </c>
      <c r="E4762" s="3">
        <v>1</v>
      </c>
      <c r="F4762" s="2">
        <v>4</v>
      </c>
      <c r="G4762" s="4">
        <v>3</v>
      </c>
      <c r="H4762" s="13">
        <v>2</v>
      </c>
      <c r="I4762" s="34">
        <v>1</v>
      </c>
      <c r="J4762" s="35">
        <v>2</v>
      </c>
      <c r="K4762" s="2" t="s">
        <v>9530</v>
      </c>
      <c r="L4762" s="36" t="str">
        <f t="shared" si="79"/>
        <v>Ver Imagen</v>
      </c>
      <c r="M4762" t="s">
        <v>8005</v>
      </c>
    </row>
    <row r="4763" spans="1:13" x14ac:dyDescent="0.25">
      <c r="A4763" s="33">
        <v>4762</v>
      </c>
      <c r="B4763" t="s">
        <v>9531</v>
      </c>
      <c r="C4763" s="1">
        <v>37.490688680600002</v>
      </c>
      <c r="D4763" s="1">
        <v>-7.2499274502900004</v>
      </c>
      <c r="E4763" s="3">
        <v>1</v>
      </c>
      <c r="F4763" s="2">
        <v>3</v>
      </c>
      <c r="G4763" s="4">
        <v>4</v>
      </c>
      <c r="H4763" s="13">
        <v>2</v>
      </c>
      <c r="I4763" s="34">
        <v>3</v>
      </c>
      <c r="J4763" s="35">
        <v>3</v>
      </c>
      <c r="K4763" s="2" t="s">
        <v>9532</v>
      </c>
      <c r="L4763" s="36" t="str">
        <f t="shared" si="79"/>
        <v>Ver Imagen</v>
      </c>
      <c r="M4763" t="s">
        <v>8005</v>
      </c>
    </row>
    <row r="4764" spans="1:13" x14ac:dyDescent="0.25">
      <c r="A4764" s="33">
        <v>4763</v>
      </c>
      <c r="B4764" t="s">
        <v>9533</v>
      </c>
      <c r="C4764" s="1">
        <v>37.4940436069</v>
      </c>
      <c r="D4764" s="1">
        <v>-7.2654572988300004</v>
      </c>
      <c r="E4764" s="3">
        <v>1</v>
      </c>
      <c r="F4764" s="2">
        <v>4</v>
      </c>
      <c r="G4764" s="4">
        <v>3</v>
      </c>
      <c r="H4764" s="13">
        <v>3</v>
      </c>
      <c r="I4764" s="34">
        <v>3</v>
      </c>
      <c r="J4764" s="35">
        <v>3</v>
      </c>
      <c r="K4764" s="2" t="s">
        <v>9534</v>
      </c>
      <c r="L4764" s="36" t="str">
        <f t="shared" si="79"/>
        <v>Ver Imagen</v>
      </c>
      <c r="M4764" t="s">
        <v>8005</v>
      </c>
    </row>
    <row r="4765" spans="1:13" x14ac:dyDescent="0.25">
      <c r="A4765" s="33">
        <v>4764</v>
      </c>
      <c r="B4765" t="s">
        <v>9535</v>
      </c>
      <c r="C4765" s="1">
        <v>37.279962006300003</v>
      </c>
      <c r="D4765" s="1">
        <v>-7.0061014871199996</v>
      </c>
      <c r="E4765" s="3">
        <v>1</v>
      </c>
      <c r="F4765" s="2">
        <v>2</v>
      </c>
      <c r="G4765" s="4">
        <v>4</v>
      </c>
      <c r="H4765" s="13">
        <v>2</v>
      </c>
      <c r="I4765" s="34">
        <v>1</v>
      </c>
      <c r="J4765" s="35">
        <v>2</v>
      </c>
      <c r="K4765" s="2" t="s">
        <v>9536</v>
      </c>
      <c r="L4765" s="36" t="str">
        <f t="shared" si="79"/>
        <v>Ver Imagen</v>
      </c>
      <c r="M4765" t="s">
        <v>8005</v>
      </c>
    </row>
    <row r="4766" spans="1:13" x14ac:dyDescent="0.25">
      <c r="A4766" s="33">
        <v>4765</v>
      </c>
      <c r="B4766" t="s">
        <v>9537</v>
      </c>
      <c r="C4766" s="1">
        <v>37.276299618000003</v>
      </c>
      <c r="D4766" s="1">
        <v>-7.0237627163100003</v>
      </c>
      <c r="E4766" s="3">
        <v>1</v>
      </c>
      <c r="F4766" s="2">
        <v>2</v>
      </c>
      <c r="G4766" s="4">
        <v>4</v>
      </c>
      <c r="H4766" s="13">
        <v>2</v>
      </c>
      <c r="I4766" s="34">
        <v>3</v>
      </c>
      <c r="J4766" s="35">
        <v>2</v>
      </c>
      <c r="K4766" s="2" t="s">
        <v>9538</v>
      </c>
      <c r="L4766" s="36" t="str">
        <f t="shared" ref="L4766:L4798" si="80">HYPERLINK("NoConsenso\" &amp; K4766, "Ver Imagen")</f>
        <v>Ver Imagen</v>
      </c>
      <c r="M4766" t="s">
        <v>8005</v>
      </c>
    </row>
    <row r="4767" spans="1:13" x14ac:dyDescent="0.25">
      <c r="A4767" s="33">
        <v>4766</v>
      </c>
      <c r="B4767" t="s">
        <v>9539</v>
      </c>
      <c r="C4767" s="1">
        <v>37.276335164499997</v>
      </c>
      <c r="D4767" s="1">
        <v>-7.0240178950000001</v>
      </c>
      <c r="E4767" s="3">
        <v>1</v>
      </c>
      <c r="F4767" s="2">
        <v>3</v>
      </c>
      <c r="G4767" s="4">
        <v>4</v>
      </c>
      <c r="H4767" s="13">
        <v>2</v>
      </c>
      <c r="I4767" s="34">
        <v>3</v>
      </c>
      <c r="J4767" s="35">
        <v>3</v>
      </c>
      <c r="K4767" s="2" t="s">
        <v>9540</v>
      </c>
      <c r="L4767" s="36" t="str">
        <f t="shared" si="80"/>
        <v>Ver Imagen</v>
      </c>
      <c r="M4767" t="s">
        <v>8005</v>
      </c>
    </row>
    <row r="4768" spans="1:13" x14ac:dyDescent="0.25">
      <c r="A4768" s="33">
        <v>4767</v>
      </c>
      <c r="B4768" t="s">
        <v>9541</v>
      </c>
      <c r="C4768" s="1">
        <v>37.283972236899999</v>
      </c>
      <c r="D4768" s="1">
        <v>-7.0348117318499996</v>
      </c>
      <c r="E4768" s="3">
        <v>1</v>
      </c>
      <c r="F4768" s="2">
        <v>3</v>
      </c>
      <c r="G4768" s="4">
        <v>4</v>
      </c>
      <c r="H4768" s="13">
        <v>2</v>
      </c>
      <c r="I4768" s="34">
        <v>1</v>
      </c>
      <c r="J4768" s="35">
        <v>2</v>
      </c>
      <c r="K4768" s="2" t="s">
        <v>9542</v>
      </c>
      <c r="L4768" s="36" t="str">
        <f t="shared" si="80"/>
        <v>Ver Imagen</v>
      </c>
      <c r="M4768" t="s">
        <v>8005</v>
      </c>
    </row>
    <row r="4769" spans="1:14" x14ac:dyDescent="0.25">
      <c r="A4769" s="33">
        <v>4768</v>
      </c>
      <c r="B4769" t="s">
        <v>9543</v>
      </c>
      <c r="C4769" s="1">
        <v>37.288867498400002</v>
      </c>
      <c r="D4769" s="1">
        <v>-7.0432555748799999</v>
      </c>
      <c r="E4769" s="3">
        <v>1</v>
      </c>
      <c r="F4769" s="2">
        <v>2</v>
      </c>
      <c r="G4769" s="4">
        <v>4</v>
      </c>
      <c r="H4769" s="13">
        <v>2</v>
      </c>
      <c r="I4769" s="34">
        <v>1</v>
      </c>
      <c r="J4769" s="35">
        <v>2</v>
      </c>
      <c r="K4769" s="2" t="s">
        <v>9544</v>
      </c>
      <c r="L4769" s="36" t="str">
        <f t="shared" si="80"/>
        <v>Ver Imagen</v>
      </c>
      <c r="M4769" t="s">
        <v>8005</v>
      </c>
    </row>
    <row r="4770" spans="1:14" x14ac:dyDescent="0.25">
      <c r="A4770" s="33">
        <v>4769</v>
      </c>
      <c r="B4770" t="s">
        <v>9545</v>
      </c>
      <c r="C4770" s="1">
        <v>37.290087570300003</v>
      </c>
      <c r="D4770" s="1">
        <v>-7.04491966333</v>
      </c>
      <c r="E4770" s="3">
        <v>1</v>
      </c>
      <c r="F4770" s="2">
        <v>2</v>
      </c>
      <c r="G4770" s="4">
        <v>4</v>
      </c>
      <c r="H4770" s="13">
        <v>2</v>
      </c>
      <c r="I4770" s="34">
        <v>2</v>
      </c>
      <c r="J4770" s="35">
        <v>2</v>
      </c>
      <c r="K4770" s="2" t="s">
        <v>9546</v>
      </c>
      <c r="L4770" s="36" t="str">
        <f t="shared" si="80"/>
        <v>Ver Imagen</v>
      </c>
      <c r="M4770" t="s">
        <v>8005</v>
      </c>
    </row>
    <row r="4771" spans="1:14" x14ac:dyDescent="0.25">
      <c r="A4771" s="33">
        <v>4770</v>
      </c>
      <c r="B4771" t="s">
        <v>9547</v>
      </c>
      <c r="C4771" s="1">
        <v>37.290633774</v>
      </c>
      <c r="D4771" s="1">
        <v>-7.0452699472400004</v>
      </c>
      <c r="E4771" s="3">
        <v>1</v>
      </c>
      <c r="F4771" s="2">
        <v>2</v>
      </c>
      <c r="G4771" s="4">
        <v>4</v>
      </c>
      <c r="H4771" s="13">
        <v>2</v>
      </c>
      <c r="I4771" s="34">
        <v>2</v>
      </c>
      <c r="J4771" s="35">
        <v>2</v>
      </c>
      <c r="K4771" s="2" t="s">
        <v>9548</v>
      </c>
      <c r="L4771" s="36" t="str">
        <f t="shared" si="80"/>
        <v>Ver Imagen</v>
      </c>
      <c r="M4771" t="s">
        <v>8005</v>
      </c>
    </row>
    <row r="4772" spans="1:14" x14ac:dyDescent="0.25">
      <c r="A4772" s="33">
        <v>4771</v>
      </c>
      <c r="B4772" t="s">
        <v>9549</v>
      </c>
      <c r="C4772" s="1">
        <v>37.291194064899997</v>
      </c>
      <c r="D4772" s="1">
        <v>-7.0454162166999996</v>
      </c>
      <c r="E4772" s="3">
        <v>1</v>
      </c>
      <c r="F4772" s="2">
        <v>4</v>
      </c>
      <c r="G4772" s="4">
        <v>4</v>
      </c>
      <c r="H4772" s="13">
        <v>2</v>
      </c>
      <c r="I4772" s="34">
        <v>1</v>
      </c>
      <c r="J4772" s="35">
        <v>2</v>
      </c>
      <c r="K4772" s="2" t="s">
        <v>9550</v>
      </c>
      <c r="L4772" s="36" t="str">
        <f t="shared" si="80"/>
        <v>Ver Imagen</v>
      </c>
      <c r="M4772" t="s">
        <v>8005</v>
      </c>
    </row>
    <row r="4773" spans="1:14" x14ac:dyDescent="0.25">
      <c r="A4773" s="33">
        <v>4772</v>
      </c>
      <c r="B4773" t="s">
        <v>9551</v>
      </c>
      <c r="C4773" s="1">
        <v>37.292584875099998</v>
      </c>
      <c r="D4773" s="1">
        <v>-7.04575450908</v>
      </c>
      <c r="E4773" s="3">
        <v>1</v>
      </c>
      <c r="F4773" s="2">
        <v>2</v>
      </c>
      <c r="G4773" s="4">
        <v>4</v>
      </c>
      <c r="H4773" s="13">
        <v>2</v>
      </c>
      <c r="I4773" s="34">
        <v>1</v>
      </c>
      <c r="J4773" s="35">
        <v>2</v>
      </c>
      <c r="K4773" s="2" t="s">
        <v>9552</v>
      </c>
      <c r="L4773" s="36" t="str">
        <f t="shared" si="80"/>
        <v>Ver Imagen</v>
      </c>
      <c r="M4773" t="s">
        <v>8005</v>
      </c>
    </row>
    <row r="4774" spans="1:14" x14ac:dyDescent="0.25">
      <c r="A4774" s="33">
        <v>4773</v>
      </c>
      <c r="B4774" t="s">
        <v>9553</v>
      </c>
      <c r="C4774" s="1">
        <v>37.295820915699998</v>
      </c>
      <c r="D4774" s="1">
        <v>-7.0495699534299998</v>
      </c>
      <c r="E4774" s="3">
        <v>1</v>
      </c>
      <c r="F4774" s="2">
        <v>2</v>
      </c>
      <c r="G4774" s="4">
        <v>4</v>
      </c>
      <c r="H4774" s="13">
        <v>3</v>
      </c>
      <c r="I4774" s="34">
        <v>2</v>
      </c>
      <c r="J4774" s="35">
        <v>2</v>
      </c>
      <c r="K4774" s="2" t="s">
        <v>9554</v>
      </c>
      <c r="L4774" s="36" t="str">
        <f t="shared" si="80"/>
        <v>Ver Imagen</v>
      </c>
      <c r="M4774" t="s">
        <v>8005</v>
      </c>
    </row>
    <row r="4775" spans="1:14" x14ac:dyDescent="0.25">
      <c r="A4775" s="33">
        <v>4774</v>
      </c>
      <c r="B4775" t="s">
        <v>9555</v>
      </c>
      <c r="C4775" s="1">
        <v>37.297150189100002</v>
      </c>
      <c r="D4775" s="1">
        <v>-7.0517245161700002</v>
      </c>
      <c r="E4775" s="3">
        <v>1</v>
      </c>
      <c r="F4775" s="2">
        <v>2</v>
      </c>
      <c r="G4775" s="4">
        <v>4</v>
      </c>
      <c r="H4775" s="13">
        <v>2</v>
      </c>
      <c r="I4775" s="34">
        <v>2</v>
      </c>
      <c r="J4775" s="35">
        <v>2</v>
      </c>
      <c r="K4775" s="2" t="s">
        <v>9556</v>
      </c>
      <c r="L4775" s="36" t="str">
        <f t="shared" si="80"/>
        <v>Ver Imagen</v>
      </c>
      <c r="M4775" t="s">
        <v>8005</v>
      </c>
    </row>
    <row r="4776" spans="1:14" x14ac:dyDescent="0.25">
      <c r="A4776" s="33">
        <v>4775</v>
      </c>
      <c r="B4776" t="s">
        <v>9557</v>
      </c>
      <c r="C4776" s="1">
        <v>37.2973972355</v>
      </c>
      <c r="D4776" s="1">
        <v>-7.0524846101199996</v>
      </c>
      <c r="E4776" s="3">
        <v>1</v>
      </c>
      <c r="F4776" s="2">
        <v>2</v>
      </c>
      <c r="G4776" s="4">
        <v>4</v>
      </c>
      <c r="H4776" s="13">
        <v>2</v>
      </c>
      <c r="I4776" s="34">
        <v>3</v>
      </c>
      <c r="J4776" s="35">
        <v>2</v>
      </c>
      <c r="K4776" s="2" t="s">
        <v>9558</v>
      </c>
      <c r="L4776" s="36" t="str">
        <f t="shared" si="80"/>
        <v>Ver Imagen</v>
      </c>
      <c r="M4776" t="s">
        <v>8005</v>
      </c>
    </row>
    <row r="4777" spans="1:14" x14ac:dyDescent="0.25">
      <c r="A4777" s="33">
        <v>4776</v>
      </c>
      <c r="B4777" t="s">
        <v>9559</v>
      </c>
      <c r="C4777" s="1">
        <v>37.301283745500001</v>
      </c>
      <c r="D4777" s="1">
        <v>-7.0562804679899997</v>
      </c>
      <c r="E4777" s="3">
        <v>1</v>
      </c>
      <c r="F4777" s="2">
        <v>3</v>
      </c>
      <c r="G4777" s="4">
        <v>4</v>
      </c>
      <c r="H4777" s="13">
        <v>3</v>
      </c>
      <c r="I4777" s="34">
        <v>2</v>
      </c>
      <c r="J4777" s="35">
        <v>3</v>
      </c>
      <c r="K4777" s="2" t="s">
        <v>9560</v>
      </c>
      <c r="L4777" s="36" t="str">
        <f t="shared" si="80"/>
        <v>Ver Imagen</v>
      </c>
      <c r="M4777" t="s">
        <v>8005</v>
      </c>
    </row>
    <row r="4778" spans="1:14" x14ac:dyDescent="0.25">
      <c r="A4778" s="33">
        <v>4777</v>
      </c>
      <c r="B4778" t="s">
        <v>9561</v>
      </c>
      <c r="C4778" s="1">
        <v>37.306280931099998</v>
      </c>
      <c r="D4778" s="1">
        <v>-7.0567860571200001</v>
      </c>
      <c r="E4778" s="3">
        <v>1</v>
      </c>
      <c r="F4778" s="2">
        <v>2</v>
      </c>
      <c r="G4778" s="4">
        <v>4</v>
      </c>
      <c r="H4778" s="13">
        <v>2</v>
      </c>
      <c r="I4778" s="34">
        <v>1</v>
      </c>
      <c r="J4778" s="35">
        <v>2</v>
      </c>
      <c r="K4778" s="2" t="s">
        <v>9562</v>
      </c>
      <c r="L4778" s="36" t="str">
        <f t="shared" si="80"/>
        <v>Ver Imagen</v>
      </c>
      <c r="M4778" t="s">
        <v>8005</v>
      </c>
    </row>
    <row r="4779" spans="1:14" x14ac:dyDescent="0.25">
      <c r="A4779" s="33">
        <v>4778</v>
      </c>
      <c r="B4779" t="s">
        <v>9563</v>
      </c>
      <c r="C4779" s="1">
        <v>37.306504625599999</v>
      </c>
      <c r="D4779" s="1">
        <v>-7.0568137009900003</v>
      </c>
      <c r="E4779" s="3">
        <v>1</v>
      </c>
      <c r="F4779" s="2">
        <v>2</v>
      </c>
      <c r="G4779" s="4">
        <v>4</v>
      </c>
      <c r="H4779" s="13">
        <v>2</v>
      </c>
      <c r="I4779" s="34">
        <v>1</v>
      </c>
      <c r="J4779" s="35">
        <v>2</v>
      </c>
      <c r="K4779" s="2" t="s">
        <v>9564</v>
      </c>
      <c r="L4779" s="36" t="str">
        <f t="shared" si="80"/>
        <v>Ver Imagen</v>
      </c>
      <c r="M4779" t="s">
        <v>8005</v>
      </c>
    </row>
    <row r="4780" spans="1:14" x14ac:dyDescent="0.25">
      <c r="A4780" s="33">
        <v>4779</v>
      </c>
      <c r="B4780" t="s">
        <v>9565</v>
      </c>
      <c r="C4780" s="1">
        <v>37.306697263300002</v>
      </c>
      <c r="D4780" s="1">
        <v>-7.05683753862</v>
      </c>
      <c r="E4780" s="3">
        <v>1</v>
      </c>
      <c r="F4780" s="2">
        <v>2</v>
      </c>
      <c r="G4780" s="4">
        <v>4</v>
      </c>
      <c r="H4780" s="13">
        <v>2</v>
      </c>
      <c r="I4780" s="34">
        <v>1</v>
      </c>
      <c r="J4780" s="35">
        <v>2</v>
      </c>
      <c r="K4780" s="2" t="s">
        <v>9566</v>
      </c>
      <c r="L4780" s="36" t="str">
        <f t="shared" si="80"/>
        <v>Ver Imagen</v>
      </c>
      <c r="M4780" t="s">
        <v>8005</v>
      </c>
    </row>
    <row r="4781" spans="1:14" x14ac:dyDescent="0.25">
      <c r="A4781" s="33">
        <v>4780</v>
      </c>
      <c r="B4781" t="s">
        <v>9567</v>
      </c>
      <c r="C4781" s="1">
        <v>37.307903363599998</v>
      </c>
      <c r="D4781" s="1">
        <v>-7.0570620221500002</v>
      </c>
      <c r="E4781" s="3">
        <v>1</v>
      </c>
      <c r="F4781" s="2">
        <v>2</v>
      </c>
      <c r="G4781" s="4">
        <v>4</v>
      </c>
      <c r="H4781" s="13">
        <v>2</v>
      </c>
      <c r="I4781" s="34">
        <v>1</v>
      </c>
      <c r="J4781" s="35">
        <v>2</v>
      </c>
      <c r="K4781" s="2" t="s">
        <v>9568</v>
      </c>
      <c r="L4781" s="36" t="str">
        <f t="shared" si="80"/>
        <v>Ver Imagen</v>
      </c>
      <c r="M4781" t="s">
        <v>8005</v>
      </c>
    </row>
    <row r="4782" spans="1:14" x14ac:dyDescent="0.25">
      <c r="A4782" s="33">
        <v>4781</v>
      </c>
      <c r="B4782" t="s">
        <v>9569</v>
      </c>
      <c r="C4782" s="1">
        <v>37.310938261499999</v>
      </c>
      <c r="D4782" s="1">
        <v>-7.0590311111900004</v>
      </c>
      <c r="E4782" s="3">
        <v>1</v>
      </c>
      <c r="F4782" s="2">
        <v>1</v>
      </c>
      <c r="G4782" s="4">
        <v>4</v>
      </c>
      <c r="H4782" s="13">
        <v>1</v>
      </c>
      <c r="I4782" s="34">
        <v>1</v>
      </c>
      <c r="J4782" s="35">
        <v>1</v>
      </c>
      <c r="K4782" s="2" t="s">
        <v>9570</v>
      </c>
      <c r="L4782" s="36" t="str">
        <f t="shared" si="80"/>
        <v>Ver Imagen</v>
      </c>
      <c r="M4782" t="s">
        <v>8005</v>
      </c>
    </row>
    <row r="4783" spans="1:14" x14ac:dyDescent="0.25">
      <c r="A4783" s="33">
        <v>4782</v>
      </c>
      <c r="B4783" t="s">
        <v>9571</v>
      </c>
      <c r="C4783" s="1">
        <v>37.315893582800001</v>
      </c>
      <c r="D4783" s="1">
        <v>-7.0687221528500004</v>
      </c>
      <c r="E4783" s="3">
        <v>2</v>
      </c>
      <c r="F4783" s="2">
        <v>3</v>
      </c>
      <c r="G4783" s="4">
        <v>5</v>
      </c>
      <c r="H4783" s="13">
        <v>3</v>
      </c>
      <c r="I4783" s="34">
        <v>3</v>
      </c>
      <c r="J4783" s="35">
        <v>3</v>
      </c>
      <c r="K4783" s="2" t="s">
        <v>9572</v>
      </c>
      <c r="L4783" s="36" t="str">
        <f t="shared" si="80"/>
        <v>Ver Imagen</v>
      </c>
      <c r="M4783" t="s">
        <v>8005</v>
      </c>
    </row>
    <row r="4784" spans="1:14" x14ac:dyDescent="0.25">
      <c r="A4784" s="39">
        <v>4783</v>
      </c>
      <c r="B4784" s="16" t="s">
        <v>10007</v>
      </c>
      <c r="C4784" s="16">
        <v>37.446912281199999</v>
      </c>
      <c r="D4784" s="16">
        <v>-7.1076862540299999</v>
      </c>
      <c r="E4784" s="16">
        <v>2</v>
      </c>
      <c r="F4784" s="16">
        <v>3</v>
      </c>
      <c r="G4784" s="16">
        <v>5</v>
      </c>
      <c r="H4784" s="16">
        <v>5</v>
      </c>
      <c r="I4784" s="40">
        <v>3</v>
      </c>
      <c r="J4784" s="38">
        <v>3</v>
      </c>
      <c r="K4784" s="16" t="s">
        <v>10008</v>
      </c>
      <c r="L4784" s="41" t="str">
        <f t="shared" si="80"/>
        <v>Ver Imagen</v>
      </c>
      <c r="M4784" s="16" t="s">
        <v>10009</v>
      </c>
      <c r="N4784" s="16"/>
    </row>
    <row r="4785" spans="1:13" x14ac:dyDescent="0.25">
      <c r="A4785" s="33">
        <v>4784</v>
      </c>
      <c r="B4785" t="s">
        <v>9573</v>
      </c>
      <c r="C4785" s="1">
        <v>37.279792257399997</v>
      </c>
      <c r="D4785" s="1">
        <v>-7.1456625319300002</v>
      </c>
      <c r="E4785" s="3">
        <v>1</v>
      </c>
      <c r="F4785" s="2">
        <v>3</v>
      </c>
      <c r="G4785" s="4">
        <v>4</v>
      </c>
      <c r="H4785" s="13">
        <v>2</v>
      </c>
      <c r="I4785" s="34">
        <v>3</v>
      </c>
      <c r="J4785" s="35">
        <v>3</v>
      </c>
      <c r="K4785" s="2" t="s">
        <v>9574</v>
      </c>
      <c r="L4785" s="36" t="str">
        <f t="shared" si="80"/>
        <v>Ver Imagen</v>
      </c>
      <c r="M4785" t="s">
        <v>8005</v>
      </c>
    </row>
    <row r="4786" spans="1:13" x14ac:dyDescent="0.25">
      <c r="A4786" s="33">
        <v>4785</v>
      </c>
      <c r="B4786" t="s">
        <v>9575</v>
      </c>
      <c r="C4786" s="1">
        <v>37.438649324300002</v>
      </c>
      <c r="D4786" s="1">
        <v>-7.0846273963600002</v>
      </c>
      <c r="E4786" s="3">
        <v>3</v>
      </c>
      <c r="F4786" s="2">
        <v>2</v>
      </c>
      <c r="G4786" s="4">
        <v>5</v>
      </c>
      <c r="H4786" s="13">
        <v>2</v>
      </c>
      <c r="I4786" s="34">
        <v>3</v>
      </c>
      <c r="J4786" s="37">
        <v>2</v>
      </c>
      <c r="K4786" s="2" t="s">
        <v>9576</v>
      </c>
      <c r="L4786" s="36" t="str">
        <f t="shared" si="80"/>
        <v>Ver Imagen</v>
      </c>
      <c r="M4786" s="37" t="s">
        <v>8052</v>
      </c>
    </row>
    <row r="4787" spans="1:13" x14ac:dyDescent="0.25">
      <c r="A4787" s="33">
        <v>4786</v>
      </c>
      <c r="B4787" t="s">
        <v>9577</v>
      </c>
      <c r="C4787" s="1">
        <v>37.438571372600002</v>
      </c>
      <c r="D4787" s="1">
        <v>-7.0844143695500001</v>
      </c>
      <c r="E4787" s="3">
        <v>3</v>
      </c>
      <c r="F4787" s="2">
        <v>2</v>
      </c>
      <c r="G4787" s="4">
        <v>5</v>
      </c>
      <c r="H4787" s="13">
        <v>2</v>
      </c>
      <c r="I4787" s="34">
        <v>2</v>
      </c>
      <c r="J4787" s="35">
        <v>2</v>
      </c>
      <c r="K4787" s="2" t="s">
        <v>9578</v>
      </c>
      <c r="L4787" s="36" t="str">
        <f t="shared" si="80"/>
        <v>Ver Imagen</v>
      </c>
      <c r="M4787" t="s">
        <v>8005</v>
      </c>
    </row>
    <row r="4788" spans="1:13" x14ac:dyDescent="0.25">
      <c r="A4788" s="33">
        <v>4787</v>
      </c>
      <c r="B4788" t="s">
        <v>9579</v>
      </c>
      <c r="C4788" s="1">
        <v>37.438408685200002</v>
      </c>
      <c r="D4788" s="1">
        <v>-7.0839473580999996</v>
      </c>
      <c r="E4788" s="3">
        <v>2</v>
      </c>
      <c r="F4788" s="2">
        <v>3</v>
      </c>
      <c r="G4788" s="4">
        <v>5</v>
      </c>
      <c r="H4788" s="13">
        <v>2</v>
      </c>
      <c r="I4788" s="34">
        <v>2</v>
      </c>
      <c r="J4788" s="35">
        <v>2</v>
      </c>
      <c r="K4788" s="2" t="s">
        <v>9580</v>
      </c>
      <c r="L4788" s="36" t="str">
        <f t="shared" si="80"/>
        <v>Ver Imagen</v>
      </c>
      <c r="M4788" t="s">
        <v>8005</v>
      </c>
    </row>
    <row r="4789" spans="1:13" x14ac:dyDescent="0.25">
      <c r="A4789" s="33">
        <v>4788</v>
      </c>
      <c r="B4789" t="s">
        <v>9581</v>
      </c>
      <c r="C4789" s="1">
        <v>37.438327267399998</v>
      </c>
      <c r="D4789" s="1">
        <v>-7.0837042948700004</v>
      </c>
      <c r="E4789" s="3">
        <v>2</v>
      </c>
      <c r="F4789" s="2">
        <v>3</v>
      </c>
      <c r="G4789" s="4">
        <v>5</v>
      </c>
      <c r="H4789" s="13">
        <v>2</v>
      </c>
      <c r="I4789" s="34">
        <v>2</v>
      </c>
      <c r="J4789" s="35">
        <v>2</v>
      </c>
      <c r="K4789" s="2" t="s">
        <v>9582</v>
      </c>
      <c r="L4789" s="36" t="str">
        <f t="shared" si="80"/>
        <v>Ver Imagen</v>
      </c>
      <c r="M4789" s="37" t="s">
        <v>8052</v>
      </c>
    </row>
    <row r="4790" spans="1:13" x14ac:dyDescent="0.25">
      <c r="A4790" s="33">
        <v>4789</v>
      </c>
      <c r="B4790" t="s">
        <v>9583</v>
      </c>
      <c r="C4790" s="1">
        <v>37.438247116100001</v>
      </c>
      <c r="D4790" s="1">
        <v>-7.0834627387999998</v>
      </c>
      <c r="E4790" s="3">
        <v>2</v>
      </c>
      <c r="F4790" s="2">
        <v>3</v>
      </c>
      <c r="G4790" s="4">
        <v>5</v>
      </c>
      <c r="H4790" s="13">
        <v>2</v>
      </c>
      <c r="I4790" s="34">
        <v>3</v>
      </c>
      <c r="J4790" s="37">
        <v>2</v>
      </c>
      <c r="K4790" s="2" t="s">
        <v>9584</v>
      </c>
      <c r="L4790" s="36" t="str">
        <f t="shared" si="80"/>
        <v>Ver Imagen</v>
      </c>
      <c r="M4790" t="s">
        <v>8005</v>
      </c>
    </row>
    <row r="4791" spans="1:13" x14ac:dyDescent="0.25">
      <c r="A4791" s="33">
        <v>4790</v>
      </c>
      <c r="B4791" t="s">
        <v>9585</v>
      </c>
      <c r="C4791" s="1">
        <v>37.437211188900001</v>
      </c>
      <c r="D4791" s="1">
        <v>-7.0807377412000001</v>
      </c>
      <c r="E4791" s="3">
        <v>2</v>
      </c>
      <c r="F4791" s="2">
        <v>2</v>
      </c>
      <c r="G4791" s="4">
        <v>5</v>
      </c>
      <c r="H4791" s="13">
        <v>2</v>
      </c>
      <c r="I4791" s="34">
        <v>2</v>
      </c>
      <c r="J4791" s="35">
        <v>2</v>
      </c>
      <c r="K4791" s="2" t="s">
        <v>9586</v>
      </c>
      <c r="L4791" s="36" t="str">
        <f t="shared" si="80"/>
        <v>Ver Imagen</v>
      </c>
      <c r="M4791" t="s">
        <v>8005</v>
      </c>
    </row>
    <row r="4792" spans="1:13" x14ac:dyDescent="0.25">
      <c r="A4792" s="33">
        <v>4791</v>
      </c>
      <c r="B4792" t="s">
        <v>9587</v>
      </c>
      <c r="C4792" s="1">
        <v>37.437018311999999</v>
      </c>
      <c r="D4792" s="1">
        <v>-7.0799019480099998</v>
      </c>
      <c r="E4792" s="3">
        <v>2</v>
      </c>
      <c r="F4792" s="2">
        <v>3</v>
      </c>
      <c r="G4792" s="4">
        <v>5</v>
      </c>
      <c r="H4792" s="13">
        <v>2</v>
      </c>
      <c r="I4792" s="34">
        <v>2</v>
      </c>
      <c r="J4792" s="35">
        <v>2</v>
      </c>
      <c r="K4792" s="2" t="s">
        <v>9588</v>
      </c>
      <c r="L4792" s="36" t="str">
        <f t="shared" si="80"/>
        <v>Ver Imagen</v>
      </c>
      <c r="M4792" t="s">
        <v>8005</v>
      </c>
    </row>
    <row r="4793" spans="1:13" x14ac:dyDescent="0.25">
      <c r="A4793" s="33">
        <v>4792</v>
      </c>
      <c r="B4793" t="s">
        <v>9589</v>
      </c>
      <c r="C4793" s="1">
        <v>37.4355381819</v>
      </c>
      <c r="D4793" s="1">
        <v>-7.0745213375900002</v>
      </c>
      <c r="E4793" s="3">
        <v>4</v>
      </c>
      <c r="F4793" s="2">
        <v>3</v>
      </c>
      <c r="G4793" s="4">
        <v>1</v>
      </c>
      <c r="H4793" s="13">
        <v>2</v>
      </c>
      <c r="I4793" s="34">
        <v>3</v>
      </c>
      <c r="J4793" s="35">
        <v>3</v>
      </c>
      <c r="K4793" s="2" t="s">
        <v>9590</v>
      </c>
      <c r="L4793" s="36" t="str">
        <f t="shared" si="80"/>
        <v>Ver Imagen</v>
      </c>
      <c r="M4793" t="s">
        <v>8005</v>
      </c>
    </row>
    <row r="4794" spans="1:13" x14ac:dyDescent="0.25">
      <c r="A4794" s="33">
        <v>4793</v>
      </c>
      <c r="B4794" t="s">
        <v>9591</v>
      </c>
      <c r="C4794" s="1">
        <v>37.435340420400003</v>
      </c>
      <c r="D4794" s="1">
        <v>-7.0722324513599997</v>
      </c>
      <c r="E4794" s="3">
        <v>4</v>
      </c>
      <c r="F4794" s="2">
        <v>3</v>
      </c>
      <c r="G4794" s="4">
        <v>1</v>
      </c>
      <c r="H4794" s="13">
        <v>2</v>
      </c>
      <c r="I4794" s="34">
        <v>2</v>
      </c>
      <c r="J4794" s="35">
        <v>2</v>
      </c>
      <c r="K4794" s="2" t="s">
        <v>9592</v>
      </c>
      <c r="L4794" s="36" t="str">
        <f t="shared" si="80"/>
        <v>Ver Imagen</v>
      </c>
      <c r="M4794" t="s">
        <v>8005</v>
      </c>
    </row>
    <row r="4795" spans="1:13" x14ac:dyDescent="0.25">
      <c r="A4795" s="33">
        <v>4794</v>
      </c>
      <c r="B4795" t="s">
        <v>9593</v>
      </c>
      <c r="C4795" s="1">
        <v>37.234986578399997</v>
      </c>
      <c r="D4795" s="1">
        <v>-7.0182730338199999</v>
      </c>
      <c r="E4795" s="3">
        <v>5</v>
      </c>
      <c r="F4795" s="2">
        <v>2</v>
      </c>
      <c r="G4795" s="4">
        <v>3</v>
      </c>
      <c r="H4795" s="13">
        <v>2</v>
      </c>
      <c r="I4795" s="34">
        <v>2</v>
      </c>
      <c r="J4795" s="35">
        <v>2</v>
      </c>
      <c r="K4795" s="2" t="s">
        <v>9594</v>
      </c>
      <c r="L4795" s="36" t="str">
        <f t="shared" si="80"/>
        <v>Ver Imagen</v>
      </c>
      <c r="M4795" t="s">
        <v>8005</v>
      </c>
    </row>
    <row r="4796" spans="1:13" x14ac:dyDescent="0.25">
      <c r="A4796" s="33">
        <v>4795</v>
      </c>
      <c r="B4796" t="s">
        <v>9595</v>
      </c>
      <c r="C4796" s="1">
        <v>37.217006433800002</v>
      </c>
      <c r="D4796" s="1">
        <v>-7.0230486732899999</v>
      </c>
      <c r="E4796" s="3">
        <v>3</v>
      </c>
      <c r="F4796" s="2">
        <v>2</v>
      </c>
      <c r="G4796" s="4">
        <v>5</v>
      </c>
      <c r="H4796" s="13">
        <v>2</v>
      </c>
      <c r="I4796" s="34">
        <v>2</v>
      </c>
      <c r="J4796" s="35">
        <v>2</v>
      </c>
      <c r="K4796" s="2" t="s">
        <v>9596</v>
      </c>
      <c r="L4796" s="36" t="str">
        <f t="shared" si="80"/>
        <v>Ver Imagen</v>
      </c>
      <c r="M4796" t="s">
        <v>8005</v>
      </c>
    </row>
    <row r="4797" spans="1:13" x14ac:dyDescent="0.25">
      <c r="A4797" s="33">
        <v>4796</v>
      </c>
      <c r="B4797" t="s">
        <v>9597</v>
      </c>
      <c r="C4797" s="1">
        <v>37.246048004499997</v>
      </c>
      <c r="D4797" s="1">
        <v>-7.0182583368399998</v>
      </c>
      <c r="E4797" s="3">
        <v>5</v>
      </c>
      <c r="F4797" s="2">
        <v>2</v>
      </c>
      <c r="G4797" s="4">
        <v>4</v>
      </c>
      <c r="H4797" s="13">
        <v>1</v>
      </c>
      <c r="I4797" s="34">
        <v>1</v>
      </c>
      <c r="J4797" s="37">
        <v>1</v>
      </c>
      <c r="K4797" s="2" t="s">
        <v>9598</v>
      </c>
      <c r="L4797" s="36" t="str">
        <f t="shared" si="80"/>
        <v>Ver Imagen</v>
      </c>
      <c r="M4797" s="37" t="s">
        <v>8052</v>
      </c>
    </row>
    <row r="4798" spans="1:13" x14ac:dyDescent="0.25">
      <c r="A4798" s="33">
        <v>4797</v>
      </c>
      <c r="B4798" t="s">
        <v>9599</v>
      </c>
      <c r="C4798" s="1">
        <v>37.307334496099998</v>
      </c>
      <c r="D4798" s="1">
        <v>-7.0569322060299999</v>
      </c>
      <c r="E4798" s="3">
        <v>2</v>
      </c>
      <c r="F4798" s="2">
        <v>1</v>
      </c>
      <c r="G4798" s="4">
        <v>5</v>
      </c>
      <c r="H4798" s="13">
        <v>2</v>
      </c>
      <c r="I4798" s="34">
        <v>1</v>
      </c>
      <c r="J4798" s="37">
        <v>1</v>
      </c>
      <c r="K4798" s="2" t="s">
        <v>9600</v>
      </c>
      <c r="L4798" s="36" t="str">
        <f t="shared" si="80"/>
        <v>Ver Imagen</v>
      </c>
      <c r="M4798" s="37" t="s">
        <v>8052</v>
      </c>
    </row>
    <row r="4799" spans="1:13" x14ac:dyDescent="0.25">
      <c r="A4799" s="33">
        <v>4798</v>
      </c>
      <c r="B4799" t="s">
        <v>9601</v>
      </c>
      <c r="C4799" s="1">
        <v>37.4828992371</v>
      </c>
      <c r="D4799" s="1">
        <v>-7.2196652625300004</v>
      </c>
      <c r="E4799" s="3">
        <v>1</v>
      </c>
      <c r="F4799" s="2"/>
      <c r="G4799" s="4">
        <v>1</v>
      </c>
      <c r="H4799" s="13">
        <v>2</v>
      </c>
      <c r="I4799" s="34">
        <v>2</v>
      </c>
      <c r="J4799" s="35">
        <v>1.5</v>
      </c>
      <c r="K4799" s="3" t="s">
        <v>9602</v>
      </c>
      <c r="L4799" s="36" t="str">
        <f t="shared" ref="L4799:L4830" si="81">HYPERLINK("Solo2\" &amp; K4799, "Ver Imagen")</f>
        <v>Ver Imagen</v>
      </c>
      <c r="M4799" t="s">
        <v>8005</v>
      </c>
    </row>
    <row r="4800" spans="1:13" x14ac:dyDescent="0.25">
      <c r="A4800" s="33">
        <v>4799</v>
      </c>
      <c r="B4800" t="s">
        <v>9603</v>
      </c>
      <c r="C4800" s="1">
        <v>37.490697949199998</v>
      </c>
      <c r="D4800" s="1">
        <v>-7.2517047971000004</v>
      </c>
      <c r="E4800" s="3">
        <v>1</v>
      </c>
      <c r="F4800" s="2"/>
      <c r="G4800" s="4">
        <v>1</v>
      </c>
      <c r="H4800" s="13">
        <v>2</v>
      </c>
      <c r="I4800" s="34">
        <v>1</v>
      </c>
      <c r="J4800" s="35">
        <v>1</v>
      </c>
      <c r="K4800" s="3" t="s">
        <v>9604</v>
      </c>
      <c r="L4800" s="36" t="str">
        <f t="shared" si="81"/>
        <v>Ver Imagen</v>
      </c>
      <c r="M4800" t="s">
        <v>8005</v>
      </c>
    </row>
    <row r="4801" spans="1:13" x14ac:dyDescent="0.25">
      <c r="A4801" s="33">
        <v>4800</v>
      </c>
      <c r="B4801" t="s">
        <v>9605</v>
      </c>
      <c r="C4801" s="1">
        <v>37.490495285500003</v>
      </c>
      <c r="D4801" s="1">
        <v>-7.2547271452300004</v>
      </c>
      <c r="E4801" s="3">
        <v>1</v>
      </c>
      <c r="F4801" s="2"/>
      <c r="G4801" s="4">
        <v>1</v>
      </c>
      <c r="H4801" s="13">
        <v>1</v>
      </c>
      <c r="I4801" s="34">
        <v>1</v>
      </c>
      <c r="J4801" s="35">
        <v>1</v>
      </c>
      <c r="K4801" s="3" t="s">
        <v>9606</v>
      </c>
      <c r="L4801" s="36" t="str">
        <f t="shared" si="81"/>
        <v>Ver Imagen</v>
      </c>
      <c r="M4801" t="s">
        <v>8005</v>
      </c>
    </row>
    <row r="4802" spans="1:13" x14ac:dyDescent="0.25">
      <c r="A4802" s="33">
        <v>4801</v>
      </c>
      <c r="B4802" t="s">
        <v>9607</v>
      </c>
      <c r="C4802" s="1">
        <v>37.487939070099998</v>
      </c>
      <c r="D4802" s="1">
        <v>-7.24524803114</v>
      </c>
      <c r="E4802" s="3">
        <v>2</v>
      </c>
      <c r="F4802" s="2"/>
      <c r="G4802" s="4">
        <v>2</v>
      </c>
      <c r="H4802" s="13">
        <v>2</v>
      </c>
      <c r="I4802" s="34">
        <v>2</v>
      </c>
      <c r="J4802" s="35">
        <v>2</v>
      </c>
      <c r="K4802" s="3" t="s">
        <v>9608</v>
      </c>
      <c r="L4802" s="36" t="str">
        <f t="shared" si="81"/>
        <v>Ver Imagen</v>
      </c>
      <c r="M4802" t="s">
        <v>8005</v>
      </c>
    </row>
    <row r="4803" spans="1:13" x14ac:dyDescent="0.25">
      <c r="A4803" s="33">
        <v>4802</v>
      </c>
      <c r="B4803" t="s">
        <v>9609</v>
      </c>
      <c r="C4803" s="1">
        <v>37.314609175999998</v>
      </c>
      <c r="D4803" s="1">
        <v>-7.0647290054800003</v>
      </c>
      <c r="E4803" s="3">
        <v>1</v>
      </c>
      <c r="F4803" s="2"/>
      <c r="G4803" s="4">
        <v>2</v>
      </c>
      <c r="H4803" s="13">
        <v>1</v>
      </c>
      <c r="I4803" s="34">
        <v>1</v>
      </c>
      <c r="J4803" s="35">
        <v>1</v>
      </c>
      <c r="K4803" s="3" t="s">
        <v>9610</v>
      </c>
      <c r="L4803" s="36" t="str">
        <f t="shared" si="81"/>
        <v>Ver Imagen</v>
      </c>
      <c r="M4803" t="s">
        <v>8005</v>
      </c>
    </row>
    <row r="4804" spans="1:13" x14ac:dyDescent="0.25">
      <c r="A4804" s="33">
        <v>4803</v>
      </c>
      <c r="B4804" t="s">
        <v>9611</v>
      </c>
      <c r="C4804" s="1">
        <v>37.244302734400001</v>
      </c>
      <c r="D4804">
        <v>-7.1281216538700001</v>
      </c>
      <c r="E4804" s="3">
        <v>2</v>
      </c>
      <c r="F4804" s="2"/>
      <c r="G4804" s="4">
        <v>2</v>
      </c>
      <c r="H4804" s="13">
        <v>2</v>
      </c>
      <c r="I4804" s="34">
        <v>1</v>
      </c>
      <c r="J4804" s="35">
        <v>2</v>
      </c>
      <c r="K4804" s="3" t="s">
        <v>9612</v>
      </c>
      <c r="L4804" s="36" t="str">
        <f t="shared" si="81"/>
        <v>Ver Imagen</v>
      </c>
      <c r="M4804" t="s">
        <v>8005</v>
      </c>
    </row>
    <row r="4805" spans="1:13" x14ac:dyDescent="0.25">
      <c r="A4805" s="33">
        <v>4804</v>
      </c>
      <c r="B4805" t="s">
        <v>9613</v>
      </c>
      <c r="C4805" s="1">
        <v>37.249037465500002</v>
      </c>
      <c r="D4805" s="1">
        <v>-7.0181023385600003</v>
      </c>
      <c r="E4805" s="3">
        <v>2</v>
      </c>
      <c r="F4805" s="2"/>
      <c r="G4805" s="4">
        <v>2</v>
      </c>
      <c r="H4805" s="13">
        <v>2</v>
      </c>
      <c r="I4805" s="34">
        <v>2</v>
      </c>
      <c r="J4805" s="35">
        <v>2</v>
      </c>
      <c r="K4805" s="2" t="s">
        <v>9614</v>
      </c>
      <c r="L4805" s="36" t="str">
        <f t="shared" si="81"/>
        <v>Ver Imagen</v>
      </c>
      <c r="M4805" t="s">
        <v>8005</v>
      </c>
    </row>
    <row r="4806" spans="1:13" x14ac:dyDescent="0.25">
      <c r="A4806" s="33">
        <v>4805</v>
      </c>
      <c r="B4806" t="s">
        <v>9615</v>
      </c>
      <c r="C4806" s="1">
        <v>37.447133840399999</v>
      </c>
      <c r="D4806" s="1">
        <v>-7.1284999518200003</v>
      </c>
      <c r="E4806" s="3">
        <v>1</v>
      </c>
      <c r="F4806" s="2"/>
      <c r="G4806" s="4">
        <v>2</v>
      </c>
      <c r="H4806" s="13">
        <v>2</v>
      </c>
      <c r="I4806" s="34">
        <v>2</v>
      </c>
      <c r="J4806" s="35">
        <v>2</v>
      </c>
      <c r="K4806" s="3" t="s">
        <v>9616</v>
      </c>
      <c r="L4806" s="36" t="str">
        <f t="shared" si="81"/>
        <v>Ver Imagen</v>
      </c>
      <c r="M4806" t="s">
        <v>8005</v>
      </c>
    </row>
    <row r="4807" spans="1:13" x14ac:dyDescent="0.25">
      <c r="A4807" s="33">
        <v>4806</v>
      </c>
      <c r="B4807" t="s">
        <v>9617</v>
      </c>
      <c r="C4807" s="1">
        <v>37.448272357299999</v>
      </c>
      <c r="D4807" s="1">
        <v>-7.1421819339199999</v>
      </c>
      <c r="E4807" s="3">
        <v>1</v>
      </c>
      <c r="F4807" s="2"/>
      <c r="G4807" s="4">
        <v>2</v>
      </c>
      <c r="H4807" s="13">
        <v>2</v>
      </c>
      <c r="I4807" s="34">
        <v>3</v>
      </c>
      <c r="J4807" s="37">
        <v>3</v>
      </c>
      <c r="K4807" s="2" t="s">
        <v>9618</v>
      </c>
      <c r="L4807" s="36" t="str">
        <f t="shared" si="81"/>
        <v>Ver Imagen</v>
      </c>
      <c r="M4807" s="37" t="s">
        <v>8052</v>
      </c>
    </row>
    <row r="4808" spans="1:13" x14ac:dyDescent="0.25">
      <c r="A4808" s="33">
        <v>4807</v>
      </c>
      <c r="B4808" t="s">
        <v>9619</v>
      </c>
      <c r="C4808" s="1">
        <v>37.482573229000003</v>
      </c>
      <c r="D4808" s="1">
        <v>-7.2180062593700001</v>
      </c>
      <c r="E4808" s="3">
        <v>1</v>
      </c>
      <c r="F4808" s="2"/>
      <c r="G4808" s="4">
        <v>2</v>
      </c>
      <c r="H4808" s="13">
        <v>2</v>
      </c>
      <c r="I4808" s="34">
        <v>2</v>
      </c>
      <c r="J4808" s="35">
        <v>2</v>
      </c>
      <c r="K4808" s="3" t="s">
        <v>9620</v>
      </c>
      <c r="L4808" s="36" t="str">
        <f t="shared" si="81"/>
        <v>Ver Imagen</v>
      </c>
      <c r="M4808" t="s">
        <v>8005</v>
      </c>
    </row>
    <row r="4809" spans="1:13" x14ac:dyDescent="0.25">
      <c r="A4809" s="33">
        <v>4808</v>
      </c>
      <c r="B4809" t="s">
        <v>9621</v>
      </c>
      <c r="C4809" s="1">
        <v>37.446460214600002</v>
      </c>
      <c r="D4809" s="1">
        <v>-7.1329995630200003</v>
      </c>
      <c r="E4809" s="3">
        <v>2</v>
      </c>
      <c r="F4809" s="2"/>
      <c r="G4809" s="4">
        <v>3</v>
      </c>
      <c r="H4809" s="13">
        <v>3</v>
      </c>
      <c r="I4809" s="34">
        <v>3</v>
      </c>
      <c r="J4809" s="35">
        <v>3</v>
      </c>
      <c r="K4809" s="2" t="s">
        <v>9622</v>
      </c>
      <c r="L4809" s="36" t="str">
        <f t="shared" si="81"/>
        <v>Ver Imagen</v>
      </c>
      <c r="M4809" t="s">
        <v>8005</v>
      </c>
    </row>
    <row r="4810" spans="1:13" x14ac:dyDescent="0.25">
      <c r="A4810" s="33">
        <v>4809</v>
      </c>
      <c r="B4810" t="s">
        <v>9623</v>
      </c>
      <c r="C4810" s="1">
        <v>37.4838624442</v>
      </c>
      <c r="D4810" s="1">
        <v>-7.2246036953599999</v>
      </c>
      <c r="E4810" s="3">
        <v>1</v>
      </c>
      <c r="F4810" s="2"/>
      <c r="G4810" s="4">
        <v>3</v>
      </c>
      <c r="H4810" s="13">
        <v>2</v>
      </c>
      <c r="I4810" s="34">
        <v>1</v>
      </c>
      <c r="J4810" s="35">
        <v>1.5</v>
      </c>
      <c r="K4810" s="3" t="s">
        <v>9624</v>
      </c>
      <c r="L4810" s="36" t="str">
        <f t="shared" si="81"/>
        <v>Ver Imagen</v>
      </c>
      <c r="M4810" t="s">
        <v>8005</v>
      </c>
    </row>
    <row r="4811" spans="1:13" x14ac:dyDescent="0.25">
      <c r="A4811" s="33">
        <v>4810</v>
      </c>
      <c r="B4811" t="s">
        <v>9625</v>
      </c>
      <c r="C4811" s="1">
        <v>37.393350365400003</v>
      </c>
      <c r="D4811" s="1">
        <v>-7.0045259040500003</v>
      </c>
      <c r="E4811" s="3">
        <v>3</v>
      </c>
      <c r="F4811" s="2"/>
      <c r="G4811" s="4">
        <v>3</v>
      </c>
      <c r="H4811" s="13">
        <v>2</v>
      </c>
      <c r="I4811" s="34">
        <v>2</v>
      </c>
      <c r="J4811" s="35">
        <v>2.5</v>
      </c>
      <c r="K4811" s="3" t="s">
        <v>9626</v>
      </c>
      <c r="L4811" s="36" t="str">
        <f t="shared" si="81"/>
        <v>Ver Imagen</v>
      </c>
      <c r="M4811" t="s">
        <v>8005</v>
      </c>
    </row>
    <row r="4812" spans="1:13" x14ac:dyDescent="0.25">
      <c r="A4812" s="33">
        <v>4811</v>
      </c>
      <c r="B4812" t="s">
        <v>9627</v>
      </c>
      <c r="C4812" s="1">
        <v>37.447133647500003</v>
      </c>
      <c r="D4812" s="1">
        <v>-7.1282545745499997</v>
      </c>
      <c r="E4812" s="3">
        <v>2</v>
      </c>
      <c r="F4812" s="2"/>
      <c r="G4812" s="4">
        <v>3</v>
      </c>
      <c r="H4812" s="13">
        <v>3</v>
      </c>
      <c r="I4812" s="34">
        <v>3</v>
      </c>
      <c r="J4812" s="35">
        <v>3</v>
      </c>
      <c r="K4812" s="3" t="s">
        <v>9628</v>
      </c>
      <c r="L4812" s="36" t="str">
        <f t="shared" si="81"/>
        <v>Ver Imagen</v>
      </c>
      <c r="M4812" t="s">
        <v>8005</v>
      </c>
    </row>
    <row r="4813" spans="1:13" x14ac:dyDescent="0.25">
      <c r="A4813" s="33">
        <v>4812</v>
      </c>
      <c r="B4813" t="s">
        <v>9629</v>
      </c>
      <c r="C4813" s="1">
        <v>37.448702303399998</v>
      </c>
      <c r="D4813" s="1">
        <v>-7.1475160584399999</v>
      </c>
      <c r="E4813" s="3">
        <v>2</v>
      </c>
      <c r="F4813" s="2"/>
      <c r="G4813" s="4">
        <v>3</v>
      </c>
      <c r="H4813" s="13">
        <v>4</v>
      </c>
      <c r="I4813" s="34">
        <v>4</v>
      </c>
      <c r="J4813" s="35">
        <v>3.5</v>
      </c>
      <c r="K4813" s="3" t="s">
        <v>9630</v>
      </c>
      <c r="L4813" s="36" t="str">
        <f t="shared" si="81"/>
        <v>Ver Imagen</v>
      </c>
      <c r="M4813" t="s">
        <v>8005</v>
      </c>
    </row>
    <row r="4814" spans="1:13" x14ac:dyDescent="0.25">
      <c r="A4814" s="33">
        <v>4813</v>
      </c>
      <c r="B4814" t="s">
        <v>9631</v>
      </c>
      <c r="C4814" s="1">
        <v>37.462085042200002</v>
      </c>
      <c r="D4814" s="1">
        <v>-7.1752709938099999</v>
      </c>
      <c r="E4814" s="3">
        <v>2</v>
      </c>
      <c r="F4814" s="2"/>
      <c r="G4814" s="4">
        <v>3</v>
      </c>
      <c r="H4814" s="13">
        <v>3</v>
      </c>
      <c r="I4814" s="34">
        <v>3</v>
      </c>
      <c r="J4814" s="35">
        <v>3</v>
      </c>
      <c r="K4814" s="3" t="s">
        <v>9632</v>
      </c>
      <c r="L4814" s="36" t="str">
        <f t="shared" si="81"/>
        <v>Ver Imagen</v>
      </c>
      <c r="M4814" t="s">
        <v>8005</v>
      </c>
    </row>
    <row r="4815" spans="1:13" x14ac:dyDescent="0.25">
      <c r="A4815" s="33">
        <v>4814</v>
      </c>
      <c r="B4815" t="s">
        <v>9633</v>
      </c>
      <c r="C4815" s="1">
        <v>37.481690393800001</v>
      </c>
      <c r="D4815" s="1">
        <v>-7.2147297674299997</v>
      </c>
      <c r="E4815" s="3">
        <v>2</v>
      </c>
      <c r="F4815" s="2"/>
      <c r="G4815" s="4">
        <v>3</v>
      </c>
      <c r="H4815" s="13">
        <v>2</v>
      </c>
      <c r="I4815" s="34">
        <v>2</v>
      </c>
      <c r="J4815" s="35">
        <v>2</v>
      </c>
      <c r="K4815" s="3" t="s">
        <v>9634</v>
      </c>
      <c r="L4815" s="36" t="str">
        <f t="shared" si="81"/>
        <v>Ver Imagen</v>
      </c>
      <c r="M4815" t="s">
        <v>8005</v>
      </c>
    </row>
    <row r="4816" spans="1:13" x14ac:dyDescent="0.25">
      <c r="A4816" s="33">
        <v>4815</v>
      </c>
      <c r="B4816" t="s">
        <v>9635</v>
      </c>
      <c r="C4816">
        <v>37.2754063</v>
      </c>
      <c r="D4816">
        <v>-7.0172052139399996</v>
      </c>
      <c r="E4816" s="3">
        <v>1</v>
      </c>
      <c r="F4816" s="2"/>
      <c r="G4816" s="4">
        <v>3</v>
      </c>
      <c r="H4816" s="13">
        <v>2</v>
      </c>
      <c r="I4816" s="34">
        <v>2</v>
      </c>
      <c r="J4816" s="35">
        <v>2</v>
      </c>
      <c r="K4816" s="3" t="s">
        <v>9636</v>
      </c>
      <c r="L4816" s="36" t="str">
        <f t="shared" si="81"/>
        <v>Ver Imagen</v>
      </c>
      <c r="M4816" t="s">
        <v>8005</v>
      </c>
    </row>
    <row r="4817" spans="1:13" x14ac:dyDescent="0.25">
      <c r="A4817" s="33">
        <v>4816</v>
      </c>
      <c r="B4817" t="s">
        <v>9637</v>
      </c>
      <c r="C4817">
        <v>37.312901850300001</v>
      </c>
      <c r="D4817">
        <v>-7.0615903396900004</v>
      </c>
      <c r="E4817" s="3">
        <v>2</v>
      </c>
      <c r="F4817" s="2"/>
      <c r="G4817" s="4">
        <v>3</v>
      </c>
      <c r="H4817" s="13">
        <v>2</v>
      </c>
      <c r="I4817" s="34">
        <v>2</v>
      </c>
      <c r="J4817" s="35">
        <v>2</v>
      </c>
      <c r="K4817" s="3" t="s">
        <v>9638</v>
      </c>
      <c r="L4817" s="36" t="str">
        <f t="shared" si="81"/>
        <v>Ver Imagen</v>
      </c>
      <c r="M4817" t="s">
        <v>8005</v>
      </c>
    </row>
    <row r="4818" spans="1:13" x14ac:dyDescent="0.25">
      <c r="A4818" s="33">
        <v>4817</v>
      </c>
      <c r="B4818" t="s">
        <v>9639</v>
      </c>
      <c r="C4818">
        <v>37.195154196300003</v>
      </c>
      <c r="D4818">
        <v>-7.0005226493899997</v>
      </c>
      <c r="E4818" s="3">
        <v>2</v>
      </c>
      <c r="F4818" s="2"/>
      <c r="G4818" s="4">
        <v>3</v>
      </c>
      <c r="H4818" s="13">
        <v>2</v>
      </c>
      <c r="I4818" s="34">
        <v>3</v>
      </c>
      <c r="J4818" s="37">
        <v>2</v>
      </c>
      <c r="K4818" s="3" t="s">
        <v>9640</v>
      </c>
      <c r="L4818" s="36" t="str">
        <f t="shared" si="81"/>
        <v>Ver Imagen</v>
      </c>
      <c r="M4818" s="37" t="s">
        <v>8052</v>
      </c>
    </row>
    <row r="4819" spans="1:13" x14ac:dyDescent="0.25">
      <c r="A4819" s="33">
        <v>4818</v>
      </c>
      <c r="B4819" t="s">
        <v>9641</v>
      </c>
      <c r="C4819">
        <v>37.262468133399999</v>
      </c>
      <c r="D4819">
        <v>-7.0094397963599997</v>
      </c>
      <c r="E4819" s="3">
        <v>2</v>
      </c>
      <c r="F4819" s="2"/>
      <c r="G4819" s="4">
        <v>3</v>
      </c>
      <c r="H4819" s="16">
        <v>2</v>
      </c>
      <c r="I4819" s="40">
        <v>4</v>
      </c>
      <c r="J4819" s="35">
        <v>2.5</v>
      </c>
      <c r="K4819" s="3" t="s">
        <v>9642</v>
      </c>
      <c r="L4819" s="36" t="str">
        <f t="shared" si="81"/>
        <v>Ver Imagen</v>
      </c>
      <c r="M4819" t="s">
        <v>8005</v>
      </c>
    </row>
    <row r="4820" spans="1:13" x14ac:dyDescent="0.25">
      <c r="A4820" s="33">
        <v>4819</v>
      </c>
      <c r="B4820" t="s">
        <v>9643</v>
      </c>
      <c r="C4820" s="1">
        <v>37.451265847599998</v>
      </c>
      <c r="D4820" s="1">
        <v>-7.1548238854099999</v>
      </c>
      <c r="E4820" s="3">
        <v>2</v>
      </c>
      <c r="F4820" s="2"/>
      <c r="G4820" s="4">
        <v>4</v>
      </c>
      <c r="H4820" s="13">
        <v>3</v>
      </c>
      <c r="I4820" s="34">
        <v>3</v>
      </c>
      <c r="J4820" s="35">
        <v>3</v>
      </c>
      <c r="K4820" s="4" t="s">
        <v>9644</v>
      </c>
      <c r="L4820" s="36" t="str">
        <f t="shared" si="81"/>
        <v>Ver Imagen</v>
      </c>
      <c r="M4820" t="s">
        <v>8005</v>
      </c>
    </row>
    <row r="4821" spans="1:13" x14ac:dyDescent="0.25">
      <c r="A4821" s="33">
        <v>4820</v>
      </c>
      <c r="B4821" t="s">
        <v>9645</v>
      </c>
      <c r="C4821" s="1">
        <v>37.480141376900001</v>
      </c>
      <c r="D4821" s="1">
        <v>-7.1278396962699997</v>
      </c>
      <c r="E4821" s="3">
        <v>4</v>
      </c>
      <c r="F4821" s="2"/>
      <c r="G4821" s="4">
        <v>4</v>
      </c>
      <c r="H4821" s="13">
        <v>3</v>
      </c>
      <c r="I4821" s="34">
        <v>4</v>
      </c>
      <c r="J4821" s="35">
        <v>4</v>
      </c>
      <c r="K4821" s="2" t="s">
        <v>9646</v>
      </c>
      <c r="L4821" s="36" t="str">
        <f t="shared" si="81"/>
        <v>Ver Imagen</v>
      </c>
      <c r="M4821" t="s">
        <v>8005</v>
      </c>
    </row>
    <row r="4822" spans="1:13" x14ac:dyDescent="0.25">
      <c r="A4822" s="33">
        <v>4821</v>
      </c>
      <c r="B4822" t="s">
        <v>9647</v>
      </c>
      <c r="C4822">
        <v>37.4953607805</v>
      </c>
      <c r="D4822">
        <v>-7.2684965700499999</v>
      </c>
      <c r="E4822" s="3">
        <v>4</v>
      </c>
      <c r="F4822" s="2"/>
      <c r="G4822" s="4">
        <v>4</v>
      </c>
      <c r="H4822" s="13">
        <v>3</v>
      </c>
      <c r="I4822" s="34">
        <v>4</v>
      </c>
      <c r="J4822" s="35">
        <v>4</v>
      </c>
      <c r="K4822" s="3" t="s">
        <v>9648</v>
      </c>
      <c r="L4822" s="36" t="str">
        <f t="shared" si="81"/>
        <v>Ver Imagen</v>
      </c>
      <c r="M4822" t="s">
        <v>8005</v>
      </c>
    </row>
    <row r="4823" spans="1:13" x14ac:dyDescent="0.25">
      <c r="A4823" s="33">
        <v>4822</v>
      </c>
      <c r="B4823" t="s">
        <v>9649</v>
      </c>
      <c r="C4823">
        <v>37.447465780900004</v>
      </c>
      <c r="D4823">
        <v>-7.1266855657999999</v>
      </c>
      <c r="E4823" s="3">
        <v>2</v>
      </c>
      <c r="F4823" s="2"/>
      <c r="G4823" s="4">
        <v>4</v>
      </c>
      <c r="H4823" s="13">
        <v>3</v>
      </c>
      <c r="I4823" s="34">
        <v>3</v>
      </c>
      <c r="J4823" s="35">
        <v>3</v>
      </c>
      <c r="K4823" s="3" t="s">
        <v>9650</v>
      </c>
      <c r="L4823" s="36" t="str">
        <f t="shared" si="81"/>
        <v>Ver Imagen</v>
      </c>
      <c r="M4823" t="s">
        <v>8005</v>
      </c>
    </row>
    <row r="4824" spans="1:13" x14ac:dyDescent="0.25">
      <c r="A4824" s="33">
        <v>4823</v>
      </c>
      <c r="B4824" t="s">
        <v>9651</v>
      </c>
      <c r="C4824">
        <v>37.4619560079</v>
      </c>
      <c r="D4824">
        <v>-7.1750601867799997</v>
      </c>
      <c r="E4824" s="3">
        <v>2</v>
      </c>
      <c r="F4824" s="2"/>
      <c r="G4824" s="4">
        <v>4</v>
      </c>
      <c r="H4824" s="13">
        <v>4</v>
      </c>
      <c r="I4824" s="34">
        <v>4</v>
      </c>
      <c r="J4824" s="35">
        <v>4</v>
      </c>
      <c r="K4824" s="3" t="s">
        <v>9652</v>
      </c>
      <c r="L4824" s="36" t="str">
        <f t="shared" si="81"/>
        <v>Ver Imagen</v>
      </c>
      <c r="M4824" t="s">
        <v>8005</v>
      </c>
    </row>
    <row r="4825" spans="1:13" x14ac:dyDescent="0.25">
      <c r="A4825" s="33">
        <v>4824</v>
      </c>
      <c r="B4825" t="s">
        <v>9653</v>
      </c>
      <c r="C4825" s="1">
        <v>37.278204928999997</v>
      </c>
      <c r="D4825" s="1">
        <v>-6.9929260281500003</v>
      </c>
      <c r="E4825" s="3">
        <v>3</v>
      </c>
      <c r="F4825" s="2"/>
      <c r="G4825" s="4">
        <v>4</v>
      </c>
      <c r="H4825" s="13">
        <v>4</v>
      </c>
      <c r="I4825" s="34">
        <v>4</v>
      </c>
      <c r="J4825" s="35">
        <v>4</v>
      </c>
      <c r="K4825" s="2" t="s">
        <v>9654</v>
      </c>
      <c r="L4825" s="36" t="str">
        <f t="shared" si="81"/>
        <v>Ver Imagen</v>
      </c>
      <c r="M4825" t="s">
        <v>8005</v>
      </c>
    </row>
    <row r="4826" spans="1:13" x14ac:dyDescent="0.25">
      <c r="A4826" s="33">
        <v>4825</v>
      </c>
      <c r="B4826" t="s">
        <v>9655</v>
      </c>
      <c r="C4826" s="1">
        <v>37.279808194399997</v>
      </c>
      <c r="D4826" s="1">
        <v>-6.9980367333400002</v>
      </c>
      <c r="E4826" s="3">
        <v>3</v>
      </c>
      <c r="F4826" s="2"/>
      <c r="G4826" s="4">
        <v>4</v>
      </c>
      <c r="H4826" s="13">
        <v>4</v>
      </c>
      <c r="I4826" s="34">
        <v>4</v>
      </c>
      <c r="J4826" s="35">
        <v>4</v>
      </c>
      <c r="K4826" s="2" t="s">
        <v>9656</v>
      </c>
      <c r="L4826" s="36" t="str">
        <f t="shared" si="81"/>
        <v>Ver Imagen</v>
      </c>
      <c r="M4826" t="s">
        <v>8005</v>
      </c>
    </row>
    <row r="4827" spans="1:13" x14ac:dyDescent="0.25">
      <c r="A4827" s="33">
        <v>4826</v>
      </c>
      <c r="B4827" t="s">
        <v>9657</v>
      </c>
      <c r="C4827">
        <v>37.273007209299998</v>
      </c>
      <c r="D4827">
        <v>-6.9912889489300003</v>
      </c>
      <c r="E4827" s="3">
        <v>2</v>
      </c>
      <c r="F4827" s="2"/>
      <c r="G4827" s="4">
        <v>4</v>
      </c>
      <c r="H4827" s="13">
        <v>4</v>
      </c>
      <c r="I4827" s="34">
        <v>4</v>
      </c>
      <c r="J4827" s="35">
        <v>4</v>
      </c>
      <c r="K4827" s="3" t="s">
        <v>9658</v>
      </c>
      <c r="L4827" s="36" t="str">
        <f t="shared" si="81"/>
        <v>Ver Imagen</v>
      </c>
      <c r="M4827" t="s">
        <v>8005</v>
      </c>
    </row>
    <row r="4828" spans="1:13" x14ac:dyDescent="0.25">
      <c r="A4828" s="33">
        <v>4827</v>
      </c>
      <c r="B4828" t="s">
        <v>9659</v>
      </c>
      <c r="C4828">
        <v>37.278457901800003</v>
      </c>
      <c r="D4828">
        <v>-7.1442063821300001</v>
      </c>
      <c r="E4828" s="3">
        <v>4</v>
      </c>
      <c r="F4828" s="2"/>
      <c r="G4828" s="4">
        <v>3</v>
      </c>
      <c r="H4828" s="13">
        <v>5</v>
      </c>
      <c r="I4828" s="34">
        <v>4</v>
      </c>
      <c r="J4828" s="35">
        <v>4</v>
      </c>
      <c r="K4828" s="3" t="s">
        <v>9660</v>
      </c>
      <c r="L4828" s="36" t="str">
        <f t="shared" si="81"/>
        <v>Ver Imagen</v>
      </c>
      <c r="M4828" t="s">
        <v>8005</v>
      </c>
    </row>
    <row r="4829" spans="1:13" x14ac:dyDescent="0.25">
      <c r="A4829" s="33">
        <v>4828</v>
      </c>
      <c r="B4829" t="s">
        <v>9661</v>
      </c>
      <c r="C4829" s="1">
        <v>37.230320964900002</v>
      </c>
      <c r="D4829" s="1">
        <v>-7.0633302661100004</v>
      </c>
      <c r="E4829" s="3">
        <v>3</v>
      </c>
      <c r="F4829" s="2"/>
      <c r="G4829" s="4">
        <v>4</v>
      </c>
      <c r="H4829" s="13">
        <v>3</v>
      </c>
      <c r="I4829" s="34">
        <v>3</v>
      </c>
      <c r="J4829" s="35">
        <v>3</v>
      </c>
      <c r="K4829" s="42" t="s">
        <v>9662</v>
      </c>
      <c r="L4829" s="36" t="str">
        <f t="shared" si="81"/>
        <v>Ver Imagen</v>
      </c>
      <c r="M4829" t="s">
        <v>8005</v>
      </c>
    </row>
    <row r="4830" spans="1:13" x14ac:dyDescent="0.25">
      <c r="A4830" s="33">
        <v>4829</v>
      </c>
      <c r="B4830" t="s">
        <v>9663</v>
      </c>
      <c r="C4830">
        <v>37.448266158199999</v>
      </c>
      <c r="D4830">
        <v>-7.12666294959</v>
      </c>
      <c r="E4830" s="3">
        <v>2</v>
      </c>
      <c r="F4830" s="2"/>
      <c r="G4830" s="4">
        <v>4</v>
      </c>
      <c r="H4830" s="13">
        <v>3</v>
      </c>
      <c r="I4830" s="34">
        <v>3</v>
      </c>
      <c r="J4830" s="35">
        <v>3</v>
      </c>
      <c r="K4830" s="3" t="s">
        <v>9664</v>
      </c>
      <c r="L4830" s="36" t="str">
        <f t="shared" si="81"/>
        <v>Ver Imagen</v>
      </c>
      <c r="M4830" t="s">
        <v>8005</v>
      </c>
    </row>
    <row r="4831" spans="1:13" x14ac:dyDescent="0.25">
      <c r="A4831" s="33">
        <v>4830</v>
      </c>
      <c r="B4831" t="s">
        <v>9665</v>
      </c>
      <c r="C4831">
        <v>37.451471938700003</v>
      </c>
      <c r="D4831">
        <v>-7.1557866900700002</v>
      </c>
      <c r="E4831" s="3">
        <v>4</v>
      </c>
      <c r="F4831" s="2"/>
      <c r="G4831" s="4">
        <v>5</v>
      </c>
      <c r="H4831" s="13">
        <v>5</v>
      </c>
      <c r="I4831" s="34">
        <v>4</v>
      </c>
      <c r="J4831" s="35">
        <v>4.5</v>
      </c>
      <c r="K4831" s="3" t="s">
        <v>9666</v>
      </c>
      <c r="L4831" s="36" t="str">
        <f t="shared" ref="L4831:L4862" si="82">HYPERLINK("Solo2\" &amp; K4831, "Ver Imagen")</f>
        <v>Ver Imagen</v>
      </c>
      <c r="M4831" t="s">
        <v>8005</v>
      </c>
    </row>
    <row r="4832" spans="1:13" x14ac:dyDescent="0.25">
      <c r="A4832" s="33">
        <v>4831</v>
      </c>
      <c r="B4832" t="s">
        <v>9667</v>
      </c>
      <c r="C4832" s="1">
        <v>37.463787750000002</v>
      </c>
      <c r="D4832" s="1">
        <v>-7.1184385397799996</v>
      </c>
      <c r="E4832" s="3">
        <v>1</v>
      </c>
      <c r="F4832" s="2">
        <v>1</v>
      </c>
      <c r="G4832" s="4"/>
      <c r="H4832" s="13">
        <v>1</v>
      </c>
      <c r="I4832" s="34">
        <v>1</v>
      </c>
      <c r="J4832" s="35">
        <v>1</v>
      </c>
      <c r="K4832" s="2" t="s">
        <v>9668</v>
      </c>
      <c r="L4832" s="36" t="str">
        <f t="shared" si="82"/>
        <v>Ver Imagen</v>
      </c>
      <c r="M4832" t="s">
        <v>8005</v>
      </c>
    </row>
    <row r="4833" spans="1:13" x14ac:dyDescent="0.25">
      <c r="A4833" s="33">
        <v>4832</v>
      </c>
      <c r="B4833" t="s">
        <v>9669</v>
      </c>
      <c r="C4833" s="1">
        <v>37.200379593599997</v>
      </c>
      <c r="D4833" s="1">
        <v>-7.0166855323300004</v>
      </c>
      <c r="E4833" s="3"/>
      <c r="F4833" s="2">
        <v>1</v>
      </c>
      <c r="G4833" s="4">
        <v>1</v>
      </c>
      <c r="H4833" s="13">
        <v>1</v>
      </c>
      <c r="I4833" s="34">
        <v>1</v>
      </c>
      <c r="J4833" s="35">
        <v>1</v>
      </c>
      <c r="K4833" s="2" t="s">
        <v>9670</v>
      </c>
      <c r="L4833" s="36" t="str">
        <f t="shared" si="82"/>
        <v>Ver Imagen</v>
      </c>
      <c r="M4833" t="s">
        <v>8005</v>
      </c>
    </row>
    <row r="4834" spans="1:13" x14ac:dyDescent="0.25">
      <c r="A4834" s="33">
        <v>4833</v>
      </c>
      <c r="B4834" t="s">
        <v>9671</v>
      </c>
      <c r="C4834" s="1">
        <v>37.469559783500003</v>
      </c>
      <c r="D4834" s="1">
        <v>-7.1888529869399997</v>
      </c>
      <c r="E4834" s="3">
        <v>2</v>
      </c>
      <c r="F4834" s="2">
        <v>1</v>
      </c>
      <c r="G4834" s="4"/>
      <c r="H4834" s="13">
        <v>1</v>
      </c>
      <c r="I4834" s="34">
        <v>1</v>
      </c>
      <c r="J4834" s="35">
        <v>1</v>
      </c>
      <c r="K4834" s="2" t="s">
        <v>9672</v>
      </c>
      <c r="L4834" s="36" t="str">
        <f t="shared" si="82"/>
        <v>Ver Imagen</v>
      </c>
      <c r="M4834" t="s">
        <v>8005</v>
      </c>
    </row>
    <row r="4835" spans="1:13" x14ac:dyDescent="0.25">
      <c r="A4835" s="33">
        <v>4834</v>
      </c>
      <c r="B4835" t="s">
        <v>9673</v>
      </c>
      <c r="C4835" s="1">
        <v>37.493485784199997</v>
      </c>
      <c r="D4835" s="1">
        <v>-7.2643815055800003</v>
      </c>
      <c r="E4835" s="3"/>
      <c r="F4835" s="2">
        <v>1</v>
      </c>
      <c r="G4835" s="4">
        <v>2</v>
      </c>
      <c r="H4835" s="13">
        <v>2</v>
      </c>
      <c r="I4835" s="34">
        <v>1</v>
      </c>
      <c r="J4835" s="35">
        <v>1.5</v>
      </c>
      <c r="K4835" s="2" t="s">
        <v>9674</v>
      </c>
      <c r="L4835" s="36" t="str">
        <f t="shared" si="82"/>
        <v>Ver Imagen</v>
      </c>
      <c r="M4835" t="s">
        <v>8005</v>
      </c>
    </row>
    <row r="4836" spans="1:13" x14ac:dyDescent="0.25">
      <c r="A4836" s="33">
        <v>4835</v>
      </c>
      <c r="B4836" t="s">
        <v>9675</v>
      </c>
      <c r="C4836" s="1">
        <v>37.2836129473</v>
      </c>
      <c r="D4836" s="1">
        <v>-7.0339027100199996</v>
      </c>
      <c r="E4836" s="3">
        <v>2</v>
      </c>
      <c r="F4836" s="2">
        <v>2</v>
      </c>
      <c r="G4836" s="4"/>
      <c r="H4836" s="13">
        <v>2</v>
      </c>
      <c r="I4836" s="34">
        <v>1</v>
      </c>
      <c r="J4836" s="35">
        <v>1</v>
      </c>
      <c r="K4836" s="2" t="s">
        <v>9676</v>
      </c>
      <c r="L4836" s="36" t="str">
        <f t="shared" si="82"/>
        <v>Ver Imagen</v>
      </c>
      <c r="M4836" t="s">
        <v>8005</v>
      </c>
    </row>
    <row r="4837" spans="1:13" x14ac:dyDescent="0.25">
      <c r="A4837" s="33">
        <v>4836</v>
      </c>
      <c r="B4837" t="s">
        <v>9677</v>
      </c>
      <c r="C4837" s="1">
        <v>37.307519867000003</v>
      </c>
      <c r="D4837" s="1">
        <v>-7.0569690639899996</v>
      </c>
      <c r="E4837" s="3">
        <v>2</v>
      </c>
      <c r="F4837" s="2">
        <v>2</v>
      </c>
      <c r="G4837" s="4"/>
      <c r="H4837" s="13">
        <v>2</v>
      </c>
      <c r="I4837" s="34">
        <v>2</v>
      </c>
      <c r="J4837" s="35">
        <v>2</v>
      </c>
      <c r="K4837" s="2" t="s">
        <v>9678</v>
      </c>
      <c r="L4837" s="36" t="str">
        <f t="shared" si="82"/>
        <v>Ver Imagen</v>
      </c>
      <c r="M4837" t="s">
        <v>8005</v>
      </c>
    </row>
    <row r="4838" spans="1:13" x14ac:dyDescent="0.25">
      <c r="A4838" s="33">
        <v>4837</v>
      </c>
      <c r="B4838" t="s">
        <v>9679</v>
      </c>
      <c r="C4838" s="1">
        <v>37.199138166099999</v>
      </c>
      <c r="D4838" s="1">
        <v>-7.00933115642</v>
      </c>
      <c r="E4838" s="3">
        <v>2</v>
      </c>
      <c r="F4838" s="2">
        <v>3</v>
      </c>
      <c r="G4838" s="4"/>
      <c r="H4838" s="13">
        <v>3</v>
      </c>
      <c r="I4838" s="34">
        <v>4</v>
      </c>
      <c r="J4838" s="35">
        <v>3</v>
      </c>
      <c r="K4838" s="2" t="s">
        <v>9680</v>
      </c>
      <c r="L4838" s="36" t="str">
        <f t="shared" si="82"/>
        <v>Ver Imagen</v>
      </c>
      <c r="M4838" t="s">
        <v>8005</v>
      </c>
    </row>
    <row r="4839" spans="1:13" x14ac:dyDescent="0.25">
      <c r="A4839" s="33">
        <v>4838</v>
      </c>
      <c r="B4839" t="s">
        <v>9681</v>
      </c>
      <c r="C4839" s="1">
        <v>37.260748379900001</v>
      </c>
      <c r="D4839" s="1">
        <v>-7.1294316355699996</v>
      </c>
      <c r="E4839" s="3"/>
      <c r="F4839" s="2">
        <v>3</v>
      </c>
      <c r="G4839" s="4">
        <v>2</v>
      </c>
      <c r="H4839" s="13">
        <v>3</v>
      </c>
      <c r="I4839" s="34">
        <v>3</v>
      </c>
      <c r="J4839" s="35">
        <v>3</v>
      </c>
      <c r="K4839" s="2" t="s">
        <v>9682</v>
      </c>
      <c r="L4839" s="36" t="str">
        <f t="shared" si="82"/>
        <v>Ver Imagen</v>
      </c>
      <c r="M4839" t="s">
        <v>8005</v>
      </c>
    </row>
    <row r="4840" spans="1:13" x14ac:dyDescent="0.25">
      <c r="A4840" s="33">
        <v>4839</v>
      </c>
      <c r="B4840" t="s">
        <v>9683</v>
      </c>
      <c r="C4840" s="1">
        <v>37.260541391799997</v>
      </c>
      <c r="D4840" s="1">
        <v>-7.1293228109499998</v>
      </c>
      <c r="E4840" s="3"/>
      <c r="F4840" s="2">
        <v>2</v>
      </c>
      <c r="G4840" s="4">
        <v>2</v>
      </c>
      <c r="H4840" s="13">
        <v>3</v>
      </c>
      <c r="I4840" s="34">
        <v>3</v>
      </c>
      <c r="J4840" s="35">
        <v>2.5</v>
      </c>
      <c r="K4840" s="2" t="s">
        <v>9684</v>
      </c>
      <c r="L4840" s="36" t="str">
        <f t="shared" si="82"/>
        <v>Ver Imagen</v>
      </c>
      <c r="M4840" t="s">
        <v>8005</v>
      </c>
    </row>
    <row r="4841" spans="1:13" x14ac:dyDescent="0.25">
      <c r="A4841" s="33">
        <v>4840</v>
      </c>
      <c r="B4841" t="s">
        <v>9685</v>
      </c>
      <c r="C4841" s="1">
        <v>37.253531824100001</v>
      </c>
      <c r="D4841" s="1">
        <v>-7.1267444948299996</v>
      </c>
      <c r="E4841" s="3">
        <v>2</v>
      </c>
      <c r="F4841" s="2">
        <v>2</v>
      </c>
      <c r="G4841" s="4"/>
      <c r="H4841" s="13">
        <v>2</v>
      </c>
      <c r="I4841" s="34">
        <v>2</v>
      </c>
      <c r="J4841" s="35">
        <v>2</v>
      </c>
      <c r="K4841" s="2" t="s">
        <v>9686</v>
      </c>
      <c r="L4841" s="36" t="str">
        <f t="shared" si="82"/>
        <v>Ver Imagen</v>
      </c>
      <c r="M4841" t="s">
        <v>8005</v>
      </c>
    </row>
    <row r="4842" spans="1:13" x14ac:dyDescent="0.25">
      <c r="A4842" s="33">
        <v>4841</v>
      </c>
      <c r="B4842" t="s">
        <v>9687</v>
      </c>
      <c r="C4842" s="1">
        <v>37.224624007199999</v>
      </c>
      <c r="D4842" s="1">
        <v>-7.0374968125999997</v>
      </c>
      <c r="E4842" s="3">
        <v>2</v>
      </c>
      <c r="F4842" s="2">
        <v>2</v>
      </c>
      <c r="G4842" s="4"/>
      <c r="H4842" s="13">
        <v>2</v>
      </c>
      <c r="I4842" s="34">
        <v>2</v>
      </c>
      <c r="J4842" s="35">
        <v>2</v>
      </c>
      <c r="K4842" s="2" t="s">
        <v>9688</v>
      </c>
      <c r="L4842" s="36" t="str">
        <f t="shared" si="82"/>
        <v>Ver Imagen</v>
      </c>
      <c r="M4842" t="s">
        <v>8005</v>
      </c>
    </row>
    <row r="4843" spans="1:13" x14ac:dyDescent="0.25">
      <c r="A4843" s="33">
        <v>4842</v>
      </c>
      <c r="B4843" t="s">
        <v>9689</v>
      </c>
      <c r="C4843" s="1">
        <v>37.498794250000003</v>
      </c>
      <c r="D4843" s="1">
        <v>-7.2675144115999997</v>
      </c>
      <c r="E4843" s="3">
        <v>2</v>
      </c>
      <c r="F4843" s="2">
        <v>2</v>
      </c>
      <c r="G4843" s="4"/>
      <c r="H4843" s="13">
        <v>2</v>
      </c>
      <c r="I4843" s="34">
        <v>1</v>
      </c>
      <c r="J4843" s="35">
        <v>2</v>
      </c>
      <c r="K4843" s="2" t="s">
        <v>9690</v>
      </c>
      <c r="L4843" s="36" t="str">
        <f t="shared" si="82"/>
        <v>Ver Imagen</v>
      </c>
      <c r="M4843" t="s">
        <v>8005</v>
      </c>
    </row>
    <row r="4844" spans="1:13" x14ac:dyDescent="0.25">
      <c r="A4844" s="33">
        <v>4843</v>
      </c>
      <c r="B4844" t="s">
        <v>9691</v>
      </c>
      <c r="C4844" s="1">
        <v>37.465215922299997</v>
      </c>
      <c r="D4844" s="1">
        <v>-7.1217571882600001</v>
      </c>
      <c r="E4844" s="3">
        <v>3</v>
      </c>
      <c r="F4844" s="2">
        <v>3</v>
      </c>
      <c r="G4844" s="4"/>
      <c r="H4844" s="13">
        <v>2</v>
      </c>
      <c r="I4844" s="34">
        <v>4</v>
      </c>
      <c r="J4844" s="35">
        <v>3</v>
      </c>
      <c r="K4844" s="2" t="s">
        <v>9692</v>
      </c>
      <c r="L4844" s="36" t="str">
        <f t="shared" si="82"/>
        <v>Ver Imagen</v>
      </c>
      <c r="M4844" t="s">
        <v>8005</v>
      </c>
    </row>
    <row r="4845" spans="1:13" x14ac:dyDescent="0.25">
      <c r="A4845" s="33">
        <v>4844</v>
      </c>
      <c r="B4845" t="s">
        <v>9693</v>
      </c>
      <c r="C4845" s="1">
        <v>37.266804376300001</v>
      </c>
      <c r="D4845" s="1">
        <v>-6.9572794459200002</v>
      </c>
      <c r="E4845" s="3">
        <v>3</v>
      </c>
      <c r="F4845" s="2">
        <v>2</v>
      </c>
      <c r="G4845" s="4"/>
      <c r="H4845" s="13">
        <v>2</v>
      </c>
      <c r="I4845" s="34">
        <v>2</v>
      </c>
      <c r="J4845" s="35">
        <v>2</v>
      </c>
      <c r="K4845" s="2" t="s">
        <v>9694</v>
      </c>
      <c r="L4845" s="36" t="str">
        <f t="shared" si="82"/>
        <v>Ver Imagen</v>
      </c>
      <c r="M4845" t="s">
        <v>8005</v>
      </c>
    </row>
    <row r="4846" spans="1:13" x14ac:dyDescent="0.25">
      <c r="A4846" s="33">
        <v>4845</v>
      </c>
      <c r="B4846" t="s">
        <v>9695</v>
      </c>
      <c r="C4846" s="1">
        <v>37.270868372499997</v>
      </c>
      <c r="D4846" s="1">
        <v>-7.1402027265400001</v>
      </c>
      <c r="E4846" s="3"/>
      <c r="F4846" s="2">
        <v>4</v>
      </c>
      <c r="G4846" s="4">
        <v>3</v>
      </c>
      <c r="H4846" s="13">
        <v>3</v>
      </c>
      <c r="I4846" s="34">
        <v>4</v>
      </c>
      <c r="J4846" s="35">
        <v>3.5</v>
      </c>
      <c r="K4846" s="2" t="s">
        <v>9696</v>
      </c>
      <c r="L4846" s="36" t="str">
        <f t="shared" si="82"/>
        <v>Ver Imagen</v>
      </c>
      <c r="M4846" t="s">
        <v>8005</v>
      </c>
    </row>
    <row r="4847" spans="1:13" x14ac:dyDescent="0.25">
      <c r="A4847" s="33">
        <v>4846</v>
      </c>
      <c r="B4847" t="s">
        <v>9697</v>
      </c>
      <c r="C4847" s="1">
        <v>37.2610798567</v>
      </c>
      <c r="D4847" s="1">
        <v>-7.1296644430000002</v>
      </c>
      <c r="E4847" s="3"/>
      <c r="F4847" s="2">
        <v>3</v>
      </c>
      <c r="G4847" s="4">
        <v>3</v>
      </c>
      <c r="H4847" s="13">
        <v>3</v>
      </c>
      <c r="I4847" s="34">
        <v>4</v>
      </c>
      <c r="J4847" s="37">
        <v>4</v>
      </c>
      <c r="K4847" s="2" t="s">
        <v>9698</v>
      </c>
      <c r="L4847" s="36" t="str">
        <f t="shared" si="82"/>
        <v>Ver Imagen</v>
      </c>
      <c r="M4847" s="37" t="s">
        <v>8052</v>
      </c>
    </row>
    <row r="4848" spans="1:13" x14ac:dyDescent="0.25">
      <c r="A4848" s="33">
        <v>4847</v>
      </c>
      <c r="B4848" t="s">
        <v>9699</v>
      </c>
      <c r="C4848" s="1">
        <v>37.451188428099996</v>
      </c>
      <c r="D4848" s="1">
        <v>-7.1544858362900001</v>
      </c>
      <c r="E4848" s="3"/>
      <c r="F4848" s="2">
        <v>4</v>
      </c>
      <c r="G4848" s="4">
        <v>4</v>
      </c>
      <c r="H4848" s="13">
        <v>4</v>
      </c>
      <c r="I4848" s="34">
        <v>5</v>
      </c>
      <c r="J4848" s="35">
        <v>4</v>
      </c>
      <c r="K4848" s="2" t="s">
        <v>9700</v>
      </c>
      <c r="L4848" s="36" t="str">
        <f t="shared" si="82"/>
        <v>Ver Imagen</v>
      </c>
      <c r="M4848" t="s">
        <v>8005</v>
      </c>
    </row>
    <row r="4849" spans="1:13" x14ac:dyDescent="0.25">
      <c r="A4849" s="33">
        <v>4848</v>
      </c>
      <c r="B4849" t="s">
        <v>9701</v>
      </c>
      <c r="C4849" s="1">
        <v>37.448751140200002</v>
      </c>
      <c r="D4849" s="1">
        <v>-7.1484957535199998</v>
      </c>
      <c r="E4849" s="3">
        <v>2</v>
      </c>
      <c r="F4849" s="2">
        <v>4</v>
      </c>
      <c r="G4849" s="4"/>
      <c r="H4849" s="13">
        <v>3</v>
      </c>
      <c r="I4849" s="34">
        <v>3</v>
      </c>
      <c r="J4849" s="35">
        <v>3</v>
      </c>
      <c r="K4849" s="2" t="s">
        <v>9702</v>
      </c>
      <c r="L4849" s="36" t="str">
        <f t="shared" si="82"/>
        <v>Ver Imagen</v>
      </c>
      <c r="M4849" t="s">
        <v>8005</v>
      </c>
    </row>
    <row r="4850" spans="1:13" x14ac:dyDescent="0.25">
      <c r="A4850" s="33">
        <v>4849</v>
      </c>
      <c r="B4850" t="s">
        <v>9703</v>
      </c>
      <c r="C4850" s="1">
        <v>37.451313319400001</v>
      </c>
      <c r="D4850" s="1">
        <v>-7.1550442096899998</v>
      </c>
      <c r="E4850" s="3">
        <v>2</v>
      </c>
      <c r="F4850" s="2">
        <v>3</v>
      </c>
      <c r="G4850" s="4"/>
      <c r="H4850" s="13">
        <v>4</v>
      </c>
      <c r="I4850" s="34">
        <v>4</v>
      </c>
      <c r="J4850" s="35">
        <v>3.5</v>
      </c>
      <c r="K4850" s="2" t="s">
        <v>9704</v>
      </c>
      <c r="L4850" s="36" t="str">
        <f t="shared" si="82"/>
        <v>Ver Imagen</v>
      </c>
      <c r="M4850" t="s">
        <v>8005</v>
      </c>
    </row>
    <row r="4851" spans="1:13" x14ac:dyDescent="0.25">
      <c r="A4851" s="33">
        <v>4850</v>
      </c>
      <c r="B4851" t="s">
        <v>9705</v>
      </c>
      <c r="C4851" s="1">
        <v>37.471901990299997</v>
      </c>
      <c r="D4851" s="1">
        <v>-7.1930247089700003</v>
      </c>
      <c r="E4851" s="3">
        <v>1</v>
      </c>
      <c r="F4851" s="2">
        <v>2</v>
      </c>
      <c r="G4851" s="4"/>
      <c r="H4851" s="13">
        <v>2</v>
      </c>
      <c r="I4851" s="34">
        <v>1</v>
      </c>
      <c r="J4851" s="35">
        <v>1.5</v>
      </c>
      <c r="K4851" s="2" t="s">
        <v>9706</v>
      </c>
      <c r="L4851" s="36" t="str">
        <f t="shared" si="82"/>
        <v>Ver Imagen</v>
      </c>
      <c r="M4851" t="s">
        <v>8005</v>
      </c>
    </row>
    <row r="4852" spans="1:13" x14ac:dyDescent="0.25">
      <c r="A4852" s="33">
        <v>4851</v>
      </c>
      <c r="B4852" t="s">
        <v>9707</v>
      </c>
      <c r="C4852" s="1">
        <v>37.471983010400002</v>
      </c>
      <c r="D4852" s="1">
        <v>-7.1931602365599998</v>
      </c>
      <c r="E4852" s="3">
        <v>2</v>
      </c>
      <c r="F4852" s="2">
        <v>4</v>
      </c>
      <c r="G4852" s="4"/>
      <c r="H4852" s="13">
        <v>3</v>
      </c>
      <c r="I4852" s="34">
        <v>3</v>
      </c>
      <c r="J4852" s="35">
        <v>3</v>
      </c>
      <c r="K4852" s="2" t="s">
        <v>9708</v>
      </c>
      <c r="L4852" s="36" t="str">
        <f t="shared" si="82"/>
        <v>Ver Imagen</v>
      </c>
      <c r="M4852" t="s">
        <v>8005</v>
      </c>
    </row>
    <row r="4853" spans="1:13" x14ac:dyDescent="0.25">
      <c r="A4853" s="33">
        <v>4852</v>
      </c>
      <c r="B4853" t="s">
        <v>9709</v>
      </c>
      <c r="C4853" s="1">
        <v>37.4755227156</v>
      </c>
      <c r="D4853" s="1">
        <v>-7.1999458964900001</v>
      </c>
      <c r="E4853" s="3">
        <v>1</v>
      </c>
      <c r="F4853" s="2">
        <v>3</v>
      </c>
      <c r="G4853" s="4"/>
      <c r="H4853" s="13">
        <v>3</v>
      </c>
      <c r="I4853" s="34">
        <v>3</v>
      </c>
      <c r="J4853" s="35">
        <v>3</v>
      </c>
      <c r="K4853" s="2" t="s">
        <v>9710</v>
      </c>
      <c r="L4853" s="36" t="str">
        <f t="shared" si="82"/>
        <v>Ver Imagen</v>
      </c>
      <c r="M4853" t="s">
        <v>8005</v>
      </c>
    </row>
    <row r="4854" spans="1:13" x14ac:dyDescent="0.25">
      <c r="A4854" s="33">
        <v>4853</v>
      </c>
      <c r="B4854" t="s">
        <v>9711</v>
      </c>
      <c r="C4854" s="1">
        <v>37.460513194100002</v>
      </c>
      <c r="D4854" s="1">
        <v>-7.17267898329</v>
      </c>
      <c r="E4854" s="3"/>
      <c r="F4854" s="2">
        <v>3</v>
      </c>
      <c r="G4854" s="4">
        <v>2</v>
      </c>
      <c r="H4854" s="13">
        <v>3</v>
      </c>
      <c r="I4854" s="34">
        <v>3</v>
      </c>
      <c r="J4854" s="35">
        <v>3</v>
      </c>
      <c r="K4854" s="2" t="s">
        <v>9712</v>
      </c>
      <c r="L4854" s="36" t="str">
        <f t="shared" si="82"/>
        <v>Ver Imagen</v>
      </c>
      <c r="M4854" t="s">
        <v>8005</v>
      </c>
    </row>
    <row r="4855" spans="1:13" x14ac:dyDescent="0.25">
      <c r="A4855" s="33">
        <v>4854</v>
      </c>
      <c r="B4855" t="s">
        <v>9713</v>
      </c>
      <c r="C4855" s="1">
        <v>37.468088832500001</v>
      </c>
      <c r="D4855" s="1">
        <v>-7.1861372640800001</v>
      </c>
      <c r="E4855" s="3">
        <v>1</v>
      </c>
      <c r="F4855" s="2">
        <v>3</v>
      </c>
      <c r="G4855" s="4"/>
      <c r="H4855" s="13">
        <v>2</v>
      </c>
      <c r="I4855" s="34">
        <v>1</v>
      </c>
      <c r="J4855" s="35">
        <v>1.5</v>
      </c>
      <c r="K4855" s="2" t="s">
        <v>9714</v>
      </c>
      <c r="L4855" s="36" t="str">
        <f t="shared" si="82"/>
        <v>Ver Imagen</v>
      </c>
      <c r="M4855" t="s">
        <v>8005</v>
      </c>
    </row>
    <row r="4856" spans="1:13" x14ac:dyDescent="0.25">
      <c r="A4856" s="33">
        <v>4855</v>
      </c>
      <c r="B4856" t="s">
        <v>9715</v>
      </c>
      <c r="C4856" s="1">
        <v>37.468214177500002</v>
      </c>
      <c r="D4856" s="1">
        <v>-7.1863714814100002</v>
      </c>
      <c r="E4856" s="3">
        <v>1</v>
      </c>
      <c r="F4856" s="2">
        <v>3</v>
      </c>
      <c r="G4856" s="4"/>
      <c r="H4856" s="13">
        <v>2</v>
      </c>
      <c r="I4856" s="34">
        <v>2</v>
      </c>
      <c r="J4856" s="35">
        <v>2</v>
      </c>
      <c r="K4856" s="2" t="s">
        <v>9716</v>
      </c>
      <c r="L4856" s="36" t="str">
        <f t="shared" si="82"/>
        <v>Ver Imagen</v>
      </c>
      <c r="M4856" t="s">
        <v>8005</v>
      </c>
    </row>
    <row r="4857" spans="1:13" x14ac:dyDescent="0.25">
      <c r="A4857" s="33">
        <v>4856</v>
      </c>
      <c r="B4857" t="s">
        <v>9717</v>
      </c>
      <c r="C4857" s="1">
        <v>37.468330010599999</v>
      </c>
      <c r="D4857" s="1">
        <v>-7.1865873678699996</v>
      </c>
      <c r="E4857" s="3">
        <v>1</v>
      </c>
      <c r="F4857" s="2">
        <v>3</v>
      </c>
      <c r="G4857" s="4"/>
      <c r="H4857" s="13">
        <v>1</v>
      </c>
      <c r="I4857" s="34">
        <v>2</v>
      </c>
      <c r="J4857" s="35">
        <v>1.5</v>
      </c>
      <c r="K4857" s="2" t="s">
        <v>9718</v>
      </c>
      <c r="L4857" s="36" t="str">
        <f t="shared" si="82"/>
        <v>Ver Imagen</v>
      </c>
      <c r="M4857" t="s">
        <v>8005</v>
      </c>
    </row>
    <row r="4858" spans="1:13" x14ac:dyDescent="0.25">
      <c r="A4858" s="33">
        <v>4857</v>
      </c>
      <c r="B4858" t="s">
        <v>9719</v>
      </c>
      <c r="C4858" s="1">
        <v>37.4684597786</v>
      </c>
      <c r="D4858" s="1">
        <v>-7.1868260913200004</v>
      </c>
      <c r="E4858" s="3">
        <v>1</v>
      </c>
      <c r="F4858" s="2">
        <v>2</v>
      </c>
      <c r="G4858" s="4"/>
      <c r="H4858" s="13">
        <v>2</v>
      </c>
      <c r="I4858" s="34">
        <v>1</v>
      </c>
      <c r="J4858" s="35">
        <v>1.5</v>
      </c>
      <c r="K4858" s="2" t="s">
        <v>9720</v>
      </c>
      <c r="L4858" s="36" t="str">
        <f t="shared" si="82"/>
        <v>Ver Imagen</v>
      </c>
      <c r="M4858" t="s">
        <v>8005</v>
      </c>
    </row>
    <row r="4859" spans="1:13" x14ac:dyDescent="0.25">
      <c r="A4859" s="33">
        <v>4858</v>
      </c>
      <c r="B4859" t="s">
        <v>9721</v>
      </c>
      <c r="C4859" s="1">
        <v>37.468554729700003</v>
      </c>
      <c r="D4859" s="1">
        <v>-7.1869994025599997</v>
      </c>
      <c r="E4859" s="3">
        <v>1</v>
      </c>
      <c r="F4859" s="2">
        <v>3</v>
      </c>
      <c r="G4859" s="4"/>
      <c r="H4859" s="13">
        <v>1</v>
      </c>
      <c r="I4859" s="34">
        <v>1</v>
      </c>
      <c r="J4859" s="35">
        <v>1</v>
      </c>
      <c r="K4859" s="2" t="s">
        <v>9722</v>
      </c>
      <c r="L4859" s="36" t="str">
        <f t="shared" si="82"/>
        <v>Ver Imagen</v>
      </c>
      <c r="M4859" t="s">
        <v>8005</v>
      </c>
    </row>
    <row r="4860" spans="1:13" x14ac:dyDescent="0.25">
      <c r="A4860" s="33">
        <v>4859</v>
      </c>
      <c r="B4860" t="s">
        <v>9723</v>
      </c>
      <c r="C4860" s="1">
        <v>37.468650296</v>
      </c>
      <c r="D4860" s="1">
        <v>-7.1871739509700001</v>
      </c>
      <c r="E4860" s="3">
        <v>1</v>
      </c>
      <c r="F4860" s="2">
        <v>2</v>
      </c>
      <c r="G4860" s="4"/>
      <c r="H4860" s="13">
        <v>1</v>
      </c>
      <c r="I4860" s="34">
        <v>1</v>
      </c>
      <c r="J4860" s="35">
        <v>1</v>
      </c>
      <c r="K4860" s="2" t="s">
        <v>9724</v>
      </c>
      <c r="L4860" s="36" t="str">
        <f t="shared" si="82"/>
        <v>Ver Imagen</v>
      </c>
      <c r="M4860" t="s">
        <v>8005</v>
      </c>
    </row>
    <row r="4861" spans="1:13" x14ac:dyDescent="0.25">
      <c r="A4861" s="33">
        <v>4860</v>
      </c>
      <c r="B4861" t="s">
        <v>9725</v>
      </c>
      <c r="C4861" s="1">
        <v>37.468739917199997</v>
      </c>
      <c r="D4861" s="1">
        <v>-7.1873380062200001</v>
      </c>
      <c r="E4861" s="3">
        <v>1</v>
      </c>
      <c r="F4861" s="2">
        <v>3</v>
      </c>
      <c r="G4861" s="4"/>
      <c r="H4861" s="13">
        <v>2</v>
      </c>
      <c r="I4861" s="34">
        <v>2</v>
      </c>
      <c r="J4861" s="35">
        <v>2</v>
      </c>
      <c r="K4861" s="2" t="s">
        <v>9726</v>
      </c>
      <c r="L4861" s="36" t="str">
        <f t="shared" si="82"/>
        <v>Ver Imagen</v>
      </c>
      <c r="M4861" t="s">
        <v>8005</v>
      </c>
    </row>
    <row r="4862" spans="1:13" x14ac:dyDescent="0.25">
      <c r="A4862" s="33">
        <v>4861</v>
      </c>
      <c r="B4862" t="s">
        <v>9727</v>
      </c>
      <c r="C4862" s="1">
        <v>37.468854603499999</v>
      </c>
      <c r="D4862" s="1">
        <v>-7.1875483492200001</v>
      </c>
      <c r="E4862" s="3">
        <v>2</v>
      </c>
      <c r="F4862" s="2">
        <v>4</v>
      </c>
      <c r="G4862" s="4"/>
      <c r="H4862" s="13">
        <v>3</v>
      </c>
      <c r="I4862" s="34">
        <v>3</v>
      </c>
      <c r="J4862" s="35">
        <v>3</v>
      </c>
      <c r="K4862" s="2" t="s">
        <v>9728</v>
      </c>
      <c r="L4862" s="36" t="str">
        <f t="shared" si="82"/>
        <v>Ver Imagen</v>
      </c>
      <c r="M4862" t="s">
        <v>8005</v>
      </c>
    </row>
    <row r="4863" spans="1:13" x14ac:dyDescent="0.25">
      <c r="A4863" s="33">
        <v>4862</v>
      </c>
      <c r="B4863" t="s">
        <v>9729</v>
      </c>
      <c r="C4863" s="1">
        <v>37.469005185900002</v>
      </c>
      <c r="D4863" s="1">
        <v>-7.1878256236300002</v>
      </c>
      <c r="E4863" s="3">
        <v>1</v>
      </c>
      <c r="F4863" s="2">
        <v>2</v>
      </c>
      <c r="G4863" s="4"/>
      <c r="H4863" s="13">
        <v>2</v>
      </c>
      <c r="I4863" s="34">
        <v>2</v>
      </c>
      <c r="J4863" s="35">
        <v>2</v>
      </c>
      <c r="K4863" s="2" t="s">
        <v>9730</v>
      </c>
      <c r="L4863" s="36" t="str">
        <f t="shared" ref="L4863:L4894" si="83">HYPERLINK("Solo2\" &amp; K4863, "Ver Imagen")</f>
        <v>Ver Imagen</v>
      </c>
      <c r="M4863" t="s">
        <v>8005</v>
      </c>
    </row>
    <row r="4864" spans="1:13" x14ac:dyDescent="0.25">
      <c r="A4864" s="33">
        <v>4863</v>
      </c>
      <c r="B4864" t="s">
        <v>9731</v>
      </c>
      <c r="C4864" s="1">
        <v>37.469134721400003</v>
      </c>
      <c r="D4864" s="1">
        <v>-7.1880656913800003</v>
      </c>
      <c r="E4864" s="3">
        <v>1</v>
      </c>
      <c r="F4864" s="2">
        <v>2</v>
      </c>
      <c r="G4864" s="4"/>
      <c r="H4864" s="13">
        <v>2</v>
      </c>
      <c r="I4864" s="34">
        <v>1</v>
      </c>
      <c r="J4864" s="35">
        <v>1.5</v>
      </c>
      <c r="K4864" s="2" t="s">
        <v>9732</v>
      </c>
      <c r="L4864" s="36" t="str">
        <f t="shared" si="83"/>
        <v>Ver Imagen</v>
      </c>
      <c r="M4864" t="s">
        <v>8005</v>
      </c>
    </row>
    <row r="4865" spans="1:13" x14ac:dyDescent="0.25">
      <c r="A4865" s="33">
        <v>4864</v>
      </c>
      <c r="B4865" t="s">
        <v>9733</v>
      </c>
      <c r="C4865" s="1">
        <v>37.469214662200002</v>
      </c>
      <c r="D4865" s="1">
        <v>-7.1882140792999998</v>
      </c>
      <c r="E4865" s="3">
        <v>2</v>
      </c>
      <c r="F4865" s="2">
        <v>3</v>
      </c>
      <c r="G4865" s="4"/>
      <c r="H4865" s="13">
        <v>2</v>
      </c>
      <c r="I4865" s="34">
        <v>2</v>
      </c>
      <c r="J4865" s="35">
        <v>2</v>
      </c>
      <c r="K4865" s="2" t="s">
        <v>9734</v>
      </c>
      <c r="L4865" s="36" t="str">
        <f t="shared" si="83"/>
        <v>Ver Imagen</v>
      </c>
      <c r="M4865" t="s">
        <v>8005</v>
      </c>
    </row>
    <row r="4866" spans="1:13" x14ac:dyDescent="0.25">
      <c r="A4866" s="33">
        <v>4865</v>
      </c>
      <c r="B4866" t="s">
        <v>9735</v>
      </c>
      <c r="C4866" s="1">
        <v>37.469316169400003</v>
      </c>
      <c r="D4866" s="1">
        <v>-7.1884021213500002</v>
      </c>
      <c r="E4866" s="3">
        <v>1</v>
      </c>
      <c r="F4866" s="2">
        <v>2</v>
      </c>
      <c r="G4866" s="4"/>
      <c r="H4866" s="13">
        <v>2</v>
      </c>
      <c r="I4866" s="34">
        <v>1</v>
      </c>
      <c r="J4866" s="35">
        <v>1.5</v>
      </c>
      <c r="K4866" s="2" t="s">
        <v>9736</v>
      </c>
      <c r="L4866" s="36" t="str">
        <f t="shared" si="83"/>
        <v>Ver Imagen</v>
      </c>
      <c r="M4866" t="s">
        <v>8005</v>
      </c>
    </row>
    <row r="4867" spans="1:13" x14ac:dyDescent="0.25">
      <c r="A4867" s="33">
        <v>4866</v>
      </c>
      <c r="B4867" t="s">
        <v>9737</v>
      </c>
      <c r="C4867" s="1">
        <v>37.469422046399998</v>
      </c>
      <c r="D4867" s="1">
        <v>-7.1885978396199999</v>
      </c>
      <c r="E4867" s="3">
        <v>1</v>
      </c>
      <c r="F4867" s="2">
        <v>2</v>
      </c>
      <c r="G4867" s="4"/>
      <c r="H4867" s="13">
        <v>1</v>
      </c>
      <c r="I4867" s="34">
        <v>1</v>
      </c>
      <c r="J4867" s="35">
        <v>1</v>
      </c>
      <c r="K4867" s="2" t="s">
        <v>9738</v>
      </c>
      <c r="L4867" s="36" t="str">
        <f t="shared" si="83"/>
        <v>Ver Imagen</v>
      </c>
      <c r="M4867" t="s">
        <v>8005</v>
      </c>
    </row>
    <row r="4868" spans="1:13" x14ac:dyDescent="0.25">
      <c r="A4868" s="33">
        <v>4867</v>
      </c>
      <c r="B4868" t="s">
        <v>9739</v>
      </c>
      <c r="C4868" s="1">
        <v>37.469679519099998</v>
      </c>
      <c r="D4868" s="1">
        <v>-7.18907484006</v>
      </c>
      <c r="E4868" s="3">
        <v>1</v>
      </c>
      <c r="F4868" s="2">
        <v>1</v>
      </c>
      <c r="G4868" s="4"/>
      <c r="H4868" s="13">
        <v>1</v>
      </c>
      <c r="I4868" s="34">
        <v>1</v>
      </c>
      <c r="J4868" s="35">
        <v>1</v>
      </c>
      <c r="K4868" s="2" t="s">
        <v>9740</v>
      </c>
      <c r="L4868" s="36" t="str">
        <f t="shared" si="83"/>
        <v>Ver Imagen</v>
      </c>
      <c r="M4868" t="s">
        <v>8005</v>
      </c>
    </row>
    <row r="4869" spans="1:13" x14ac:dyDescent="0.25">
      <c r="A4869" s="33">
        <v>4868</v>
      </c>
      <c r="B4869" t="s">
        <v>9741</v>
      </c>
      <c r="C4869" s="1">
        <v>37.469804185299999</v>
      </c>
      <c r="D4869" s="1">
        <v>-7.1893053178699997</v>
      </c>
      <c r="E4869" s="3">
        <v>1</v>
      </c>
      <c r="F4869" s="2">
        <v>2</v>
      </c>
      <c r="G4869" s="4"/>
      <c r="H4869" s="13">
        <v>1</v>
      </c>
      <c r="I4869" s="34">
        <v>1</v>
      </c>
      <c r="J4869" s="35">
        <v>1</v>
      </c>
      <c r="K4869" s="2" t="s">
        <v>9742</v>
      </c>
      <c r="L4869" s="36" t="str">
        <f t="shared" si="83"/>
        <v>Ver Imagen</v>
      </c>
      <c r="M4869" t="s">
        <v>8005</v>
      </c>
    </row>
    <row r="4870" spans="1:13" x14ac:dyDescent="0.25">
      <c r="A4870" s="33">
        <v>4869</v>
      </c>
      <c r="B4870" t="s">
        <v>9743</v>
      </c>
      <c r="C4870" s="1">
        <v>37.4699132374</v>
      </c>
      <c r="D4870" s="1">
        <v>-7.18950816055</v>
      </c>
      <c r="E4870" s="3">
        <v>1</v>
      </c>
      <c r="F4870" s="2">
        <v>3</v>
      </c>
      <c r="G4870" s="4"/>
      <c r="H4870" s="13">
        <v>1</v>
      </c>
      <c r="I4870" s="34">
        <v>1</v>
      </c>
      <c r="J4870" s="35">
        <v>1</v>
      </c>
      <c r="K4870" s="2" t="s">
        <v>9744</v>
      </c>
      <c r="L4870" s="36" t="str">
        <f t="shared" si="83"/>
        <v>Ver Imagen</v>
      </c>
      <c r="M4870" t="s">
        <v>8005</v>
      </c>
    </row>
    <row r="4871" spans="1:13" x14ac:dyDescent="0.25">
      <c r="A4871" s="33">
        <v>4870</v>
      </c>
      <c r="B4871" t="s">
        <v>9745</v>
      </c>
      <c r="C4871" s="1">
        <v>37.4700108089</v>
      </c>
      <c r="D4871" s="1">
        <v>-7.1896899668499996</v>
      </c>
      <c r="E4871" s="3">
        <v>1</v>
      </c>
      <c r="F4871" s="2">
        <v>3</v>
      </c>
      <c r="G4871" s="4"/>
      <c r="H4871" s="13">
        <v>3</v>
      </c>
      <c r="I4871" s="34">
        <v>2</v>
      </c>
      <c r="J4871" s="35">
        <v>2.5</v>
      </c>
      <c r="K4871" s="2" t="s">
        <v>9746</v>
      </c>
      <c r="L4871" s="36" t="str">
        <f t="shared" si="83"/>
        <v>Ver Imagen</v>
      </c>
      <c r="M4871" t="s">
        <v>8005</v>
      </c>
    </row>
    <row r="4872" spans="1:13" x14ac:dyDescent="0.25">
      <c r="A4872" s="33">
        <v>4871</v>
      </c>
      <c r="B4872" t="s">
        <v>9747</v>
      </c>
      <c r="C4872" s="1">
        <v>37.470119378600003</v>
      </c>
      <c r="D4872" s="1">
        <v>-7.1898915886500001</v>
      </c>
      <c r="E4872" s="3">
        <v>1</v>
      </c>
      <c r="F4872" s="2">
        <v>2</v>
      </c>
      <c r="G4872" s="4"/>
      <c r="H4872" s="13">
        <v>2</v>
      </c>
      <c r="I4872" s="34">
        <v>1</v>
      </c>
      <c r="J4872" s="35">
        <v>1.5</v>
      </c>
      <c r="K4872" s="2" t="s">
        <v>9748</v>
      </c>
      <c r="L4872" s="36" t="str">
        <f t="shared" si="83"/>
        <v>Ver Imagen</v>
      </c>
      <c r="M4872" t="s">
        <v>8005</v>
      </c>
    </row>
    <row r="4873" spans="1:13" x14ac:dyDescent="0.25">
      <c r="A4873" s="33">
        <v>4872</v>
      </c>
      <c r="B4873" t="s">
        <v>9749</v>
      </c>
      <c r="C4873" s="1">
        <v>37.470210404200003</v>
      </c>
      <c r="D4873" s="1">
        <v>-7.1900608261999999</v>
      </c>
      <c r="E4873" s="3">
        <v>1</v>
      </c>
      <c r="F4873" s="2">
        <v>2</v>
      </c>
      <c r="G4873" s="4"/>
      <c r="H4873" s="13">
        <v>2</v>
      </c>
      <c r="I4873" s="34">
        <v>1</v>
      </c>
      <c r="J4873" s="35">
        <v>1.5</v>
      </c>
      <c r="K4873" s="2" t="s">
        <v>9750</v>
      </c>
      <c r="L4873" s="36" t="str">
        <f t="shared" si="83"/>
        <v>Ver Imagen</v>
      </c>
      <c r="M4873" t="s">
        <v>8005</v>
      </c>
    </row>
    <row r="4874" spans="1:13" x14ac:dyDescent="0.25">
      <c r="A4874" s="33">
        <v>4873</v>
      </c>
      <c r="B4874" t="s">
        <v>9751</v>
      </c>
      <c r="C4874" s="1">
        <v>37.4703605698</v>
      </c>
      <c r="D4874" s="1">
        <v>-7.1903414571899997</v>
      </c>
      <c r="E4874" s="3">
        <v>1</v>
      </c>
      <c r="F4874" s="2">
        <v>2</v>
      </c>
      <c r="G4874" s="4"/>
      <c r="H4874" s="13">
        <v>2</v>
      </c>
      <c r="I4874" s="34">
        <v>1</v>
      </c>
      <c r="J4874" s="35">
        <v>1.5</v>
      </c>
      <c r="K4874" s="2" t="s">
        <v>9752</v>
      </c>
      <c r="L4874" s="36" t="str">
        <f t="shared" si="83"/>
        <v>Ver Imagen</v>
      </c>
      <c r="M4874" t="s">
        <v>8005</v>
      </c>
    </row>
    <row r="4875" spans="1:13" x14ac:dyDescent="0.25">
      <c r="A4875" s="33">
        <v>4874</v>
      </c>
      <c r="B4875" t="s">
        <v>9753</v>
      </c>
      <c r="C4875" s="1">
        <v>37.470463391700001</v>
      </c>
      <c r="D4875" s="1">
        <v>-7.1905333556400004</v>
      </c>
      <c r="E4875" s="3">
        <v>1</v>
      </c>
      <c r="F4875" s="2">
        <v>2</v>
      </c>
      <c r="G4875" s="4"/>
      <c r="H4875" s="13">
        <v>1</v>
      </c>
      <c r="I4875" s="34">
        <v>1</v>
      </c>
      <c r="J4875" s="35">
        <v>1</v>
      </c>
      <c r="K4875" s="2" t="s">
        <v>9754</v>
      </c>
      <c r="L4875" s="36" t="str">
        <f t="shared" si="83"/>
        <v>Ver Imagen</v>
      </c>
      <c r="M4875" t="s">
        <v>8005</v>
      </c>
    </row>
    <row r="4876" spans="1:13" x14ac:dyDescent="0.25">
      <c r="A4876" s="33">
        <v>4875</v>
      </c>
      <c r="B4876" t="s">
        <v>9755</v>
      </c>
      <c r="C4876" s="1">
        <v>37.47058998</v>
      </c>
      <c r="D4876" s="1">
        <v>-7.1907675045400001</v>
      </c>
      <c r="E4876" s="3">
        <v>1</v>
      </c>
      <c r="F4876" s="2">
        <v>3</v>
      </c>
      <c r="G4876" s="4"/>
      <c r="H4876" s="13">
        <v>3</v>
      </c>
      <c r="I4876" s="34">
        <v>2</v>
      </c>
      <c r="J4876" s="35">
        <v>2.5</v>
      </c>
      <c r="K4876" s="2" t="s">
        <v>9756</v>
      </c>
      <c r="L4876" s="36" t="str">
        <f t="shared" si="83"/>
        <v>Ver Imagen</v>
      </c>
      <c r="M4876" t="s">
        <v>8005</v>
      </c>
    </row>
    <row r="4877" spans="1:13" x14ac:dyDescent="0.25">
      <c r="A4877" s="33">
        <v>4876</v>
      </c>
      <c r="B4877" t="s">
        <v>9757</v>
      </c>
      <c r="C4877" s="1">
        <v>37.470700817000001</v>
      </c>
      <c r="D4877" s="1">
        <v>-7.1909699320499998</v>
      </c>
      <c r="E4877" s="3">
        <v>1</v>
      </c>
      <c r="F4877" s="2">
        <v>2</v>
      </c>
      <c r="G4877" s="4"/>
      <c r="H4877" s="13">
        <v>1</v>
      </c>
      <c r="I4877" s="34">
        <v>1</v>
      </c>
      <c r="J4877" s="35">
        <v>1</v>
      </c>
      <c r="K4877" s="2" t="s">
        <v>9758</v>
      </c>
      <c r="L4877" s="36" t="str">
        <f t="shared" si="83"/>
        <v>Ver Imagen</v>
      </c>
      <c r="M4877" t="s">
        <v>8005</v>
      </c>
    </row>
    <row r="4878" spans="1:13" x14ac:dyDescent="0.25">
      <c r="A4878" s="33">
        <v>4877</v>
      </c>
      <c r="B4878" t="s">
        <v>9759</v>
      </c>
      <c r="C4878" s="1">
        <v>37.470826229799997</v>
      </c>
      <c r="D4878" s="1">
        <v>-7.1911954083499996</v>
      </c>
      <c r="E4878" s="3">
        <v>1</v>
      </c>
      <c r="F4878" s="2">
        <v>3</v>
      </c>
      <c r="G4878" s="4"/>
      <c r="H4878" s="13">
        <v>1</v>
      </c>
      <c r="I4878" s="34">
        <v>1</v>
      </c>
      <c r="J4878" s="35">
        <v>1</v>
      </c>
      <c r="K4878" s="2" t="s">
        <v>9760</v>
      </c>
      <c r="L4878" s="36" t="str">
        <f t="shared" si="83"/>
        <v>Ver Imagen</v>
      </c>
      <c r="M4878" t="s">
        <v>8005</v>
      </c>
    </row>
    <row r="4879" spans="1:13" x14ac:dyDescent="0.25">
      <c r="A4879" s="33">
        <v>4878</v>
      </c>
      <c r="B4879" t="s">
        <v>9761</v>
      </c>
      <c r="C4879" s="1">
        <v>37.470913063099999</v>
      </c>
      <c r="D4879" s="1">
        <v>-7.1913491342200002</v>
      </c>
      <c r="E4879" s="3">
        <v>1</v>
      </c>
      <c r="F4879" s="2">
        <v>3</v>
      </c>
      <c r="G4879" s="4"/>
      <c r="H4879" s="13">
        <v>2</v>
      </c>
      <c r="I4879" s="34">
        <v>2</v>
      </c>
      <c r="J4879" s="35">
        <v>2</v>
      </c>
      <c r="K4879" s="2" t="s">
        <v>9762</v>
      </c>
      <c r="L4879" s="36" t="str">
        <f t="shared" si="83"/>
        <v>Ver Imagen</v>
      </c>
      <c r="M4879" t="s">
        <v>8005</v>
      </c>
    </row>
    <row r="4880" spans="1:13" x14ac:dyDescent="0.25">
      <c r="A4880" s="33">
        <v>4879</v>
      </c>
      <c r="B4880" t="s">
        <v>9763</v>
      </c>
      <c r="C4880" s="1">
        <v>37.471033564499997</v>
      </c>
      <c r="D4880" s="1">
        <v>-7.1915595840300002</v>
      </c>
      <c r="E4880" s="3">
        <v>1</v>
      </c>
      <c r="F4880" s="2">
        <v>2</v>
      </c>
      <c r="G4880" s="4"/>
      <c r="H4880" s="13">
        <v>1</v>
      </c>
      <c r="I4880" s="34">
        <v>1</v>
      </c>
      <c r="J4880" s="35">
        <v>1</v>
      </c>
      <c r="K4880" s="2" t="s">
        <v>9764</v>
      </c>
      <c r="L4880" s="36" t="str">
        <f t="shared" si="83"/>
        <v>Ver Imagen</v>
      </c>
      <c r="M4880" t="s">
        <v>8005</v>
      </c>
    </row>
    <row r="4881" spans="1:13" x14ac:dyDescent="0.25">
      <c r="A4881" s="33">
        <v>4880</v>
      </c>
      <c r="B4881" t="s">
        <v>9765</v>
      </c>
      <c r="C4881" s="1">
        <v>37.471143828899997</v>
      </c>
      <c r="D4881" s="1">
        <v>-7.1917481635699998</v>
      </c>
      <c r="E4881" s="3">
        <v>1</v>
      </c>
      <c r="F4881" s="2">
        <v>2</v>
      </c>
      <c r="G4881" s="4"/>
      <c r="H4881" s="13">
        <v>2</v>
      </c>
      <c r="I4881" s="34">
        <v>1</v>
      </c>
      <c r="J4881" s="35">
        <v>1.5</v>
      </c>
      <c r="K4881" s="2" t="s">
        <v>9766</v>
      </c>
      <c r="L4881" s="36" t="str">
        <f t="shared" si="83"/>
        <v>Ver Imagen</v>
      </c>
      <c r="M4881" t="s">
        <v>8005</v>
      </c>
    </row>
    <row r="4882" spans="1:13" x14ac:dyDescent="0.25">
      <c r="A4882" s="33">
        <v>4881</v>
      </c>
      <c r="B4882" t="s">
        <v>9767</v>
      </c>
      <c r="C4882" s="1">
        <v>37.471271097500001</v>
      </c>
      <c r="D4882" s="1">
        <v>-7.1919631692700001</v>
      </c>
      <c r="E4882" s="3">
        <v>1</v>
      </c>
      <c r="F4882" s="2">
        <v>3</v>
      </c>
      <c r="G4882" s="4"/>
      <c r="H4882" s="13">
        <v>3</v>
      </c>
      <c r="I4882" s="34">
        <v>2</v>
      </c>
      <c r="J4882" s="35">
        <v>2.5</v>
      </c>
      <c r="K4882" s="2" t="s">
        <v>9768</v>
      </c>
      <c r="L4882" s="36" t="str">
        <f t="shared" si="83"/>
        <v>Ver Imagen</v>
      </c>
      <c r="M4882" t="s">
        <v>8005</v>
      </c>
    </row>
    <row r="4883" spans="1:13" x14ac:dyDescent="0.25">
      <c r="A4883" s="33">
        <v>4882</v>
      </c>
      <c r="B4883" t="s">
        <v>9769</v>
      </c>
      <c r="C4883" s="1">
        <v>37.471419285899998</v>
      </c>
      <c r="D4883" s="1">
        <v>-7.1922131334100001</v>
      </c>
      <c r="E4883" s="3">
        <v>1</v>
      </c>
      <c r="F4883" s="2">
        <v>3</v>
      </c>
      <c r="G4883" s="4"/>
      <c r="H4883" s="13">
        <v>2</v>
      </c>
      <c r="I4883" s="34">
        <v>2</v>
      </c>
      <c r="J4883" s="35">
        <v>2</v>
      </c>
      <c r="K4883" s="2" t="s">
        <v>9770</v>
      </c>
      <c r="L4883" s="36" t="str">
        <f t="shared" si="83"/>
        <v>Ver Imagen</v>
      </c>
      <c r="M4883" t="s">
        <v>8005</v>
      </c>
    </row>
    <row r="4884" spans="1:13" x14ac:dyDescent="0.25">
      <c r="A4884" s="33">
        <v>4883</v>
      </c>
      <c r="B4884" t="s">
        <v>9771</v>
      </c>
      <c r="C4884" s="1">
        <v>37.471518539900003</v>
      </c>
      <c r="D4884" s="1">
        <v>-7.1923804736100001</v>
      </c>
      <c r="E4884" s="3">
        <v>1</v>
      </c>
      <c r="F4884" s="2">
        <v>3</v>
      </c>
      <c r="G4884" s="4"/>
      <c r="H4884" s="13">
        <v>3</v>
      </c>
      <c r="I4884" s="34">
        <v>2</v>
      </c>
      <c r="J4884" s="35">
        <v>2.5</v>
      </c>
      <c r="K4884" s="2" t="s">
        <v>9772</v>
      </c>
      <c r="L4884" s="36" t="str">
        <f t="shared" si="83"/>
        <v>Ver Imagen</v>
      </c>
      <c r="M4884" t="s">
        <v>8005</v>
      </c>
    </row>
    <row r="4885" spans="1:13" x14ac:dyDescent="0.25">
      <c r="A4885" s="33">
        <v>4884</v>
      </c>
      <c r="B4885" t="s">
        <v>9773</v>
      </c>
      <c r="C4885" s="1">
        <v>37.471679360000003</v>
      </c>
      <c r="D4885" s="1">
        <v>-7.1926515899499996</v>
      </c>
      <c r="E4885" s="3">
        <v>1</v>
      </c>
      <c r="F4885" s="2">
        <v>2</v>
      </c>
      <c r="G4885" s="4"/>
      <c r="H4885" s="13">
        <v>2</v>
      </c>
      <c r="I4885" s="34">
        <v>2</v>
      </c>
      <c r="J4885" s="35">
        <v>2</v>
      </c>
      <c r="K4885" s="2" t="s">
        <v>9774</v>
      </c>
      <c r="L4885" s="36" t="str">
        <f t="shared" si="83"/>
        <v>Ver Imagen</v>
      </c>
      <c r="M4885" t="s">
        <v>8005</v>
      </c>
    </row>
    <row r="4886" spans="1:13" x14ac:dyDescent="0.25">
      <c r="A4886" s="33">
        <v>4885</v>
      </c>
      <c r="B4886" t="s">
        <v>9775</v>
      </c>
      <c r="C4886" s="1">
        <v>37.4717770723</v>
      </c>
      <c r="D4886" s="1">
        <v>-7.1928157125299998</v>
      </c>
      <c r="E4886" s="3">
        <v>1</v>
      </c>
      <c r="F4886" s="2">
        <v>3</v>
      </c>
      <c r="G4886" s="4"/>
      <c r="H4886" s="13">
        <v>2</v>
      </c>
      <c r="I4886" s="34">
        <v>1</v>
      </c>
      <c r="J4886" s="35">
        <v>1.5</v>
      </c>
      <c r="K4886" s="2" t="s">
        <v>9776</v>
      </c>
      <c r="L4886" s="36" t="str">
        <f t="shared" si="83"/>
        <v>Ver Imagen</v>
      </c>
      <c r="M4886" t="s">
        <v>8005</v>
      </c>
    </row>
    <row r="4887" spans="1:13" x14ac:dyDescent="0.25">
      <c r="A4887" s="33">
        <v>4886</v>
      </c>
      <c r="B4887" t="s">
        <v>9777</v>
      </c>
      <c r="C4887" s="1">
        <v>37.472131966799999</v>
      </c>
      <c r="D4887" s="1">
        <v>-7.1934097158199997</v>
      </c>
      <c r="E4887" s="3">
        <v>2</v>
      </c>
      <c r="F4887" s="2">
        <v>4</v>
      </c>
      <c r="G4887" s="4"/>
      <c r="H4887" s="13">
        <v>3</v>
      </c>
      <c r="I4887" s="34">
        <v>2</v>
      </c>
      <c r="J4887" s="35">
        <v>2.5</v>
      </c>
      <c r="K4887" s="2" t="s">
        <v>9778</v>
      </c>
      <c r="L4887" s="36" t="str">
        <f t="shared" si="83"/>
        <v>Ver Imagen</v>
      </c>
      <c r="M4887" t="s">
        <v>8005</v>
      </c>
    </row>
    <row r="4888" spans="1:13" x14ac:dyDescent="0.25">
      <c r="A4888" s="33">
        <v>4887</v>
      </c>
      <c r="B4888" t="s">
        <v>9779</v>
      </c>
      <c r="C4888" s="1">
        <v>37.472281985899997</v>
      </c>
      <c r="D4888" s="1">
        <v>-7.1936600374799999</v>
      </c>
      <c r="E4888" s="3">
        <v>2</v>
      </c>
      <c r="F4888" s="2">
        <v>3</v>
      </c>
      <c r="G4888" s="4"/>
      <c r="H4888" s="13">
        <v>3</v>
      </c>
      <c r="I4888" s="34">
        <v>3</v>
      </c>
      <c r="J4888" s="35">
        <v>3</v>
      </c>
      <c r="K4888" s="2" t="s">
        <v>9780</v>
      </c>
      <c r="L4888" s="36" t="str">
        <f t="shared" si="83"/>
        <v>Ver Imagen</v>
      </c>
      <c r="M4888" t="s">
        <v>8005</v>
      </c>
    </row>
    <row r="4889" spans="1:13" x14ac:dyDescent="0.25">
      <c r="A4889" s="33">
        <v>4888</v>
      </c>
      <c r="B4889" t="s">
        <v>9781</v>
      </c>
      <c r="C4889" s="1">
        <v>37.472401614100001</v>
      </c>
      <c r="D4889" s="1">
        <v>-7.1938594473900004</v>
      </c>
      <c r="E4889" s="3">
        <v>2</v>
      </c>
      <c r="F4889" s="2">
        <v>2</v>
      </c>
      <c r="G4889" s="4"/>
      <c r="H4889" s="13">
        <v>2</v>
      </c>
      <c r="I4889" s="34">
        <v>1</v>
      </c>
      <c r="J4889" s="35">
        <v>2</v>
      </c>
      <c r="K4889" s="2" t="s">
        <v>9782</v>
      </c>
      <c r="L4889" s="36" t="str">
        <f t="shared" si="83"/>
        <v>Ver Imagen</v>
      </c>
      <c r="M4889" t="s">
        <v>8005</v>
      </c>
    </row>
    <row r="4890" spans="1:13" x14ac:dyDescent="0.25">
      <c r="A4890" s="33">
        <v>4889</v>
      </c>
      <c r="B4890" t="s">
        <v>9783</v>
      </c>
      <c r="C4890" s="1">
        <v>37.472470057000002</v>
      </c>
      <c r="D4890" s="1">
        <v>-7.1939736935200003</v>
      </c>
      <c r="E4890" s="3">
        <v>1</v>
      </c>
      <c r="F4890" s="2">
        <v>2</v>
      </c>
      <c r="G4890" s="4"/>
      <c r="H4890" s="13">
        <v>2</v>
      </c>
      <c r="I4890" s="34">
        <v>1</v>
      </c>
      <c r="J4890" s="35">
        <v>1.5</v>
      </c>
      <c r="K4890" s="2" t="s">
        <v>9784</v>
      </c>
      <c r="L4890" s="36" t="str">
        <f t="shared" si="83"/>
        <v>Ver Imagen</v>
      </c>
      <c r="M4890" t="s">
        <v>8005</v>
      </c>
    </row>
    <row r="4891" spans="1:13" x14ac:dyDescent="0.25">
      <c r="A4891" s="33">
        <v>4890</v>
      </c>
      <c r="B4891" t="s">
        <v>9785</v>
      </c>
      <c r="C4891" s="1">
        <v>37.472622378499999</v>
      </c>
      <c r="D4891" s="1">
        <v>-7.1942294370999997</v>
      </c>
      <c r="E4891" s="3">
        <v>1</v>
      </c>
      <c r="F4891" s="2">
        <v>2</v>
      </c>
      <c r="G4891" s="4"/>
      <c r="H4891" s="13">
        <v>3</v>
      </c>
      <c r="I4891" s="34">
        <v>2</v>
      </c>
      <c r="J4891" s="35">
        <v>2</v>
      </c>
      <c r="K4891" s="2" t="s">
        <v>9786</v>
      </c>
      <c r="L4891" s="36" t="str">
        <f t="shared" si="83"/>
        <v>Ver Imagen</v>
      </c>
      <c r="M4891" t="s">
        <v>8005</v>
      </c>
    </row>
    <row r="4892" spans="1:13" x14ac:dyDescent="0.25">
      <c r="A4892" s="33">
        <v>4891</v>
      </c>
      <c r="B4892" t="s">
        <v>9787</v>
      </c>
      <c r="C4892" s="1">
        <v>37.472732498900001</v>
      </c>
      <c r="D4892" s="1">
        <v>-7.1944166550300004</v>
      </c>
      <c r="E4892" s="3">
        <v>2</v>
      </c>
      <c r="F4892" s="2">
        <v>3</v>
      </c>
      <c r="G4892" s="4"/>
      <c r="H4892" s="13">
        <v>2</v>
      </c>
      <c r="I4892" s="34">
        <v>1</v>
      </c>
      <c r="J4892" s="35">
        <v>2</v>
      </c>
      <c r="K4892" s="2" t="s">
        <v>9788</v>
      </c>
      <c r="L4892" s="36" t="str">
        <f t="shared" si="83"/>
        <v>Ver Imagen</v>
      </c>
      <c r="M4892" t="s">
        <v>8005</v>
      </c>
    </row>
    <row r="4893" spans="1:13" x14ac:dyDescent="0.25">
      <c r="A4893" s="33">
        <v>4892</v>
      </c>
      <c r="B4893" t="s">
        <v>9789</v>
      </c>
      <c r="C4893" s="1">
        <v>37.472849890900001</v>
      </c>
      <c r="D4893" s="1">
        <v>-7.1946161343700004</v>
      </c>
      <c r="E4893" s="3">
        <v>2</v>
      </c>
      <c r="F4893" s="2">
        <v>3</v>
      </c>
      <c r="G4893" s="4"/>
      <c r="H4893" s="13">
        <v>3</v>
      </c>
      <c r="I4893" s="34">
        <v>2</v>
      </c>
      <c r="J4893" s="35">
        <v>2.5</v>
      </c>
      <c r="K4893" s="2" t="s">
        <v>9790</v>
      </c>
      <c r="L4893" s="36" t="str">
        <f t="shared" si="83"/>
        <v>Ver Imagen</v>
      </c>
      <c r="M4893" t="s">
        <v>8005</v>
      </c>
    </row>
    <row r="4894" spans="1:13" x14ac:dyDescent="0.25">
      <c r="A4894" s="33">
        <v>4893</v>
      </c>
      <c r="B4894" t="s">
        <v>9791</v>
      </c>
      <c r="C4894" s="1">
        <v>37.472955910000003</v>
      </c>
      <c r="D4894" s="1">
        <v>-7.1947934957499999</v>
      </c>
      <c r="E4894" s="3">
        <v>2</v>
      </c>
      <c r="F4894" s="2">
        <v>4</v>
      </c>
      <c r="G4894" s="4"/>
      <c r="H4894" s="13">
        <v>3</v>
      </c>
      <c r="I4894" s="34">
        <v>3</v>
      </c>
      <c r="J4894" s="35">
        <v>3</v>
      </c>
      <c r="K4894" s="2" t="s">
        <v>9792</v>
      </c>
      <c r="L4894" s="36" t="str">
        <f t="shared" si="83"/>
        <v>Ver Imagen</v>
      </c>
      <c r="M4894" t="s">
        <v>8005</v>
      </c>
    </row>
    <row r="4895" spans="1:13" x14ac:dyDescent="0.25">
      <c r="A4895" s="33">
        <v>4894</v>
      </c>
      <c r="B4895" t="s">
        <v>9793</v>
      </c>
      <c r="C4895" s="1">
        <v>37.473109006100003</v>
      </c>
      <c r="D4895" s="1">
        <v>-7.1950482884999998</v>
      </c>
      <c r="E4895" s="3">
        <v>2</v>
      </c>
      <c r="F4895" s="2">
        <v>4</v>
      </c>
      <c r="G4895" s="4"/>
      <c r="H4895" s="13">
        <v>3</v>
      </c>
      <c r="I4895" s="34">
        <v>3</v>
      </c>
      <c r="J4895" s="35">
        <v>3</v>
      </c>
      <c r="K4895" s="2" t="s">
        <v>9794</v>
      </c>
      <c r="L4895" s="36" t="str">
        <f t="shared" ref="L4895:L4926" si="84">HYPERLINK("Solo2\" &amp; K4895, "Ver Imagen")</f>
        <v>Ver Imagen</v>
      </c>
      <c r="M4895" t="s">
        <v>8005</v>
      </c>
    </row>
    <row r="4896" spans="1:13" x14ac:dyDescent="0.25">
      <c r="A4896" s="33">
        <v>4895</v>
      </c>
      <c r="B4896" t="s">
        <v>9795</v>
      </c>
      <c r="C4896" s="1">
        <v>37.4732272834</v>
      </c>
      <c r="D4896" s="1">
        <v>-7.1952467598799998</v>
      </c>
      <c r="E4896" s="3">
        <v>2</v>
      </c>
      <c r="F4896" s="2">
        <v>3</v>
      </c>
      <c r="G4896" s="4"/>
      <c r="H4896" s="13">
        <v>3</v>
      </c>
      <c r="I4896" s="34">
        <v>3</v>
      </c>
      <c r="J4896" s="35">
        <v>3</v>
      </c>
      <c r="K4896" s="2" t="s">
        <v>9796</v>
      </c>
      <c r="L4896" s="36" t="str">
        <f t="shared" si="84"/>
        <v>Ver Imagen</v>
      </c>
      <c r="M4896" t="s">
        <v>8005</v>
      </c>
    </row>
    <row r="4897" spans="1:13" x14ac:dyDescent="0.25">
      <c r="A4897" s="33">
        <v>4896</v>
      </c>
      <c r="B4897" t="s">
        <v>9797</v>
      </c>
      <c r="C4897" s="1">
        <v>37.473326353499999</v>
      </c>
      <c r="D4897" s="1">
        <v>-7.1954132506499997</v>
      </c>
      <c r="E4897" s="3">
        <v>1</v>
      </c>
      <c r="F4897" s="2">
        <v>2</v>
      </c>
      <c r="G4897" s="4"/>
      <c r="H4897" s="13">
        <v>2</v>
      </c>
      <c r="I4897" s="34">
        <v>2</v>
      </c>
      <c r="J4897" s="35">
        <v>2</v>
      </c>
      <c r="K4897" s="2" t="s">
        <v>9798</v>
      </c>
      <c r="L4897" s="36" t="str">
        <f t="shared" si="84"/>
        <v>Ver Imagen</v>
      </c>
      <c r="M4897" t="s">
        <v>8005</v>
      </c>
    </row>
    <row r="4898" spans="1:13" x14ac:dyDescent="0.25">
      <c r="A4898" s="33">
        <v>4897</v>
      </c>
      <c r="B4898" t="s">
        <v>9799</v>
      </c>
      <c r="C4898" s="1">
        <v>37.473462582700002</v>
      </c>
      <c r="D4898" s="1">
        <v>-7.1956410435900002</v>
      </c>
      <c r="E4898" s="3">
        <v>1</v>
      </c>
      <c r="F4898" s="2">
        <v>3</v>
      </c>
      <c r="G4898" s="4"/>
      <c r="H4898" s="13">
        <v>2</v>
      </c>
      <c r="I4898" s="34">
        <v>2</v>
      </c>
      <c r="J4898" s="35">
        <v>2</v>
      </c>
      <c r="K4898" s="2" t="s">
        <v>9800</v>
      </c>
      <c r="L4898" s="36" t="str">
        <f t="shared" si="84"/>
        <v>Ver Imagen</v>
      </c>
      <c r="M4898" t="s">
        <v>8005</v>
      </c>
    </row>
    <row r="4899" spans="1:13" x14ac:dyDescent="0.25">
      <c r="A4899" s="33">
        <v>4898</v>
      </c>
      <c r="B4899" t="s">
        <v>9801</v>
      </c>
      <c r="C4899" s="1">
        <v>37.473602009799997</v>
      </c>
      <c r="D4899" s="1">
        <v>-7.1958724277200004</v>
      </c>
      <c r="E4899" s="3">
        <v>2</v>
      </c>
      <c r="F4899" s="2">
        <v>2</v>
      </c>
      <c r="G4899" s="4"/>
      <c r="H4899" s="13">
        <v>2</v>
      </c>
      <c r="I4899" s="34">
        <v>1</v>
      </c>
      <c r="J4899" s="35">
        <v>2</v>
      </c>
      <c r="K4899" s="2" t="s">
        <v>9802</v>
      </c>
      <c r="L4899" s="36" t="str">
        <f t="shared" si="84"/>
        <v>Ver Imagen</v>
      </c>
      <c r="M4899" t="s">
        <v>8005</v>
      </c>
    </row>
    <row r="4900" spans="1:13" x14ac:dyDescent="0.25">
      <c r="A4900" s="33">
        <v>4899</v>
      </c>
      <c r="B4900" t="s">
        <v>9803</v>
      </c>
      <c r="C4900" s="1">
        <v>37.473682414199999</v>
      </c>
      <c r="D4900" s="1">
        <v>-7.1960053205700003</v>
      </c>
      <c r="E4900" s="3">
        <v>3</v>
      </c>
      <c r="F4900" s="2">
        <v>4</v>
      </c>
      <c r="G4900" s="4"/>
      <c r="H4900" s="13">
        <v>2</v>
      </c>
      <c r="I4900" s="34">
        <v>2</v>
      </c>
      <c r="J4900" s="35">
        <v>2.5</v>
      </c>
      <c r="K4900" s="2" t="s">
        <v>9804</v>
      </c>
      <c r="L4900" s="36" t="str">
        <f t="shared" si="84"/>
        <v>Ver Imagen</v>
      </c>
      <c r="M4900" t="s">
        <v>8005</v>
      </c>
    </row>
    <row r="4901" spans="1:13" x14ac:dyDescent="0.25">
      <c r="A4901" s="33">
        <v>4900</v>
      </c>
      <c r="B4901" t="s">
        <v>9805</v>
      </c>
      <c r="C4901" s="1">
        <v>37.473815066999997</v>
      </c>
      <c r="D4901" s="1">
        <v>-7.1962243046400003</v>
      </c>
      <c r="E4901" s="3">
        <v>2</v>
      </c>
      <c r="F4901" s="2">
        <v>3</v>
      </c>
      <c r="G4901" s="4"/>
      <c r="H4901" s="13">
        <v>3</v>
      </c>
      <c r="I4901" s="34">
        <v>3</v>
      </c>
      <c r="J4901" s="35">
        <v>3</v>
      </c>
      <c r="K4901" s="2" t="s">
        <v>9806</v>
      </c>
      <c r="L4901" s="36" t="str">
        <f t="shared" si="84"/>
        <v>Ver Imagen</v>
      </c>
      <c r="M4901" t="s">
        <v>8005</v>
      </c>
    </row>
    <row r="4902" spans="1:13" x14ac:dyDescent="0.25">
      <c r="A4902" s="33">
        <v>4901</v>
      </c>
      <c r="B4902" t="s">
        <v>9807</v>
      </c>
      <c r="C4902" s="1">
        <v>37.473936827800003</v>
      </c>
      <c r="D4902" s="1">
        <v>-7.1964270983700001</v>
      </c>
      <c r="E4902" s="3">
        <v>2</v>
      </c>
      <c r="F4902" s="2">
        <v>2</v>
      </c>
      <c r="G4902" s="4"/>
      <c r="H4902" s="13">
        <v>2</v>
      </c>
      <c r="I4902" s="34">
        <v>2</v>
      </c>
      <c r="J4902" s="35">
        <v>2</v>
      </c>
      <c r="K4902" s="2" t="s">
        <v>9808</v>
      </c>
      <c r="L4902" s="36" t="str">
        <f t="shared" si="84"/>
        <v>Ver Imagen</v>
      </c>
      <c r="M4902" t="s">
        <v>8005</v>
      </c>
    </row>
    <row r="4903" spans="1:13" x14ac:dyDescent="0.25">
      <c r="A4903" s="33">
        <v>4902</v>
      </c>
      <c r="B4903" t="s">
        <v>9809</v>
      </c>
      <c r="C4903" s="1">
        <v>37.474059290299998</v>
      </c>
      <c r="D4903" s="1">
        <v>-7.1966391300900003</v>
      </c>
      <c r="E4903" s="3">
        <v>1</v>
      </c>
      <c r="F4903" s="2">
        <v>2</v>
      </c>
      <c r="G4903" s="4"/>
      <c r="H4903" s="13">
        <v>3</v>
      </c>
      <c r="I4903" s="34">
        <v>2</v>
      </c>
      <c r="J4903" s="35">
        <v>2</v>
      </c>
      <c r="K4903" s="2" t="s">
        <v>9810</v>
      </c>
      <c r="L4903" s="36" t="str">
        <f t="shared" si="84"/>
        <v>Ver Imagen</v>
      </c>
      <c r="M4903" t="s">
        <v>8005</v>
      </c>
    </row>
    <row r="4904" spans="1:13" x14ac:dyDescent="0.25">
      <c r="A4904" s="33">
        <v>4903</v>
      </c>
      <c r="B4904" t="s">
        <v>9811</v>
      </c>
      <c r="C4904" s="1">
        <v>37.474186609</v>
      </c>
      <c r="D4904" s="1">
        <v>-7.1968843111699998</v>
      </c>
      <c r="E4904" s="3">
        <v>1</v>
      </c>
      <c r="F4904" s="2">
        <v>2</v>
      </c>
      <c r="G4904" s="4"/>
      <c r="H4904" s="13">
        <v>2</v>
      </c>
      <c r="I4904" s="34">
        <v>2</v>
      </c>
      <c r="J4904" s="35">
        <v>2</v>
      </c>
      <c r="K4904" s="2" t="s">
        <v>9812</v>
      </c>
      <c r="L4904" s="36" t="str">
        <f t="shared" si="84"/>
        <v>Ver Imagen</v>
      </c>
      <c r="M4904" t="s">
        <v>8005</v>
      </c>
    </row>
    <row r="4905" spans="1:13" x14ac:dyDescent="0.25">
      <c r="A4905" s="33">
        <v>4904</v>
      </c>
      <c r="B4905" t="s">
        <v>9813</v>
      </c>
      <c r="C4905" s="1">
        <v>37.4742876635</v>
      </c>
      <c r="D4905" s="1">
        <v>-7.1971033586699997</v>
      </c>
      <c r="E4905" s="3">
        <v>1</v>
      </c>
      <c r="F4905" s="2">
        <v>3</v>
      </c>
      <c r="G4905" s="4"/>
      <c r="H4905" s="13">
        <v>2</v>
      </c>
      <c r="I4905" s="34">
        <v>2</v>
      </c>
      <c r="J4905" s="35">
        <v>2</v>
      </c>
      <c r="K4905" s="2" t="s">
        <v>9814</v>
      </c>
      <c r="L4905" s="36" t="str">
        <f t="shared" si="84"/>
        <v>Ver Imagen</v>
      </c>
      <c r="M4905" t="s">
        <v>8005</v>
      </c>
    </row>
    <row r="4906" spans="1:13" x14ac:dyDescent="0.25">
      <c r="A4906" s="33">
        <v>4905</v>
      </c>
      <c r="B4906" t="s">
        <v>9815</v>
      </c>
      <c r="C4906" s="1">
        <v>37.4743751305</v>
      </c>
      <c r="D4906" s="1">
        <v>-7.1973054913099999</v>
      </c>
      <c r="E4906" s="3">
        <v>1</v>
      </c>
      <c r="F4906" s="2">
        <v>2</v>
      </c>
      <c r="G4906" s="4"/>
      <c r="H4906" s="13">
        <v>2</v>
      </c>
      <c r="I4906" s="34">
        <v>2</v>
      </c>
      <c r="J4906" s="35">
        <v>2</v>
      </c>
      <c r="K4906" s="2" t="s">
        <v>9816</v>
      </c>
      <c r="L4906" s="36" t="str">
        <f t="shared" si="84"/>
        <v>Ver Imagen</v>
      </c>
      <c r="M4906" t="s">
        <v>8005</v>
      </c>
    </row>
    <row r="4907" spans="1:13" x14ac:dyDescent="0.25">
      <c r="A4907" s="33">
        <v>4906</v>
      </c>
      <c r="B4907" t="s">
        <v>9817</v>
      </c>
      <c r="C4907" s="1">
        <v>37.474474553100002</v>
      </c>
      <c r="D4907" s="1">
        <v>-7.1975405825400003</v>
      </c>
      <c r="E4907" s="3">
        <v>1</v>
      </c>
      <c r="F4907" s="2">
        <v>3</v>
      </c>
      <c r="G4907" s="4"/>
      <c r="H4907" s="13">
        <v>2</v>
      </c>
      <c r="I4907" s="34">
        <v>2</v>
      </c>
      <c r="J4907" s="35">
        <v>2</v>
      </c>
      <c r="K4907" s="2" t="s">
        <v>9818</v>
      </c>
      <c r="L4907" s="36" t="str">
        <f t="shared" si="84"/>
        <v>Ver Imagen</v>
      </c>
      <c r="M4907" t="s">
        <v>8005</v>
      </c>
    </row>
    <row r="4908" spans="1:13" x14ac:dyDescent="0.25">
      <c r="A4908" s="33">
        <v>4907</v>
      </c>
      <c r="B4908" t="s">
        <v>9819</v>
      </c>
      <c r="C4908" s="1">
        <v>37.474590622299999</v>
      </c>
      <c r="D4908" s="1">
        <v>-7.1978134657800004</v>
      </c>
      <c r="E4908" s="3">
        <v>1</v>
      </c>
      <c r="F4908" s="2">
        <v>2</v>
      </c>
      <c r="G4908" s="4"/>
      <c r="H4908" s="13">
        <v>2</v>
      </c>
      <c r="I4908" s="34">
        <v>2</v>
      </c>
      <c r="J4908" s="35">
        <v>2</v>
      </c>
      <c r="K4908" s="2" t="s">
        <v>9820</v>
      </c>
      <c r="L4908" s="36" t="str">
        <f t="shared" si="84"/>
        <v>Ver Imagen</v>
      </c>
      <c r="M4908" t="s">
        <v>8005</v>
      </c>
    </row>
    <row r="4909" spans="1:13" x14ac:dyDescent="0.25">
      <c r="A4909" s="33">
        <v>4908</v>
      </c>
      <c r="B4909" t="s">
        <v>9821</v>
      </c>
      <c r="C4909" s="1">
        <v>37.4746813008</v>
      </c>
      <c r="D4909" s="1">
        <v>-7.1980251067000003</v>
      </c>
      <c r="E4909" s="3">
        <v>1</v>
      </c>
      <c r="F4909" s="2">
        <v>2</v>
      </c>
      <c r="G4909" s="4"/>
      <c r="H4909" s="13">
        <v>2</v>
      </c>
      <c r="I4909" s="34">
        <v>2</v>
      </c>
      <c r="J4909" s="35">
        <v>2</v>
      </c>
      <c r="K4909" s="2" t="s">
        <v>9822</v>
      </c>
      <c r="L4909" s="36" t="str">
        <f t="shared" si="84"/>
        <v>Ver Imagen</v>
      </c>
      <c r="M4909" t="s">
        <v>8005</v>
      </c>
    </row>
    <row r="4910" spans="1:13" x14ac:dyDescent="0.25">
      <c r="A4910" s="33">
        <v>4909</v>
      </c>
      <c r="B4910" t="s">
        <v>9823</v>
      </c>
      <c r="C4910" s="1">
        <v>37.474757126100002</v>
      </c>
      <c r="D4910" s="1">
        <v>-7.1982002436799997</v>
      </c>
      <c r="E4910" s="3">
        <v>1</v>
      </c>
      <c r="F4910" s="2">
        <v>3</v>
      </c>
      <c r="G4910" s="4"/>
      <c r="H4910" s="13">
        <v>2</v>
      </c>
      <c r="I4910" s="34">
        <v>2</v>
      </c>
      <c r="J4910" s="35">
        <v>2</v>
      </c>
      <c r="K4910" s="2" t="s">
        <v>9824</v>
      </c>
      <c r="L4910" s="36" t="str">
        <f t="shared" si="84"/>
        <v>Ver Imagen</v>
      </c>
      <c r="M4910" t="s">
        <v>8005</v>
      </c>
    </row>
    <row r="4911" spans="1:13" x14ac:dyDescent="0.25">
      <c r="A4911" s="33">
        <v>4910</v>
      </c>
      <c r="B4911" t="s">
        <v>9825</v>
      </c>
      <c r="C4911" s="1">
        <v>37.4748492513</v>
      </c>
      <c r="D4911" s="1">
        <v>-7.1984092537800004</v>
      </c>
      <c r="E4911" s="3">
        <v>1</v>
      </c>
      <c r="F4911" s="2">
        <v>3</v>
      </c>
      <c r="G4911" s="4"/>
      <c r="H4911" s="13">
        <v>2</v>
      </c>
      <c r="I4911" s="34">
        <v>3</v>
      </c>
      <c r="J4911" s="35">
        <v>2.5</v>
      </c>
      <c r="K4911" s="2" t="s">
        <v>9826</v>
      </c>
      <c r="L4911" s="36" t="str">
        <f t="shared" si="84"/>
        <v>Ver Imagen</v>
      </c>
      <c r="M4911" t="s">
        <v>8005</v>
      </c>
    </row>
    <row r="4912" spans="1:13" x14ac:dyDescent="0.25">
      <c r="A4912" s="33">
        <v>4911</v>
      </c>
      <c r="B4912" t="s">
        <v>9827</v>
      </c>
      <c r="C4912" s="1">
        <v>37.474963897199999</v>
      </c>
      <c r="D4912" s="1">
        <v>-7.1986678899500003</v>
      </c>
      <c r="E4912" s="3">
        <v>1</v>
      </c>
      <c r="F4912" s="2">
        <v>2</v>
      </c>
      <c r="G4912" s="4"/>
      <c r="H4912" s="13">
        <v>2</v>
      </c>
      <c r="I4912" s="34">
        <v>2</v>
      </c>
      <c r="J4912" s="35">
        <v>2</v>
      </c>
      <c r="K4912" s="2" t="s">
        <v>9828</v>
      </c>
      <c r="L4912" s="36" t="str">
        <f t="shared" si="84"/>
        <v>Ver Imagen</v>
      </c>
      <c r="M4912" t="s">
        <v>8005</v>
      </c>
    </row>
    <row r="4913" spans="1:13" x14ac:dyDescent="0.25">
      <c r="A4913" s="33">
        <v>4912</v>
      </c>
      <c r="B4913" t="s">
        <v>9829</v>
      </c>
      <c r="C4913" s="1">
        <v>37.475067543500003</v>
      </c>
      <c r="D4913" s="1">
        <v>-7.1989047694300003</v>
      </c>
      <c r="E4913" s="3">
        <v>1</v>
      </c>
      <c r="F4913" s="2">
        <v>2</v>
      </c>
      <c r="G4913" s="4"/>
      <c r="H4913" s="13">
        <v>2</v>
      </c>
      <c r="I4913" s="34">
        <v>2</v>
      </c>
      <c r="J4913" s="35">
        <v>2</v>
      </c>
      <c r="K4913" s="2" t="s">
        <v>9830</v>
      </c>
      <c r="L4913" s="36" t="str">
        <f t="shared" si="84"/>
        <v>Ver Imagen</v>
      </c>
      <c r="M4913" t="s">
        <v>8005</v>
      </c>
    </row>
    <row r="4914" spans="1:13" x14ac:dyDescent="0.25">
      <c r="A4914" s="33">
        <v>4913</v>
      </c>
      <c r="B4914" t="s">
        <v>9831</v>
      </c>
      <c r="C4914" s="1">
        <v>37.4751279424</v>
      </c>
      <c r="D4914" s="1">
        <v>-7.19904321954</v>
      </c>
      <c r="E4914" s="3">
        <v>2</v>
      </c>
      <c r="F4914" s="2">
        <v>3</v>
      </c>
      <c r="G4914" s="4"/>
      <c r="H4914" s="13">
        <v>3</v>
      </c>
      <c r="I4914" s="34">
        <v>3</v>
      </c>
      <c r="J4914" s="35">
        <v>3</v>
      </c>
      <c r="K4914" s="2" t="s">
        <v>9832</v>
      </c>
      <c r="L4914" s="36" t="str">
        <f t="shared" si="84"/>
        <v>Ver Imagen</v>
      </c>
      <c r="M4914" t="s">
        <v>8005</v>
      </c>
    </row>
    <row r="4915" spans="1:13" x14ac:dyDescent="0.25">
      <c r="A4915" s="33">
        <v>4914</v>
      </c>
      <c r="B4915" t="s">
        <v>9833</v>
      </c>
      <c r="C4915" s="1">
        <v>37.475245038300002</v>
      </c>
      <c r="D4915" s="1">
        <v>-7.1993097345899999</v>
      </c>
      <c r="E4915" s="3">
        <v>2</v>
      </c>
      <c r="F4915" s="2">
        <v>3</v>
      </c>
      <c r="G4915" s="4"/>
      <c r="H4915" s="13">
        <v>2</v>
      </c>
      <c r="I4915" s="34">
        <v>2</v>
      </c>
      <c r="J4915" s="35">
        <v>2</v>
      </c>
      <c r="K4915" s="2" t="s">
        <v>9834</v>
      </c>
      <c r="L4915" s="36" t="str">
        <f t="shared" si="84"/>
        <v>Ver Imagen</v>
      </c>
      <c r="M4915" t="s">
        <v>8005</v>
      </c>
    </row>
    <row r="4916" spans="1:13" x14ac:dyDescent="0.25">
      <c r="A4916" s="33">
        <v>4915</v>
      </c>
      <c r="B4916" t="s">
        <v>9835</v>
      </c>
      <c r="C4916" s="1">
        <v>37.475341051400001</v>
      </c>
      <c r="D4916" s="1">
        <v>-7.1995273724700004</v>
      </c>
      <c r="E4916" s="3">
        <v>1</v>
      </c>
      <c r="F4916" s="2">
        <v>1</v>
      </c>
      <c r="G4916" s="4"/>
      <c r="H4916" s="13">
        <v>2</v>
      </c>
      <c r="I4916" s="34">
        <v>2</v>
      </c>
      <c r="J4916" s="35">
        <v>1.5</v>
      </c>
      <c r="K4916" s="2" t="s">
        <v>9836</v>
      </c>
      <c r="L4916" s="36" t="str">
        <f t="shared" si="84"/>
        <v>Ver Imagen</v>
      </c>
      <c r="M4916" t="s">
        <v>8005</v>
      </c>
    </row>
    <row r="4917" spans="1:13" x14ac:dyDescent="0.25">
      <c r="A4917" s="33">
        <v>4916</v>
      </c>
      <c r="B4917" t="s">
        <v>9837</v>
      </c>
      <c r="C4917" s="1">
        <v>37.475465798999998</v>
      </c>
      <c r="D4917" s="1">
        <v>-7.1998132020699996</v>
      </c>
      <c r="E4917" s="3">
        <v>1</v>
      </c>
      <c r="F4917" s="2">
        <v>4</v>
      </c>
      <c r="G4917" s="4"/>
      <c r="H4917" s="13">
        <v>3</v>
      </c>
      <c r="I4917" s="34">
        <v>2</v>
      </c>
      <c r="J4917" s="35">
        <v>2.5</v>
      </c>
      <c r="K4917" s="2" t="s">
        <v>9838</v>
      </c>
      <c r="L4917" s="36" t="str">
        <f t="shared" si="84"/>
        <v>Ver Imagen</v>
      </c>
      <c r="M4917" t="s">
        <v>8005</v>
      </c>
    </row>
    <row r="4918" spans="1:13" x14ac:dyDescent="0.25">
      <c r="A4918" s="33">
        <v>4917</v>
      </c>
      <c r="B4918" t="s">
        <v>9839</v>
      </c>
      <c r="C4918" s="1">
        <v>37.475633336500003</v>
      </c>
      <c r="D4918" s="1">
        <v>-7.2002062167099998</v>
      </c>
      <c r="E4918" s="3">
        <v>2</v>
      </c>
      <c r="F4918" s="2">
        <v>4</v>
      </c>
      <c r="G4918" s="4"/>
      <c r="H4918" s="13">
        <v>3</v>
      </c>
      <c r="I4918" s="34">
        <v>3</v>
      </c>
      <c r="J4918" s="35">
        <v>3</v>
      </c>
      <c r="K4918" s="2" t="s">
        <v>9840</v>
      </c>
      <c r="L4918" s="36" t="str">
        <f t="shared" si="84"/>
        <v>Ver Imagen</v>
      </c>
      <c r="M4918" t="s">
        <v>8005</v>
      </c>
    </row>
    <row r="4919" spans="1:13" x14ac:dyDescent="0.25">
      <c r="A4919" s="33">
        <v>4918</v>
      </c>
      <c r="B4919" t="s">
        <v>9841</v>
      </c>
      <c r="C4919" s="1">
        <v>37.475731765799999</v>
      </c>
      <c r="D4919" s="1">
        <v>-7.2004369858499997</v>
      </c>
      <c r="E4919" s="3">
        <v>2</v>
      </c>
      <c r="F4919" s="2">
        <v>3</v>
      </c>
      <c r="G4919" s="4"/>
      <c r="H4919" s="13">
        <v>3</v>
      </c>
      <c r="I4919" s="34">
        <v>3</v>
      </c>
      <c r="J4919" s="35">
        <v>3</v>
      </c>
      <c r="K4919" s="2" t="s">
        <v>9842</v>
      </c>
      <c r="L4919" s="36" t="str">
        <f t="shared" si="84"/>
        <v>Ver Imagen</v>
      </c>
      <c r="M4919" t="s">
        <v>8005</v>
      </c>
    </row>
    <row r="4920" spans="1:13" x14ac:dyDescent="0.25">
      <c r="A4920" s="33">
        <v>4919</v>
      </c>
      <c r="B4920" t="s">
        <v>9843</v>
      </c>
      <c r="C4920" s="1">
        <v>37.475831348600003</v>
      </c>
      <c r="D4920" s="1">
        <v>-7.2006695098</v>
      </c>
      <c r="E4920" s="3">
        <v>1</v>
      </c>
      <c r="F4920" s="2">
        <v>2</v>
      </c>
      <c r="G4920" s="4"/>
      <c r="H4920" s="13">
        <v>2</v>
      </c>
      <c r="I4920" s="34">
        <v>1</v>
      </c>
      <c r="J4920" s="35">
        <v>1.5</v>
      </c>
      <c r="K4920" s="2" t="s">
        <v>9844</v>
      </c>
      <c r="L4920" s="36" t="str">
        <f t="shared" si="84"/>
        <v>Ver Imagen</v>
      </c>
      <c r="M4920" t="s">
        <v>8005</v>
      </c>
    </row>
    <row r="4921" spans="1:13" x14ac:dyDescent="0.25">
      <c r="A4921" s="33">
        <v>4920</v>
      </c>
      <c r="B4921" t="s">
        <v>9845</v>
      </c>
      <c r="C4921" s="1">
        <v>37.475920133999999</v>
      </c>
      <c r="D4921" s="1">
        <v>-7.2008764871600004</v>
      </c>
      <c r="E4921" s="3">
        <v>1</v>
      </c>
      <c r="F4921" s="2">
        <v>2</v>
      </c>
      <c r="G4921" s="4"/>
      <c r="H4921" s="13">
        <v>2</v>
      </c>
      <c r="I4921" s="34">
        <v>1</v>
      </c>
      <c r="J4921" s="35">
        <v>1.5</v>
      </c>
      <c r="K4921" s="2" t="s">
        <v>9846</v>
      </c>
      <c r="L4921" s="36" t="str">
        <f t="shared" si="84"/>
        <v>Ver Imagen</v>
      </c>
      <c r="M4921" t="s">
        <v>8005</v>
      </c>
    </row>
    <row r="4922" spans="1:13" x14ac:dyDescent="0.25">
      <c r="A4922" s="33">
        <v>4921</v>
      </c>
      <c r="B4922" t="s">
        <v>9847</v>
      </c>
      <c r="C4922" s="1">
        <v>37.476024483800003</v>
      </c>
      <c r="D4922" s="1">
        <v>-7.2011193850000002</v>
      </c>
      <c r="E4922" s="3">
        <v>2</v>
      </c>
      <c r="F4922" s="2">
        <v>3</v>
      </c>
      <c r="G4922" s="4"/>
      <c r="H4922" s="13">
        <v>3</v>
      </c>
      <c r="I4922" s="34">
        <v>3</v>
      </c>
      <c r="J4922" s="35">
        <v>3</v>
      </c>
      <c r="K4922" s="2" t="s">
        <v>9848</v>
      </c>
      <c r="L4922" s="36" t="str">
        <f t="shared" si="84"/>
        <v>Ver Imagen</v>
      </c>
      <c r="M4922" t="s">
        <v>8005</v>
      </c>
    </row>
    <row r="4923" spans="1:13" x14ac:dyDescent="0.25">
      <c r="A4923" s="33">
        <v>4922</v>
      </c>
      <c r="B4923" t="s">
        <v>9849</v>
      </c>
      <c r="C4923" s="1">
        <v>37.476135102900002</v>
      </c>
      <c r="D4923" s="1">
        <v>-7.2013765617000001</v>
      </c>
      <c r="E4923" s="3">
        <v>1</v>
      </c>
      <c r="F4923" s="2">
        <v>3</v>
      </c>
      <c r="G4923" s="4"/>
      <c r="H4923" s="13">
        <v>2</v>
      </c>
      <c r="I4923" s="34">
        <v>2</v>
      </c>
      <c r="J4923" s="35">
        <v>2</v>
      </c>
      <c r="K4923" s="2" t="s">
        <v>9850</v>
      </c>
      <c r="L4923" s="36" t="str">
        <f t="shared" si="84"/>
        <v>Ver Imagen</v>
      </c>
      <c r="M4923" t="s">
        <v>8005</v>
      </c>
    </row>
    <row r="4924" spans="1:13" x14ac:dyDescent="0.25">
      <c r="A4924" s="33">
        <v>4923</v>
      </c>
      <c r="B4924" t="s">
        <v>9851</v>
      </c>
      <c r="C4924" s="1">
        <v>37.476226089999997</v>
      </c>
      <c r="D4924" s="1">
        <v>-7.2015869737699996</v>
      </c>
      <c r="E4924" s="3">
        <v>1</v>
      </c>
      <c r="F4924" s="2">
        <v>2</v>
      </c>
      <c r="G4924" s="4"/>
      <c r="H4924" s="13">
        <v>1</v>
      </c>
      <c r="I4924" s="34">
        <v>1</v>
      </c>
      <c r="J4924" s="35">
        <v>1</v>
      </c>
      <c r="K4924" s="2" t="s">
        <v>9852</v>
      </c>
      <c r="L4924" s="36" t="str">
        <f t="shared" si="84"/>
        <v>Ver Imagen</v>
      </c>
      <c r="M4924" t="s">
        <v>8005</v>
      </c>
    </row>
    <row r="4925" spans="1:13" x14ac:dyDescent="0.25">
      <c r="A4925" s="33">
        <v>4924</v>
      </c>
      <c r="B4925" t="s">
        <v>9853</v>
      </c>
      <c r="C4925" s="1">
        <v>37.476315762799999</v>
      </c>
      <c r="D4925" s="1">
        <v>-7.2017945205</v>
      </c>
      <c r="E4925" s="3">
        <v>1</v>
      </c>
      <c r="F4925" s="2">
        <v>2</v>
      </c>
      <c r="G4925" s="4"/>
      <c r="H4925" s="13">
        <v>2</v>
      </c>
      <c r="I4925" s="34">
        <v>2</v>
      </c>
      <c r="J4925" s="35">
        <v>2</v>
      </c>
      <c r="K4925" s="2" t="s">
        <v>9854</v>
      </c>
      <c r="L4925" s="36" t="str">
        <f t="shared" si="84"/>
        <v>Ver Imagen</v>
      </c>
      <c r="M4925" t="s">
        <v>8005</v>
      </c>
    </row>
    <row r="4926" spans="1:13" x14ac:dyDescent="0.25">
      <c r="A4926" s="33">
        <v>4925</v>
      </c>
      <c r="B4926" t="s">
        <v>9855</v>
      </c>
      <c r="C4926" s="1">
        <v>37.476385745599998</v>
      </c>
      <c r="D4926" s="1">
        <v>-7.2019575572100001</v>
      </c>
      <c r="E4926" s="3">
        <v>1</v>
      </c>
      <c r="F4926" s="2">
        <v>2</v>
      </c>
      <c r="G4926" s="4"/>
      <c r="H4926" s="13">
        <v>2</v>
      </c>
      <c r="I4926" s="34">
        <v>1</v>
      </c>
      <c r="J4926" s="35">
        <v>1.5</v>
      </c>
      <c r="K4926" s="2" t="s">
        <v>9856</v>
      </c>
      <c r="L4926" s="36" t="str">
        <f t="shared" si="84"/>
        <v>Ver Imagen</v>
      </c>
      <c r="M4926" t="s">
        <v>8005</v>
      </c>
    </row>
    <row r="4927" spans="1:13" x14ac:dyDescent="0.25">
      <c r="A4927" s="33">
        <v>4926</v>
      </c>
      <c r="B4927" t="s">
        <v>9857</v>
      </c>
      <c r="C4927" s="1">
        <v>37.476690641899999</v>
      </c>
      <c r="D4927" s="1">
        <v>-7.2026721260000004</v>
      </c>
      <c r="E4927" s="3">
        <v>1</v>
      </c>
      <c r="F4927" s="2">
        <v>2</v>
      </c>
      <c r="G4927" s="4"/>
      <c r="H4927" s="13">
        <v>2</v>
      </c>
      <c r="I4927" s="34">
        <v>1</v>
      </c>
      <c r="J4927" s="35">
        <v>1.5</v>
      </c>
      <c r="K4927" s="2" t="s">
        <v>9858</v>
      </c>
      <c r="L4927" s="36" t="str">
        <f t="shared" ref="L4927:L4958" si="85">HYPERLINK("Solo2\" &amp; K4927, "Ver Imagen")</f>
        <v>Ver Imagen</v>
      </c>
      <c r="M4927" t="s">
        <v>8005</v>
      </c>
    </row>
    <row r="4928" spans="1:13" x14ac:dyDescent="0.25">
      <c r="A4928" s="33">
        <v>4927</v>
      </c>
      <c r="B4928" t="s">
        <v>9859</v>
      </c>
      <c r="C4928" s="1">
        <v>37.479970878000003</v>
      </c>
      <c r="D4928" s="1">
        <v>-7.2102886165599998</v>
      </c>
      <c r="E4928" s="3"/>
      <c r="F4928" s="2">
        <v>3</v>
      </c>
      <c r="G4928" s="4">
        <v>2</v>
      </c>
      <c r="H4928" s="13">
        <v>2</v>
      </c>
      <c r="I4928" s="34">
        <v>2</v>
      </c>
      <c r="J4928" s="35">
        <v>2</v>
      </c>
      <c r="K4928" s="2" t="s">
        <v>9860</v>
      </c>
      <c r="L4928" s="36" t="str">
        <f t="shared" si="85"/>
        <v>Ver Imagen</v>
      </c>
      <c r="M4928" t="s">
        <v>8005</v>
      </c>
    </row>
    <row r="4929" spans="1:13" x14ac:dyDescent="0.25">
      <c r="A4929" s="33">
        <v>4928</v>
      </c>
      <c r="B4929" t="s">
        <v>9861</v>
      </c>
      <c r="C4929" s="1">
        <v>37.480540338700003</v>
      </c>
      <c r="D4929" s="1">
        <v>-7.2116221556899998</v>
      </c>
      <c r="E4929" s="3">
        <v>2</v>
      </c>
      <c r="F4929" s="2">
        <v>3</v>
      </c>
      <c r="G4929" s="4"/>
      <c r="H4929" s="13">
        <v>2</v>
      </c>
      <c r="I4929" s="34">
        <v>2</v>
      </c>
      <c r="J4929" s="35">
        <v>2</v>
      </c>
      <c r="K4929" s="2" t="s">
        <v>9862</v>
      </c>
      <c r="L4929" s="36" t="str">
        <f t="shared" si="85"/>
        <v>Ver Imagen</v>
      </c>
      <c r="M4929" t="s">
        <v>8005</v>
      </c>
    </row>
    <row r="4930" spans="1:13" x14ac:dyDescent="0.25">
      <c r="A4930" s="33">
        <v>4929</v>
      </c>
      <c r="B4930" t="s">
        <v>9863</v>
      </c>
      <c r="C4930" s="1">
        <v>37.490639997700001</v>
      </c>
      <c r="D4930" s="1">
        <v>-7.2529858546100003</v>
      </c>
      <c r="E4930" s="3">
        <v>1</v>
      </c>
      <c r="F4930" s="2">
        <v>3</v>
      </c>
      <c r="G4930" s="4"/>
      <c r="H4930" s="13">
        <v>1</v>
      </c>
      <c r="I4930" s="34">
        <v>1</v>
      </c>
      <c r="J4930" s="35">
        <v>1</v>
      </c>
      <c r="K4930" s="2" t="s">
        <v>9864</v>
      </c>
      <c r="L4930" s="36" t="str">
        <f t="shared" si="85"/>
        <v>Ver Imagen</v>
      </c>
      <c r="M4930" t="s">
        <v>8005</v>
      </c>
    </row>
    <row r="4931" spans="1:13" x14ac:dyDescent="0.25">
      <c r="A4931" s="33">
        <v>4930</v>
      </c>
      <c r="B4931" t="s">
        <v>9865</v>
      </c>
      <c r="C4931" s="1">
        <v>37.493399692300002</v>
      </c>
      <c r="D4931" s="1">
        <v>-7.26416615699</v>
      </c>
      <c r="E4931" s="3"/>
      <c r="F4931" s="2">
        <v>2</v>
      </c>
      <c r="G4931" s="4">
        <v>3</v>
      </c>
      <c r="H4931" s="13">
        <v>1</v>
      </c>
      <c r="I4931" s="34">
        <v>1</v>
      </c>
      <c r="J4931" s="35">
        <v>1.5</v>
      </c>
      <c r="K4931" s="2" t="s">
        <v>9866</v>
      </c>
      <c r="L4931" s="36" t="str">
        <f t="shared" si="85"/>
        <v>Ver Imagen</v>
      </c>
      <c r="M4931" t="s">
        <v>8005</v>
      </c>
    </row>
    <row r="4932" spans="1:13" x14ac:dyDescent="0.25">
      <c r="A4932" s="33">
        <v>4931</v>
      </c>
      <c r="B4932" t="s">
        <v>9867</v>
      </c>
      <c r="C4932" s="1">
        <v>37.2722776966</v>
      </c>
      <c r="D4932" s="1">
        <v>-6.9908782624399999</v>
      </c>
      <c r="E4932" s="3"/>
      <c r="F4932" s="2">
        <v>4</v>
      </c>
      <c r="G4932" s="4">
        <v>5</v>
      </c>
      <c r="H4932" s="13">
        <v>4</v>
      </c>
      <c r="I4932" s="34">
        <v>5</v>
      </c>
      <c r="J4932" s="35">
        <v>4.5</v>
      </c>
      <c r="K4932" s="2" t="s">
        <v>9868</v>
      </c>
      <c r="L4932" s="36" t="str">
        <f t="shared" si="85"/>
        <v>Ver Imagen</v>
      </c>
      <c r="M4932" t="s">
        <v>8005</v>
      </c>
    </row>
    <row r="4933" spans="1:13" x14ac:dyDescent="0.25">
      <c r="A4933" s="33">
        <v>4932</v>
      </c>
      <c r="B4933" t="s">
        <v>9869</v>
      </c>
      <c r="C4933" s="1">
        <v>37.277067693799999</v>
      </c>
      <c r="D4933" s="1">
        <v>-6.9918169920100004</v>
      </c>
      <c r="E4933" s="3"/>
      <c r="F4933" s="2">
        <v>4</v>
      </c>
      <c r="G4933" s="4">
        <v>4</v>
      </c>
      <c r="H4933" s="13">
        <v>3</v>
      </c>
      <c r="I4933" s="34">
        <v>4</v>
      </c>
      <c r="J4933" s="35">
        <v>4</v>
      </c>
      <c r="K4933" s="2" t="s">
        <v>9870</v>
      </c>
      <c r="L4933" s="36" t="str">
        <f t="shared" si="85"/>
        <v>Ver Imagen</v>
      </c>
      <c r="M4933" t="s">
        <v>8005</v>
      </c>
    </row>
    <row r="4934" spans="1:13" x14ac:dyDescent="0.25">
      <c r="A4934" s="33">
        <v>4933</v>
      </c>
      <c r="B4934" t="s">
        <v>9871</v>
      </c>
      <c r="C4934" s="1">
        <v>37.279050150300002</v>
      </c>
      <c r="D4934" s="1">
        <v>-6.9946460693899999</v>
      </c>
      <c r="E4934" s="3">
        <v>2</v>
      </c>
      <c r="F4934" s="2"/>
      <c r="G4934" s="4"/>
      <c r="H4934" s="13">
        <v>3</v>
      </c>
      <c r="I4934" s="34">
        <v>3</v>
      </c>
      <c r="J4934" s="35">
        <v>3</v>
      </c>
      <c r="K4934" s="2" t="s">
        <v>9872</v>
      </c>
      <c r="L4934" s="36" t="str">
        <f t="shared" si="85"/>
        <v>Ver Imagen</v>
      </c>
      <c r="M4934" t="s">
        <v>8005</v>
      </c>
    </row>
    <row r="4935" spans="1:13" x14ac:dyDescent="0.25">
      <c r="A4935" s="33">
        <v>4934</v>
      </c>
      <c r="B4935" t="s">
        <v>9873</v>
      </c>
      <c r="C4935" s="1">
        <v>37.279852294999998</v>
      </c>
      <c r="D4935" s="1">
        <v>-6.9982803019000004</v>
      </c>
      <c r="E4935" s="3">
        <v>3</v>
      </c>
      <c r="F4935" s="2">
        <v>4</v>
      </c>
      <c r="G4935" s="4"/>
      <c r="H4935" s="13">
        <v>4</v>
      </c>
      <c r="I4935" s="34">
        <v>5</v>
      </c>
      <c r="J4935" s="35">
        <v>4</v>
      </c>
      <c r="K4935" s="2" t="s">
        <v>9874</v>
      </c>
      <c r="L4935" s="36" t="str">
        <f t="shared" si="85"/>
        <v>Ver Imagen</v>
      </c>
      <c r="M4935" t="s">
        <v>8005</v>
      </c>
    </row>
    <row r="4936" spans="1:13" x14ac:dyDescent="0.25">
      <c r="A4936" s="33">
        <v>4935</v>
      </c>
      <c r="B4936" t="s">
        <v>9875</v>
      </c>
      <c r="C4936" s="1">
        <v>37.2804967529</v>
      </c>
      <c r="D4936" s="1">
        <v>-7.0010482022999998</v>
      </c>
      <c r="E4936" s="3">
        <v>3</v>
      </c>
      <c r="F4936" s="2">
        <v>3</v>
      </c>
      <c r="G4936" s="4"/>
      <c r="H4936" s="13">
        <v>3</v>
      </c>
      <c r="I4936" s="34">
        <v>3</v>
      </c>
      <c r="J4936" s="35">
        <v>3</v>
      </c>
      <c r="K4936" s="2" t="s">
        <v>9876</v>
      </c>
      <c r="L4936" s="36" t="str">
        <f t="shared" si="85"/>
        <v>Ver Imagen</v>
      </c>
      <c r="M4936" t="s">
        <v>8005</v>
      </c>
    </row>
    <row r="4937" spans="1:13" x14ac:dyDescent="0.25">
      <c r="A4937" s="33">
        <v>4936</v>
      </c>
      <c r="B4937" t="s">
        <v>9877</v>
      </c>
      <c r="C4937" s="1">
        <v>37.2755487871</v>
      </c>
      <c r="D4937" s="1">
        <v>-7.0182715851399999</v>
      </c>
      <c r="E4937" s="3">
        <v>1</v>
      </c>
      <c r="F4937" s="2">
        <v>2</v>
      </c>
      <c r="G4937" s="4"/>
      <c r="H4937" s="13">
        <v>3</v>
      </c>
      <c r="I4937" s="34">
        <v>3</v>
      </c>
      <c r="J4937" s="35">
        <v>2.5</v>
      </c>
      <c r="K4937" s="2" t="s">
        <v>9878</v>
      </c>
      <c r="L4937" s="36" t="str">
        <f t="shared" si="85"/>
        <v>Ver Imagen</v>
      </c>
      <c r="M4937" t="s">
        <v>8005</v>
      </c>
    </row>
    <row r="4938" spans="1:13" x14ac:dyDescent="0.25">
      <c r="A4938" s="33">
        <v>4937</v>
      </c>
      <c r="B4938" t="s">
        <v>9879</v>
      </c>
      <c r="C4938" s="1">
        <v>37.279341158000001</v>
      </c>
      <c r="D4938" s="1">
        <v>-7.0307469708500001</v>
      </c>
      <c r="E4938" s="3"/>
      <c r="F4938" s="2">
        <v>3</v>
      </c>
      <c r="G4938" s="4">
        <v>3</v>
      </c>
      <c r="H4938" s="13">
        <v>2</v>
      </c>
      <c r="I4938" s="34">
        <v>1</v>
      </c>
      <c r="J4938" s="37">
        <v>2</v>
      </c>
      <c r="K4938" s="2" t="s">
        <v>9880</v>
      </c>
      <c r="L4938" s="36" t="str">
        <f t="shared" si="85"/>
        <v>Ver Imagen</v>
      </c>
      <c r="M4938" s="37" t="s">
        <v>8052</v>
      </c>
    </row>
    <row r="4939" spans="1:13" x14ac:dyDescent="0.25">
      <c r="A4939" s="33">
        <v>4938</v>
      </c>
      <c r="B4939" t="s">
        <v>9881</v>
      </c>
      <c r="C4939" s="1">
        <v>37.284468761900001</v>
      </c>
      <c r="D4939" s="1">
        <v>-7.0385823216899999</v>
      </c>
      <c r="E4939" s="3">
        <v>1</v>
      </c>
      <c r="F4939" s="2">
        <v>1</v>
      </c>
      <c r="G4939" s="4"/>
      <c r="H4939" s="13">
        <v>1</v>
      </c>
      <c r="I4939" s="34">
        <v>1</v>
      </c>
      <c r="J4939" s="35">
        <v>1</v>
      </c>
      <c r="K4939" s="2" t="s">
        <v>9882</v>
      </c>
      <c r="L4939" s="36" t="str">
        <f t="shared" si="85"/>
        <v>Ver Imagen</v>
      </c>
      <c r="M4939" t="s">
        <v>8005</v>
      </c>
    </row>
    <row r="4940" spans="1:13" x14ac:dyDescent="0.25">
      <c r="A4940" s="33">
        <v>4939</v>
      </c>
      <c r="B4940" t="s">
        <v>9883</v>
      </c>
      <c r="C4940" s="1">
        <v>37.293418712799998</v>
      </c>
      <c r="D4940" s="1">
        <v>-7.04649551285</v>
      </c>
      <c r="E4940" s="3">
        <v>1</v>
      </c>
      <c r="F4940" s="2">
        <v>2</v>
      </c>
      <c r="G4940" s="4"/>
      <c r="H4940" s="13">
        <v>2</v>
      </c>
      <c r="I4940" s="34">
        <v>1</v>
      </c>
      <c r="J4940" s="35">
        <v>1.5</v>
      </c>
      <c r="K4940" s="2" t="s">
        <v>9884</v>
      </c>
      <c r="L4940" s="36" t="str">
        <f t="shared" si="85"/>
        <v>Ver Imagen</v>
      </c>
      <c r="M4940" t="s">
        <v>8005</v>
      </c>
    </row>
    <row r="4941" spans="1:13" x14ac:dyDescent="0.25">
      <c r="A4941" s="33">
        <v>4940</v>
      </c>
      <c r="B4941" t="s">
        <v>9885</v>
      </c>
      <c r="C4941" s="1">
        <v>37.302069272399997</v>
      </c>
      <c r="D4941" s="1">
        <v>-7.0564792323200001</v>
      </c>
      <c r="E4941" s="3"/>
      <c r="F4941" s="2">
        <v>1</v>
      </c>
      <c r="G4941" s="4">
        <v>1</v>
      </c>
      <c r="H4941" s="13">
        <v>1</v>
      </c>
      <c r="I4941" s="34">
        <v>1</v>
      </c>
      <c r="J4941" s="35">
        <v>1</v>
      </c>
      <c r="K4941" s="2" t="s">
        <v>9886</v>
      </c>
      <c r="L4941" s="36" t="str">
        <f t="shared" si="85"/>
        <v>Ver Imagen</v>
      </c>
      <c r="M4941" t="s">
        <v>8005</v>
      </c>
    </row>
    <row r="4942" spans="1:13" x14ac:dyDescent="0.25">
      <c r="A4942" s="33">
        <v>4941</v>
      </c>
      <c r="B4942" t="s">
        <v>9887</v>
      </c>
      <c r="C4942" s="1">
        <v>37.308498126499998</v>
      </c>
      <c r="D4942" s="1">
        <v>-7.0572720040299997</v>
      </c>
      <c r="E4942" s="3">
        <v>3</v>
      </c>
      <c r="F4942" s="2">
        <v>2</v>
      </c>
      <c r="G4942" s="4"/>
      <c r="H4942" s="13">
        <v>2</v>
      </c>
      <c r="I4942" s="34">
        <v>1</v>
      </c>
      <c r="J4942" s="35">
        <v>2</v>
      </c>
      <c r="K4942" s="2" t="s">
        <v>9888</v>
      </c>
      <c r="L4942" s="36" t="str">
        <f t="shared" si="85"/>
        <v>Ver Imagen</v>
      </c>
      <c r="M4942" t="s">
        <v>8005</v>
      </c>
    </row>
    <row r="4943" spans="1:13" x14ac:dyDescent="0.25">
      <c r="A4943" s="33">
        <v>4942</v>
      </c>
      <c r="B4943" t="s">
        <v>9889</v>
      </c>
      <c r="C4943" s="1">
        <v>37.316631858299999</v>
      </c>
      <c r="D4943" s="1">
        <v>-7.0702194014700002</v>
      </c>
      <c r="E4943" s="3">
        <v>3</v>
      </c>
      <c r="F4943" s="2">
        <v>3</v>
      </c>
      <c r="G4943" s="4"/>
      <c r="H4943" s="13">
        <v>3</v>
      </c>
      <c r="I4943" s="34">
        <v>4</v>
      </c>
      <c r="J4943" s="35">
        <v>3</v>
      </c>
      <c r="K4943" s="2" t="s">
        <v>9890</v>
      </c>
      <c r="L4943" s="36" t="str">
        <f t="shared" si="85"/>
        <v>Ver Imagen</v>
      </c>
      <c r="M4943" t="s">
        <v>8005</v>
      </c>
    </row>
    <row r="4944" spans="1:13" x14ac:dyDescent="0.25">
      <c r="A4944" s="33">
        <v>4943</v>
      </c>
      <c r="B4944" t="s">
        <v>9891</v>
      </c>
      <c r="C4944" s="1">
        <v>37.465349991099998</v>
      </c>
      <c r="D4944" s="1">
        <v>-7.1222822920300004</v>
      </c>
      <c r="E4944" s="3">
        <v>3</v>
      </c>
      <c r="F4944" s="2">
        <v>2</v>
      </c>
      <c r="G4944" s="4"/>
      <c r="H4944" s="13">
        <v>1</v>
      </c>
      <c r="I4944" s="34">
        <v>2</v>
      </c>
      <c r="J4944" s="35">
        <v>2</v>
      </c>
      <c r="K4944" s="2" t="s">
        <v>9892</v>
      </c>
      <c r="L4944" s="36" t="str">
        <f t="shared" si="85"/>
        <v>Ver Imagen</v>
      </c>
      <c r="M4944" t="s">
        <v>8005</v>
      </c>
    </row>
    <row r="4945" spans="1:14" x14ac:dyDescent="0.25">
      <c r="A4945" s="33">
        <v>4944</v>
      </c>
      <c r="B4945" t="s">
        <v>9893</v>
      </c>
      <c r="C4945" s="1">
        <v>37.465297101499999</v>
      </c>
      <c r="D4945" s="1">
        <v>-7.1220079679300001</v>
      </c>
      <c r="E4945" s="3">
        <v>3</v>
      </c>
      <c r="F4945" s="2">
        <v>2</v>
      </c>
      <c r="G4945" s="4"/>
      <c r="H4945" s="13">
        <v>1</v>
      </c>
      <c r="I4945" s="34">
        <v>2</v>
      </c>
      <c r="J4945" s="35">
        <v>2</v>
      </c>
      <c r="K4945" s="2" t="s">
        <v>9894</v>
      </c>
      <c r="L4945" s="36" t="str">
        <f t="shared" si="85"/>
        <v>Ver Imagen</v>
      </c>
      <c r="M4945" t="s">
        <v>8005</v>
      </c>
    </row>
    <row r="4946" spans="1:14" x14ac:dyDescent="0.25">
      <c r="A4946" s="33">
        <v>4945</v>
      </c>
      <c r="B4946" t="s">
        <v>9895</v>
      </c>
      <c r="C4946" s="1">
        <v>37.465137242499999</v>
      </c>
      <c r="D4946" s="1">
        <v>-7.1215344742899997</v>
      </c>
      <c r="E4946" s="3">
        <v>2</v>
      </c>
      <c r="F4946" s="2">
        <v>1</v>
      </c>
      <c r="G4946" s="4"/>
      <c r="H4946" s="13">
        <v>1</v>
      </c>
      <c r="I4946" s="34">
        <v>1</v>
      </c>
      <c r="J4946" s="35">
        <v>1</v>
      </c>
      <c r="K4946" s="2" t="s">
        <v>9896</v>
      </c>
      <c r="L4946" s="36" t="str">
        <f t="shared" si="85"/>
        <v>Ver Imagen</v>
      </c>
      <c r="M4946" t="s">
        <v>8005</v>
      </c>
    </row>
    <row r="4947" spans="1:14" x14ac:dyDescent="0.25">
      <c r="A4947" s="39">
        <v>4946</v>
      </c>
      <c r="B4947" s="16" t="s">
        <v>10010</v>
      </c>
      <c r="C4947" s="16">
        <v>37.446767704099997</v>
      </c>
      <c r="D4947" s="16">
        <v>-7.1061831527599999</v>
      </c>
      <c r="E4947" s="16">
        <v>3</v>
      </c>
      <c r="F4947" s="16">
        <v>5</v>
      </c>
      <c r="G4947" s="16"/>
      <c r="H4947" s="16">
        <v>5</v>
      </c>
      <c r="I4947" s="40">
        <v>3</v>
      </c>
      <c r="J4947" s="38">
        <v>4</v>
      </c>
      <c r="K4947" s="16" t="s">
        <v>10011</v>
      </c>
      <c r="L4947" s="41" t="str">
        <f t="shared" si="85"/>
        <v>Ver Imagen</v>
      </c>
      <c r="M4947" s="16" t="s">
        <v>10006</v>
      </c>
      <c r="N4947" s="16"/>
    </row>
    <row r="4948" spans="1:14" x14ac:dyDescent="0.25">
      <c r="A4948" s="33">
        <v>4947</v>
      </c>
      <c r="B4948" t="s">
        <v>9897</v>
      </c>
      <c r="C4948">
        <v>37.2673502974</v>
      </c>
      <c r="D4948">
        <v>-6.9576838411999997</v>
      </c>
      <c r="E4948" s="3">
        <v>2</v>
      </c>
      <c r="F4948" s="2"/>
      <c r="G4948" s="4"/>
      <c r="H4948" s="13">
        <v>2</v>
      </c>
      <c r="I4948" s="34">
        <v>2</v>
      </c>
      <c r="J4948" s="35">
        <v>2</v>
      </c>
      <c r="K4948" s="3" t="s">
        <v>9898</v>
      </c>
      <c r="L4948" s="36" t="str">
        <f t="shared" si="85"/>
        <v>Ver Imagen</v>
      </c>
      <c r="M4948" t="s">
        <v>8005</v>
      </c>
    </row>
    <row r="4949" spans="1:14" x14ac:dyDescent="0.25">
      <c r="A4949" s="33">
        <v>4948</v>
      </c>
      <c r="B4949" t="s">
        <v>9899</v>
      </c>
      <c r="C4949" s="1">
        <v>37.194521220600002</v>
      </c>
      <c r="D4949" s="1">
        <v>-6.9989673438100004</v>
      </c>
      <c r="E4949" s="3">
        <v>2</v>
      </c>
      <c r="F4949" s="2">
        <v>2</v>
      </c>
      <c r="G4949" s="4"/>
      <c r="H4949" s="13">
        <v>2</v>
      </c>
      <c r="I4949" s="34">
        <v>1</v>
      </c>
      <c r="J4949" s="35">
        <v>2</v>
      </c>
      <c r="K4949" s="2" t="s">
        <v>9900</v>
      </c>
      <c r="L4949" s="36" t="str">
        <f t="shared" si="85"/>
        <v>Ver Imagen</v>
      </c>
      <c r="M4949" t="s">
        <v>8005</v>
      </c>
    </row>
    <row r="4950" spans="1:14" x14ac:dyDescent="0.25">
      <c r="A4950" s="33">
        <v>4949</v>
      </c>
      <c r="B4950" t="s">
        <v>9901</v>
      </c>
      <c r="C4950" s="1">
        <v>37.217867857800002</v>
      </c>
      <c r="D4950" s="1">
        <v>-7.1167477464899997</v>
      </c>
      <c r="E4950" s="3"/>
      <c r="F4950" s="2">
        <v>2</v>
      </c>
      <c r="G4950" s="4">
        <v>2</v>
      </c>
      <c r="H4950" s="13">
        <v>1</v>
      </c>
      <c r="I4950" s="34">
        <v>2</v>
      </c>
      <c r="J4950" s="37">
        <v>1</v>
      </c>
      <c r="K4950" s="2" t="s">
        <v>9902</v>
      </c>
      <c r="L4950" s="36" t="str">
        <f t="shared" si="85"/>
        <v>Ver Imagen</v>
      </c>
      <c r="M4950" s="37" t="s">
        <v>8052</v>
      </c>
    </row>
    <row r="4951" spans="1:14" x14ac:dyDescent="0.25">
      <c r="A4951" s="33">
        <v>4950</v>
      </c>
      <c r="B4951" t="s">
        <v>9903</v>
      </c>
      <c r="C4951" s="1">
        <v>37.217238311999999</v>
      </c>
      <c r="D4951" s="1">
        <v>-7.1065063283300001</v>
      </c>
      <c r="E4951" s="3"/>
      <c r="F4951" s="2">
        <v>2</v>
      </c>
      <c r="G4951" s="4">
        <v>2</v>
      </c>
      <c r="H4951" s="13">
        <v>1</v>
      </c>
      <c r="I4951" s="34">
        <v>1</v>
      </c>
      <c r="J4951" s="37">
        <v>1</v>
      </c>
      <c r="K4951" s="2" t="s">
        <v>9904</v>
      </c>
      <c r="L4951" s="36" t="str">
        <f t="shared" si="85"/>
        <v>Ver Imagen</v>
      </c>
      <c r="M4951" s="37" t="s">
        <v>8052</v>
      </c>
    </row>
    <row r="4952" spans="1:14" x14ac:dyDescent="0.25">
      <c r="A4952" s="33">
        <v>4951</v>
      </c>
      <c r="B4952" t="s">
        <v>9905</v>
      </c>
      <c r="C4952" s="1">
        <v>37.211695234099999</v>
      </c>
      <c r="D4952" s="1">
        <v>-7.0474461350700004</v>
      </c>
      <c r="E4952" s="3"/>
      <c r="F4952" s="2">
        <v>2</v>
      </c>
      <c r="G4952" s="4">
        <v>2</v>
      </c>
      <c r="H4952" s="13">
        <v>1</v>
      </c>
      <c r="I4952" s="34">
        <v>1</v>
      </c>
      <c r="J4952" s="37">
        <v>1</v>
      </c>
      <c r="K4952" s="2" t="s">
        <v>9906</v>
      </c>
      <c r="L4952" s="36" t="str">
        <f t="shared" si="85"/>
        <v>Ver Imagen</v>
      </c>
      <c r="M4952" s="37" t="s">
        <v>8052</v>
      </c>
    </row>
    <row r="4953" spans="1:14" x14ac:dyDescent="0.25">
      <c r="A4953" s="33">
        <v>4952</v>
      </c>
      <c r="B4953" t="s">
        <v>9907</v>
      </c>
      <c r="C4953" s="1">
        <v>37.211472704800002</v>
      </c>
      <c r="D4953" s="1">
        <v>-7.04624208205</v>
      </c>
      <c r="E4953" s="3"/>
      <c r="F4953" s="2">
        <v>3</v>
      </c>
      <c r="G4953" s="4">
        <v>2</v>
      </c>
      <c r="H4953" s="13">
        <v>2</v>
      </c>
      <c r="I4953" s="34">
        <v>2</v>
      </c>
      <c r="J4953" s="35">
        <v>2</v>
      </c>
      <c r="K4953" s="2" t="s">
        <v>9908</v>
      </c>
      <c r="L4953" s="36" t="str">
        <f t="shared" si="85"/>
        <v>Ver Imagen</v>
      </c>
      <c r="M4953" t="s">
        <v>8005</v>
      </c>
    </row>
    <row r="4954" spans="1:14" x14ac:dyDescent="0.25">
      <c r="A4954" s="33">
        <v>4953</v>
      </c>
      <c r="B4954" t="s">
        <v>9909</v>
      </c>
      <c r="C4954" s="1">
        <v>37.211334171399997</v>
      </c>
      <c r="D4954" s="1">
        <v>-7.0455115860599999</v>
      </c>
      <c r="E4954" s="3"/>
      <c r="F4954" s="2">
        <v>3</v>
      </c>
      <c r="G4954" s="4">
        <v>2</v>
      </c>
      <c r="H4954" s="13">
        <v>2</v>
      </c>
      <c r="I4954" s="34">
        <v>2</v>
      </c>
      <c r="J4954" s="35">
        <v>2</v>
      </c>
      <c r="K4954" s="2" t="s">
        <v>9910</v>
      </c>
      <c r="L4954" s="36" t="str">
        <f t="shared" si="85"/>
        <v>Ver Imagen</v>
      </c>
      <c r="M4954" t="s">
        <v>8005</v>
      </c>
    </row>
    <row r="4955" spans="1:14" x14ac:dyDescent="0.25">
      <c r="A4955" s="33">
        <v>4954</v>
      </c>
      <c r="B4955" t="s">
        <v>9911</v>
      </c>
      <c r="C4955" s="1">
        <v>37.211210597300003</v>
      </c>
      <c r="D4955" s="1">
        <v>-7.0450325819300001</v>
      </c>
      <c r="E4955" s="3"/>
      <c r="F4955" s="2">
        <v>3</v>
      </c>
      <c r="G4955" s="4">
        <v>5</v>
      </c>
      <c r="H4955" s="13">
        <v>3</v>
      </c>
      <c r="I4955" s="34">
        <v>3</v>
      </c>
      <c r="J4955" s="35">
        <v>3</v>
      </c>
      <c r="K4955" s="2" t="s">
        <v>9912</v>
      </c>
      <c r="L4955" s="36" t="str">
        <f t="shared" si="85"/>
        <v>Ver Imagen</v>
      </c>
      <c r="M4955" t="s">
        <v>8005</v>
      </c>
    </row>
    <row r="4956" spans="1:14" x14ac:dyDescent="0.25">
      <c r="A4956" s="33">
        <v>4955</v>
      </c>
      <c r="B4956" t="s">
        <v>9913</v>
      </c>
      <c r="C4956" s="1">
        <v>37.210954336900002</v>
      </c>
      <c r="D4956" s="1">
        <v>-7.0443065323700003</v>
      </c>
      <c r="E4956" s="3"/>
      <c r="F4956" s="2">
        <v>3</v>
      </c>
      <c r="G4956" s="4">
        <v>3</v>
      </c>
      <c r="H4956" s="13">
        <v>3</v>
      </c>
      <c r="I4956" s="34">
        <v>4</v>
      </c>
      <c r="J4956" s="35">
        <v>3</v>
      </c>
      <c r="K4956" s="2" t="s">
        <v>9914</v>
      </c>
      <c r="L4956" s="36" t="str">
        <f t="shared" si="85"/>
        <v>Ver Imagen</v>
      </c>
      <c r="M4956" t="s">
        <v>8005</v>
      </c>
    </row>
    <row r="4957" spans="1:14" x14ac:dyDescent="0.25">
      <c r="A4957" s="33">
        <v>4956</v>
      </c>
      <c r="B4957" t="s">
        <v>9915</v>
      </c>
      <c r="C4957" s="1">
        <v>37.210879001800002</v>
      </c>
      <c r="D4957" s="1">
        <v>-7.0441026864899996</v>
      </c>
      <c r="E4957" s="3"/>
      <c r="F4957" s="2">
        <v>2</v>
      </c>
      <c r="G4957" s="4">
        <v>3</v>
      </c>
      <c r="H4957" s="13">
        <v>2</v>
      </c>
      <c r="I4957" s="34">
        <v>1</v>
      </c>
      <c r="J4957" s="35">
        <v>2</v>
      </c>
      <c r="K4957" s="2" t="s">
        <v>9916</v>
      </c>
      <c r="L4957" s="36" t="str">
        <f t="shared" si="85"/>
        <v>Ver Imagen</v>
      </c>
      <c r="M4957" t="s">
        <v>8005</v>
      </c>
    </row>
    <row r="4958" spans="1:14" x14ac:dyDescent="0.25">
      <c r="A4958" s="33">
        <v>4957</v>
      </c>
      <c r="B4958" t="s">
        <v>9917</v>
      </c>
      <c r="C4958" s="1">
        <v>37.2006641372</v>
      </c>
      <c r="D4958" s="1">
        <v>-7.0174261961299997</v>
      </c>
      <c r="E4958" s="3"/>
      <c r="F4958" s="2">
        <v>2</v>
      </c>
      <c r="G4958" s="4">
        <v>2</v>
      </c>
      <c r="H4958" s="13">
        <v>2</v>
      </c>
      <c r="I4958" s="34">
        <v>1</v>
      </c>
      <c r="J4958" s="35">
        <v>2</v>
      </c>
      <c r="K4958" s="2" t="s">
        <v>9918</v>
      </c>
      <c r="L4958" s="36" t="str">
        <f t="shared" si="85"/>
        <v>Ver Imagen</v>
      </c>
      <c r="M4958" t="s">
        <v>8005</v>
      </c>
    </row>
    <row r="4959" spans="1:14" x14ac:dyDescent="0.25">
      <c r="A4959" s="33">
        <v>4958</v>
      </c>
      <c r="B4959" t="s">
        <v>9919</v>
      </c>
      <c r="C4959" s="1">
        <v>37.200047416499999</v>
      </c>
      <c r="D4959" s="1">
        <v>-7.01581934821</v>
      </c>
      <c r="E4959" s="3"/>
      <c r="F4959" s="2">
        <v>2</v>
      </c>
      <c r="G4959" s="4">
        <v>2</v>
      </c>
      <c r="H4959" s="13">
        <v>2</v>
      </c>
      <c r="I4959" s="34">
        <v>1</v>
      </c>
      <c r="J4959" s="35">
        <v>2</v>
      </c>
      <c r="K4959" s="2" t="s">
        <v>9920</v>
      </c>
      <c r="L4959" s="36" t="str">
        <f t="shared" ref="L4959:L4990" si="86">HYPERLINK("Solo2\" &amp; K4959, "Ver Imagen")</f>
        <v>Ver Imagen</v>
      </c>
      <c r="M4959" t="s">
        <v>8005</v>
      </c>
    </row>
    <row r="4960" spans="1:14" x14ac:dyDescent="0.25">
      <c r="A4960" s="33">
        <v>4959</v>
      </c>
      <c r="B4960" t="s">
        <v>9921</v>
      </c>
      <c r="C4960" s="1">
        <v>37.196731131500002</v>
      </c>
      <c r="D4960" s="1">
        <v>-7.0048245790900001</v>
      </c>
      <c r="E4960" s="3">
        <v>2</v>
      </c>
      <c r="F4960" s="2">
        <v>2</v>
      </c>
      <c r="G4960" s="4"/>
      <c r="H4960" s="13">
        <v>1</v>
      </c>
      <c r="I4960" s="34">
        <v>1</v>
      </c>
      <c r="J4960" s="35">
        <v>1.5</v>
      </c>
      <c r="K4960" s="2" t="s">
        <v>9922</v>
      </c>
      <c r="L4960" s="36" t="str">
        <f t="shared" si="86"/>
        <v>Ver Imagen</v>
      </c>
      <c r="M4960" t="s">
        <v>8005</v>
      </c>
    </row>
    <row r="4961" spans="1:13" x14ac:dyDescent="0.25">
      <c r="A4961" s="33">
        <v>4960</v>
      </c>
      <c r="B4961" t="s">
        <v>9923</v>
      </c>
      <c r="C4961" s="1">
        <v>37.204078813999999</v>
      </c>
      <c r="D4961" s="1">
        <v>-7.0263388204900004</v>
      </c>
      <c r="E4961" s="3"/>
      <c r="F4961" s="2">
        <v>4</v>
      </c>
      <c r="G4961" s="4">
        <v>5</v>
      </c>
      <c r="H4961" s="13">
        <v>3</v>
      </c>
      <c r="I4961" s="34">
        <v>4</v>
      </c>
      <c r="J4961" s="35">
        <v>4</v>
      </c>
      <c r="K4961" s="2" t="s">
        <v>9924</v>
      </c>
      <c r="L4961" s="36" t="str">
        <f t="shared" si="86"/>
        <v>Ver Imagen</v>
      </c>
      <c r="M4961" t="s">
        <v>8005</v>
      </c>
    </row>
    <row r="4962" spans="1:13" x14ac:dyDescent="0.25">
      <c r="A4962" s="33">
        <v>4961</v>
      </c>
      <c r="B4962" t="s">
        <v>9925</v>
      </c>
      <c r="C4962" s="1">
        <v>37.228481501499999</v>
      </c>
      <c r="D4962" s="1">
        <v>-7.1267696305700001</v>
      </c>
      <c r="E4962" s="3"/>
      <c r="F4962" s="2">
        <v>3</v>
      </c>
      <c r="G4962" s="4">
        <v>3</v>
      </c>
      <c r="H4962" s="13">
        <v>3</v>
      </c>
      <c r="I4962" s="34">
        <v>3</v>
      </c>
      <c r="J4962" s="35">
        <v>3</v>
      </c>
      <c r="K4962" s="2" t="s">
        <v>9926</v>
      </c>
      <c r="L4962" s="36" t="str">
        <f t="shared" si="86"/>
        <v>Ver Imagen</v>
      </c>
      <c r="M4962" t="s">
        <v>8005</v>
      </c>
    </row>
    <row r="4963" spans="1:13" x14ac:dyDescent="0.25">
      <c r="A4963" s="33">
        <v>4962</v>
      </c>
      <c r="B4963" t="s">
        <v>9927</v>
      </c>
      <c r="C4963" s="1">
        <v>37.220949448399999</v>
      </c>
      <c r="D4963" s="1">
        <v>-7.1257748546700004</v>
      </c>
      <c r="E4963" s="3"/>
      <c r="F4963" s="2">
        <v>2</v>
      </c>
      <c r="G4963" s="4">
        <v>3</v>
      </c>
      <c r="H4963" s="13">
        <v>2</v>
      </c>
      <c r="I4963" s="34">
        <v>2</v>
      </c>
      <c r="J4963" s="35">
        <v>2</v>
      </c>
      <c r="K4963" s="2" t="s">
        <v>9928</v>
      </c>
      <c r="L4963" s="36" t="str">
        <f t="shared" si="86"/>
        <v>Ver Imagen</v>
      </c>
      <c r="M4963" t="s">
        <v>8005</v>
      </c>
    </row>
    <row r="4964" spans="1:13" x14ac:dyDescent="0.25">
      <c r="A4964" s="33">
        <v>4963</v>
      </c>
      <c r="B4964" t="s">
        <v>9929</v>
      </c>
      <c r="C4964" s="1">
        <v>37.443880298300002</v>
      </c>
      <c r="D4964" s="1">
        <v>-7.0969589012699998</v>
      </c>
      <c r="E4964" s="3">
        <v>3</v>
      </c>
      <c r="F4964" s="2">
        <v>3</v>
      </c>
      <c r="G4964" s="4"/>
      <c r="H4964" s="13">
        <v>2</v>
      </c>
      <c r="I4964" s="34">
        <v>2</v>
      </c>
      <c r="J4964" s="37">
        <v>2</v>
      </c>
      <c r="K4964" s="2" t="s">
        <v>9930</v>
      </c>
      <c r="L4964" s="36" t="str">
        <f t="shared" si="86"/>
        <v>Ver Imagen</v>
      </c>
      <c r="M4964" s="37" t="s">
        <v>8052</v>
      </c>
    </row>
    <row r="4965" spans="1:13" x14ac:dyDescent="0.25">
      <c r="A4965" s="33">
        <v>4964</v>
      </c>
      <c r="B4965" t="s">
        <v>9931</v>
      </c>
      <c r="C4965" s="1">
        <v>37.443588706500002</v>
      </c>
      <c r="D4965" s="1">
        <v>-7.09599159335</v>
      </c>
      <c r="E4965" s="3">
        <v>3</v>
      </c>
      <c r="F4965" s="2">
        <v>3</v>
      </c>
      <c r="G4965" s="4"/>
      <c r="H4965" s="13">
        <v>2</v>
      </c>
      <c r="I4965" s="34">
        <v>3</v>
      </c>
      <c r="J4965" s="35">
        <v>3</v>
      </c>
      <c r="K4965" s="2" t="s">
        <v>9932</v>
      </c>
      <c r="L4965" s="36" t="str">
        <f t="shared" si="86"/>
        <v>Ver Imagen</v>
      </c>
      <c r="M4965" t="s">
        <v>8005</v>
      </c>
    </row>
    <row r="4966" spans="1:13" x14ac:dyDescent="0.25">
      <c r="A4966" s="33">
        <v>4965</v>
      </c>
      <c r="B4966" t="s">
        <v>9933</v>
      </c>
      <c r="C4966" s="1">
        <v>37.442446825499999</v>
      </c>
      <c r="D4966" s="1">
        <v>-7.0930139780400001</v>
      </c>
      <c r="E4966" s="3">
        <v>3</v>
      </c>
      <c r="F4966" s="2">
        <v>3</v>
      </c>
      <c r="G4966" s="4"/>
      <c r="H4966" s="13">
        <v>2</v>
      </c>
      <c r="I4966" s="34">
        <v>2</v>
      </c>
      <c r="J4966" s="35">
        <v>2.5</v>
      </c>
      <c r="K4966" s="2" t="s">
        <v>9934</v>
      </c>
      <c r="L4966" s="36" t="str">
        <f t="shared" si="86"/>
        <v>Ver Imagen</v>
      </c>
      <c r="M4966" t="s">
        <v>8005</v>
      </c>
    </row>
    <row r="4967" spans="1:13" x14ac:dyDescent="0.25">
      <c r="A4967" s="33">
        <v>4966</v>
      </c>
      <c r="B4967" t="s">
        <v>9935</v>
      </c>
      <c r="C4967" s="1">
        <v>37.222476350800001</v>
      </c>
      <c r="D4967" s="1">
        <v>-7.0555574938100003</v>
      </c>
      <c r="E4967" s="3">
        <v>2</v>
      </c>
      <c r="F4967" s="2">
        <v>3</v>
      </c>
      <c r="G4967" s="4"/>
      <c r="H4967" s="13">
        <v>2</v>
      </c>
      <c r="I4967" s="34">
        <v>2</v>
      </c>
      <c r="J4967" s="35">
        <v>2</v>
      </c>
      <c r="K4967" s="2" t="s">
        <v>9936</v>
      </c>
      <c r="L4967" s="36" t="str">
        <f t="shared" si="86"/>
        <v>Ver Imagen</v>
      </c>
      <c r="M4967" t="s">
        <v>8005</v>
      </c>
    </row>
    <row r="4968" spans="1:13" x14ac:dyDescent="0.25">
      <c r="A4968" s="33">
        <v>4967</v>
      </c>
      <c r="B4968" t="s">
        <v>9937</v>
      </c>
      <c r="C4968" s="1">
        <v>37.2266193078</v>
      </c>
      <c r="D4968" s="1">
        <v>-7.0603877483300002</v>
      </c>
      <c r="E4968" s="3">
        <v>3</v>
      </c>
      <c r="F4968" s="2">
        <v>3</v>
      </c>
      <c r="G4968" s="4"/>
      <c r="H4968" s="13">
        <v>2</v>
      </c>
      <c r="I4968" s="34">
        <v>3</v>
      </c>
      <c r="J4968" s="35">
        <v>3</v>
      </c>
      <c r="K4968" s="2" t="s">
        <v>9938</v>
      </c>
      <c r="L4968" s="36" t="str">
        <f t="shared" si="86"/>
        <v>Ver Imagen</v>
      </c>
      <c r="M4968" t="s">
        <v>8005</v>
      </c>
    </row>
    <row r="4969" spans="1:13" x14ac:dyDescent="0.25">
      <c r="A4969" s="33">
        <v>4968</v>
      </c>
      <c r="B4969" t="s">
        <v>9939</v>
      </c>
      <c r="C4969" s="1">
        <v>37.233124053499999</v>
      </c>
      <c r="D4969" s="1">
        <v>-7.0658273782799998</v>
      </c>
      <c r="E4969" s="3">
        <v>3</v>
      </c>
      <c r="F4969" s="2">
        <v>3</v>
      </c>
      <c r="G4969" s="4"/>
      <c r="H4969" s="13">
        <v>2</v>
      </c>
      <c r="I4969" s="34">
        <v>2</v>
      </c>
      <c r="J4969" s="37">
        <v>2</v>
      </c>
      <c r="K4969" s="2" t="s">
        <v>9940</v>
      </c>
      <c r="L4969" s="36" t="str">
        <f t="shared" si="86"/>
        <v>Ver Imagen</v>
      </c>
      <c r="M4969" s="37" t="s">
        <v>8052</v>
      </c>
    </row>
    <row r="4970" spans="1:13" x14ac:dyDescent="0.25">
      <c r="A4970" s="33">
        <v>4969</v>
      </c>
      <c r="B4970" t="s">
        <v>9941</v>
      </c>
      <c r="C4970" s="1">
        <v>37.233612006000001</v>
      </c>
      <c r="D4970" s="1">
        <v>-7.0662771895500001</v>
      </c>
      <c r="E4970" s="3">
        <v>3</v>
      </c>
      <c r="F4970" s="2">
        <v>3</v>
      </c>
      <c r="G4970" s="4"/>
      <c r="H4970" s="13">
        <v>2</v>
      </c>
      <c r="I4970" s="34">
        <v>3</v>
      </c>
      <c r="J4970" s="37">
        <v>2</v>
      </c>
      <c r="K4970" s="2" t="s">
        <v>9942</v>
      </c>
      <c r="L4970" s="36" t="str">
        <f t="shared" si="86"/>
        <v>Ver Imagen</v>
      </c>
      <c r="M4970" s="37" t="s">
        <v>8052</v>
      </c>
    </row>
    <row r="4971" spans="1:13" x14ac:dyDescent="0.25">
      <c r="A4971" s="33">
        <v>4970</v>
      </c>
      <c r="B4971" t="s">
        <v>9943</v>
      </c>
      <c r="C4971" s="1">
        <v>37.224975393699999</v>
      </c>
      <c r="D4971" s="1">
        <v>-7.0332881464600003</v>
      </c>
      <c r="E4971" s="3">
        <v>3</v>
      </c>
      <c r="F4971" s="2">
        <v>3</v>
      </c>
      <c r="G4971" s="4"/>
      <c r="H4971" s="13">
        <v>2</v>
      </c>
      <c r="I4971" s="34">
        <v>3</v>
      </c>
      <c r="J4971" s="37">
        <v>2</v>
      </c>
      <c r="K4971" s="2" t="s">
        <v>9944</v>
      </c>
      <c r="L4971" s="36" t="str">
        <f t="shared" si="86"/>
        <v>Ver Imagen</v>
      </c>
      <c r="M4971" s="37" t="s">
        <v>8052</v>
      </c>
    </row>
    <row r="4972" spans="1:13" x14ac:dyDescent="0.25">
      <c r="A4972" s="33">
        <v>4971</v>
      </c>
      <c r="B4972" t="s">
        <v>9945</v>
      </c>
      <c r="C4972" s="1">
        <v>37.225224392500003</v>
      </c>
      <c r="D4972" s="1">
        <v>-7.04094766495</v>
      </c>
      <c r="E4972" s="3">
        <v>3</v>
      </c>
      <c r="F4972" s="2">
        <v>2</v>
      </c>
      <c r="G4972" s="4"/>
      <c r="H4972" s="13">
        <v>1</v>
      </c>
      <c r="I4972" s="34">
        <v>1</v>
      </c>
      <c r="J4972" s="37">
        <v>1</v>
      </c>
      <c r="K4972" s="2" t="s">
        <v>9946</v>
      </c>
      <c r="L4972" s="36" t="str">
        <f t="shared" si="86"/>
        <v>Ver Imagen</v>
      </c>
      <c r="M4972" s="37" t="s">
        <v>8052</v>
      </c>
    </row>
    <row r="4973" spans="1:13" x14ac:dyDescent="0.25">
      <c r="A4973" s="33">
        <v>4972</v>
      </c>
      <c r="B4973" t="s">
        <v>9947</v>
      </c>
      <c r="C4973" s="1">
        <v>37.225578364699999</v>
      </c>
      <c r="D4973" s="1">
        <v>-7.0418603080300004</v>
      </c>
      <c r="E4973" s="3">
        <v>2</v>
      </c>
      <c r="F4973" s="2">
        <v>2</v>
      </c>
      <c r="G4973" s="4"/>
      <c r="H4973" s="13">
        <v>2</v>
      </c>
      <c r="I4973" s="34">
        <v>2</v>
      </c>
      <c r="J4973" s="35">
        <v>2</v>
      </c>
      <c r="K4973" s="2" t="s">
        <v>9948</v>
      </c>
      <c r="L4973" s="36" t="str">
        <f t="shared" si="86"/>
        <v>Ver Imagen</v>
      </c>
      <c r="M4973" t="s">
        <v>8005</v>
      </c>
    </row>
    <row r="4974" spans="1:13" x14ac:dyDescent="0.25">
      <c r="A4974" s="33">
        <v>4973</v>
      </c>
      <c r="B4974" t="s">
        <v>9949</v>
      </c>
      <c r="C4974" s="1">
        <v>37.225777089200001</v>
      </c>
      <c r="D4974" s="1">
        <v>-7.0423091974999998</v>
      </c>
      <c r="E4974" s="3">
        <v>2</v>
      </c>
      <c r="F4974" s="2">
        <v>3</v>
      </c>
      <c r="G4974" s="4"/>
      <c r="H4974" s="13">
        <v>2</v>
      </c>
      <c r="I4974" s="34">
        <v>2</v>
      </c>
      <c r="J4974" s="35">
        <v>2</v>
      </c>
      <c r="K4974" s="2" t="s">
        <v>9950</v>
      </c>
      <c r="L4974" s="36" t="str">
        <f t="shared" si="86"/>
        <v>Ver Imagen</v>
      </c>
      <c r="M4974" t="s">
        <v>8005</v>
      </c>
    </row>
    <row r="4975" spans="1:13" x14ac:dyDescent="0.25">
      <c r="A4975" s="33">
        <v>4974</v>
      </c>
      <c r="B4975" t="s">
        <v>9951</v>
      </c>
      <c r="C4975">
        <v>37.275750061300002</v>
      </c>
      <c r="D4975">
        <v>-6.9910850159100004</v>
      </c>
      <c r="E4975" s="3"/>
      <c r="F4975" s="2"/>
      <c r="G4975" s="4">
        <v>4</v>
      </c>
      <c r="H4975" s="13">
        <v>4</v>
      </c>
      <c r="I4975" s="34">
        <v>4</v>
      </c>
      <c r="J4975" s="35">
        <v>4</v>
      </c>
      <c r="K4975" s="4" t="s">
        <v>9952</v>
      </c>
      <c r="L4975" s="36" t="str">
        <f t="shared" si="86"/>
        <v>Ver Imagen</v>
      </c>
      <c r="M4975" t="s">
        <v>8005</v>
      </c>
    </row>
    <row r="4976" spans="1:13" x14ac:dyDescent="0.25">
      <c r="A4976" s="33">
        <v>4975</v>
      </c>
      <c r="B4976" t="s">
        <v>9953</v>
      </c>
      <c r="C4976" s="1">
        <v>37.240914126900002</v>
      </c>
      <c r="D4976" s="1">
        <v>-7.0827860133299998</v>
      </c>
      <c r="E4976" s="3">
        <v>3</v>
      </c>
      <c r="F4976" s="2">
        <v>3</v>
      </c>
      <c r="G4976" s="4"/>
      <c r="H4976" s="13">
        <v>2</v>
      </c>
      <c r="I4976" s="34">
        <v>3</v>
      </c>
      <c r="J4976" s="35">
        <v>3</v>
      </c>
      <c r="K4976" s="2" t="s">
        <v>9954</v>
      </c>
      <c r="L4976" s="36" t="str">
        <f t="shared" si="86"/>
        <v>Ver Imagen</v>
      </c>
      <c r="M4976" t="s">
        <v>8005</v>
      </c>
    </row>
    <row r="4977" spans="1:13" x14ac:dyDescent="0.25">
      <c r="A4977" s="33">
        <v>4976</v>
      </c>
      <c r="B4977" t="s">
        <v>9955</v>
      </c>
      <c r="C4977" s="1">
        <v>37.253139269800002</v>
      </c>
      <c r="D4977" s="1">
        <v>-7.1062320790499998</v>
      </c>
      <c r="E4977" s="3"/>
      <c r="F4977" s="2">
        <v>3</v>
      </c>
      <c r="G4977" s="4">
        <v>3</v>
      </c>
      <c r="H4977" s="13">
        <v>2</v>
      </c>
      <c r="I4977" s="34">
        <v>2</v>
      </c>
      <c r="J4977" s="35">
        <v>2.5</v>
      </c>
      <c r="K4977" s="2" t="s">
        <v>9956</v>
      </c>
      <c r="L4977" s="36" t="str">
        <f t="shared" si="86"/>
        <v>Ver Imagen</v>
      </c>
      <c r="M4977" t="s">
        <v>8005</v>
      </c>
    </row>
    <row r="4978" spans="1:13" x14ac:dyDescent="0.25">
      <c r="A4978" s="33">
        <v>4977</v>
      </c>
      <c r="B4978" t="s">
        <v>9957</v>
      </c>
      <c r="C4978" s="1">
        <v>37.2568957266</v>
      </c>
      <c r="D4978" s="1">
        <v>-7.1190534785799997</v>
      </c>
      <c r="E4978" s="3">
        <v>3</v>
      </c>
      <c r="F4978" s="2">
        <v>3</v>
      </c>
      <c r="G4978" s="4"/>
      <c r="H4978" s="13">
        <v>2</v>
      </c>
      <c r="I4978" s="34">
        <v>2</v>
      </c>
      <c r="J4978" s="37">
        <v>2</v>
      </c>
      <c r="K4978" s="2" t="s">
        <v>9958</v>
      </c>
      <c r="L4978" s="36" t="str">
        <f t="shared" si="86"/>
        <v>Ver Imagen</v>
      </c>
      <c r="M4978" s="37" t="s">
        <v>8052</v>
      </c>
    </row>
    <row r="4979" spans="1:13" x14ac:dyDescent="0.25">
      <c r="A4979" s="33">
        <v>4978</v>
      </c>
      <c r="B4979" t="s">
        <v>9959</v>
      </c>
      <c r="C4979" s="1">
        <v>37.257277080999998</v>
      </c>
      <c r="D4979" s="1">
        <v>-7.1193322461299999</v>
      </c>
      <c r="E4979" s="3"/>
      <c r="F4979" s="2">
        <v>3</v>
      </c>
      <c r="G4979" s="4">
        <v>4</v>
      </c>
      <c r="H4979" s="13">
        <v>3</v>
      </c>
      <c r="I4979" s="34">
        <v>2</v>
      </c>
      <c r="J4979" s="37">
        <v>2</v>
      </c>
      <c r="K4979" s="2" t="s">
        <v>9960</v>
      </c>
      <c r="L4979" s="36" t="str">
        <f t="shared" si="86"/>
        <v>Ver Imagen</v>
      </c>
      <c r="M4979" s="37" t="s">
        <v>8052</v>
      </c>
    </row>
    <row r="4980" spans="1:13" x14ac:dyDescent="0.25">
      <c r="A4980" s="33">
        <v>4979</v>
      </c>
      <c r="B4980" t="s">
        <v>9961</v>
      </c>
      <c r="C4980" s="1">
        <v>37.259733056899996</v>
      </c>
      <c r="D4980" s="1">
        <v>-7.1263205060899999</v>
      </c>
      <c r="E4980" s="3">
        <v>3</v>
      </c>
      <c r="F4980" s="2">
        <v>3</v>
      </c>
      <c r="G4980" s="4"/>
      <c r="H4980" s="13">
        <v>3</v>
      </c>
      <c r="I4980" s="34">
        <v>3</v>
      </c>
      <c r="J4980" s="35">
        <v>3</v>
      </c>
      <c r="K4980" s="2" t="s">
        <v>9962</v>
      </c>
      <c r="L4980" s="36" t="str">
        <f t="shared" si="86"/>
        <v>Ver Imagen</v>
      </c>
      <c r="M4980" t="s">
        <v>8005</v>
      </c>
    </row>
    <row r="4981" spans="1:13" x14ac:dyDescent="0.25">
      <c r="A4981" s="33">
        <v>4980</v>
      </c>
      <c r="B4981" t="s">
        <v>9963</v>
      </c>
      <c r="C4981">
        <v>37.269701576999999</v>
      </c>
      <c r="D4981">
        <v>-6.9784242160799996</v>
      </c>
      <c r="E4981" s="3"/>
      <c r="F4981" s="2"/>
      <c r="G4981" s="4">
        <v>2</v>
      </c>
      <c r="H4981" s="13">
        <v>2</v>
      </c>
      <c r="I4981" s="34">
        <v>2</v>
      </c>
      <c r="J4981" s="35">
        <v>2</v>
      </c>
      <c r="K4981" s="4" t="s">
        <v>9964</v>
      </c>
      <c r="L4981" s="36" t="str">
        <f t="shared" si="86"/>
        <v>Ver Imagen</v>
      </c>
      <c r="M4981" t="s">
        <v>8005</v>
      </c>
    </row>
    <row r="4982" spans="1:13" x14ac:dyDescent="0.25">
      <c r="A4982" s="33">
        <v>4981</v>
      </c>
      <c r="B4982" t="s">
        <v>9965</v>
      </c>
      <c r="C4982">
        <v>37.189628045900001</v>
      </c>
      <c r="D4982">
        <v>-6.9879628794800004</v>
      </c>
      <c r="E4982" s="3"/>
      <c r="F4982" s="2"/>
      <c r="G4982" s="4">
        <v>4</v>
      </c>
      <c r="H4982" s="13">
        <v>3</v>
      </c>
      <c r="I4982" s="34">
        <v>3</v>
      </c>
      <c r="J4982" s="35">
        <v>3</v>
      </c>
      <c r="K4982" s="4" t="s">
        <v>9966</v>
      </c>
      <c r="L4982" s="36" t="str">
        <f t="shared" si="86"/>
        <v>Ver Imagen</v>
      </c>
      <c r="M4982" t="s">
        <v>8005</v>
      </c>
    </row>
    <row r="4983" spans="1:13" x14ac:dyDescent="0.25">
      <c r="A4983" s="33">
        <v>4982</v>
      </c>
      <c r="B4983" t="s">
        <v>9967</v>
      </c>
      <c r="C4983" s="1">
        <v>37.482426035300001</v>
      </c>
      <c r="D4983" s="1">
        <v>-7.1285338579299999</v>
      </c>
      <c r="E4983" s="3">
        <v>2</v>
      </c>
      <c r="F4983" s="2">
        <v>2</v>
      </c>
      <c r="G4983" s="4"/>
      <c r="H4983" s="13">
        <v>1</v>
      </c>
      <c r="I4983" s="34">
        <v>1</v>
      </c>
      <c r="J4983" s="37">
        <v>1</v>
      </c>
      <c r="K4983" s="2" t="s">
        <v>9968</v>
      </c>
      <c r="L4983" s="36" t="str">
        <f t="shared" si="86"/>
        <v>Ver Imagen</v>
      </c>
      <c r="M4983" s="37" t="s">
        <v>8052</v>
      </c>
    </row>
    <row r="4984" spans="1:13" x14ac:dyDescent="0.25">
      <c r="A4984" s="33">
        <v>4983</v>
      </c>
      <c r="B4984" t="s">
        <v>9969</v>
      </c>
      <c r="C4984" s="1">
        <v>37.495549330000003</v>
      </c>
      <c r="D4984" s="1">
        <v>-7.27299753508</v>
      </c>
      <c r="E4984" s="3">
        <v>3</v>
      </c>
      <c r="F4984" s="2">
        <v>2</v>
      </c>
      <c r="G4984" s="4"/>
      <c r="H4984" s="13">
        <v>1</v>
      </c>
      <c r="I4984" s="34">
        <v>1</v>
      </c>
      <c r="J4984" s="37">
        <v>1</v>
      </c>
      <c r="K4984" s="2" t="s">
        <v>9970</v>
      </c>
      <c r="L4984" s="36" t="str">
        <f t="shared" si="86"/>
        <v>Ver Imagen</v>
      </c>
      <c r="M4984" s="37" t="s">
        <v>8052</v>
      </c>
    </row>
    <row r="4985" spans="1:13" x14ac:dyDescent="0.25">
      <c r="A4985" s="33">
        <v>4984</v>
      </c>
      <c r="B4985" t="s">
        <v>9971</v>
      </c>
      <c r="C4985" s="1">
        <v>37.187208720699999</v>
      </c>
      <c r="D4985" s="1">
        <v>-6.9793265368800004</v>
      </c>
      <c r="E4985" s="3"/>
      <c r="F4985" s="2">
        <v>5</v>
      </c>
      <c r="G4985" s="4">
        <v>5</v>
      </c>
      <c r="H4985" s="13">
        <v>3</v>
      </c>
      <c r="I4985" s="34">
        <v>4</v>
      </c>
      <c r="J4985" s="37">
        <v>4</v>
      </c>
      <c r="K4985" s="2" t="s">
        <v>9972</v>
      </c>
      <c r="L4985" s="36" t="str">
        <f t="shared" si="86"/>
        <v>Ver Imagen</v>
      </c>
      <c r="M4985" s="37" t="s">
        <v>8052</v>
      </c>
    </row>
    <row r="4986" spans="1:13" x14ac:dyDescent="0.25">
      <c r="A4986" s="33">
        <v>4985</v>
      </c>
      <c r="B4986" t="s">
        <v>9973</v>
      </c>
      <c r="C4986" s="1">
        <v>37.186565442700001</v>
      </c>
      <c r="D4986" s="1">
        <v>-6.9799716640599998</v>
      </c>
      <c r="E4986" s="3"/>
      <c r="F4986" s="2">
        <v>5</v>
      </c>
      <c r="G4986" s="4">
        <v>5</v>
      </c>
      <c r="H4986" s="13">
        <v>4</v>
      </c>
      <c r="I4986" s="34">
        <v>5</v>
      </c>
      <c r="J4986" s="35">
        <v>5</v>
      </c>
      <c r="K4986" s="2" t="s">
        <v>9974</v>
      </c>
      <c r="L4986" s="36" t="str">
        <f t="shared" si="86"/>
        <v>Ver Imagen</v>
      </c>
      <c r="M4986" t="s">
        <v>8005</v>
      </c>
    </row>
    <row r="4987" spans="1:13" x14ac:dyDescent="0.25">
      <c r="A4987" s="33">
        <v>4986</v>
      </c>
      <c r="B4987" t="s">
        <v>9975</v>
      </c>
      <c r="C4987" s="1">
        <v>37.185858127400003</v>
      </c>
      <c r="D4987" s="1">
        <v>-6.9800413534899999</v>
      </c>
      <c r="E4987" s="3"/>
      <c r="F4987" s="2">
        <v>4</v>
      </c>
      <c r="G4987" s="4">
        <v>4</v>
      </c>
      <c r="H4987" s="13">
        <v>3</v>
      </c>
      <c r="I4987" s="34">
        <v>4</v>
      </c>
      <c r="J4987" s="35">
        <v>4</v>
      </c>
      <c r="K4987" s="2" t="s">
        <v>9976</v>
      </c>
      <c r="L4987" s="36" t="str">
        <f t="shared" si="86"/>
        <v>Ver Imagen</v>
      </c>
      <c r="M4987" t="s">
        <v>8005</v>
      </c>
    </row>
    <row r="4988" spans="1:13" x14ac:dyDescent="0.25">
      <c r="A4988" s="33">
        <v>4987</v>
      </c>
      <c r="B4988" t="s">
        <v>9977</v>
      </c>
      <c r="C4988" s="1">
        <v>37.505059218500001</v>
      </c>
      <c r="D4988" s="1">
        <v>-7.2653769488800002</v>
      </c>
      <c r="E4988" s="3">
        <v>2</v>
      </c>
      <c r="F4988" s="2">
        <v>2</v>
      </c>
      <c r="G4988" s="4"/>
      <c r="H4988" s="13">
        <v>1</v>
      </c>
      <c r="I4988" s="34">
        <v>1</v>
      </c>
      <c r="J4988" s="35">
        <v>1.5</v>
      </c>
      <c r="K4988" s="2" t="s">
        <v>9978</v>
      </c>
      <c r="L4988" s="36" t="str">
        <f t="shared" si="86"/>
        <v>Ver Imagen</v>
      </c>
      <c r="M4988" t="s">
        <v>8005</v>
      </c>
    </row>
    <row r="4989" spans="1:13" x14ac:dyDescent="0.25">
      <c r="A4989" s="33">
        <v>4988</v>
      </c>
      <c r="B4989" t="s">
        <v>9979</v>
      </c>
      <c r="C4989" s="1">
        <v>37.187386788700003</v>
      </c>
      <c r="D4989" s="1">
        <v>-6.9789014255700001</v>
      </c>
      <c r="E4989" s="3"/>
      <c r="F4989" s="2">
        <v>5</v>
      </c>
      <c r="G4989" s="4">
        <v>5</v>
      </c>
      <c r="H4989" s="13">
        <v>4</v>
      </c>
      <c r="I4989" s="34">
        <v>4</v>
      </c>
      <c r="J4989" s="35">
        <v>4.5</v>
      </c>
      <c r="K4989" s="2" t="s">
        <v>9980</v>
      </c>
      <c r="L4989" s="36" t="str">
        <f t="shared" si="86"/>
        <v>Ver Imagen</v>
      </c>
      <c r="M4989" t="s">
        <v>8005</v>
      </c>
    </row>
    <row r="4990" spans="1:13" x14ac:dyDescent="0.25">
      <c r="A4990" s="33">
        <v>4989</v>
      </c>
      <c r="B4990" t="s">
        <v>9981</v>
      </c>
      <c r="C4990" s="1">
        <v>37.260068072400003</v>
      </c>
      <c r="D4990" s="1">
        <v>-7.0116643816500002</v>
      </c>
      <c r="E4990" s="3"/>
      <c r="F4990" s="2">
        <v>3</v>
      </c>
      <c r="G4990" s="4">
        <v>3</v>
      </c>
      <c r="H4990" s="13">
        <v>2</v>
      </c>
      <c r="I4990" s="34">
        <v>2</v>
      </c>
      <c r="J4990" s="37">
        <v>2</v>
      </c>
      <c r="K4990" s="2" t="s">
        <v>9982</v>
      </c>
      <c r="L4990" s="36" t="str">
        <f t="shared" si="86"/>
        <v>Ver Imagen</v>
      </c>
      <c r="M4990" s="37" t="s">
        <v>8052</v>
      </c>
    </row>
    <row r="4991" spans="1:13" x14ac:dyDescent="0.25">
      <c r="A4991" s="33">
        <v>4990</v>
      </c>
      <c r="B4991" t="s">
        <v>9983</v>
      </c>
      <c r="C4991" s="1">
        <v>37.200347756699998</v>
      </c>
      <c r="D4991" s="1">
        <v>-6.9872739211399999</v>
      </c>
      <c r="E4991" s="3">
        <v>3</v>
      </c>
      <c r="F4991" s="2">
        <v>4</v>
      </c>
      <c r="G4991" s="4"/>
      <c r="H4991" s="13">
        <v>3</v>
      </c>
      <c r="I4991" s="34">
        <v>3</v>
      </c>
      <c r="J4991" s="35">
        <v>3</v>
      </c>
      <c r="K4991" s="2" t="s">
        <v>9984</v>
      </c>
      <c r="L4991" s="36" t="str">
        <f t="shared" ref="L4991:L4995" si="87">HYPERLINK("Solo2\" &amp; K4991, "Ver Imagen")</f>
        <v>Ver Imagen</v>
      </c>
      <c r="M4991" t="s">
        <v>8005</v>
      </c>
    </row>
    <row r="4992" spans="1:13" x14ac:dyDescent="0.25">
      <c r="A4992" s="33">
        <v>4991</v>
      </c>
      <c r="B4992" t="s">
        <v>9985</v>
      </c>
      <c r="C4992" s="1">
        <v>37.202367392600003</v>
      </c>
      <c r="D4992" s="1">
        <v>-6.9978981120399997</v>
      </c>
      <c r="E4992" s="3"/>
      <c r="F4992" s="2">
        <v>4</v>
      </c>
      <c r="G4992" s="4">
        <v>5</v>
      </c>
      <c r="H4992" s="13">
        <v>3</v>
      </c>
      <c r="I4992" s="34">
        <v>3</v>
      </c>
      <c r="J4992" s="37">
        <v>3</v>
      </c>
      <c r="K4992" s="2" t="s">
        <v>9986</v>
      </c>
      <c r="L4992" s="36" t="str">
        <f t="shared" si="87"/>
        <v>Ver Imagen</v>
      </c>
      <c r="M4992" s="37" t="s">
        <v>8052</v>
      </c>
    </row>
    <row r="4993" spans="1:13" x14ac:dyDescent="0.25">
      <c r="A4993" s="33">
        <v>4992</v>
      </c>
      <c r="B4993" t="s">
        <v>9987</v>
      </c>
      <c r="C4993" s="1">
        <v>37.202403385700002</v>
      </c>
      <c r="D4993" s="1">
        <v>-6.9981416324700003</v>
      </c>
      <c r="E4993" s="3"/>
      <c r="F4993" s="2">
        <v>4</v>
      </c>
      <c r="G4993" s="4">
        <v>5</v>
      </c>
      <c r="H4993" s="13">
        <v>4</v>
      </c>
      <c r="I4993" s="34">
        <v>4</v>
      </c>
      <c r="J4993" s="35">
        <v>4</v>
      </c>
      <c r="K4993" s="2" t="s">
        <v>9988</v>
      </c>
      <c r="L4993" s="36" t="str">
        <f t="shared" si="87"/>
        <v>Ver Imagen</v>
      </c>
      <c r="M4993" t="s">
        <v>8005</v>
      </c>
    </row>
    <row r="4994" spans="1:13" x14ac:dyDescent="0.25">
      <c r="A4994" s="33">
        <v>4993</v>
      </c>
      <c r="B4994" t="s">
        <v>9989</v>
      </c>
      <c r="C4994" s="1">
        <v>37.245697334799999</v>
      </c>
      <c r="D4994" s="1">
        <v>-7.0184614640399996</v>
      </c>
      <c r="E4994" s="3">
        <v>3</v>
      </c>
      <c r="F4994" s="2">
        <v>4</v>
      </c>
      <c r="G4994" s="4"/>
      <c r="H4994" s="13">
        <v>3</v>
      </c>
      <c r="I4994" s="34">
        <v>3</v>
      </c>
      <c r="J4994" s="35">
        <v>3</v>
      </c>
      <c r="K4994" s="2" t="s">
        <v>9990</v>
      </c>
      <c r="L4994" s="36" t="str">
        <f t="shared" si="87"/>
        <v>Ver Imagen</v>
      </c>
      <c r="M4994" t="s">
        <v>8005</v>
      </c>
    </row>
    <row r="4995" spans="1:13" ht="15.75" customHeight="1" thickBot="1" x14ac:dyDescent="0.3">
      <c r="A4995" s="43">
        <v>4994</v>
      </c>
      <c r="B4995" s="44" t="s">
        <v>9991</v>
      </c>
      <c r="C4995" s="44">
        <v>37.495195432099997</v>
      </c>
      <c r="D4995" s="44">
        <v>-7.2676600230000004</v>
      </c>
      <c r="E4995" s="45">
        <v>3</v>
      </c>
      <c r="F4995" s="46"/>
      <c r="G4995" s="47"/>
      <c r="H4995" s="48">
        <v>2</v>
      </c>
      <c r="I4995" s="49">
        <v>3</v>
      </c>
      <c r="J4995" s="50">
        <v>3</v>
      </c>
      <c r="K4995" s="45" t="s">
        <v>9992</v>
      </c>
      <c r="L4995" s="51" t="str">
        <f t="shared" si="87"/>
        <v>Ver Imagen</v>
      </c>
      <c r="M4995" t="s">
        <v>8005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4989"/>
  <sheetViews>
    <sheetView workbookViewId="0">
      <selection sqref="A1:M1"/>
    </sheetView>
  </sheetViews>
  <sheetFormatPr baseColWidth="10" defaultRowHeight="15" x14ac:dyDescent="0.25"/>
  <cols>
    <col min="1" max="1" width="7.140625" customWidth="1"/>
    <col min="2" max="2" width="15.28515625" customWidth="1"/>
  </cols>
  <sheetData>
    <row r="1" spans="1:17" x14ac:dyDescent="0.25">
      <c r="A1" t="s">
        <v>0</v>
      </c>
      <c r="B1" s="5" t="s">
        <v>1</v>
      </c>
      <c r="C1" s="7" t="s">
        <v>2</v>
      </c>
      <c r="D1" s="7" t="s">
        <v>3</v>
      </c>
      <c r="E1" s="8" t="s">
        <v>4</v>
      </c>
      <c r="F1" s="18" t="s">
        <v>5</v>
      </c>
      <c r="G1" s="53" t="s">
        <v>6</v>
      </c>
      <c r="H1" s="12" t="s">
        <v>7</v>
      </c>
      <c r="I1" s="14" t="s">
        <v>8</v>
      </c>
      <c r="J1" s="22" t="s">
        <v>9</v>
      </c>
      <c r="K1" s="6" t="s">
        <v>10</v>
      </c>
      <c r="L1" s="10" t="s">
        <v>11</v>
      </c>
      <c r="M1" s="10" t="s">
        <v>12</v>
      </c>
    </row>
    <row r="2" spans="1:17" x14ac:dyDescent="0.25">
      <c r="A2">
        <v>1</v>
      </c>
      <c r="B2" t="s">
        <v>13</v>
      </c>
      <c r="C2" s="1">
        <v>37.490584882100002</v>
      </c>
      <c r="D2" s="1">
        <v>-7.2536924738200002</v>
      </c>
      <c r="E2" s="3">
        <v>1</v>
      </c>
      <c r="F2" s="2">
        <v>1</v>
      </c>
      <c r="G2" s="4">
        <v>1</v>
      </c>
      <c r="H2" s="13"/>
      <c r="I2" s="15"/>
      <c r="J2" s="19">
        <v>1</v>
      </c>
      <c r="K2" s="2" t="s">
        <v>14</v>
      </c>
      <c r="L2" s="11" t="str">
        <f t="shared" ref="L2:L49" si="0">HYPERLINK("1\0\" &amp; K2, "Ver Imagen")</f>
        <v>Ver Imagen</v>
      </c>
      <c r="M2" t="s">
        <v>15</v>
      </c>
    </row>
    <row r="3" spans="1:17" x14ac:dyDescent="0.25">
      <c r="A3">
        <v>2</v>
      </c>
      <c r="B3" t="s">
        <v>16</v>
      </c>
      <c r="C3" s="1">
        <v>37.490473999700001</v>
      </c>
      <c r="D3" s="1">
        <v>-7.2549748260299998</v>
      </c>
      <c r="E3" s="3">
        <v>1</v>
      </c>
      <c r="F3" s="2">
        <v>1</v>
      </c>
      <c r="G3" s="4">
        <v>1</v>
      </c>
      <c r="H3" s="13"/>
      <c r="I3" s="15"/>
      <c r="J3" s="19">
        <v>1</v>
      </c>
      <c r="K3" s="2" t="s">
        <v>17</v>
      </c>
      <c r="L3" s="11" t="str">
        <f t="shared" si="0"/>
        <v>Ver Imagen</v>
      </c>
      <c r="M3" t="s">
        <v>15</v>
      </c>
    </row>
    <row r="4" spans="1:17" x14ac:dyDescent="0.25">
      <c r="A4">
        <v>3</v>
      </c>
      <c r="B4" t="s">
        <v>18</v>
      </c>
      <c r="C4" s="1">
        <v>37.490408225899998</v>
      </c>
      <c r="D4" s="1">
        <v>-7.2557441266199998</v>
      </c>
      <c r="E4" s="3">
        <v>1</v>
      </c>
      <c r="F4" s="2">
        <v>1</v>
      </c>
      <c r="G4" s="4">
        <v>1</v>
      </c>
      <c r="H4" s="13"/>
      <c r="I4" s="15"/>
      <c r="J4" s="19">
        <v>1</v>
      </c>
      <c r="K4" s="2" t="s">
        <v>19</v>
      </c>
      <c r="L4" s="11" t="str">
        <f t="shared" si="0"/>
        <v>Ver Imagen</v>
      </c>
      <c r="M4" t="s">
        <v>15</v>
      </c>
    </row>
    <row r="5" spans="1:17" x14ac:dyDescent="0.25">
      <c r="A5">
        <v>4</v>
      </c>
      <c r="B5" t="s">
        <v>20</v>
      </c>
      <c r="C5" s="1">
        <v>37.4902857716</v>
      </c>
      <c r="D5" s="1">
        <v>-7.2570025382000001</v>
      </c>
      <c r="E5" s="3">
        <v>1</v>
      </c>
      <c r="F5" s="2">
        <v>1</v>
      </c>
      <c r="G5" s="4">
        <v>1</v>
      </c>
      <c r="H5" s="13"/>
      <c r="I5" s="15"/>
      <c r="J5" s="19">
        <v>1</v>
      </c>
      <c r="K5" s="2" t="s">
        <v>21</v>
      </c>
      <c r="L5" s="11" t="str">
        <f t="shared" si="0"/>
        <v>Ver Imagen</v>
      </c>
      <c r="M5" t="s">
        <v>15</v>
      </c>
    </row>
    <row r="6" spans="1:17" x14ac:dyDescent="0.25">
      <c r="A6">
        <v>5</v>
      </c>
      <c r="B6" t="s">
        <v>22</v>
      </c>
      <c r="C6" s="1">
        <v>37.4901839678</v>
      </c>
      <c r="D6" s="1">
        <v>-7.2577493328299996</v>
      </c>
      <c r="E6" s="3">
        <v>1</v>
      </c>
      <c r="F6" s="2">
        <v>1</v>
      </c>
      <c r="G6" s="4">
        <v>1</v>
      </c>
      <c r="H6" s="13"/>
      <c r="I6" s="15"/>
      <c r="J6" s="19">
        <v>1</v>
      </c>
      <c r="K6" s="2" t="s">
        <v>23</v>
      </c>
      <c r="L6" s="11" t="str">
        <f t="shared" si="0"/>
        <v>Ver Imagen</v>
      </c>
      <c r="M6" t="s">
        <v>15</v>
      </c>
    </row>
    <row r="7" spans="1:17" x14ac:dyDescent="0.25">
      <c r="A7">
        <v>6</v>
      </c>
      <c r="B7" t="s">
        <v>24</v>
      </c>
      <c r="C7" s="1">
        <v>37.490121516599999</v>
      </c>
      <c r="D7" s="1">
        <v>-7.2582315820699996</v>
      </c>
      <c r="E7" s="3">
        <v>1</v>
      </c>
      <c r="F7" s="2">
        <v>1</v>
      </c>
      <c r="G7" s="4">
        <v>1</v>
      </c>
      <c r="H7" s="13"/>
      <c r="I7" s="15"/>
      <c r="J7" s="19">
        <v>1</v>
      </c>
      <c r="K7" s="2" t="s">
        <v>25</v>
      </c>
      <c r="L7" s="11" t="str">
        <f t="shared" si="0"/>
        <v>Ver Imagen</v>
      </c>
      <c r="M7" t="s">
        <v>15</v>
      </c>
      <c r="P7" s="19"/>
      <c r="Q7" s="52"/>
    </row>
    <row r="8" spans="1:17" x14ac:dyDescent="0.25">
      <c r="A8">
        <v>7</v>
      </c>
      <c r="B8" t="s">
        <v>26</v>
      </c>
      <c r="C8" s="1">
        <v>37.493912071799997</v>
      </c>
      <c r="D8" s="1">
        <v>-7.2652538047700004</v>
      </c>
      <c r="E8" s="3">
        <v>1</v>
      </c>
      <c r="F8" s="2">
        <v>1</v>
      </c>
      <c r="G8" s="4">
        <v>1</v>
      </c>
      <c r="H8" s="13"/>
      <c r="I8" s="15"/>
      <c r="J8" s="19">
        <v>1</v>
      </c>
      <c r="K8" s="2" t="s">
        <v>27</v>
      </c>
      <c r="L8" s="11" t="str">
        <f t="shared" si="0"/>
        <v>Ver Imagen</v>
      </c>
      <c r="M8" t="s">
        <v>15</v>
      </c>
      <c r="P8" s="19"/>
      <c r="Q8" s="52"/>
    </row>
    <row r="9" spans="1:17" x14ac:dyDescent="0.25">
      <c r="A9">
        <v>8</v>
      </c>
      <c r="B9" t="s">
        <v>28</v>
      </c>
      <c r="C9" s="1">
        <v>37.465062512000003</v>
      </c>
      <c r="D9" s="1">
        <v>-7.1213172741399999</v>
      </c>
      <c r="E9" s="3">
        <v>1</v>
      </c>
      <c r="F9" s="2">
        <v>1</v>
      </c>
      <c r="G9" s="4">
        <v>1</v>
      </c>
      <c r="H9" s="13"/>
      <c r="I9" s="15"/>
      <c r="J9" s="19">
        <v>1</v>
      </c>
      <c r="K9" s="2" t="s">
        <v>29</v>
      </c>
      <c r="L9" s="11" t="str">
        <f t="shared" si="0"/>
        <v>Ver Imagen</v>
      </c>
      <c r="M9" t="s">
        <v>15</v>
      </c>
      <c r="P9" s="19"/>
      <c r="Q9" s="52"/>
    </row>
    <row r="10" spans="1:17" x14ac:dyDescent="0.25">
      <c r="A10">
        <v>9</v>
      </c>
      <c r="B10" t="s">
        <v>30</v>
      </c>
      <c r="C10" s="1">
        <v>37.464905177799999</v>
      </c>
      <c r="D10" s="1">
        <v>-7.1208362617700001</v>
      </c>
      <c r="E10" s="3">
        <v>1</v>
      </c>
      <c r="F10" s="2">
        <v>1</v>
      </c>
      <c r="G10" s="4">
        <v>1</v>
      </c>
      <c r="H10" s="13"/>
      <c r="I10" s="15"/>
      <c r="J10" s="19">
        <v>1</v>
      </c>
      <c r="K10" s="2" t="s">
        <v>31</v>
      </c>
      <c r="L10" s="11" t="str">
        <f t="shared" si="0"/>
        <v>Ver Imagen</v>
      </c>
      <c r="M10" t="s">
        <v>15</v>
      </c>
      <c r="P10" s="19"/>
      <c r="Q10" s="52"/>
    </row>
    <row r="11" spans="1:17" x14ac:dyDescent="0.25">
      <c r="A11">
        <v>10</v>
      </c>
      <c r="B11" t="s">
        <v>32</v>
      </c>
      <c r="C11" s="1">
        <v>37.464828793899997</v>
      </c>
      <c r="D11" s="1">
        <v>-7.1205977811399999</v>
      </c>
      <c r="E11" s="3">
        <v>1</v>
      </c>
      <c r="F11" s="2">
        <v>1</v>
      </c>
      <c r="G11" s="4">
        <v>1</v>
      </c>
      <c r="H11" s="13"/>
      <c r="I11" s="15"/>
      <c r="J11" s="19">
        <v>1</v>
      </c>
      <c r="K11" s="2" t="s">
        <v>33</v>
      </c>
      <c r="L11" s="11" t="str">
        <f t="shared" si="0"/>
        <v>Ver Imagen</v>
      </c>
      <c r="M11" t="s">
        <v>15</v>
      </c>
      <c r="P11" s="19"/>
      <c r="Q11" s="52"/>
    </row>
    <row r="12" spans="1:17" x14ac:dyDescent="0.25">
      <c r="A12">
        <v>11</v>
      </c>
      <c r="B12" t="s">
        <v>34</v>
      </c>
      <c r="C12" s="1">
        <v>37.464754788699999</v>
      </c>
      <c r="D12" s="1">
        <v>-7.1203678847500003</v>
      </c>
      <c r="E12" s="3">
        <v>1</v>
      </c>
      <c r="F12" s="2">
        <v>1</v>
      </c>
      <c r="G12" s="4">
        <v>1</v>
      </c>
      <c r="H12" s="13"/>
      <c r="I12" s="15"/>
      <c r="J12" s="19">
        <v>1</v>
      </c>
      <c r="K12" s="2" t="s">
        <v>35</v>
      </c>
      <c r="L12" s="11" t="str">
        <f t="shared" si="0"/>
        <v>Ver Imagen</v>
      </c>
      <c r="M12" t="s">
        <v>15</v>
      </c>
    </row>
    <row r="13" spans="1:17" x14ac:dyDescent="0.25">
      <c r="A13">
        <v>12</v>
      </c>
      <c r="B13" t="s">
        <v>36</v>
      </c>
      <c r="C13" s="1">
        <v>37.464663701500001</v>
      </c>
      <c r="D13" s="1">
        <v>-7.1200814073299998</v>
      </c>
      <c r="E13" s="3">
        <v>1</v>
      </c>
      <c r="F13" s="2">
        <v>1</v>
      </c>
      <c r="G13" s="4">
        <v>1</v>
      </c>
      <c r="H13" s="13"/>
      <c r="I13" s="15"/>
      <c r="J13" s="19">
        <v>1</v>
      </c>
      <c r="K13" s="2" t="s">
        <v>37</v>
      </c>
      <c r="L13" s="11" t="str">
        <f t="shared" si="0"/>
        <v>Ver Imagen</v>
      </c>
      <c r="M13" t="s">
        <v>15</v>
      </c>
    </row>
    <row r="14" spans="1:17" x14ac:dyDescent="0.25">
      <c r="A14">
        <v>13</v>
      </c>
      <c r="B14" t="s">
        <v>38</v>
      </c>
      <c r="C14" s="1">
        <v>37.464591632500003</v>
      </c>
      <c r="D14" s="1">
        <v>-7.1198585737300002</v>
      </c>
      <c r="E14" s="3">
        <v>1</v>
      </c>
      <c r="F14" s="2">
        <v>1</v>
      </c>
      <c r="G14" s="4">
        <v>1</v>
      </c>
      <c r="H14" s="13"/>
      <c r="I14" s="15"/>
      <c r="J14" s="19">
        <v>1</v>
      </c>
      <c r="K14" s="2" t="s">
        <v>39</v>
      </c>
      <c r="L14" s="11" t="str">
        <f t="shared" si="0"/>
        <v>Ver Imagen</v>
      </c>
      <c r="M14" t="s">
        <v>15</v>
      </c>
    </row>
    <row r="15" spans="1:17" x14ac:dyDescent="0.25">
      <c r="A15">
        <v>14</v>
      </c>
      <c r="B15" t="s">
        <v>40</v>
      </c>
      <c r="C15" s="1">
        <v>37.4645183226</v>
      </c>
      <c r="D15" s="1">
        <v>-7.11964083234</v>
      </c>
      <c r="E15" s="3">
        <v>1</v>
      </c>
      <c r="F15" s="2">
        <v>1</v>
      </c>
      <c r="G15" s="4">
        <v>1</v>
      </c>
      <c r="H15" s="13"/>
      <c r="I15" s="15"/>
      <c r="J15" s="19">
        <v>1</v>
      </c>
      <c r="K15" s="2" t="s">
        <v>41</v>
      </c>
      <c r="L15" s="11" t="str">
        <f t="shared" si="0"/>
        <v>Ver Imagen</v>
      </c>
      <c r="M15" t="s">
        <v>15</v>
      </c>
    </row>
    <row r="16" spans="1:17" x14ac:dyDescent="0.25">
      <c r="A16">
        <v>15</v>
      </c>
      <c r="B16" t="s">
        <v>42</v>
      </c>
      <c r="C16" s="1">
        <v>37.213134241799999</v>
      </c>
      <c r="D16" s="1">
        <v>-7.0624066620499999</v>
      </c>
      <c r="E16" s="3">
        <v>1</v>
      </c>
      <c r="F16" s="2">
        <v>1</v>
      </c>
      <c r="G16" s="4">
        <v>1</v>
      </c>
      <c r="H16" s="13"/>
      <c r="I16" s="15"/>
      <c r="J16" s="19">
        <v>1</v>
      </c>
      <c r="K16" s="2" t="s">
        <v>43</v>
      </c>
      <c r="L16" s="11" t="str">
        <f t="shared" si="0"/>
        <v>Ver Imagen</v>
      </c>
      <c r="M16" t="s">
        <v>15</v>
      </c>
    </row>
    <row r="17" spans="1:13" x14ac:dyDescent="0.25">
      <c r="A17">
        <v>16</v>
      </c>
      <c r="B17" t="s">
        <v>44</v>
      </c>
      <c r="C17" s="1">
        <v>37.2127200097</v>
      </c>
      <c r="D17" s="1">
        <v>-7.06096965411</v>
      </c>
      <c r="E17" s="3">
        <v>1</v>
      </c>
      <c r="F17" s="2">
        <v>1</v>
      </c>
      <c r="G17" s="4">
        <v>1</v>
      </c>
      <c r="H17" s="13"/>
      <c r="I17" s="15"/>
      <c r="J17" s="19">
        <v>1</v>
      </c>
      <c r="K17" s="2" t="s">
        <v>45</v>
      </c>
      <c r="L17" s="11" t="str">
        <f t="shared" si="0"/>
        <v>Ver Imagen</v>
      </c>
      <c r="M17" t="s">
        <v>15</v>
      </c>
    </row>
    <row r="18" spans="1:13" x14ac:dyDescent="0.25">
      <c r="A18">
        <v>17</v>
      </c>
      <c r="B18" t="s">
        <v>46</v>
      </c>
      <c r="C18" s="1">
        <v>37.203017422499997</v>
      </c>
      <c r="D18" s="1">
        <v>-7.0235748525400004</v>
      </c>
      <c r="E18" s="3">
        <v>1</v>
      </c>
      <c r="F18" s="2">
        <v>1</v>
      </c>
      <c r="G18" s="4">
        <v>1</v>
      </c>
      <c r="H18" s="13"/>
      <c r="I18" s="15"/>
      <c r="J18" s="19">
        <v>1</v>
      </c>
      <c r="K18" s="2" t="s">
        <v>47</v>
      </c>
      <c r="L18" s="11" t="str">
        <f t="shared" si="0"/>
        <v>Ver Imagen</v>
      </c>
      <c r="M18" t="s">
        <v>15</v>
      </c>
    </row>
    <row r="19" spans="1:13" x14ac:dyDescent="0.25">
      <c r="A19">
        <v>18</v>
      </c>
      <c r="B19" t="s">
        <v>48</v>
      </c>
      <c r="C19" s="1">
        <v>37.202941772599999</v>
      </c>
      <c r="D19" s="1">
        <v>-7.0233800621500002</v>
      </c>
      <c r="E19" s="3">
        <v>1</v>
      </c>
      <c r="F19" s="2">
        <v>1</v>
      </c>
      <c r="G19" s="4">
        <v>1</v>
      </c>
      <c r="H19" s="13"/>
      <c r="I19" s="15"/>
      <c r="J19" s="19">
        <v>1</v>
      </c>
      <c r="K19" s="2" t="s">
        <v>49</v>
      </c>
      <c r="L19" s="11" t="str">
        <f t="shared" si="0"/>
        <v>Ver Imagen</v>
      </c>
      <c r="M19" t="s">
        <v>15</v>
      </c>
    </row>
    <row r="20" spans="1:13" x14ac:dyDescent="0.25">
      <c r="A20">
        <v>19</v>
      </c>
      <c r="B20" t="s">
        <v>50</v>
      </c>
      <c r="C20" s="1">
        <v>37.202768263199999</v>
      </c>
      <c r="D20" s="1">
        <v>-7.02290963999</v>
      </c>
      <c r="E20" s="3">
        <v>1</v>
      </c>
      <c r="F20" s="2">
        <v>1</v>
      </c>
      <c r="G20" s="4">
        <v>1</v>
      </c>
      <c r="H20" s="13"/>
      <c r="I20" s="15"/>
      <c r="J20" s="19">
        <v>1</v>
      </c>
      <c r="K20" s="2" t="s">
        <v>51</v>
      </c>
      <c r="L20" s="11" t="str">
        <f t="shared" si="0"/>
        <v>Ver Imagen</v>
      </c>
      <c r="M20" t="s">
        <v>15</v>
      </c>
    </row>
    <row r="21" spans="1:13" x14ac:dyDescent="0.25">
      <c r="A21">
        <v>20</v>
      </c>
      <c r="B21" t="s">
        <v>52</v>
      </c>
      <c r="C21" s="1">
        <v>37.202679419900001</v>
      </c>
      <c r="D21" s="1">
        <v>-7.0226752106700001</v>
      </c>
      <c r="E21" s="3">
        <v>1</v>
      </c>
      <c r="F21" s="2">
        <v>1</v>
      </c>
      <c r="G21" s="4">
        <v>1</v>
      </c>
      <c r="H21" s="13"/>
      <c r="I21" s="15"/>
      <c r="J21" s="19">
        <v>1</v>
      </c>
      <c r="K21" s="2" t="s">
        <v>53</v>
      </c>
      <c r="L21" s="11" t="str">
        <f t="shared" si="0"/>
        <v>Ver Imagen</v>
      </c>
      <c r="M21" t="s">
        <v>15</v>
      </c>
    </row>
    <row r="22" spans="1:13" x14ac:dyDescent="0.25">
      <c r="A22">
        <v>21</v>
      </c>
      <c r="B22" t="s">
        <v>54</v>
      </c>
      <c r="C22" s="1">
        <v>37.2025916403</v>
      </c>
      <c r="D22" s="1">
        <v>-7.0224453321000002</v>
      </c>
      <c r="E22" s="3">
        <v>1</v>
      </c>
      <c r="F22" s="2">
        <v>1</v>
      </c>
      <c r="G22" s="4">
        <v>1</v>
      </c>
      <c r="H22" s="13"/>
      <c r="I22" s="15"/>
      <c r="J22" s="19">
        <v>1</v>
      </c>
      <c r="K22" s="2" t="s">
        <v>55</v>
      </c>
      <c r="L22" s="11" t="str">
        <f t="shared" si="0"/>
        <v>Ver Imagen</v>
      </c>
      <c r="M22" t="s">
        <v>15</v>
      </c>
    </row>
    <row r="23" spans="1:13" x14ac:dyDescent="0.25">
      <c r="A23">
        <v>22</v>
      </c>
      <c r="B23" t="s">
        <v>56</v>
      </c>
      <c r="C23" s="1">
        <v>37.202500742600002</v>
      </c>
      <c r="D23" s="1">
        <v>-7.0222092632099997</v>
      </c>
      <c r="E23" s="3">
        <v>1</v>
      </c>
      <c r="F23" s="2">
        <v>1</v>
      </c>
      <c r="G23" s="4">
        <v>1</v>
      </c>
      <c r="H23" s="13"/>
      <c r="I23" s="15"/>
      <c r="J23" s="19">
        <v>1</v>
      </c>
      <c r="K23" s="2" t="s">
        <v>57</v>
      </c>
      <c r="L23" s="11" t="str">
        <f t="shared" si="0"/>
        <v>Ver Imagen</v>
      </c>
      <c r="M23" t="s">
        <v>15</v>
      </c>
    </row>
    <row r="24" spans="1:13" x14ac:dyDescent="0.25">
      <c r="A24">
        <v>23</v>
      </c>
      <c r="B24" t="s">
        <v>58</v>
      </c>
      <c r="C24" s="1">
        <v>37.202419817699997</v>
      </c>
      <c r="D24" s="1">
        <v>-7.0220007547799996</v>
      </c>
      <c r="E24" s="3">
        <v>1</v>
      </c>
      <c r="F24" s="2">
        <v>1</v>
      </c>
      <c r="G24" s="4">
        <v>1</v>
      </c>
      <c r="H24" s="13"/>
      <c r="I24" s="15"/>
      <c r="J24" s="19">
        <v>1</v>
      </c>
      <c r="K24" s="2" t="s">
        <v>59</v>
      </c>
      <c r="L24" s="11" t="str">
        <f t="shared" si="0"/>
        <v>Ver Imagen</v>
      </c>
      <c r="M24" t="s">
        <v>15</v>
      </c>
    </row>
    <row r="25" spans="1:13" x14ac:dyDescent="0.25">
      <c r="A25">
        <v>24</v>
      </c>
      <c r="B25" t="s">
        <v>60</v>
      </c>
      <c r="C25" s="1">
        <v>37.202154107399998</v>
      </c>
      <c r="D25" s="1">
        <v>-7.0213068942200003</v>
      </c>
      <c r="E25" s="3">
        <v>1</v>
      </c>
      <c r="F25" s="2">
        <v>1</v>
      </c>
      <c r="G25" s="4">
        <v>1</v>
      </c>
      <c r="H25" s="13"/>
      <c r="I25" s="15"/>
      <c r="J25" s="19">
        <v>1</v>
      </c>
      <c r="K25" s="2" t="s">
        <v>61</v>
      </c>
      <c r="L25" s="11" t="str">
        <f t="shared" si="0"/>
        <v>Ver Imagen</v>
      </c>
      <c r="M25" t="s">
        <v>15</v>
      </c>
    </row>
    <row r="26" spans="1:13" x14ac:dyDescent="0.25">
      <c r="A26">
        <v>25</v>
      </c>
      <c r="B26" t="s">
        <v>62</v>
      </c>
      <c r="C26" s="1">
        <v>37.202066352199999</v>
      </c>
      <c r="D26" s="1">
        <v>-7.02107645285</v>
      </c>
      <c r="E26" s="3">
        <v>1</v>
      </c>
      <c r="F26" s="2">
        <v>1</v>
      </c>
      <c r="G26" s="4">
        <v>1</v>
      </c>
      <c r="H26" s="13"/>
      <c r="I26" s="15"/>
      <c r="J26" s="19">
        <v>1</v>
      </c>
      <c r="K26" s="2" t="s">
        <v>63</v>
      </c>
      <c r="L26" s="11" t="str">
        <f t="shared" si="0"/>
        <v>Ver Imagen</v>
      </c>
      <c r="M26" t="s">
        <v>15</v>
      </c>
    </row>
    <row r="27" spans="1:13" x14ac:dyDescent="0.25">
      <c r="A27">
        <v>26</v>
      </c>
      <c r="B27" t="s">
        <v>64</v>
      </c>
      <c r="C27" s="1">
        <v>37.201980766699997</v>
      </c>
      <c r="D27" s="1">
        <v>-7.0208527109799999</v>
      </c>
      <c r="E27" s="3">
        <v>1</v>
      </c>
      <c r="F27" s="2">
        <v>1</v>
      </c>
      <c r="G27" s="4">
        <v>1</v>
      </c>
      <c r="H27" s="13"/>
      <c r="I27" s="15"/>
      <c r="J27" s="19">
        <v>1</v>
      </c>
      <c r="K27" s="2" t="s">
        <v>65</v>
      </c>
      <c r="L27" s="11" t="str">
        <f t="shared" si="0"/>
        <v>Ver Imagen</v>
      </c>
      <c r="M27" t="s">
        <v>15</v>
      </c>
    </row>
    <row r="28" spans="1:13" x14ac:dyDescent="0.25">
      <c r="A28">
        <v>27</v>
      </c>
      <c r="B28" t="s">
        <v>66</v>
      </c>
      <c r="C28" s="1">
        <v>37.2017139417</v>
      </c>
      <c r="D28" s="1">
        <v>-7.0201597753599998</v>
      </c>
      <c r="E28" s="3">
        <v>1</v>
      </c>
      <c r="F28" s="2">
        <v>1</v>
      </c>
      <c r="G28" s="4">
        <v>1</v>
      </c>
      <c r="H28" s="13"/>
      <c r="I28" s="15"/>
      <c r="J28" s="19">
        <v>1</v>
      </c>
      <c r="K28" s="2" t="s">
        <v>67</v>
      </c>
      <c r="L28" s="11" t="str">
        <f t="shared" si="0"/>
        <v>Ver Imagen</v>
      </c>
      <c r="M28" t="s">
        <v>15</v>
      </c>
    </row>
    <row r="29" spans="1:13" x14ac:dyDescent="0.25">
      <c r="A29">
        <v>28</v>
      </c>
      <c r="B29" t="s">
        <v>68</v>
      </c>
      <c r="C29" s="1">
        <v>37.200308670399998</v>
      </c>
      <c r="D29" s="1">
        <v>-7.0165034044999999</v>
      </c>
      <c r="E29" s="3">
        <v>1</v>
      </c>
      <c r="F29" s="2">
        <v>1</v>
      </c>
      <c r="G29" s="4">
        <v>1</v>
      </c>
      <c r="H29" s="13"/>
      <c r="I29" s="15"/>
      <c r="J29" s="19">
        <v>1</v>
      </c>
      <c r="K29" s="2" t="s">
        <v>69</v>
      </c>
      <c r="L29" s="11" t="str">
        <f t="shared" si="0"/>
        <v>Ver Imagen</v>
      </c>
      <c r="M29" t="s">
        <v>15</v>
      </c>
    </row>
    <row r="30" spans="1:13" x14ac:dyDescent="0.25">
      <c r="A30">
        <v>29</v>
      </c>
      <c r="B30" t="s">
        <v>70</v>
      </c>
      <c r="C30" s="1">
        <v>37.200227294199998</v>
      </c>
      <c r="D30" s="1">
        <v>-7.0162936652500001</v>
      </c>
      <c r="E30" s="3">
        <v>1</v>
      </c>
      <c r="F30" s="2">
        <v>1</v>
      </c>
      <c r="G30" s="4">
        <v>1</v>
      </c>
      <c r="H30" s="13"/>
      <c r="I30" s="15"/>
      <c r="J30" s="19">
        <v>1</v>
      </c>
      <c r="K30" s="2" t="s">
        <v>71</v>
      </c>
      <c r="L30" s="11" t="str">
        <f t="shared" si="0"/>
        <v>Ver Imagen</v>
      </c>
      <c r="M30" t="s">
        <v>15</v>
      </c>
    </row>
    <row r="31" spans="1:13" x14ac:dyDescent="0.25">
      <c r="A31">
        <v>30</v>
      </c>
      <c r="B31" t="s">
        <v>72</v>
      </c>
      <c r="C31" s="1">
        <v>37.1997810481</v>
      </c>
      <c r="D31" s="1">
        <v>-7.0151143009299997</v>
      </c>
      <c r="E31" s="3">
        <v>1</v>
      </c>
      <c r="F31" s="2">
        <v>1</v>
      </c>
      <c r="G31" s="4">
        <v>1</v>
      </c>
      <c r="H31" s="13"/>
      <c r="I31" s="15"/>
      <c r="J31" s="19">
        <v>1</v>
      </c>
      <c r="K31" s="2" t="s">
        <v>73</v>
      </c>
      <c r="L31" s="11" t="str">
        <f t="shared" si="0"/>
        <v>Ver Imagen</v>
      </c>
      <c r="M31" t="s">
        <v>15</v>
      </c>
    </row>
    <row r="32" spans="1:13" x14ac:dyDescent="0.25">
      <c r="A32">
        <v>31</v>
      </c>
      <c r="B32" t="s">
        <v>74</v>
      </c>
      <c r="C32" s="1">
        <v>37.1993582295</v>
      </c>
      <c r="D32" s="1">
        <v>-7.0140126984900002</v>
      </c>
      <c r="E32" s="3">
        <v>1</v>
      </c>
      <c r="F32" s="2">
        <v>1</v>
      </c>
      <c r="G32" s="4">
        <v>1</v>
      </c>
      <c r="H32" s="13"/>
      <c r="I32" s="15"/>
      <c r="J32" s="19">
        <v>1</v>
      </c>
      <c r="K32" s="2" t="s">
        <v>75</v>
      </c>
      <c r="L32" s="11" t="str">
        <f t="shared" si="0"/>
        <v>Ver Imagen</v>
      </c>
      <c r="M32" t="s">
        <v>15</v>
      </c>
    </row>
    <row r="33" spans="1:13" x14ac:dyDescent="0.25">
      <c r="A33">
        <v>32</v>
      </c>
      <c r="B33" t="s">
        <v>76</v>
      </c>
      <c r="C33" s="1">
        <v>37.199265427999997</v>
      </c>
      <c r="D33" s="1">
        <v>-7.01377104109</v>
      </c>
      <c r="E33" s="3">
        <v>1</v>
      </c>
      <c r="F33" s="2">
        <v>1</v>
      </c>
      <c r="G33" s="4">
        <v>1</v>
      </c>
      <c r="H33" s="13"/>
      <c r="I33" s="15"/>
      <c r="J33" s="19">
        <v>1</v>
      </c>
      <c r="K33" s="2" t="s">
        <v>77</v>
      </c>
      <c r="L33" s="11" t="str">
        <f t="shared" si="0"/>
        <v>Ver Imagen</v>
      </c>
      <c r="M33" t="s">
        <v>15</v>
      </c>
    </row>
    <row r="34" spans="1:13" x14ac:dyDescent="0.25">
      <c r="A34">
        <v>33</v>
      </c>
      <c r="B34" t="s">
        <v>78</v>
      </c>
      <c r="C34" s="1">
        <v>37.199174401599997</v>
      </c>
      <c r="D34" s="1">
        <v>-7.0135351215400004</v>
      </c>
      <c r="E34" s="3">
        <v>1</v>
      </c>
      <c r="F34" s="2">
        <v>1</v>
      </c>
      <c r="G34" s="4">
        <v>1</v>
      </c>
      <c r="H34" s="13"/>
      <c r="I34" s="15"/>
      <c r="J34" s="19">
        <v>1</v>
      </c>
      <c r="K34" s="2" t="s">
        <v>79</v>
      </c>
      <c r="L34" s="11" t="str">
        <f t="shared" si="0"/>
        <v>Ver Imagen</v>
      </c>
      <c r="M34" t="s">
        <v>15</v>
      </c>
    </row>
    <row r="35" spans="1:13" x14ac:dyDescent="0.25">
      <c r="A35">
        <v>34</v>
      </c>
      <c r="B35" t="s">
        <v>80</v>
      </c>
      <c r="C35" s="1">
        <v>37.1974462202</v>
      </c>
      <c r="D35" s="1">
        <v>-7.0089830617900004</v>
      </c>
      <c r="E35" s="3">
        <v>1</v>
      </c>
      <c r="F35" s="2">
        <v>1</v>
      </c>
      <c r="G35" s="4">
        <v>1</v>
      </c>
      <c r="H35" s="13"/>
      <c r="I35" s="15"/>
      <c r="J35" s="19">
        <v>1</v>
      </c>
      <c r="K35" s="2" t="s">
        <v>81</v>
      </c>
      <c r="L35" s="11" t="str">
        <f t="shared" si="0"/>
        <v>Ver Imagen</v>
      </c>
      <c r="M35" t="s">
        <v>15</v>
      </c>
    </row>
    <row r="36" spans="1:13" x14ac:dyDescent="0.25">
      <c r="A36">
        <v>35</v>
      </c>
      <c r="B36" t="s">
        <v>82</v>
      </c>
      <c r="C36" s="1">
        <v>37.197393903600002</v>
      </c>
      <c r="D36" s="1">
        <v>-7.0087512994000001</v>
      </c>
      <c r="E36" s="3">
        <v>1</v>
      </c>
      <c r="F36" s="2">
        <v>1</v>
      </c>
      <c r="G36" s="4">
        <v>1</v>
      </c>
      <c r="H36" s="13"/>
      <c r="I36" s="15"/>
      <c r="J36" s="19">
        <v>1</v>
      </c>
      <c r="K36" s="2" t="s">
        <v>83</v>
      </c>
      <c r="L36" s="11" t="str">
        <f t="shared" si="0"/>
        <v>Ver Imagen</v>
      </c>
      <c r="M36" t="s">
        <v>15</v>
      </c>
    </row>
    <row r="37" spans="1:13" x14ac:dyDescent="0.25">
      <c r="A37">
        <v>36</v>
      </c>
      <c r="B37" t="s">
        <v>84</v>
      </c>
      <c r="C37" s="1">
        <v>37.1973261495</v>
      </c>
      <c r="D37" s="1">
        <v>-7.0082540560100002</v>
      </c>
      <c r="E37" s="3">
        <v>1</v>
      </c>
      <c r="F37" s="2">
        <v>1</v>
      </c>
      <c r="G37" s="4">
        <v>1</v>
      </c>
      <c r="H37" s="13"/>
      <c r="I37" s="15"/>
      <c r="J37" s="19">
        <v>1</v>
      </c>
      <c r="K37" s="2" t="s">
        <v>85</v>
      </c>
      <c r="L37" s="11" t="str">
        <f t="shared" si="0"/>
        <v>Ver Imagen</v>
      </c>
      <c r="M37" t="s">
        <v>15</v>
      </c>
    </row>
    <row r="38" spans="1:13" x14ac:dyDescent="0.25">
      <c r="A38">
        <v>37</v>
      </c>
      <c r="B38" t="s">
        <v>86</v>
      </c>
      <c r="C38" s="1">
        <v>37.197176966800001</v>
      </c>
      <c r="D38" s="1">
        <v>-7.0067016041399999</v>
      </c>
      <c r="E38" s="3">
        <v>1</v>
      </c>
      <c r="F38" s="2">
        <v>1</v>
      </c>
      <c r="G38" s="4">
        <v>1</v>
      </c>
      <c r="H38" s="13"/>
      <c r="I38" s="15"/>
      <c r="J38" s="19">
        <v>1</v>
      </c>
      <c r="K38" s="2" t="s">
        <v>87</v>
      </c>
      <c r="L38" s="11" t="str">
        <f t="shared" si="0"/>
        <v>Ver Imagen</v>
      </c>
      <c r="M38" t="s">
        <v>15</v>
      </c>
    </row>
    <row r="39" spans="1:13" x14ac:dyDescent="0.25">
      <c r="A39">
        <v>38</v>
      </c>
      <c r="B39" t="s">
        <v>88</v>
      </c>
      <c r="C39" s="1">
        <v>37.465212516999998</v>
      </c>
      <c r="D39" s="1">
        <v>-7.1230777116299997</v>
      </c>
      <c r="E39" s="3">
        <v>1</v>
      </c>
      <c r="F39" s="2">
        <v>1</v>
      </c>
      <c r="G39" s="4">
        <v>1</v>
      </c>
      <c r="H39" s="13"/>
      <c r="I39" s="15"/>
      <c r="J39" s="19">
        <v>1</v>
      </c>
      <c r="K39" s="2" t="s">
        <v>89</v>
      </c>
      <c r="L39" s="11" t="str">
        <f t="shared" si="0"/>
        <v>Ver Imagen</v>
      </c>
      <c r="M39" t="s">
        <v>15</v>
      </c>
    </row>
    <row r="40" spans="1:13" x14ac:dyDescent="0.25">
      <c r="A40">
        <v>39</v>
      </c>
      <c r="B40" t="s">
        <v>90</v>
      </c>
      <c r="C40" s="1">
        <v>37.4580456355</v>
      </c>
      <c r="D40" s="1">
        <v>-7.1256093535099998</v>
      </c>
      <c r="E40" s="3">
        <v>1</v>
      </c>
      <c r="F40" s="2">
        <v>1</v>
      </c>
      <c r="G40" s="4">
        <v>1</v>
      </c>
      <c r="H40" s="13"/>
      <c r="I40" s="15"/>
      <c r="J40" s="19">
        <v>1</v>
      </c>
      <c r="K40" s="2" t="s">
        <v>91</v>
      </c>
      <c r="L40" s="11" t="str">
        <f t="shared" si="0"/>
        <v>Ver Imagen</v>
      </c>
      <c r="M40" t="s">
        <v>15</v>
      </c>
    </row>
    <row r="41" spans="1:13" x14ac:dyDescent="0.25">
      <c r="A41">
        <v>40</v>
      </c>
      <c r="B41" t="s">
        <v>92</v>
      </c>
      <c r="C41" s="1">
        <v>37.453776880200003</v>
      </c>
      <c r="D41" s="1">
        <v>-7.1271574949599996</v>
      </c>
      <c r="E41" s="3">
        <v>1</v>
      </c>
      <c r="F41" s="2">
        <v>1</v>
      </c>
      <c r="G41" s="4">
        <v>1</v>
      </c>
      <c r="H41" s="13"/>
      <c r="I41" s="15"/>
      <c r="J41" s="19">
        <v>1</v>
      </c>
      <c r="K41" s="2" t="s">
        <v>93</v>
      </c>
      <c r="L41" s="11" t="str">
        <f t="shared" si="0"/>
        <v>Ver Imagen</v>
      </c>
      <c r="M41" t="s">
        <v>15</v>
      </c>
    </row>
    <row r="42" spans="1:13" x14ac:dyDescent="0.25">
      <c r="A42">
        <v>41</v>
      </c>
      <c r="B42" t="s">
        <v>94</v>
      </c>
      <c r="C42" s="1">
        <v>37.265425981999996</v>
      </c>
      <c r="D42" s="1">
        <v>-6.9964484622400001</v>
      </c>
      <c r="E42" s="3">
        <v>1</v>
      </c>
      <c r="F42" s="2">
        <v>1</v>
      </c>
      <c r="G42" s="4">
        <v>1</v>
      </c>
      <c r="H42" s="13"/>
      <c r="I42" s="15"/>
      <c r="J42" s="19">
        <v>1</v>
      </c>
      <c r="K42" s="2" t="s">
        <v>95</v>
      </c>
      <c r="L42" s="11" t="str">
        <f t="shared" si="0"/>
        <v>Ver Imagen</v>
      </c>
      <c r="M42" t="s">
        <v>15</v>
      </c>
    </row>
    <row r="43" spans="1:13" x14ac:dyDescent="0.25">
      <c r="A43">
        <v>42</v>
      </c>
      <c r="B43" t="s">
        <v>96</v>
      </c>
      <c r="C43" s="1">
        <v>37.265373799700001</v>
      </c>
      <c r="D43" s="1">
        <v>-6.9967061943199997</v>
      </c>
      <c r="E43" s="3">
        <v>1</v>
      </c>
      <c r="F43" s="2">
        <v>1</v>
      </c>
      <c r="G43" s="4">
        <v>1</v>
      </c>
      <c r="H43" s="13"/>
      <c r="I43" s="15"/>
      <c r="J43" s="19">
        <v>1</v>
      </c>
      <c r="K43" s="2" t="s">
        <v>97</v>
      </c>
      <c r="L43" s="11" t="str">
        <f t="shared" si="0"/>
        <v>Ver Imagen</v>
      </c>
      <c r="M43" t="s">
        <v>15</v>
      </c>
    </row>
    <row r="44" spans="1:13" x14ac:dyDescent="0.25">
      <c r="A44">
        <v>43</v>
      </c>
      <c r="B44" t="s">
        <v>98</v>
      </c>
      <c r="C44" s="1">
        <v>37.265328464500001</v>
      </c>
      <c r="D44" s="1">
        <v>-6.9969362800499999</v>
      </c>
      <c r="E44" s="3">
        <v>1</v>
      </c>
      <c r="F44" s="2">
        <v>1</v>
      </c>
      <c r="G44" s="4">
        <v>1</v>
      </c>
      <c r="H44" s="13"/>
      <c r="I44" s="15"/>
      <c r="J44" s="19">
        <v>1</v>
      </c>
      <c r="K44" s="2" t="s">
        <v>99</v>
      </c>
      <c r="L44" s="11" t="str">
        <f t="shared" si="0"/>
        <v>Ver Imagen</v>
      </c>
      <c r="M44" t="s">
        <v>15</v>
      </c>
    </row>
    <row r="45" spans="1:13" x14ac:dyDescent="0.25">
      <c r="A45">
        <v>44</v>
      </c>
      <c r="B45" t="s">
        <v>100</v>
      </c>
      <c r="C45" s="1">
        <v>37.208885279</v>
      </c>
      <c r="D45" s="1">
        <v>-7.0231739988799999</v>
      </c>
      <c r="E45" s="3">
        <v>1</v>
      </c>
      <c r="F45" s="2">
        <v>1</v>
      </c>
      <c r="G45" s="4">
        <v>1</v>
      </c>
      <c r="H45" s="13"/>
      <c r="I45" s="15"/>
      <c r="J45" s="19">
        <v>1</v>
      </c>
      <c r="K45" s="2" t="s">
        <v>101</v>
      </c>
      <c r="L45" s="11" t="str">
        <f t="shared" si="0"/>
        <v>Ver Imagen</v>
      </c>
      <c r="M45" t="s">
        <v>15</v>
      </c>
    </row>
    <row r="46" spans="1:13" x14ac:dyDescent="0.25">
      <c r="A46">
        <v>45</v>
      </c>
      <c r="B46" t="s">
        <v>102</v>
      </c>
      <c r="C46" s="1">
        <v>37.228561540199998</v>
      </c>
      <c r="D46" s="1">
        <v>-7.0213524055400001</v>
      </c>
      <c r="E46" s="3">
        <v>1</v>
      </c>
      <c r="F46" s="2">
        <v>1</v>
      </c>
      <c r="G46" s="4">
        <v>1</v>
      </c>
      <c r="H46" s="13"/>
      <c r="I46" s="15"/>
      <c r="J46" s="19">
        <v>1</v>
      </c>
      <c r="K46" s="2" t="s">
        <v>103</v>
      </c>
      <c r="L46" s="11" t="str">
        <f t="shared" si="0"/>
        <v>Ver Imagen</v>
      </c>
      <c r="M46" t="s">
        <v>15</v>
      </c>
    </row>
    <row r="47" spans="1:13" x14ac:dyDescent="0.25">
      <c r="A47">
        <v>46</v>
      </c>
      <c r="B47" t="s">
        <v>104</v>
      </c>
      <c r="C47" s="1">
        <v>37.228707952000001</v>
      </c>
      <c r="D47" s="1">
        <v>-7.0212395610099998</v>
      </c>
      <c r="E47" s="3">
        <v>1</v>
      </c>
      <c r="F47" s="2">
        <v>1</v>
      </c>
      <c r="G47" s="4">
        <v>1</v>
      </c>
      <c r="H47" s="13"/>
      <c r="I47" s="15"/>
      <c r="J47" s="19">
        <v>1</v>
      </c>
      <c r="K47" s="2" t="s">
        <v>105</v>
      </c>
      <c r="L47" s="11" t="str">
        <f t="shared" si="0"/>
        <v>Ver Imagen</v>
      </c>
      <c r="M47" t="s">
        <v>15</v>
      </c>
    </row>
    <row r="48" spans="1:13" x14ac:dyDescent="0.25">
      <c r="A48">
        <v>47</v>
      </c>
      <c r="B48" t="s">
        <v>106</v>
      </c>
      <c r="C48" s="1">
        <v>37.228834491800001</v>
      </c>
      <c r="D48" s="1">
        <v>-7.0211424964500004</v>
      </c>
      <c r="E48" s="3">
        <v>1</v>
      </c>
      <c r="F48" s="2">
        <v>1</v>
      </c>
      <c r="G48" s="4">
        <v>1</v>
      </c>
      <c r="H48" s="13"/>
      <c r="I48" s="15"/>
      <c r="J48" s="19">
        <v>1</v>
      </c>
      <c r="K48" s="2" t="s">
        <v>107</v>
      </c>
      <c r="L48" s="11" t="str">
        <f t="shared" si="0"/>
        <v>Ver Imagen</v>
      </c>
      <c r="M48" t="s">
        <v>15</v>
      </c>
    </row>
    <row r="49" spans="1:13" x14ac:dyDescent="0.25">
      <c r="A49">
        <v>48</v>
      </c>
      <c r="B49" t="s">
        <v>108</v>
      </c>
      <c r="C49" s="1">
        <v>37.229028700599997</v>
      </c>
      <c r="D49" s="1">
        <v>-7.0209945495200001</v>
      </c>
      <c r="E49" s="3">
        <v>1</v>
      </c>
      <c r="F49" s="2">
        <v>1</v>
      </c>
      <c r="G49" s="4">
        <v>1</v>
      </c>
      <c r="H49" s="13"/>
      <c r="I49" s="15"/>
      <c r="J49" s="19">
        <v>1</v>
      </c>
      <c r="K49" s="2" t="s">
        <v>109</v>
      </c>
      <c r="L49" s="11" t="str">
        <f t="shared" si="0"/>
        <v>Ver Imagen</v>
      </c>
      <c r="M49" t="s">
        <v>15</v>
      </c>
    </row>
    <row r="50" spans="1:13" x14ac:dyDescent="0.25">
      <c r="A50">
        <v>49</v>
      </c>
      <c r="B50" t="s">
        <v>110</v>
      </c>
      <c r="C50" s="1">
        <v>37.467528188800003</v>
      </c>
      <c r="D50" s="1">
        <v>-7.1850930435700002</v>
      </c>
      <c r="E50" s="3">
        <v>1</v>
      </c>
      <c r="F50" s="2">
        <v>2</v>
      </c>
      <c r="G50" s="4">
        <v>1</v>
      </c>
      <c r="H50" s="13"/>
      <c r="I50" s="15"/>
      <c r="J50" s="19">
        <v>1</v>
      </c>
      <c r="K50" s="2" t="s">
        <v>111</v>
      </c>
      <c r="L50" s="11" t="str">
        <f t="shared" ref="L50:L113" si="1">HYPERLINK("1\1\" &amp; K50, "Ver Imagen")</f>
        <v>Ver Imagen</v>
      </c>
      <c r="M50" t="s">
        <v>15</v>
      </c>
    </row>
    <row r="51" spans="1:13" x14ac:dyDescent="0.25">
      <c r="A51">
        <v>50</v>
      </c>
      <c r="B51" t="s">
        <v>112</v>
      </c>
      <c r="C51" s="1">
        <v>37.467618986700003</v>
      </c>
      <c r="D51" s="1">
        <v>-7.1852621116300002</v>
      </c>
      <c r="E51" s="3">
        <v>1</v>
      </c>
      <c r="F51" s="2">
        <v>2</v>
      </c>
      <c r="G51" s="4">
        <v>1</v>
      </c>
      <c r="H51" s="13"/>
      <c r="I51" s="15"/>
      <c r="J51" s="19">
        <v>1</v>
      </c>
      <c r="K51" s="2" t="s">
        <v>113</v>
      </c>
      <c r="L51" s="11" t="str">
        <f t="shared" si="1"/>
        <v>Ver Imagen</v>
      </c>
      <c r="M51" t="s">
        <v>15</v>
      </c>
    </row>
    <row r="52" spans="1:13" x14ac:dyDescent="0.25">
      <c r="A52">
        <v>51</v>
      </c>
      <c r="B52" t="s">
        <v>114</v>
      </c>
      <c r="C52" s="1">
        <v>37.4677631108</v>
      </c>
      <c r="D52" s="1">
        <v>-7.1855302331999997</v>
      </c>
      <c r="E52" s="3">
        <v>1</v>
      </c>
      <c r="F52" s="2">
        <v>2</v>
      </c>
      <c r="G52" s="4">
        <v>1</v>
      </c>
      <c r="H52" s="13"/>
      <c r="I52" s="15"/>
      <c r="J52" s="19">
        <v>1</v>
      </c>
      <c r="K52" s="2" t="s">
        <v>115</v>
      </c>
      <c r="L52" s="11" t="str">
        <f t="shared" si="1"/>
        <v>Ver Imagen</v>
      </c>
      <c r="M52" t="s">
        <v>15</v>
      </c>
    </row>
    <row r="53" spans="1:13" x14ac:dyDescent="0.25">
      <c r="A53">
        <v>52</v>
      </c>
      <c r="B53" t="s">
        <v>116</v>
      </c>
      <c r="C53" s="1">
        <v>37.467833600600002</v>
      </c>
      <c r="D53" s="1">
        <v>-7.1856613199400003</v>
      </c>
      <c r="E53" s="3">
        <v>1</v>
      </c>
      <c r="F53" s="2">
        <v>2</v>
      </c>
      <c r="G53" s="4">
        <v>1</v>
      </c>
      <c r="H53" s="13"/>
      <c r="I53" s="15"/>
      <c r="J53" s="19">
        <v>1</v>
      </c>
      <c r="K53" s="2" t="s">
        <v>117</v>
      </c>
      <c r="L53" s="11" t="str">
        <f t="shared" si="1"/>
        <v>Ver Imagen</v>
      </c>
      <c r="M53" t="s">
        <v>15</v>
      </c>
    </row>
    <row r="54" spans="1:13" x14ac:dyDescent="0.25">
      <c r="A54">
        <v>53</v>
      </c>
      <c r="B54" t="s">
        <v>118</v>
      </c>
      <c r="C54" s="1">
        <v>37.4900800952</v>
      </c>
      <c r="D54" s="1">
        <v>-7.2488707481899999</v>
      </c>
      <c r="E54" s="3">
        <v>1</v>
      </c>
      <c r="F54" s="2">
        <v>2</v>
      </c>
      <c r="G54" s="4">
        <v>1</v>
      </c>
      <c r="H54" s="13"/>
      <c r="I54" s="15"/>
      <c r="J54" s="19">
        <v>1</v>
      </c>
      <c r="K54" s="2" t="s">
        <v>119</v>
      </c>
      <c r="L54" s="11" t="str">
        <f t="shared" si="1"/>
        <v>Ver Imagen</v>
      </c>
      <c r="M54" t="s">
        <v>15</v>
      </c>
    </row>
    <row r="55" spans="1:13" x14ac:dyDescent="0.25">
      <c r="A55">
        <v>54</v>
      </c>
      <c r="B55" t="s">
        <v>120</v>
      </c>
      <c r="C55" s="1">
        <v>37.490087161399998</v>
      </c>
      <c r="D55" s="1">
        <v>-7.2585390925900004</v>
      </c>
      <c r="E55" s="3">
        <v>1</v>
      </c>
      <c r="F55" s="2">
        <v>2</v>
      </c>
      <c r="G55" s="4">
        <v>1</v>
      </c>
      <c r="H55" s="13"/>
      <c r="I55" s="15"/>
      <c r="J55" s="19">
        <v>1</v>
      </c>
      <c r="K55" s="2" t="s">
        <v>121</v>
      </c>
      <c r="L55" s="11" t="str">
        <f t="shared" si="1"/>
        <v>Ver Imagen</v>
      </c>
      <c r="M55" t="s">
        <v>15</v>
      </c>
    </row>
    <row r="56" spans="1:13" x14ac:dyDescent="0.25">
      <c r="A56">
        <v>55</v>
      </c>
      <c r="B56" t="s">
        <v>122</v>
      </c>
      <c r="C56" s="1">
        <v>37.490072088300003</v>
      </c>
      <c r="D56" s="1">
        <v>-7.2587693281999996</v>
      </c>
      <c r="E56" s="3">
        <v>1</v>
      </c>
      <c r="F56" s="2">
        <v>2</v>
      </c>
      <c r="G56" s="4">
        <v>1</v>
      </c>
      <c r="H56" s="13"/>
      <c r="I56" s="15"/>
      <c r="J56" s="19">
        <v>1</v>
      </c>
      <c r="K56" s="2" t="s">
        <v>123</v>
      </c>
      <c r="L56" s="11" t="str">
        <f t="shared" si="1"/>
        <v>Ver Imagen</v>
      </c>
      <c r="M56" t="s">
        <v>15</v>
      </c>
    </row>
    <row r="57" spans="1:13" x14ac:dyDescent="0.25">
      <c r="A57">
        <v>56</v>
      </c>
      <c r="B57" t="s">
        <v>124</v>
      </c>
      <c r="C57" s="1">
        <v>37.4766149282</v>
      </c>
      <c r="D57" s="1">
        <v>-7.2024947993400001</v>
      </c>
      <c r="E57" s="3">
        <v>1</v>
      </c>
      <c r="F57" s="2">
        <v>2</v>
      </c>
      <c r="G57" s="4">
        <v>1</v>
      </c>
      <c r="H57" s="13"/>
      <c r="I57" s="15"/>
      <c r="J57" s="19">
        <v>1</v>
      </c>
      <c r="K57" s="2" t="s">
        <v>125</v>
      </c>
      <c r="L57" s="11" t="str">
        <f t="shared" si="1"/>
        <v>Ver Imagen</v>
      </c>
      <c r="M57" t="s">
        <v>15</v>
      </c>
    </row>
    <row r="58" spans="1:13" x14ac:dyDescent="0.25">
      <c r="A58">
        <v>57</v>
      </c>
      <c r="B58" t="s">
        <v>126</v>
      </c>
      <c r="C58" s="1">
        <v>37.478807186399997</v>
      </c>
      <c r="D58" s="1">
        <v>-7.2075822943999999</v>
      </c>
      <c r="E58" s="3">
        <v>1</v>
      </c>
      <c r="F58" s="2">
        <v>2</v>
      </c>
      <c r="G58" s="4">
        <v>1</v>
      </c>
      <c r="H58" s="13"/>
      <c r="I58" s="15"/>
      <c r="J58" s="19">
        <v>1</v>
      </c>
      <c r="K58" s="2" t="s">
        <v>127</v>
      </c>
      <c r="L58" s="11" t="str">
        <f t="shared" si="1"/>
        <v>Ver Imagen</v>
      </c>
      <c r="M58" t="s">
        <v>15</v>
      </c>
    </row>
    <row r="59" spans="1:13" x14ac:dyDescent="0.25">
      <c r="A59">
        <v>58</v>
      </c>
      <c r="B59" t="s">
        <v>128</v>
      </c>
      <c r="C59" s="1">
        <v>37.482079334300003</v>
      </c>
      <c r="D59" s="1">
        <v>-7.2157907908499999</v>
      </c>
      <c r="E59" s="3">
        <v>1</v>
      </c>
      <c r="F59" s="2">
        <v>2</v>
      </c>
      <c r="G59" s="4">
        <v>1</v>
      </c>
      <c r="H59" s="13"/>
      <c r="I59" s="15"/>
      <c r="J59" s="19">
        <v>1</v>
      </c>
      <c r="K59" s="2" t="s">
        <v>129</v>
      </c>
      <c r="L59" s="11" t="str">
        <f t="shared" si="1"/>
        <v>Ver Imagen</v>
      </c>
      <c r="M59" t="s">
        <v>15</v>
      </c>
    </row>
    <row r="60" spans="1:13" x14ac:dyDescent="0.25">
      <c r="A60">
        <v>59</v>
      </c>
      <c r="B60" t="s">
        <v>130</v>
      </c>
      <c r="C60" s="1">
        <v>37.483450780799998</v>
      </c>
      <c r="D60" s="1">
        <v>-7.2224566830499999</v>
      </c>
      <c r="E60" s="3">
        <v>1</v>
      </c>
      <c r="F60" s="2">
        <v>2</v>
      </c>
      <c r="G60" s="4">
        <v>1</v>
      </c>
      <c r="H60" s="13"/>
      <c r="I60" s="15"/>
      <c r="J60" s="19">
        <v>1</v>
      </c>
      <c r="K60" s="2" t="s">
        <v>131</v>
      </c>
      <c r="L60" s="11" t="str">
        <f t="shared" si="1"/>
        <v>Ver Imagen</v>
      </c>
      <c r="M60" t="s">
        <v>15</v>
      </c>
    </row>
    <row r="61" spans="1:13" x14ac:dyDescent="0.25">
      <c r="A61">
        <v>60</v>
      </c>
      <c r="B61" t="s">
        <v>132</v>
      </c>
      <c r="C61" s="1">
        <v>37.483486268500002</v>
      </c>
      <c r="D61" s="1">
        <v>-7.2226408682400001</v>
      </c>
      <c r="E61" s="3">
        <v>1</v>
      </c>
      <c r="F61" s="2">
        <v>2</v>
      </c>
      <c r="G61" s="4">
        <v>1</v>
      </c>
      <c r="H61" s="13"/>
      <c r="I61" s="15"/>
      <c r="J61" s="19">
        <v>1</v>
      </c>
      <c r="K61" s="2" t="s">
        <v>133</v>
      </c>
      <c r="L61" s="11" t="str">
        <f t="shared" si="1"/>
        <v>Ver Imagen</v>
      </c>
      <c r="M61" t="s">
        <v>15</v>
      </c>
    </row>
    <row r="62" spans="1:13" x14ac:dyDescent="0.25">
      <c r="A62">
        <v>61</v>
      </c>
      <c r="B62" t="s">
        <v>134</v>
      </c>
      <c r="C62" s="1">
        <v>37.485683077399997</v>
      </c>
      <c r="D62" s="1">
        <v>-7.2340341173400002</v>
      </c>
      <c r="E62" s="3">
        <v>1</v>
      </c>
      <c r="F62" s="2">
        <v>2</v>
      </c>
      <c r="G62" s="4">
        <v>1</v>
      </c>
      <c r="H62" s="13"/>
      <c r="I62" s="15"/>
      <c r="J62" s="19">
        <v>1</v>
      </c>
      <c r="K62" s="2" t="s">
        <v>135</v>
      </c>
      <c r="L62" s="11" t="str">
        <f t="shared" si="1"/>
        <v>Ver Imagen</v>
      </c>
      <c r="M62" t="s">
        <v>15</v>
      </c>
    </row>
    <row r="63" spans="1:13" x14ac:dyDescent="0.25">
      <c r="A63">
        <v>62</v>
      </c>
      <c r="B63" t="s">
        <v>136</v>
      </c>
      <c r="C63" s="1">
        <v>37.485726239900004</v>
      </c>
      <c r="D63" s="1">
        <v>-7.2342644689600002</v>
      </c>
      <c r="E63" s="3">
        <v>1</v>
      </c>
      <c r="F63" s="2">
        <v>2</v>
      </c>
      <c r="G63" s="4">
        <v>1</v>
      </c>
      <c r="H63" s="13"/>
      <c r="I63" s="15"/>
      <c r="J63" s="19">
        <v>1</v>
      </c>
      <c r="K63" s="2" t="s">
        <v>137</v>
      </c>
      <c r="L63" s="11" t="str">
        <f t="shared" si="1"/>
        <v>Ver Imagen</v>
      </c>
      <c r="M63" t="s">
        <v>15</v>
      </c>
    </row>
    <row r="64" spans="1:13" x14ac:dyDescent="0.25">
      <c r="A64">
        <v>63</v>
      </c>
      <c r="B64" t="s">
        <v>138</v>
      </c>
      <c r="C64" s="1">
        <v>37.4881311842</v>
      </c>
      <c r="D64" s="1">
        <v>-7.24573575377</v>
      </c>
      <c r="E64" s="3">
        <v>1</v>
      </c>
      <c r="F64" s="2">
        <v>2</v>
      </c>
      <c r="G64" s="4">
        <v>1</v>
      </c>
      <c r="H64" s="13"/>
      <c r="I64" s="15"/>
      <c r="J64" s="19">
        <v>1</v>
      </c>
      <c r="K64" s="2" t="s">
        <v>139</v>
      </c>
      <c r="L64" s="11" t="str">
        <f t="shared" si="1"/>
        <v>Ver Imagen</v>
      </c>
      <c r="M64" t="s">
        <v>15</v>
      </c>
    </row>
    <row r="65" spans="1:13" x14ac:dyDescent="0.25">
      <c r="A65">
        <v>64</v>
      </c>
      <c r="B65" t="s">
        <v>140</v>
      </c>
      <c r="C65" s="1">
        <v>37.488235332999999</v>
      </c>
      <c r="D65" s="1">
        <v>-7.2460041407100002</v>
      </c>
      <c r="E65" s="3">
        <v>1</v>
      </c>
      <c r="F65" s="2">
        <v>2</v>
      </c>
      <c r="G65" s="4">
        <v>1</v>
      </c>
      <c r="H65" s="13"/>
      <c r="I65" s="15"/>
      <c r="J65" s="19">
        <v>1</v>
      </c>
      <c r="K65" s="2" t="s">
        <v>141</v>
      </c>
      <c r="L65" s="11" t="str">
        <f t="shared" si="1"/>
        <v>Ver Imagen</v>
      </c>
      <c r="M65" t="s">
        <v>15</v>
      </c>
    </row>
    <row r="66" spans="1:13" x14ac:dyDescent="0.25">
      <c r="A66">
        <v>65</v>
      </c>
      <c r="B66" t="s">
        <v>142</v>
      </c>
      <c r="C66" s="1">
        <v>37.488319986999997</v>
      </c>
      <c r="D66" s="1">
        <v>-7.2462215668900001</v>
      </c>
      <c r="E66" s="3">
        <v>1</v>
      </c>
      <c r="F66" s="2">
        <v>2</v>
      </c>
      <c r="G66" s="4">
        <v>1</v>
      </c>
      <c r="H66" s="13"/>
      <c r="I66" s="15"/>
      <c r="J66" s="19">
        <v>1</v>
      </c>
      <c r="K66" s="2" t="s">
        <v>143</v>
      </c>
      <c r="L66" s="11" t="str">
        <f t="shared" si="1"/>
        <v>Ver Imagen</v>
      </c>
      <c r="M66" t="s">
        <v>15</v>
      </c>
    </row>
    <row r="67" spans="1:13" x14ac:dyDescent="0.25">
      <c r="A67">
        <v>66</v>
      </c>
      <c r="B67" t="s">
        <v>144</v>
      </c>
      <c r="C67" s="1">
        <v>37.488404981800002</v>
      </c>
      <c r="D67" s="1">
        <v>-7.24643799521</v>
      </c>
      <c r="E67" s="3">
        <v>1</v>
      </c>
      <c r="F67" s="2">
        <v>2</v>
      </c>
      <c r="G67" s="4">
        <v>1</v>
      </c>
      <c r="H67" s="13"/>
      <c r="I67" s="15"/>
      <c r="J67" s="19">
        <v>1</v>
      </c>
      <c r="K67" s="2" t="s">
        <v>145</v>
      </c>
      <c r="L67" s="11" t="str">
        <f t="shared" si="1"/>
        <v>Ver Imagen</v>
      </c>
      <c r="M67" t="s">
        <v>15</v>
      </c>
    </row>
    <row r="68" spans="1:13" x14ac:dyDescent="0.25">
      <c r="A68">
        <v>67</v>
      </c>
      <c r="B68" t="s">
        <v>146</v>
      </c>
      <c r="C68" s="1">
        <v>37.490705820000002</v>
      </c>
      <c r="D68" s="1">
        <v>-7.2514278879100003</v>
      </c>
      <c r="E68" s="3">
        <v>1</v>
      </c>
      <c r="F68" s="2">
        <v>2</v>
      </c>
      <c r="G68" s="4">
        <v>1</v>
      </c>
      <c r="H68" s="13"/>
      <c r="I68" s="15"/>
      <c r="J68" s="19">
        <v>1</v>
      </c>
      <c r="K68" s="2" t="s">
        <v>147</v>
      </c>
      <c r="L68" s="11" t="str">
        <f t="shared" si="1"/>
        <v>Ver Imagen</v>
      </c>
      <c r="M68" t="s">
        <v>15</v>
      </c>
    </row>
    <row r="69" spans="1:13" x14ac:dyDescent="0.25">
      <c r="A69">
        <v>68</v>
      </c>
      <c r="B69" t="s">
        <v>148</v>
      </c>
      <c r="C69" s="1">
        <v>37.490690115600003</v>
      </c>
      <c r="D69" s="1">
        <v>-7.2519672977300003</v>
      </c>
      <c r="E69" s="3">
        <v>1</v>
      </c>
      <c r="F69" s="2">
        <v>2</v>
      </c>
      <c r="G69" s="4">
        <v>1</v>
      </c>
      <c r="H69" s="13"/>
      <c r="I69" s="15"/>
      <c r="J69" s="19">
        <v>1</v>
      </c>
      <c r="K69" s="2" t="s">
        <v>149</v>
      </c>
      <c r="L69" s="11" t="str">
        <f t="shared" si="1"/>
        <v>Ver Imagen</v>
      </c>
      <c r="M69" t="s">
        <v>15</v>
      </c>
    </row>
    <row r="70" spans="1:13" x14ac:dyDescent="0.25">
      <c r="A70">
        <v>69</v>
      </c>
      <c r="B70" t="s">
        <v>150</v>
      </c>
      <c r="C70" s="1">
        <v>37.490679926200002</v>
      </c>
      <c r="D70" s="1">
        <v>-7.2522529755800003</v>
      </c>
      <c r="E70" s="3">
        <v>1</v>
      </c>
      <c r="F70" s="2">
        <v>2</v>
      </c>
      <c r="G70" s="4">
        <v>1</v>
      </c>
      <c r="H70" s="13"/>
      <c r="I70" s="15"/>
      <c r="J70" s="19">
        <v>1</v>
      </c>
      <c r="K70" s="2" t="s">
        <v>151</v>
      </c>
      <c r="L70" s="11" t="str">
        <f t="shared" si="1"/>
        <v>Ver Imagen</v>
      </c>
      <c r="M70" t="s">
        <v>15</v>
      </c>
    </row>
    <row r="71" spans="1:13" x14ac:dyDescent="0.25">
      <c r="A71">
        <v>70</v>
      </c>
      <c r="B71" t="s">
        <v>152</v>
      </c>
      <c r="C71" s="1">
        <v>37.490668233199997</v>
      </c>
      <c r="D71" s="1">
        <v>-7.2525110048199997</v>
      </c>
      <c r="E71" s="3">
        <v>1</v>
      </c>
      <c r="F71" s="2">
        <v>2</v>
      </c>
      <c r="G71" s="4">
        <v>1</v>
      </c>
      <c r="H71" s="13"/>
      <c r="I71" s="15"/>
      <c r="J71" s="19">
        <v>1</v>
      </c>
      <c r="K71" s="2" t="s">
        <v>153</v>
      </c>
      <c r="L71" s="11" t="str">
        <f t="shared" si="1"/>
        <v>Ver Imagen</v>
      </c>
      <c r="M71" t="s">
        <v>15</v>
      </c>
    </row>
    <row r="72" spans="1:13" x14ac:dyDescent="0.25">
      <c r="A72">
        <v>71</v>
      </c>
      <c r="B72" t="s">
        <v>154</v>
      </c>
      <c r="C72" s="1">
        <v>37.4906034762</v>
      </c>
      <c r="D72" s="1">
        <v>-7.25346488985</v>
      </c>
      <c r="E72" s="3">
        <v>1</v>
      </c>
      <c r="F72" s="2">
        <v>2</v>
      </c>
      <c r="G72" s="4">
        <v>1</v>
      </c>
      <c r="H72" s="13"/>
      <c r="I72" s="15"/>
      <c r="J72" s="19">
        <v>1</v>
      </c>
      <c r="K72" s="2" t="s">
        <v>155</v>
      </c>
      <c r="L72" s="11" t="str">
        <f t="shared" si="1"/>
        <v>Ver Imagen</v>
      </c>
      <c r="M72" t="s">
        <v>15</v>
      </c>
    </row>
    <row r="73" spans="1:13" x14ac:dyDescent="0.25">
      <c r="A73">
        <v>72</v>
      </c>
      <c r="B73" t="s">
        <v>156</v>
      </c>
      <c r="C73" s="1">
        <v>37.490562537700001</v>
      </c>
      <c r="D73" s="1">
        <v>-7.2539585901399999</v>
      </c>
      <c r="E73" s="3">
        <v>1</v>
      </c>
      <c r="F73" s="2">
        <v>2</v>
      </c>
      <c r="G73" s="4">
        <v>1</v>
      </c>
      <c r="H73" s="13"/>
      <c r="I73" s="15"/>
      <c r="J73" s="19">
        <v>1</v>
      </c>
      <c r="K73" s="2" t="s">
        <v>157</v>
      </c>
      <c r="L73" s="11" t="str">
        <f t="shared" si="1"/>
        <v>Ver Imagen</v>
      </c>
      <c r="M73" t="s">
        <v>15</v>
      </c>
    </row>
    <row r="74" spans="1:13" x14ac:dyDescent="0.25">
      <c r="A74">
        <v>73</v>
      </c>
      <c r="B74" t="s">
        <v>158</v>
      </c>
      <c r="C74" s="1">
        <v>37.490540759799998</v>
      </c>
      <c r="D74" s="1">
        <v>-7.2542095241300002</v>
      </c>
      <c r="E74" s="3">
        <v>1</v>
      </c>
      <c r="F74" s="2">
        <v>2</v>
      </c>
      <c r="G74" s="4">
        <v>1</v>
      </c>
      <c r="H74" s="13"/>
      <c r="I74" s="15"/>
      <c r="J74" s="19">
        <v>1</v>
      </c>
      <c r="K74" s="2" t="s">
        <v>159</v>
      </c>
      <c r="L74" s="11" t="str">
        <f t="shared" si="1"/>
        <v>Ver Imagen</v>
      </c>
      <c r="M74" t="s">
        <v>15</v>
      </c>
    </row>
    <row r="75" spans="1:13" x14ac:dyDescent="0.25">
      <c r="A75">
        <v>74</v>
      </c>
      <c r="B75" t="s">
        <v>160</v>
      </c>
      <c r="C75" s="1">
        <v>37.490513712899997</v>
      </c>
      <c r="D75" s="1">
        <v>-7.2545149376399998</v>
      </c>
      <c r="E75" s="3">
        <v>1</v>
      </c>
      <c r="F75" s="2">
        <v>2</v>
      </c>
      <c r="G75" s="4">
        <v>1</v>
      </c>
      <c r="H75" s="13"/>
      <c r="I75" s="15"/>
      <c r="J75" s="19">
        <v>1</v>
      </c>
      <c r="K75" s="2" t="s">
        <v>161</v>
      </c>
      <c r="L75" s="11" t="str">
        <f t="shared" si="1"/>
        <v>Ver Imagen</v>
      </c>
      <c r="M75" t="s">
        <v>15</v>
      </c>
    </row>
    <row r="76" spans="1:13" x14ac:dyDescent="0.25">
      <c r="A76">
        <v>75</v>
      </c>
      <c r="B76" t="s">
        <v>162</v>
      </c>
      <c r="C76" s="1">
        <v>37.4904484455</v>
      </c>
      <c r="D76" s="1">
        <v>-7.2552793281100003</v>
      </c>
      <c r="E76" s="3">
        <v>1</v>
      </c>
      <c r="F76" s="2">
        <v>2</v>
      </c>
      <c r="G76" s="4">
        <v>1</v>
      </c>
      <c r="H76" s="13"/>
      <c r="I76" s="15"/>
      <c r="J76" s="19">
        <v>1</v>
      </c>
      <c r="K76" s="2" t="s">
        <v>163</v>
      </c>
      <c r="L76" s="11" t="str">
        <f t="shared" si="1"/>
        <v>Ver Imagen</v>
      </c>
      <c r="M76" t="s">
        <v>15</v>
      </c>
    </row>
    <row r="77" spans="1:13" x14ac:dyDescent="0.25">
      <c r="A77">
        <v>76</v>
      </c>
      <c r="B77" t="s">
        <v>164</v>
      </c>
      <c r="C77" s="1">
        <v>37.490363689399999</v>
      </c>
      <c r="D77" s="1">
        <v>-7.2562420467799997</v>
      </c>
      <c r="E77" s="3">
        <v>1</v>
      </c>
      <c r="F77" s="2">
        <v>2</v>
      </c>
      <c r="G77" s="4">
        <v>1</v>
      </c>
      <c r="H77" s="13"/>
      <c r="I77" s="15"/>
      <c r="J77" s="19">
        <v>1</v>
      </c>
      <c r="K77" s="2" t="s">
        <v>165</v>
      </c>
      <c r="L77" s="11" t="str">
        <f t="shared" si="1"/>
        <v>Ver Imagen</v>
      </c>
      <c r="M77" t="s">
        <v>15</v>
      </c>
    </row>
    <row r="78" spans="1:13" x14ac:dyDescent="0.25">
      <c r="A78">
        <v>77</v>
      </c>
      <c r="B78" t="s">
        <v>166</v>
      </c>
      <c r="C78" s="1">
        <v>37.490340661099999</v>
      </c>
      <c r="D78" s="1">
        <v>-7.2564977972799998</v>
      </c>
      <c r="E78" s="3">
        <v>1</v>
      </c>
      <c r="F78" s="2">
        <v>2</v>
      </c>
      <c r="G78" s="4">
        <v>1</v>
      </c>
      <c r="H78" s="13"/>
      <c r="I78" s="15"/>
      <c r="J78" s="19">
        <v>1</v>
      </c>
      <c r="K78" s="2" t="s">
        <v>167</v>
      </c>
      <c r="L78" s="11" t="str">
        <f t="shared" si="1"/>
        <v>Ver Imagen</v>
      </c>
      <c r="M78" t="s">
        <v>15</v>
      </c>
    </row>
    <row r="79" spans="1:13" x14ac:dyDescent="0.25">
      <c r="A79">
        <v>78</v>
      </c>
      <c r="B79" t="s">
        <v>168</v>
      </c>
      <c r="C79" s="1">
        <v>37.490312496599998</v>
      </c>
      <c r="D79" s="1">
        <v>-7.2567738402600002</v>
      </c>
      <c r="E79" s="3">
        <v>1</v>
      </c>
      <c r="F79" s="2">
        <v>2</v>
      </c>
      <c r="G79" s="4">
        <v>1</v>
      </c>
      <c r="H79" s="13"/>
      <c r="I79" s="15"/>
      <c r="J79" s="19">
        <v>1</v>
      </c>
      <c r="K79" s="2" t="s">
        <v>169</v>
      </c>
      <c r="L79" s="11" t="str">
        <f t="shared" si="1"/>
        <v>Ver Imagen</v>
      </c>
      <c r="M79" t="s">
        <v>15</v>
      </c>
    </row>
    <row r="80" spans="1:13" x14ac:dyDescent="0.25">
      <c r="A80">
        <v>79</v>
      </c>
      <c r="B80" t="s">
        <v>170</v>
      </c>
      <c r="C80" s="1">
        <v>37.4902549898</v>
      </c>
      <c r="D80" s="1">
        <v>-7.2572418595099997</v>
      </c>
      <c r="E80" s="3">
        <v>1</v>
      </c>
      <c r="F80" s="2">
        <v>2</v>
      </c>
      <c r="G80" s="4">
        <v>1</v>
      </c>
      <c r="H80" s="13"/>
      <c r="I80" s="15"/>
      <c r="J80" s="19">
        <v>1</v>
      </c>
      <c r="K80" s="2" t="s">
        <v>171</v>
      </c>
      <c r="L80" s="11" t="str">
        <f t="shared" si="1"/>
        <v>Ver Imagen</v>
      </c>
      <c r="M80" t="s">
        <v>15</v>
      </c>
    </row>
    <row r="81" spans="1:13" x14ac:dyDescent="0.25">
      <c r="A81">
        <v>80</v>
      </c>
      <c r="B81" t="s">
        <v>172</v>
      </c>
      <c r="C81" s="1">
        <v>37.490220811</v>
      </c>
      <c r="D81" s="1">
        <v>-7.2574897178400004</v>
      </c>
      <c r="E81" s="3">
        <v>1</v>
      </c>
      <c r="F81" s="2">
        <v>2</v>
      </c>
      <c r="G81" s="4">
        <v>1</v>
      </c>
      <c r="H81" s="13"/>
      <c r="I81" s="15"/>
      <c r="J81" s="19">
        <v>1</v>
      </c>
      <c r="K81" s="2" t="s">
        <v>173</v>
      </c>
      <c r="L81" s="11" t="str">
        <f t="shared" si="1"/>
        <v>Ver Imagen</v>
      </c>
      <c r="M81" t="s">
        <v>15</v>
      </c>
    </row>
    <row r="82" spans="1:13" x14ac:dyDescent="0.25">
      <c r="A82">
        <v>81</v>
      </c>
      <c r="B82" t="s">
        <v>174</v>
      </c>
      <c r="C82" s="1">
        <v>37.4901525975</v>
      </c>
      <c r="D82" s="1">
        <v>-7.2579835316999999</v>
      </c>
      <c r="E82" s="3">
        <v>1</v>
      </c>
      <c r="F82" s="2">
        <v>2</v>
      </c>
      <c r="G82" s="4">
        <v>1</v>
      </c>
      <c r="H82" s="13"/>
      <c r="I82" s="15"/>
      <c r="J82" s="19">
        <v>1</v>
      </c>
      <c r="K82" s="2" t="s">
        <v>175</v>
      </c>
      <c r="L82" s="11" t="str">
        <f t="shared" si="1"/>
        <v>Ver Imagen</v>
      </c>
      <c r="M82" t="s">
        <v>15</v>
      </c>
    </row>
    <row r="83" spans="1:13" x14ac:dyDescent="0.25">
      <c r="A83">
        <v>82</v>
      </c>
      <c r="B83" t="s">
        <v>176</v>
      </c>
      <c r="C83" s="1">
        <v>37.493137105999999</v>
      </c>
      <c r="D83" s="1">
        <v>-7.2634838042299998</v>
      </c>
      <c r="E83" s="3">
        <v>1</v>
      </c>
      <c r="F83" s="2">
        <v>2</v>
      </c>
      <c r="G83" s="4">
        <v>1</v>
      </c>
      <c r="H83" s="13"/>
      <c r="I83" s="15"/>
      <c r="J83" s="19">
        <v>1</v>
      </c>
      <c r="K83" s="2" t="s">
        <v>177</v>
      </c>
      <c r="L83" s="11" t="str">
        <f t="shared" si="1"/>
        <v>Ver Imagen</v>
      </c>
      <c r="M83" t="s">
        <v>15</v>
      </c>
    </row>
    <row r="84" spans="1:13" x14ac:dyDescent="0.25">
      <c r="A84">
        <v>83</v>
      </c>
      <c r="B84" t="s">
        <v>178</v>
      </c>
      <c r="C84" s="1">
        <v>37.464974236899998</v>
      </c>
      <c r="D84" s="1">
        <v>-7.1210508192099997</v>
      </c>
      <c r="E84" s="3">
        <v>1</v>
      </c>
      <c r="F84" s="2">
        <v>1</v>
      </c>
      <c r="G84" s="4">
        <v>2</v>
      </c>
      <c r="H84" s="13"/>
      <c r="I84" s="15"/>
      <c r="J84" s="19">
        <v>1</v>
      </c>
      <c r="K84" s="2" t="s">
        <v>179</v>
      </c>
      <c r="L84" s="11" t="str">
        <f t="shared" si="1"/>
        <v>Ver Imagen</v>
      </c>
      <c r="M84" t="s">
        <v>15</v>
      </c>
    </row>
    <row r="85" spans="1:13" x14ac:dyDescent="0.25">
      <c r="A85">
        <v>84</v>
      </c>
      <c r="B85" t="s">
        <v>180</v>
      </c>
      <c r="C85" s="1">
        <v>37.464431157200003</v>
      </c>
      <c r="D85" s="1">
        <v>-7.1193903455800003</v>
      </c>
      <c r="E85" s="3">
        <v>1</v>
      </c>
      <c r="F85" s="2">
        <v>1</v>
      </c>
      <c r="G85" s="4">
        <v>2</v>
      </c>
      <c r="H85" s="13"/>
      <c r="I85" s="15"/>
      <c r="J85" s="19">
        <v>1</v>
      </c>
      <c r="K85" s="2" t="s">
        <v>181</v>
      </c>
      <c r="L85" s="11" t="str">
        <f t="shared" si="1"/>
        <v>Ver Imagen</v>
      </c>
      <c r="M85" t="s">
        <v>15</v>
      </c>
    </row>
    <row r="86" spans="1:13" x14ac:dyDescent="0.25">
      <c r="A86">
        <v>85</v>
      </c>
      <c r="B86" t="s">
        <v>182</v>
      </c>
      <c r="C86" s="1">
        <v>37.464353826</v>
      </c>
      <c r="D86" s="1">
        <v>-7.1191946485799997</v>
      </c>
      <c r="E86" s="3">
        <v>1</v>
      </c>
      <c r="F86" s="2">
        <v>1</v>
      </c>
      <c r="G86" s="4">
        <v>2</v>
      </c>
      <c r="H86" s="13"/>
      <c r="I86" s="15"/>
      <c r="J86" s="19">
        <v>1</v>
      </c>
      <c r="K86" s="2" t="s">
        <v>183</v>
      </c>
      <c r="L86" s="11" t="str">
        <f t="shared" si="1"/>
        <v>Ver Imagen</v>
      </c>
      <c r="M86" t="s">
        <v>15</v>
      </c>
    </row>
    <row r="87" spans="1:13" x14ac:dyDescent="0.25">
      <c r="A87">
        <v>86</v>
      </c>
      <c r="B87" t="s">
        <v>184</v>
      </c>
      <c r="C87" s="1">
        <v>37.463497445599998</v>
      </c>
      <c r="D87" s="1">
        <v>-7.1181446172699996</v>
      </c>
      <c r="E87" s="3">
        <v>1</v>
      </c>
      <c r="F87" s="2">
        <v>1</v>
      </c>
      <c r="G87" s="4">
        <v>2</v>
      </c>
      <c r="H87" s="13"/>
      <c r="I87" s="15"/>
      <c r="J87" s="19">
        <v>1</v>
      </c>
      <c r="K87" s="2" t="s">
        <v>185</v>
      </c>
      <c r="L87" s="11" t="str">
        <f t="shared" si="1"/>
        <v>Ver Imagen</v>
      </c>
      <c r="M87" t="s">
        <v>15</v>
      </c>
    </row>
    <row r="88" spans="1:13" x14ac:dyDescent="0.25">
      <c r="A88">
        <v>87</v>
      </c>
      <c r="B88" t="s">
        <v>186</v>
      </c>
      <c r="C88" s="1">
        <v>37.463318292799997</v>
      </c>
      <c r="D88" s="1">
        <v>-7.1179926808999996</v>
      </c>
      <c r="E88" s="3">
        <v>1</v>
      </c>
      <c r="F88" s="2">
        <v>1</v>
      </c>
      <c r="G88" s="4">
        <v>2</v>
      </c>
      <c r="H88" s="13"/>
      <c r="I88" s="15"/>
      <c r="J88" s="19">
        <v>1</v>
      </c>
      <c r="K88" s="2" t="s">
        <v>187</v>
      </c>
      <c r="L88" s="11" t="str">
        <f t="shared" si="1"/>
        <v>Ver Imagen</v>
      </c>
      <c r="M88" t="s">
        <v>15</v>
      </c>
    </row>
    <row r="89" spans="1:13" x14ac:dyDescent="0.25">
      <c r="A89">
        <v>88</v>
      </c>
      <c r="B89" t="s">
        <v>188</v>
      </c>
      <c r="C89" s="1">
        <v>37.463154811800003</v>
      </c>
      <c r="D89" s="1">
        <v>-7.1178717141799996</v>
      </c>
      <c r="E89" s="3">
        <v>1</v>
      </c>
      <c r="F89" s="2">
        <v>1</v>
      </c>
      <c r="G89" s="4">
        <v>2</v>
      </c>
      <c r="H89" s="13"/>
      <c r="I89" s="15"/>
      <c r="J89" s="19">
        <v>1</v>
      </c>
      <c r="K89" s="2" t="s">
        <v>189</v>
      </c>
      <c r="L89" s="11" t="str">
        <f t="shared" si="1"/>
        <v>Ver Imagen</v>
      </c>
      <c r="M89" t="s">
        <v>15</v>
      </c>
    </row>
    <row r="90" spans="1:13" x14ac:dyDescent="0.25">
      <c r="A90">
        <v>89</v>
      </c>
      <c r="B90" t="s">
        <v>190</v>
      </c>
      <c r="C90" s="1">
        <v>37.462790816000002</v>
      </c>
      <c r="D90" s="1">
        <v>-7.1176336435399996</v>
      </c>
      <c r="E90" s="3">
        <v>1</v>
      </c>
      <c r="F90" s="2">
        <v>1</v>
      </c>
      <c r="G90" s="4">
        <v>2</v>
      </c>
      <c r="H90" s="13"/>
      <c r="I90" s="15"/>
      <c r="J90" s="19">
        <v>1</v>
      </c>
      <c r="K90" s="2" t="s">
        <v>191</v>
      </c>
      <c r="L90" s="11" t="str">
        <f t="shared" si="1"/>
        <v>Ver Imagen</v>
      </c>
      <c r="M90" t="s">
        <v>15</v>
      </c>
    </row>
    <row r="91" spans="1:13" x14ac:dyDescent="0.25">
      <c r="A91">
        <v>90</v>
      </c>
      <c r="B91" t="s">
        <v>192</v>
      </c>
      <c r="C91" s="1">
        <v>37.462410349999999</v>
      </c>
      <c r="D91" s="1">
        <v>-7.11738555144</v>
      </c>
      <c r="E91" s="3">
        <v>1</v>
      </c>
      <c r="F91" s="2">
        <v>1</v>
      </c>
      <c r="G91" s="4">
        <v>2</v>
      </c>
      <c r="H91" s="13"/>
      <c r="I91" s="15"/>
      <c r="J91" s="19">
        <v>1</v>
      </c>
      <c r="K91" s="2" t="s">
        <v>193</v>
      </c>
      <c r="L91" s="11" t="str">
        <f t="shared" si="1"/>
        <v>Ver Imagen</v>
      </c>
      <c r="M91" t="s">
        <v>15</v>
      </c>
    </row>
    <row r="92" spans="1:13" x14ac:dyDescent="0.25">
      <c r="A92">
        <v>91</v>
      </c>
      <c r="B92" t="s">
        <v>194</v>
      </c>
      <c r="C92" s="1">
        <v>37.4622247597</v>
      </c>
      <c r="D92" s="1">
        <v>-7.1172453419800004</v>
      </c>
      <c r="E92" s="3">
        <v>1</v>
      </c>
      <c r="F92" s="2">
        <v>1</v>
      </c>
      <c r="G92" s="4">
        <v>2</v>
      </c>
      <c r="H92" s="13"/>
      <c r="I92" s="15"/>
      <c r="J92" s="19">
        <v>1</v>
      </c>
      <c r="K92" s="2" t="s">
        <v>195</v>
      </c>
      <c r="L92" s="11" t="str">
        <f t="shared" si="1"/>
        <v>Ver Imagen</v>
      </c>
      <c r="M92" t="s">
        <v>15</v>
      </c>
    </row>
    <row r="93" spans="1:13" x14ac:dyDescent="0.25">
      <c r="A93">
        <v>92</v>
      </c>
      <c r="B93" t="s">
        <v>196</v>
      </c>
      <c r="C93" s="1">
        <v>37.462096770199999</v>
      </c>
      <c r="D93" s="1">
        <v>-7.1171371355700002</v>
      </c>
      <c r="E93" s="3">
        <v>1</v>
      </c>
      <c r="F93" s="2">
        <v>1</v>
      </c>
      <c r="G93" s="4">
        <v>2</v>
      </c>
      <c r="H93" s="13"/>
      <c r="I93" s="15"/>
      <c r="J93" s="19">
        <v>1</v>
      </c>
      <c r="K93" s="2" t="s">
        <v>197</v>
      </c>
      <c r="L93" s="11" t="str">
        <f t="shared" si="1"/>
        <v>Ver Imagen</v>
      </c>
      <c r="M93" t="s">
        <v>15</v>
      </c>
    </row>
    <row r="94" spans="1:13" x14ac:dyDescent="0.25">
      <c r="A94">
        <v>93</v>
      </c>
      <c r="B94" t="s">
        <v>198</v>
      </c>
      <c r="C94" s="1">
        <v>37.4619249239</v>
      </c>
      <c r="D94" s="1">
        <v>-7.1169766619899999</v>
      </c>
      <c r="E94" s="3">
        <v>1</v>
      </c>
      <c r="F94" s="2">
        <v>1</v>
      </c>
      <c r="G94" s="4">
        <v>2</v>
      </c>
      <c r="H94" s="13"/>
      <c r="I94" s="15"/>
      <c r="J94" s="19">
        <v>1</v>
      </c>
      <c r="K94" s="2" t="s">
        <v>199</v>
      </c>
      <c r="L94" s="11" t="str">
        <f t="shared" si="1"/>
        <v>Ver Imagen</v>
      </c>
      <c r="M94" t="s">
        <v>15</v>
      </c>
    </row>
    <row r="95" spans="1:13" x14ac:dyDescent="0.25">
      <c r="A95">
        <v>94</v>
      </c>
      <c r="B95" t="s">
        <v>200</v>
      </c>
      <c r="C95" s="1">
        <v>37.461741192600002</v>
      </c>
      <c r="D95" s="1">
        <v>-7.11677741959</v>
      </c>
      <c r="E95" s="3">
        <v>1</v>
      </c>
      <c r="F95" s="2">
        <v>1</v>
      </c>
      <c r="G95" s="4">
        <v>2</v>
      </c>
      <c r="H95" s="13"/>
      <c r="I95" s="15"/>
      <c r="J95" s="19">
        <v>1</v>
      </c>
      <c r="K95" s="2" t="s">
        <v>201</v>
      </c>
      <c r="L95" s="11" t="str">
        <f t="shared" si="1"/>
        <v>Ver Imagen</v>
      </c>
      <c r="M95" t="s">
        <v>15</v>
      </c>
    </row>
    <row r="96" spans="1:13" x14ac:dyDescent="0.25">
      <c r="A96">
        <v>95</v>
      </c>
      <c r="B96" t="s">
        <v>202</v>
      </c>
      <c r="C96" s="1">
        <v>37.461614676099998</v>
      </c>
      <c r="D96" s="1">
        <v>-7.1166238505599999</v>
      </c>
      <c r="E96" s="3">
        <v>1</v>
      </c>
      <c r="F96" s="2">
        <v>1</v>
      </c>
      <c r="G96" s="4">
        <v>2</v>
      </c>
      <c r="H96" s="13"/>
      <c r="I96" s="15"/>
      <c r="J96" s="19">
        <v>1</v>
      </c>
      <c r="K96" s="2" t="s">
        <v>203</v>
      </c>
      <c r="L96" s="11" t="str">
        <f t="shared" si="1"/>
        <v>Ver Imagen</v>
      </c>
      <c r="M96" t="s">
        <v>15</v>
      </c>
    </row>
    <row r="97" spans="1:13" x14ac:dyDescent="0.25">
      <c r="A97">
        <v>96</v>
      </c>
      <c r="B97" t="s">
        <v>204</v>
      </c>
      <c r="C97" s="1">
        <v>37.461337182900003</v>
      </c>
      <c r="D97" s="1">
        <v>-7.1162764876000004</v>
      </c>
      <c r="E97" s="3">
        <v>1</v>
      </c>
      <c r="F97" s="2">
        <v>1</v>
      </c>
      <c r="G97" s="4">
        <v>2</v>
      </c>
      <c r="H97" s="13"/>
      <c r="I97" s="15"/>
      <c r="J97" s="19">
        <v>1</v>
      </c>
      <c r="K97" s="2" t="s">
        <v>205</v>
      </c>
      <c r="L97" s="11" t="str">
        <f t="shared" si="1"/>
        <v>Ver Imagen</v>
      </c>
      <c r="M97" t="s">
        <v>15</v>
      </c>
    </row>
    <row r="98" spans="1:13" x14ac:dyDescent="0.25">
      <c r="A98">
        <v>97</v>
      </c>
      <c r="B98" t="s">
        <v>206</v>
      </c>
      <c r="C98" s="1">
        <v>37.461192681900002</v>
      </c>
      <c r="D98" s="1">
        <v>-7.1161015666100003</v>
      </c>
      <c r="E98" s="3">
        <v>1</v>
      </c>
      <c r="F98" s="2">
        <v>1</v>
      </c>
      <c r="G98" s="4">
        <v>2</v>
      </c>
      <c r="H98" s="13"/>
      <c r="I98" s="15"/>
      <c r="J98" s="19">
        <v>1</v>
      </c>
      <c r="K98" s="2" t="s">
        <v>207</v>
      </c>
      <c r="L98" s="11" t="str">
        <f t="shared" si="1"/>
        <v>Ver Imagen</v>
      </c>
      <c r="M98" t="s">
        <v>15</v>
      </c>
    </row>
    <row r="99" spans="1:13" x14ac:dyDescent="0.25">
      <c r="A99">
        <v>98</v>
      </c>
      <c r="B99" t="s">
        <v>208</v>
      </c>
      <c r="C99" s="1">
        <v>37.460018402499998</v>
      </c>
      <c r="D99" s="1">
        <v>-7.1151288587100003</v>
      </c>
      <c r="E99" s="3">
        <v>1</v>
      </c>
      <c r="F99" s="2">
        <v>1</v>
      </c>
      <c r="G99" s="4">
        <v>2</v>
      </c>
      <c r="H99" s="13"/>
      <c r="I99" s="15"/>
      <c r="J99" s="19">
        <v>1</v>
      </c>
      <c r="K99" s="2" t="s">
        <v>209</v>
      </c>
      <c r="L99" s="11" t="str">
        <f t="shared" si="1"/>
        <v>Ver Imagen</v>
      </c>
      <c r="M99" t="s">
        <v>15</v>
      </c>
    </row>
    <row r="100" spans="1:13" x14ac:dyDescent="0.25">
      <c r="A100">
        <v>99</v>
      </c>
      <c r="B100" t="s">
        <v>210</v>
      </c>
      <c r="C100" s="1">
        <v>37.217836762799998</v>
      </c>
      <c r="D100" s="1">
        <v>-7.1165117258899997</v>
      </c>
      <c r="E100" s="3">
        <v>1</v>
      </c>
      <c r="F100" s="2">
        <v>1</v>
      </c>
      <c r="G100" s="4">
        <v>2</v>
      </c>
      <c r="H100" s="13"/>
      <c r="I100" s="15"/>
      <c r="J100" s="19">
        <v>1</v>
      </c>
      <c r="K100" s="2" t="s">
        <v>211</v>
      </c>
      <c r="L100" s="11" t="str">
        <f t="shared" si="1"/>
        <v>Ver Imagen</v>
      </c>
      <c r="M100" t="s">
        <v>15</v>
      </c>
    </row>
    <row r="101" spans="1:13" x14ac:dyDescent="0.25">
      <c r="A101">
        <v>100</v>
      </c>
      <c r="B101" t="s">
        <v>212</v>
      </c>
      <c r="C101" s="1">
        <v>37.217800616700004</v>
      </c>
      <c r="D101" s="1">
        <v>-7.1162511940200002</v>
      </c>
      <c r="E101" s="3">
        <v>1</v>
      </c>
      <c r="F101" s="2">
        <v>1</v>
      </c>
      <c r="G101" s="4">
        <v>2</v>
      </c>
      <c r="H101" s="13"/>
      <c r="I101" s="15"/>
      <c r="J101" s="19">
        <v>1</v>
      </c>
      <c r="K101" s="2" t="s">
        <v>213</v>
      </c>
      <c r="L101" s="11" t="str">
        <f t="shared" si="1"/>
        <v>Ver Imagen</v>
      </c>
      <c r="M101" t="s">
        <v>15</v>
      </c>
    </row>
    <row r="102" spans="1:13" x14ac:dyDescent="0.25">
      <c r="A102">
        <v>101</v>
      </c>
      <c r="B102" t="s">
        <v>214</v>
      </c>
      <c r="C102" s="1">
        <v>37.217768080299997</v>
      </c>
      <c r="D102" s="1">
        <v>-7.1160083822600004</v>
      </c>
      <c r="E102" s="3">
        <v>1</v>
      </c>
      <c r="F102" s="2">
        <v>1</v>
      </c>
      <c r="G102" s="4">
        <v>2</v>
      </c>
      <c r="H102" s="13"/>
      <c r="I102" s="15"/>
      <c r="J102" s="19">
        <v>1</v>
      </c>
      <c r="K102" s="2" t="s">
        <v>215</v>
      </c>
      <c r="L102" s="11" t="str">
        <f t="shared" si="1"/>
        <v>Ver Imagen</v>
      </c>
      <c r="M102" t="s">
        <v>15</v>
      </c>
    </row>
    <row r="103" spans="1:13" x14ac:dyDescent="0.25">
      <c r="A103">
        <v>102</v>
      </c>
      <c r="B103" t="s">
        <v>216</v>
      </c>
      <c r="C103" s="1">
        <v>37.217732590600001</v>
      </c>
      <c r="D103" s="1">
        <v>-7.1157445932999996</v>
      </c>
      <c r="E103" s="3">
        <v>1</v>
      </c>
      <c r="F103" s="2">
        <v>1</v>
      </c>
      <c r="G103" s="4">
        <v>2</v>
      </c>
      <c r="H103" s="13"/>
      <c r="I103" s="15"/>
      <c r="J103" s="19">
        <v>1</v>
      </c>
      <c r="K103" s="2" t="s">
        <v>217</v>
      </c>
      <c r="L103" s="11" t="str">
        <f t="shared" si="1"/>
        <v>Ver Imagen</v>
      </c>
      <c r="M103" t="s">
        <v>15</v>
      </c>
    </row>
    <row r="104" spans="1:13" x14ac:dyDescent="0.25">
      <c r="A104">
        <v>103</v>
      </c>
      <c r="B104" t="s">
        <v>218</v>
      </c>
      <c r="C104" s="1">
        <v>37.217592942700001</v>
      </c>
      <c r="D104" s="1">
        <v>-7.11470679473</v>
      </c>
      <c r="E104" s="3">
        <v>1</v>
      </c>
      <c r="F104" s="2">
        <v>1</v>
      </c>
      <c r="G104" s="4">
        <v>2</v>
      </c>
      <c r="H104" s="13"/>
      <c r="I104" s="15"/>
      <c r="J104" s="19">
        <v>1</v>
      </c>
      <c r="K104" s="2" t="s">
        <v>219</v>
      </c>
      <c r="L104" s="11" t="str">
        <f t="shared" si="1"/>
        <v>Ver Imagen</v>
      </c>
      <c r="M104" t="s">
        <v>15</v>
      </c>
    </row>
    <row r="105" spans="1:13" x14ac:dyDescent="0.25">
      <c r="A105">
        <v>104</v>
      </c>
      <c r="B105" t="s">
        <v>220</v>
      </c>
      <c r="C105" s="1">
        <v>37.2176408009</v>
      </c>
      <c r="D105" s="1">
        <v>-7.1104482628600003</v>
      </c>
      <c r="E105" s="3">
        <v>1</v>
      </c>
      <c r="F105" s="2">
        <v>1</v>
      </c>
      <c r="G105" s="4">
        <v>2</v>
      </c>
      <c r="H105" s="13"/>
      <c r="I105" s="15"/>
      <c r="J105" s="19">
        <v>1</v>
      </c>
      <c r="K105" s="2" t="s">
        <v>221</v>
      </c>
      <c r="L105" s="11" t="str">
        <f t="shared" si="1"/>
        <v>Ver Imagen</v>
      </c>
      <c r="M105" t="s">
        <v>15</v>
      </c>
    </row>
    <row r="106" spans="1:13" x14ac:dyDescent="0.25">
      <c r="A106">
        <v>105</v>
      </c>
      <c r="B106" t="s">
        <v>222</v>
      </c>
      <c r="C106" s="1">
        <v>37.217650068600001</v>
      </c>
      <c r="D106" s="1">
        <v>-7.1101947003000001</v>
      </c>
      <c r="E106" s="3">
        <v>1</v>
      </c>
      <c r="F106" s="2">
        <v>1</v>
      </c>
      <c r="G106" s="4">
        <v>2</v>
      </c>
      <c r="H106" s="13"/>
      <c r="I106" s="15"/>
      <c r="J106" s="19">
        <v>1</v>
      </c>
      <c r="K106" s="2" t="s">
        <v>223</v>
      </c>
      <c r="L106" s="11" t="str">
        <f t="shared" si="1"/>
        <v>Ver Imagen</v>
      </c>
      <c r="M106" t="s">
        <v>15</v>
      </c>
    </row>
    <row r="107" spans="1:13" x14ac:dyDescent="0.25">
      <c r="A107">
        <v>106</v>
      </c>
      <c r="B107" t="s">
        <v>224</v>
      </c>
      <c r="C107" s="1">
        <v>37.217449255600002</v>
      </c>
      <c r="D107" s="1">
        <v>-7.1079332283600003</v>
      </c>
      <c r="E107" s="3">
        <v>1</v>
      </c>
      <c r="F107" s="2">
        <v>1</v>
      </c>
      <c r="G107" s="4">
        <v>2</v>
      </c>
      <c r="H107" s="13"/>
      <c r="I107" s="15"/>
      <c r="J107" s="19">
        <v>1</v>
      </c>
      <c r="K107" s="2" t="s">
        <v>225</v>
      </c>
      <c r="L107" s="11" t="str">
        <f t="shared" si="1"/>
        <v>Ver Imagen</v>
      </c>
      <c r="M107" t="s">
        <v>15</v>
      </c>
    </row>
    <row r="108" spans="1:13" x14ac:dyDescent="0.25">
      <c r="A108">
        <v>107</v>
      </c>
      <c r="B108" t="s">
        <v>226</v>
      </c>
      <c r="C108" s="1">
        <v>37.217262937599997</v>
      </c>
      <c r="D108" s="1">
        <v>-7.1066792680699997</v>
      </c>
      <c r="E108" s="3">
        <v>1</v>
      </c>
      <c r="F108" s="2">
        <v>1</v>
      </c>
      <c r="G108" s="4">
        <v>2</v>
      </c>
      <c r="H108" s="13"/>
      <c r="I108" s="15"/>
      <c r="J108" s="19">
        <v>1</v>
      </c>
      <c r="K108" s="2" t="s">
        <v>227</v>
      </c>
      <c r="L108" s="11" t="str">
        <f t="shared" si="1"/>
        <v>Ver Imagen</v>
      </c>
      <c r="M108" t="s">
        <v>15</v>
      </c>
    </row>
    <row r="109" spans="1:13" x14ac:dyDescent="0.25">
      <c r="A109">
        <v>108</v>
      </c>
      <c r="B109" t="s">
        <v>228</v>
      </c>
      <c r="C109" s="1">
        <v>37.217196227000002</v>
      </c>
      <c r="D109" s="1">
        <v>-7.1062007170700001</v>
      </c>
      <c r="E109" s="3">
        <v>1</v>
      </c>
      <c r="F109" s="2">
        <v>1</v>
      </c>
      <c r="G109" s="4">
        <v>2</v>
      </c>
      <c r="H109" s="13"/>
      <c r="I109" s="15"/>
      <c r="J109" s="19">
        <v>1</v>
      </c>
      <c r="K109" s="2" t="s">
        <v>229</v>
      </c>
      <c r="L109" s="11" t="str">
        <f t="shared" si="1"/>
        <v>Ver Imagen</v>
      </c>
      <c r="M109" t="s">
        <v>15</v>
      </c>
    </row>
    <row r="110" spans="1:13" x14ac:dyDescent="0.25">
      <c r="A110">
        <v>109</v>
      </c>
      <c r="B110" t="s">
        <v>230</v>
      </c>
      <c r="C110" s="1">
        <v>37.217161013199998</v>
      </c>
      <c r="D110" s="1">
        <v>-7.1059420426299997</v>
      </c>
      <c r="E110" s="3">
        <v>1</v>
      </c>
      <c r="F110" s="2">
        <v>1</v>
      </c>
      <c r="G110" s="4">
        <v>2</v>
      </c>
      <c r="H110" s="13"/>
      <c r="I110" s="15"/>
      <c r="J110" s="19">
        <v>1</v>
      </c>
      <c r="K110" s="2" t="s">
        <v>231</v>
      </c>
      <c r="L110" s="11" t="str">
        <f t="shared" si="1"/>
        <v>Ver Imagen</v>
      </c>
      <c r="M110" t="s">
        <v>15</v>
      </c>
    </row>
    <row r="111" spans="1:13" x14ac:dyDescent="0.25">
      <c r="A111">
        <v>110</v>
      </c>
      <c r="B111" t="s">
        <v>232</v>
      </c>
      <c r="C111" s="1">
        <v>37.216944109499998</v>
      </c>
      <c r="D111" s="1">
        <v>-7.1036803806400002</v>
      </c>
      <c r="E111" s="3">
        <v>1</v>
      </c>
      <c r="F111" s="2">
        <v>1</v>
      </c>
      <c r="G111" s="4">
        <v>2</v>
      </c>
      <c r="H111" s="13"/>
      <c r="I111" s="15"/>
      <c r="J111" s="19">
        <v>1</v>
      </c>
      <c r="K111" s="2" t="s">
        <v>233</v>
      </c>
      <c r="L111" s="11" t="str">
        <f t="shared" si="1"/>
        <v>Ver Imagen</v>
      </c>
      <c r="M111" t="s">
        <v>15</v>
      </c>
    </row>
    <row r="112" spans="1:13" x14ac:dyDescent="0.25">
      <c r="A112">
        <v>111</v>
      </c>
      <c r="B112" t="s">
        <v>234</v>
      </c>
      <c r="C112" s="1">
        <v>37.2169227654</v>
      </c>
      <c r="D112" s="1">
        <v>-7.1034431284300004</v>
      </c>
      <c r="E112" s="3">
        <v>1</v>
      </c>
      <c r="F112" s="2">
        <v>1</v>
      </c>
      <c r="G112" s="4">
        <v>2</v>
      </c>
      <c r="H112" s="13"/>
      <c r="I112" s="15"/>
      <c r="J112" s="19">
        <v>1</v>
      </c>
      <c r="K112" s="2" t="s">
        <v>235</v>
      </c>
      <c r="L112" s="11" t="str">
        <f t="shared" si="1"/>
        <v>Ver Imagen</v>
      </c>
      <c r="M112" t="s">
        <v>15</v>
      </c>
    </row>
    <row r="113" spans="1:13" x14ac:dyDescent="0.25">
      <c r="A113">
        <v>112</v>
      </c>
      <c r="B113" t="s">
        <v>236</v>
      </c>
      <c r="C113" s="1">
        <v>37.216902488599999</v>
      </c>
      <c r="D113" s="1">
        <v>-7.1032062828400004</v>
      </c>
      <c r="E113" s="3">
        <v>1</v>
      </c>
      <c r="F113" s="2">
        <v>1</v>
      </c>
      <c r="G113" s="4">
        <v>2</v>
      </c>
      <c r="H113" s="13"/>
      <c r="I113" s="15"/>
      <c r="J113" s="19">
        <v>1</v>
      </c>
      <c r="K113" s="2" t="s">
        <v>237</v>
      </c>
      <c r="L113" s="11" t="str">
        <f t="shared" si="1"/>
        <v>Ver Imagen</v>
      </c>
      <c r="M113" t="s">
        <v>15</v>
      </c>
    </row>
    <row r="114" spans="1:13" x14ac:dyDescent="0.25">
      <c r="A114">
        <v>113</v>
      </c>
      <c r="B114" t="s">
        <v>238</v>
      </c>
      <c r="C114" s="1">
        <v>37.216787592800003</v>
      </c>
      <c r="D114" s="1">
        <v>-7.1019256173400001</v>
      </c>
      <c r="E114" s="3">
        <v>1</v>
      </c>
      <c r="F114" s="2">
        <v>1</v>
      </c>
      <c r="G114" s="4">
        <v>2</v>
      </c>
      <c r="H114" s="13"/>
      <c r="I114" s="15"/>
      <c r="J114" s="19">
        <v>1</v>
      </c>
      <c r="K114" s="2" t="s">
        <v>239</v>
      </c>
      <c r="L114" s="11" t="str">
        <f t="shared" ref="L114:L177" si="2">HYPERLINK("1\1\" &amp; K114, "Ver Imagen")</f>
        <v>Ver Imagen</v>
      </c>
      <c r="M114" t="s">
        <v>15</v>
      </c>
    </row>
    <row r="115" spans="1:13" x14ac:dyDescent="0.25">
      <c r="A115">
        <v>114</v>
      </c>
      <c r="B115" t="s">
        <v>240</v>
      </c>
      <c r="C115" s="1">
        <v>37.216825970899997</v>
      </c>
      <c r="D115" s="1">
        <v>-7.1011628906400004</v>
      </c>
      <c r="E115" s="3">
        <v>1</v>
      </c>
      <c r="F115" s="2">
        <v>1</v>
      </c>
      <c r="G115" s="4">
        <v>2</v>
      </c>
      <c r="H115" s="13"/>
      <c r="I115" s="15"/>
      <c r="J115" s="19">
        <v>1</v>
      </c>
      <c r="K115" s="2" t="s">
        <v>241</v>
      </c>
      <c r="L115" s="11" t="str">
        <f t="shared" si="2"/>
        <v>Ver Imagen</v>
      </c>
      <c r="M115" t="s">
        <v>15</v>
      </c>
    </row>
    <row r="116" spans="1:13" x14ac:dyDescent="0.25">
      <c r="A116">
        <v>115</v>
      </c>
      <c r="B116" t="s">
        <v>242</v>
      </c>
      <c r="C116" s="1">
        <v>37.2166573911</v>
      </c>
      <c r="D116" s="1">
        <v>-7.09565970392</v>
      </c>
      <c r="E116" s="3">
        <v>1</v>
      </c>
      <c r="F116" s="2">
        <v>1</v>
      </c>
      <c r="G116" s="4">
        <v>2</v>
      </c>
      <c r="H116" s="13"/>
      <c r="I116" s="15"/>
      <c r="J116" s="19">
        <v>1</v>
      </c>
      <c r="K116" s="2" t="s">
        <v>243</v>
      </c>
      <c r="L116" s="11" t="str">
        <f t="shared" si="2"/>
        <v>Ver Imagen</v>
      </c>
      <c r="M116" t="s">
        <v>15</v>
      </c>
    </row>
    <row r="117" spans="1:13" x14ac:dyDescent="0.25">
      <c r="A117">
        <v>116</v>
      </c>
      <c r="B117" t="s">
        <v>244</v>
      </c>
      <c r="C117" s="1">
        <v>37.216021548800001</v>
      </c>
      <c r="D117" s="1">
        <v>-7.0876144180400003</v>
      </c>
      <c r="E117" s="3">
        <v>1</v>
      </c>
      <c r="F117" s="2">
        <v>1</v>
      </c>
      <c r="G117" s="4">
        <v>2</v>
      </c>
      <c r="H117" s="13"/>
      <c r="I117" s="15"/>
      <c r="J117" s="19">
        <v>1</v>
      </c>
      <c r="K117" s="2" t="s">
        <v>245</v>
      </c>
      <c r="L117" s="11" t="str">
        <f t="shared" si="2"/>
        <v>Ver Imagen</v>
      </c>
      <c r="M117" t="s">
        <v>15</v>
      </c>
    </row>
    <row r="118" spans="1:13" x14ac:dyDescent="0.25">
      <c r="A118">
        <v>117</v>
      </c>
      <c r="B118" t="s">
        <v>246</v>
      </c>
      <c r="C118" s="1">
        <v>37.216227173</v>
      </c>
      <c r="D118" s="1">
        <v>-7.0843834838399999</v>
      </c>
      <c r="E118" s="3">
        <v>1</v>
      </c>
      <c r="F118" s="2">
        <v>1</v>
      </c>
      <c r="G118" s="4">
        <v>2</v>
      </c>
      <c r="H118" s="13"/>
      <c r="I118" s="15"/>
      <c r="J118" s="19">
        <v>1</v>
      </c>
      <c r="K118" s="2" t="s">
        <v>247</v>
      </c>
      <c r="L118" s="11" t="str">
        <f t="shared" si="2"/>
        <v>Ver Imagen</v>
      </c>
      <c r="M118" t="s">
        <v>15</v>
      </c>
    </row>
    <row r="119" spans="1:13" x14ac:dyDescent="0.25">
      <c r="A119">
        <v>118</v>
      </c>
      <c r="B119" t="s">
        <v>248</v>
      </c>
      <c r="C119" s="1">
        <v>37.215662479000002</v>
      </c>
      <c r="D119" s="1">
        <v>-7.0819953365400004</v>
      </c>
      <c r="E119" s="3">
        <v>1</v>
      </c>
      <c r="F119" s="2">
        <v>1</v>
      </c>
      <c r="G119" s="4">
        <v>2</v>
      </c>
      <c r="H119" s="13"/>
      <c r="I119" s="15"/>
      <c r="J119" s="19">
        <v>1</v>
      </c>
      <c r="K119" s="2" t="s">
        <v>249</v>
      </c>
      <c r="L119" s="11" t="str">
        <f t="shared" si="2"/>
        <v>Ver Imagen</v>
      </c>
      <c r="M119" t="s">
        <v>15</v>
      </c>
    </row>
    <row r="120" spans="1:13" x14ac:dyDescent="0.25">
      <c r="A120">
        <v>119</v>
      </c>
      <c r="B120" t="s">
        <v>250</v>
      </c>
      <c r="C120" s="1">
        <v>37.215252385299998</v>
      </c>
      <c r="D120" s="1">
        <v>-7.0805504620899997</v>
      </c>
      <c r="E120" s="3">
        <v>1</v>
      </c>
      <c r="F120" s="2">
        <v>1</v>
      </c>
      <c r="G120" s="4">
        <v>2</v>
      </c>
      <c r="H120" s="13"/>
      <c r="I120" s="15"/>
      <c r="J120" s="19">
        <v>1</v>
      </c>
      <c r="K120" s="2" t="s">
        <v>251</v>
      </c>
      <c r="L120" s="11" t="str">
        <f t="shared" si="2"/>
        <v>Ver Imagen</v>
      </c>
      <c r="M120" t="s">
        <v>15</v>
      </c>
    </row>
    <row r="121" spans="1:13" x14ac:dyDescent="0.25">
      <c r="A121">
        <v>120</v>
      </c>
      <c r="B121" t="s">
        <v>252</v>
      </c>
      <c r="C121" s="1">
        <v>37.2146018969</v>
      </c>
      <c r="D121" s="1">
        <v>-7.0775733329600001</v>
      </c>
      <c r="E121" s="3">
        <v>1</v>
      </c>
      <c r="F121" s="2">
        <v>1</v>
      </c>
      <c r="G121" s="4">
        <v>2</v>
      </c>
      <c r="H121" s="13"/>
      <c r="I121" s="15"/>
      <c r="J121" s="19">
        <v>1</v>
      </c>
      <c r="K121" s="2" t="s">
        <v>253</v>
      </c>
      <c r="L121" s="11" t="str">
        <f t="shared" si="2"/>
        <v>Ver Imagen</v>
      </c>
      <c r="M121" t="s">
        <v>15</v>
      </c>
    </row>
    <row r="122" spans="1:13" x14ac:dyDescent="0.25">
      <c r="A122">
        <v>121</v>
      </c>
      <c r="B122" t="s">
        <v>254</v>
      </c>
      <c r="C122" s="1">
        <v>37.214555141200002</v>
      </c>
      <c r="D122" s="1">
        <v>-7.0773280982499998</v>
      </c>
      <c r="E122" s="3">
        <v>1</v>
      </c>
      <c r="F122" s="2">
        <v>1</v>
      </c>
      <c r="G122" s="4">
        <v>2</v>
      </c>
      <c r="H122" s="13"/>
      <c r="I122" s="15"/>
      <c r="J122" s="19">
        <v>1</v>
      </c>
      <c r="K122" s="2" t="s">
        <v>255</v>
      </c>
      <c r="L122" s="11" t="str">
        <f t="shared" si="2"/>
        <v>Ver Imagen</v>
      </c>
      <c r="M122" t="s">
        <v>15</v>
      </c>
    </row>
    <row r="123" spans="1:13" x14ac:dyDescent="0.25">
      <c r="A123">
        <v>122</v>
      </c>
      <c r="B123" t="s">
        <v>256</v>
      </c>
      <c r="C123" s="1">
        <v>37.214462614699997</v>
      </c>
      <c r="D123" s="1">
        <v>-7.0768366407299998</v>
      </c>
      <c r="E123" s="3">
        <v>1</v>
      </c>
      <c r="F123" s="2">
        <v>1</v>
      </c>
      <c r="G123" s="4">
        <v>2</v>
      </c>
      <c r="H123" s="13"/>
      <c r="I123" s="15"/>
      <c r="J123" s="19">
        <v>1</v>
      </c>
      <c r="K123" s="2" t="s">
        <v>257</v>
      </c>
      <c r="L123" s="11" t="str">
        <f t="shared" si="2"/>
        <v>Ver Imagen</v>
      </c>
      <c r="M123" t="s">
        <v>15</v>
      </c>
    </row>
    <row r="124" spans="1:13" x14ac:dyDescent="0.25">
      <c r="A124">
        <v>123</v>
      </c>
      <c r="B124" t="s">
        <v>258</v>
      </c>
      <c r="C124" s="1">
        <v>37.214409569700003</v>
      </c>
      <c r="D124" s="1">
        <v>-7.0765522281599997</v>
      </c>
      <c r="E124" s="3">
        <v>1</v>
      </c>
      <c r="F124" s="2">
        <v>1</v>
      </c>
      <c r="G124" s="4">
        <v>2</v>
      </c>
      <c r="H124" s="13"/>
      <c r="I124" s="15"/>
      <c r="J124" s="19">
        <v>1</v>
      </c>
      <c r="K124" s="2" t="s">
        <v>259</v>
      </c>
      <c r="L124" s="11" t="str">
        <f t="shared" si="2"/>
        <v>Ver Imagen</v>
      </c>
      <c r="M124" t="s">
        <v>15</v>
      </c>
    </row>
    <row r="125" spans="1:13" x14ac:dyDescent="0.25">
      <c r="A125">
        <v>124</v>
      </c>
      <c r="B125" t="s">
        <v>260</v>
      </c>
      <c r="C125" s="1">
        <v>37.214372957199998</v>
      </c>
      <c r="D125" s="1">
        <v>-7.0763607039699998</v>
      </c>
      <c r="E125" s="3">
        <v>1</v>
      </c>
      <c r="F125" s="2">
        <v>1</v>
      </c>
      <c r="G125" s="4">
        <v>2</v>
      </c>
      <c r="H125" s="13"/>
      <c r="I125" s="15"/>
      <c r="J125" s="19">
        <v>1</v>
      </c>
      <c r="K125" s="2" t="s">
        <v>261</v>
      </c>
      <c r="L125" s="11" t="str">
        <f t="shared" si="2"/>
        <v>Ver Imagen</v>
      </c>
      <c r="M125" t="s">
        <v>15</v>
      </c>
    </row>
    <row r="126" spans="1:13" x14ac:dyDescent="0.25">
      <c r="A126">
        <v>125</v>
      </c>
      <c r="B126" t="s">
        <v>262</v>
      </c>
      <c r="C126" s="1">
        <v>37.2143231282</v>
      </c>
      <c r="D126" s="1">
        <v>-7.0761088343300003</v>
      </c>
      <c r="E126" s="3">
        <v>1</v>
      </c>
      <c r="F126" s="2">
        <v>1</v>
      </c>
      <c r="G126" s="4">
        <v>2</v>
      </c>
      <c r="H126" s="13"/>
      <c r="I126" s="15"/>
      <c r="J126" s="19">
        <v>1</v>
      </c>
      <c r="K126" s="2" t="s">
        <v>263</v>
      </c>
      <c r="L126" s="11" t="str">
        <f t="shared" si="2"/>
        <v>Ver Imagen</v>
      </c>
      <c r="M126" t="s">
        <v>15</v>
      </c>
    </row>
    <row r="127" spans="1:13" x14ac:dyDescent="0.25">
      <c r="A127">
        <v>126</v>
      </c>
      <c r="B127" t="s">
        <v>264</v>
      </c>
      <c r="C127" s="1">
        <v>37.214280316100002</v>
      </c>
      <c r="D127" s="1">
        <v>-7.0758904570399999</v>
      </c>
      <c r="E127" s="3">
        <v>1</v>
      </c>
      <c r="F127" s="2">
        <v>1</v>
      </c>
      <c r="G127" s="4">
        <v>2</v>
      </c>
      <c r="H127" s="13"/>
      <c r="I127" s="15"/>
      <c r="J127" s="19">
        <v>1</v>
      </c>
      <c r="K127" s="2" t="s">
        <v>265</v>
      </c>
      <c r="L127" s="11" t="str">
        <f t="shared" si="2"/>
        <v>Ver Imagen</v>
      </c>
      <c r="M127" t="s">
        <v>15</v>
      </c>
    </row>
    <row r="128" spans="1:13" x14ac:dyDescent="0.25">
      <c r="A128">
        <v>127</v>
      </c>
      <c r="B128" t="s">
        <v>266</v>
      </c>
      <c r="C128" s="1">
        <v>37.2142291734</v>
      </c>
      <c r="D128" s="1">
        <v>-7.0756251793000002</v>
      </c>
      <c r="E128" s="3">
        <v>1</v>
      </c>
      <c r="F128" s="2">
        <v>1</v>
      </c>
      <c r="G128" s="4">
        <v>2</v>
      </c>
      <c r="H128" s="13"/>
      <c r="I128" s="15"/>
      <c r="J128" s="19">
        <v>1</v>
      </c>
      <c r="K128" s="2" t="s">
        <v>267</v>
      </c>
      <c r="L128" s="11" t="str">
        <f t="shared" si="2"/>
        <v>Ver Imagen</v>
      </c>
      <c r="M128" t="s">
        <v>15</v>
      </c>
    </row>
    <row r="129" spans="1:13" x14ac:dyDescent="0.25">
      <c r="A129">
        <v>128</v>
      </c>
      <c r="B129" t="s">
        <v>268</v>
      </c>
      <c r="C129" s="1">
        <v>37.214183838399997</v>
      </c>
      <c r="D129" s="1">
        <v>-7.07538416538</v>
      </c>
      <c r="E129" s="3">
        <v>1</v>
      </c>
      <c r="F129" s="2">
        <v>1</v>
      </c>
      <c r="G129" s="4">
        <v>2</v>
      </c>
      <c r="H129" s="13"/>
      <c r="I129" s="15"/>
      <c r="J129" s="19">
        <v>1</v>
      </c>
      <c r="K129" s="2" t="s">
        <v>269</v>
      </c>
      <c r="L129" s="11" t="str">
        <f t="shared" si="2"/>
        <v>Ver Imagen</v>
      </c>
      <c r="M129" t="s">
        <v>15</v>
      </c>
    </row>
    <row r="130" spans="1:13" x14ac:dyDescent="0.25">
      <c r="A130">
        <v>129</v>
      </c>
      <c r="B130" t="s">
        <v>270</v>
      </c>
      <c r="C130" s="1">
        <v>37.214009448200002</v>
      </c>
      <c r="D130" s="1">
        <v>-7.07440724843</v>
      </c>
      <c r="E130" s="3">
        <v>1</v>
      </c>
      <c r="F130" s="2">
        <v>1</v>
      </c>
      <c r="G130" s="4">
        <v>2</v>
      </c>
      <c r="H130" s="13"/>
      <c r="I130" s="15"/>
      <c r="J130" s="19">
        <v>1</v>
      </c>
      <c r="K130" s="2" t="s">
        <v>271</v>
      </c>
      <c r="L130" s="11" t="str">
        <f t="shared" si="2"/>
        <v>Ver Imagen</v>
      </c>
      <c r="M130" t="s">
        <v>15</v>
      </c>
    </row>
    <row r="131" spans="1:13" x14ac:dyDescent="0.25">
      <c r="A131">
        <v>130</v>
      </c>
      <c r="B131" t="s">
        <v>272</v>
      </c>
      <c r="C131" s="1">
        <v>37.213612889899998</v>
      </c>
      <c r="D131" s="1">
        <v>-7.0711185219299999</v>
      </c>
      <c r="E131" s="3">
        <v>1</v>
      </c>
      <c r="F131" s="2">
        <v>1</v>
      </c>
      <c r="G131" s="4">
        <v>2</v>
      </c>
      <c r="H131" s="13"/>
      <c r="I131" s="15"/>
      <c r="J131" s="19">
        <v>1</v>
      </c>
      <c r="K131" s="2" t="s">
        <v>273</v>
      </c>
      <c r="L131" s="11" t="str">
        <f t="shared" si="2"/>
        <v>Ver Imagen</v>
      </c>
      <c r="M131" t="s">
        <v>15</v>
      </c>
    </row>
    <row r="132" spans="1:13" x14ac:dyDescent="0.25">
      <c r="A132">
        <v>131</v>
      </c>
      <c r="B132" t="s">
        <v>274</v>
      </c>
      <c r="C132" s="1">
        <v>37.213557827000002</v>
      </c>
      <c r="D132" s="1">
        <v>-7.0706241247700001</v>
      </c>
      <c r="E132" s="3">
        <v>1</v>
      </c>
      <c r="F132" s="2">
        <v>1</v>
      </c>
      <c r="G132" s="4">
        <v>2</v>
      </c>
      <c r="H132" s="13"/>
      <c r="I132" s="15"/>
      <c r="J132" s="19">
        <v>1</v>
      </c>
      <c r="K132" s="2" t="s">
        <v>275</v>
      </c>
      <c r="L132" s="11" t="str">
        <f t="shared" si="2"/>
        <v>Ver Imagen</v>
      </c>
      <c r="M132" t="s">
        <v>15</v>
      </c>
    </row>
    <row r="133" spans="1:13" x14ac:dyDescent="0.25">
      <c r="A133">
        <v>132</v>
      </c>
      <c r="B133" t="s">
        <v>276</v>
      </c>
      <c r="C133" s="1">
        <v>37.213534972600002</v>
      </c>
      <c r="D133" s="1">
        <v>-7.0704035917699999</v>
      </c>
      <c r="E133" s="3">
        <v>1</v>
      </c>
      <c r="F133" s="2">
        <v>1</v>
      </c>
      <c r="G133" s="4">
        <v>2</v>
      </c>
      <c r="H133" s="13"/>
      <c r="I133" s="15"/>
      <c r="J133" s="19">
        <v>1</v>
      </c>
      <c r="K133" s="2" t="s">
        <v>277</v>
      </c>
      <c r="L133" s="11" t="str">
        <f t="shared" si="2"/>
        <v>Ver Imagen</v>
      </c>
      <c r="M133" t="s">
        <v>15</v>
      </c>
    </row>
    <row r="134" spans="1:13" x14ac:dyDescent="0.25">
      <c r="A134">
        <v>133</v>
      </c>
      <c r="B134" t="s">
        <v>278</v>
      </c>
      <c r="C134" s="1">
        <v>37.213512476299996</v>
      </c>
      <c r="D134" s="1">
        <v>-7.07014968984</v>
      </c>
      <c r="E134" s="3">
        <v>1</v>
      </c>
      <c r="F134" s="2">
        <v>1</v>
      </c>
      <c r="G134" s="4">
        <v>2</v>
      </c>
      <c r="H134" s="13"/>
      <c r="I134" s="15"/>
      <c r="J134" s="19">
        <v>1</v>
      </c>
      <c r="K134" s="2" t="s">
        <v>279</v>
      </c>
      <c r="L134" s="11" t="str">
        <f t="shared" si="2"/>
        <v>Ver Imagen</v>
      </c>
      <c r="M134" t="s">
        <v>15</v>
      </c>
    </row>
    <row r="135" spans="1:13" x14ac:dyDescent="0.25">
      <c r="A135">
        <v>134</v>
      </c>
      <c r="B135" t="s">
        <v>280</v>
      </c>
      <c r="C135" s="1">
        <v>37.213493518200004</v>
      </c>
      <c r="D135" s="1">
        <v>-7.0698987901999999</v>
      </c>
      <c r="E135" s="3">
        <v>1</v>
      </c>
      <c r="F135" s="2">
        <v>1</v>
      </c>
      <c r="G135" s="4">
        <v>2</v>
      </c>
      <c r="H135" s="13"/>
      <c r="I135" s="15"/>
      <c r="J135" s="19">
        <v>1</v>
      </c>
      <c r="K135" s="2" t="s">
        <v>281</v>
      </c>
      <c r="L135" s="11" t="str">
        <f t="shared" si="2"/>
        <v>Ver Imagen</v>
      </c>
      <c r="M135" t="s">
        <v>15</v>
      </c>
    </row>
    <row r="136" spans="1:13" x14ac:dyDescent="0.25">
      <c r="A136">
        <v>135</v>
      </c>
      <c r="B136" t="s">
        <v>282</v>
      </c>
      <c r="C136" s="1">
        <v>37.2134767298</v>
      </c>
      <c r="D136" s="1">
        <v>-7.0696145755000002</v>
      </c>
      <c r="E136" s="3">
        <v>1</v>
      </c>
      <c r="F136" s="2">
        <v>1</v>
      </c>
      <c r="G136" s="4">
        <v>2</v>
      </c>
      <c r="H136" s="13"/>
      <c r="I136" s="15"/>
      <c r="J136" s="19">
        <v>1</v>
      </c>
      <c r="K136" s="2" t="s">
        <v>283</v>
      </c>
      <c r="L136" s="11" t="str">
        <f t="shared" si="2"/>
        <v>Ver Imagen</v>
      </c>
      <c r="M136" t="s">
        <v>15</v>
      </c>
    </row>
    <row r="137" spans="1:13" x14ac:dyDescent="0.25">
      <c r="A137">
        <v>136</v>
      </c>
      <c r="B137" t="s">
        <v>284</v>
      </c>
      <c r="C137" s="1">
        <v>37.2134582702</v>
      </c>
      <c r="D137" s="1">
        <v>-7.0691522952000003</v>
      </c>
      <c r="E137" s="3">
        <v>1</v>
      </c>
      <c r="F137" s="2">
        <v>1</v>
      </c>
      <c r="G137" s="4">
        <v>2</v>
      </c>
      <c r="H137" s="13"/>
      <c r="I137" s="15"/>
      <c r="J137" s="19">
        <v>1</v>
      </c>
      <c r="K137" s="2" t="s">
        <v>285</v>
      </c>
      <c r="L137" s="11" t="str">
        <f t="shared" si="2"/>
        <v>Ver Imagen</v>
      </c>
      <c r="M137" t="s">
        <v>15</v>
      </c>
    </row>
    <row r="138" spans="1:13" x14ac:dyDescent="0.25">
      <c r="A138">
        <v>137</v>
      </c>
      <c r="B138" t="s">
        <v>286</v>
      </c>
      <c r="C138" s="1">
        <v>37.213427129099998</v>
      </c>
      <c r="D138" s="1">
        <v>-7.0683615525499999</v>
      </c>
      <c r="E138" s="3">
        <v>1</v>
      </c>
      <c r="F138" s="2">
        <v>1</v>
      </c>
      <c r="G138" s="4">
        <v>2</v>
      </c>
      <c r="H138" s="13"/>
      <c r="I138" s="15"/>
      <c r="J138" s="19">
        <v>1</v>
      </c>
      <c r="K138" s="2" t="s">
        <v>287</v>
      </c>
      <c r="L138" s="11" t="str">
        <f t="shared" si="2"/>
        <v>Ver Imagen</v>
      </c>
      <c r="M138" t="s">
        <v>15</v>
      </c>
    </row>
    <row r="139" spans="1:13" x14ac:dyDescent="0.25">
      <c r="A139">
        <v>138</v>
      </c>
      <c r="B139" t="s">
        <v>288</v>
      </c>
      <c r="C139" s="1">
        <v>37.213401263500003</v>
      </c>
      <c r="D139" s="1">
        <v>-7.0678530266299999</v>
      </c>
      <c r="E139" s="3">
        <v>1</v>
      </c>
      <c r="F139" s="2">
        <v>1</v>
      </c>
      <c r="G139" s="4">
        <v>2</v>
      </c>
      <c r="H139" s="13"/>
      <c r="I139" s="15"/>
      <c r="J139" s="19">
        <v>1</v>
      </c>
      <c r="K139" s="2" t="s">
        <v>289</v>
      </c>
      <c r="L139" s="11" t="str">
        <f t="shared" si="2"/>
        <v>Ver Imagen</v>
      </c>
      <c r="M139" t="s">
        <v>15</v>
      </c>
    </row>
    <row r="140" spans="1:13" x14ac:dyDescent="0.25">
      <c r="A140">
        <v>139</v>
      </c>
      <c r="B140" t="s">
        <v>290</v>
      </c>
      <c r="C140" s="1">
        <v>37.213348801199999</v>
      </c>
      <c r="D140" s="1">
        <v>-7.0666375297200004</v>
      </c>
      <c r="E140" s="3">
        <v>1</v>
      </c>
      <c r="F140" s="2">
        <v>1</v>
      </c>
      <c r="G140" s="4">
        <v>2</v>
      </c>
      <c r="H140" s="13"/>
      <c r="I140" s="15"/>
      <c r="J140" s="19">
        <v>1</v>
      </c>
      <c r="K140" s="2" t="s">
        <v>291</v>
      </c>
      <c r="L140" s="11" t="str">
        <f t="shared" si="2"/>
        <v>Ver Imagen</v>
      </c>
      <c r="M140" t="s">
        <v>15</v>
      </c>
    </row>
    <row r="141" spans="1:13" x14ac:dyDescent="0.25">
      <c r="A141">
        <v>140</v>
      </c>
      <c r="B141" t="s">
        <v>292</v>
      </c>
      <c r="C141" s="1">
        <v>37.213307809600003</v>
      </c>
      <c r="D141" s="1">
        <v>-7.0653542036400001</v>
      </c>
      <c r="E141" s="3">
        <v>1</v>
      </c>
      <c r="F141" s="2">
        <v>1</v>
      </c>
      <c r="G141" s="4">
        <v>2</v>
      </c>
      <c r="H141" s="13"/>
      <c r="I141" s="15"/>
      <c r="J141" s="19">
        <v>1</v>
      </c>
      <c r="K141" s="2" t="s">
        <v>293</v>
      </c>
      <c r="L141" s="11" t="str">
        <f t="shared" si="2"/>
        <v>Ver Imagen</v>
      </c>
      <c r="M141" t="s">
        <v>15</v>
      </c>
    </row>
    <row r="142" spans="1:13" x14ac:dyDescent="0.25">
      <c r="A142">
        <v>141</v>
      </c>
      <c r="B142" t="s">
        <v>294</v>
      </c>
      <c r="C142" s="1">
        <v>37.211947150299999</v>
      </c>
      <c r="D142" s="1">
        <v>-7.0589051030299999</v>
      </c>
      <c r="E142" s="3">
        <v>2</v>
      </c>
      <c r="F142" s="2">
        <v>1</v>
      </c>
      <c r="G142" s="4">
        <v>1</v>
      </c>
      <c r="H142" s="13"/>
      <c r="I142" s="15"/>
      <c r="J142" s="19">
        <v>1</v>
      </c>
      <c r="K142" s="2" t="s">
        <v>295</v>
      </c>
      <c r="L142" s="11" t="str">
        <f t="shared" si="2"/>
        <v>Ver Imagen</v>
      </c>
      <c r="M142" t="s">
        <v>15</v>
      </c>
    </row>
    <row r="143" spans="1:13" x14ac:dyDescent="0.25">
      <c r="A143">
        <v>142</v>
      </c>
      <c r="B143" t="s">
        <v>296</v>
      </c>
      <c r="C143" s="1">
        <v>37.210028379199997</v>
      </c>
      <c r="D143" s="1">
        <v>-7.0418082143199996</v>
      </c>
      <c r="E143" s="3">
        <v>2</v>
      </c>
      <c r="F143" s="2">
        <v>1</v>
      </c>
      <c r="G143" s="4">
        <v>1</v>
      </c>
      <c r="H143" s="13"/>
      <c r="I143" s="15"/>
      <c r="J143" s="19">
        <v>1</v>
      </c>
      <c r="K143" s="2" t="s">
        <v>297</v>
      </c>
      <c r="L143" s="11" t="str">
        <f t="shared" si="2"/>
        <v>Ver Imagen</v>
      </c>
      <c r="M143" t="s">
        <v>15</v>
      </c>
    </row>
    <row r="144" spans="1:13" x14ac:dyDescent="0.25">
      <c r="A144">
        <v>143</v>
      </c>
      <c r="B144" t="s">
        <v>298</v>
      </c>
      <c r="C144" s="1">
        <v>37.203917001900003</v>
      </c>
      <c r="D144" s="1">
        <v>-7.0258793363400001</v>
      </c>
      <c r="E144" s="3">
        <v>1</v>
      </c>
      <c r="F144" s="2">
        <v>2</v>
      </c>
      <c r="G144" s="4">
        <v>1</v>
      </c>
      <c r="H144" s="13"/>
      <c r="I144" s="15"/>
      <c r="J144" s="19">
        <v>1</v>
      </c>
      <c r="K144" s="2" t="s">
        <v>299</v>
      </c>
      <c r="L144" s="11" t="str">
        <f t="shared" si="2"/>
        <v>Ver Imagen</v>
      </c>
      <c r="M144" t="s">
        <v>15</v>
      </c>
    </row>
    <row r="145" spans="1:13" x14ac:dyDescent="0.25">
      <c r="A145">
        <v>144</v>
      </c>
      <c r="B145" t="s">
        <v>300</v>
      </c>
      <c r="C145" s="1">
        <v>37.203826780699998</v>
      </c>
      <c r="D145" s="1">
        <v>-7.0256451443200003</v>
      </c>
      <c r="E145" s="3">
        <v>1</v>
      </c>
      <c r="F145" s="2">
        <v>2</v>
      </c>
      <c r="G145" s="4">
        <v>1</v>
      </c>
      <c r="H145" s="13"/>
      <c r="I145" s="15"/>
      <c r="J145" s="19">
        <v>1</v>
      </c>
      <c r="K145" s="2" t="s">
        <v>301</v>
      </c>
      <c r="L145" s="11" t="str">
        <f t="shared" si="2"/>
        <v>Ver Imagen</v>
      </c>
      <c r="M145" t="s">
        <v>15</v>
      </c>
    </row>
    <row r="146" spans="1:13" x14ac:dyDescent="0.25">
      <c r="A146">
        <v>145</v>
      </c>
      <c r="B146" t="s">
        <v>302</v>
      </c>
      <c r="C146" s="1">
        <v>37.203285781700004</v>
      </c>
      <c r="D146" s="1">
        <v>-7.0242523405500004</v>
      </c>
      <c r="E146" s="3">
        <v>1</v>
      </c>
      <c r="F146" s="2">
        <v>2</v>
      </c>
      <c r="G146" s="4">
        <v>1</v>
      </c>
      <c r="H146" s="13"/>
      <c r="I146" s="15"/>
      <c r="J146" s="19">
        <v>1</v>
      </c>
      <c r="K146" s="2" t="s">
        <v>303</v>
      </c>
      <c r="L146" s="11" t="str">
        <f t="shared" si="2"/>
        <v>Ver Imagen</v>
      </c>
      <c r="M146" t="s">
        <v>15</v>
      </c>
    </row>
    <row r="147" spans="1:13" x14ac:dyDescent="0.25">
      <c r="A147">
        <v>146</v>
      </c>
      <c r="B147" t="s">
        <v>304</v>
      </c>
      <c r="C147" s="1">
        <v>37.202849861899999</v>
      </c>
      <c r="D147" s="1">
        <v>-7.0231303238300002</v>
      </c>
      <c r="E147" s="3">
        <v>1</v>
      </c>
      <c r="F147" s="2">
        <v>2</v>
      </c>
      <c r="G147" s="4">
        <v>1</v>
      </c>
      <c r="H147" s="13"/>
      <c r="I147" s="15"/>
      <c r="J147" s="19">
        <v>1</v>
      </c>
      <c r="K147" s="2" t="s">
        <v>305</v>
      </c>
      <c r="L147" s="11" t="str">
        <f t="shared" si="2"/>
        <v>Ver Imagen</v>
      </c>
      <c r="M147" t="s">
        <v>15</v>
      </c>
    </row>
    <row r="148" spans="1:13" x14ac:dyDescent="0.25">
      <c r="A148">
        <v>147</v>
      </c>
      <c r="B148" t="s">
        <v>306</v>
      </c>
      <c r="C148" s="1">
        <v>37.202328762699999</v>
      </c>
      <c r="D148" s="1">
        <v>-7.0217655519999997</v>
      </c>
      <c r="E148" s="3">
        <v>1</v>
      </c>
      <c r="F148" s="2">
        <v>1</v>
      </c>
      <c r="G148" s="4">
        <v>2</v>
      </c>
      <c r="H148" s="13"/>
      <c r="I148" s="15"/>
      <c r="J148" s="19">
        <v>1</v>
      </c>
      <c r="K148" s="2" t="s">
        <v>307</v>
      </c>
      <c r="L148" s="11" t="str">
        <f t="shared" si="2"/>
        <v>Ver Imagen</v>
      </c>
      <c r="M148" t="s">
        <v>15</v>
      </c>
    </row>
    <row r="149" spans="1:13" x14ac:dyDescent="0.25">
      <c r="A149">
        <v>148</v>
      </c>
      <c r="B149" t="s">
        <v>308</v>
      </c>
      <c r="C149" s="1">
        <v>37.202232066900002</v>
      </c>
      <c r="D149" s="1">
        <v>-7.0215129771799996</v>
      </c>
      <c r="E149" s="3">
        <v>1</v>
      </c>
      <c r="F149" s="2">
        <v>2</v>
      </c>
      <c r="G149" s="4">
        <v>1</v>
      </c>
      <c r="H149" s="13"/>
      <c r="I149" s="15"/>
      <c r="J149" s="19">
        <v>1</v>
      </c>
      <c r="K149" s="2" t="s">
        <v>309</v>
      </c>
      <c r="L149" s="11" t="str">
        <f t="shared" si="2"/>
        <v>Ver Imagen</v>
      </c>
      <c r="M149" t="s">
        <v>15</v>
      </c>
    </row>
    <row r="150" spans="1:13" x14ac:dyDescent="0.25">
      <c r="A150">
        <v>149</v>
      </c>
      <c r="B150" t="s">
        <v>310</v>
      </c>
      <c r="C150" s="1">
        <v>37.201795479799998</v>
      </c>
      <c r="D150" s="1">
        <v>-7.02037208515</v>
      </c>
      <c r="E150" s="3">
        <v>1</v>
      </c>
      <c r="F150" s="2">
        <v>1</v>
      </c>
      <c r="G150" s="4">
        <v>2</v>
      </c>
      <c r="H150" s="13"/>
      <c r="I150" s="15"/>
      <c r="J150" s="19">
        <v>1</v>
      </c>
      <c r="K150" s="2" t="s">
        <v>311</v>
      </c>
      <c r="L150" s="11" t="str">
        <f t="shared" si="2"/>
        <v>Ver Imagen</v>
      </c>
      <c r="M150" t="s">
        <v>15</v>
      </c>
    </row>
    <row r="151" spans="1:13" x14ac:dyDescent="0.25">
      <c r="A151">
        <v>150</v>
      </c>
      <c r="B151" t="s">
        <v>312</v>
      </c>
      <c r="C151" s="1">
        <v>37.200488997299999</v>
      </c>
      <c r="D151" s="1">
        <v>-7.0169700740399996</v>
      </c>
      <c r="E151" s="3">
        <v>2</v>
      </c>
      <c r="F151" s="2">
        <v>1</v>
      </c>
      <c r="G151" s="4">
        <v>1</v>
      </c>
      <c r="H151" s="13"/>
      <c r="I151" s="15"/>
      <c r="J151" s="19">
        <v>1</v>
      </c>
      <c r="K151" s="2" t="s">
        <v>313</v>
      </c>
      <c r="L151" s="11" t="str">
        <f t="shared" si="2"/>
        <v>Ver Imagen</v>
      </c>
      <c r="M151" t="s">
        <v>15</v>
      </c>
    </row>
    <row r="152" spans="1:13" x14ac:dyDescent="0.25">
      <c r="A152">
        <v>151</v>
      </c>
      <c r="B152" t="s">
        <v>314</v>
      </c>
      <c r="C152" s="1">
        <v>37.200136913400002</v>
      </c>
      <c r="D152" s="1">
        <v>-7.0160574146899997</v>
      </c>
      <c r="E152" s="3">
        <v>1</v>
      </c>
      <c r="F152" s="2">
        <v>1</v>
      </c>
      <c r="G152" s="4">
        <v>2</v>
      </c>
      <c r="H152" s="13"/>
      <c r="I152" s="15"/>
      <c r="J152" s="19">
        <v>1</v>
      </c>
      <c r="K152" s="2" t="s">
        <v>315</v>
      </c>
      <c r="L152" s="11" t="str">
        <f t="shared" si="2"/>
        <v>Ver Imagen</v>
      </c>
      <c r="M152" t="s">
        <v>15</v>
      </c>
    </row>
    <row r="153" spans="1:13" x14ac:dyDescent="0.25">
      <c r="A153">
        <v>152</v>
      </c>
      <c r="B153" t="s">
        <v>316</v>
      </c>
      <c r="C153" s="1">
        <v>37.199692967899999</v>
      </c>
      <c r="D153" s="1">
        <v>-7.0148840703699999</v>
      </c>
      <c r="E153" s="3">
        <v>1</v>
      </c>
      <c r="F153" s="2">
        <v>1</v>
      </c>
      <c r="G153" s="4">
        <v>2</v>
      </c>
      <c r="H153" s="13"/>
      <c r="I153" s="15"/>
      <c r="J153" s="19">
        <v>1</v>
      </c>
      <c r="K153" s="2" t="s">
        <v>317</v>
      </c>
      <c r="L153" s="11" t="str">
        <f t="shared" si="2"/>
        <v>Ver Imagen</v>
      </c>
      <c r="M153" t="s">
        <v>15</v>
      </c>
    </row>
    <row r="154" spans="1:13" x14ac:dyDescent="0.25">
      <c r="A154">
        <v>153</v>
      </c>
      <c r="B154" t="s">
        <v>318</v>
      </c>
      <c r="C154" s="1">
        <v>37.1996009163</v>
      </c>
      <c r="D154" s="1">
        <v>-7.0146446707600001</v>
      </c>
      <c r="E154" s="3">
        <v>1</v>
      </c>
      <c r="F154" s="2">
        <v>1</v>
      </c>
      <c r="G154" s="4">
        <v>2</v>
      </c>
      <c r="H154" s="13"/>
      <c r="I154" s="15"/>
      <c r="J154" s="19">
        <v>1</v>
      </c>
      <c r="K154" s="2" t="s">
        <v>319</v>
      </c>
      <c r="L154" s="11" t="str">
        <f t="shared" si="2"/>
        <v>Ver Imagen</v>
      </c>
      <c r="M154" t="s">
        <v>15</v>
      </c>
    </row>
    <row r="155" spans="1:13" x14ac:dyDescent="0.25">
      <c r="A155">
        <v>154</v>
      </c>
      <c r="B155" t="s">
        <v>320</v>
      </c>
      <c r="C155" s="1">
        <v>37.199524289800003</v>
      </c>
      <c r="D155" s="1">
        <v>-7.0144445631299996</v>
      </c>
      <c r="E155" s="3">
        <v>0</v>
      </c>
      <c r="F155" s="2">
        <v>1</v>
      </c>
      <c r="G155" s="4">
        <v>1</v>
      </c>
      <c r="H155" s="13"/>
      <c r="I155" s="15"/>
      <c r="J155" s="19">
        <v>1</v>
      </c>
      <c r="K155" s="2" t="s">
        <v>321</v>
      </c>
      <c r="L155" s="11" t="str">
        <f t="shared" si="2"/>
        <v>Ver Imagen</v>
      </c>
      <c r="M155" t="s">
        <v>15</v>
      </c>
    </row>
    <row r="156" spans="1:13" x14ac:dyDescent="0.25">
      <c r="A156">
        <v>155</v>
      </c>
      <c r="B156" t="s">
        <v>322</v>
      </c>
      <c r="C156" s="1">
        <v>37.199440213099997</v>
      </c>
      <c r="D156" s="1">
        <v>-7.0142258689899997</v>
      </c>
      <c r="E156" s="3">
        <v>1</v>
      </c>
      <c r="F156" s="2">
        <v>1</v>
      </c>
      <c r="G156" s="4">
        <v>2</v>
      </c>
      <c r="H156" s="13"/>
      <c r="I156" s="15"/>
      <c r="J156" s="19">
        <v>1</v>
      </c>
      <c r="K156" s="2" t="s">
        <v>323</v>
      </c>
      <c r="L156" s="11" t="str">
        <f t="shared" si="2"/>
        <v>Ver Imagen</v>
      </c>
      <c r="M156" t="s">
        <v>15</v>
      </c>
    </row>
    <row r="157" spans="1:13" x14ac:dyDescent="0.25">
      <c r="A157">
        <v>156</v>
      </c>
      <c r="B157" t="s">
        <v>324</v>
      </c>
      <c r="C157" s="1">
        <v>37.197300523300001</v>
      </c>
      <c r="D157" s="1">
        <v>-7.0079759575800002</v>
      </c>
      <c r="E157" s="3">
        <v>1</v>
      </c>
      <c r="F157" s="2">
        <v>1</v>
      </c>
      <c r="G157" s="4">
        <v>2</v>
      </c>
      <c r="H157" s="13"/>
      <c r="I157" s="15"/>
      <c r="J157" s="19">
        <v>1</v>
      </c>
      <c r="K157" s="2" t="s">
        <v>325</v>
      </c>
      <c r="L157" s="11" t="str">
        <f t="shared" si="2"/>
        <v>Ver Imagen</v>
      </c>
      <c r="M157" t="s">
        <v>15</v>
      </c>
    </row>
    <row r="158" spans="1:13" x14ac:dyDescent="0.25">
      <c r="A158">
        <v>157</v>
      </c>
      <c r="B158" t="s">
        <v>326</v>
      </c>
      <c r="C158" s="1">
        <v>37.197143595199996</v>
      </c>
      <c r="D158" s="1">
        <v>-7.0064638505700003</v>
      </c>
      <c r="E158" s="3">
        <v>1</v>
      </c>
      <c r="F158" s="2">
        <v>2</v>
      </c>
      <c r="G158" s="4">
        <v>1</v>
      </c>
      <c r="H158" s="13"/>
      <c r="I158" s="15"/>
      <c r="J158" s="19">
        <v>1</v>
      </c>
      <c r="K158" s="2" t="s">
        <v>327</v>
      </c>
      <c r="L158" s="11" t="str">
        <f t="shared" si="2"/>
        <v>Ver Imagen</v>
      </c>
      <c r="M158" t="s">
        <v>15</v>
      </c>
    </row>
    <row r="159" spans="1:13" x14ac:dyDescent="0.25">
      <c r="A159">
        <v>158</v>
      </c>
      <c r="B159" t="s">
        <v>328</v>
      </c>
      <c r="C159" s="1">
        <v>37.286130169300002</v>
      </c>
      <c r="D159" s="1">
        <v>-7.1417665162199997</v>
      </c>
      <c r="E159" s="3">
        <v>1</v>
      </c>
      <c r="F159" s="2">
        <v>1</v>
      </c>
      <c r="G159" s="4">
        <v>2</v>
      </c>
      <c r="H159" s="13"/>
      <c r="I159" s="15"/>
      <c r="J159" s="19">
        <v>1</v>
      </c>
      <c r="K159" s="2" t="s">
        <v>329</v>
      </c>
      <c r="L159" s="11" t="str">
        <f t="shared" si="2"/>
        <v>Ver Imagen</v>
      </c>
      <c r="M159" t="s">
        <v>15</v>
      </c>
    </row>
    <row r="160" spans="1:13" x14ac:dyDescent="0.25">
      <c r="A160">
        <v>159</v>
      </c>
      <c r="B160" t="s">
        <v>330</v>
      </c>
      <c r="C160" s="1">
        <v>37.282118669799999</v>
      </c>
      <c r="D160" s="1">
        <v>-7.1442891711799996</v>
      </c>
      <c r="E160" s="3">
        <v>1</v>
      </c>
      <c r="F160" s="2">
        <v>1</v>
      </c>
      <c r="G160" s="4">
        <v>2</v>
      </c>
      <c r="H160" s="13"/>
      <c r="I160" s="15"/>
      <c r="J160" s="19">
        <v>1</v>
      </c>
      <c r="K160" s="2" t="s">
        <v>331</v>
      </c>
      <c r="L160" s="11" t="str">
        <f t="shared" si="2"/>
        <v>Ver Imagen</v>
      </c>
      <c r="M160" t="s">
        <v>15</v>
      </c>
    </row>
    <row r="161" spans="1:13" x14ac:dyDescent="0.25">
      <c r="A161">
        <v>160</v>
      </c>
      <c r="B161" t="s">
        <v>332</v>
      </c>
      <c r="C161" s="1">
        <v>37.241231924899999</v>
      </c>
      <c r="D161" s="1">
        <v>-7.1285721725700002</v>
      </c>
      <c r="E161" s="3">
        <v>1</v>
      </c>
      <c r="F161" s="2">
        <v>1</v>
      </c>
      <c r="G161" s="4">
        <v>2</v>
      </c>
      <c r="H161" s="13"/>
      <c r="I161" s="15"/>
      <c r="J161" s="19">
        <v>1</v>
      </c>
      <c r="K161" s="2" t="s">
        <v>333</v>
      </c>
      <c r="L161" s="11" t="str">
        <f t="shared" si="2"/>
        <v>Ver Imagen</v>
      </c>
      <c r="M161" t="s">
        <v>15</v>
      </c>
    </row>
    <row r="162" spans="1:13" x14ac:dyDescent="0.25">
      <c r="A162">
        <v>161</v>
      </c>
      <c r="B162" t="s">
        <v>334</v>
      </c>
      <c r="C162" s="1">
        <v>37.2218070471</v>
      </c>
      <c r="D162" s="1">
        <v>-7.1252192934199998</v>
      </c>
      <c r="E162" s="3">
        <v>1</v>
      </c>
      <c r="F162" s="2">
        <v>1</v>
      </c>
      <c r="G162" s="4">
        <v>2</v>
      </c>
      <c r="H162" s="13"/>
      <c r="I162" s="15"/>
      <c r="J162" s="19">
        <v>1</v>
      </c>
      <c r="K162" s="2" t="s">
        <v>335</v>
      </c>
      <c r="L162" s="11" t="str">
        <f t="shared" si="2"/>
        <v>Ver Imagen</v>
      </c>
      <c r="M162" t="s">
        <v>15</v>
      </c>
    </row>
    <row r="163" spans="1:13" x14ac:dyDescent="0.25">
      <c r="A163">
        <v>162</v>
      </c>
      <c r="B163" t="s">
        <v>336</v>
      </c>
      <c r="C163" s="1">
        <v>37.435887683799997</v>
      </c>
      <c r="D163" s="1">
        <v>-7.0769456238700004</v>
      </c>
      <c r="E163" s="3">
        <v>2</v>
      </c>
      <c r="F163" s="2">
        <v>1</v>
      </c>
      <c r="G163" s="4">
        <v>1</v>
      </c>
      <c r="H163" s="13"/>
      <c r="I163" s="15"/>
      <c r="J163" s="19">
        <v>1</v>
      </c>
      <c r="K163" s="2" t="s">
        <v>337</v>
      </c>
      <c r="L163" s="11" t="str">
        <f t="shared" si="2"/>
        <v>Ver Imagen</v>
      </c>
      <c r="M163" t="s">
        <v>15</v>
      </c>
    </row>
    <row r="164" spans="1:13" x14ac:dyDescent="0.25">
      <c r="A164">
        <v>163</v>
      </c>
      <c r="B164" t="s">
        <v>338</v>
      </c>
      <c r="C164" s="1">
        <v>37.435468408699997</v>
      </c>
      <c r="D164" s="1">
        <v>-7.0766853322500003</v>
      </c>
      <c r="E164" s="3">
        <v>1</v>
      </c>
      <c r="F164" s="2">
        <v>2</v>
      </c>
      <c r="G164" s="4">
        <v>1</v>
      </c>
      <c r="H164" s="13"/>
      <c r="I164" s="15"/>
      <c r="J164" s="19">
        <v>1</v>
      </c>
      <c r="K164" s="2" t="s">
        <v>339</v>
      </c>
      <c r="L164" s="11" t="str">
        <f t="shared" si="2"/>
        <v>Ver Imagen</v>
      </c>
      <c r="M164" t="s">
        <v>15</v>
      </c>
    </row>
    <row r="165" spans="1:13" x14ac:dyDescent="0.25">
      <c r="A165">
        <v>164</v>
      </c>
      <c r="B165" t="s">
        <v>340</v>
      </c>
      <c r="C165" s="1">
        <v>37.465989174599997</v>
      </c>
      <c r="D165" s="1">
        <v>-7.1227607422199997</v>
      </c>
      <c r="E165" s="3">
        <v>1</v>
      </c>
      <c r="F165" s="2">
        <v>2</v>
      </c>
      <c r="G165" s="4">
        <v>1</v>
      </c>
      <c r="H165" s="13"/>
      <c r="I165" s="15"/>
      <c r="J165" s="19">
        <v>1</v>
      </c>
      <c r="K165" s="2" t="s">
        <v>341</v>
      </c>
      <c r="L165" s="11" t="str">
        <f t="shared" si="2"/>
        <v>Ver Imagen</v>
      </c>
      <c r="M165" t="s">
        <v>15</v>
      </c>
    </row>
    <row r="166" spans="1:13" x14ac:dyDescent="0.25">
      <c r="A166">
        <v>165</v>
      </c>
      <c r="B166" t="s">
        <v>342</v>
      </c>
      <c r="C166" s="1">
        <v>37.465818290900003</v>
      </c>
      <c r="D166" s="1">
        <v>-7.12280292175</v>
      </c>
      <c r="E166" s="3">
        <v>1</v>
      </c>
      <c r="F166" s="2">
        <v>2</v>
      </c>
      <c r="G166" s="4">
        <v>1</v>
      </c>
      <c r="H166" s="13"/>
      <c r="I166" s="15"/>
      <c r="J166" s="19">
        <v>1</v>
      </c>
      <c r="K166" s="2" t="s">
        <v>343</v>
      </c>
      <c r="L166" s="11" t="str">
        <f t="shared" si="2"/>
        <v>Ver Imagen</v>
      </c>
      <c r="M166" t="s">
        <v>15</v>
      </c>
    </row>
    <row r="167" spans="1:13" x14ac:dyDescent="0.25">
      <c r="A167">
        <v>166</v>
      </c>
      <c r="B167" t="s">
        <v>344</v>
      </c>
      <c r="C167" s="1">
        <v>37.465398670399999</v>
      </c>
      <c r="D167" s="1">
        <v>-7.1229731858500003</v>
      </c>
      <c r="E167" s="3">
        <v>1</v>
      </c>
      <c r="F167" s="2">
        <v>2</v>
      </c>
      <c r="G167" s="4">
        <v>1</v>
      </c>
      <c r="H167" s="13"/>
      <c r="I167" s="15"/>
      <c r="J167" s="19">
        <v>1</v>
      </c>
      <c r="K167" s="2" t="s">
        <v>345</v>
      </c>
      <c r="L167" s="11" t="str">
        <f t="shared" si="2"/>
        <v>Ver Imagen</v>
      </c>
      <c r="M167" t="s">
        <v>15</v>
      </c>
    </row>
    <row r="168" spans="1:13" x14ac:dyDescent="0.25">
      <c r="A168">
        <v>167</v>
      </c>
      <c r="B168" t="s">
        <v>346</v>
      </c>
      <c r="C168" s="1">
        <v>37.463581151</v>
      </c>
      <c r="D168" s="1">
        <v>-7.1240194503199996</v>
      </c>
      <c r="E168" s="3">
        <v>1</v>
      </c>
      <c r="F168" s="2">
        <v>1</v>
      </c>
      <c r="G168" s="4">
        <v>2</v>
      </c>
      <c r="H168" s="13"/>
      <c r="I168" s="15"/>
      <c r="J168" s="19">
        <v>1</v>
      </c>
      <c r="K168" s="2" t="s">
        <v>347</v>
      </c>
      <c r="L168" s="11" t="str">
        <f t="shared" si="2"/>
        <v>Ver Imagen</v>
      </c>
      <c r="M168" t="s">
        <v>15</v>
      </c>
    </row>
    <row r="169" spans="1:13" x14ac:dyDescent="0.25">
      <c r="A169">
        <v>168</v>
      </c>
      <c r="B169" t="s">
        <v>348</v>
      </c>
      <c r="C169" s="1">
        <v>37.463190984199997</v>
      </c>
      <c r="D169" s="1">
        <v>-7.1241301375499999</v>
      </c>
      <c r="E169" s="3">
        <v>1</v>
      </c>
      <c r="F169" s="2">
        <v>1</v>
      </c>
      <c r="G169" s="4">
        <v>2</v>
      </c>
      <c r="H169" s="13"/>
      <c r="I169" s="15"/>
      <c r="J169" s="19">
        <v>1</v>
      </c>
      <c r="K169" s="2" t="s">
        <v>349</v>
      </c>
      <c r="L169" s="11" t="str">
        <f t="shared" si="2"/>
        <v>Ver Imagen</v>
      </c>
      <c r="M169" t="s">
        <v>15</v>
      </c>
    </row>
    <row r="170" spans="1:13" x14ac:dyDescent="0.25">
      <c r="A170">
        <v>169</v>
      </c>
      <c r="B170" t="s">
        <v>350</v>
      </c>
      <c r="C170" s="1">
        <v>37.462973584799997</v>
      </c>
      <c r="D170" s="1">
        <v>-7.1241732635200004</v>
      </c>
      <c r="E170" s="3">
        <v>1</v>
      </c>
      <c r="F170" s="2">
        <v>2</v>
      </c>
      <c r="G170" s="4">
        <v>1</v>
      </c>
      <c r="H170" s="13"/>
      <c r="I170" s="15"/>
      <c r="J170" s="19">
        <v>1</v>
      </c>
      <c r="K170" s="2" t="s">
        <v>351</v>
      </c>
      <c r="L170" s="11" t="str">
        <f t="shared" si="2"/>
        <v>Ver Imagen</v>
      </c>
      <c r="M170" t="s">
        <v>15</v>
      </c>
    </row>
    <row r="171" spans="1:13" x14ac:dyDescent="0.25">
      <c r="A171">
        <v>170</v>
      </c>
      <c r="B171" t="s">
        <v>352</v>
      </c>
      <c r="C171" s="1">
        <v>37.459621140499998</v>
      </c>
      <c r="D171" s="1">
        <v>-7.12503114057</v>
      </c>
      <c r="E171" s="3">
        <v>1</v>
      </c>
      <c r="F171" s="2">
        <v>1</v>
      </c>
      <c r="G171" s="4">
        <v>2</v>
      </c>
      <c r="H171" s="13"/>
      <c r="I171" s="15"/>
      <c r="J171" s="19">
        <v>1</v>
      </c>
      <c r="K171" s="2" t="s">
        <v>353</v>
      </c>
      <c r="L171" s="11" t="str">
        <f t="shared" si="2"/>
        <v>Ver Imagen</v>
      </c>
      <c r="M171" t="s">
        <v>15</v>
      </c>
    </row>
    <row r="172" spans="1:13" x14ac:dyDescent="0.25">
      <c r="A172">
        <v>171</v>
      </c>
      <c r="B172" t="s">
        <v>354</v>
      </c>
      <c r="C172" s="1">
        <v>37.458834202299997</v>
      </c>
      <c r="D172" s="1">
        <v>-7.1253207020499998</v>
      </c>
      <c r="E172" s="3">
        <v>1</v>
      </c>
      <c r="F172" s="2">
        <v>1</v>
      </c>
      <c r="G172" s="4">
        <v>2</v>
      </c>
      <c r="H172" s="13"/>
      <c r="I172" s="15"/>
      <c r="J172" s="19">
        <v>1</v>
      </c>
      <c r="K172" s="2" t="s">
        <v>355</v>
      </c>
      <c r="L172" s="11" t="str">
        <f t="shared" si="2"/>
        <v>Ver Imagen</v>
      </c>
      <c r="M172" t="s">
        <v>15</v>
      </c>
    </row>
    <row r="173" spans="1:13" x14ac:dyDescent="0.25">
      <c r="A173">
        <v>172</v>
      </c>
      <c r="B173" t="s">
        <v>356</v>
      </c>
      <c r="C173" s="1">
        <v>37.4584425802</v>
      </c>
      <c r="D173" s="1">
        <v>-7.1254625140999996</v>
      </c>
      <c r="E173" s="3">
        <v>1</v>
      </c>
      <c r="F173" s="2">
        <v>1</v>
      </c>
      <c r="G173" s="4">
        <v>2</v>
      </c>
      <c r="H173" s="13"/>
      <c r="I173" s="15"/>
      <c r="J173" s="19">
        <v>1</v>
      </c>
      <c r="K173" s="2" t="s">
        <v>357</v>
      </c>
      <c r="L173" s="11" t="str">
        <f t="shared" si="2"/>
        <v>Ver Imagen</v>
      </c>
      <c r="M173" t="s">
        <v>15</v>
      </c>
    </row>
    <row r="174" spans="1:13" x14ac:dyDescent="0.25">
      <c r="A174">
        <v>173</v>
      </c>
      <c r="B174" t="s">
        <v>358</v>
      </c>
      <c r="C174" s="1">
        <v>37.458265132299999</v>
      </c>
      <c r="D174" s="1">
        <v>-7.1255282100399997</v>
      </c>
      <c r="E174" s="3">
        <v>1</v>
      </c>
      <c r="F174" s="2">
        <v>1</v>
      </c>
      <c r="G174" s="4">
        <v>2</v>
      </c>
      <c r="H174" s="13"/>
      <c r="I174" s="15"/>
      <c r="J174" s="19">
        <v>1</v>
      </c>
      <c r="K174" s="2" t="s">
        <v>359</v>
      </c>
      <c r="L174" s="11" t="str">
        <f t="shared" si="2"/>
        <v>Ver Imagen</v>
      </c>
      <c r="M174" t="s">
        <v>15</v>
      </c>
    </row>
    <row r="175" spans="1:13" x14ac:dyDescent="0.25">
      <c r="A175">
        <v>174</v>
      </c>
      <c r="B175" t="s">
        <v>360</v>
      </c>
      <c r="C175" s="1">
        <v>37.456493069499999</v>
      </c>
      <c r="D175" s="1">
        <v>-7.1261765697900001</v>
      </c>
      <c r="E175" s="3">
        <v>1</v>
      </c>
      <c r="F175" s="2">
        <v>1</v>
      </c>
      <c r="G175" s="4">
        <v>2</v>
      </c>
      <c r="H175" s="13"/>
      <c r="I175" s="15"/>
      <c r="J175" s="19">
        <v>1</v>
      </c>
      <c r="K175" s="2" t="s">
        <v>361</v>
      </c>
      <c r="L175" s="11" t="str">
        <f t="shared" si="2"/>
        <v>Ver Imagen</v>
      </c>
      <c r="M175" t="s">
        <v>15</v>
      </c>
    </row>
    <row r="176" spans="1:13" x14ac:dyDescent="0.25">
      <c r="A176">
        <v>175</v>
      </c>
      <c r="B176" t="s">
        <v>362</v>
      </c>
      <c r="C176" s="1">
        <v>37.455334911599998</v>
      </c>
      <c r="D176" s="1">
        <v>-7.1266031989299998</v>
      </c>
      <c r="E176" s="3">
        <v>2</v>
      </c>
      <c r="F176" s="2">
        <v>1</v>
      </c>
      <c r="G176" s="4">
        <v>1</v>
      </c>
      <c r="H176" s="13"/>
      <c r="I176" s="15"/>
      <c r="J176" s="19">
        <v>1</v>
      </c>
      <c r="K176" s="2" t="s">
        <v>363</v>
      </c>
      <c r="L176" s="11" t="str">
        <f t="shared" si="2"/>
        <v>Ver Imagen</v>
      </c>
      <c r="M176" t="s">
        <v>15</v>
      </c>
    </row>
    <row r="177" spans="1:13" x14ac:dyDescent="0.25">
      <c r="A177">
        <v>176</v>
      </c>
      <c r="B177" t="s">
        <v>364</v>
      </c>
      <c r="C177" s="1">
        <v>37.454959689699997</v>
      </c>
      <c r="D177" s="1">
        <v>-7.1267418854300004</v>
      </c>
      <c r="E177" s="3">
        <v>1</v>
      </c>
      <c r="F177" s="2">
        <v>1</v>
      </c>
      <c r="G177" s="4">
        <v>2</v>
      </c>
      <c r="H177" s="13"/>
      <c r="I177" s="15"/>
      <c r="J177" s="19">
        <v>1</v>
      </c>
      <c r="K177" s="2" t="s">
        <v>365</v>
      </c>
      <c r="L177" s="11" t="str">
        <f t="shared" si="2"/>
        <v>Ver Imagen</v>
      </c>
      <c r="M177" t="s">
        <v>15</v>
      </c>
    </row>
    <row r="178" spans="1:13" x14ac:dyDescent="0.25">
      <c r="A178">
        <v>177</v>
      </c>
      <c r="B178" t="s">
        <v>366</v>
      </c>
      <c r="C178" s="1">
        <v>37.454577942100002</v>
      </c>
      <c r="D178" s="1">
        <v>-7.1268819465300002</v>
      </c>
      <c r="E178" s="3">
        <v>1</v>
      </c>
      <c r="F178" s="2">
        <v>1</v>
      </c>
      <c r="G178" s="4">
        <v>2</v>
      </c>
      <c r="H178" s="13"/>
      <c r="I178" s="15"/>
      <c r="J178" s="19">
        <v>1</v>
      </c>
      <c r="K178" s="2" t="s">
        <v>367</v>
      </c>
      <c r="L178" s="11" t="str">
        <f t="shared" ref="L178:L241" si="3">HYPERLINK("1\1\" &amp; K178, "Ver Imagen")</f>
        <v>Ver Imagen</v>
      </c>
      <c r="M178" t="s">
        <v>15</v>
      </c>
    </row>
    <row r="179" spans="1:13" x14ac:dyDescent="0.25">
      <c r="A179">
        <v>178</v>
      </c>
      <c r="B179" t="s">
        <v>368</v>
      </c>
      <c r="C179" s="1">
        <v>37.454372168900001</v>
      </c>
      <c r="D179" s="1">
        <v>-7.1269561717499998</v>
      </c>
      <c r="E179" s="3">
        <v>2</v>
      </c>
      <c r="F179" s="2">
        <v>1</v>
      </c>
      <c r="G179" s="4">
        <v>1</v>
      </c>
      <c r="H179" s="13"/>
      <c r="I179" s="15"/>
      <c r="J179" s="19">
        <v>1</v>
      </c>
      <c r="K179" s="2" t="s">
        <v>369</v>
      </c>
      <c r="L179" s="11" t="str">
        <f t="shared" si="3"/>
        <v>Ver Imagen</v>
      </c>
      <c r="M179" t="s">
        <v>15</v>
      </c>
    </row>
    <row r="180" spans="1:13" x14ac:dyDescent="0.25">
      <c r="A180">
        <v>179</v>
      </c>
      <c r="B180" t="s">
        <v>370</v>
      </c>
      <c r="C180" s="1">
        <v>37.453220563400002</v>
      </c>
      <c r="D180" s="1">
        <v>-7.1273076301899998</v>
      </c>
      <c r="E180" s="3">
        <v>1</v>
      </c>
      <c r="F180" s="2">
        <v>1</v>
      </c>
      <c r="G180" s="4">
        <v>2</v>
      </c>
      <c r="H180" s="13"/>
      <c r="I180" s="15"/>
      <c r="J180" s="19">
        <v>1</v>
      </c>
      <c r="K180" s="2" t="s">
        <v>371</v>
      </c>
      <c r="L180" s="11" t="str">
        <f t="shared" si="3"/>
        <v>Ver Imagen</v>
      </c>
      <c r="M180" t="s">
        <v>15</v>
      </c>
    </row>
    <row r="181" spans="1:13" x14ac:dyDescent="0.25">
      <c r="A181">
        <v>180</v>
      </c>
      <c r="B181" t="s">
        <v>372</v>
      </c>
      <c r="C181" s="1">
        <v>37.452983575899999</v>
      </c>
      <c r="D181" s="1">
        <v>-7.1273559558899997</v>
      </c>
      <c r="E181" s="3">
        <v>1</v>
      </c>
      <c r="F181" s="2">
        <v>1</v>
      </c>
      <c r="G181" s="4">
        <v>2</v>
      </c>
      <c r="H181" s="13"/>
      <c r="I181" s="15"/>
      <c r="J181" s="19">
        <v>1</v>
      </c>
      <c r="K181" s="2" t="s">
        <v>373</v>
      </c>
      <c r="L181" s="11" t="str">
        <f t="shared" si="3"/>
        <v>Ver Imagen</v>
      </c>
      <c r="M181" t="s">
        <v>15</v>
      </c>
    </row>
    <row r="182" spans="1:13" x14ac:dyDescent="0.25">
      <c r="A182">
        <v>181</v>
      </c>
      <c r="B182" t="s">
        <v>374</v>
      </c>
      <c r="C182" s="1">
        <v>37.452386651499999</v>
      </c>
      <c r="D182" s="1">
        <v>-7.1274403171199996</v>
      </c>
      <c r="E182" s="3">
        <v>1</v>
      </c>
      <c r="F182" s="2">
        <v>1</v>
      </c>
      <c r="G182" s="4">
        <v>2</v>
      </c>
      <c r="H182" s="13"/>
      <c r="I182" s="15"/>
      <c r="J182" s="19">
        <v>1</v>
      </c>
      <c r="K182" s="2" t="s">
        <v>375</v>
      </c>
      <c r="L182" s="11" t="str">
        <f t="shared" si="3"/>
        <v>Ver Imagen</v>
      </c>
      <c r="M182" t="s">
        <v>15</v>
      </c>
    </row>
    <row r="183" spans="1:13" x14ac:dyDescent="0.25">
      <c r="A183">
        <v>182</v>
      </c>
      <c r="B183" t="s">
        <v>376</v>
      </c>
      <c r="C183" s="1">
        <v>37.452211020199996</v>
      </c>
      <c r="D183" s="1">
        <v>-7.1274543326800002</v>
      </c>
      <c r="E183" s="3">
        <v>1</v>
      </c>
      <c r="F183" s="2">
        <v>1</v>
      </c>
      <c r="G183" s="4">
        <v>2</v>
      </c>
      <c r="H183" s="13"/>
      <c r="I183" s="15"/>
      <c r="J183" s="19">
        <v>1</v>
      </c>
      <c r="K183" s="2" t="s">
        <v>377</v>
      </c>
      <c r="L183" s="11" t="str">
        <f t="shared" si="3"/>
        <v>Ver Imagen</v>
      </c>
      <c r="M183" t="s">
        <v>15</v>
      </c>
    </row>
    <row r="184" spans="1:13" x14ac:dyDescent="0.25">
      <c r="A184">
        <v>183</v>
      </c>
      <c r="B184" t="s">
        <v>378</v>
      </c>
      <c r="C184" s="1">
        <v>37.451385991599999</v>
      </c>
      <c r="D184" s="1">
        <v>-7.1274557462999999</v>
      </c>
      <c r="E184" s="3">
        <v>1</v>
      </c>
      <c r="F184" s="2">
        <v>1</v>
      </c>
      <c r="G184" s="4">
        <v>2</v>
      </c>
      <c r="H184" s="13"/>
      <c r="I184" s="15"/>
      <c r="J184" s="19">
        <v>1</v>
      </c>
      <c r="K184" s="2" t="s">
        <v>379</v>
      </c>
      <c r="L184" s="11" t="str">
        <f t="shared" si="3"/>
        <v>Ver Imagen</v>
      </c>
      <c r="M184" t="s">
        <v>15</v>
      </c>
    </row>
    <row r="185" spans="1:13" x14ac:dyDescent="0.25">
      <c r="A185">
        <v>184</v>
      </c>
      <c r="B185" t="s">
        <v>380</v>
      </c>
      <c r="C185" s="1">
        <v>37.493420347899999</v>
      </c>
      <c r="D185" s="1">
        <v>-7.2771702700300001</v>
      </c>
      <c r="E185" s="3">
        <v>1</v>
      </c>
      <c r="F185" s="2">
        <v>1</v>
      </c>
      <c r="G185" s="4">
        <v>2</v>
      </c>
      <c r="H185" s="13"/>
      <c r="I185" s="15"/>
      <c r="J185" s="19">
        <v>1</v>
      </c>
      <c r="K185" s="2" t="s">
        <v>381</v>
      </c>
      <c r="L185" s="11" t="str">
        <f t="shared" si="3"/>
        <v>Ver Imagen</v>
      </c>
      <c r="M185" t="s">
        <v>15</v>
      </c>
    </row>
    <row r="186" spans="1:13" x14ac:dyDescent="0.25">
      <c r="A186">
        <v>185</v>
      </c>
      <c r="B186" t="s">
        <v>382</v>
      </c>
      <c r="C186" s="1">
        <v>37.493608680100003</v>
      </c>
      <c r="D186" s="1">
        <v>-7.2771062038099998</v>
      </c>
      <c r="E186" s="3">
        <v>1</v>
      </c>
      <c r="F186" s="2">
        <v>1</v>
      </c>
      <c r="G186" s="4">
        <v>2</v>
      </c>
      <c r="H186" s="13"/>
      <c r="I186" s="15"/>
      <c r="J186" s="19">
        <v>1</v>
      </c>
      <c r="K186" s="2" t="s">
        <v>383</v>
      </c>
      <c r="L186" s="11" t="str">
        <f t="shared" si="3"/>
        <v>Ver Imagen</v>
      </c>
      <c r="M186" t="s">
        <v>15</v>
      </c>
    </row>
    <row r="187" spans="1:13" x14ac:dyDescent="0.25">
      <c r="A187">
        <v>186</v>
      </c>
      <c r="B187" t="s">
        <v>384</v>
      </c>
      <c r="C187" s="1">
        <v>37.500169580700003</v>
      </c>
      <c r="D187" s="1">
        <v>-7.2670414024800003</v>
      </c>
      <c r="E187" s="3">
        <v>1</v>
      </c>
      <c r="F187" s="2">
        <v>1</v>
      </c>
      <c r="G187" s="4">
        <v>2</v>
      </c>
      <c r="H187" s="13"/>
      <c r="I187" s="15"/>
      <c r="J187" s="19">
        <v>1</v>
      </c>
      <c r="K187" s="2" t="s">
        <v>385</v>
      </c>
      <c r="L187" s="11" t="str">
        <f t="shared" si="3"/>
        <v>Ver Imagen</v>
      </c>
      <c r="M187" t="s">
        <v>15</v>
      </c>
    </row>
    <row r="188" spans="1:13" x14ac:dyDescent="0.25">
      <c r="A188">
        <v>187</v>
      </c>
      <c r="B188" t="s">
        <v>386</v>
      </c>
      <c r="C188" s="1">
        <v>37.517688912499999</v>
      </c>
      <c r="D188" s="1">
        <v>-7.2645119702500001</v>
      </c>
      <c r="E188" s="3">
        <v>1</v>
      </c>
      <c r="F188" s="2">
        <v>1</v>
      </c>
      <c r="G188" s="4">
        <v>2</v>
      </c>
      <c r="H188" s="13"/>
      <c r="I188" s="15"/>
      <c r="J188" s="19">
        <v>1</v>
      </c>
      <c r="K188" s="2" t="s">
        <v>387</v>
      </c>
      <c r="L188" s="11" t="str">
        <f t="shared" si="3"/>
        <v>Ver Imagen</v>
      </c>
      <c r="M188" t="s">
        <v>15</v>
      </c>
    </row>
    <row r="189" spans="1:13" x14ac:dyDescent="0.25">
      <c r="A189">
        <v>188</v>
      </c>
      <c r="B189" t="s">
        <v>388</v>
      </c>
      <c r="C189" s="1">
        <v>37.518013654400001</v>
      </c>
      <c r="D189" s="1">
        <v>-7.2638753617300003</v>
      </c>
      <c r="E189" s="3">
        <v>1</v>
      </c>
      <c r="F189" s="2">
        <v>1</v>
      </c>
      <c r="G189" s="4">
        <v>2</v>
      </c>
      <c r="H189" s="13"/>
      <c r="I189" s="15"/>
      <c r="J189" s="19">
        <v>1</v>
      </c>
      <c r="K189" s="2" t="s">
        <v>389</v>
      </c>
      <c r="L189" s="11" t="str">
        <f t="shared" si="3"/>
        <v>Ver Imagen</v>
      </c>
      <c r="M189" t="s">
        <v>15</v>
      </c>
    </row>
    <row r="190" spans="1:13" x14ac:dyDescent="0.25">
      <c r="A190">
        <v>189</v>
      </c>
      <c r="B190" t="s">
        <v>390</v>
      </c>
      <c r="C190" s="1">
        <v>37.271008046699997</v>
      </c>
      <c r="D190" s="1">
        <v>-6.9888626754200001</v>
      </c>
      <c r="E190" s="3">
        <v>2</v>
      </c>
      <c r="F190" s="2">
        <v>1</v>
      </c>
      <c r="G190" s="4">
        <v>1</v>
      </c>
      <c r="H190" s="13"/>
      <c r="I190" s="15"/>
      <c r="J190" s="19">
        <v>1</v>
      </c>
      <c r="K190" s="2" t="s">
        <v>391</v>
      </c>
      <c r="L190" s="11" t="str">
        <f t="shared" si="3"/>
        <v>Ver Imagen</v>
      </c>
      <c r="M190" t="s">
        <v>15</v>
      </c>
    </row>
    <row r="191" spans="1:13" x14ac:dyDescent="0.25">
      <c r="A191">
        <v>190</v>
      </c>
      <c r="B191" t="s">
        <v>392</v>
      </c>
      <c r="C191" s="1">
        <v>37.270476864599999</v>
      </c>
      <c r="D191" s="1">
        <v>-6.9893159840000001</v>
      </c>
      <c r="E191" s="3">
        <v>1</v>
      </c>
      <c r="F191" s="2">
        <v>1</v>
      </c>
      <c r="G191" s="4">
        <v>2</v>
      </c>
      <c r="H191" s="13"/>
      <c r="I191" s="15"/>
      <c r="J191" s="19">
        <v>1</v>
      </c>
      <c r="K191" s="2" t="s">
        <v>393</v>
      </c>
      <c r="L191" s="11" t="str">
        <f t="shared" si="3"/>
        <v>Ver Imagen</v>
      </c>
      <c r="M191" t="s">
        <v>15</v>
      </c>
    </row>
    <row r="192" spans="1:13" x14ac:dyDescent="0.25">
      <c r="A192">
        <v>191</v>
      </c>
      <c r="B192" t="s">
        <v>394</v>
      </c>
      <c r="C192" s="1">
        <v>37.270309899200001</v>
      </c>
      <c r="D192" s="1">
        <v>-6.9894328575799998</v>
      </c>
      <c r="E192" s="3">
        <v>1</v>
      </c>
      <c r="F192" s="2">
        <v>1</v>
      </c>
      <c r="G192" s="4">
        <v>2</v>
      </c>
      <c r="H192" s="13"/>
      <c r="I192" s="15"/>
      <c r="J192" s="19">
        <v>1</v>
      </c>
      <c r="K192" s="2" t="s">
        <v>395</v>
      </c>
      <c r="L192" s="11" t="str">
        <f t="shared" si="3"/>
        <v>Ver Imagen</v>
      </c>
      <c r="M192" t="s">
        <v>15</v>
      </c>
    </row>
    <row r="193" spans="1:13" x14ac:dyDescent="0.25">
      <c r="A193">
        <v>192</v>
      </c>
      <c r="B193" t="s">
        <v>396</v>
      </c>
      <c r="C193" s="1">
        <v>37.2655222438</v>
      </c>
      <c r="D193" s="1">
        <v>-6.9959534888199997</v>
      </c>
      <c r="E193" s="3">
        <v>2</v>
      </c>
      <c r="F193" s="2">
        <v>1</v>
      </c>
      <c r="G193" s="4">
        <v>1</v>
      </c>
      <c r="H193" s="13"/>
      <c r="I193" s="15"/>
      <c r="J193" s="19">
        <v>1</v>
      </c>
      <c r="K193" s="2" t="s">
        <v>397</v>
      </c>
      <c r="L193" s="11" t="str">
        <f t="shared" si="3"/>
        <v>Ver Imagen</v>
      </c>
      <c r="M193" t="s">
        <v>15</v>
      </c>
    </row>
    <row r="194" spans="1:13" x14ac:dyDescent="0.25">
      <c r="A194">
        <v>193</v>
      </c>
      <c r="B194" t="s">
        <v>398</v>
      </c>
      <c r="C194" s="1">
        <v>37.265479634999998</v>
      </c>
      <c r="D194" s="1">
        <v>-6.9961804902700004</v>
      </c>
      <c r="E194" s="3">
        <v>1</v>
      </c>
      <c r="F194" s="2">
        <v>2</v>
      </c>
      <c r="G194" s="4">
        <v>1</v>
      </c>
      <c r="H194" s="13"/>
      <c r="I194" s="15"/>
      <c r="J194" s="19">
        <v>1</v>
      </c>
      <c r="K194" s="2" t="s">
        <v>399</v>
      </c>
      <c r="L194" s="11" t="str">
        <f t="shared" si="3"/>
        <v>Ver Imagen</v>
      </c>
      <c r="M194" t="s">
        <v>15</v>
      </c>
    </row>
    <row r="195" spans="1:13" x14ac:dyDescent="0.25">
      <c r="A195">
        <v>194</v>
      </c>
      <c r="B195" t="s">
        <v>400</v>
      </c>
      <c r="C195" s="1">
        <v>37.213597397000001</v>
      </c>
      <c r="D195" s="1">
        <v>-7.0236596093100001</v>
      </c>
      <c r="E195" s="3">
        <v>1</v>
      </c>
      <c r="F195" s="2">
        <v>1</v>
      </c>
      <c r="G195" s="4">
        <v>2</v>
      </c>
      <c r="H195" s="13"/>
      <c r="I195" s="15"/>
      <c r="J195" s="19">
        <v>1</v>
      </c>
      <c r="K195" s="2" t="s">
        <v>401</v>
      </c>
      <c r="L195" s="11" t="str">
        <f t="shared" si="3"/>
        <v>Ver Imagen</v>
      </c>
      <c r="M195" t="s">
        <v>15</v>
      </c>
    </row>
    <row r="196" spans="1:13" x14ac:dyDescent="0.25">
      <c r="A196">
        <v>195</v>
      </c>
      <c r="B196" t="s">
        <v>402</v>
      </c>
      <c r="C196" s="1">
        <v>37.213972956799999</v>
      </c>
      <c r="D196" s="1">
        <v>-7.0235947766200004</v>
      </c>
      <c r="E196" s="3">
        <v>1</v>
      </c>
      <c r="F196" s="2">
        <v>1</v>
      </c>
      <c r="G196" s="4">
        <v>2</v>
      </c>
      <c r="H196" s="13"/>
      <c r="I196" s="15"/>
      <c r="J196" s="19">
        <v>1</v>
      </c>
      <c r="K196" s="2" t="s">
        <v>403</v>
      </c>
      <c r="L196" s="11" t="str">
        <f t="shared" si="3"/>
        <v>Ver Imagen</v>
      </c>
      <c r="M196" t="s">
        <v>15</v>
      </c>
    </row>
    <row r="197" spans="1:13" x14ac:dyDescent="0.25">
      <c r="A197">
        <v>196</v>
      </c>
      <c r="B197" t="s">
        <v>404</v>
      </c>
      <c r="C197" s="1">
        <v>37.214154613300003</v>
      </c>
      <c r="D197" s="1">
        <v>-7.0235632742199998</v>
      </c>
      <c r="E197" s="3">
        <v>1</v>
      </c>
      <c r="F197" s="2">
        <v>1</v>
      </c>
      <c r="G197" s="4">
        <v>2</v>
      </c>
      <c r="H197" s="13"/>
      <c r="I197" s="15"/>
      <c r="J197" s="19">
        <v>1</v>
      </c>
      <c r="K197" s="2" t="s">
        <v>405</v>
      </c>
      <c r="L197" s="11" t="str">
        <f t="shared" si="3"/>
        <v>Ver Imagen</v>
      </c>
      <c r="M197" t="s">
        <v>15</v>
      </c>
    </row>
    <row r="198" spans="1:13" x14ac:dyDescent="0.25">
      <c r="A198">
        <v>197</v>
      </c>
      <c r="B198" t="s">
        <v>406</v>
      </c>
      <c r="C198" s="1">
        <v>37.214352108900002</v>
      </c>
      <c r="D198" s="1">
        <v>-7.0235283598400002</v>
      </c>
      <c r="E198" s="3">
        <v>1</v>
      </c>
      <c r="F198" s="2">
        <v>1</v>
      </c>
      <c r="G198" s="4">
        <v>2</v>
      </c>
      <c r="H198" s="13"/>
      <c r="I198" s="15"/>
      <c r="J198" s="19">
        <v>1</v>
      </c>
      <c r="K198" s="2" t="s">
        <v>407</v>
      </c>
      <c r="L198" s="11" t="str">
        <f t="shared" si="3"/>
        <v>Ver Imagen</v>
      </c>
      <c r="M198" t="s">
        <v>15</v>
      </c>
    </row>
    <row r="199" spans="1:13" x14ac:dyDescent="0.25">
      <c r="A199">
        <v>198</v>
      </c>
      <c r="B199" t="s">
        <v>408</v>
      </c>
      <c r="C199" s="1">
        <v>37.2252934805</v>
      </c>
      <c r="D199" s="1">
        <v>-7.0233598681</v>
      </c>
      <c r="E199" s="3">
        <v>1</v>
      </c>
      <c r="F199" s="2">
        <v>1</v>
      </c>
      <c r="G199" s="4">
        <v>2</v>
      </c>
      <c r="H199" s="13"/>
      <c r="I199" s="15"/>
      <c r="J199" s="19">
        <v>1</v>
      </c>
      <c r="K199" s="2" t="s">
        <v>409</v>
      </c>
      <c r="L199" s="11" t="str">
        <f t="shared" si="3"/>
        <v>Ver Imagen</v>
      </c>
      <c r="M199" t="s">
        <v>15</v>
      </c>
    </row>
    <row r="200" spans="1:13" x14ac:dyDescent="0.25">
      <c r="A200">
        <v>199</v>
      </c>
      <c r="B200" t="s">
        <v>410</v>
      </c>
      <c r="C200" s="1">
        <v>37.225118102700002</v>
      </c>
      <c r="D200" s="1">
        <v>-7.0233795077799996</v>
      </c>
      <c r="E200" s="3">
        <v>1</v>
      </c>
      <c r="F200" s="2">
        <v>1</v>
      </c>
      <c r="G200" s="4">
        <v>2</v>
      </c>
      <c r="H200" s="13"/>
      <c r="I200" s="15"/>
      <c r="J200" s="19">
        <v>1</v>
      </c>
      <c r="K200" s="2" t="s">
        <v>411</v>
      </c>
      <c r="L200" s="11" t="str">
        <f t="shared" si="3"/>
        <v>Ver Imagen</v>
      </c>
      <c r="M200" t="s">
        <v>15</v>
      </c>
    </row>
    <row r="201" spans="1:13" x14ac:dyDescent="0.25">
      <c r="A201">
        <v>200</v>
      </c>
      <c r="B201" t="s">
        <v>412</v>
      </c>
      <c r="C201" s="1">
        <v>37.224096768499997</v>
      </c>
      <c r="D201" s="1">
        <v>-7.0233507939699997</v>
      </c>
      <c r="E201" s="3">
        <v>1</v>
      </c>
      <c r="F201" s="2">
        <v>1</v>
      </c>
      <c r="G201" s="4">
        <v>2</v>
      </c>
      <c r="H201" s="13"/>
      <c r="I201" s="15"/>
      <c r="J201" s="19">
        <v>1</v>
      </c>
      <c r="K201" s="2" t="s">
        <v>413</v>
      </c>
      <c r="L201" s="11" t="str">
        <f t="shared" si="3"/>
        <v>Ver Imagen</v>
      </c>
      <c r="M201" t="s">
        <v>15</v>
      </c>
    </row>
    <row r="202" spans="1:13" x14ac:dyDescent="0.25">
      <c r="A202">
        <v>201</v>
      </c>
      <c r="B202" t="s">
        <v>414</v>
      </c>
      <c r="C202" s="1">
        <v>37.223898026800001</v>
      </c>
      <c r="D202" s="1">
        <v>-7.0233324848000001</v>
      </c>
      <c r="E202" s="3">
        <v>1</v>
      </c>
      <c r="F202" s="2">
        <v>1</v>
      </c>
      <c r="G202" s="4">
        <v>2</v>
      </c>
      <c r="H202" s="13"/>
      <c r="I202" s="15"/>
      <c r="J202" s="19">
        <v>1</v>
      </c>
      <c r="K202" s="2" t="s">
        <v>415</v>
      </c>
      <c r="L202" s="11" t="str">
        <f t="shared" si="3"/>
        <v>Ver Imagen</v>
      </c>
      <c r="M202" t="s">
        <v>15</v>
      </c>
    </row>
    <row r="203" spans="1:13" x14ac:dyDescent="0.25">
      <c r="A203">
        <v>202</v>
      </c>
      <c r="B203" t="s">
        <v>416</v>
      </c>
      <c r="C203" s="1">
        <v>37.209406719500002</v>
      </c>
      <c r="D203" s="1">
        <v>-7.0234663690100003</v>
      </c>
      <c r="E203" s="3">
        <v>1</v>
      </c>
      <c r="F203" s="2">
        <v>1</v>
      </c>
      <c r="G203" s="4">
        <v>2</v>
      </c>
      <c r="H203" s="13"/>
      <c r="I203" s="15"/>
      <c r="J203" s="19">
        <v>1</v>
      </c>
      <c r="K203" s="2" t="s">
        <v>417</v>
      </c>
      <c r="L203" s="11" t="str">
        <f t="shared" si="3"/>
        <v>Ver Imagen</v>
      </c>
      <c r="M203" t="s">
        <v>15</v>
      </c>
    </row>
    <row r="204" spans="1:13" x14ac:dyDescent="0.25">
      <c r="A204">
        <v>203</v>
      </c>
      <c r="B204" t="s">
        <v>418</v>
      </c>
      <c r="C204" s="1">
        <v>37.2092259211</v>
      </c>
      <c r="D204" s="1">
        <v>-7.0233729754900001</v>
      </c>
      <c r="E204" s="3">
        <v>1</v>
      </c>
      <c r="F204" s="2">
        <v>1</v>
      </c>
      <c r="G204" s="4">
        <v>2</v>
      </c>
      <c r="H204" s="13"/>
      <c r="I204" s="15"/>
      <c r="J204" s="19">
        <v>1</v>
      </c>
      <c r="K204" s="2" t="s">
        <v>419</v>
      </c>
      <c r="L204" s="11" t="str">
        <f t="shared" si="3"/>
        <v>Ver Imagen</v>
      </c>
      <c r="M204" t="s">
        <v>15</v>
      </c>
    </row>
    <row r="205" spans="1:13" x14ac:dyDescent="0.25">
      <c r="A205">
        <v>204</v>
      </c>
      <c r="B205" t="s">
        <v>420</v>
      </c>
      <c r="C205" s="1">
        <v>37.209052309900002</v>
      </c>
      <c r="D205" s="1">
        <v>-7.0232755115999996</v>
      </c>
      <c r="E205" s="3">
        <v>1</v>
      </c>
      <c r="F205" s="2">
        <v>1</v>
      </c>
      <c r="G205" s="4">
        <v>2</v>
      </c>
      <c r="H205" s="13"/>
      <c r="I205" s="15"/>
      <c r="J205" s="19">
        <v>1</v>
      </c>
      <c r="K205" s="2" t="s">
        <v>421</v>
      </c>
      <c r="L205" s="11" t="str">
        <f t="shared" si="3"/>
        <v>Ver Imagen</v>
      </c>
      <c r="M205" t="s">
        <v>15</v>
      </c>
    </row>
    <row r="206" spans="1:13" x14ac:dyDescent="0.25">
      <c r="A206">
        <v>205</v>
      </c>
      <c r="B206" t="s">
        <v>422</v>
      </c>
      <c r="C206" s="1">
        <v>37.2056282418</v>
      </c>
      <c r="D206" s="1">
        <v>-7.0186982882900004</v>
      </c>
      <c r="E206" s="3">
        <v>1</v>
      </c>
      <c r="F206" s="2">
        <v>1</v>
      </c>
      <c r="G206" s="4">
        <v>2</v>
      </c>
      <c r="H206" s="13"/>
      <c r="I206" s="15"/>
      <c r="J206" s="19">
        <v>1</v>
      </c>
      <c r="K206" s="2" t="s">
        <v>423</v>
      </c>
      <c r="L206" s="11" t="str">
        <f t="shared" si="3"/>
        <v>Ver Imagen</v>
      </c>
      <c r="M206" t="s">
        <v>15</v>
      </c>
    </row>
    <row r="207" spans="1:13" x14ac:dyDescent="0.25">
      <c r="A207">
        <v>206</v>
      </c>
      <c r="B207" t="s">
        <v>424</v>
      </c>
      <c r="C207" s="1">
        <v>37.205435308799998</v>
      </c>
      <c r="D207" s="1">
        <v>-7.0180825526200001</v>
      </c>
      <c r="E207" s="3">
        <v>1</v>
      </c>
      <c r="F207" s="2">
        <v>1</v>
      </c>
      <c r="G207" s="4">
        <v>2</v>
      </c>
      <c r="H207" s="13"/>
      <c r="I207" s="15"/>
      <c r="J207" s="19">
        <v>1</v>
      </c>
      <c r="K207" s="2" t="s">
        <v>425</v>
      </c>
      <c r="L207" s="11" t="str">
        <f t="shared" si="3"/>
        <v>Ver Imagen</v>
      </c>
      <c r="M207" t="s">
        <v>15</v>
      </c>
    </row>
    <row r="208" spans="1:13" x14ac:dyDescent="0.25">
      <c r="A208">
        <v>207</v>
      </c>
      <c r="B208" t="s">
        <v>426</v>
      </c>
      <c r="C208" s="1">
        <v>37.205289438100003</v>
      </c>
      <c r="D208" s="1">
        <v>-7.0175635600300001</v>
      </c>
      <c r="E208" s="3">
        <v>1</v>
      </c>
      <c r="F208" s="2">
        <v>1</v>
      </c>
      <c r="G208" s="4">
        <v>2</v>
      </c>
      <c r="H208" s="13"/>
      <c r="I208" s="15"/>
      <c r="J208" s="19">
        <v>1</v>
      </c>
      <c r="K208" s="2" t="s">
        <v>427</v>
      </c>
      <c r="L208" s="11" t="str">
        <f t="shared" si="3"/>
        <v>Ver Imagen</v>
      </c>
      <c r="M208" t="s">
        <v>15</v>
      </c>
    </row>
    <row r="209" spans="1:13" x14ac:dyDescent="0.25">
      <c r="A209">
        <v>208</v>
      </c>
      <c r="B209" t="s">
        <v>428</v>
      </c>
      <c r="C209" s="1">
        <v>37.205232534399997</v>
      </c>
      <c r="D209" s="1">
        <v>-7.01734578742</v>
      </c>
      <c r="E209" s="3">
        <v>1</v>
      </c>
      <c r="F209" s="2">
        <v>1</v>
      </c>
      <c r="G209" s="4">
        <v>2</v>
      </c>
      <c r="H209" s="13"/>
      <c r="I209" s="15"/>
      <c r="J209" s="19">
        <v>1</v>
      </c>
      <c r="K209" s="2" t="s">
        <v>429</v>
      </c>
      <c r="L209" s="11" t="str">
        <f t="shared" si="3"/>
        <v>Ver Imagen</v>
      </c>
      <c r="M209" t="s">
        <v>15</v>
      </c>
    </row>
    <row r="210" spans="1:13" x14ac:dyDescent="0.25">
      <c r="A210">
        <v>209</v>
      </c>
      <c r="B210" t="s">
        <v>430</v>
      </c>
      <c r="C210" s="1">
        <v>37.221648925899999</v>
      </c>
      <c r="D210" s="1">
        <v>-7.0229317840099998</v>
      </c>
      <c r="E210" s="3">
        <v>1</v>
      </c>
      <c r="F210" s="2">
        <v>1</v>
      </c>
      <c r="G210" s="4">
        <v>2</v>
      </c>
      <c r="H210" s="13"/>
      <c r="I210" s="15"/>
      <c r="J210" s="19">
        <v>1</v>
      </c>
      <c r="K210" s="2" t="s">
        <v>431</v>
      </c>
      <c r="L210" s="11" t="str">
        <f t="shared" si="3"/>
        <v>Ver Imagen</v>
      </c>
      <c r="M210" t="s">
        <v>15</v>
      </c>
    </row>
    <row r="211" spans="1:13" x14ac:dyDescent="0.25">
      <c r="A211">
        <v>210</v>
      </c>
      <c r="B211" t="s">
        <v>432</v>
      </c>
      <c r="C211" s="1">
        <v>37.2226225195</v>
      </c>
      <c r="D211" s="1">
        <v>-7.0230260190399996</v>
      </c>
      <c r="E211" s="3">
        <v>1</v>
      </c>
      <c r="F211" s="2">
        <v>1</v>
      </c>
      <c r="G211" s="4">
        <v>2</v>
      </c>
      <c r="H211" s="13"/>
      <c r="I211" s="15"/>
      <c r="J211" s="19">
        <v>1</v>
      </c>
      <c r="K211" s="2" t="s">
        <v>433</v>
      </c>
      <c r="L211" s="11" t="str">
        <f t="shared" si="3"/>
        <v>Ver Imagen</v>
      </c>
      <c r="M211" t="s">
        <v>15</v>
      </c>
    </row>
    <row r="212" spans="1:13" x14ac:dyDescent="0.25">
      <c r="A212">
        <v>211</v>
      </c>
      <c r="B212" t="s">
        <v>434</v>
      </c>
      <c r="C212" s="1">
        <v>37.227335167600003</v>
      </c>
      <c r="D212" s="1">
        <v>-7.02227432904</v>
      </c>
      <c r="E212" s="3">
        <v>2</v>
      </c>
      <c r="F212" s="2">
        <v>1</v>
      </c>
      <c r="G212" s="4">
        <v>1</v>
      </c>
      <c r="H212" s="13"/>
      <c r="I212" s="15"/>
      <c r="J212" s="19">
        <v>1</v>
      </c>
      <c r="K212" s="2" t="s">
        <v>435</v>
      </c>
      <c r="L212" s="11" t="str">
        <f t="shared" si="3"/>
        <v>Ver Imagen</v>
      </c>
      <c r="M212" t="s">
        <v>15</v>
      </c>
    </row>
    <row r="213" spans="1:13" x14ac:dyDescent="0.25">
      <c r="A213">
        <v>212</v>
      </c>
      <c r="B213" t="s">
        <v>436</v>
      </c>
      <c r="C213" s="1">
        <v>37.227625043300002</v>
      </c>
      <c r="D213" s="1">
        <v>-7.0220586818599999</v>
      </c>
      <c r="E213" s="3">
        <v>2</v>
      </c>
      <c r="F213" s="2">
        <v>1</v>
      </c>
      <c r="G213" s="4">
        <v>1</v>
      </c>
      <c r="H213" s="13"/>
      <c r="I213" s="15"/>
      <c r="J213" s="19">
        <v>1</v>
      </c>
      <c r="K213" s="2" t="s">
        <v>437</v>
      </c>
      <c r="L213" s="11" t="str">
        <f t="shared" si="3"/>
        <v>Ver Imagen</v>
      </c>
      <c r="M213" t="s">
        <v>15</v>
      </c>
    </row>
    <row r="214" spans="1:13" x14ac:dyDescent="0.25">
      <c r="A214">
        <v>213</v>
      </c>
      <c r="B214" t="s">
        <v>438</v>
      </c>
      <c r="C214" s="1">
        <v>37.2283785917</v>
      </c>
      <c r="D214" s="1">
        <v>-7.0214924630400004</v>
      </c>
      <c r="E214" s="3">
        <v>1</v>
      </c>
      <c r="F214" s="2">
        <v>1</v>
      </c>
      <c r="G214" s="4">
        <v>2</v>
      </c>
      <c r="H214" s="13"/>
      <c r="I214" s="15"/>
      <c r="J214" s="19">
        <v>1</v>
      </c>
      <c r="K214" s="2" t="s">
        <v>439</v>
      </c>
      <c r="L214" s="11" t="str">
        <f t="shared" si="3"/>
        <v>Ver Imagen</v>
      </c>
      <c r="M214" t="s">
        <v>15</v>
      </c>
    </row>
    <row r="215" spans="1:13" x14ac:dyDescent="0.25">
      <c r="A215">
        <v>214</v>
      </c>
      <c r="B215" t="s">
        <v>440</v>
      </c>
      <c r="C215" s="1">
        <v>37.229210176400002</v>
      </c>
      <c r="D215" s="1">
        <v>-7.0208570232599996</v>
      </c>
      <c r="E215" s="3">
        <v>1</v>
      </c>
      <c r="F215" s="2">
        <v>1</v>
      </c>
      <c r="G215" s="4">
        <v>2</v>
      </c>
      <c r="H215" s="13"/>
      <c r="I215" s="15"/>
      <c r="J215" s="19">
        <v>1</v>
      </c>
      <c r="K215" s="2" t="s">
        <v>441</v>
      </c>
      <c r="L215" s="11" t="str">
        <f t="shared" si="3"/>
        <v>Ver Imagen</v>
      </c>
      <c r="M215" t="s">
        <v>15</v>
      </c>
    </row>
    <row r="216" spans="1:13" x14ac:dyDescent="0.25">
      <c r="A216">
        <v>215</v>
      </c>
      <c r="B216" t="s">
        <v>442</v>
      </c>
      <c r="C216" s="1">
        <v>37.264882143100003</v>
      </c>
      <c r="D216" s="1">
        <v>-6.9989017240900004</v>
      </c>
      <c r="E216" s="3">
        <v>1</v>
      </c>
      <c r="F216" s="2">
        <v>2</v>
      </c>
      <c r="G216" s="4">
        <v>1</v>
      </c>
      <c r="H216" s="13"/>
      <c r="I216" s="15"/>
      <c r="J216" s="19">
        <v>1</v>
      </c>
      <c r="K216" s="2" t="s">
        <v>443</v>
      </c>
      <c r="L216" s="11" t="str">
        <f t="shared" si="3"/>
        <v>Ver Imagen</v>
      </c>
      <c r="M216" t="s">
        <v>15</v>
      </c>
    </row>
    <row r="217" spans="1:13" x14ac:dyDescent="0.25">
      <c r="A217">
        <v>216</v>
      </c>
      <c r="B217" t="s">
        <v>444</v>
      </c>
      <c r="C217" s="1">
        <v>37.2650146792</v>
      </c>
      <c r="D217" s="1">
        <v>-6.9981442285700002</v>
      </c>
      <c r="E217" s="3">
        <v>1</v>
      </c>
      <c r="F217" s="2">
        <v>2</v>
      </c>
      <c r="G217" s="4">
        <v>1</v>
      </c>
      <c r="H217" s="13"/>
      <c r="I217" s="15"/>
      <c r="J217" s="19">
        <v>1</v>
      </c>
      <c r="K217" s="2" t="s">
        <v>445</v>
      </c>
      <c r="L217" s="11" t="str">
        <f t="shared" si="3"/>
        <v>Ver Imagen</v>
      </c>
      <c r="M217" t="s">
        <v>15</v>
      </c>
    </row>
    <row r="218" spans="1:13" x14ac:dyDescent="0.25">
      <c r="A218">
        <v>217</v>
      </c>
      <c r="B218" t="s">
        <v>446</v>
      </c>
      <c r="C218" s="1">
        <v>37.265284673899998</v>
      </c>
      <c r="D218" s="1">
        <v>-6.9966499049599999</v>
      </c>
      <c r="E218" s="3">
        <v>1</v>
      </c>
      <c r="F218" s="2">
        <v>2</v>
      </c>
      <c r="G218" s="4">
        <v>1</v>
      </c>
      <c r="H218" s="13"/>
      <c r="I218" s="15"/>
      <c r="J218" s="19">
        <v>1</v>
      </c>
      <c r="K218" s="2" t="s">
        <v>447</v>
      </c>
      <c r="L218" s="11" t="str">
        <f t="shared" si="3"/>
        <v>Ver Imagen</v>
      </c>
      <c r="M218" t="s">
        <v>15</v>
      </c>
    </row>
    <row r="219" spans="1:13" x14ac:dyDescent="0.25">
      <c r="A219">
        <v>218</v>
      </c>
      <c r="B219" t="s">
        <v>448</v>
      </c>
      <c r="C219" s="1">
        <v>37.265505572499997</v>
      </c>
      <c r="D219" s="1">
        <v>-6.9953928651900004</v>
      </c>
      <c r="E219" s="3">
        <v>1</v>
      </c>
      <c r="F219" s="2">
        <v>2</v>
      </c>
      <c r="G219" s="4">
        <v>1</v>
      </c>
      <c r="H219" s="13"/>
      <c r="I219" s="15"/>
      <c r="J219" s="19">
        <v>1</v>
      </c>
      <c r="K219" s="2" t="s">
        <v>449</v>
      </c>
      <c r="L219" s="11" t="str">
        <f t="shared" si="3"/>
        <v>Ver Imagen</v>
      </c>
      <c r="M219" t="s">
        <v>15</v>
      </c>
    </row>
    <row r="220" spans="1:13" x14ac:dyDescent="0.25">
      <c r="A220">
        <v>219</v>
      </c>
      <c r="B220" t="s">
        <v>450</v>
      </c>
      <c r="C220" s="1">
        <v>37.487144796599999</v>
      </c>
      <c r="D220" s="1">
        <v>-7.2426827427199996</v>
      </c>
      <c r="E220" s="3">
        <v>1</v>
      </c>
      <c r="F220" s="2">
        <v>1</v>
      </c>
      <c r="G220" s="4">
        <v>2</v>
      </c>
      <c r="H220" s="13"/>
      <c r="I220" s="15"/>
      <c r="J220" s="19">
        <v>1</v>
      </c>
      <c r="K220" s="2" t="s">
        <v>451</v>
      </c>
      <c r="L220" s="11" t="str">
        <f t="shared" si="3"/>
        <v>Ver Imagen</v>
      </c>
      <c r="M220" t="s">
        <v>15</v>
      </c>
    </row>
    <row r="221" spans="1:13" x14ac:dyDescent="0.25">
      <c r="A221">
        <v>220</v>
      </c>
      <c r="B221" t="s">
        <v>452</v>
      </c>
      <c r="C221" s="1">
        <v>37.483925458100003</v>
      </c>
      <c r="D221" s="1">
        <v>-7.22493053017</v>
      </c>
      <c r="E221" s="3">
        <v>1</v>
      </c>
      <c r="F221" s="2">
        <v>1</v>
      </c>
      <c r="G221" s="4">
        <v>2</v>
      </c>
      <c r="H221" s="13"/>
      <c r="I221" s="15"/>
      <c r="J221" s="19">
        <v>1</v>
      </c>
      <c r="K221" s="2" t="s">
        <v>453</v>
      </c>
      <c r="L221" s="11" t="str">
        <f t="shared" si="3"/>
        <v>Ver Imagen</v>
      </c>
      <c r="M221" t="s">
        <v>15</v>
      </c>
    </row>
    <row r="222" spans="1:13" x14ac:dyDescent="0.25">
      <c r="A222">
        <v>221</v>
      </c>
      <c r="B222" t="s">
        <v>454</v>
      </c>
      <c r="C222" s="1">
        <v>37.483971228599998</v>
      </c>
      <c r="D222" s="1">
        <v>-7.2251662267299999</v>
      </c>
      <c r="E222" s="3">
        <v>1</v>
      </c>
      <c r="F222" s="2">
        <v>1</v>
      </c>
      <c r="G222" s="4">
        <v>2</v>
      </c>
      <c r="H222" s="13"/>
      <c r="I222" s="15"/>
      <c r="J222" s="19">
        <v>1</v>
      </c>
      <c r="K222" s="2" t="s">
        <v>455</v>
      </c>
      <c r="L222" s="11" t="str">
        <f t="shared" si="3"/>
        <v>Ver Imagen</v>
      </c>
      <c r="M222" t="s">
        <v>15</v>
      </c>
    </row>
    <row r="223" spans="1:13" x14ac:dyDescent="0.25">
      <c r="A223">
        <v>222</v>
      </c>
      <c r="B223" t="s">
        <v>456</v>
      </c>
      <c r="C223" s="1">
        <v>37.484243458900004</v>
      </c>
      <c r="D223" s="1">
        <v>-7.2265821317199999</v>
      </c>
      <c r="E223" s="3">
        <v>1</v>
      </c>
      <c r="F223" s="2">
        <v>1</v>
      </c>
      <c r="G223" s="4">
        <v>2</v>
      </c>
      <c r="H223" s="13"/>
      <c r="I223" s="15"/>
      <c r="J223" s="19">
        <v>1</v>
      </c>
      <c r="K223" s="2" t="s">
        <v>457</v>
      </c>
      <c r="L223" s="11" t="str">
        <f t="shared" si="3"/>
        <v>Ver Imagen</v>
      </c>
      <c r="M223" t="s">
        <v>15</v>
      </c>
    </row>
    <row r="224" spans="1:13" x14ac:dyDescent="0.25">
      <c r="A224">
        <v>223</v>
      </c>
      <c r="B224" t="s">
        <v>458</v>
      </c>
      <c r="C224" s="1">
        <v>37.484316395299999</v>
      </c>
      <c r="D224" s="1">
        <v>-7.2269555144700002</v>
      </c>
      <c r="E224" s="3">
        <v>1</v>
      </c>
      <c r="F224" s="2">
        <v>1</v>
      </c>
      <c r="G224" s="4">
        <v>2</v>
      </c>
      <c r="H224" s="13"/>
      <c r="I224" s="15"/>
      <c r="J224" s="19">
        <v>1</v>
      </c>
      <c r="K224" s="2" t="s">
        <v>459</v>
      </c>
      <c r="L224" s="11" t="str">
        <f t="shared" si="3"/>
        <v>Ver Imagen</v>
      </c>
      <c r="M224" t="s">
        <v>15</v>
      </c>
    </row>
    <row r="225" spans="1:13" x14ac:dyDescent="0.25">
      <c r="A225">
        <v>224</v>
      </c>
      <c r="B225" t="s">
        <v>460</v>
      </c>
      <c r="C225" s="1">
        <v>37.4843929002</v>
      </c>
      <c r="D225" s="1">
        <v>-7.2273399735400004</v>
      </c>
      <c r="E225" s="3">
        <v>1</v>
      </c>
      <c r="F225" s="2">
        <v>1</v>
      </c>
      <c r="G225" s="4">
        <v>2</v>
      </c>
      <c r="H225" s="13"/>
      <c r="I225" s="15"/>
      <c r="J225" s="19">
        <v>1</v>
      </c>
      <c r="K225" s="2" t="s">
        <v>461</v>
      </c>
      <c r="L225" s="11" t="str">
        <f t="shared" si="3"/>
        <v>Ver Imagen</v>
      </c>
      <c r="M225" t="s">
        <v>15</v>
      </c>
    </row>
    <row r="226" spans="1:13" x14ac:dyDescent="0.25">
      <c r="A226">
        <v>225</v>
      </c>
      <c r="B226" t="s">
        <v>462</v>
      </c>
      <c r="C226" s="1">
        <v>37.484878667499999</v>
      </c>
      <c r="D226" s="1">
        <v>-7.2298223733200002</v>
      </c>
      <c r="E226" s="3">
        <v>1</v>
      </c>
      <c r="F226" s="2">
        <v>1</v>
      </c>
      <c r="G226" s="4">
        <v>2</v>
      </c>
      <c r="H226" s="13"/>
      <c r="I226" s="15"/>
      <c r="J226" s="19">
        <v>1</v>
      </c>
      <c r="K226" s="2" t="s">
        <v>463</v>
      </c>
      <c r="L226" s="11" t="str">
        <f t="shared" si="3"/>
        <v>Ver Imagen</v>
      </c>
      <c r="M226" t="s">
        <v>15</v>
      </c>
    </row>
    <row r="227" spans="1:13" x14ac:dyDescent="0.25">
      <c r="A227">
        <v>226</v>
      </c>
      <c r="B227" t="s">
        <v>464</v>
      </c>
      <c r="C227" s="1">
        <v>37.4851193975</v>
      </c>
      <c r="D227" s="1">
        <v>-7.2310644812199998</v>
      </c>
      <c r="E227" s="3">
        <v>1</v>
      </c>
      <c r="F227" s="2">
        <v>1</v>
      </c>
      <c r="G227" s="4">
        <v>2</v>
      </c>
      <c r="H227" s="13"/>
      <c r="I227" s="15"/>
      <c r="J227" s="19">
        <v>1</v>
      </c>
      <c r="K227" s="2" t="s">
        <v>465</v>
      </c>
      <c r="L227" s="11" t="str">
        <f t="shared" si="3"/>
        <v>Ver Imagen</v>
      </c>
      <c r="M227" t="s">
        <v>15</v>
      </c>
    </row>
    <row r="228" spans="1:13" x14ac:dyDescent="0.25">
      <c r="A228">
        <v>227</v>
      </c>
      <c r="B228" t="s">
        <v>466</v>
      </c>
      <c r="C228" s="1">
        <v>37.4851589039</v>
      </c>
      <c r="D228" s="1">
        <v>-7.2312690074499999</v>
      </c>
      <c r="E228" s="3">
        <v>1</v>
      </c>
      <c r="F228" s="2">
        <v>1</v>
      </c>
      <c r="G228" s="4">
        <v>2</v>
      </c>
      <c r="H228" s="13"/>
      <c r="I228" s="15"/>
      <c r="J228" s="19">
        <v>1</v>
      </c>
      <c r="K228" s="2" t="s">
        <v>467</v>
      </c>
      <c r="L228" s="11" t="str">
        <f t="shared" si="3"/>
        <v>Ver Imagen</v>
      </c>
      <c r="M228" t="s">
        <v>15</v>
      </c>
    </row>
    <row r="229" spans="1:13" x14ac:dyDescent="0.25">
      <c r="A229">
        <v>228</v>
      </c>
      <c r="B229" t="s">
        <v>468</v>
      </c>
      <c r="C229" s="1">
        <v>37.485354665000003</v>
      </c>
      <c r="D229" s="1">
        <v>-7.2323011594400004</v>
      </c>
      <c r="E229" s="3">
        <v>1</v>
      </c>
      <c r="F229" s="2">
        <v>1</v>
      </c>
      <c r="G229" s="4">
        <v>2</v>
      </c>
      <c r="H229" s="13"/>
      <c r="I229" s="15"/>
      <c r="J229" s="19">
        <v>1</v>
      </c>
      <c r="K229" s="2" t="s">
        <v>469</v>
      </c>
      <c r="L229" s="11" t="str">
        <f t="shared" si="3"/>
        <v>Ver Imagen</v>
      </c>
      <c r="M229" t="s">
        <v>15</v>
      </c>
    </row>
    <row r="230" spans="1:13" x14ac:dyDescent="0.25">
      <c r="A230">
        <v>229</v>
      </c>
      <c r="B230" t="s">
        <v>470</v>
      </c>
      <c r="C230" s="1">
        <v>37.486256415100002</v>
      </c>
      <c r="D230" s="1">
        <v>-7.2369854071999997</v>
      </c>
      <c r="E230" s="3">
        <v>1</v>
      </c>
      <c r="F230" s="2">
        <v>1</v>
      </c>
      <c r="G230" s="4">
        <v>2</v>
      </c>
      <c r="H230" s="13"/>
      <c r="I230" s="15"/>
      <c r="J230" s="19">
        <v>1</v>
      </c>
      <c r="K230" s="2" t="s">
        <v>471</v>
      </c>
      <c r="L230" s="11" t="str">
        <f t="shared" si="3"/>
        <v>Ver Imagen</v>
      </c>
      <c r="M230" t="s">
        <v>15</v>
      </c>
    </row>
    <row r="231" spans="1:13" x14ac:dyDescent="0.25">
      <c r="A231">
        <v>230</v>
      </c>
      <c r="B231" t="s">
        <v>472</v>
      </c>
      <c r="C231" s="1">
        <v>37.4893515618</v>
      </c>
      <c r="D231" s="1">
        <v>-7.2480459035100004</v>
      </c>
      <c r="E231" s="3">
        <v>1</v>
      </c>
      <c r="F231" s="2">
        <v>1</v>
      </c>
      <c r="G231" s="4">
        <v>2</v>
      </c>
      <c r="H231" s="13"/>
      <c r="I231" s="15"/>
      <c r="J231" s="19">
        <v>1</v>
      </c>
      <c r="K231" s="2" t="s">
        <v>473</v>
      </c>
      <c r="L231" s="11" t="str">
        <f t="shared" si="3"/>
        <v>Ver Imagen</v>
      </c>
      <c r="M231" t="s">
        <v>15</v>
      </c>
    </row>
    <row r="232" spans="1:13" x14ac:dyDescent="0.25">
      <c r="A232">
        <v>231</v>
      </c>
      <c r="B232" t="s">
        <v>474</v>
      </c>
      <c r="C232" s="1">
        <v>37.490530656499999</v>
      </c>
      <c r="D232" s="1">
        <v>-7.2494637520299996</v>
      </c>
      <c r="E232" s="3">
        <v>1</v>
      </c>
      <c r="F232" s="2">
        <v>1</v>
      </c>
      <c r="G232" s="4">
        <v>2</v>
      </c>
      <c r="H232" s="13"/>
      <c r="I232" s="15"/>
      <c r="J232" s="19">
        <v>1</v>
      </c>
      <c r="K232" s="2" t="s">
        <v>475</v>
      </c>
      <c r="L232" s="11" t="str">
        <f t="shared" si="3"/>
        <v>Ver Imagen</v>
      </c>
      <c r="M232" t="s">
        <v>15</v>
      </c>
    </row>
    <row r="233" spans="1:13" x14ac:dyDescent="0.25">
      <c r="A233">
        <v>232</v>
      </c>
      <c r="B233" t="s">
        <v>476</v>
      </c>
      <c r="C233" s="1">
        <v>37.490682174900002</v>
      </c>
      <c r="D233" s="1">
        <v>-7.2602002512599997</v>
      </c>
      <c r="E233" s="3">
        <v>1</v>
      </c>
      <c r="F233" s="2">
        <v>1</v>
      </c>
      <c r="G233" s="4">
        <v>2</v>
      </c>
      <c r="H233" s="13"/>
      <c r="I233" s="15"/>
      <c r="J233" s="19">
        <v>1</v>
      </c>
      <c r="K233" s="2" t="s">
        <v>477</v>
      </c>
      <c r="L233" s="11" t="str">
        <f t="shared" si="3"/>
        <v>Ver Imagen</v>
      </c>
      <c r="M233" t="s">
        <v>15</v>
      </c>
    </row>
    <row r="234" spans="1:13" x14ac:dyDescent="0.25">
      <c r="A234">
        <v>233</v>
      </c>
      <c r="B234" t="s">
        <v>478</v>
      </c>
      <c r="C234" s="1">
        <v>37.4932226273</v>
      </c>
      <c r="D234" s="1">
        <v>-7.26371030414</v>
      </c>
      <c r="E234" s="3">
        <v>1</v>
      </c>
      <c r="F234" s="2">
        <v>1</v>
      </c>
      <c r="G234" s="4">
        <v>2</v>
      </c>
      <c r="H234" s="13"/>
      <c r="I234" s="15"/>
      <c r="J234" s="19">
        <v>1</v>
      </c>
      <c r="K234" s="2" t="s">
        <v>479</v>
      </c>
      <c r="L234" s="11" t="str">
        <f t="shared" si="3"/>
        <v>Ver Imagen</v>
      </c>
      <c r="M234" t="s">
        <v>15</v>
      </c>
    </row>
    <row r="235" spans="1:13" x14ac:dyDescent="0.25">
      <c r="A235">
        <v>234</v>
      </c>
      <c r="B235" t="s">
        <v>480</v>
      </c>
      <c r="C235" s="1">
        <v>37.278995243499999</v>
      </c>
      <c r="D235" s="1">
        <v>-7.0304281258900003</v>
      </c>
      <c r="E235" s="3">
        <v>1</v>
      </c>
      <c r="F235" s="2">
        <v>1</v>
      </c>
      <c r="G235" s="4">
        <v>2</v>
      </c>
      <c r="H235" s="13"/>
      <c r="I235" s="15"/>
      <c r="J235" s="19">
        <v>1</v>
      </c>
      <c r="K235" s="2" t="s">
        <v>481</v>
      </c>
      <c r="L235" s="11" t="str">
        <f t="shared" si="3"/>
        <v>Ver Imagen</v>
      </c>
      <c r="M235" t="s">
        <v>15</v>
      </c>
    </row>
    <row r="236" spans="1:13" x14ac:dyDescent="0.25">
      <c r="A236">
        <v>235</v>
      </c>
      <c r="B236" t="s">
        <v>482</v>
      </c>
      <c r="C236" s="1">
        <v>37.284103924299998</v>
      </c>
      <c r="D236" s="1">
        <v>-7.0358398401400004</v>
      </c>
      <c r="E236" s="3">
        <v>1</v>
      </c>
      <c r="F236" s="2">
        <v>1</v>
      </c>
      <c r="G236" s="4">
        <v>2</v>
      </c>
      <c r="H236" s="13"/>
      <c r="I236" s="15"/>
      <c r="J236" s="19">
        <v>1</v>
      </c>
      <c r="K236" s="2" t="s">
        <v>483</v>
      </c>
      <c r="L236" s="11" t="str">
        <f t="shared" si="3"/>
        <v>Ver Imagen</v>
      </c>
      <c r="M236" t="s">
        <v>15</v>
      </c>
    </row>
    <row r="237" spans="1:13" x14ac:dyDescent="0.25">
      <c r="A237">
        <v>236</v>
      </c>
      <c r="B237" t="s">
        <v>484</v>
      </c>
      <c r="C237" s="1">
        <v>37.284227424999997</v>
      </c>
      <c r="D237" s="1">
        <v>-7.0376028955400001</v>
      </c>
      <c r="E237" s="3">
        <v>1</v>
      </c>
      <c r="F237" s="2">
        <v>1</v>
      </c>
      <c r="G237" s="4">
        <v>2</v>
      </c>
      <c r="H237" s="13"/>
      <c r="I237" s="15"/>
      <c r="J237" s="19">
        <v>1</v>
      </c>
      <c r="K237" s="2" t="s">
        <v>485</v>
      </c>
      <c r="L237" s="11" t="str">
        <f t="shared" si="3"/>
        <v>Ver Imagen</v>
      </c>
      <c r="M237" t="s">
        <v>15</v>
      </c>
    </row>
    <row r="238" spans="1:13" x14ac:dyDescent="0.25">
      <c r="A238">
        <v>237</v>
      </c>
      <c r="B238" t="s">
        <v>486</v>
      </c>
      <c r="C238" s="1">
        <v>37.284335613099998</v>
      </c>
      <c r="D238" s="1">
        <v>-7.0380552111599997</v>
      </c>
      <c r="E238" s="3">
        <v>1</v>
      </c>
      <c r="F238" s="2">
        <v>1</v>
      </c>
      <c r="G238" s="4">
        <v>2</v>
      </c>
      <c r="H238" s="13"/>
      <c r="I238" s="15"/>
      <c r="J238" s="19">
        <v>1</v>
      </c>
      <c r="K238" s="2" t="s">
        <v>487</v>
      </c>
      <c r="L238" s="11" t="str">
        <f t="shared" si="3"/>
        <v>Ver Imagen</v>
      </c>
      <c r="M238" t="s">
        <v>15</v>
      </c>
    </row>
    <row r="239" spans="1:13" x14ac:dyDescent="0.25">
      <c r="A239">
        <v>238</v>
      </c>
      <c r="B239" t="s">
        <v>488</v>
      </c>
      <c r="C239" s="1">
        <v>37.284394822199999</v>
      </c>
      <c r="D239" s="1">
        <v>-7.0382897021700002</v>
      </c>
      <c r="E239" s="3">
        <v>1</v>
      </c>
      <c r="F239" s="2">
        <v>1</v>
      </c>
      <c r="G239" s="4">
        <v>2</v>
      </c>
      <c r="H239" s="13"/>
      <c r="I239" s="15"/>
      <c r="J239" s="19">
        <v>1</v>
      </c>
      <c r="K239" s="2" t="s">
        <v>489</v>
      </c>
      <c r="L239" s="11" t="str">
        <f t="shared" si="3"/>
        <v>Ver Imagen</v>
      </c>
      <c r="M239" t="s">
        <v>15</v>
      </c>
    </row>
    <row r="240" spans="1:13" x14ac:dyDescent="0.25">
      <c r="A240">
        <v>239</v>
      </c>
      <c r="B240" t="s">
        <v>490</v>
      </c>
      <c r="C240" s="1">
        <v>37.285684816699998</v>
      </c>
      <c r="D240" s="1">
        <v>-7.0411257100800002</v>
      </c>
      <c r="E240" s="3">
        <v>1</v>
      </c>
      <c r="F240" s="2">
        <v>1</v>
      </c>
      <c r="G240" s="4">
        <v>2</v>
      </c>
      <c r="H240" s="13"/>
      <c r="I240" s="15"/>
      <c r="J240" s="19">
        <v>1</v>
      </c>
      <c r="K240" s="2" t="s">
        <v>491</v>
      </c>
      <c r="L240" s="11" t="str">
        <f t="shared" si="3"/>
        <v>Ver Imagen</v>
      </c>
      <c r="M240" t="s">
        <v>15</v>
      </c>
    </row>
    <row r="241" spans="1:13" x14ac:dyDescent="0.25">
      <c r="A241">
        <v>240</v>
      </c>
      <c r="B241" t="s">
        <v>492</v>
      </c>
      <c r="C241" s="1">
        <v>37.2858226484</v>
      </c>
      <c r="D241" s="1">
        <v>-7.0412578183000001</v>
      </c>
      <c r="E241" s="3">
        <v>1</v>
      </c>
      <c r="F241" s="2">
        <v>1</v>
      </c>
      <c r="G241" s="4">
        <v>2</v>
      </c>
      <c r="H241" s="13"/>
      <c r="I241" s="15"/>
      <c r="J241" s="19">
        <v>1</v>
      </c>
      <c r="K241" s="2" t="s">
        <v>493</v>
      </c>
      <c r="L241" s="11" t="str">
        <f t="shared" si="3"/>
        <v>Ver Imagen</v>
      </c>
      <c r="M241" t="s">
        <v>15</v>
      </c>
    </row>
    <row r="242" spans="1:13" x14ac:dyDescent="0.25">
      <c r="A242">
        <v>241</v>
      </c>
      <c r="B242" t="s">
        <v>494</v>
      </c>
      <c r="C242" s="1">
        <v>37.289361486700003</v>
      </c>
      <c r="D242" s="1">
        <v>-7.0440166029600002</v>
      </c>
      <c r="E242" s="3">
        <v>1</v>
      </c>
      <c r="F242" s="2">
        <v>1</v>
      </c>
      <c r="G242" s="4">
        <v>2</v>
      </c>
      <c r="H242" s="13"/>
      <c r="I242" s="15"/>
      <c r="J242" s="19">
        <v>1</v>
      </c>
      <c r="K242" s="2" t="s">
        <v>495</v>
      </c>
      <c r="L242" s="11" t="str">
        <f t="shared" ref="L242:L264" si="4">HYPERLINK("1\1\" &amp; K242, "Ver Imagen")</f>
        <v>Ver Imagen</v>
      </c>
      <c r="M242" t="s">
        <v>15</v>
      </c>
    </row>
    <row r="243" spans="1:13" x14ac:dyDescent="0.25">
      <c r="A243">
        <v>242</v>
      </c>
      <c r="B243" t="s">
        <v>496</v>
      </c>
      <c r="C243" s="1">
        <v>37.294643174000001</v>
      </c>
      <c r="D243" s="1">
        <v>-7.0481560596700001</v>
      </c>
      <c r="E243" s="3">
        <v>1</v>
      </c>
      <c r="F243" s="2">
        <v>1</v>
      </c>
      <c r="G243" s="4">
        <v>2</v>
      </c>
      <c r="H243" s="13"/>
      <c r="I243" s="15"/>
      <c r="J243" s="19">
        <v>1</v>
      </c>
      <c r="K243" s="2" t="s">
        <v>497</v>
      </c>
      <c r="L243" s="11" t="str">
        <f t="shared" si="4"/>
        <v>Ver Imagen</v>
      </c>
      <c r="M243" t="s">
        <v>15</v>
      </c>
    </row>
    <row r="244" spans="1:13" x14ac:dyDescent="0.25">
      <c r="A244">
        <v>243</v>
      </c>
      <c r="B244" t="s">
        <v>498</v>
      </c>
      <c r="C244" s="1">
        <v>37.302893321100001</v>
      </c>
      <c r="D244" s="1">
        <v>-7.0566212226199996</v>
      </c>
      <c r="E244" s="3">
        <v>1</v>
      </c>
      <c r="F244" s="2">
        <v>1</v>
      </c>
      <c r="G244" s="4">
        <v>2</v>
      </c>
      <c r="H244" s="13"/>
      <c r="I244" s="15"/>
      <c r="J244" s="19">
        <v>1</v>
      </c>
      <c r="K244" s="2" t="s">
        <v>499</v>
      </c>
      <c r="L244" s="11" t="str">
        <f t="shared" si="4"/>
        <v>Ver Imagen</v>
      </c>
      <c r="M244" t="s">
        <v>15</v>
      </c>
    </row>
    <row r="245" spans="1:13" x14ac:dyDescent="0.25">
      <c r="A245">
        <v>244</v>
      </c>
      <c r="B245" t="s">
        <v>500</v>
      </c>
      <c r="C245" s="1">
        <v>37.3034567897</v>
      </c>
      <c r="D245" s="1">
        <v>-7.0567106920400002</v>
      </c>
      <c r="E245" s="3">
        <v>1</v>
      </c>
      <c r="F245" s="2">
        <v>1</v>
      </c>
      <c r="G245" s="4">
        <v>2</v>
      </c>
      <c r="H245" s="13"/>
      <c r="I245" s="15"/>
      <c r="J245" s="19">
        <v>1</v>
      </c>
      <c r="K245" s="2" t="s">
        <v>501</v>
      </c>
      <c r="L245" s="11" t="str">
        <f t="shared" si="4"/>
        <v>Ver Imagen</v>
      </c>
      <c r="M245" t="s">
        <v>15</v>
      </c>
    </row>
    <row r="246" spans="1:13" x14ac:dyDescent="0.25">
      <c r="A246">
        <v>245</v>
      </c>
      <c r="B246" t="s">
        <v>502</v>
      </c>
      <c r="C246" s="1">
        <v>37.304902657699998</v>
      </c>
      <c r="D246" s="1">
        <v>-7.0567400460099998</v>
      </c>
      <c r="E246" s="3">
        <v>1</v>
      </c>
      <c r="F246" s="2">
        <v>1</v>
      </c>
      <c r="G246" s="4">
        <v>2</v>
      </c>
      <c r="H246" s="13"/>
      <c r="I246" s="15"/>
      <c r="J246" s="19">
        <v>1</v>
      </c>
      <c r="K246" s="2" t="s">
        <v>503</v>
      </c>
      <c r="L246" s="11" t="str">
        <f t="shared" si="4"/>
        <v>Ver Imagen</v>
      </c>
      <c r="M246" t="s">
        <v>15</v>
      </c>
    </row>
    <row r="247" spans="1:13" x14ac:dyDescent="0.25">
      <c r="A247">
        <v>246</v>
      </c>
      <c r="B247" t="s">
        <v>504</v>
      </c>
      <c r="C247" s="1">
        <v>37.305094695400001</v>
      </c>
      <c r="D247" s="1">
        <v>-7.0567362267</v>
      </c>
      <c r="E247" s="3">
        <v>1</v>
      </c>
      <c r="F247" s="2">
        <v>1</v>
      </c>
      <c r="G247" s="4">
        <v>2</v>
      </c>
      <c r="H247" s="13"/>
      <c r="I247" s="15"/>
      <c r="J247" s="19">
        <v>1</v>
      </c>
      <c r="K247" s="2" t="s">
        <v>505</v>
      </c>
      <c r="L247" s="11" t="str">
        <f t="shared" si="4"/>
        <v>Ver Imagen</v>
      </c>
      <c r="M247" t="s">
        <v>15</v>
      </c>
    </row>
    <row r="248" spans="1:13" x14ac:dyDescent="0.25">
      <c r="A248">
        <v>247</v>
      </c>
      <c r="B248" t="s">
        <v>506</v>
      </c>
      <c r="C248" s="1">
        <v>37.3100827353</v>
      </c>
      <c r="D248" s="1">
        <v>-7.0583043278000002</v>
      </c>
      <c r="E248" s="3">
        <v>1</v>
      </c>
      <c r="F248" s="2">
        <v>1</v>
      </c>
      <c r="G248" s="4">
        <v>2</v>
      </c>
      <c r="H248" s="13"/>
      <c r="I248" s="15"/>
      <c r="J248" s="19">
        <v>1</v>
      </c>
      <c r="K248" s="2" t="s">
        <v>507</v>
      </c>
      <c r="L248" s="11" t="str">
        <f t="shared" si="4"/>
        <v>Ver Imagen</v>
      </c>
      <c r="M248" t="s">
        <v>15</v>
      </c>
    </row>
    <row r="249" spans="1:13" x14ac:dyDescent="0.25">
      <c r="A249">
        <v>248</v>
      </c>
      <c r="B249" t="s">
        <v>508</v>
      </c>
      <c r="C249" s="1">
        <v>37.313943542700002</v>
      </c>
      <c r="D249" s="1">
        <v>-7.0634877316300004</v>
      </c>
      <c r="E249" s="3">
        <v>1</v>
      </c>
      <c r="F249" s="2">
        <v>1</v>
      </c>
      <c r="G249" s="4">
        <v>2</v>
      </c>
      <c r="H249" s="13"/>
      <c r="I249" s="15"/>
      <c r="J249" s="19">
        <v>1</v>
      </c>
      <c r="K249" s="2" t="s">
        <v>509</v>
      </c>
      <c r="L249" s="11" t="str">
        <f t="shared" si="4"/>
        <v>Ver Imagen</v>
      </c>
      <c r="M249" t="s">
        <v>15</v>
      </c>
    </row>
    <row r="250" spans="1:13" x14ac:dyDescent="0.25">
      <c r="A250">
        <v>249</v>
      </c>
      <c r="B250" t="s">
        <v>510</v>
      </c>
      <c r="C250" s="1">
        <v>37.314140017699998</v>
      </c>
      <c r="D250" s="1">
        <v>-7.0638580168600003</v>
      </c>
      <c r="E250" s="3">
        <v>1</v>
      </c>
      <c r="F250" s="2">
        <v>1</v>
      </c>
      <c r="G250" s="4">
        <v>2</v>
      </c>
      <c r="H250" s="13"/>
      <c r="I250" s="15"/>
      <c r="J250" s="19">
        <v>1</v>
      </c>
      <c r="K250" s="2" t="s">
        <v>511</v>
      </c>
      <c r="L250" s="11" t="str">
        <f t="shared" si="4"/>
        <v>Ver Imagen</v>
      </c>
      <c r="M250" t="s">
        <v>15</v>
      </c>
    </row>
    <row r="251" spans="1:13" x14ac:dyDescent="0.25">
      <c r="A251">
        <v>250</v>
      </c>
      <c r="B251" t="s">
        <v>512</v>
      </c>
      <c r="C251" s="1">
        <v>37.314382794099998</v>
      </c>
      <c r="D251" s="1">
        <v>-7.0643103461100001</v>
      </c>
      <c r="E251" s="3">
        <v>1</v>
      </c>
      <c r="F251" s="2">
        <v>1</v>
      </c>
      <c r="G251" s="4">
        <v>2</v>
      </c>
      <c r="H251" s="13"/>
      <c r="I251" s="15"/>
      <c r="J251" s="19">
        <v>1</v>
      </c>
      <c r="K251" s="2" t="s">
        <v>513</v>
      </c>
      <c r="L251" s="11" t="str">
        <f t="shared" si="4"/>
        <v>Ver Imagen</v>
      </c>
      <c r="M251" t="s">
        <v>15</v>
      </c>
    </row>
    <row r="252" spans="1:13" x14ac:dyDescent="0.25">
      <c r="A252">
        <v>251</v>
      </c>
      <c r="B252" t="s">
        <v>514</v>
      </c>
      <c r="C252" s="1">
        <v>37.315113013599998</v>
      </c>
      <c r="D252" s="1">
        <v>-7.0657999838499999</v>
      </c>
      <c r="E252" s="3">
        <v>1</v>
      </c>
      <c r="F252" s="2">
        <v>1</v>
      </c>
      <c r="G252" s="4">
        <v>2</v>
      </c>
      <c r="H252" s="13"/>
      <c r="I252" s="15"/>
      <c r="J252" s="19">
        <v>1</v>
      </c>
      <c r="K252" s="2" t="s">
        <v>515</v>
      </c>
      <c r="L252" s="11" t="str">
        <f t="shared" si="4"/>
        <v>Ver Imagen</v>
      </c>
      <c r="M252" t="s">
        <v>15</v>
      </c>
    </row>
    <row r="253" spans="1:13" x14ac:dyDescent="0.25">
      <c r="A253">
        <v>252</v>
      </c>
      <c r="B253" t="s">
        <v>516</v>
      </c>
      <c r="C253" s="1">
        <v>37.3151885288</v>
      </c>
      <c r="D253" s="1">
        <v>-7.0660510211999998</v>
      </c>
      <c r="E253" s="3">
        <v>1</v>
      </c>
      <c r="F253" s="2">
        <v>1</v>
      </c>
      <c r="G253" s="4">
        <v>2</v>
      </c>
      <c r="H253" s="13"/>
      <c r="I253" s="15"/>
      <c r="J253" s="19">
        <v>1</v>
      </c>
      <c r="K253" s="2" t="s">
        <v>517</v>
      </c>
      <c r="L253" s="11" t="str">
        <f t="shared" si="4"/>
        <v>Ver Imagen</v>
      </c>
      <c r="M253" t="s">
        <v>15</v>
      </c>
    </row>
    <row r="254" spans="1:13" x14ac:dyDescent="0.25">
      <c r="A254">
        <v>253</v>
      </c>
      <c r="B254" t="s">
        <v>518</v>
      </c>
      <c r="C254" s="1">
        <v>37.3152448568</v>
      </c>
      <c r="D254" s="1">
        <v>-7.0662695471200001</v>
      </c>
      <c r="E254" s="3">
        <v>1</v>
      </c>
      <c r="F254" s="2">
        <v>1</v>
      </c>
      <c r="G254" s="4">
        <v>2</v>
      </c>
      <c r="H254" s="13"/>
      <c r="I254" s="15"/>
      <c r="J254" s="19">
        <v>1</v>
      </c>
      <c r="K254" s="2" t="s">
        <v>519</v>
      </c>
      <c r="L254" s="11" t="str">
        <f t="shared" si="4"/>
        <v>Ver Imagen</v>
      </c>
      <c r="M254" t="s">
        <v>15</v>
      </c>
    </row>
    <row r="255" spans="1:13" x14ac:dyDescent="0.25">
      <c r="A255">
        <v>254</v>
      </c>
      <c r="B255" t="s">
        <v>520</v>
      </c>
      <c r="C255" s="1">
        <v>37.315312040099997</v>
      </c>
      <c r="D255" s="1">
        <v>-7.0665484596399999</v>
      </c>
      <c r="E255" s="3">
        <v>1</v>
      </c>
      <c r="F255" s="2">
        <v>1</v>
      </c>
      <c r="G255" s="4">
        <v>2</v>
      </c>
      <c r="H255" s="13"/>
      <c r="I255" s="15"/>
      <c r="J255" s="19">
        <v>1</v>
      </c>
      <c r="K255" s="2" t="s">
        <v>521</v>
      </c>
      <c r="L255" s="11" t="str">
        <f t="shared" si="4"/>
        <v>Ver Imagen</v>
      </c>
      <c r="M255" t="s">
        <v>15</v>
      </c>
    </row>
    <row r="256" spans="1:13" x14ac:dyDescent="0.25">
      <c r="A256">
        <v>255</v>
      </c>
      <c r="B256" t="s">
        <v>522</v>
      </c>
      <c r="C256" s="1">
        <v>37.315373435700003</v>
      </c>
      <c r="D256" s="1">
        <v>-7.0668117538399997</v>
      </c>
      <c r="E256" s="3">
        <v>1</v>
      </c>
      <c r="F256" s="2">
        <v>1</v>
      </c>
      <c r="G256" s="4">
        <v>2</v>
      </c>
      <c r="H256" s="13"/>
      <c r="I256" s="15"/>
      <c r="J256" s="19">
        <v>1</v>
      </c>
      <c r="K256" s="2" t="s">
        <v>523</v>
      </c>
      <c r="L256" s="11" t="str">
        <f t="shared" si="4"/>
        <v>Ver Imagen</v>
      </c>
      <c r="M256" t="s">
        <v>15</v>
      </c>
    </row>
    <row r="257" spans="1:13" x14ac:dyDescent="0.25">
      <c r="A257">
        <v>256</v>
      </c>
      <c r="B257" t="s">
        <v>524</v>
      </c>
      <c r="C257" s="1">
        <v>37.459833419900001</v>
      </c>
      <c r="D257" s="1">
        <v>-7.1150506485499996</v>
      </c>
      <c r="E257" s="3">
        <v>1</v>
      </c>
      <c r="F257" s="2">
        <v>1</v>
      </c>
      <c r="G257" s="4">
        <v>2</v>
      </c>
      <c r="H257" s="13"/>
      <c r="I257" s="15"/>
      <c r="J257" s="19">
        <v>1</v>
      </c>
      <c r="K257" s="2" t="s">
        <v>525</v>
      </c>
      <c r="L257" s="11" t="str">
        <f t="shared" si="4"/>
        <v>Ver Imagen</v>
      </c>
      <c r="M257" t="s">
        <v>15</v>
      </c>
    </row>
    <row r="258" spans="1:13" x14ac:dyDescent="0.25">
      <c r="A258">
        <v>257</v>
      </c>
      <c r="B258" t="s">
        <v>526</v>
      </c>
      <c r="C258" s="1">
        <v>37.459407171000002</v>
      </c>
      <c r="D258" s="1">
        <v>-7.1149234735700002</v>
      </c>
      <c r="E258" s="3">
        <v>1</v>
      </c>
      <c r="F258" s="2">
        <v>1</v>
      </c>
      <c r="G258" s="4">
        <v>2</v>
      </c>
      <c r="H258" s="13"/>
      <c r="I258" s="15"/>
      <c r="J258" s="19">
        <v>1</v>
      </c>
      <c r="K258" s="2" t="s">
        <v>527</v>
      </c>
      <c r="L258" s="11" t="str">
        <f t="shared" si="4"/>
        <v>Ver Imagen</v>
      </c>
      <c r="M258" t="s">
        <v>15</v>
      </c>
    </row>
    <row r="259" spans="1:13" x14ac:dyDescent="0.25">
      <c r="A259">
        <v>258</v>
      </c>
      <c r="B259" t="s">
        <v>528</v>
      </c>
      <c r="C259" s="1">
        <v>37.4592190973</v>
      </c>
      <c r="D259" s="1">
        <v>-7.1148712741300004</v>
      </c>
      <c r="E259" s="3">
        <v>1</v>
      </c>
      <c r="F259" s="2">
        <v>1</v>
      </c>
      <c r="G259" s="4">
        <v>2</v>
      </c>
      <c r="H259" s="13"/>
      <c r="I259" s="15"/>
      <c r="J259" s="19">
        <v>1</v>
      </c>
      <c r="K259" s="2" t="s">
        <v>529</v>
      </c>
      <c r="L259" s="11" t="str">
        <f t="shared" si="4"/>
        <v>Ver Imagen</v>
      </c>
      <c r="M259" t="s">
        <v>15</v>
      </c>
    </row>
    <row r="260" spans="1:13" x14ac:dyDescent="0.25">
      <c r="A260">
        <v>259</v>
      </c>
      <c r="B260" t="s">
        <v>530</v>
      </c>
      <c r="C260" s="1">
        <v>37.459043581099998</v>
      </c>
      <c r="D260" s="1">
        <v>-7.1148190950599997</v>
      </c>
      <c r="E260" s="3">
        <v>1</v>
      </c>
      <c r="F260" s="2">
        <v>1</v>
      </c>
      <c r="G260" s="4">
        <v>2</v>
      </c>
      <c r="H260" s="13"/>
      <c r="I260" s="15"/>
      <c r="J260" s="19">
        <v>1</v>
      </c>
      <c r="K260" s="2" t="s">
        <v>531</v>
      </c>
      <c r="L260" s="11" t="str">
        <f t="shared" si="4"/>
        <v>Ver Imagen</v>
      </c>
      <c r="M260" t="s">
        <v>15</v>
      </c>
    </row>
    <row r="261" spans="1:13" x14ac:dyDescent="0.25">
      <c r="A261">
        <v>260</v>
      </c>
      <c r="B261" t="s">
        <v>532</v>
      </c>
      <c r="C261" s="1">
        <v>37.2167797197</v>
      </c>
      <c r="D261" s="1">
        <v>-7.0969221290700002</v>
      </c>
      <c r="E261" s="3">
        <v>1</v>
      </c>
      <c r="F261" s="2">
        <v>1</v>
      </c>
      <c r="G261" s="4">
        <v>2</v>
      </c>
      <c r="H261" s="13"/>
      <c r="I261" s="15"/>
      <c r="J261" s="19">
        <v>1</v>
      </c>
      <c r="K261" s="2" t="s">
        <v>533</v>
      </c>
      <c r="L261" s="11" t="str">
        <f t="shared" si="4"/>
        <v>Ver Imagen</v>
      </c>
      <c r="M261" t="s">
        <v>15</v>
      </c>
    </row>
    <row r="262" spans="1:13" x14ac:dyDescent="0.25">
      <c r="A262">
        <v>261</v>
      </c>
      <c r="B262" t="s">
        <v>534</v>
      </c>
      <c r="C262" s="1">
        <v>37.2133168525</v>
      </c>
      <c r="D262" s="1">
        <v>-7.0658385151700003</v>
      </c>
      <c r="E262" s="3">
        <v>1</v>
      </c>
      <c r="F262" s="2">
        <v>1</v>
      </c>
      <c r="G262" s="4">
        <v>2</v>
      </c>
      <c r="H262" s="13"/>
      <c r="I262" s="15"/>
      <c r="J262" s="19">
        <v>1</v>
      </c>
      <c r="K262" s="2" t="s">
        <v>535</v>
      </c>
      <c r="L262" s="11" t="str">
        <f t="shared" si="4"/>
        <v>Ver Imagen</v>
      </c>
      <c r="M262" t="s">
        <v>15</v>
      </c>
    </row>
    <row r="263" spans="1:13" x14ac:dyDescent="0.25">
      <c r="A263">
        <v>262</v>
      </c>
      <c r="B263" t="s">
        <v>536</v>
      </c>
      <c r="C263" s="1">
        <v>37.211381921799997</v>
      </c>
      <c r="D263" s="1">
        <v>-7.0457510762400002</v>
      </c>
      <c r="E263" s="3">
        <v>1</v>
      </c>
      <c r="F263" s="2">
        <v>1</v>
      </c>
      <c r="G263" s="4">
        <v>2</v>
      </c>
      <c r="H263" s="13"/>
      <c r="I263" s="15"/>
      <c r="J263" s="19">
        <v>1</v>
      </c>
      <c r="K263" s="2" t="s">
        <v>537</v>
      </c>
      <c r="L263" s="11" t="str">
        <f t="shared" si="4"/>
        <v>Ver Imagen</v>
      </c>
      <c r="M263" t="s">
        <v>15</v>
      </c>
    </row>
    <row r="264" spans="1:13" x14ac:dyDescent="0.25">
      <c r="A264">
        <v>263</v>
      </c>
      <c r="B264" t="s">
        <v>538</v>
      </c>
      <c r="C264" s="1">
        <v>37.4735585683</v>
      </c>
      <c r="D264" s="1">
        <v>-7.1263179280399997</v>
      </c>
      <c r="E264" s="3">
        <v>2</v>
      </c>
      <c r="F264" s="2">
        <v>1</v>
      </c>
      <c r="G264" s="4">
        <v>1</v>
      </c>
      <c r="H264" s="13"/>
      <c r="I264" s="15"/>
      <c r="J264" s="19">
        <v>1</v>
      </c>
      <c r="K264" s="2" t="s">
        <v>539</v>
      </c>
      <c r="L264" s="11" t="str">
        <f t="shared" si="4"/>
        <v>Ver Imagen</v>
      </c>
      <c r="M264" t="s">
        <v>15</v>
      </c>
    </row>
    <row r="265" spans="1:13" x14ac:dyDescent="0.25">
      <c r="A265">
        <v>264</v>
      </c>
      <c r="B265" t="s">
        <v>540</v>
      </c>
      <c r="C265" s="1">
        <v>37.448423712</v>
      </c>
      <c r="D265" s="1">
        <v>-7.1426461863800004</v>
      </c>
      <c r="E265" s="3">
        <v>2</v>
      </c>
      <c r="F265" s="2">
        <v>2</v>
      </c>
      <c r="G265" s="4">
        <v>2</v>
      </c>
      <c r="H265" s="13"/>
      <c r="I265" s="15"/>
      <c r="J265" s="19">
        <v>2</v>
      </c>
      <c r="K265" s="2" t="s">
        <v>541</v>
      </c>
      <c r="L265" s="11" t="str">
        <f t="shared" ref="L265:L328" si="5">HYPERLINK("2\0\" &amp; K265, "Ver Imagen")</f>
        <v>Ver Imagen</v>
      </c>
      <c r="M265" t="s">
        <v>15</v>
      </c>
    </row>
    <row r="266" spans="1:13" x14ac:dyDescent="0.25">
      <c r="A266">
        <v>265</v>
      </c>
      <c r="B266" t="s">
        <v>542</v>
      </c>
      <c r="C266" s="1">
        <v>37.467960987399998</v>
      </c>
      <c r="D266" s="1">
        <v>-7.1858986200699997</v>
      </c>
      <c r="E266" s="3">
        <v>2</v>
      </c>
      <c r="F266" s="2">
        <v>2</v>
      </c>
      <c r="G266" s="4">
        <v>2</v>
      </c>
      <c r="H266" s="13"/>
      <c r="I266" s="15"/>
      <c r="J266" s="19">
        <v>2</v>
      </c>
      <c r="K266" s="2" t="s">
        <v>543</v>
      </c>
      <c r="L266" s="11" t="str">
        <f t="shared" si="5"/>
        <v>Ver Imagen</v>
      </c>
      <c r="M266" t="s">
        <v>15</v>
      </c>
    </row>
    <row r="267" spans="1:13" x14ac:dyDescent="0.25">
      <c r="A267">
        <v>266</v>
      </c>
      <c r="B267" t="s">
        <v>544</v>
      </c>
      <c r="C267" s="1">
        <v>37.478162342600001</v>
      </c>
      <c r="D267" s="1">
        <v>-7.2060817150499998</v>
      </c>
      <c r="E267" s="3">
        <v>2</v>
      </c>
      <c r="F267" s="2">
        <v>2</v>
      </c>
      <c r="G267" s="4">
        <v>2</v>
      </c>
      <c r="H267" s="13"/>
      <c r="I267" s="15"/>
      <c r="J267" s="19">
        <v>2</v>
      </c>
      <c r="K267" s="2" t="s">
        <v>545</v>
      </c>
      <c r="L267" s="11" t="str">
        <f t="shared" si="5"/>
        <v>Ver Imagen</v>
      </c>
      <c r="M267" t="s">
        <v>15</v>
      </c>
    </row>
    <row r="268" spans="1:13" x14ac:dyDescent="0.25">
      <c r="A268">
        <v>267</v>
      </c>
      <c r="B268" t="s">
        <v>546</v>
      </c>
      <c r="C268" s="1">
        <v>37.4827287986</v>
      </c>
      <c r="D268" s="1">
        <v>-7.2187894583699999</v>
      </c>
      <c r="E268" s="3">
        <v>2</v>
      </c>
      <c r="F268" s="2">
        <v>2</v>
      </c>
      <c r="G268" s="4">
        <v>2</v>
      </c>
      <c r="H268" s="13"/>
      <c r="I268" s="15"/>
      <c r="J268" s="19">
        <v>2</v>
      </c>
      <c r="K268" s="2" t="s">
        <v>547</v>
      </c>
      <c r="L268" s="11" t="str">
        <f t="shared" si="5"/>
        <v>Ver Imagen</v>
      </c>
      <c r="M268" t="s">
        <v>15</v>
      </c>
    </row>
    <row r="269" spans="1:13" x14ac:dyDescent="0.25">
      <c r="A269">
        <v>268</v>
      </c>
      <c r="B269" t="s">
        <v>548</v>
      </c>
      <c r="C269" s="1">
        <v>37.483739781399997</v>
      </c>
      <c r="D269" s="1">
        <v>-7.2239591183899998</v>
      </c>
      <c r="E269" s="3">
        <v>2</v>
      </c>
      <c r="F269" s="2">
        <v>2</v>
      </c>
      <c r="G269" s="4">
        <v>2</v>
      </c>
      <c r="H269" s="13"/>
      <c r="I269" s="15"/>
      <c r="J269" s="19">
        <v>2</v>
      </c>
      <c r="K269" s="2" t="s">
        <v>549</v>
      </c>
      <c r="L269" s="11" t="str">
        <f t="shared" si="5"/>
        <v>Ver Imagen</v>
      </c>
      <c r="M269" t="s">
        <v>15</v>
      </c>
    </row>
    <row r="270" spans="1:13" x14ac:dyDescent="0.25">
      <c r="A270">
        <v>269</v>
      </c>
      <c r="B270" t="s">
        <v>550</v>
      </c>
      <c r="C270" s="1">
        <v>37.4840611264</v>
      </c>
      <c r="D270" s="1">
        <v>-7.2256242669199997</v>
      </c>
      <c r="E270" s="3">
        <v>2</v>
      </c>
      <c r="F270" s="2">
        <v>2</v>
      </c>
      <c r="G270" s="4">
        <v>2</v>
      </c>
      <c r="H270" s="13"/>
      <c r="I270" s="15"/>
      <c r="J270" s="19">
        <v>2</v>
      </c>
      <c r="K270" s="2" t="s">
        <v>551</v>
      </c>
      <c r="L270" s="11" t="str">
        <f t="shared" si="5"/>
        <v>Ver Imagen</v>
      </c>
      <c r="M270" t="s">
        <v>15</v>
      </c>
    </row>
    <row r="271" spans="1:13" x14ac:dyDescent="0.25">
      <c r="A271">
        <v>270</v>
      </c>
      <c r="B271" t="s">
        <v>552</v>
      </c>
      <c r="C271" s="1">
        <v>37.484149327600001</v>
      </c>
      <c r="D271" s="1">
        <v>-7.2260801533799999</v>
      </c>
      <c r="E271" s="3">
        <v>2</v>
      </c>
      <c r="F271" s="2">
        <v>2</v>
      </c>
      <c r="G271" s="4">
        <v>2</v>
      </c>
      <c r="H271" s="13"/>
      <c r="I271" s="15"/>
      <c r="J271" s="19">
        <v>2</v>
      </c>
      <c r="K271" s="2" t="s">
        <v>553</v>
      </c>
      <c r="L271" s="11" t="str">
        <f t="shared" si="5"/>
        <v>Ver Imagen</v>
      </c>
      <c r="M271" t="s">
        <v>15</v>
      </c>
    </row>
    <row r="272" spans="1:13" x14ac:dyDescent="0.25">
      <c r="A272">
        <v>271</v>
      </c>
      <c r="B272" t="s">
        <v>554</v>
      </c>
      <c r="C272" s="1">
        <v>37.4842006509</v>
      </c>
      <c r="D272" s="1">
        <v>-7.2263533618400002</v>
      </c>
      <c r="E272" s="3">
        <v>2</v>
      </c>
      <c r="F272" s="2">
        <v>2</v>
      </c>
      <c r="G272" s="4">
        <v>2</v>
      </c>
      <c r="H272" s="13"/>
      <c r="I272" s="15"/>
      <c r="J272" s="19">
        <v>2</v>
      </c>
      <c r="K272" s="2" t="s">
        <v>555</v>
      </c>
      <c r="L272" s="11" t="str">
        <f t="shared" si="5"/>
        <v>Ver Imagen</v>
      </c>
      <c r="M272" t="s">
        <v>15</v>
      </c>
    </row>
    <row r="273" spans="1:13" x14ac:dyDescent="0.25">
      <c r="A273">
        <v>272</v>
      </c>
      <c r="B273" t="s">
        <v>556</v>
      </c>
      <c r="C273" s="1">
        <v>37.484600689899999</v>
      </c>
      <c r="D273" s="1">
        <v>-7.2283922550400002</v>
      </c>
      <c r="E273" s="3">
        <v>2</v>
      </c>
      <c r="F273" s="2">
        <v>2</v>
      </c>
      <c r="G273" s="4">
        <v>2</v>
      </c>
      <c r="H273" s="13"/>
      <c r="I273" s="15"/>
      <c r="J273" s="19">
        <v>2</v>
      </c>
      <c r="K273" s="2" t="s">
        <v>557</v>
      </c>
      <c r="L273" s="11" t="str">
        <f t="shared" si="5"/>
        <v>Ver Imagen</v>
      </c>
      <c r="M273" t="s">
        <v>15</v>
      </c>
    </row>
    <row r="274" spans="1:13" x14ac:dyDescent="0.25">
      <c r="A274">
        <v>273</v>
      </c>
      <c r="B274" t="s">
        <v>558</v>
      </c>
      <c r="C274" s="1">
        <v>37.484683681</v>
      </c>
      <c r="D274" s="1">
        <v>-7.2288164176900001</v>
      </c>
      <c r="E274" s="3">
        <v>2</v>
      </c>
      <c r="F274" s="2">
        <v>2</v>
      </c>
      <c r="G274" s="4">
        <v>2</v>
      </c>
      <c r="H274" s="13"/>
      <c r="I274" s="15"/>
      <c r="J274" s="19">
        <v>2</v>
      </c>
      <c r="K274" s="2" t="s">
        <v>559</v>
      </c>
      <c r="L274" s="11" t="str">
        <f t="shared" si="5"/>
        <v>Ver Imagen</v>
      </c>
      <c r="M274" t="s">
        <v>15</v>
      </c>
    </row>
    <row r="275" spans="1:13" x14ac:dyDescent="0.25">
      <c r="A275">
        <v>274</v>
      </c>
      <c r="B275" t="s">
        <v>560</v>
      </c>
      <c r="C275" s="1">
        <v>37.484780285200003</v>
      </c>
      <c r="D275" s="1">
        <v>-7.2293169833200004</v>
      </c>
      <c r="E275" s="3">
        <v>2</v>
      </c>
      <c r="F275" s="2">
        <v>2</v>
      </c>
      <c r="G275" s="4">
        <v>2</v>
      </c>
      <c r="H275" s="13"/>
      <c r="I275" s="15"/>
      <c r="J275" s="19">
        <v>2</v>
      </c>
      <c r="K275" s="2" t="s">
        <v>561</v>
      </c>
      <c r="L275" s="11" t="str">
        <f t="shared" si="5"/>
        <v>Ver Imagen</v>
      </c>
      <c r="M275" t="s">
        <v>15</v>
      </c>
    </row>
    <row r="276" spans="1:13" x14ac:dyDescent="0.25">
      <c r="A276">
        <v>275</v>
      </c>
      <c r="B276" t="s">
        <v>562</v>
      </c>
      <c r="C276" s="1">
        <v>37.4852683887</v>
      </c>
      <c r="D276" s="1">
        <v>-7.2318471392500001</v>
      </c>
      <c r="E276" s="3">
        <v>2</v>
      </c>
      <c r="F276" s="2">
        <v>2</v>
      </c>
      <c r="G276" s="4">
        <v>2</v>
      </c>
      <c r="H276" s="13"/>
      <c r="I276" s="15"/>
      <c r="J276" s="19">
        <v>2</v>
      </c>
      <c r="K276" s="2" t="s">
        <v>563</v>
      </c>
      <c r="L276" s="11" t="str">
        <f t="shared" si="5"/>
        <v>Ver Imagen</v>
      </c>
      <c r="M276" t="s">
        <v>15</v>
      </c>
    </row>
    <row r="277" spans="1:13" x14ac:dyDescent="0.25">
      <c r="A277">
        <v>276</v>
      </c>
      <c r="B277" t="s">
        <v>564</v>
      </c>
      <c r="C277" s="1">
        <v>37.485777462500003</v>
      </c>
      <c r="D277" s="1">
        <v>-7.2345331871600003</v>
      </c>
      <c r="E277" s="3">
        <v>2</v>
      </c>
      <c r="F277" s="2">
        <v>2</v>
      </c>
      <c r="G277" s="4">
        <v>2</v>
      </c>
      <c r="H277" s="13"/>
      <c r="I277" s="15"/>
      <c r="J277" s="19">
        <v>2</v>
      </c>
      <c r="K277" s="2" t="s">
        <v>565</v>
      </c>
      <c r="L277" s="11" t="str">
        <f t="shared" si="5"/>
        <v>Ver Imagen</v>
      </c>
      <c r="M277" t="s">
        <v>15</v>
      </c>
    </row>
    <row r="278" spans="1:13" x14ac:dyDescent="0.25">
      <c r="A278">
        <v>277</v>
      </c>
      <c r="B278" t="s">
        <v>566</v>
      </c>
      <c r="C278" s="1">
        <v>37.485830227900003</v>
      </c>
      <c r="D278" s="1">
        <v>-7.2348040948400003</v>
      </c>
      <c r="E278" s="3">
        <v>2</v>
      </c>
      <c r="F278" s="2">
        <v>2</v>
      </c>
      <c r="G278" s="4">
        <v>2</v>
      </c>
      <c r="H278" s="13"/>
      <c r="I278" s="15"/>
      <c r="J278" s="19">
        <v>2</v>
      </c>
      <c r="K278" s="2" t="s">
        <v>567</v>
      </c>
      <c r="L278" s="11" t="str">
        <f t="shared" si="5"/>
        <v>Ver Imagen</v>
      </c>
      <c r="M278" t="s">
        <v>15</v>
      </c>
    </row>
    <row r="279" spans="1:13" x14ac:dyDescent="0.25">
      <c r="A279">
        <v>278</v>
      </c>
      <c r="B279" t="s">
        <v>568</v>
      </c>
      <c r="C279" s="1">
        <v>37.485920790900003</v>
      </c>
      <c r="D279" s="1">
        <v>-7.2352630768199999</v>
      </c>
      <c r="E279" s="3">
        <v>2</v>
      </c>
      <c r="F279" s="2">
        <v>2</v>
      </c>
      <c r="G279" s="4">
        <v>2</v>
      </c>
      <c r="H279" s="13"/>
      <c r="I279" s="15"/>
      <c r="J279" s="19">
        <v>2</v>
      </c>
      <c r="K279" s="2" t="s">
        <v>569</v>
      </c>
      <c r="L279" s="11" t="str">
        <f t="shared" si="5"/>
        <v>Ver Imagen</v>
      </c>
      <c r="M279" t="s">
        <v>15</v>
      </c>
    </row>
    <row r="280" spans="1:13" x14ac:dyDescent="0.25">
      <c r="A280">
        <v>279</v>
      </c>
      <c r="B280" t="s">
        <v>570</v>
      </c>
      <c r="C280" s="1">
        <v>37.4859643936</v>
      </c>
      <c r="D280" s="1">
        <v>-7.2354825515599996</v>
      </c>
      <c r="E280" s="3">
        <v>2</v>
      </c>
      <c r="F280" s="2">
        <v>2</v>
      </c>
      <c r="G280" s="4">
        <v>2</v>
      </c>
      <c r="H280" s="13"/>
      <c r="I280" s="15"/>
      <c r="J280" s="19">
        <v>2</v>
      </c>
      <c r="K280" s="2" t="s">
        <v>571</v>
      </c>
      <c r="L280" s="11" t="str">
        <f t="shared" si="5"/>
        <v>Ver Imagen</v>
      </c>
      <c r="M280" t="s">
        <v>15</v>
      </c>
    </row>
    <row r="281" spans="1:13" x14ac:dyDescent="0.25">
      <c r="A281">
        <v>280</v>
      </c>
      <c r="B281" t="s">
        <v>572</v>
      </c>
      <c r="C281" s="1">
        <v>37.4865876247</v>
      </c>
      <c r="D281" s="1">
        <v>-7.2387283519199999</v>
      </c>
      <c r="E281" s="3">
        <v>2</v>
      </c>
      <c r="F281" s="2">
        <v>2</v>
      </c>
      <c r="G281" s="4">
        <v>2</v>
      </c>
      <c r="H281" s="13"/>
      <c r="I281" s="15"/>
      <c r="J281" s="19">
        <v>2</v>
      </c>
      <c r="K281" s="2" t="s">
        <v>573</v>
      </c>
      <c r="L281" s="11" t="str">
        <f t="shared" si="5"/>
        <v>Ver Imagen</v>
      </c>
      <c r="M281" t="s">
        <v>15</v>
      </c>
    </row>
    <row r="282" spans="1:13" x14ac:dyDescent="0.25">
      <c r="A282">
        <v>281</v>
      </c>
      <c r="B282" t="s">
        <v>574</v>
      </c>
      <c r="C282" s="1">
        <v>37.487033628699997</v>
      </c>
      <c r="D282" s="1">
        <v>-7.2414579656900004</v>
      </c>
      <c r="E282" s="3">
        <v>2</v>
      </c>
      <c r="F282" s="2">
        <v>2</v>
      </c>
      <c r="G282" s="4">
        <v>2</v>
      </c>
      <c r="H282" s="13"/>
      <c r="I282" s="15"/>
      <c r="J282" s="19">
        <v>2</v>
      </c>
      <c r="K282" s="2" t="s">
        <v>575</v>
      </c>
      <c r="L282" s="11" t="str">
        <f t="shared" si="5"/>
        <v>Ver Imagen</v>
      </c>
      <c r="M282" t="s">
        <v>15</v>
      </c>
    </row>
    <row r="283" spans="1:13" x14ac:dyDescent="0.25">
      <c r="A283">
        <v>282</v>
      </c>
      <c r="B283" t="s">
        <v>576</v>
      </c>
      <c r="C283" s="1">
        <v>37.487100808100003</v>
      </c>
      <c r="D283" s="1">
        <v>-7.2421983272099997</v>
      </c>
      <c r="E283" s="3">
        <v>2</v>
      </c>
      <c r="F283" s="2">
        <v>2</v>
      </c>
      <c r="G283" s="4">
        <v>2</v>
      </c>
      <c r="H283" s="13"/>
      <c r="I283" s="15"/>
      <c r="J283" s="19">
        <v>2</v>
      </c>
      <c r="K283" s="2" t="s">
        <v>577</v>
      </c>
      <c r="L283" s="11" t="str">
        <f t="shared" si="5"/>
        <v>Ver Imagen</v>
      </c>
      <c r="M283" t="s">
        <v>15</v>
      </c>
    </row>
    <row r="284" spans="1:13" x14ac:dyDescent="0.25">
      <c r="A284">
        <v>283</v>
      </c>
      <c r="B284" t="s">
        <v>578</v>
      </c>
      <c r="C284" s="1">
        <v>37.487592904700001</v>
      </c>
      <c r="D284" s="1">
        <v>-7.2443757519299998</v>
      </c>
      <c r="E284" s="3">
        <v>2</v>
      </c>
      <c r="F284" s="2">
        <v>2</v>
      </c>
      <c r="G284" s="4">
        <v>2</v>
      </c>
      <c r="H284" s="13"/>
      <c r="I284" s="15"/>
      <c r="J284" s="19">
        <v>2</v>
      </c>
      <c r="K284" s="2" t="s">
        <v>579</v>
      </c>
      <c r="L284" s="11" t="str">
        <f t="shared" si="5"/>
        <v>Ver Imagen</v>
      </c>
      <c r="M284" t="s">
        <v>15</v>
      </c>
    </row>
    <row r="285" spans="1:13" x14ac:dyDescent="0.25">
      <c r="A285">
        <v>284</v>
      </c>
      <c r="B285" t="s">
        <v>580</v>
      </c>
      <c r="C285" s="1">
        <v>37.4896609185</v>
      </c>
      <c r="D285" s="1">
        <v>-7.24839515687</v>
      </c>
      <c r="E285" s="3">
        <v>2</v>
      </c>
      <c r="F285" s="2">
        <v>2</v>
      </c>
      <c r="G285" s="4">
        <v>2</v>
      </c>
      <c r="H285" s="13"/>
      <c r="I285" s="15"/>
      <c r="J285" s="19">
        <v>2</v>
      </c>
      <c r="K285" s="2" t="s">
        <v>581</v>
      </c>
      <c r="L285" s="11" t="str">
        <f t="shared" si="5"/>
        <v>Ver Imagen</v>
      </c>
      <c r="M285" t="s">
        <v>15</v>
      </c>
    </row>
    <row r="286" spans="1:13" x14ac:dyDescent="0.25">
      <c r="A286">
        <v>285</v>
      </c>
      <c r="B286" t="s">
        <v>582</v>
      </c>
      <c r="C286" s="1">
        <v>37.491008040300002</v>
      </c>
      <c r="D286" s="1">
        <v>-7.2605299437499999</v>
      </c>
      <c r="E286" s="3">
        <v>2</v>
      </c>
      <c r="F286" s="2">
        <v>2</v>
      </c>
      <c r="G286" s="4">
        <v>2</v>
      </c>
      <c r="H286" s="13"/>
      <c r="I286" s="15"/>
      <c r="J286" s="19">
        <v>2</v>
      </c>
      <c r="K286" s="2" t="s">
        <v>583</v>
      </c>
      <c r="L286" s="11" t="str">
        <f t="shared" si="5"/>
        <v>Ver Imagen</v>
      </c>
      <c r="M286" t="s">
        <v>15</v>
      </c>
    </row>
    <row r="287" spans="1:13" x14ac:dyDescent="0.25">
      <c r="A287">
        <v>286</v>
      </c>
      <c r="B287" t="s">
        <v>584</v>
      </c>
      <c r="C287" s="1">
        <v>37.279173254699998</v>
      </c>
      <c r="D287" s="1">
        <v>-6.9951040456199998</v>
      </c>
      <c r="E287" s="3">
        <v>2</v>
      </c>
      <c r="F287" s="2">
        <v>2</v>
      </c>
      <c r="G287" s="4">
        <v>2</v>
      </c>
      <c r="H287" s="13"/>
      <c r="I287" s="15"/>
      <c r="J287" s="19">
        <v>2</v>
      </c>
      <c r="K287" s="2" t="s">
        <v>585</v>
      </c>
      <c r="L287" s="11" t="str">
        <f t="shared" si="5"/>
        <v>Ver Imagen</v>
      </c>
      <c r="M287" t="s">
        <v>15</v>
      </c>
    </row>
    <row r="288" spans="1:13" x14ac:dyDescent="0.25">
      <c r="A288">
        <v>287</v>
      </c>
      <c r="B288" t="s">
        <v>586</v>
      </c>
      <c r="C288" s="1">
        <v>37.279235862500002</v>
      </c>
      <c r="D288" s="1">
        <v>-6.9953562405899996</v>
      </c>
      <c r="E288" s="3">
        <v>2</v>
      </c>
      <c r="F288" s="2">
        <v>2</v>
      </c>
      <c r="G288" s="4">
        <v>2</v>
      </c>
      <c r="H288" s="13"/>
      <c r="I288" s="15"/>
      <c r="J288" s="19">
        <v>2</v>
      </c>
      <c r="K288" s="2" t="s">
        <v>587</v>
      </c>
      <c r="L288" s="11" t="str">
        <f t="shared" si="5"/>
        <v>Ver Imagen</v>
      </c>
      <c r="M288" t="s">
        <v>15</v>
      </c>
    </row>
    <row r="289" spans="1:13" x14ac:dyDescent="0.25">
      <c r="A289">
        <v>288</v>
      </c>
      <c r="B289" t="s">
        <v>588</v>
      </c>
      <c r="C289" s="1">
        <v>37.280662570099999</v>
      </c>
      <c r="D289" s="1">
        <v>-7.0027589522999998</v>
      </c>
      <c r="E289" s="3">
        <v>2</v>
      </c>
      <c r="F289" s="2">
        <v>2</v>
      </c>
      <c r="G289" s="4">
        <v>2</v>
      </c>
      <c r="H289" s="13"/>
      <c r="I289" s="15"/>
      <c r="J289" s="19">
        <v>2</v>
      </c>
      <c r="K289" s="2" t="s">
        <v>589</v>
      </c>
      <c r="L289" s="11" t="str">
        <f t="shared" si="5"/>
        <v>Ver Imagen</v>
      </c>
      <c r="M289" t="s">
        <v>15</v>
      </c>
    </row>
    <row r="290" spans="1:13" x14ac:dyDescent="0.25">
      <c r="A290">
        <v>289</v>
      </c>
      <c r="B290" t="s">
        <v>590</v>
      </c>
      <c r="C290" s="1">
        <v>37.275358036299998</v>
      </c>
      <c r="D290" s="1">
        <v>-7.0167299353599999</v>
      </c>
      <c r="E290" s="3">
        <v>2</v>
      </c>
      <c r="F290" s="2">
        <v>2</v>
      </c>
      <c r="G290" s="4">
        <v>2</v>
      </c>
      <c r="H290" s="13"/>
      <c r="I290" s="15"/>
      <c r="J290" s="19">
        <v>2</v>
      </c>
      <c r="K290" s="2" t="s">
        <v>591</v>
      </c>
      <c r="L290" s="11" t="str">
        <f t="shared" si="5"/>
        <v>Ver Imagen</v>
      </c>
      <c r="M290" t="s">
        <v>15</v>
      </c>
    </row>
    <row r="291" spans="1:13" x14ac:dyDescent="0.25">
      <c r="A291">
        <v>290</v>
      </c>
      <c r="B291" t="s">
        <v>592</v>
      </c>
      <c r="C291" s="1">
        <v>37.279172789999997</v>
      </c>
      <c r="D291" s="1">
        <v>-7.0305920739600003</v>
      </c>
      <c r="E291" s="3">
        <v>2</v>
      </c>
      <c r="F291" s="2">
        <v>2</v>
      </c>
      <c r="G291" s="4">
        <v>2</v>
      </c>
      <c r="H291" s="13"/>
      <c r="I291" s="15"/>
      <c r="J291" s="19">
        <v>2</v>
      </c>
      <c r="K291" s="2" t="s">
        <v>593</v>
      </c>
      <c r="L291" s="11" t="str">
        <f t="shared" si="5"/>
        <v>Ver Imagen</v>
      </c>
      <c r="M291" t="s">
        <v>15</v>
      </c>
    </row>
    <row r="292" spans="1:13" x14ac:dyDescent="0.25">
      <c r="A292">
        <v>291</v>
      </c>
      <c r="B292" t="s">
        <v>594</v>
      </c>
      <c r="C292" s="1">
        <v>37.279635662899999</v>
      </c>
      <c r="D292" s="1">
        <v>-7.0310154923999999</v>
      </c>
      <c r="E292" s="3">
        <v>2</v>
      </c>
      <c r="F292" s="2">
        <v>2</v>
      </c>
      <c r="G292" s="4">
        <v>2</v>
      </c>
      <c r="H292" s="13"/>
      <c r="I292" s="15"/>
      <c r="J292" s="19">
        <v>2</v>
      </c>
      <c r="K292" s="2" t="s">
        <v>595</v>
      </c>
      <c r="L292" s="11" t="str">
        <f t="shared" si="5"/>
        <v>Ver Imagen</v>
      </c>
      <c r="M292" t="s">
        <v>15</v>
      </c>
    </row>
    <row r="293" spans="1:13" x14ac:dyDescent="0.25">
      <c r="A293">
        <v>292</v>
      </c>
      <c r="B293" t="s">
        <v>596</v>
      </c>
      <c r="C293" s="1">
        <v>37.2798401967</v>
      </c>
      <c r="D293" s="1">
        <v>-7.0311966672299997</v>
      </c>
      <c r="E293" s="3">
        <v>2</v>
      </c>
      <c r="F293" s="2">
        <v>2</v>
      </c>
      <c r="G293" s="4">
        <v>2</v>
      </c>
      <c r="H293" s="13"/>
      <c r="I293" s="15"/>
      <c r="J293" s="19">
        <v>2</v>
      </c>
      <c r="K293" s="2" t="s">
        <v>597</v>
      </c>
      <c r="L293" s="11" t="str">
        <f t="shared" si="5"/>
        <v>Ver Imagen</v>
      </c>
      <c r="M293" t="s">
        <v>15</v>
      </c>
    </row>
    <row r="294" spans="1:13" x14ac:dyDescent="0.25">
      <c r="A294">
        <v>293</v>
      </c>
      <c r="B294" t="s">
        <v>598</v>
      </c>
      <c r="C294" s="1">
        <v>37.283070363100002</v>
      </c>
      <c r="D294" s="1">
        <v>-7.033156645</v>
      </c>
      <c r="E294" s="3">
        <v>2</v>
      </c>
      <c r="F294" s="2">
        <v>2</v>
      </c>
      <c r="G294" s="4">
        <v>2</v>
      </c>
      <c r="H294" s="13"/>
      <c r="I294" s="15"/>
      <c r="J294" s="19">
        <v>2</v>
      </c>
      <c r="K294" s="2" t="s">
        <v>599</v>
      </c>
      <c r="L294" s="11" t="str">
        <f t="shared" si="5"/>
        <v>Ver Imagen</v>
      </c>
      <c r="M294" t="s">
        <v>15</v>
      </c>
    </row>
    <row r="295" spans="1:13" x14ac:dyDescent="0.25">
      <c r="A295">
        <v>294</v>
      </c>
      <c r="B295" t="s">
        <v>600</v>
      </c>
      <c r="C295" s="1">
        <v>37.285009024499999</v>
      </c>
      <c r="D295" s="1">
        <v>-7.0401826323299996</v>
      </c>
      <c r="E295" s="3">
        <v>2</v>
      </c>
      <c r="F295" s="2">
        <v>2</v>
      </c>
      <c r="G295" s="4">
        <v>2</v>
      </c>
      <c r="H295" s="13"/>
      <c r="I295" s="15"/>
      <c r="J295" s="19">
        <v>2</v>
      </c>
      <c r="K295" s="2" t="s">
        <v>601</v>
      </c>
      <c r="L295" s="11" t="str">
        <f t="shared" si="5"/>
        <v>Ver Imagen</v>
      </c>
      <c r="M295" t="s">
        <v>15</v>
      </c>
    </row>
    <row r="296" spans="1:13" x14ac:dyDescent="0.25">
      <c r="A296">
        <v>295</v>
      </c>
      <c r="B296" t="s">
        <v>602</v>
      </c>
      <c r="C296" s="1">
        <v>37.2851096447</v>
      </c>
      <c r="D296" s="1">
        <v>-7.0403655595599997</v>
      </c>
      <c r="E296" s="3">
        <v>2</v>
      </c>
      <c r="F296" s="2">
        <v>2</v>
      </c>
      <c r="G296" s="4">
        <v>2</v>
      </c>
      <c r="H296" s="13"/>
      <c r="I296" s="15"/>
      <c r="J296" s="19">
        <v>2</v>
      </c>
      <c r="K296" s="2" t="s">
        <v>603</v>
      </c>
      <c r="L296" s="11" t="str">
        <f t="shared" si="5"/>
        <v>Ver Imagen</v>
      </c>
      <c r="M296" t="s">
        <v>15</v>
      </c>
    </row>
    <row r="297" spans="1:13" x14ac:dyDescent="0.25">
      <c r="A297">
        <v>296</v>
      </c>
      <c r="B297" t="s">
        <v>604</v>
      </c>
      <c r="C297" s="1">
        <v>37.293849149400003</v>
      </c>
      <c r="D297" s="1">
        <v>-7.0470722643199997</v>
      </c>
      <c r="E297" s="3">
        <v>2</v>
      </c>
      <c r="F297" s="2">
        <v>2</v>
      </c>
      <c r="G297" s="4">
        <v>2</v>
      </c>
      <c r="H297" s="13"/>
      <c r="I297" s="15"/>
      <c r="J297" s="19">
        <v>2</v>
      </c>
      <c r="K297" s="2" t="s">
        <v>605</v>
      </c>
      <c r="L297" s="11" t="str">
        <f t="shared" si="5"/>
        <v>Ver Imagen</v>
      </c>
      <c r="M297" t="s">
        <v>15</v>
      </c>
    </row>
    <row r="298" spans="1:13" x14ac:dyDescent="0.25">
      <c r="A298">
        <v>297</v>
      </c>
      <c r="B298" t="s">
        <v>606</v>
      </c>
      <c r="C298" s="1">
        <v>37.294367953200002</v>
      </c>
      <c r="D298" s="1">
        <v>-7.0477857450499997</v>
      </c>
      <c r="E298" s="3">
        <v>2</v>
      </c>
      <c r="F298" s="2">
        <v>2</v>
      </c>
      <c r="G298" s="4">
        <v>2</v>
      </c>
      <c r="H298" s="13"/>
      <c r="I298" s="15"/>
      <c r="J298" s="19">
        <v>2</v>
      </c>
      <c r="K298" s="2" t="s">
        <v>607</v>
      </c>
      <c r="L298" s="11" t="str">
        <f t="shared" si="5"/>
        <v>Ver Imagen</v>
      </c>
      <c r="M298" t="s">
        <v>15</v>
      </c>
    </row>
    <row r="299" spans="1:13" x14ac:dyDescent="0.25">
      <c r="A299">
        <v>298</v>
      </c>
      <c r="B299" t="s">
        <v>608</v>
      </c>
      <c r="C299" s="1">
        <v>37.294501861900002</v>
      </c>
      <c r="D299" s="1">
        <v>-7.0479662124200004</v>
      </c>
      <c r="E299" s="3">
        <v>2</v>
      </c>
      <c r="F299" s="2">
        <v>2</v>
      </c>
      <c r="G299" s="4">
        <v>2</v>
      </c>
      <c r="H299" s="13"/>
      <c r="I299" s="15"/>
      <c r="J299" s="19">
        <v>2</v>
      </c>
      <c r="K299" s="2" t="s">
        <v>609</v>
      </c>
      <c r="L299" s="11" t="str">
        <f t="shared" si="5"/>
        <v>Ver Imagen</v>
      </c>
      <c r="M299" t="s">
        <v>15</v>
      </c>
    </row>
    <row r="300" spans="1:13" x14ac:dyDescent="0.25">
      <c r="A300">
        <v>299</v>
      </c>
      <c r="B300" t="s">
        <v>610</v>
      </c>
      <c r="C300" s="1">
        <v>37.296407870199999</v>
      </c>
      <c r="D300" s="1">
        <v>-7.0502574207200004</v>
      </c>
      <c r="E300" s="3">
        <v>2</v>
      </c>
      <c r="F300" s="2">
        <v>2</v>
      </c>
      <c r="G300" s="4">
        <v>2</v>
      </c>
      <c r="H300" s="13"/>
      <c r="I300" s="15"/>
      <c r="J300" s="19">
        <v>2</v>
      </c>
      <c r="K300" s="2" t="s">
        <v>611</v>
      </c>
      <c r="L300" s="11" t="str">
        <f t="shared" si="5"/>
        <v>Ver Imagen</v>
      </c>
      <c r="M300" t="s">
        <v>15</v>
      </c>
    </row>
    <row r="301" spans="1:13" x14ac:dyDescent="0.25">
      <c r="A301">
        <v>300</v>
      </c>
      <c r="B301" t="s">
        <v>612</v>
      </c>
      <c r="C301" s="1">
        <v>37.296920178199997</v>
      </c>
      <c r="D301" s="1">
        <v>-7.0511160085900002</v>
      </c>
      <c r="E301" s="3">
        <v>2</v>
      </c>
      <c r="F301" s="2">
        <v>2</v>
      </c>
      <c r="G301" s="4">
        <v>2</v>
      </c>
      <c r="H301" s="13"/>
      <c r="I301" s="15"/>
      <c r="J301" s="19">
        <v>2</v>
      </c>
      <c r="K301" s="2" t="s">
        <v>613</v>
      </c>
      <c r="L301" s="11" t="str">
        <f t="shared" si="5"/>
        <v>Ver Imagen</v>
      </c>
      <c r="M301" t="s">
        <v>15</v>
      </c>
    </row>
    <row r="302" spans="1:13" x14ac:dyDescent="0.25">
      <c r="A302">
        <v>301</v>
      </c>
      <c r="B302" t="s">
        <v>614</v>
      </c>
      <c r="C302" s="1">
        <v>37.297005240799997</v>
      </c>
      <c r="D302" s="1">
        <v>-7.0513168242999997</v>
      </c>
      <c r="E302" s="3">
        <v>2</v>
      </c>
      <c r="F302" s="2">
        <v>2</v>
      </c>
      <c r="G302" s="4">
        <v>2</v>
      </c>
      <c r="H302" s="13"/>
      <c r="I302" s="15"/>
      <c r="J302" s="19">
        <v>2</v>
      </c>
      <c r="K302" s="2" t="s">
        <v>615</v>
      </c>
      <c r="L302" s="11" t="str">
        <f t="shared" si="5"/>
        <v>Ver Imagen</v>
      </c>
      <c r="M302" t="s">
        <v>15</v>
      </c>
    </row>
    <row r="303" spans="1:13" x14ac:dyDescent="0.25">
      <c r="A303">
        <v>302</v>
      </c>
      <c r="B303" t="s">
        <v>616</v>
      </c>
      <c r="C303" s="1">
        <v>37.298418527199999</v>
      </c>
      <c r="D303" s="1">
        <v>-7.0539251012599999</v>
      </c>
      <c r="E303" s="3">
        <v>2</v>
      </c>
      <c r="F303" s="2">
        <v>2</v>
      </c>
      <c r="G303" s="4">
        <v>2</v>
      </c>
      <c r="H303" s="13"/>
      <c r="I303" s="15"/>
      <c r="J303" s="19">
        <v>2</v>
      </c>
      <c r="K303" s="2" t="s">
        <v>617</v>
      </c>
      <c r="L303" s="11" t="str">
        <f t="shared" si="5"/>
        <v>Ver Imagen</v>
      </c>
      <c r="M303" t="s">
        <v>15</v>
      </c>
    </row>
    <row r="304" spans="1:13" x14ac:dyDescent="0.25">
      <c r="A304">
        <v>303</v>
      </c>
      <c r="B304" t="s">
        <v>618</v>
      </c>
      <c r="C304" s="1">
        <v>37.298973885000002</v>
      </c>
      <c r="D304" s="1">
        <v>-7.05427702237</v>
      </c>
      <c r="E304" s="3">
        <v>2</v>
      </c>
      <c r="F304" s="2">
        <v>2</v>
      </c>
      <c r="G304" s="4">
        <v>2</v>
      </c>
      <c r="H304" s="13"/>
      <c r="I304" s="15"/>
      <c r="J304" s="19">
        <v>2</v>
      </c>
      <c r="K304" s="2" t="s">
        <v>619</v>
      </c>
      <c r="L304" s="11" t="str">
        <f t="shared" si="5"/>
        <v>Ver Imagen</v>
      </c>
      <c r="M304" t="s">
        <v>15</v>
      </c>
    </row>
    <row r="305" spans="1:13" x14ac:dyDescent="0.25">
      <c r="A305">
        <v>304</v>
      </c>
      <c r="B305" t="s">
        <v>620</v>
      </c>
      <c r="C305" s="1">
        <v>37.2993093758</v>
      </c>
      <c r="D305" s="1">
        <v>-7.05450514158</v>
      </c>
      <c r="E305" s="3">
        <v>2</v>
      </c>
      <c r="F305" s="2">
        <v>2</v>
      </c>
      <c r="G305" s="4">
        <v>2</v>
      </c>
      <c r="H305" s="13"/>
      <c r="I305" s="15"/>
      <c r="J305" s="19">
        <v>2</v>
      </c>
      <c r="K305" s="2" t="s">
        <v>621</v>
      </c>
      <c r="L305" s="11" t="str">
        <f t="shared" si="5"/>
        <v>Ver Imagen</v>
      </c>
      <c r="M305" t="s">
        <v>15</v>
      </c>
    </row>
    <row r="306" spans="1:13" x14ac:dyDescent="0.25">
      <c r="A306">
        <v>305</v>
      </c>
      <c r="B306" t="s">
        <v>622</v>
      </c>
      <c r="C306" s="1">
        <v>37.299636017200001</v>
      </c>
      <c r="D306" s="1">
        <v>-7.0548019580499997</v>
      </c>
      <c r="E306" s="3">
        <v>2</v>
      </c>
      <c r="F306" s="2">
        <v>2</v>
      </c>
      <c r="G306" s="4">
        <v>2</v>
      </c>
      <c r="H306" s="13"/>
      <c r="I306" s="15"/>
      <c r="J306" s="19">
        <v>2</v>
      </c>
      <c r="K306" s="2" t="s">
        <v>623</v>
      </c>
      <c r="L306" s="11" t="str">
        <f t="shared" si="5"/>
        <v>Ver Imagen</v>
      </c>
      <c r="M306" t="s">
        <v>15</v>
      </c>
    </row>
    <row r="307" spans="1:13" x14ac:dyDescent="0.25">
      <c r="A307">
        <v>306</v>
      </c>
      <c r="B307" t="s">
        <v>624</v>
      </c>
      <c r="C307" s="1">
        <v>37.300098579999997</v>
      </c>
      <c r="D307" s="1">
        <v>-7.0553522330699998</v>
      </c>
      <c r="E307" s="3">
        <v>2</v>
      </c>
      <c r="F307" s="2">
        <v>2</v>
      </c>
      <c r="G307" s="4">
        <v>2</v>
      </c>
      <c r="H307" s="13"/>
      <c r="I307" s="15"/>
      <c r="J307" s="19">
        <v>2</v>
      </c>
      <c r="K307" s="2" t="s">
        <v>625</v>
      </c>
      <c r="L307" s="11" t="str">
        <f t="shared" si="5"/>
        <v>Ver Imagen</v>
      </c>
      <c r="M307" t="s">
        <v>15</v>
      </c>
    </row>
    <row r="308" spans="1:13" x14ac:dyDescent="0.25">
      <c r="A308">
        <v>307</v>
      </c>
      <c r="B308" t="s">
        <v>626</v>
      </c>
      <c r="C308" s="1">
        <v>37.309769564900002</v>
      </c>
      <c r="D308" s="1">
        <v>-7.0580489907899997</v>
      </c>
      <c r="E308" s="3">
        <v>2</v>
      </c>
      <c r="F308" s="2">
        <v>2</v>
      </c>
      <c r="G308" s="4">
        <v>2</v>
      </c>
      <c r="H308" s="13"/>
      <c r="I308" s="15"/>
      <c r="J308" s="19">
        <v>2</v>
      </c>
      <c r="K308" s="2" t="s">
        <v>627</v>
      </c>
      <c r="L308" s="11" t="str">
        <f t="shared" si="5"/>
        <v>Ver Imagen</v>
      </c>
      <c r="M308" t="s">
        <v>15</v>
      </c>
    </row>
    <row r="309" spans="1:13" x14ac:dyDescent="0.25">
      <c r="A309">
        <v>308</v>
      </c>
      <c r="B309" t="s">
        <v>628</v>
      </c>
      <c r="C309" s="1">
        <v>37.3118790455</v>
      </c>
      <c r="D309" s="1">
        <v>-7.0600154135200004</v>
      </c>
      <c r="E309" s="3">
        <v>2</v>
      </c>
      <c r="F309" s="2">
        <v>2</v>
      </c>
      <c r="G309" s="4">
        <v>2</v>
      </c>
      <c r="H309" s="13"/>
      <c r="I309" s="15"/>
      <c r="J309" s="19">
        <v>2</v>
      </c>
      <c r="K309" s="2" t="s">
        <v>629</v>
      </c>
      <c r="L309" s="11" t="str">
        <f t="shared" si="5"/>
        <v>Ver Imagen</v>
      </c>
      <c r="M309" t="s">
        <v>15</v>
      </c>
    </row>
    <row r="310" spans="1:13" x14ac:dyDescent="0.25">
      <c r="A310">
        <v>309</v>
      </c>
      <c r="B310" t="s">
        <v>630</v>
      </c>
      <c r="C310" s="1">
        <v>37.3138468155</v>
      </c>
      <c r="D310" s="1">
        <v>-7.0633057370500003</v>
      </c>
      <c r="E310" s="3">
        <v>2</v>
      </c>
      <c r="F310" s="2">
        <v>2</v>
      </c>
      <c r="G310" s="4">
        <v>2</v>
      </c>
      <c r="H310" s="13"/>
      <c r="I310" s="15"/>
      <c r="J310" s="19">
        <v>2</v>
      </c>
      <c r="K310" s="2" t="s">
        <v>631</v>
      </c>
      <c r="L310" s="11" t="str">
        <f t="shared" si="5"/>
        <v>Ver Imagen</v>
      </c>
      <c r="M310" t="s">
        <v>15</v>
      </c>
    </row>
    <row r="311" spans="1:13" x14ac:dyDescent="0.25">
      <c r="A311">
        <v>310</v>
      </c>
      <c r="B311" t="s">
        <v>632</v>
      </c>
      <c r="C311" s="1">
        <v>37.314277108799999</v>
      </c>
      <c r="D311" s="1">
        <v>-7.0641144922399999</v>
      </c>
      <c r="E311" s="3">
        <v>2</v>
      </c>
      <c r="F311" s="2">
        <v>2</v>
      </c>
      <c r="G311" s="4">
        <v>2</v>
      </c>
      <c r="H311" s="13"/>
      <c r="I311" s="15"/>
      <c r="J311" s="19">
        <v>2</v>
      </c>
      <c r="K311" s="2" t="s">
        <v>633</v>
      </c>
      <c r="L311" s="11" t="str">
        <f t="shared" si="5"/>
        <v>Ver Imagen</v>
      </c>
      <c r="M311" t="s">
        <v>15</v>
      </c>
    </row>
    <row r="312" spans="1:13" x14ac:dyDescent="0.25">
      <c r="A312">
        <v>311</v>
      </c>
      <c r="B312" t="s">
        <v>634</v>
      </c>
      <c r="C312" s="1">
        <v>37.315425402499997</v>
      </c>
      <c r="D312" s="1">
        <v>-7.0670398264200003</v>
      </c>
      <c r="E312" s="3">
        <v>2</v>
      </c>
      <c r="F312" s="2">
        <v>2</v>
      </c>
      <c r="G312" s="4">
        <v>2</v>
      </c>
      <c r="H312" s="13"/>
      <c r="I312" s="15"/>
      <c r="J312" s="19">
        <v>2</v>
      </c>
      <c r="K312" s="2" t="s">
        <v>635</v>
      </c>
      <c r="L312" s="11" t="str">
        <f t="shared" si="5"/>
        <v>Ver Imagen</v>
      </c>
      <c r="M312" t="s">
        <v>15</v>
      </c>
    </row>
    <row r="313" spans="1:13" x14ac:dyDescent="0.25">
      <c r="A313">
        <v>312</v>
      </c>
      <c r="B313" t="s">
        <v>636</v>
      </c>
      <c r="C313" s="1">
        <v>37.315654531</v>
      </c>
      <c r="D313" s="1">
        <v>-7.0680339463099999</v>
      </c>
      <c r="E313" s="3">
        <v>2</v>
      </c>
      <c r="F313" s="2">
        <v>2</v>
      </c>
      <c r="G313" s="4">
        <v>2</v>
      </c>
      <c r="H313" s="13"/>
      <c r="I313" s="15"/>
      <c r="J313" s="19">
        <v>2</v>
      </c>
      <c r="K313" s="2" t="s">
        <v>637</v>
      </c>
      <c r="L313" s="11" t="str">
        <f t="shared" si="5"/>
        <v>Ver Imagen</v>
      </c>
      <c r="M313" t="s">
        <v>15</v>
      </c>
    </row>
    <row r="314" spans="1:13" x14ac:dyDescent="0.25">
      <c r="A314">
        <v>313</v>
      </c>
      <c r="B314" t="s">
        <v>638</v>
      </c>
      <c r="C314" s="1">
        <v>37.318565789700003</v>
      </c>
      <c r="D314" s="1">
        <v>-7.0713539447400002</v>
      </c>
      <c r="E314" s="3">
        <v>2</v>
      </c>
      <c r="F314" s="2">
        <v>2</v>
      </c>
      <c r="G314" s="4">
        <v>2</v>
      </c>
      <c r="H314" s="13"/>
      <c r="I314" s="15"/>
      <c r="J314" s="19">
        <v>2</v>
      </c>
      <c r="K314" s="2" t="s">
        <v>639</v>
      </c>
      <c r="L314" s="11" t="str">
        <f t="shared" si="5"/>
        <v>Ver Imagen</v>
      </c>
      <c r="M314" t="s">
        <v>15</v>
      </c>
    </row>
    <row r="315" spans="1:13" x14ac:dyDescent="0.25">
      <c r="A315">
        <v>314</v>
      </c>
      <c r="B315" t="s">
        <v>640</v>
      </c>
      <c r="C315" s="1">
        <v>37.267465421300003</v>
      </c>
      <c r="D315" s="1">
        <v>-6.9615047517899997</v>
      </c>
      <c r="E315" s="3">
        <v>2</v>
      </c>
      <c r="F315" s="2">
        <v>2</v>
      </c>
      <c r="G315" s="4">
        <v>2</v>
      </c>
      <c r="H315" s="13"/>
      <c r="I315" s="15"/>
      <c r="J315" s="19">
        <v>2</v>
      </c>
      <c r="K315" s="2" t="s">
        <v>641</v>
      </c>
      <c r="L315" s="11" t="str">
        <f t="shared" si="5"/>
        <v>Ver Imagen</v>
      </c>
      <c r="M315" t="s">
        <v>15</v>
      </c>
    </row>
    <row r="316" spans="1:13" x14ac:dyDescent="0.25">
      <c r="A316">
        <v>315</v>
      </c>
      <c r="B316" t="s">
        <v>642</v>
      </c>
      <c r="C316" s="1">
        <v>37.267409993699999</v>
      </c>
      <c r="D316" s="1">
        <v>-6.9607538250700003</v>
      </c>
      <c r="E316" s="3">
        <v>2</v>
      </c>
      <c r="F316" s="2">
        <v>2</v>
      </c>
      <c r="G316" s="4">
        <v>2</v>
      </c>
      <c r="H316" s="13"/>
      <c r="I316" s="15"/>
      <c r="J316" s="19">
        <v>2</v>
      </c>
      <c r="K316" s="2" t="s">
        <v>643</v>
      </c>
      <c r="L316" s="11" t="str">
        <f t="shared" si="5"/>
        <v>Ver Imagen</v>
      </c>
      <c r="M316" t="s">
        <v>15</v>
      </c>
    </row>
    <row r="317" spans="1:13" x14ac:dyDescent="0.25">
      <c r="A317">
        <v>316</v>
      </c>
      <c r="B317" t="s">
        <v>644</v>
      </c>
      <c r="C317" s="1">
        <v>37.267331868299998</v>
      </c>
      <c r="D317" s="1">
        <v>-6.9602660942099996</v>
      </c>
      <c r="E317" s="3">
        <v>2</v>
      </c>
      <c r="F317" s="2">
        <v>2</v>
      </c>
      <c r="G317" s="4">
        <v>2</v>
      </c>
      <c r="H317" s="13"/>
      <c r="I317" s="15"/>
      <c r="J317" s="19">
        <v>2</v>
      </c>
      <c r="K317" s="2" t="s">
        <v>645</v>
      </c>
      <c r="L317" s="11" t="str">
        <f t="shared" si="5"/>
        <v>Ver Imagen</v>
      </c>
      <c r="M317" t="s">
        <v>15</v>
      </c>
    </row>
    <row r="318" spans="1:13" x14ac:dyDescent="0.25">
      <c r="A318">
        <v>317</v>
      </c>
      <c r="B318" t="s">
        <v>646</v>
      </c>
      <c r="C318" s="1">
        <v>37.193378527900002</v>
      </c>
      <c r="D318" s="1">
        <v>-6.9962321534800003</v>
      </c>
      <c r="E318" s="3">
        <v>2</v>
      </c>
      <c r="F318" s="2">
        <v>2</v>
      </c>
      <c r="G318" s="4">
        <v>2</v>
      </c>
      <c r="H318" s="13"/>
      <c r="I318" s="15"/>
      <c r="J318" s="19">
        <v>2</v>
      </c>
      <c r="K318" s="2" t="s">
        <v>647</v>
      </c>
      <c r="L318" s="11" t="str">
        <f t="shared" si="5"/>
        <v>Ver Imagen</v>
      </c>
      <c r="M318" t="s">
        <v>15</v>
      </c>
    </row>
    <row r="319" spans="1:13" x14ac:dyDescent="0.25">
      <c r="A319">
        <v>318</v>
      </c>
      <c r="B319" t="s">
        <v>648</v>
      </c>
      <c r="C319" s="1">
        <v>37.193564079600002</v>
      </c>
      <c r="D319" s="1">
        <v>-6.9966571712699999</v>
      </c>
      <c r="E319" s="3">
        <v>2</v>
      </c>
      <c r="F319" s="2">
        <v>2</v>
      </c>
      <c r="G319" s="4">
        <v>2</v>
      </c>
      <c r="H319" s="13"/>
      <c r="I319" s="15"/>
      <c r="J319" s="19">
        <v>2</v>
      </c>
      <c r="K319" s="2" t="s">
        <v>649</v>
      </c>
      <c r="L319" s="11" t="str">
        <f t="shared" si="5"/>
        <v>Ver Imagen</v>
      </c>
      <c r="M319" t="s">
        <v>15</v>
      </c>
    </row>
    <row r="320" spans="1:13" x14ac:dyDescent="0.25">
      <c r="A320">
        <v>319</v>
      </c>
      <c r="B320" t="s">
        <v>650</v>
      </c>
      <c r="C320" s="1">
        <v>37.194048099</v>
      </c>
      <c r="D320" s="1">
        <v>-6.9978255433200003</v>
      </c>
      <c r="E320" s="3">
        <v>2</v>
      </c>
      <c r="F320" s="2">
        <v>2</v>
      </c>
      <c r="G320" s="4">
        <v>2</v>
      </c>
      <c r="H320" s="13"/>
      <c r="I320" s="15"/>
      <c r="J320" s="19">
        <v>2</v>
      </c>
      <c r="K320" s="2" t="s">
        <v>651</v>
      </c>
      <c r="L320" s="11" t="str">
        <f t="shared" si="5"/>
        <v>Ver Imagen</v>
      </c>
      <c r="M320" t="s">
        <v>15</v>
      </c>
    </row>
    <row r="321" spans="1:13" x14ac:dyDescent="0.25">
      <c r="A321">
        <v>320</v>
      </c>
      <c r="B321" t="s">
        <v>652</v>
      </c>
      <c r="C321" s="1">
        <v>37.194143797099997</v>
      </c>
      <c r="D321" s="1">
        <v>-6.9980576966100001</v>
      </c>
      <c r="E321" s="3">
        <v>2</v>
      </c>
      <c r="F321" s="2">
        <v>2</v>
      </c>
      <c r="G321" s="4">
        <v>2</v>
      </c>
      <c r="H321" s="13"/>
      <c r="I321" s="15"/>
      <c r="J321" s="19">
        <v>2</v>
      </c>
      <c r="K321" s="2" t="s">
        <v>653</v>
      </c>
      <c r="L321" s="11" t="str">
        <f t="shared" si="5"/>
        <v>Ver Imagen</v>
      </c>
      <c r="M321" t="s">
        <v>15</v>
      </c>
    </row>
    <row r="322" spans="1:13" x14ac:dyDescent="0.25">
      <c r="A322">
        <v>321</v>
      </c>
      <c r="B322" t="s">
        <v>654</v>
      </c>
      <c r="C322" s="1">
        <v>37.194330899999997</v>
      </c>
      <c r="D322" s="1">
        <v>-6.9985077850700002</v>
      </c>
      <c r="E322" s="3">
        <v>2</v>
      </c>
      <c r="F322" s="2">
        <v>2</v>
      </c>
      <c r="G322" s="4">
        <v>2</v>
      </c>
      <c r="H322" s="13"/>
      <c r="I322" s="15"/>
      <c r="J322" s="19">
        <v>2</v>
      </c>
      <c r="K322" s="2" t="s">
        <v>655</v>
      </c>
      <c r="L322" s="11" t="str">
        <f t="shared" si="5"/>
        <v>Ver Imagen</v>
      </c>
      <c r="M322" t="s">
        <v>15</v>
      </c>
    </row>
    <row r="323" spans="1:13" x14ac:dyDescent="0.25">
      <c r="A323">
        <v>322</v>
      </c>
      <c r="B323" t="s">
        <v>656</v>
      </c>
      <c r="C323" s="1">
        <v>37.194425192300002</v>
      </c>
      <c r="D323" s="1">
        <v>-6.9987358692099999</v>
      </c>
      <c r="E323" s="3">
        <v>2</v>
      </c>
      <c r="F323" s="2">
        <v>2</v>
      </c>
      <c r="G323" s="4">
        <v>2</v>
      </c>
      <c r="H323" s="13"/>
      <c r="I323" s="15"/>
      <c r="J323" s="19">
        <v>2</v>
      </c>
      <c r="K323" s="2" t="s">
        <v>657</v>
      </c>
      <c r="L323" s="11" t="str">
        <f t="shared" si="5"/>
        <v>Ver Imagen</v>
      </c>
      <c r="M323" t="s">
        <v>15</v>
      </c>
    </row>
    <row r="324" spans="1:13" x14ac:dyDescent="0.25">
      <c r="A324">
        <v>323</v>
      </c>
      <c r="B324" t="s">
        <v>658</v>
      </c>
      <c r="C324" s="1">
        <v>37.194607300800001</v>
      </c>
      <c r="D324" s="1">
        <v>-6.99917660888</v>
      </c>
      <c r="E324" s="3">
        <v>2</v>
      </c>
      <c r="F324" s="2">
        <v>2</v>
      </c>
      <c r="G324" s="4">
        <v>2</v>
      </c>
      <c r="H324" s="13"/>
      <c r="I324" s="15"/>
      <c r="J324" s="19">
        <v>2</v>
      </c>
      <c r="K324" s="2" t="s">
        <v>659</v>
      </c>
      <c r="L324" s="11" t="str">
        <f t="shared" si="5"/>
        <v>Ver Imagen</v>
      </c>
      <c r="M324" t="s">
        <v>15</v>
      </c>
    </row>
    <row r="325" spans="1:13" x14ac:dyDescent="0.25">
      <c r="A325">
        <v>324</v>
      </c>
      <c r="B325" t="s">
        <v>660</v>
      </c>
      <c r="C325" s="1">
        <v>37.195063481200002</v>
      </c>
      <c r="D325" s="1">
        <v>-7.0003027765199999</v>
      </c>
      <c r="E325" s="3">
        <v>2</v>
      </c>
      <c r="F325" s="2">
        <v>2</v>
      </c>
      <c r="G325" s="4">
        <v>2</v>
      </c>
      <c r="H325" s="13"/>
      <c r="I325" s="15"/>
      <c r="J325" s="19">
        <v>2</v>
      </c>
      <c r="K325" s="2" t="s">
        <v>661</v>
      </c>
      <c r="L325" s="11" t="str">
        <f t="shared" si="5"/>
        <v>Ver Imagen</v>
      </c>
      <c r="M325" t="s">
        <v>15</v>
      </c>
    </row>
    <row r="326" spans="1:13" x14ac:dyDescent="0.25">
      <c r="A326">
        <v>325</v>
      </c>
      <c r="B326" t="s">
        <v>662</v>
      </c>
      <c r="C326" s="1">
        <v>37.195436385599997</v>
      </c>
      <c r="D326" s="1">
        <v>-7.0012071573599997</v>
      </c>
      <c r="E326" s="3">
        <v>2</v>
      </c>
      <c r="F326" s="2">
        <v>2</v>
      </c>
      <c r="G326" s="4">
        <v>2</v>
      </c>
      <c r="H326" s="13"/>
      <c r="I326" s="15"/>
      <c r="J326" s="19">
        <v>2</v>
      </c>
      <c r="K326" s="2" t="s">
        <v>663</v>
      </c>
      <c r="L326" s="11" t="str">
        <f t="shared" si="5"/>
        <v>Ver Imagen</v>
      </c>
      <c r="M326" t="s">
        <v>15</v>
      </c>
    </row>
    <row r="327" spans="1:13" x14ac:dyDescent="0.25">
      <c r="A327">
        <v>326</v>
      </c>
      <c r="B327" t="s">
        <v>664</v>
      </c>
      <c r="C327" s="1">
        <v>37.202033041</v>
      </c>
      <c r="D327" s="1">
        <v>-7.0138701087999999</v>
      </c>
      <c r="E327" s="3">
        <v>2</v>
      </c>
      <c r="F327" s="2">
        <v>2</v>
      </c>
      <c r="G327" s="4">
        <v>2</v>
      </c>
      <c r="H327" s="13"/>
      <c r="I327" s="15"/>
      <c r="J327" s="19">
        <v>2</v>
      </c>
      <c r="K327" s="2" t="s">
        <v>665</v>
      </c>
      <c r="L327" s="11" t="str">
        <f t="shared" si="5"/>
        <v>Ver Imagen</v>
      </c>
      <c r="M327" t="s">
        <v>15</v>
      </c>
    </row>
    <row r="328" spans="1:13" x14ac:dyDescent="0.25">
      <c r="A328">
        <v>327</v>
      </c>
      <c r="B328" t="s">
        <v>666</v>
      </c>
      <c r="C328" s="1">
        <v>37.2042073625</v>
      </c>
      <c r="D328" s="1">
        <v>-7.0172127654300001</v>
      </c>
      <c r="E328" s="3">
        <v>2</v>
      </c>
      <c r="F328" s="2">
        <v>2</v>
      </c>
      <c r="G328" s="4">
        <v>2</v>
      </c>
      <c r="H328" s="13"/>
      <c r="I328" s="15"/>
      <c r="J328" s="19">
        <v>2</v>
      </c>
      <c r="K328" s="2" t="s">
        <v>667</v>
      </c>
      <c r="L328" s="11" t="str">
        <f t="shared" si="5"/>
        <v>Ver Imagen</v>
      </c>
      <c r="M328" t="s">
        <v>15</v>
      </c>
    </row>
    <row r="329" spans="1:13" x14ac:dyDescent="0.25">
      <c r="A329">
        <v>328</v>
      </c>
      <c r="B329" t="s">
        <v>668</v>
      </c>
      <c r="C329" s="1">
        <v>37.208015745399997</v>
      </c>
      <c r="D329" s="1">
        <v>-7.0227519411100001</v>
      </c>
      <c r="E329" s="3">
        <v>2</v>
      </c>
      <c r="F329" s="2">
        <v>2</v>
      </c>
      <c r="G329" s="4">
        <v>2</v>
      </c>
      <c r="H329" s="13"/>
      <c r="I329" s="15"/>
      <c r="J329" s="19">
        <v>2</v>
      </c>
      <c r="K329" s="2" t="s">
        <v>669</v>
      </c>
      <c r="L329" s="11" t="str">
        <f t="shared" ref="L329:L392" si="6">HYPERLINK("2\0\" &amp; K329, "Ver Imagen")</f>
        <v>Ver Imagen</v>
      </c>
      <c r="M329" t="s">
        <v>15</v>
      </c>
    </row>
    <row r="330" spans="1:13" x14ac:dyDescent="0.25">
      <c r="A330">
        <v>329</v>
      </c>
      <c r="B330" t="s">
        <v>670</v>
      </c>
      <c r="C330" s="1">
        <v>37.208117621100001</v>
      </c>
      <c r="D330" s="1">
        <v>-7.0229642924900002</v>
      </c>
      <c r="E330" s="3">
        <v>2</v>
      </c>
      <c r="F330" s="2">
        <v>2</v>
      </c>
      <c r="G330" s="4">
        <v>2</v>
      </c>
      <c r="H330" s="13"/>
      <c r="I330" s="15"/>
      <c r="J330" s="19">
        <v>2</v>
      </c>
      <c r="K330" s="2" t="s">
        <v>671</v>
      </c>
      <c r="L330" s="11" t="str">
        <f t="shared" si="6"/>
        <v>Ver Imagen</v>
      </c>
      <c r="M330" t="s">
        <v>15</v>
      </c>
    </row>
    <row r="331" spans="1:13" x14ac:dyDescent="0.25">
      <c r="A331">
        <v>330</v>
      </c>
      <c r="B331" t="s">
        <v>672</v>
      </c>
      <c r="C331" s="1">
        <v>37.217989247600002</v>
      </c>
      <c r="D331" s="1">
        <v>-7.1222618618700002</v>
      </c>
      <c r="E331" s="3">
        <v>2</v>
      </c>
      <c r="F331" s="2">
        <v>2</v>
      </c>
      <c r="G331" s="4">
        <v>2</v>
      </c>
      <c r="H331" s="13"/>
      <c r="I331" s="15"/>
      <c r="J331" s="19">
        <v>2</v>
      </c>
      <c r="K331" s="2" t="s">
        <v>673</v>
      </c>
      <c r="L331" s="11" t="str">
        <f t="shared" si="6"/>
        <v>Ver Imagen</v>
      </c>
      <c r="M331" t="s">
        <v>15</v>
      </c>
    </row>
    <row r="332" spans="1:13" x14ac:dyDescent="0.25">
      <c r="A332">
        <v>331</v>
      </c>
      <c r="B332" t="s">
        <v>674</v>
      </c>
      <c r="C332" s="1">
        <v>37.217897139900003</v>
      </c>
      <c r="D332" s="1">
        <v>-7.1217857976900003</v>
      </c>
      <c r="E332" s="3">
        <v>2</v>
      </c>
      <c r="F332" s="2">
        <v>2</v>
      </c>
      <c r="G332" s="4">
        <v>2</v>
      </c>
      <c r="H332" s="13"/>
      <c r="I332" s="15"/>
      <c r="J332" s="19">
        <v>2</v>
      </c>
      <c r="K332" s="2" t="s">
        <v>675</v>
      </c>
      <c r="L332" s="11" t="str">
        <f t="shared" si="6"/>
        <v>Ver Imagen</v>
      </c>
      <c r="M332" t="s">
        <v>15</v>
      </c>
    </row>
    <row r="333" spans="1:13" x14ac:dyDescent="0.25">
      <c r="A333">
        <v>332</v>
      </c>
      <c r="B333" t="s">
        <v>676</v>
      </c>
      <c r="C333" s="1">
        <v>37.218131153900003</v>
      </c>
      <c r="D333" s="1">
        <v>-7.1190018253299998</v>
      </c>
      <c r="E333" s="3">
        <v>2</v>
      </c>
      <c r="F333" s="2">
        <v>2</v>
      </c>
      <c r="G333" s="4">
        <v>2</v>
      </c>
      <c r="H333" s="13"/>
      <c r="I333" s="15"/>
      <c r="J333" s="19">
        <v>2</v>
      </c>
      <c r="K333" s="2" t="s">
        <v>677</v>
      </c>
      <c r="L333" s="11" t="str">
        <f t="shared" si="6"/>
        <v>Ver Imagen</v>
      </c>
      <c r="M333" t="s">
        <v>15</v>
      </c>
    </row>
    <row r="334" spans="1:13" x14ac:dyDescent="0.25">
      <c r="A334">
        <v>333</v>
      </c>
      <c r="B334" t="s">
        <v>678</v>
      </c>
      <c r="C334" s="1">
        <v>37.217515696900001</v>
      </c>
      <c r="D334" s="1">
        <v>-7.1140023928999998</v>
      </c>
      <c r="E334" s="3">
        <v>2</v>
      </c>
      <c r="F334" s="2">
        <v>2</v>
      </c>
      <c r="G334" s="4">
        <v>2</v>
      </c>
      <c r="H334" s="13"/>
      <c r="I334" s="15"/>
      <c r="J334" s="19">
        <v>2</v>
      </c>
      <c r="K334" s="2" t="s">
        <v>679</v>
      </c>
      <c r="L334" s="11" t="str">
        <f t="shared" si="6"/>
        <v>Ver Imagen</v>
      </c>
      <c r="M334" t="s">
        <v>15</v>
      </c>
    </row>
    <row r="335" spans="1:13" x14ac:dyDescent="0.25">
      <c r="A335">
        <v>334</v>
      </c>
      <c r="B335" t="s">
        <v>680</v>
      </c>
      <c r="C335" s="1">
        <v>37.217503566200001</v>
      </c>
      <c r="D335" s="1">
        <v>-7.1137819678599996</v>
      </c>
      <c r="E335" s="3">
        <v>2</v>
      </c>
      <c r="F335" s="2">
        <v>2</v>
      </c>
      <c r="G335" s="4">
        <v>2</v>
      </c>
      <c r="H335" s="13"/>
      <c r="I335" s="15"/>
      <c r="J335" s="19">
        <v>2</v>
      </c>
      <c r="K335" s="2" t="s">
        <v>681</v>
      </c>
      <c r="L335" s="11" t="str">
        <f t="shared" si="6"/>
        <v>Ver Imagen</v>
      </c>
      <c r="M335" t="s">
        <v>15</v>
      </c>
    </row>
    <row r="336" spans="1:13" x14ac:dyDescent="0.25">
      <c r="A336">
        <v>335</v>
      </c>
      <c r="B336" t="s">
        <v>682</v>
      </c>
      <c r="C336" s="1">
        <v>37.217502367999998</v>
      </c>
      <c r="D336" s="1">
        <v>-7.1135175573999998</v>
      </c>
      <c r="E336" s="3">
        <v>2</v>
      </c>
      <c r="F336" s="2">
        <v>2</v>
      </c>
      <c r="G336" s="4">
        <v>2</v>
      </c>
      <c r="H336" s="13"/>
      <c r="I336" s="15"/>
      <c r="J336" s="19">
        <v>2</v>
      </c>
      <c r="K336" s="2" t="s">
        <v>683</v>
      </c>
      <c r="L336" s="11" t="str">
        <f t="shared" si="6"/>
        <v>Ver Imagen</v>
      </c>
      <c r="M336" t="s">
        <v>15</v>
      </c>
    </row>
    <row r="337" spans="1:13" x14ac:dyDescent="0.25">
      <c r="A337">
        <v>336</v>
      </c>
      <c r="B337" t="s">
        <v>684</v>
      </c>
      <c r="C337" s="1">
        <v>37.217510963999999</v>
      </c>
      <c r="D337" s="1">
        <v>-7.1132375029399997</v>
      </c>
      <c r="E337" s="3">
        <v>2</v>
      </c>
      <c r="F337" s="2">
        <v>2</v>
      </c>
      <c r="G337" s="4">
        <v>2</v>
      </c>
      <c r="H337" s="13"/>
      <c r="I337" s="15"/>
      <c r="J337" s="19">
        <v>2</v>
      </c>
      <c r="K337" s="2" t="s">
        <v>685</v>
      </c>
      <c r="L337" s="11" t="str">
        <f t="shared" si="6"/>
        <v>Ver Imagen</v>
      </c>
      <c r="M337" t="s">
        <v>15</v>
      </c>
    </row>
    <row r="338" spans="1:13" x14ac:dyDescent="0.25">
      <c r="A338">
        <v>337</v>
      </c>
      <c r="B338" t="s">
        <v>686</v>
      </c>
      <c r="C338" s="1">
        <v>37.217523876500003</v>
      </c>
      <c r="D338" s="1">
        <v>-7.1129795733699996</v>
      </c>
      <c r="E338" s="3">
        <v>2</v>
      </c>
      <c r="F338" s="2">
        <v>2</v>
      </c>
      <c r="G338" s="4">
        <v>2</v>
      </c>
      <c r="H338" s="13"/>
      <c r="I338" s="15"/>
      <c r="J338" s="19">
        <v>2</v>
      </c>
      <c r="K338" s="2" t="s">
        <v>687</v>
      </c>
      <c r="L338" s="11" t="str">
        <f t="shared" si="6"/>
        <v>Ver Imagen</v>
      </c>
      <c r="M338" t="s">
        <v>15</v>
      </c>
    </row>
    <row r="339" spans="1:13" x14ac:dyDescent="0.25">
      <c r="A339">
        <v>338</v>
      </c>
      <c r="B339" t="s">
        <v>688</v>
      </c>
      <c r="C339" s="1">
        <v>37.217549157400001</v>
      </c>
      <c r="D339" s="1">
        <v>-7.1124828721300002</v>
      </c>
      <c r="E339" s="3">
        <v>2</v>
      </c>
      <c r="F339" s="2">
        <v>2</v>
      </c>
      <c r="G339" s="4">
        <v>2</v>
      </c>
      <c r="H339" s="13"/>
      <c r="I339" s="15"/>
      <c r="J339" s="19">
        <v>2</v>
      </c>
      <c r="K339" s="2" t="s">
        <v>689</v>
      </c>
      <c r="L339" s="11" t="str">
        <f t="shared" si="6"/>
        <v>Ver Imagen</v>
      </c>
      <c r="M339" t="s">
        <v>15</v>
      </c>
    </row>
    <row r="340" spans="1:13" x14ac:dyDescent="0.25">
      <c r="A340">
        <v>339</v>
      </c>
      <c r="B340" t="s">
        <v>690</v>
      </c>
      <c r="C340" s="1">
        <v>37.217593794899997</v>
      </c>
      <c r="D340" s="1">
        <v>-7.1114576013499997</v>
      </c>
      <c r="E340" s="3">
        <v>2</v>
      </c>
      <c r="F340" s="2">
        <v>2</v>
      </c>
      <c r="G340" s="4">
        <v>2</v>
      </c>
      <c r="H340" s="13"/>
      <c r="I340" s="15"/>
      <c r="J340" s="19">
        <v>2</v>
      </c>
      <c r="K340" s="2" t="s">
        <v>691</v>
      </c>
      <c r="L340" s="11" t="str">
        <f t="shared" si="6"/>
        <v>Ver Imagen</v>
      </c>
      <c r="M340" t="s">
        <v>15</v>
      </c>
    </row>
    <row r="341" spans="1:13" x14ac:dyDescent="0.25">
      <c r="A341">
        <v>340</v>
      </c>
      <c r="B341" t="s">
        <v>692</v>
      </c>
      <c r="C341" s="1">
        <v>37.217563607199999</v>
      </c>
      <c r="D341" s="1">
        <v>-7.1087096255100004</v>
      </c>
      <c r="E341" s="3">
        <v>2</v>
      </c>
      <c r="F341" s="2">
        <v>2</v>
      </c>
      <c r="G341" s="4">
        <v>2</v>
      </c>
      <c r="H341" s="13"/>
      <c r="I341" s="15"/>
      <c r="J341" s="19">
        <v>2</v>
      </c>
      <c r="K341" s="2" t="s">
        <v>693</v>
      </c>
      <c r="L341" s="11" t="str">
        <f t="shared" si="6"/>
        <v>Ver Imagen</v>
      </c>
      <c r="M341" t="s">
        <v>15</v>
      </c>
    </row>
    <row r="342" spans="1:13" x14ac:dyDescent="0.25">
      <c r="A342">
        <v>341</v>
      </c>
      <c r="B342" t="s">
        <v>694</v>
      </c>
      <c r="C342" s="1">
        <v>37.217302266600001</v>
      </c>
      <c r="D342" s="1">
        <v>-7.1069414742900001</v>
      </c>
      <c r="E342" s="3">
        <v>2</v>
      </c>
      <c r="F342" s="2">
        <v>2</v>
      </c>
      <c r="G342" s="4">
        <v>2</v>
      </c>
      <c r="H342" s="13"/>
      <c r="I342" s="15"/>
      <c r="J342" s="19">
        <v>2</v>
      </c>
      <c r="K342" s="2" t="s">
        <v>695</v>
      </c>
      <c r="L342" s="11" t="str">
        <f t="shared" si="6"/>
        <v>Ver Imagen</v>
      </c>
      <c r="M342" t="s">
        <v>15</v>
      </c>
    </row>
    <row r="343" spans="1:13" x14ac:dyDescent="0.25">
      <c r="A343">
        <v>342</v>
      </c>
      <c r="B343" t="s">
        <v>696</v>
      </c>
      <c r="C343" s="1">
        <v>37.217104309600003</v>
      </c>
      <c r="D343" s="1">
        <v>-7.1054224055999997</v>
      </c>
      <c r="E343" s="3">
        <v>2</v>
      </c>
      <c r="F343" s="2">
        <v>2</v>
      </c>
      <c r="G343" s="4">
        <v>2</v>
      </c>
      <c r="H343" s="13"/>
      <c r="I343" s="15"/>
      <c r="J343" s="19">
        <v>2</v>
      </c>
      <c r="K343" s="2" t="s">
        <v>697</v>
      </c>
      <c r="L343" s="11" t="str">
        <f t="shared" si="6"/>
        <v>Ver Imagen</v>
      </c>
      <c r="M343" t="s">
        <v>15</v>
      </c>
    </row>
    <row r="344" spans="1:13" x14ac:dyDescent="0.25">
      <c r="A344">
        <v>343</v>
      </c>
      <c r="B344" t="s">
        <v>698</v>
      </c>
      <c r="C344" s="1">
        <v>37.217082793800003</v>
      </c>
      <c r="D344" s="1">
        <v>-7.1052083607899998</v>
      </c>
      <c r="E344" s="3">
        <v>2</v>
      </c>
      <c r="F344" s="2">
        <v>2</v>
      </c>
      <c r="G344" s="4">
        <v>2</v>
      </c>
      <c r="H344" s="13"/>
      <c r="I344" s="15"/>
      <c r="J344" s="19">
        <v>2</v>
      </c>
      <c r="K344" s="2" t="s">
        <v>699</v>
      </c>
      <c r="L344" s="11" t="str">
        <f t="shared" si="6"/>
        <v>Ver Imagen</v>
      </c>
      <c r="M344" t="s">
        <v>15</v>
      </c>
    </row>
    <row r="345" spans="1:13" x14ac:dyDescent="0.25">
      <c r="A345">
        <v>344</v>
      </c>
      <c r="B345" t="s">
        <v>700</v>
      </c>
      <c r="C345" s="1">
        <v>37.216791114800003</v>
      </c>
      <c r="D345" s="1">
        <v>-7.1014362879800004</v>
      </c>
      <c r="E345" s="3">
        <v>2</v>
      </c>
      <c r="F345" s="2">
        <v>2</v>
      </c>
      <c r="G345" s="4">
        <v>2</v>
      </c>
      <c r="H345" s="13"/>
      <c r="I345" s="15"/>
      <c r="J345" s="19">
        <v>2</v>
      </c>
      <c r="K345" s="2" t="s">
        <v>701</v>
      </c>
      <c r="L345" s="11" t="str">
        <f t="shared" si="6"/>
        <v>Ver Imagen</v>
      </c>
      <c r="M345" t="s">
        <v>15</v>
      </c>
    </row>
    <row r="346" spans="1:13" x14ac:dyDescent="0.25">
      <c r="A346">
        <v>345</v>
      </c>
      <c r="B346" t="s">
        <v>702</v>
      </c>
      <c r="C346" s="1">
        <v>37.216975080099999</v>
      </c>
      <c r="D346" s="1">
        <v>-7.1004355093999996</v>
      </c>
      <c r="E346" s="3">
        <v>2</v>
      </c>
      <c r="F346" s="2">
        <v>2</v>
      </c>
      <c r="G346" s="4">
        <v>2</v>
      </c>
      <c r="H346" s="13"/>
      <c r="I346" s="15"/>
      <c r="J346" s="19">
        <v>2</v>
      </c>
      <c r="K346" s="2" t="s">
        <v>703</v>
      </c>
      <c r="L346" s="11" t="str">
        <f t="shared" si="6"/>
        <v>Ver Imagen</v>
      </c>
      <c r="M346" t="s">
        <v>15</v>
      </c>
    </row>
    <row r="347" spans="1:13" x14ac:dyDescent="0.25">
      <c r="A347">
        <v>346</v>
      </c>
      <c r="B347" t="s">
        <v>704</v>
      </c>
      <c r="C347" s="1">
        <v>37.217046036799999</v>
      </c>
      <c r="D347" s="1">
        <v>-7.0996871103899997</v>
      </c>
      <c r="E347" s="3">
        <v>2</v>
      </c>
      <c r="F347" s="2">
        <v>2</v>
      </c>
      <c r="G347" s="4">
        <v>2</v>
      </c>
      <c r="H347" s="13"/>
      <c r="I347" s="15"/>
      <c r="J347" s="19">
        <v>2</v>
      </c>
      <c r="K347" s="2" t="s">
        <v>705</v>
      </c>
      <c r="L347" s="11" t="str">
        <f t="shared" si="6"/>
        <v>Ver Imagen</v>
      </c>
      <c r="M347" t="s">
        <v>15</v>
      </c>
    </row>
    <row r="348" spans="1:13" x14ac:dyDescent="0.25">
      <c r="A348">
        <v>347</v>
      </c>
      <c r="B348" t="s">
        <v>706</v>
      </c>
      <c r="C348" s="1">
        <v>37.216883395099998</v>
      </c>
      <c r="D348" s="1">
        <v>-7.0979444303200001</v>
      </c>
      <c r="E348" s="3">
        <v>2</v>
      </c>
      <c r="F348" s="2">
        <v>2</v>
      </c>
      <c r="G348" s="4">
        <v>2</v>
      </c>
      <c r="H348" s="13"/>
      <c r="I348" s="15"/>
      <c r="J348" s="19">
        <v>2</v>
      </c>
      <c r="K348" s="2" t="s">
        <v>707</v>
      </c>
      <c r="L348" s="11" t="str">
        <f t="shared" si="6"/>
        <v>Ver Imagen</v>
      </c>
      <c r="M348" t="s">
        <v>15</v>
      </c>
    </row>
    <row r="349" spans="1:13" x14ac:dyDescent="0.25">
      <c r="A349">
        <v>348</v>
      </c>
      <c r="B349" t="s">
        <v>708</v>
      </c>
      <c r="C349" s="1">
        <v>37.216710483999996</v>
      </c>
      <c r="D349" s="1">
        <v>-7.0961581775000004</v>
      </c>
      <c r="E349" s="3">
        <v>2</v>
      </c>
      <c r="F349" s="2">
        <v>2</v>
      </c>
      <c r="G349" s="4">
        <v>2</v>
      </c>
      <c r="H349" s="13"/>
      <c r="I349" s="15"/>
      <c r="J349" s="19">
        <v>2</v>
      </c>
      <c r="K349" s="2" t="s">
        <v>709</v>
      </c>
      <c r="L349" s="11" t="str">
        <f t="shared" si="6"/>
        <v>Ver Imagen</v>
      </c>
      <c r="M349" t="s">
        <v>15</v>
      </c>
    </row>
    <row r="350" spans="1:13" x14ac:dyDescent="0.25">
      <c r="A350">
        <v>349</v>
      </c>
      <c r="B350" t="s">
        <v>710</v>
      </c>
      <c r="C350" s="1">
        <v>37.216644514099997</v>
      </c>
      <c r="D350" s="1">
        <v>-7.0941518584600001</v>
      </c>
      <c r="E350" s="3">
        <v>2</v>
      </c>
      <c r="F350" s="2">
        <v>2</v>
      </c>
      <c r="G350" s="4">
        <v>2</v>
      </c>
      <c r="H350" s="13"/>
      <c r="I350" s="15"/>
      <c r="J350" s="19">
        <v>2</v>
      </c>
      <c r="K350" s="2" t="s">
        <v>711</v>
      </c>
      <c r="L350" s="11" t="str">
        <f t="shared" si="6"/>
        <v>Ver Imagen</v>
      </c>
      <c r="M350" t="s">
        <v>15</v>
      </c>
    </row>
    <row r="351" spans="1:13" x14ac:dyDescent="0.25">
      <c r="A351">
        <v>350</v>
      </c>
      <c r="B351" t="s">
        <v>712</v>
      </c>
      <c r="C351" s="1">
        <v>37.216633288499999</v>
      </c>
      <c r="D351" s="1">
        <v>-7.0936355338599997</v>
      </c>
      <c r="E351" s="3">
        <v>2</v>
      </c>
      <c r="F351" s="2">
        <v>2</v>
      </c>
      <c r="G351" s="4">
        <v>2</v>
      </c>
      <c r="H351" s="13"/>
      <c r="I351" s="15"/>
      <c r="J351" s="19">
        <v>2</v>
      </c>
      <c r="K351" s="2" t="s">
        <v>713</v>
      </c>
      <c r="L351" s="11" t="str">
        <f t="shared" si="6"/>
        <v>Ver Imagen</v>
      </c>
      <c r="M351" t="s">
        <v>15</v>
      </c>
    </row>
    <row r="352" spans="1:13" x14ac:dyDescent="0.25">
      <c r="A352">
        <v>351</v>
      </c>
      <c r="B352" t="s">
        <v>714</v>
      </c>
      <c r="C352" s="1">
        <v>37.216533704200003</v>
      </c>
      <c r="D352" s="1">
        <v>-7.0928948583600002</v>
      </c>
      <c r="E352" s="3">
        <v>2</v>
      </c>
      <c r="F352" s="2">
        <v>2</v>
      </c>
      <c r="G352" s="4">
        <v>2</v>
      </c>
      <c r="H352" s="13"/>
      <c r="I352" s="15"/>
      <c r="J352" s="19">
        <v>2</v>
      </c>
      <c r="K352" s="2" t="s">
        <v>715</v>
      </c>
      <c r="L352" s="11" t="str">
        <f t="shared" si="6"/>
        <v>Ver Imagen</v>
      </c>
      <c r="M352" t="s">
        <v>15</v>
      </c>
    </row>
    <row r="353" spans="1:13" x14ac:dyDescent="0.25">
      <c r="A353">
        <v>352</v>
      </c>
      <c r="B353" t="s">
        <v>716</v>
      </c>
      <c r="C353" s="1">
        <v>37.216018952399999</v>
      </c>
      <c r="D353" s="1">
        <v>-7.0868927910100004</v>
      </c>
      <c r="E353" s="3">
        <v>2</v>
      </c>
      <c r="F353" s="2">
        <v>2</v>
      </c>
      <c r="G353" s="4">
        <v>2</v>
      </c>
      <c r="H353" s="13"/>
      <c r="I353" s="15"/>
      <c r="J353" s="19">
        <v>2</v>
      </c>
      <c r="K353" s="2" t="s">
        <v>717</v>
      </c>
      <c r="L353" s="11" t="str">
        <f t="shared" si="6"/>
        <v>Ver Imagen</v>
      </c>
      <c r="M353" t="s">
        <v>15</v>
      </c>
    </row>
    <row r="354" spans="1:13" x14ac:dyDescent="0.25">
      <c r="A354">
        <v>353</v>
      </c>
      <c r="B354" t="s">
        <v>718</v>
      </c>
      <c r="C354" s="1">
        <v>37.216023117200002</v>
      </c>
      <c r="D354" s="1">
        <v>-7.0865985506499998</v>
      </c>
      <c r="E354" s="3">
        <v>2</v>
      </c>
      <c r="F354" s="2">
        <v>2</v>
      </c>
      <c r="G354" s="4">
        <v>2</v>
      </c>
      <c r="H354" s="13"/>
      <c r="I354" s="15"/>
      <c r="J354" s="19">
        <v>2</v>
      </c>
      <c r="K354" s="2" t="s">
        <v>719</v>
      </c>
      <c r="L354" s="11" t="str">
        <f t="shared" si="6"/>
        <v>Ver Imagen</v>
      </c>
      <c r="M354" t="s">
        <v>15</v>
      </c>
    </row>
    <row r="355" spans="1:13" x14ac:dyDescent="0.25">
      <c r="A355">
        <v>354</v>
      </c>
      <c r="B355" t="s">
        <v>720</v>
      </c>
      <c r="C355" s="1">
        <v>37.216053586599998</v>
      </c>
      <c r="D355" s="1">
        <v>-7.0861018208299997</v>
      </c>
      <c r="E355" s="3">
        <v>2</v>
      </c>
      <c r="F355" s="2">
        <v>2</v>
      </c>
      <c r="G355" s="4">
        <v>2</v>
      </c>
      <c r="H355" s="13"/>
      <c r="I355" s="15"/>
      <c r="J355" s="19">
        <v>2</v>
      </c>
      <c r="K355" s="2" t="s">
        <v>721</v>
      </c>
      <c r="L355" s="11" t="str">
        <f t="shared" si="6"/>
        <v>Ver Imagen</v>
      </c>
      <c r="M355" t="s">
        <v>15</v>
      </c>
    </row>
    <row r="356" spans="1:13" x14ac:dyDescent="0.25">
      <c r="A356">
        <v>355</v>
      </c>
      <c r="B356" t="s">
        <v>722</v>
      </c>
      <c r="C356" s="1">
        <v>37.216176683500002</v>
      </c>
      <c r="D356" s="1">
        <v>-7.0851342269600002</v>
      </c>
      <c r="E356" s="3">
        <v>2</v>
      </c>
      <c r="F356" s="2">
        <v>2</v>
      </c>
      <c r="G356" s="4">
        <v>2</v>
      </c>
      <c r="H356" s="13"/>
      <c r="I356" s="15"/>
      <c r="J356" s="19">
        <v>2</v>
      </c>
      <c r="K356" s="2" t="s">
        <v>723</v>
      </c>
      <c r="L356" s="11" t="str">
        <f t="shared" si="6"/>
        <v>Ver Imagen</v>
      </c>
      <c r="M356" t="s">
        <v>15</v>
      </c>
    </row>
    <row r="357" spans="1:13" x14ac:dyDescent="0.25">
      <c r="A357">
        <v>356</v>
      </c>
      <c r="B357" t="s">
        <v>724</v>
      </c>
      <c r="C357" s="1">
        <v>37.215594034399999</v>
      </c>
      <c r="D357" s="1">
        <v>-7.0817365175300004</v>
      </c>
      <c r="E357" s="3">
        <v>2</v>
      </c>
      <c r="F357" s="2">
        <v>2</v>
      </c>
      <c r="G357" s="4">
        <v>2</v>
      </c>
      <c r="H357" s="13"/>
      <c r="I357" s="15"/>
      <c r="J357" s="19">
        <v>2</v>
      </c>
      <c r="K357" s="2" t="s">
        <v>725</v>
      </c>
      <c r="L357" s="11" t="str">
        <f t="shared" si="6"/>
        <v>Ver Imagen</v>
      </c>
      <c r="M357" t="s">
        <v>15</v>
      </c>
    </row>
    <row r="358" spans="1:13" x14ac:dyDescent="0.25">
      <c r="A358">
        <v>357</v>
      </c>
      <c r="B358" t="s">
        <v>726</v>
      </c>
      <c r="C358" s="1">
        <v>37.2155234357</v>
      </c>
      <c r="D358" s="1">
        <v>-7.0814823176099999</v>
      </c>
      <c r="E358" s="3">
        <v>2</v>
      </c>
      <c r="F358" s="2">
        <v>2</v>
      </c>
      <c r="G358" s="4">
        <v>2</v>
      </c>
      <c r="H358" s="13"/>
      <c r="I358" s="15"/>
      <c r="J358" s="19">
        <v>2</v>
      </c>
      <c r="K358" s="2" t="s">
        <v>727</v>
      </c>
      <c r="L358" s="11" t="str">
        <f t="shared" si="6"/>
        <v>Ver Imagen</v>
      </c>
      <c r="M358" t="s">
        <v>15</v>
      </c>
    </row>
    <row r="359" spans="1:13" x14ac:dyDescent="0.25">
      <c r="A359">
        <v>358</v>
      </c>
      <c r="B359" t="s">
        <v>728</v>
      </c>
      <c r="C359" s="1">
        <v>37.2151881614</v>
      </c>
      <c r="D359" s="1">
        <v>-7.08032007</v>
      </c>
      <c r="E359" s="3">
        <v>2</v>
      </c>
      <c r="F359" s="2">
        <v>2</v>
      </c>
      <c r="G359" s="4">
        <v>2</v>
      </c>
      <c r="H359" s="13"/>
      <c r="I359" s="15"/>
      <c r="J359" s="19">
        <v>2</v>
      </c>
      <c r="K359" s="2" t="s">
        <v>729</v>
      </c>
      <c r="L359" s="11" t="str">
        <f t="shared" si="6"/>
        <v>Ver Imagen</v>
      </c>
      <c r="M359" t="s">
        <v>15</v>
      </c>
    </row>
    <row r="360" spans="1:13" x14ac:dyDescent="0.25">
      <c r="A360">
        <v>359</v>
      </c>
      <c r="B360" t="s">
        <v>730</v>
      </c>
      <c r="C360" s="1">
        <v>37.215111489500003</v>
      </c>
      <c r="D360" s="1">
        <v>-7.0800380680500004</v>
      </c>
      <c r="E360" s="3">
        <v>2</v>
      </c>
      <c r="F360" s="2">
        <v>2</v>
      </c>
      <c r="G360" s="4">
        <v>2</v>
      </c>
      <c r="H360" s="13"/>
      <c r="I360" s="15"/>
      <c r="J360" s="19">
        <v>2</v>
      </c>
      <c r="K360" s="2" t="s">
        <v>731</v>
      </c>
      <c r="L360" s="11" t="str">
        <f t="shared" si="6"/>
        <v>Ver Imagen</v>
      </c>
      <c r="M360" t="s">
        <v>15</v>
      </c>
    </row>
    <row r="361" spans="1:13" x14ac:dyDescent="0.25">
      <c r="A361">
        <v>360</v>
      </c>
      <c r="B361" t="s">
        <v>732</v>
      </c>
      <c r="C361" s="1">
        <v>37.215044392599999</v>
      </c>
      <c r="D361" s="1">
        <v>-7.0797783913599996</v>
      </c>
      <c r="E361" s="3">
        <v>2</v>
      </c>
      <c r="F361" s="2">
        <v>2</v>
      </c>
      <c r="G361" s="4">
        <v>2</v>
      </c>
      <c r="H361" s="13"/>
      <c r="I361" s="15"/>
      <c r="J361" s="19">
        <v>2</v>
      </c>
      <c r="K361" s="2" t="s">
        <v>733</v>
      </c>
      <c r="L361" s="11" t="str">
        <f t="shared" si="6"/>
        <v>Ver Imagen</v>
      </c>
      <c r="M361" t="s">
        <v>15</v>
      </c>
    </row>
    <row r="362" spans="1:13" x14ac:dyDescent="0.25">
      <c r="A362">
        <v>361</v>
      </c>
      <c r="B362" t="s">
        <v>734</v>
      </c>
      <c r="C362" s="1">
        <v>37.214992075600001</v>
      </c>
      <c r="D362" s="1">
        <v>-7.0795558380200001</v>
      </c>
      <c r="E362" s="3">
        <v>2</v>
      </c>
      <c r="F362" s="2">
        <v>2</v>
      </c>
      <c r="G362" s="4">
        <v>2</v>
      </c>
      <c r="H362" s="13"/>
      <c r="I362" s="15"/>
      <c r="J362" s="19">
        <v>2</v>
      </c>
      <c r="K362" s="2" t="s">
        <v>735</v>
      </c>
      <c r="L362" s="11" t="str">
        <f t="shared" si="6"/>
        <v>Ver Imagen</v>
      </c>
      <c r="M362" t="s">
        <v>15</v>
      </c>
    </row>
    <row r="363" spans="1:13" x14ac:dyDescent="0.25">
      <c r="A363">
        <v>362</v>
      </c>
      <c r="B363" t="s">
        <v>736</v>
      </c>
      <c r="C363" s="1">
        <v>37.213377728700003</v>
      </c>
      <c r="D363" s="1">
        <v>-7.0673679733499997</v>
      </c>
      <c r="E363" s="3">
        <v>2</v>
      </c>
      <c r="F363" s="2">
        <v>2</v>
      </c>
      <c r="G363" s="4">
        <v>2</v>
      </c>
      <c r="H363" s="13"/>
      <c r="I363" s="15"/>
      <c r="J363" s="19">
        <v>2</v>
      </c>
      <c r="K363" s="2" t="s">
        <v>737</v>
      </c>
      <c r="L363" s="11" t="str">
        <f t="shared" si="6"/>
        <v>Ver Imagen</v>
      </c>
      <c r="M363" t="s">
        <v>15</v>
      </c>
    </row>
    <row r="364" spans="1:13" x14ac:dyDescent="0.25">
      <c r="A364">
        <v>363</v>
      </c>
      <c r="B364" t="s">
        <v>738</v>
      </c>
      <c r="C364" s="1">
        <v>37.213357175500001</v>
      </c>
      <c r="D364" s="1">
        <v>-7.0668649817400002</v>
      </c>
      <c r="E364" s="3">
        <v>2</v>
      </c>
      <c r="F364" s="2">
        <v>2</v>
      </c>
      <c r="G364" s="4">
        <v>2</v>
      </c>
      <c r="H364" s="13"/>
      <c r="I364" s="15"/>
      <c r="J364" s="19">
        <v>2</v>
      </c>
      <c r="K364" s="2" t="s">
        <v>739</v>
      </c>
      <c r="L364" s="11" t="str">
        <f t="shared" si="6"/>
        <v>Ver Imagen</v>
      </c>
      <c r="M364" t="s">
        <v>15</v>
      </c>
    </row>
    <row r="365" spans="1:13" x14ac:dyDescent="0.25">
      <c r="A365">
        <v>364</v>
      </c>
      <c r="B365" t="s">
        <v>740</v>
      </c>
      <c r="C365" s="1">
        <v>37.213174875299998</v>
      </c>
      <c r="D365" s="1">
        <v>-7.06267194525</v>
      </c>
      <c r="E365" s="3">
        <v>2</v>
      </c>
      <c r="F365" s="2">
        <v>2</v>
      </c>
      <c r="G365" s="4">
        <v>2</v>
      </c>
      <c r="H365" s="13"/>
      <c r="I365" s="15"/>
      <c r="J365" s="19">
        <v>2</v>
      </c>
      <c r="K365" s="2" t="s">
        <v>741</v>
      </c>
      <c r="L365" s="11" t="str">
        <f t="shared" si="6"/>
        <v>Ver Imagen</v>
      </c>
      <c r="M365" t="s">
        <v>15</v>
      </c>
    </row>
    <row r="366" spans="1:13" x14ac:dyDescent="0.25">
      <c r="A366">
        <v>365</v>
      </c>
      <c r="B366" t="s">
        <v>742</v>
      </c>
      <c r="C366" s="1">
        <v>37.212894662899998</v>
      </c>
      <c r="D366" s="1">
        <v>-7.0614613909699999</v>
      </c>
      <c r="E366" s="3">
        <v>2</v>
      </c>
      <c r="F366" s="2">
        <v>2</v>
      </c>
      <c r="G366" s="4">
        <v>2</v>
      </c>
      <c r="H366" s="13"/>
      <c r="I366" s="15"/>
      <c r="J366" s="19">
        <v>2</v>
      </c>
      <c r="K366" s="2" t="s">
        <v>743</v>
      </c>
      <c r="L366" s="11" t="str">
        <f t="shared" si="6"/>
        <v>Ver Imagen</v>
      </c>
      <c r="M366" t="s">
        <v>15</v>
      </c>
    </row>
    <row r="367" spans="1:13" x14ac:dyDescent="0.25">
      <c r="A367">
        <v>366</v>
      </c>
      <c r="B367" t="s">
        <v>744</v>
      </c>
      <c r="C367" s="1">
        <v>37.212627033899999</v>
      </c>
      <c r="D367" s="1">
        <v>-7.0607243407400002</v>
      </c>
      <c r="E367" s="3">
        <v>2</v>
      </c>
      <c r="F367" s="2">
        <v>2</v>
      </c>
      <c r="G367" s="4">
        <v>2</v>
      </c>
      <c r="H367" s="13"/>
      <c r="I367" s="15"/>
      <c r="J367" s="19">
        <v>2</v>
      </c>
      <c r="K367" s="2" t="s">
        <v>745</v>
      </c>
      <c r="L367" s="11" t="str">
        <f t="shared" si="6"/>
        <v>Ver Imagen</v>
      </c>
      <c r="M367" t="s">
        <v>15</v>
      </c>
    </row>
    <row r="368" spans="1:13" x14ac:dyDescent="0.25">
      <c r="A368">
        <v>367</v>
      </c>
      <c r="B368" t="s">
        <v>746</v>
      </c>
      <c r="C368" s="1">
        <v>37.212379371799997</v>
      </c>
      <c r="D368" s="1">
        <v>-7.0600590745199998</v>
      </c>
      <c r="E368" s="3">
        <v>2</v>
      </c>
      <c r="F368" s="2">
        <v>2</v>
      </c>
      <c r="G368" s="4">
        <v>2</v>
      </c>
      <c r="H368" s="13"/>
      <c r="I368" s="15"/>
      <c r="J368" s="19">
        <v>2</v>
      </c>
      <c r="K368" s="2" t="s">
        <v>747</v>
      </c>
      <c r="L368" s="11" t="str">
        <f t="shared" si="6"/>
        <v>Ver Imagen</v>
      </c>
      <c r="M368" t="s">
        <v>15</v>
      </c>
    </row>
    <row r="369" spans="1:13" x14ac:dyDescent="0.25">
      <c r="A369">
        <v>368</v>
      </c>
      <c r="B369" t="s">
        <v>748</v>
      </c>
      <c r="C369" s="1">
        <v>37.212123526900001</v>
      </c>
      <c r="D369" s="1">
        <v>-7.0593756262099996</v>
      </c>
      <c r="E369" s="3">
        <v>2</v>
      </c>
      <c r="F369" s="2">
        <v>2</v>
      </c>
      <c r="G369" s="4">
        <v>2</v>
      </c>
      <c r="H369" s="13"/>
      <c r="I369" s="15"/>
      <c r="J369" s="19">
        <v>2</v>
      </c>
      <c r="K369" s="2" t="s">
        <v>749</v>
      </c>
      <c r="L369" s="11" t="str">
        <f t="shared" si="6"/>
        <v>Ver Imagen</v>
      </c>
      <c r="M369" t="s">
        <v>15</v>
      </c>
    </row>
    <row r="370" spans="1:13" x14ac:dyDescent="0.25">
      <c r="A370">
        <v>369</v>
      </c>
      <c r="B370" t="s">
        <v>750</v>
      </c>
      <c r="C370" s="1">
        <v>37.211250038700001</v>
      </c>
      <c r="D370" s="1">
        <v>-7.0562774511599997</v>
      </c>
      <c r="E370" s="3">
        <v>2</v>
      </c>
      <c r="F370" s="2">
        <v>2</v>
      </c>
      <c r="G370" s="4">
        <v>2</v>
      </c>
      <c r="H370" s="13"/>
      <c r="I370" s="15"/>
      <c r="J370" s="19">
        <v>2</v>
      </c>
      <c r="K370" s="2" t="s">
        <v>751</v>
      </c>
      <c r="L370" s="11" t="str">
        <f t="shared" si="6"/>
        <v>Ver Imagen</v>
      </c>
      <c r="M370" t="s">
        <v>15</v>
      </c>
    </row>
    <row r="371" spans="1:13" x14ac:dyDescent="0.25">
      <c r="A371">
        <v>370</v>
      </c>
      <c r="B371" t="s">
        <v>752</v>
      </c>
      <c r="C371" s="1">
        <v>37.211191956299999</v>
      </c>
      <c r="D371" s="1">
        <v>-7.0557783950999999</v>
      </c>
      <c r="E371" s="3">
        <v>2</v>
      </c>
      <c r="F371" s="2">
        <v>2</v>
      </c>
      <c r="G371" s="4">
        <v>2</v>
      </c>
      <c r="H371" s="13"/>
      <c r="I371" s="15"/>
      <c r="J371" s="19">
        <v>2</v>
      </c>
      <c r="K371" s="2" t="s">
        <v>753</v>
      </c>
      <c r="L371" s="11" t="str">
        <f t="shared" si="6"/>
        <v>Ver Imagen</v>
      </c>
      <c r="M371" t="s">
        <v>15</v>
      </c>
    </row>
    <row r="372" spans="1:13" x14ac:dyDescent="0.25">
      <c r="A372">
        <v>371</v>
      </c>
      <c r="B372" t="s">
        <v>754</v>
      </c>
      <c r="C372" s="1">
        <v>37.210954485800002</v>
      </c>
      <c r="D372" s="1">
        <v>-7.0540240976600002</v>
      </c>
      <c r="E372" s="3">
        <v>2</v>
      </c>
      <c r="F372" s="2">
        <v>2</v>
      </c>
      <c r="G372" s="4">
        <v>2</v>
      </c>
      <c r="H372" s="13"/>
      <c r="I372" s="15"/>
      <c r="J372" s="19">
        <v>2</v>
      </c>
      <c r="K372" s="2" t="s">
        <v>755</v>
      </c>
      <c r="L372" s="11" t="str">
        <f t="shared" si="6"/>
        <v>Ver Imagen</v>
      </c>
      <c r="M372" t="s">
        <v>15</v>
      </c>
    </row>
    <row r="373" spans="1:13" x14ac:dyDescent="0.25">
      <c r="A373">
        <v>372</v>
      </c>
      <c r="B373" t="s">
        <v>756</v>
      </c>
      <c r="C373" s="1">
        <v>37.210935818700001</v>
      </c>
      <c r="D373" s="1">
        <v>-7.0510416111199996</v>
      </c>
      <c r="E373" s="3">
        <v>2</v>
      </c>
      <c r="F373" s="2">
        <v>2</v>
      </c>
      <c r="G373" s="4">
        <v>2</v>
      </c>
      <c r="H373" s="13"/>
      <c r="I373" s="15"/>
      <c r="J373" s="19">
        <v>2</v>
      </c>
      <c r="K373" s="2" t="s">
        <v>757</v>
      </c>
      <c r="L373" s="11" t="str">
        <f t="shared" si="6"/>
        <v>Ver Imagen</v>
      </c>
      <c r="M373" t="s">
        <v>15</v>
      </c>
    </row>
    <row r="374" spans="1:13" x14ac:dyDescent="0.25">
      <c r="A374">
        <v>373</v>
      </c>
      <c r="B374" t="s">
        <v>758</v>
      </c>
      <c r="C374" s="1">
        <v>37.211000702</v>
      </c>
      <c r="D374" s="1">
        <v>-7.05082896519</v>
      </c>
      <c r="E374" s="3">
        <v>2</v>
      </c>
      <c r="F374" s="2">
        <v>2</v>
      </c>
      <c r="G374" s="4">
        <v>2</v>
      </c>
      <c r="H374" s="13"/>
      <c r="I374" s="15"/>
      <c r="J374" s="19">
        <v>2</v>
      </c>
      <c r="K374" s="2" t="s">
        <v>759</v>
      </c>
      <c r="L374" s="11" t="str">
        <f t="shared" si="6"/>
        <v>Ver Imagen</v>
      </c>
      <c r="M374" t="s">
        <v>15</v>
      </c>
    </row>
    <row r="375" spans="1:13" x14ac:dyDescent="0.25">
      <c r="A375">
        <v>374</v>
      </c>
      <c r="B375" t="s">
        <v>760</v>
      </c>
      <c r="C375" s="1">
        <v>37.211500042600001</v>
      </c>
      <c r="D375" s="1">
        <v>-7.0496974656900004</v>
      </c>
      <c r="E375" s="3">
        <v>2</v>
      </c>
      <c r="F375" s="2">
        <v>2</v>
      </c>
      <c r="G375" s="4">
        <v>2</v>
      </c>
      <c r="H375" s="13"/>
      <c r="I375" s="15"/>
      <c r="J375" s="19">
        <v>2</v>
      </c>
      <c r="K375" s="2" t="s">
        <v>761</v>
      </c>
      <c r="L375" s="11" t="str">
        <f t="shared" si="6"/>
        <v>Ver Imagen</v>
      </c>
      <c r="M375" t="s">
        <v>15</v>
      </c>
    </row>
    <row r="376" spans="1:13" x14ac:dyDescent="0.25">
      <c r="A376">
        <v>375</v>
      </c>
      <c r="B376" t="s">
        <v>762</v>
      </c>
      <c r="C376" s="1">
        <v>37.2115754744</v>
      </c>
      <c r="D376" s="1">
        <v>-7.0494779672799996</v>
      </c>
      <c r="E376" s="3">
        <v>2</v>
      </c>
      <c r="F376" s="2">
        <v>2</v>
      </c>
      <c r="G376" s="4">
        <v>2</v>
      </c>
      <c r="H376" s="13"/>
      <c r="I376" s="15"/>
      <c r="J376" s="19">
        <v>2</v>
      </c>
      <c r="K376" s="2" t="s">
        <v>763</v>
      </c>
      <c r="L376" s="11" t="str">
        <f t="shared" si="6"/>
        <v>Ver Imagen</v>
      </c>
      <c r="M376" t="s">
        <v>15</v>
      </c>
    </row>
    <row r="377" spans="1:13" x14ac:dyDescent="0.25">
      <c r="A377">
        <v>376</v>
      </c>
      <c r="B377" t="s">
        <v>764</v>
      </c>
      <c r="C377" s="1">
        <v>37.211648703999998</v>
      </c>
      <c r="D377" s="1">
        <v>-7.0492142588100002</v>
      </c>
      <c r="E377" s="3">
        <v>2</v>
      </c>
      <c r="F377" s="2">
        <v>2</v>
      </c>
      <c r="G377" s="4">
        <v>2</v>
      </c>
      <c r="H377" s="13"/>
      <c r="I377" s="15"/>
      <c r="J377" s="19">
        <v>2</v>
      </c>
      <c r="K377" s="2" t="s">
        <v>765</v>
      </c>
      <c r="L377" s="11" t="str">
        <f t="shared" si="6"/>
        <v>Ver Imagen</v>
      </c>
      <c r="M377" t="s">
        <v>15</v>
      </c>
    </row>
    <row r="378" spans="1:13" x14ac:dyDescent="0.25">
      <c r="A378">
        <v>377</v>
      </c>
      <c r="B378" t="s">
        <v>766</v>
      </c>
      <c r="C378" s="1">
        <v>37.211656933900002</v>
      </c>
      <c r="D378" s="1">
        <v>-7.0472289759700004</v>
      </c>
      <c r="E378" s="3">
        <v>2</v>
      </c>
      <c r="F378" s="2">
        <v>2</v>
      </c>
      <c r="G378" s="4">
        <v>2</v>
      </c>
      <c r="H378" s="13"/>
      <c r="I378" s="15"/>
      <c r="J378" s="19">
        <v>2</v>
      </c>
      <c r="K378" s="2" t="s">
        <v>767</v>
      </c>
      <c r="L378" s="11" t="str">
        <f t="shared" si="6"/>
        <v>Ver Imagen</v>
      </c>
      <c r="M378" t="s">
        <v>15</v>
      </c>
    </row>
    <row r="379" spans="1:13" x14ac:dyDescent="0.25">
      <c r="A379">
        <v>378</v>
      </c>
      <c r="B379" t="s">
        <v>768</v>
      </c>
      <c r="C379" s="1">
        <v>37.211520651000001</v>
      </c>
      <c r="D379" s="1">
        <v>-7.0465041836999998</v>
      </c>
      <c r="E379" s="3">
        <v>2</v>
      </c>
      <c r="F379" s="2">
        <v>2</v>
      </c>
      <c r="G379" s="4">
        <v>2</v>
      </c>
      <c r="H379" s="13"/>
      <c r="I379" s="15"/>
      <c r="J379" s="19">
        <v>2</v>
      </c>
      <c r="K379" s="2" t="s">
        <v>769</v>
      </c>
      <c r="L379" s="11" t="str">
        <f t="shared" si="6"/>
        <v>Ver Imagen</v>
      </c>
      <c r="M379" t="s">
        <v>15</v>
      </c>
    </row>
    <row r="380" spans="1:13" x14ac:dyDescent="0.25">
      <c r="A380">
        <v>379</v>
      </c>
      <c r="B380" t="s">
        <v>770</v>
      </c>
      <c r="C380" s="1">
        <v>37.210781011900004</v>
      </c>
      <c r="D380" s="1">
        <v>-7.0438400084000001</v>
      </c>
      <c r="E380" s="3">
        <v>2</v>
      </c>
      <c r="F380" s="2">
        <v>2</v>
      </c>
      <c r="G380" s="4">
        <v>2</v>
      </c>
      <c r="H380" s="13"/>
      <c r="I380" s="15"/>
      <c r="J380" s="19">
        <v>2</v>
      </c>
      <c r="K380" s="2" t="s">
        <v>771</v>
      </c>
      <c r="L380" s="11" t="str">
        <f t="shared" si="6"/>
        <v>Ver Imagen</v>
      </c>
      <c r="M380" t="s">
        <v>15</v>
      </c>
    </row>
    <row r="381" spans="1:13" x14ac:dyDescent="0.25">
      <c r="A381">
        <v>380</v>
      </c>
      <c r="B381" t="s">
        <v>772</v>
      </c>
      <c r="C381" s="1">
        <v>37.210187690399998</v>
      </c>
      <c r="D381" s="1">
        <v>-7.0422466466899998</v>
      </c>
      <c r="E381" s="3">
        <v>2</v>
      </c>
      <c r="F381" s="2">
        <v>2</v>
      </c>
      <c r="G381" s="4">
        <v>2</v>
      </c>
      <c r="H381" s="13"/>
      <c r="I381" s="15"/>
      <c r="J381" s="19">
        <v>2</v>
      </c>
      <c r="K381" s="2" t="s">
        <v>773</v>
      </c>
      <c r="L381" s="11" t="str">
        <f t="shared" si="6"/>
        <v>Ver Imagen</v>
      </c>
      <c r="M381" t="s">
        <v>15</v>
      </c>
    </row>
    <row r="382" spans="1:13" x14ac:dyDescent="0.25">
      <c r="A382">
        <v>381</v>
      </c>
      <c r="B382" t="s">
        <v>774</v>
      </c>
      <c r="C382" s="1">
        <v>37.209853895999998</v>
      </c>
      <c r="D382" s="1">
        <v>-7.0413470197899999</v>
      </c>
      <c r="E382" s="3">
        <v>2</v>
      </c>
      <c r="F382" s="2">
        <v>2</v>
      </c>
      <c r="G382" s="4">
        <v>2</v>
      </c>
      <c r="H382" s="13"/>
      <c r="I382" s="15"/>
      <c r="J382" s="19">
        <v>2</v>
      </c>
      <c r="K382" s="2" t="s">
        <v>775</v>
      </c>
      <c r="L382" s="11" t="str">
        <f t="shared" si="6"/>
        <v>Ver Imagen</v>
      </c>
      <c r="M382" t="s">
        <v>15</v>
      </c>
    </row>
    <row r="383" spans="1:13" x14ac:dyDescent="0.25">
      <c r="A383">
        <v>382</v>
      </c>
      <c r="B383" t="s">
        <v>776</v>
      </c>
      <c r="C383" s="1">
        <v>37.209677966599997</v>
      </c>
      <c r="D383" s="1">
        <v>-7.04088586639</v>
      </c>
      <c r="E383" s="3">
        <v>2</v>
      </c>
      <c r="F383" s="2">
        <v>2</v>
      </c>
      <c r="G383" s="4">
        <v>2</v>
      </c>
      <c r="H383" s="13"/>
      <c r="I383" s="15"/>
      <c r="J383" s="19">
        <v>2</v>
      </c>
      <c r="K383" s="2" t="s">
        <v>777</v>
      </c>
      <c r="L383" s="11" t="str">
        <f t="shared" si="6"/>
        <v>Ver Imagen</v>
      </c>
      <c r="M383" t="s">
        <v>15</v>
      </c>
    </row>
    <row r="384" spans="1:13" x14ac:dyDescent="0.25">
      <c r="A384">
        <v>383</v>
      </c>
      <c r="B384" t="s">
        <v>778</v>
      </c>
      <c r="C384" s="1">
        <v>37.209524459400001</v>
      </c>
      <c r="D384" s="1">
        <v>-7.0404739142399997</v>
      </c>
      <c r="E384" s="3">
        <v>2</v>
      </c>
      <c r="F384" s="2">
        <v>2</v>
      </c>
      <c r="G384" s="4">
        <v>2</v>
      </c>
      <c r="H384" s="13"/>
      <c r="I384" s="15"/>
      <c r="J384" s="19">
        <v>2</v>
      </c>
      <c r="K384" s="2" t="s">
        <v>779</v>
      </c>
      <c r="L384" s="11" t="str">
        <f t="shared" si="6"/>
        <v>Ver Imagen</v>
      </c>
      <c r="M384" t="s">
        <v>15</v>
      </c>
    </row>
    <row r="385" spans="1:13" x14ac:dyDescent="0.25">
      <c r="A385">
        <v>384</v>
      </c>
      <c r="B385" t="s">
        <v>780</v>
      </c>
      <c r="C385" s="1">
        <v>37.203110670000001</v>
      </c>
      <c r="D385" s="1">
        <v>-7.0238100174699998</v>
      </c>
      <c r="E385" s="3">
        <v>2</v>
      </c>
      <c r="F385" s="2">
        <v>2</v>
      </c>
      <c r="G385" s="4">
        <v>2</v>
      </c>
      <c r="H385" s="13"/>
      <c r="I385" s="15"/>
      <c r="J385" s="19">
        <v>2</v>
      </c>
      <c r="K385" s="2" t="s">
        <v>781</v>
      </c>
      <c r="L385" s="11" t="str">
        <f t="shared" si="6"/>
        <v>Ver Imagen</v>
      </c>
      <c r="M385" t="s">
        <v>15</v>
      </c>
    </row>
    <row r="386" spans="1:13" x14ac:dyDescent="0.25">
      <c r="A386">
        <v>385</v>
      </c>
      <c r="B386" t="s">
        <v>782</v>
      </c>
      <c r="C386" s="1">
        <v>37.199875330300003</v>
      </c>
      <c r="D386" s="1">
        <v>-7.0153619321900003</v>
      </c>
      <c r="E386" s="3">
        <v>2</v>
      </c>
      <c r="F386" s="2">
        <v>2</v>
      </c>
      <c r="G386" s="4">
        <v>2</v>
      </c>
      <c r="H386" s="13"/>
      <c r="I386" s="15"/>
      <c r="J386" s="19">
        <v>2</v>
      </c>
      <c r="K386" s="2" t="s">
        <v>783</v>
      </c>
      <c r="L386" s="11" t="str">
        <f t="shared" si="6"/>
        <v>Ver Imagen</v>
      </c>
      <c r="M386" t="s">
        <v>15</v>
      </c>
    </row>
    <row r="387" spans="1:13" x14ac:dyDescent="0.25">
      <c r="A387">
        <v>386</v>
      </c>
      <c r="B387" t="s">
        <v>784</v>
      </c>
      <c r="C387" s="1">
        <v>37.198823034100002</v>
      </c>
      <c r="D387" s="1">
        <v>-7.0126249591200001</v>
      </c>
      <c r="E387" s="3">
        <v>2</v>
      </c>
      <c r="F387" s="2">
        <v>2</v>
      </c>
      <c r="G387" s="4">
        <v>2</v>
      </c>
      <c r="H387" s="13"/>
      <c r="I387" s="15"/>
      <c r="J387" s="19">
        <v>2</v>
      </c>
      <c r="K387" s="2" t="s">
        <v>785</v>
      </c>
      <c r="L387" s="11" t="str">
        <f t="shared" si="6"/>
        <v>Ver Imagen</v>
      </c>
      <c r="M387" t="s">
        <v>15</v>
      </c>
    </row>
    <row r="388" spans="1:13" x14ac:dyDescent="0.25">
      <c r="A388">
        <v>387</v>
      </c>
      <c r="B388" t="s">
        <v>786</v>
      </c>
      <c r="C388" s="1">
        <v>37.198737502999997</v>
      </c>
      <c r="D388" s="1">
        <v>-7.0124110669000004</v>
      </c>
      <c r="E388" s="3">
        <v>2</v>
      </c>
      <c r="F388" s="2">
        <v>2</v>
      </c>
      <c r="G388" s="4">
        <v>2</v>
      </c>
      <c r="H388" s="13"/>
      <c r="I388" s="15"/>
      <c r="J388" s="19">
        <v>2</v>
      </c>
      <c r="K388" s="2" t="s">
        <v>787</v>
      </c>
      <c r="L388" s="11" t="str">
        <f t="shared" si="6"/>
        <v>Ver Imagen</v>
      </c>
      <c r="M388" t="s">
        <v>15</v>
      </c>
    </row>
    <row r="389" spans="1:13" x14ac:dyDescent="0.25">
      <c r="A389">
        <v>388</v>
      </c>
      <c r="B389" t="s">
        <v>788</v>
      </c>
      <c r="C389" s="1">
        <v>37.198557957200002</v>
      </c>
      <c r="D389" s="1">
        <v>-7.0119491098499998</v>
      </c>
      <c r="E389" s="3">
        <v>2</v>
      </c>
      <c r="F389" s="2">
        <v>2</v>
      </c>
      <c r="G389" s="4">
        <v>2</v>
      </c>
      <c r="H389" s="13"/>
      <c r="I389" s="15"/>
      <c r="J389" s="19">
        <v>2</v>
      </c>
      <c r="K389" s="2" t="s">
        <v>789</v>
      </c>
      <c r="L389" s="11" t="str">
        <f t="shared" si="6"/>
        <v>Ver Imagen</v>
      </c>
      <c r="M389" t="s">
        <v>15</v>
      </c>
    </row>
    <row r="390" spans="1:13" x14ac:dyDescent="0.25">
      <c r="A390">
        <v>389</v>
      </c>
      <c r="B390" t="s">
        <v>790</v>
      </c>
      <c r="C390" s="1">
        <v>37.198469084400003</v>
      </c>
      <c r="D390" s="1">
        <v>-7.0117180403699999</v>
      </c>
      <c r="E390" s="3">
        <v>2</v>
      </c>
      <c r="F390" s="2">
        <v>2</v>
      </c>
      <c r="G390" s="4">
        <v>2</v>
      </c>
      <c r="H390" s="13"/>
      <c r="I390" s="15"/>
      <c r="J390" s="19">
        <v>2</v>
      </c>
      <c r="K390" s="2" t="s">
        <v>791</v>
      </c>
      <c r="L390" s="11" t="str">
        <f t="shared" si="6"/>
        <v>Ver Imagen</v>
      </c>
      <c r="M390" t="s">
        <v>15</v>
      </c>
    </row>
    <row r="391" spans="1:13" x14ac:dyDescent="0.25">
      <c r="A391">
        <v>390</v>
      </c>
      <c r="B391" t="s">
        <v>792</v>
      </c>
      <c r="C391" s="1">
        <v>37.198106535900003</v>
      </c>
      <c r="D391" s="1">
        <v>-7.0107820946999997</v>
      </c>
      <c r="E391" s="3">
        <v>2</v>
      </c>
      <c r="F391" s="2">
        <v>2</v>
      </c>
      <c r="G391" s="4">
        <v>2</v>
      </c>
      <c r="H391" s="13"/>
      <c r="I391" s="15"/>
      <c r="J391" s="19">
        <v>2</v>
      </c>
      <c r="K391" s="2" t="s">
        <v>793</v>
      </c>
      <c r="L391" s="11" t="str">
        <f t="shared" si="6"/>
        <v>Ver Imagen</v>
      </c>
      <c r="M391" t="s">
        <v>15</v>
      </c>
    </row>
    <row r="392" spans="1:13" x14ac:dyDescent="0.25">
      <c r="A392">
        <v>391</v>
      </c>
      <c r="B392" t="s">
        <v>794</v>
      </c>
      <c r="C392" s="1">
        <v>37.197682824099999</v>
      </c>
      <c r="D392" s="1">
        <v>-7.0096865636099999</v>
      </c>
      <c r="E392" s="3">
        <v>2</v>
      </c>
      <c r="F392" s="2">
        <v>2</v>
      </c>
      <c r="G392" s="4">
        <v>2</v>
      </c>
      <c r="H392" s="13"/>
      <c r="I392" s="15"/>
      <c r="J392" s="19">
        <v>2</v>
      </c>
      <c r="K392" s="2" t="s">
        <v>795</v>
      </c>
      <c r="L392" s="11" t="str">
        <f t="shared" si="6"/>
        <v>Ver Imagen</v>
      </c>
      <c r="M392" t="s">
        <v>15</v>
      </c>
    </row>
    <row r="393" spans="1:13" x14ac:dyDescent="0.25">
      <c r="A393">
        <v>392</v>
      </c>
      <c r="B393" t="s">
        <v>796</v>
      </c>
      <c r="C393" s="1">
        <v>37.197505703899999</v>
      </c>
      <c r="D393" s="1">
        <v>-7.0091928486999997</v>
      </c>
      <c r="E393" s="3">
        <v>2</v>
      </c>
      <c r="F393" s="2">
        <v>2</v>
      </c>
      <c r="G393" s="4">
        <v>2</v>
      </c>
      <c r="H393" s="13"/>
      <c r="I393" s="15"/>
      <c r="J393" s="19">
        <v>2</v>
      </c>
      <c r="K393" s="2" t="s">
        <v>797</v>
      </c>
      <c r="L393" s="11" t="str">
        <f t="shared" ref="L393:L456" si="7">HYPERLINK("2\0\" &amp; K393, "Ver Imagen")</f>
        <v>Ver Imagen</v>
      </c>
      <c r="M393" t="s">
        <v>15</v>
      </c>
    </row>
    <row r="394" spans="1:13" x14ac:dyDescent="0.25">
      <c r="A394">
        <v>393</v>
      </c>
      <c r="B394" t="s">
        <v>798</v>
      </c>
      <c r="C394" s="1">
        <v>37.197278734299999</v>
      </c>
      <c r="D394" s="1">
        <v>-7.0077203693400003</v>
      </c>
      <c r="E394" s="3">
        <v>2</v>
      </c>
      <c r="F394" s="2">
        <v>2</v>
      </c>
      <c r="G394" s="4">
        <v>2</v>
      </c>
      <c r="H394" s="13"/>
      <c r="I394" s="15"/>
      <c r="J394" s="19">
        <v>2</v>
      </c>
      <c r="K394" s="2" t="s">
        <v>799</v>
      </c>
      <c r="L394" s="11" t="str">
        <f t="shared" si="7"/>
        <v>Ver Imagen</v>
      </c>
      <c r="M394" t="s">
        <v>15</v>
      </c>
    </row>
    <row r="395" spans="1:13" x14ac:dyDescent="0.25">
      <c r="A395">
        <v>394</v>
      </c>
      <c r="B395" t="s">
        <v>800</v>
      </c>
      <c r="C395" s="1">
        <v>37.197255701000003</v>
      </c>
      <c r="D395" s="1">
        <v>-7.0074589351399998</v>
      </c>
      <c r="E395" s="3">
        <v>2</v>
      </c>
      <c r="F395" s="2">
        <v>2</v>
      </c>
      <c r="G395" s="4">
        <v>2</v>
      </c>
      <c r="H395" s="13"/>
      <c r="I395" s="15"/>
      <c r="J395" s="19">
        <v>2</v>
      </c>
      <c r="K395" s="2" t="s">
        <v>801</v>
      </c>
      <c r="L395" s="11" t="str">
        <f t="shared" si="7"/>
        <v>Ver Imagen</v>
      </c>
      <c r="M395" t="s">
        <v>15</v>
      </c>
    </row>
    <row r="396" spans="1:13" x14ac:dyDescent="0.25">
      <c r="A396">
        <v>395</v>
      </c>
      <c r="B396" t="s">
        <v>802</v>
      </c>
      <c r="C396" s="1">
        <v>37.197232106400001</v>
      </c>
      <c r="D396" s="1">
        <v>-7.0072103983399998</v>
      </c>
      <c r="E396" s="3">
        <v>2</v>
      </c>
      <c r="F396" s="2">
        <v>2</v>
      </c>
      <c r="G396" s="4">
        <v>2</v>
      </c>
      <c r="H396" s="13"/>
      <c r="I396" s="15"/>
      <c r="J396" s="19">
        <v>2</v>
      </c>
      <c r="K396" s="2" t="s">
        <v>803</v>
      </c>
      <c r="L396" s="11" t="str">
        <f t="shared" si="7"/>
        <v>Ver Imagen</v>
      </c>
      <c r="M396" t="s">
        <v>15</v>
      </c>
    </row>
    <row r="397" spans="1:13" x14ac:dyDescent="0.25">
      <c r="A397">
        <v>396</v>
      </c>
      <c r="B397" t="s">
        <v>804</v>
      </c>
      <c r="C397" s="1">
        <v>37.197104962399997</v>
      </c>
      <c r="D397" s="1">
        <v>-7.0062375364699996</v>
      </c>
      <c r="E397" s="3">
        <v>2</v>
      </c>
      <c r="F397" s="2">
        <v>2</v>
      </c>
      <c r="G397" s="4">
        <v>2</v>
      </c>
      <c r="H397" s="13"/>
      <c r="I397" s="15"/>
      <c r="J397" s="19">
        <v>2</v>
      </c>
      <c r="K397" s="2" t="s">
        <v>805</v>
      </c>
      <c r="L397" s="11" t="str">
        <f t="shared" si="7"/>
        <v>Ver Imagen</v>
      </c>
      <c r="M397" t="s">
        <v>15</v>
      </c>
    </row>
    <row r="398" spans="1:13" x14ac:dyDescent="0.25">
      <c r="A398">
        <v>397</v>
      </c>
      <c r="B398" t="s">
        <v>806</v>
      </c>
      <c r="C398" s="1">
        <v>37.287460276799997</v>
      </c>
      <c r="D398" s="1">
        <v>-7.1412103809799996</v>
      </c>
      <c r="E398" s="3">
        <v>2</v>
      </c>
      <c r="F398" s="2">
        <v>2</v>
      </c>
      <c r="G398" s="4">
        <v>2</v>
      </c>
      <c r="H398" s="13"/>
      <c r="I398" s="15"/>
      <c r="J398" s="19">
        <v>2</v>
      </c>
      <c r="K398" s="2" t="s">
        <v>807</v>
      </c>
      <c r="L398" s="11" t="str">
        <f t="shared" si="7"/>
        <v>Ver Imagen</v>
      </c>
      <c r="M398" t="s">
        <v>15</v>
      </c>
    </row>
    <row r="399" spans="1:13" x14ac:dyDescent="0.25">
      <c r="A399">
        <v>398</v>
      </c>
      <c r="B399" t="s">
        <v>808</v>
      </c>
      <c r="C399" s="1">
        <v>37.2872598744</v>
      </c>
      <c r="D399" s="1">
        <v>-7.1412227022200003</v>
      </c>
      <c r="E399" s="3">
        <v>2</v>
      </c>
      <c r="F399" s="2">
        <v>2</v>
      </c>
      <c r="G399" s="4">
        <v>2</v>
      </c>
      <c r="H399" s="13"/>
      <c r="I399" s="15"/>
      <c r="J399" s="19">
        <v>2</v>
      </c>
      <c r="K399" s="2" t="s">
        <v>809</v>
      </c>
      <c r="L399" s="11" t="str">
        <f t="shared" si="7"/>
        <v>Ver Imagen</v>
      </c>
      <c r="M399" t="s">
        <v>15</v>
      </c>
    </row>
    <row r="400" spans="1:13" x14ac:dyDescent="0.25">
      <c r="A400">
        <v>399</v>
      </c>
      <c r="B400" t="s">
        <v>810</v>
      </c>
      <c r="C400" s="1">
        <v>37.286854460400001</v>
      </c>
      <c r="D400" s="1">
        <v>-7.14132494453</v>
      </c>
      <c r="E400" s="3">
        <v>2</v>
      </c>
      <c r="F400" s="2">
        <v>2</v>
      </c>
      <c r="G400" s="4">
        <v>2</v>
      </c>
      <c r="H400" s="13"/>
      <c r="I400" s="15"/>
      <c r="J400" s="19">
        <v>2</v>
      </c>
      <c r="K400" s="2" t="s">
        <v>811</v>
      </c>
      <c r="L400" s="11" t="str">
        <f t="shared" si="7"/>
        <v>Ver Imagen</v>
      </c>
      <c r="M400" t="s">
        <v>15</v>
      </c>
    </row>
    <row r="401" spans="1:13" x14ac:dyDescent="0.25">
      <c r="A401">
        <v>400</v>
      </c>
      <c r="B401" t="s">
        <v>812</v>
      </c>
      <c r="C401" s="1">
        <v>37.286496462499997</v>
      </c>
      <c r="D401" s="1">
        <v>-7.1414963347800002</v>
      </c>
      <c r="E401" s="3">
        <v>2</v>
      </c>
      <c r="F401" s="2">
        <v>2</v>
      </c>
      <c r="G401" s="4">
        <v>2</v>
      </c>
      <c r="H401" s="13"/>
      <c r="I401" s="15"/>
      <c r="J401" s="19">
        <v>2</v>
      </c>
      <c r="K401" s="2" t="s">
        <v>813</v>
      </c>
      <c r="L401" s="11" t="str">
        <f t="shared" si="7"/>
        <v>Ver Imagen</v>
      </c>
      <c r="M401" t="s">
        <v>15</v>
      </c>
    </row>
    <row r="402" spans="1:13" x14ac:dyDescent="0.25">
      <c r="A402">
        <v>401</v>
      </c>
      <c r="B402" t="s">
        <v>814</v>
      </c>
      <c r="C402" s="1">
        <v>37.284373527100001</v>
      </c>
      <c r="D402" s="1">
        <v>-7.1432089563599996</v>
      </c>
      <c r="E402" s="3">
        <v>2</v>
      </c>
      <c r="F402" s="2">
        <v>2</v>
      </c>
      <c r="G402" s="4">
        <v>2</v>
      </c>
      <c r="H402" s="13"/>
      <c r="I402" s="15"/>
      <c r="J402" s="19">
        <v>2</v>
      </c>
      <c r="K402" s="2" t="s">
        <v>815</v>
      </c>
      <c r="L402" s="11" t="str">
        <f t="shared" si="7"/>
        <v>Ver Imagen</v>
      </c>
      <c r="M402" t="s">
        <v>15</v>
      </c>
    </row>
    <row r="403" spans="1:13" x14ac:dyDescent="0.25">
      <c r="A403">
        <v>402</v>
      </c>
      <c r="B403" t="s">
        <v>816</v>
      </c>
      <c r="C403" s="1">
        <v>37.284197364199997</v>
      </c>
      <c r="D403" s="1">
        <v>-7.1433183746199997</v>
      </c>
      <c r="E403" s="3">
        <v>2</v>
      </c>
      <c r="F403" s="2">
        <v>2</v>
      </c>
      <c r="G403" s="4">
        <v>2</v>
      </c>
      <c r="H403" s="13"/>
      <c r="I403" s="15"/>
      <c r="J403" s="19">
        <v>2</v>
      </c>
      <c r="K403" s="2" t="s">
        <v>817</v>
      </c>
      <c r="L403" s="11" t="str">
        <f t="shared" si="7"/>
        <v>Ver Imagen</v>
      </c>
      <c r="M403" t="s">
        <v>15</v>
      </c>
    </row>
    <row r="404" spans="1:13" x14ac:dyDescent="0.25">
      <c r="A404">
        <v>403</v>
      </c>
      <c r="B404" t="s">
        <v>818</v>
      </c>
      <c r="C404" s="1">
        <v>37.284003742599999</v>
      </c>
      <c r="D404" s="1">
        <v>-7.1434360480499999</v>
      </c>
      <c r="E404" s="3">
        <v>2</v>
      </c>
      <c r="F404" s="2">
        <v>2</v>
      </c>
      <c r="G404" s="4">
        <v>2</v>
      </c>
      <c r="H404" s="13"/>
      <c r="I404" s="15"/>
      <c r="J404" s="19">
        <v>2</v>
      </c>
      <c r="K404" s="2" t="s">
        <v>819</v>
      </c>
      <c r="L404" s="11" t="str">
        <f t="shared" si="7"/>
        <v>Ver Imagen</v>
      </c>
      <c r="M404" t="s">
        <v>15</v>
      </c>
    </row>
    <row r="405" spans="1:13" x14ac:dyDescent="0.25">
      <c r="A405">
        <v>404</v>
      </c>
      <c r="B405" t="s">
        <v>820</v>
      </c>
      <c r="C405" s="1">
        <v>37.283634732300001</v>
      </c>
      <c r="D405" s="1">
        <v>-7.1436406409700002</v>
      </c>
      <c r="E405" s="3">
        <v>2</v>
      </c>
      <c r="F405" s="2">
        <v>2</v>
      </c>
      <c r="G405" s="4">
        <v>2</v>
      </c>
      <c r="H405" s="13"/>
      <c r="I405" s="15"/>
      <c r="J405" s="19">
        <v>2</v>
      </c>
      <c r="K405" s="2" t="s">
        <v>821</v>
      </c>
      <c r="L405" s="11" t="str">
        <f t="shared" si="7"/>
        <v>Ver Imagen</v>
      </c>
      <c r="M405" t="s">
        <v>15</v>
      </c>
    </row>
    <row r="406" spans="1:13" x14ac:dyDescent="0.25">
      <c r="A406">
        <v>405</v>
      </c>
      <c r="B406" t="s">
        <v>822</v>
      </c>
      <c r="C406" s="1">
        <v>37.283453199699998</v>
      </c>
      <c r="D406" s="1">
        <v>-7.1437311285299998</v>
      </c>
      <c r="E406" s="3">
        <v>2</v>
      </c>
      <c r="F406" s="2">
        <v>2</v>
      </c>
      <c r="G406" s="4">
        <v>2</v>
      </c>
      <c r="H406" s="13"/>
      <c r="I406" s="15"/>
      <c r="J406" s="19">
        <v>2</v>
      </c>
      <c r="K406" s="2" t="s">
        <v>823</v>
      </c>
      <c r="L406" s="11" t="str">
        <f t="shared" si="7"/>
        <v>Ver Imagen</v>
      </c>
      <c r="M406" t="s">
        <v>15</v>
      </c>
    </row>
    <row r="407" spans="1:13" x14ac:dyDescent="0.25">
      <c r="A407">
        <v>406</v>
      </c>
      <c r="B407" t="s">
        <v>824</v>
      </c>
      <c r="C407" s="1">
        <v>37.283085196400002</v>
      </c>
      <c r="D407" s="1">
        <v>-7.1438971854800002</v>
      </c>
      <c r="E407" s="3">
        <v>2</v>
      </c>
      <c r="F407" s="2">
        <v>2</v>
      </c>
      <c r="G407" s="4">
        <v>2</v>
      </c>
      <c r="H407" s="13"/>
      <c r="I407" s="15"/>
      <c r="J407" s="19">
        <v>2</v>
      </c>
      <c r="K407" s="2" t="s">
        <v>825</v>
      </c>
      <c r="L407" s="11" t="str">
        <f t="shared" si="7"/>
        <v>Ver Imagen</v>
      </c>
      <c r="M407" t="s">
        <v>15</v>
      </c>
    </row>
    <row r="408" spans="1:13" x14ac:dyDescent="0.25">
      <c r="A408">
        <v>407</v>
      </c>
      <c r="B408" t="s">
        <v>826</v>
      </c>
      <c r="C408" s="1">
        <v>37.282889749299997</v>
      </c>
      <c r="D408" s="1">
        <v>-7.1439766877100004</v>
      </c>
      <c r="E408" s="3">
        <v>2</v>
      </c>
      <c r="F408" s="2">
        <v>2</v>
      </c>
      <c r="G408" s="4">
        <v>2</v>
      </c>
      <c r="H408" s="13"/>
      <c r="I408" s="15"/>
      <c r="J408" s="19">
        <v>2</v>
      </c>
      <c r="K408" s="2" t="s">
        <v>827</v>
      </c>
      <c r="L408" s="11" t="str">
        <f t="shared" si="7"/>
        <v>Ver Imagen</v>
      </c>
      <c r="M408" t="s">
        <v>15</v>
      </c>
    </row>
    <row r="409" spans="1:13" x14ac:dyDescent="0.25">
      <c r="A409">
        <v>408</v>
      </c>
      <c r="B409" t="s">
        <v>828</v>
      </c>
      <c r="C409" s="1">
        <v>37.282486755500003</v>
      </c>
      <c r="D409" s="1">
        <v>-7.1441391957000002</v>
      </c>
      <c r="E409" s="3">
        <v>2</v>
      </c>
      <c r="F409" s="2">
        <v>2</v>
      </c>
      <c r="G409" s="4">
        <v>2</v>
      </c>
      <c r="H409" s="13"/>
      <c r="I409" s="15"/>
      <c r="J409" s="19">
        <v>2</v>
      </c>
      <c r="K409" s="2" t="s">
        <v>829</v>
      </c>
      <c r="L409" s="11" t="str">
        <f t="shared" si="7"/>
        <v>Ver Imagen</v>
      </c>
      <c r="M409" t="s">
        <v>15</v>
      </c>
    </row>
    <row r="410" spans="1:13" x14ac:dyDescent="0.25">
      <c r="A410">
        <v>409</v>
      </c>
      <c r="B410" t="s">
        <v>830</v>
      </c>
      <c r="C410" s="1">
        <v>37.282306219200002</v>
      </c>
      <c r="D410" s="1">
        <v>-7.1442122696899997</v>
      </c>
      <c r="E410" s="3">
        <v>2</v>
      </c>
      <c r="F410" s="2">
        <v>2</v>
      </c>
      <c r="G410" s="4">
        <v>2</v>
      </c>
      <c r="H410" s="13"/>
      <c r="I410" s="15"/>
      <c r="J410" s="19">
        <v>2</v>
      </c>
      <c r="K410" s="2" t="s">
        <v>831</v>
      </c>
      <c r="L410" s="11" t="str">
        <f t="shared" si="7"/>
        <v>Ver Imagen</v>
      </c>
      <c r="M410" t="s">
        <v>15</v>
      </c>
    </row>
    <row r="411" spans="1:13" x14ac:dyDescent="0.25">
      <c r="A411">
        <v>410</v>
      </c>
      <c r="B411" t="s">
        <v>832</v>
      </c>
      <c r="C411" s="1">
        <v>37.281726216599999</v>
      </c>
      <c r="D411" s="1">
        <v>-7.1444638988799998</v>
      </c>
      <c r="E411" s="3">
        <v>2</v>
      </c>
      <c r="F411" s="2">
        <v>2</v>
      </c>
      <c r="G411" s="4">
        <v>2</v>
      </c>
      <c r="H411" s="13"/>
      <c r="I411" s="15"/>
      <c r="J411" s="19">
        <v>2</v>
      </c>
      <c r="K411" s="2" t="s">
        <v>833</v>
      </c>
      <c r="L411" s="11" t="str">
        <f t="shared" si="7"/>
        <v>Ver Imagen</v>
      </c>
      <c r="M411" t="s">
        <v>15</v>
      </c>
    </row>
    <row r="412" spans="1:13" x14ac:dyDescent="0.25">
      <c r="A412">
        <v>411</v>
      </c>
      <c r="B412" t="s">
        <v>834</v>
      </c>
      <c r="C412" s="1">
        <v>37.281547754199998</v>
      </c>
      <c r="D412" s="1">
        <v>-7.14455403887</v>
      </c>
      <c r="E412" s="3">
        <v>2</v>
      </c>
      <c r="F412" s="2">
        <v>2</v>
      </c>
      <c r="G412" s="4">
        <v>2</v>
      </c>
      <c r="H412" s="13"/>
      <c r="I412" s="15"/>
      <c r="J412" s="19">
        <v>2</v>
      </c>
      <c r="K412" s="2" t="s">
        <v>835</v>
      </c>
      <c r="L412" s="11" t="str">
        <f t="shared" si="7"/>
        <v>Ver Imagen</v>
      </c>
      <c r="M412" t="s">
        <v>15</v>
      </c>
    </row>
    <row r="413" spans="1:13" x14ac:dyDescent="0.25">
      <c r="A413">
        <v>412</v>
      </c>
      <c r="B413" t="s">
        <v>836</v>
      </c>
      <c r="C413" s="1">
        <v>37.281152284900003</v>
      </c>
      <c r="D413" s="1">
        <v>-7.1447825648999999</v>
      </c>
      <c r="E413" s="3">
        <v>2</v>
      </c>
      <c r="F413" s="2">
        <v>2</v>
      </c>
      <c r="G413" s="4">
        <v>2</v>
      </c>
      <c r="H413" s="13"/>
      <c r="I413" s="15"/>
      <c r="J413" s="19">
        <v>2</v>
      </c>
      <c r="K413" s="2" t="s">
        <v>837</v>
      </c>
      <c r="L413" s="11" t="str">
        <f t="shared" si="7"/>
        <v>Ver Imagen</v>
      </c>
      <c r="M413" t="s">
        <v>15</v>
      </c>
    </row>
    <row r="414" spans="1:13" x14ac:dyDescent="0.25">
      <c r="A414">
        <v>413</v>
      </c>
      <c r="B414" t="s">
        <v>838</v>
      </c>
      <c r="C414" s="1">
        <v>37.280170601400002</v>
      </c>
      <c r="D414" s="1">
        <v>-7.1456132922800002</v>
      </c>
      <c r="E414" s="3">
        <v>2</v>
      </c>
      <c r="F414" s="2">
        <v>2</v>
      </c>
      <c r="G414" s="4">
        <v>2</v>
      </c>
      <c r="H414" s="13"/>
      <c r="I414" s="15"/>
      <c r="J414" s="19">
        <v>2</v>
      </c>
      <c r="K414" s="2" t="s">
        <v>839</v>
      </c>
      <c r="L414" s="11" t="str">
        <f t="shared" si="7"/>
        <v>Ver Imagen</v>
      </c>
      <c r="M414" t="s">
        <v>15</v>
      </c>
    </row>
    <row r="415" spans="1:13" x14ac:dyDescent="0.25">
      <c r="A415">
        <v>414</v>
      </c>
      <c r="B415" t="s">
        <v>840</v>
      </c>
      <c r="C415" s="1">
        <v>37.277543465100003</v>
      </c>
      <c r="D415" s="1">
        <v>-7.1435301431799996</v>
      </c>
      <c r="E415" s="3">
        <v>2</v>
      </c>
      <c r="F415" s="2">
        <v>2</v>
      </c>
      <c r="G415" s="4">
        <v>2</v>
      </c>
      <c r="H415" s="13"/>
      <c r="I415" s="15"/>
      <c r="J415" s="19">
        <v>2</v>
      </c>
      <c r="K415" s="2" t="s">
        <v>841</v>
      </c>
      <c r="L415" s="11" t="str">
        <f t="shared" si="7"/>
        <v>Ver Imagen</v>
      </c>
      <c r="M415" t="s">
        <v>15</v>
      </c>
    </row>
    <row r="416" spans="1:13" x14ac:dyDescent="0.25">
      <c r="A416">
        <v>415</v>
      </c>
      <c r="B416" t="s">
        <v>842</v>
      </c>
      <c r="C416" s="1">
        <v>37.2766457878</v>
      </c>
      <c r="D416" s="1">
        <v>-7.1430983416</v>
      </c>
      <c r="E416" s="3">
        <v>2</v>
      </c>
      <c r="F416" s="2">
        <v>2</v>
      </c>
      <c r="G416" s="4">
        <v>2</v>
      </c>
      <c r="H416" s="13"/>
      <c r="I416" s="15"/>
      <c r="J416" s="19">
        <v>2</v>
      </c>
      <c r="K416" s="2" t="s">
        <v>843</v>
      </c>
      <c r="L416" s="11" t="str">
        <f t="shared" si="7"/>
        <v>Ver Imagen</v>
      </c>
      <c r="M416" t="s">
        <v>15</v>
      </c>
    </row>
    <row r="417" spans="1:13" x14ac:dyDescent="0.25">
      <c r="A417">
        <v>416</v>
      </c>
      <c r="B417" t="s">
        <v>844</v>
      </c>
      <c r="C417" s="1">
        <v>37.276405170399997</v>
      </c>
      <c r="D417" s="1">
        <v>-7.14301967871</v>
      </c>
      <c r="E417" s="3">
        <v>2</v>
      </c>
      <c r="F417" s="2">
        <v>2</v>
      </c>
      <c r="G417" s="4">
        <v>2</v>
      </c>
      <c r="H417" s="13"/>
      <c r="I417" s="15"/>
      <c r="J417" s="19">
        <v>2</v>
      </c>
      <c r="K417" s="2" t="s">
        <v>845</v>
      </c>
      <c r="L417" s="11" t="str">
        <f t="shared" si="7"/>
        <v>Ver Imagen</v>
      </c>
      <c r="M417" t="s">
        <v>15</v>
      </c>
    </row>
    <row r="418" spans="1:13" x14ac:dyDescent="0.25">
      <c r="A418">
        <v>417</v>
      </c>
      <c r="B418" t="s">
        <v>846</v>
      </c>
      <c r="C418" s="1">
        <v>37.276226129299999</v>
      </c>
      <c r="D418" s="1">
        <v>-7.14296833599</v>
      </c>
      <c r="E418" s="3">
        <v>2</v>
      </c>
      <c r="F418" s="2">
        <v>2</v>
      </c>
      <c r="G418" s="4">
        <v>2</v>
      </c>
      <c r="H418" s="13"/>
      <c r="I418" s="15"/>
      <c r="J418" s="19">
        <v>2</v>
      </c>
      <c r="K418" s="2" t="s">
        <v>847</v>
      </c>
      <c r="L418" s="11" t="str">
        <f t="shared" si="7"/>
        <v>Ver Imagen</v>
      </c>
      <c r="M418" t="s">
        <v>15</v>
      </c>
    </row>
    <row r="419" spans="1:13" x14ac:dyDescent="0.25">
      <c r="A419">
        <v>418</v>
      </c>
      <c r="B419" t="s">
        <v>848</v>
      </c>
      <c r="C419" s="1">
        <v>37.276022973400003</v>
      </c>
      <c r="D419" s="1">
        <v>-7.1429136245000002</v>
      </c>
      <c r="E419" s="3">
        <v>2</v>
      </c>
      <c r="F419" s="2">
        <v>2</v>
      </c>
      <c r="G419" s="4">
        <v>2</v>
      </c>
      <c r="H419" s="13"/>
      <c r="I419" s="15"/>
      <c r="J419" s="19">
        <v>2</v>
      </c>
      <c r="K419" s="2" t="s">
        <v>849</v>
      </c>
      <c r="L419" s="11" t="str">
        <f t="shared" si="7"/>
        <v>Ver Imagen</v>
      </c>
      <c r="M419" t="s">
        <v>15</v>
      </c>
    </row>
    <row r="420" spans="1:13" x14ac:dyDescent="0.25">
      <c r="A420">
        <v>419</v>
      </c>
      <c r="B420" t="s">
        <v>850</v>
      </c>
      <c r="C420" s="1">
        <v>37.275854859299997</v>
      </c>
      <c r="D420" s="1">
        <v>-7.1428693948499999</v>
      </c>
      <c r="E420" s="3">
        <v>2</v>
      </c>
      <c r="F420" s="2">
        <v>2</v>
      </c>
      <c r="G420" s="4">
        <v>2</v>
      </c>
      <c r="H420" s="13"/>
      <c r="I420" s="15"/>
      <c r="J420" s="19">
        <v>2</v>
      </c>
      <c r="K420" s="2" t="s">
        <v>851</v>
      </c>
      <c r="L420" s="11" t="str">
        <f t="shared" si="7"/>
        <v>Ver Imagen</v>
      </c>
      <c r="M420" t="s">
        <v>15</v>
      </c>
    </row>
    <row r="421" spans="1:13" x14ac:dyDescent="0.25">
      <c r="A421">
        <v>420</v>
      </c>
      <c r="B421" t="s">
        <v>852</v>
      </c>
      <c r="C421" s="1">
        <v>37.275646516400002</v>
      </c>
      <c r="D421" s="1">
        <v>-7.1428154373400004</v>
      </c>
      <c r="E421" s="3">
        <v>2</v>
      </c>
      <c r="F421" s="2">
        <v>2</v>
      </c>
      <c r="G421" s="4">
        <v>2</v>
      </c>
      <c r="H421" s="13"/>
      <c r="I421" s="15"/>
      <c r="J421" s="19">
        <v>2</v>
      </c>
      <c r="K421" s="2" t="s">
        <v>853</v>
      </c>
      <c r="L421" s="11" t="str">
        <f t="shared" si="7"/>
        <v>Ver Imagen</v>
      </c>
      <c r="M421" t="s">
        <v>15</v>
      </c>
    </row>
    <row r="422" spans="1:13" x14ac:dyDescent="0.25">
      <c r="A422">
        <v>421</v>
      </c>
      <c r="B422" t="s">
        <v>854</v>
      </c>
      <c r="C422" s="1">
        <v>37.275029021599998</v>
      </c>
      <c r="D422" s="1">
        <v>-7.14265266562</v>
      </c>
      <c r="E422" s="3">
        <v>2</v>
      </c>
      <c r="F422" s="2">
        <v>2</v>
      </c>
      <c r="G422" s="4">
        <v>2</v>
      </c>
      <c r="H422" s="13"/>
      <c r="I422" s="15"/>
      <c r="J422" s="19">
        <v>2</v>
      </c>
      <c r="K422" s="2" t="s">
        <v>855</v>
      </c>
      <c r="L422" s="11" t="str">
        <f t="shared" si="7"/>
        <v>Ver Imagen</v>
      </c>
      <c r="M422" t="s">
        <v>15</v>
      </c>
    </row>
    <row r="423" spans="1:13" x14ac:dyDescent="0.25">
      <c r="A423">
        <v>422</v>
      </c>
      <c r="B423" t="s">
        <v>856</v>
      </c>
      <c r="C423" s="1">
        <v>37.272233285299997</v>
      </c>
      <c r="D423" s="1">
        <v>-7.1413302443999997</v>
      </c>
      <c r="E423" s="3">
        <v>2</v>
      </c>
      <c r="F423" s="2">
        <v>2</v>
      </c>
      <c r="G423" s="4">
        <v>2</v>
      </c>
      <c r="H423" s="13"/>
      <c r="I423" s="15"/>
      <c r="J423" s="19">
        <v>2</v>
      </c>
      <c r="K423" s="2" t="s">
        <v>857</v>
      </c>
      <c r="L423" s="11" t="str">
        <f t="shared" si="7"/>
        <v>Ver Imagen</v>
      </c>
      <c r="M423" t="s">
        <v>15</v>
      </c>
    </row>
    <row r="424" spans="1:13" x14ac:dyDescent="0.25">
      <c r="A424">
        <v>423</v>
      </c>
      <c r="B424" t="s">
        <v>858</v>
      </c>
      <c r="C424" s="1">
        <v>37.2659105985</v>
      </c>
      <c r="D424" s="1">
        <v>-7.1327945961300001</v>
      </c>
      <c r="E424" s="3">
        <v>2</v>
      </c>
      <c r="F424" s="2">
        <v>2</v>
      </c>
      <c r="G424" s="4">
        <v>2</v>
      </c>
      <c r="H424" s="13"/>
      <c r="I424" s="15"/>
      <c r="J424" s="19">
        <v>2</v>
      </c>
      <c r="K424" s="2" t="s">
        <v>859</v>
      </c>
      <c r="L424" s="11" t="str">
        <f t="shared" si="7"/>
        <v>Ver Imagen</v>
      </c>
      <c r="M424" t="s">
        <v>15</v>
      </c>
    </row>
    <row r="425" spans="1:13" x14ac:dyDescent="0.25">
      <c r="A425">
        <v>424</v>
      </c>
      <c r="B425" t="s">
        <v>860</v>
      </c>
      <c r="C425" s="1">
        <v>37.265382946000003</v>
      </c>
      <c r="D425" s="1">
        <v>-7.1324607119200003</v>
      </c>
      <c r="E425" s="3">
        <v>2</v>
      </c>
      <c r="F425" s="2">
        <v>2</v>
      </c>
      <c r="G425" s="4">
        <v>2</v>
      </c>
      <c r="H425" s="13"/>
      <c r="I425" s="15"/>
      <c r="J425" s="19">
        <v>2</v>
      </c>
      <c r="K425" s="2" t="s">
        <v>861</v>
      </c>
      <c r="L425" s="11" t="str">
        <f t="shared" si="7"/>
        <v>Ver Imagen</v>
      </c>
      <c r="M425" t="s">
        <v>15</v>
      </c>
    </row>
    <row r="426" spans="1:13" x14ac:dyDescent="0.25">
      <c r="A426">
        <v>425</v>
      </c>
      <c r="B426" t="s">
        <v>862</v>
      </c>
      <c r="C426" s="1">
        <v>37.264298095199997</v>
      </c>
      <c r="D426" s="1">
        <v>-7.1317828835899997</v>
      </c>
      <c r="E426" s="3">
        <v>2</v>
      </c>
      <c r="F426" s="2">
        <v>2</v>
      </c>
      <c r="G426" s="4">
        <v>2</v>
      </c>
      <c r="H426" s="13"/>
      <c r="I426" s="15"/>
      <c r="J426" s="19">
        <v>2</v>
      </c>
      <c r="K426" s="2" t="s">
        <v>863</v>
      </c>
      <c r="L426" s="11" t="str">
        <f t="shared" si="7"/>
        <v>Ver Imagen</v>
      </c>
      <c r="M426" t="s">
        <v>15</v>
      </c>
    </row>
    <row r="427" spans="1:13" x14ac:dyDescent="0.25">
      <c r="A427">
        <v>426</v>
      </c>
      <c r="B427" t="s">
        <v>864</v>
      </c>
      <c r="C427" s="1">
        <v>37.263595095699998</v>
      </c>
      <c r="D427" s="1">
        <v>-7.13134017392</v>
      </c>
      <c r="E427" s="3">
        <v>2</v>
      </c>
      <c r="F427" s="2">
        <v>2</v>
      </c>
      <c r="G427" s="4">
        <v>2</v>
      </c>
      <c r="H427" s="13"/>
      <c r="I427" s="15"/>
      <c r="J427" s="19">
        <v>2</v>
      </c>
      <c r="K427" s="2" t="s">
        <v>865</v>
      </c>
      <c r="L427" s="11" t="str">
        <f t="shared" si="7"/>
        <v>Ver Imagen</v>
      </c>
      <c r="M427" t="s">
        <v>15</v>
      </c>
    </row>
    <row r="428" spans="1:13" x14ac:dyDescent="0.25">
      <c r="A428">
        <v>427</v>
      </c>
      <c r="B428" t="s">
        <v>866</v>
      </c>
      <c r="C428" s="1">
        <v>37.263244129599997</v>
      </c>
      <c r="D428" s="1">
        <v>-7.1311171314999999</v>
      </c>
      <c r="E428" s="3">
        <v>2</v>
      </c>
      <c r="F428" s="2">
        <v>2</v>
      </c>
      <c r="G428" s="4">
        <v>2</v>
      </c>
      <c r="H428" s="13"/>
      <c r="I428" s="15"/>
      <c r="J428" s="19">
        <v>2</v>
      </c>
      <c r="K428" s="2" t="s">
        <v>867</v>
      </c>
      <c r="L428" s="11" t="str">
        <f t="shared" si="7"/>
        <v>Ver Imagen</v>
      </c>
      <c r="M428" t="s">
        <v>15</v>
      </c>
    </row>
    <row r="429" spans="1:13" x14ac:dyDescent="0.25">
      <c r="A429">
        <v>428</v>
      </c>
      <c r="B429" t="s">
        <v>868</v>
      </c>
      <c r="C429" s="1">
        <v>37.263034727600001</v>
      </c>
      <c r="D429" s="1">
        <v>-7.1309855647699996</v>
      </c>
      <c r="E429" s="3">
        <v>2</v>
      </c>
      <c r="F429" s="2">
        <v>2</v>
      </c>
      <c r="G429" s="4">
        <v>2</v>
      </c>
      <c r="H429" s="13"/>
      <c r="I429" s="15"/>
      <c r="J429" s="19">
        <v>2</v>
      </c>
      <c r="K429" s="2" t="s">
        <v>869</v>
      </c>
      <c r="L429" s="11" t="str">
        <f t="shared" si="7"/>
        <v>Ver Imagen</v>
      </c>
      <c r="M429" t="s">
        <v>15</v>
      </c>
    </row>
    <row r="430" spans="1:13" x14ac:dyDescent="0.25">
      <c r="A430">
        <v>429</v>
      </c>
      <c r="B430" t="s">
        <v>870</v>
      </c>
      <c r="C430" s="1">
        <v>37.258886560900002</v>
      </c>
      <c r="D430" s="1">
        <v>-7.12838498143</v>
      </c>
      <c r="E430" s="3">
        <v>2</v>
      </c>
      <c r="F430" s="2">
        <v>2</v>
      </c>
      <c r="G430" s="4">
        <v>2</v>
      </c>
      <c r="H430" s="13"/>
      <c r="I430" s="15"/>
      <c r="J430" s="19">
        <v>2</v>
      </c>
      <c r="K430" s="2" t="s">
        <v>871</v>
      </c>
      <c r="L430" s="11" t="str">
        <f t="shared" si="7"/>
        <v>Ver Imagen</v>
      </c>
      <c r="M430" t="s">
        <v>15</v>
      </c>
    </row>
    <row r="431" spans="1:13" x14ac:dyDescent="0.25">
      <c r="A431">
        <v>430</v>
      </c>
      <c r="B431" t="s">
        <v>872</v>
      </c>
      <c r="C431" s="1">
        <v>37.258514834499998</v>
      </c>
      <c r="D431" s="1">
        <v>-7.12814715836</v>
      </c>
      <c r="E431" s="3">
        <v>2</v>
      </c>
      <c r="F431" s="2">
        <v>2</v>
      </c>
      <c r="G431" s="4">
        <v>2</v>
      </c>
      <c r="H431" s="13"/>
      <c r="I431" s="15"/>
      <c r="J431" s="19">
        <v>2</v>
      </c>
      <c r="K431" s="2" t="s">
        <v>873</v>
      </c>
      <c r="L431" s="11" t="str">
        <f t="shared" si="7"/>
        <v>Ver Imagen</v>
      </c>
      <c r="M431" t="s">
        <v>15</v>
      </c>
    </row>
    <row r="432" spans="1:13" x14ac:dyDescent="0.25">
      <c r="A432">
        <v>431</v>
      </c>
      <c r="B432" t="s">
        <v>874</v>
      </c>
      <c r="C432" s="1">
        <v>37.258169807599998</v>
      </c>
      <c r="D432" s="1">
        <v>-7.1279269987199996</v>
      </c>
      <c r="E432" s="3">
        <v>2</v>
      </c>
      <c r="F432" s="2">
        <v>2</v>
      </c>
      <c r="G432" s="4">
        <v>2</v>
      </c>
      <c r="H432" s="13"/>
      <c r="I432" s="15"/>
      <c r="J432" s="19">
        <v>2</v>
      </c>
      <c r="K432" s="2" t="s">
        <v>875</v>
      </c>
      <c r="L432" s="11" t="str">
        <f t="shared" si="7"/>
        <v>Ver Imagen</v>
      </c>
      <c r="M432" t="s">
        <v>15</v>
      </c>
    </row>
    <row r="433" spans="1:13" x14ac:dyDescent="0.25">
      <c r="A433">
        <v>432</v>
      </c>
      <c r="B433" t="s">
        <v>876</v>
      </c>
      <c r="C433" s="1">
        <v>37.257807688299998</v>
      </c>
      <c r="D433" s="1">
        <v>-7.1276982133800004</v>
      </c>
      <c r="E433" s="3">
        <v>2</v>
      </c>
      <c r="F433" s="2">
        <v>2</v>
      </c>
      <c r="G433" s="4">
        <v>2</v>
      </c>
      <c r="H433" s="13"/>
      <c r="I433" s="15"/>
      <c r="J433" s="19">
        <v>2</v>
      </c>
      <c r="K433" s="2" t="s">
        <v>877</v>
      </c>
      <c r="L433" s="11" t="str">
        <f t="shared" si="7"/>
        <v>Ver Imagen</v>
      </c>
      <c r="M433" t="s">
        <v>15</v>
      </c>
    </row>
    <row r="434" spans="1:13" x14ac:dyDescent="0.25">
      <c r="A434">
        <v>433</v>
      </c>
      <c r="B434" t="s">
        <v>878</v>
      </c>
      <c r="C434" s="1">
        <v>37.257595792799997</v>
      </c>
      <c r="D434" s="1">
        <v>-7.1275650884599999</v>
      </c>
      <c r="E434" s="3">
        <v>2</v>
      </c>
      <c r="F434" s="2">
        <v>2</v>
      </c>
      <c r="G434" s="4">
        <v>2</v>
      </c>
      <c r="H434" s="13"/>
      <c r="I434" s="15"/>
      <c r="J434" s="19">
        <v>2</v>
      </c>
      <c r="K434" s="2" t="s">
        <v>879</v>
      </c>
      <c r="L434" s="11" t="str">
        <f t="shared" si="7"/>
        <v>Ver Imagen</v>
      </c>
      <c r="M434" t="s">
        <v>15</v>
      </c>
    </row>
    <row r="435" spans="1:13" x14ac:dyDescent="0.25">
      <c r="A435">
        <v>434</v>
      </c>
      <c r="B435" t="s">
        <v>880</v>
      </c>
      <c r="C435" s="1">
        <v>37.257455360100003</v>
      </c>
      <c r="D435" s="1">
        <v>-7.1274762563699996</v>
      </c>
      <c r="E435" s="3">
        <v>2</v>
      </c>
      <c r="F435" s="2">
        <v>2</v>
      </c>
      <c r="G435" s="4">
        <v>2</v>
      </c>
      <c r="H435" s="13"/>
      <c r="I435" s="15"/>
      <c r="J435" s="19">
        <v>2</v>
      </c>
      <c r="K435" s="2" t="s">
        <v>881</v>
      </c>
      <c r="L435" s="11" t="str">
        <f t="shared" si="7"/>
        <v>Ver Imagen</v>
      </c>
      <c r="M435" t="s">
        <v>15</v>
      </c>
    </row>
    <row r="436" spans="1:13" x14ac:dyDescent="0.25">
      <c r="A436">
        <v>435</v>
      </c>
      <c r="B436" t="s">
        <v>882</v>
      </c>
      <c r="C436" s="1">
        <v>37.257264512699997</v>
      </c>
      <c r="D436" s="1">
        <v>-7.1273557995600001</v>
      </c>
      <c r="E436" s="3">
        <v>2</v>
      </c>
      <c r="F436" s="2">
        <v>2</v>
      </c>
      <c r="G436" s="4">
        <v>2</v>
      </c>
      <c r="H436" s="13"/>
      <c r="I436" s="15"/>
      <c r="J436" s="19">
        <v>2</v>
      </c>
      <c r="K436" s="2" t="s">
        <v>883</v>
      </c>
      <c r="L436" s="11" t="str">
        <f t="shared" si="7"/>
        <v>Ver Imagen</v>
      </c>
      <c r="M436" t="s">
        <v>15</v>
      </c>
    </row>
    <row r="437" spans="1:13" x14ac:dyDescent="0.25">
      <c r="A437">
        <v>436</v>
      </c>
      <c r="B437" t="s">
        <v>884</v>
      </c>
      <c r="C437" s="1">
        <v>37.257097553400001</v>
      </c>
      <c r="D437" s="1">
        <v>-7.1272521368000001</v>
      </c>
      <c r="E437" s="3">
        <v>2</v>
      </c>
      <c r="F437" s="2">
        <v>2</v>
      </c>
      <c r="G437" s="4">
        <v>2</v>
      </c>
      <c r="H437" s="13"/>
      <c r="I437" s="15"/>
      <c r="J437" s="19">
        <v>2</v>
      </c>
      <c r="K437" s="2" t="s">
        <v>885</v>
      </c>
      <c r="L437" s="11" t="str">
        <f t="shared" si="7"/>
        <v>Ver Imagen</v>
      </c>
      <c r="M437" t="s">
        <v>15</v>
      </c>
    </row>
    <row r="438" spans="1:13" x14ac:dyDescent="0.25">
      <c r="A438">
        <v>437</v>
      </c>
      <c r="B438" t="s">
        <v>886</v>
      </c>
      <c r="C438" s="1">
        <v>37.256898524699999</v>
      </c>
      <c r="D438" s="1">
        <v>-7.1271334013800001</v>
      </c>
      <c r="E438" s="3">
        <v>2</v>
      </c>
      <c r="F438" s="2">
        <v>2</v>
      </c>
      <c r="G438" s="4">
        <v>2</v>
      </c>
      <c r="H438" s="13"/>
      <c r="I438" s="15"/>
      <c r="J438" s="19">
        <v>2</v>
      </c>
      <c r="K438" s="2" t="s">
        <v>887</v>
      </c>
      <c r="L438" s="11" t="str">
        <f t="shared" si="7"/>
        <v>Ver Imagen</v>
      </c>
      <c r="M438" t="s">
        <v>15</v>
      </c>
    </row>
    <row r="439" spans="1:13" x14ac:dyDescent="0.25">
      <c r="A439">
        <v>438</v>
      </c>
      <c r="B439" t="s">
        <v>888</v>
      </c>
      <c r="C439" s="1">
        <v>37.256707389699997</v>
      </c>
      <c r="D439" s="1">
        <v>-7.1270283972300001</v>
      </c>
      <c r="E439" s="3">
        <v>2</v>
      </c>
      <c r="F439" s="2">
        <v>2</v>
      </c>
      <c r="G439" s="4">
        <v>2</v>
      </c>
      <c r="H439" s="13"/>
      <c r="I439" s="15"/>
      <c r="J439" s="19">
        <v>2</v>
      </c>
      <c r="K439" s="2" t="s">
        <v>889</v>
      </c>
      <c r="L439" s="11" t="str">
        <f t="shared" si="7"/>
        <v>Ver Imagen</v>
      </c>
      <c r="M439" t="s">
        <v>15</v>
      </c>
    </row>
    <row r="440" spans="1:13" x14ac:dyDescent="0.25">
      <c r="A440">
        <v>439</v>
      </c>
      <c r="B440" t="s">
        <v>890</v>
      </c>
      <c r="C440" s="1">
        <v>37.256481103600002</v>
      </c>
      <c r="D440" s="1">
        <v>-7.1269183171200003</v>
      </c>
      <c r="E440" s="3">
        <v>2</v>
      </c>
      <c r="F440" s="2">
        <v>2</v>
      </c>
      <c r="G440" s="4">
        <v>2</v>
      </c>
      <c r="H440" s="13"/>
      <c r="I440" s="15"/>
      <c r="J440" s="19">
        <v>2</v>
      </c>
      <c r="K440" s="2" t="s">
        <v>891</v>
      </c>
      <c r="L440" s="11" t="str">
        <f t="shared" si="7"/>
        <v>Ver Imagen</v>
      </c>
      <c r="M440" t="s">
        <v>15</v>
      </c>
    </row>
    <row r="441" spans="1:13" x14ac:dyDescent="0.25">
      <c r="A441">
        <v>440</v>
      </c>
      <c r="B441" t="s">
        <v>892</v>
      </c>
      <c r="C441" s="1">
        <v>37.2563147065</v>
      </c>
      <c r="D441" s="1">
        <v>-7.1268461712000004</v>
      </c>
      <c r="E441" s="3">
        <v>2</v>
      </c>
      <c r="F441" s="2">
        <v>2</v>
      </c>
      <c r="G441" s="4">
        <v>2</v>
      </c>
      <c r="H441" s="13"/>
      <c r="I441" s="15"/>
      <c r="J441" s="19">
        <v>2</v>
      </c>
      <c r="K441" s="2" t="s">
        <v>893</v>
      </c>
      <c r="L441" s="11" t="str">
        <f t="shared" si="7"/>
        <v>Ver Imagen</v>
      </c>
      <c r="M441" t="s">
        <v>15</v>
      </c>
    </row>
    <row r="442" spans="1:13" x14ac:dyDescent="0.25">
      <c r="A442">
        <v>441</v>
      </c>
      <c r="B442" t="s">
        <v>894</v>
      </c>
      <c r="C442" s="1">
        <v>37.256142433199997</v>
      </c>
      <c r="D442" s="1">
        <v>-7.1267791859100003</v>
      </c>
      <c r="E442" s="3">
        <v>2</v>
      </c>
      <c r="F442" s="2">
        <v>2</v>
      </c>
      <c r="G442" s="4">
        <v>2</v>
      </c>
      <c r="H442" s="13"/>
      <c r="I442" s="15"/>
      <c r="J442" s="19">
        <v>2</v>
      </c>
      <c r="K442" s="2" t="s">
        <v>895</v>
      </c>
      <c r="L442" s="11" t="str">
        <f t="shared" si="7"/>
        <v>Ver Imagen</v>
      </c>
      <c r="M442" t="s">
        <v>15</v>
      </c>
    </row>
    <row r="443" spans="1:13" x14ac:dyDescent="0.25">
      <c r="A443">
        <v>442</v>
      </c>
      <c r="B443" t="s">
        <v>896</v>
      </c>
      <c r="C443" s="1">
        <v>37.2559179486</v>
      </c>
      <c r="D443" s="1">
        <v>-7.1267048171700003</v>
      </c>
      <c r="E443" s="3">
        <v>2</v>
      </c>
      <c r="F443" s="2">
        <v>2</v>
      </c>
      <c r="G443" s="4">
        <v>2</v>
      </c>
      <c r="H443" s="13"/>
      <c r="I443" s="15"/>
      <c r="J443" s="19">
        <v>2</v>
      </c>
      <c r="K443" s="2" t="s">
        <v>897</v>
      </c>
      <c r="L443" s="11" t="str">
        <f t="shared" si="7"/>
        <v>Ver Imagen</v>
      </c>
      <c r="M443" t="s">
        <v>15</v>
      </c>
    </row>
    <row r="444" spans="1:13" x14ac:dyDescent="0.25">
      <c r="A444">
        <v>443</v>
      </c>
      <c r="B444" t="s">
        <v>898</v>
      </c>
      <c r="C444" s="1">
        <v>37.255750498899999</v>
      </c>
      <c r="D444" s="1">
        <v>-7.1266596405399998</v>
      </c>
      <c r="E444" s="3">
        <v>2</v>
      </c>
      <c r="F444" s="2">
        <v>2</v>
      </c>
      <c r="G444" s="4">
        <v>2</v>
      </c>
      <c r="H444" s="13"/>
      <c r="I444" s="15"/>
      <c r="J444" s="19">
        <v>2</v>
      </c>
      <c r="K444" s="2" t="s">
        <v>899</v>
      </c>
      <c r="L444" s="11" t="str">
        <f t="shared" si="7"/>
        <v>Ver Imagen</v>
      </c>
      <c r="M444" t="s">
        <v>15</v>
      </c>
    </row>
    <row r="445" spans="1:13" x14ac:dyDescent="0.25">
      <c r="A445">
        <v>444</v>
      </c>
      <c r="B445" t="s">
        <v>900</v>
      </c>
      <c r="C445" s="1">
        <v>37.255541477400001</v>
      </c>
      <c r="D445" s="1">
        <v>-7.1266177918000002</v>
      </c>
      <c r="E445" s="3">
        <v>2</v>
      </c>
      <c r="F445" s="2">
        <v>2</v>
      </c>
      <c r="G445" s="4">
        <v>2</v>
      </c>
      <c r="H445" s="13"/>
      <c r="I445" s="15"/>
      <c r="J445" s="19">
        <v>2</v>
      </c>
      <c r="K445" s="2" t="s">
        <v>901</v>
      </c>
      <c r="L445" s="11" t="str">
        <f t="shared" si="7"/>
        <v>Ver Imagen</v>
      </c>
      <c r="M445" t="s">
        <v>15</v>
      </c>
    </row>
    <row r="446" spans="1:13" x14ac:dyDescent="0.25">
      <c r="A446">
        <v>445</v>
      </c>
      <c r="B446" t="s">
        <v>902</v>
      </c>
      <c r="C446" s="1">
        <v>37.255374324800002</v>
      </c>
      <c r="D446" s="1">
        <v>-7.1265950020400002</v>
      </c>
      <c r="E446" s="3">
        <v>2</v>
      </c>
      <c r="F446" s="2">
        <v>2</v>
      </c>
      <c r="G446" s="4">
        <v>2</v>
      </c>
      <c r="H446" s="13"/>
      <c r="I446" s="15"/>
      <c r="J446" s="19">
        <v>2</v>
      </c>
      <c r="K446" s="2" t="s">
        <v>903</v>
      </c>
      <c r="L446" s="11" t="str">
        <f t="shared" si="7"/>
        <v>Ver Imagen</v>
      </c>
      <c r="M446" t="s">
        <v>15</v>
      </c>
    </row>
    <row r="447" spans="1:13" x14ac:dyDescent="0.25">
      <c r="A447">
        <v>446</v>
      </c>
      <c r="B447" t="s">
        <v>904</v>
      </c>
      <c r="C447" s="1">
        <v>37.255159515400003</v>
      </c>
      <c r="D447" s="1">
        <v>-7.1265778286200003</v>
      </c>
      <c r="E447" s="3">
        <v>2</v>
      </c>
      <c r="F447" s="2">
        <v>2</v>
      </c>
      <c r="G447" s="4">
        <v>2</v>
      </c>
      <c r="H447" s="13"/>
      <c r="I447" s="15"/>
      <c r="J447" s="19">
        <v>2</v>
      </c>
      <c r="K447" s="2" t="s">
        <v>905</v>
      </c>
      <c r="L447" s="11" t="str">
        <f t="shared" si="7"/>
        <v>Ver Imagen</v>
      </c>
      <c r="M447" t="s">
        <v>15</v>
      </c>
    </row>
    <row r="448" spans="1:13" x14ac:dyDescent="0.25">
      <c r="A448">
        <v>447</v>
      </c>
      <c r="B448" t="s">
        <v>906</v>
      </c>
      <c r="C448" s="1">
        <v>37.254935168999999</v>
      </c>
      <c r="D448" s="1">
        <v>-7.1265747493999996</v>
      </c>
      <c r="E448" s="3">
        <v>2</v>
      </c>
      <c r="F448" s="2">
        <v>2</v>
      </c>
      <c r="G448" s="4">
        <v>2</v>
      </c>
      <c r="H448" s="13"/>
      <c r="I448" s="15"/>
      <c r="J448" s="19">
        <v>2</v>
      </c>
      <c r="K448" s="2" t="s">
        <v>907</v>
      </c>
      <c r="L448" s="11" t="str">
        <f t="shared" si="7"/>
        <v>Ver Imagen</v>
      </c>
      <c r="M448" t="s">
        <v>15</v>
      </c>
    </row>
    <row r="449" spans="1:13" x14ac:dyDescent="0.25">
      <c r="A449">
        <v>448</v>
      </c>
      <c r="B449" t="s">
        <v>908</v>
      </c>
      <c r="C449" s="1">
        <v>37.254754630999997</v>
      </c>
      <c r="D449" s="1">
        <v>-7.1265835597400002</v>
      </c>
      <c r="E449" s="3">
        <v>2</v>
      </c>
      <c r="F449" s="2">
        <v>2</v>
      </c>
      <c r="G449" s="4">
        <v>2</v>
      </c>
      <c r="H449" s="13"/>
      <c r="I449" s="15"/>
      <c r="J449" s="19">
        <v>2</v>
      </c>
      <c r="K449" s="2" t="s">
        <v>909</v>
      </c>
      <c r="L449" s="11" t="str">
        <f t="shared" si="7"/>
        <v>Ver Imagen</v>
      </c>
      <c r="M449" t="s">
        <v>15</v>
      </c>
    </row>
    <row r="450" spans="1:13" x14ac:dyDescent="0.25">
      <c r="A450">
        <v>449</v>
      </c>
      <c r="B450" t="s">
        <v>910</v>
      </c>
      <c r="C450" s="1">
        <v>37.254549179100003</v>
      </c>
      <c r="D450" s="1">
        <v>-7.1266029398299997</v>
      </c>
      <c r="E450" s="3">
        <v>2</v>
      </c>
      <c r="F450" s="2">
        <v>2</v>
      </c>
      <c r="G450" s="4">
        <v>2</v>
      </c>
      <c r="H450" s="13"/>
      <c r="I450" s="15"/>
      <c r="J450" s="19">
        <v>2</v>
      </c>
      <c r="K450" s="2" t="s">
        <v>911</v>
      </c>
      <c r="L450" s="11" t="str">
        <f t="shared" si="7"/>
        <v>Ver Imagen</v>
      </c>
      <c r="M450" t="s">
        <v>15</v>
      </c>
    </row>
    <row r="451" spans="1:13" x14ac:dyDescent="0.25">
      <c r="A451">
        <v>450</v>
      </c>
      <c r="B451" t="s">
        <v>912</v>
      </c>
      <c r="C451" s="1">
        <v>37.254113373400003</v>
      </c>
      <c r="D451" s="1">
        <v>-7.1266596097199999</v>
      </c>
      <c r="E451" s="3">
        <v>2</v>
      </c>
      <c r="F451" s="2">
        <v>2</v>
      </c>
      <c r="G451" s="4">
        <v>2</v>
      </c>
      <c r="H451" s="13"/>
      <c r="I451" s="15"/>
      <c r="J451" s="19">
        <v>2</v>
      </c>
      <c r="K451" s="2" t="s">
        <v>913</v>
      </c>
      <c r="L451" s="11" t="str">
        <f t="shared" si="7"/>
        <v>Ver Imagen</v>
      </c>
      <c r="M451" t="s">
        <v>15</v>
      </c>
    </row>
    <row r="452" spans="1:13" x14ac:dyDescent="0.25">
      <c r="A452">
        <v>451</v>
      </c>
      <c r="B452" t="s">
        <v>914</v>
      </c>
      <c r="C452" s="1">
        <v>37.253922476</v>
      </c>
      <c r="D452" s="1">
        <v>-7.1266872083699999</v>
      </c>
      <c r="E452" s="3">
        <v>2</v>
      </c>
      <c r="F452" s="2">
        <v>2</v>
      </c>
      <c r="G452" s="4">
        <v>2</v>
      </c>
      <c r="H452" s="13"/>
      <c r="I452" s="15"/>
      <c r="J452" s="19">
        <v>2</v>
      </c>
      <c r="K452" s="2" t="s">
        <v>915</v>
      </c>
      <c r="L452" s="11" t="str">
        <f t="shared" si="7"/>
        <v>Ver Imagen</v>
      </c>
      <c r="M452" t="s">
        <v>15</v>
      </c>
    </row>
    <row r="453" spans="1:13" x14ac:dyDescent="0.25">
      <c r="A453">
        <v>452</v>
      </c>
      <c r="B453" t="s">
        <v>916</v>
      </c>
      <c r="C453" s="1">
        <v>37.253758571600002</v>
      </c>
      <c r="D453" s="1">
        <v>-7.1267111742100004</v>
      </c>
      <c r="E453" s="3">
        <v>2</v>
      </c>
      <c r="F453" s="2">
        <v>2</v>
      </c>
      <c r="G453" s="4">
        <v>2</v>
      </c>
      <c r="H453" s="13"/>
      <c r="I453" s="15"/>
      <c r="J453" s="19">
        <v>2</v>
      </c>
      <c r="K453" s="2" t="s">
        <v>917</v>
      </c>
      <c r="L453" s="11" t="str">
        <f t="shared" si="7"/>
        <v>Ver Imagen</v>
      </c>
      <c r="M453" t="s">
        <v>15</v>
      </c>
    </row>
    <row r="454" spans="1:13" x14ac:dyDescent="0.25">
      <c r="A454">
        <v>453</v>
      </c>
      <c r="B454" t="s">
        <v>918</v>
      </c>
      <c r="C454" s="1">
        <v>37.253339343</v>
      </c>
      <c r="D454" s="1">
        <v>-7.1267734298700001</v>
      </c>
      <c r="E454" s="3">
        <v>2</v>
      </c>
      <c r="F454" s="2">
        <v>2</v>
      </c>
      <c r="G454" s="4">
        <v>2</v>
      </c>
      <c r="H454" s="13"/>
      <c r="I454" s="15"/>
      <c r="J454" s="19">
        <v>2</v>
      </c>
      <c r="K454" s="2" t="s">
        <v>919</v>
      </c>
      <c r="L454" s="11" t="str">
        <f t="shared" si="7"/>
        <v>Ver Imagen</v>
      </c>
      <c r="M454" t="s">
        <v>15</v>
      </c>
    </row>
    <row r="455" spans="1:13" x14ac:dyDescent="0.25">
      <c r="A455">
        <v>454</v>
      </c>
      <c r="B455" t="s">
        <v>920</v>
      </c>
      <c r="C455" s="1">
        <v>37.253121651999997</v>
      </c>
      <c r="D455" s="1">
        <v>-7.1268072364200004</v>
      </c>
      <c r="E455" s="3">
        <v>2</v>
      </c>
      <c r="F455" s="2">
        <v>2</v>
      </c>
      <c r="G455" s="4">
        <v>2</v>
      </c>
      <c r="H455" s="13"/>
      <c r="I455" s="15"/>
      <c r="J455" s="19">
        <v>2</v>
      </c>
      <c r="K455" s="2" t="s">
        <v>921</v>
      </c>
      <c r="L455" s="11" t="str">
        <f t="shared" si="7"/>
        <v>Ver Imagen</v>
      </c>
      <c r="M455" t="s">
        <v>15</v>
      </c>
    </row>
    <row r="456" spans="1:13" x14ac:dyDescent="0.25">
      <c r="A456">
        <v>455</v>
      </c>
      <c r="B456" t="s">
        <v>922</v>
      </c>
      <c r="C456" s="1">
        <v>37.252904602900003</v>
      </c>
      <c r="D456" s="1">
        <v>-7.1268418021000004</v>
      </c>
      <c r="E456" s="3">
        <v>2</v>
      </c>
      <c r="F456" s="2">
        <v>2</v>
      </c>
      <c r="G456" s="4">
        <v>2</v>
      </c>
      <c r="H456" s="13"/>
      <c r="I456" s="15"/>
      <c r="J456" s="19">
        <v>2</v>
      </c>
      <c r="K456" s="2" t="s">
        <v>923</v>
      </c>
      <c r="L456" s="11" t="str">
        <f t="shared" si="7"/>
        <v>Ver Imagen</v>
      </c>
      <c r="M456" t="s">
        <v>15</v>
      </c>
    </row>
    <row r="457" spans="1:13" x14ac:dyDescent="0.25">
      <c r="A457">
        <v>456</v>
      </c>
      <c r="B457" t="s">
        <v>924</v>
      </c>
      <c r="C457" s="1">
        <v>37.252728963300001</v>
      </c>
      <c r="D457" s="1">
        <v>-7.1268694294300001</v>
      </c>
      <c r="E457" s="3">
        <v>2</v>
      </c>
      <c r="F457" s="2">
        <v>2</v>
      </c>
      <c r="G457" s="4">
        <v>2</v>
      </c>
      <c r="H457" s="13"/>
      <c r="I457" s="15"/>
      <c r="J457" s="19">
        <v>2</v>
      </c>
      <c r="K457" s="2" t="s">
        <v>925</v>
      </c>
      <c r="L457" s="11" t="str">
        <f t="shared" ref="L457:L520" si="8">HYPERLINK("2\0\" &amp; K457, "Ver Imagen")</f>
        <v>Ver Imagen</v>
      </c>
      <c r="M457" t="s">
        <v>15</v>
      </c>
    </row>
    <row r="458" spans="1:13" x14ac:dyDescent="0.25">
      <c r="A458">
        <v>457</v>
      </c>
      <c r="B458" t="s">
        <v>926</v>
      </c>
      <c r="C458" s="1">
        <v>37.252558878800002</v>
      </c>
      <c r="D458" s="1">
        <v>-7.1268953422900001</v>
      </c>
      <c r="E458" s="3">
        <v>2</v>
      </c>
      <c r="F458" s="2">
        <v>2</v>
      </c>
      <c r="G458" s="4">
        <v>2</v>
      </c>
      <c r="H458" s="13"/>
      <c r="I458" s="15"/>
      <c r="J458" s="19">
        <v>2</v>
      </c>
      <c r="K458" s="2" t="s">
        <v>927</v>
      </c>
      <c r="L458" s="11" t="str">
        <f t="shared" si="8"/>
        <v>Ver Imagen</v>
      </c>
      <c r="M458" t="s">
        <v>15</v>
      </c>
    </row>
    <row r="459" spans="1:13" x14ac:dyDescent="0.25">
      <c r="A459">
        <v>458</v>
      </c>
      <c r="B459" t="s">
        <v>928</v>
      </c>
      <c r="C459" s="1">
        <v>37.252333421899998</v>
      </c>
      <c r="D459" s="1">
        <v>-7.1269289923199999</v>
      </c>
      <c r="E459" s="3">
        <v>2</v>
      </c>
      <c r="F459" s="2">
        <v>2</v>
      </c>
      <c r="G459" s="4">
        <v>2</v>
      </c>
      <c r="H459" s="13"/>
      <c r="I459" s="15"/>
      <c r="J459" s="19">
        <v>2</v>
      </c>
      <c r="K459" s="2" t="s">
        <v>929</v>
      </c>
      <c r="L459" s="11" t="str">
        <f t="shared" si="8"/>
        <v>Ver Imagen</v>
      </c>
      <c r="M459" t="s">
        <v>15</v>
      </c>
    </row>
    <row r="460" spans="1:13" x14ac:dyDescent="0.25">
      <c r="A460">
        <v>459</v>
      </c>
      <c r="B460" t="s">
        <v>930</v>
      </c>
      <c r="C460" s="1">
        <v>37.2521218754</v>
      </c>
      <c r="D460" s="1">
        <v>-7.1269601510099996</v>
      </c>
      <c r="E460" s="3">
        <v>2</v>
      </c>
      <c r="F460" s="2">
        <v>2</v>
      </c>
      <c r="G460" s="4">
        <v>2</v>
      </c>
      <c r="H460" s="13"/>
      <c r="I460" s="15"/>
      <c r="J460" s="19">
        <v>2</v>
      </c>
      <c r="K460" s="2" t="s">
        <v>931</v>
      </c>
      <c r="L460" s="11" t="str">
        <f t="shared" si="8"/>
        <v>Ver Imagen</v>
      </c>
      <c r="M460" t="s">
        <v>15</v>
      </c>
    </row>
    <row r="461" spans="1:13" x14ac:dyDescent="0.25">
      <c r="A461">
        <v>460</v>
      </c>
      <c r="B461" t="s">
        <v>932</v>
      </c>
      <c r="C461" s="1">
        <v>37.251907059700002</v>
      </c>
      <c r="D461" s="1">
        <v>-7.1269919988100003</v>
      </c>
      <c r="E461" s="3">
        <v>2</v>
      </c>
      <c r="F461" s="2">
        <v>2</v>
      </c>
      <c r="G461" s="4">
        <v>2</v>
      </c>
      <c r="H461" s="13"/>
      <c r="I461" s="15"/>
      <c r="J461" s="19">
        <v>2</v>
      </c>
      <c r="K461" s="2" t="s">
        <v>933</v>
      </c>
      <c r="L461" s="11" t="str">
        <f t="shared" si="8"/>
        <v>Ver Imagen</v>
      </c>
      <c r="M461" t="s">
        <v>15</v>
      </c>
    </row>
    <row r="462" spans="1:13" x14ac:dyDescent="0.25">
      <c r="A462">
        <v>461</v>
      </c>
      <c r="B462" t="s">
        <v>934</v>
      </c>
      <c r="C462" s="1">
        <v>37.251557965300002</v>
      </c>
      <c r="D462" s="1">
        <v>-7.1270456191799996</v>
      </c>
      <c r="E462" s="3">
        <v>2</v>
      </c>
      <c r="F462" s="2">
        <v>2</v>
      </c>
      <c r="G462" s="4">
        <v>2</v>
      </c>
      <c r="H462" s="13"/>
      <c r="I462" s="15"/>
      <c r="J462" s="19">
        <v>2</v>
      </c>
      <c r="K462" s="2" t="s">
        <v>935</v>
      </c>
      <c r="L462" s="11" t="str">
        <f t="shared" si="8"/>
        <v>Ver Imagen</v>
      </c>
      <c r="M462" t="s">
        <v>15</v>
      </c>
    </row>
    <row r="463" spans="1:13" x14ac:dyDescent="0.25">
      <c r="A463">
        <v>462</v>
      </c>
      <c r="B463" t="s">
        <v>936</v>
      </c>
      <c r="C463" s="1">
        <v>37.251338312599998</v>
      </c>
      <c r="D463" s="1">
        <v>-7.1270788139699999</v>
      </c>
      <c r="E463" s="3">
        <v>2</v>
      </c>
      <c r="F463" s="2">
        <v>2</v>
      </c>
      <c r="G463" s="4">
        <v>2</v>
      </c>
      <c r="H463" s="13"/>
      <c r="I463" s="15"/>
      <c r="J463" s="19">
        <v>2</v>
      </c>
      <c r="K463" s="2" t="s">
        <v>937</v>
      </c>
      <c r="L463" s="11" t="str">
        <f t="shared" si="8"/>
        <v>Ver Imagen</v>
      </c>
      <c r="M463" t="s">
        <v>15</v>
      </c>
    </row>
    <row r="464" spans="1:13" x14ac:dyDescent="0.25">
      <c r="A464">
        <v>463</v>
      </c>
      <c r="B464" t="s">
        <v>938</v>
      </c>
      <c r="C464" s="1">
        <v>37.251121384299999</v>
      </c>
      <c r="D464" s="1">
        <v>-7.1271107553500004</v>
      </c>
      <c r="E464" s="3">
        <v>2</v>
      </c>
      <c r="F464" s="2">
        <v>2</v>
      </c>
      <c r="G464" s="4">
        <v>2</v>
      </c>
      <c r="H464" s="13"/>
      <c r="I464" s="15"/>
      <c r="J464" s="19">
        <v>2</v>
      </c>
      <c r="K464" s="2" t="s">
        <v>939</v>
      </c>
      <c r="L464" s="11" t="str">
        <f t="shared" si="8"/>
        <v>Ver Imagen</v>
      </c>
      <c r="M464" t="s">
        <v>15</v>
      </c>
    </row>
    <row r="465" spans="1:13" x14ac:dyDescent="0.25">
      <c r="A465">
        <v>464</v>
      </c>
      <c r="B465" t="s">
        <v>940</v>
      </c>
      <c r="C465" s="1">
        <v>37.250901947899997</v>
      </c>
      <c r="D465" s="1">
        <v>-7.1271430323600002</v>
      </c>
      <c r="E465" s="3">
        <v>2</v>
      </c>
      <c r="F465" s="2">
        <v>2</v>
      </c>
      <c r="G465" s="4">
        <v>2</v>
      </c>
      <c r="H465" s="13"/>
      <c r="I465" s="15"/>
      <c r="J465" s="19">
        <v>2</v>
      </c>
      <c r="K465" s="2" t="s">
        <v>941</v>
      </c>
      <c r="L465" s="11" t="str">
        <f t="shared" si="8"/>
        <v>Ver Imagen</v>
      </c>
      <c r="M465" t="s">
        <v>15</v>
      </c>
    </row>
    <row r="466" spans="1:13" x14ac:dyDescent="0.25">
      <c r="A466">
        <v>465</v>
      </c>
      <c r="B466" t="s">
        <v>942</v>
      </c>
      <c r="C466" s="1">
        <v>37.250697782899998</v>
      </c>
      <c r="D466" s="1">
        <v>-7.1271735518500003</v>
      </c>
      <c r="E466" s="3">
        <v>2</v>
      </c>
      <c r="F466" s="2">
        <v>2</v>
      </c>
      <c r="G466" s="4">
        <v>2</v>
      </c>
      <c r="H466" s="13"/>
      <c r="I466" s="15"/>
      <c r="J466" s="19">
        <v>2</v>
      </c>
      <c r="K466" s="2" t="s">
        <v>943</v>
      </c>
      <c r="L466" s="11" t="str">
        <f t="shared" si="8"/>
        <v>Ver Imagen</v>
      </c>
      <c r="M466" t="s">
        <v>15</v>
      </c>
    </row>
    <row r="467" spans="1:13" x14ac:dyDescent="0.25">
      <c r="A467">
        <v>466</v>
      </c>
      <c r="B467" t="s">
        <v>944</v>
      </c>
      <c r="C467" s="1">
        <v>37.250290497500004</v>
      </c>
      <c r="D467" s="1">
        <v>-7.1272347060900003</v>
      </c>
      <c r="E467" s="3">
        <v>2</v>
      </c>
      <c r="F467" s="2">
        <v>2</v>
      </c>
      <c r="G467" s="4">
        <v>2</v>
      </c>
      <c r="H467" s="13"/>
      <c r="I467" s="15"/>
      <c r="J467" s="19">
        <v>2</v>
      </c>
      <c r="K467" s="2" t="s">
        <v>945</v>
      </c>
      <c r="L467" s="11" t="str">
        <f t="shared" si="8"/>
        <v>Ver Imagen</v>
      </c>
      <c r="M467" t="s">
        <v>15</v>
      </c>
    </row>
    <row r="468" spans="1:13" x14ac:dyDescent="0.25">
      <c r="A468">
        <v>467</v>
      </c>
      <c r="B468" t="s">
        <v>946</v>
      </c>
      <c r="C468" s="1">
        <v>37.249701153399997</v>
      </c>
      <c r="D468" s="1">
        <v>-7.1273258303700002</v>
      </c>
      <c r="E468" s="3">
        <v>2</v>
      </c>
      <c r="F468" s="2">
        <v>2</v>
      </c>
      <c r="G468" s="4">
        <v>2</v>
      </c>
      <c r="H468" s="13"/>
      <c r="I468" s="15"/>
      <c r="J468" s="19">
        <v>2</v>
      </c>
      <c r="K468" s="2" t="s">
        <v>947</v>
      </c>
      <c r="L468" s="11" t="str">
        <f t="shared" si="8"/>
        <v>Ver Imagen</v>
      </c>
      <c r="M468" t="s">
        <v>15</v>
      </c>
    </row>
    <row r="469" spans="1:13" x14ac:dyDescent="0.25">
      <c r="A469">
        <v>468</v>
      </c>
      <c r="B469" t="s">
        <v>948</v>
      </c>
      <c r="C469" s="1">
        <v>37.248893998500002</v>
      </c>
      <c r="D469" s="1">
        <v>-7.1274485483900003</v>
      </c>
      <c r="E469" s="3">
        <v>2</v>
      </c>
      <c r="F469" s="2">
        <v>2</v>
      </c>
      <c r="G469" s="4">
        <v>2</v>
      </c>
      <c r="H469" s="13"/>
      <c r="I469" s="15"/>
      <c r="J469" s="19">
        <v>2</v>
      </c>
      <c r="K469" s="2" t="s">
        <v>949</v>
      </c>
      <c r="L469" s="11" t="str">
        <f t="shared" si="8"/>
        <v>Ver Imagen</v>
      </c>
      <c r="M469" t="s">
        <v>15</v>
      </c>
    </row>
    <row r="470" spans="1:13" x14ac:dyDescent="0.25">
      <c r="A470">
        <v>469</v>
      </c>
      <c r="B470" t="s">
        <v>950</v>
      </c>
      <c r="C470" s="1">
        <v>37.248712176600002</v>
      </c>
      <c r="D470" s="1">
        <v>-7.1274754077700004</v>
      </c>
      <c r="E470" s="3">
        <v>2</v>
      </c>
      <c r="F470" s="2">
        <v>2</v>
      </c>
      <c r="G470" s="4">
        <v>2</v>
      </c>
      <c r="H470" s="13"/>
      <c r="I470" s="15"/>
      <c r="J470" s="19">
        <v>2</v>
      </c>
      <c r="K470" s="2" t="s">
        <v>951</v>
      </c>
      <c r="L470" s="11" t="str">
        <f t="shared" si="8"/>
        <v>Ver Imagen</v>
      </c>
      <c r="M470" t="s">
        <v>15</v>
      </c>
    </row>
    <row r="471" spans="1:13" x14ac:dyDescent="0.25">
      <c r="A471">
        <v>470</v>
      </c>
      <c r="B471" t="s">
        <v>952</v>
      </c>
      <c r="C471" s="1">
        <v>37.2460949938</v>
      </c>
      <c r="D471" s="1">
        <v>-7.1278609674500002</v>
      </c>
      <c r="E471" s="3">
        <v>2</v>
      </c>
      <c r="F471" s="2">
        <v>2</v>
      </c>
      <c r="G471" s="4">
        <v>2</v>
      </c>
      <c r="H471" s="13"/>
      <c r="I471" s="15"/>
      <c r="J471" s="19">
        <v>2</v>
      </c>
      <c r="K471" s="2" t="s">
        <v>953</v>
      </c>
      <c r="L471" s="11" t="str">
        <f t="shared" si="8"/>
        <v>Ver Imagen</v>
      </c>
      <c r="M471" t="s">
        <v>15</v>
      </c>
    </row>
    <row r="472" spans="1:13" x14ac:dyDescent="0.25">
      <c r="A472">
        <v>471</v>
      </c>
      <c r="B472" t="s">
        <v>954</v>
      </c>
      <c r="C472" s="1">
        <v>37.245898712299997</v>
      </c>
      <c r="D472" s="1">
        <v>-7.1278895783499996</v>
      </c>
      <c r="E472" s="3">
        <v>2</v>
      </c>
      <c r="F472" s="2">
        <v>2</v>
      </c>
      <c r="G472" s="4">
        <v>2</v>
      </c>
      <c r="H472" s="13"/>
      <c r="I472" s="15"/>
      <c r="J472" s="19">
        <v>2</v>
      </c>
      <c r="K472" s="2" t="s">
        <v>955</v>
      </c>
      <c r="L472" s="11" t="str">
        <f t="shared" si="8"/>
        <v>Ver Imagen</v>
      </c>
      <c r="M472" t="s">
        <v>15</v>
      </c>
    </row>
    <row r="473" spans="1:13" x14ac:dyDescent="0.25">
      <c r="A473">
        <v>472</v>
      </c>
      <c r="B473" t="s">
        <v>956</v>
      </c>
      <c r="C473" s="1">
        <v>37.245674923199999</v>
      </c>
      <c r="D473" s="1">
        <v>-7.1279223242600001</v>
      </c>
      <c r="E473" s="3">
        <v>2</v>
      </c>
      <c r="F473" s="2">
        <v>2</v>
      </c>
      <c r="G473" s="4">
        <v>2</v>
      </c>
      <c r="H473" s="13"/>
      <c r="I473" s="15"/>
      <c r="J473" s="19">
        <v>2</v>
      </c>
      <c r="K473" s="2" t="s">
        <v>957</v>
      </c>
      <c r="L473" s="11" t="str">
        <f t="shared" si="8"/>
        <v>Ver Imagen</v>
      </c>
      <c r="M473" t="s">
        <v>15</v>
      </c>
    </row>
    <row r="474" spans="1:13" x14ac:dyDescent="0.25">
      <c r="A474">
        <v>473</v>
      </c>
      <c r="B474" t="s">
        <v>958</v>
      </c>
      <c r="C474" s="1">
        <v>37.245291196300002</v>
      </c>
      <c r="D474" s="1">
        <v>-7.1279790795200002</v>
      </c>
      <c r="E474" s="3">
        <v>2</v>
      </c>
      <c r="F474" s="2">
        <v>2</v>
      </c>
      <c r="G474" s="4">
        <v>2</v>
      </c>
      <c r="H474" s="13"/>
      <c r="I474" s="15"/>
      <c r="J474" s="19">
        <v>2</v>
      </c>
      <c r="K474" s="2" t="s">
        <v>959</v>
      </c>
      <c r="L474" s="11" t="str">
        <f t="shared" si="8"/>
        <v>Ver Imagen</v>
      </c>
      <c r="M474" t="s">
        <v>15</v>
      </c>
    </row>
    <row r="475" spans="1:13" x14ac:dyDescent="0.25">
      <c r="A475">
        <v>474</v>
      </c>
      <c r="B475" t="s">
        <v>960</v>
      </c>
      <c r="C475" s="1">
        <v>37.245058037299998</v>
      </c>
      <c r="D475" s="1">
        <v>-7.1280134258699999</v>
      </c>
      <c r="E475" s="3">
        <v>2</v>
      </c>
      <c r="F475" s="2">
        <v>2</v>
      </c>
      <c r="G475" s="4">
        <v>2</v>
      </c>
      <c r="H475" s="13"/>
      <c r="I475" s="15"/>
      <c r="J475" s="19">
        <v>2</v>
      </c>
      <c r="K475" s="2" t="s">
        <v>961</v>
      </c>
      <c r="L475" s="11" t="str">
        <f t="shared" si="8"/>
        <v>Ver Imagen</v>
      </c>
      <c r="M475" t="s">
        <v>15</v>
      </c>
    </row>
    <row r="476" spans="1:13" x14ac:dyDescent="0.25">
      <c r="A476">
        <v>475</v>
      </c>
      <c r="B476" t="s">
        <v>962</v>
      </c>
      <c r="C476" s="1">
        <v>37.244890759599997</v>
      </c>
      <c r="D476" s="1">
        <v>-7.12803802033</v>
      </c>
      <c r="E476" s="3">
        <v>2</v>
      </c>
      <c r="F476" s="2">
        <v>2</v>
      </c>
      <c r="G476" s="4">
        <v>2</v>
      </c>
      <c r="H476" s="13"/>
      <c r="I476" s="15"/>
      <c r="J476" s="19">
        <v>2</v>
      </c>
      <c r="K476" s="2" t="s">
        <v>963</v>
      </c>
      <c r="L476" s="11" t="str">
        <f t="shared" si="8"/>
        <v>Ver Imagen</v>
      </c>
      <c r="M476" t="s">
        <v>15</v>
      </c>
    </row>
    <row r="477" spans="1:13" x14ac:dyDescent="0.25">
      <c r="A477">
        <v>476</v>
      </c>
      <c r="B477" t="s">
        <v>964</v>
      </c>
      <c r="C477" s="1">
        <v>37.244076831599997</v>
      </c>
      <c r="D477" s="1">
        <v>-7.1281533925999998</v>
      </c>
      <c r="E477" s="3">
        <v>2</v>
      </c>
      <c r="F477" s="2">
        <v>2</v>
      </c>
      <c r="G477" s="4">
        <v>2</v>
      </c>
      <c r="H477" s="13"/>
      <c r="I477" s="15"/>
      <c r="J477" s="19">
        <v>2</v>
      </c>
      <c r="K477" s="2" t="s">
        <v>965</v>
      </c>
      <c r="L477" s="11" t="str">
        <f t="shared" si="8"/>
        <v>Ver Imagen</v>
      </c>
      <c r="M477" t="s">
        <v>15</v>
      </c>
    </row>
    <row r="478" spans="1:13" x14ac:dyDescent="0.25">
      <c r="A478">
        <v>477</v>
      </c>
      <c r="B478" t="s">
        <v>966</v>
      </c>
      <c r="C478" s="1">
        <v>37.243870777200001</v>
      </c>
      <c r="D478" s="1">
        <v>-7.12818350503</v>
      </c>
      <c r="E478" s="3">
        <v>2</v>
      </c>
      <c r="F478" s="2">
        <v>2</v>
      </c>
      <c r="G478" s="4">
        <v>2</v>
      </c>
      <c r="H478" s="13"/>
      <c r="I478" s="15"/>
      <c r="J478" s="19">
        <v>2</v>
      </c>
      <c r="K478" s="2" t="s">
        <v>967</v>
      </c>
      <c r="L478" s="11" t="str">
        <f t="shared" si="8"/>
        <v>Ver Imagen</v>
      </c>
      <c r="M478" t="s">
        <v>15</v>
      </c>
    </row>
    <row r="479" spans="1:13" x14ac:dyDescent="0.25">
      <c r="A479">
        <v>478</v>
      </c>
      <c r="B479" t="s">
        <v>968</v>
      </c>
      <c r="C479" s="1">
        <v>37.2436626832</v>
      </c>
      <c r="D479" s="1">
        <v>-7.1282148967500003</v>
      </c>
      <c r="E479" s="3">
        <v>2</v>
      </c>
      <c r="F479" s="2">
        <v>2</v>
      </c>
      <c r="G479" s="4">
        <v>2</v>
      </c>
      <c r="H479" s="13"/>
      <c r="I479" s="15"/>
      <c r="J479" s="19">
        <v>2</v>
      </c>
      <c r="K479" s="2" t="s">
        <v>969</v>
      </c>
      <c r="L479" s="11" t="str">
        <f t="shared" si="8"/>
        <v>Ver Imagen</v>
      </c>
      <c r="M479" t="s">
        <v>15</v>
      </c>
    </row>
    <row r="480" spans="1:13" x14ac:dyDescent="0.25">
      <c r="A480">
        <v>479</v>
      </c>
      <c r="B480" t="s">
        <v>970</v>
      </c>
      <c r="C480" s="1">
        <v>37.242450076899999</v>
      </c>
      <c r="D480" s="1">
        <v>-7.1283989743899996</v>
      </c>
      <c r="E480" s="3">
        <v>2</v>
      </c>
      <c r="F480" s="2">
        <v>2</v>
      </c>
      <c r="G480" s="4">
        <v>2</v>
      </c>
      <c r="H480" s="13"/>
      <c r="I480" s="15"/>
      <c r="J480" s="19">
        <v>2</v>
      </c>
      <c r="K480" s="2" t="s">
        <v>971</v>
      </c>
      <c r="L480" s="11" t="str">
        <f t="shared" si="8"/>
        <v>Ver Imagen</v>
      </c>
      <c r="M480" t="s">
        <v>15</v>
      </c>
    </row>
    <row r="481" spans="1:13" x14ac:dyDescent="0.25">
      <c r="A481">
        <v>480</v>
      </c>
      <c r="B481" t="s">
        <v>972</v>
      </c>
      <c r="C481" s="1">
        <v>37.2418773805</v>
      </c>
      <c r="D481" s="1">
        <v>-7.1284873436099998</v>
      </c>
      <c r="E481" s="3">
        <v>2</v>
      </c>
      <c r="F481" s="2">
        <v>2</v>
      </c>
      <c r="G481" s="4">
        <v>2</v>
      </c>
      <c r="H481" s="13"/>
      <c r="I481" s="15"/>
      <c r="J481" s="19">
        <v>2</v>
      </c>
      <c r="K481" s="2" t="s">
        <v>973</v>
      </c>
      <c r="L481" s="11" t="str">
        <f t="shared" si="8"/>
        <v>Ver Imagen</v>
      </c>
      <c r="M481" t="s">
        <v>15</v>
      </c>
    </row>
    <row r="482" spans="1:13" x14ac:dyDescent="0.25">
      <c r="A482">
        <v>481</v>
      </c>
      <c r="B482" t="s">
        <v>974</v>
      </c>
      <c r="C482" s="1">
        <v>37.241668603699999</v>
      </c>
      <c r="D482" s="1">
        <v>-7.1285178700599996</v>
      </c>
      <c r="E482" s="3">
        <v>2</v>
      </c>
      <c r="F482" s="2">
        <v>2</v>
      </c>
      <c r="G482" s="4">
        <v>2</v>
      </c>
      <c r="H482" s="13"/>
      <c r="I482" s="15"/>
      <c r="J482" s="19">
        <v>2</v>
      </c>
      <c r="K482" s="2" t="s">
        <v>975</v>
      </c>
      <c r="L482" s="11" t="str">
        <f t="shared" si="8"/>
        <v>Ver Imagen</v>
      </c>
      <c r="M482" t="s">
        <v>15</v>
      </c>
    </row>
    <row r="483" spans="1:13" x14ac:dyDescent="0.25">
      <c r="A483">
        <v>482</v>
      </c>
      <c r="B483" t="s">
        <v>976</v>
      </c>
      <c r="C483" s="1">
        <v>37.2414802511</v>
      </c>
      <c r="D483" s="1">
        <v>-7.1285433779299998</v>
      </c>
      <c r="E483" s="3">
        <v>2</v>
      </c>
      <c r="F483" s="2">
        <v>2</v>
      </c>
      <c r="G483" s="4">
        <v>2</v>
      </c>
      <c r="H483" s="13"/>
      <c r="I483" s="15"/>
      <c r="J483" s="19">
        <v>2</v>
      </c>
      <c r="K483" s="2" t="s">
        <v>977</v>
      </c>
      <c r="L483" s="11" t="str">
        <f t="shared" si="8"/>
        <v>Ver Imagen</v>
      </c>
      <c r="M483" t="s">
        <v>15</v>
      </c>
    </row>
    <row r="484" spans="1:13" x14ac:dyDescent="0.25">
      <c r="A484">
        <v>483</v>
      </c>
      <c r="B484" t="s">
        <v>978</v>
      </c>
      <c r="C484" s="1">
        <v>37.240031319499998</v>
      </c>
      <c r="D484" s="1">
        <v>-7.1285689695899999</v>
      </c>
      <c r="E484" s="3">
        <v>2</v>
      </c>
      <c r="F484" s="2">
        <v>2</v>
      </c>
      <c r="G484" s="4">
        <v>2</v>
      </c>
      <c r="H484" s="13"/>
      <c r="I484" s="15"/>
      <c r="J484" s="19">
        <v>2</v>
      </c>
      <c r="K484" s="2" t="s">
        <v>979</v>
      </c>
      <c r="L484" s="11" t="str">
        <f t="shared" si="8"/>
        <v>Ver Imagen</v>
      </c>
      <c r="M484" t="s">
        <v>15</v>
      </c>
    </row>
    <row r="485" spans="1:13" x14ac:dyDescent="0.25">
      <c r="A485">
        <v>484</v>
      </c>
      <c r="B485" t="s">
        <v>980</v>
      </c>
      <c r="C485" s="1">
        <v>37.239849724999999</v>
      </c>
      <c r="D485" s="1">
        <v>-7.1285542826099997</v>
      </c>
      <c r="E485" s="3">
        <v>2</v>
      </c>
      <c r="F485" s="2">
        <v>2</v>
      </c>
      <c r="G485" s="4">
        <v>2</v>
      </c>
      <c r="H485" s="13"/>
      <c r="I485" s="15"/>
      <c r="J485" s="19">
        <v>2</v>
      </c>
      <c r="K485" s="2" t="s">
        <v>981</v>
      </c>
      <c r="L485" s="11" t="str">
        <f t="shared" si="8"/>
        <v>Ver Imagen</v>
      </c>
      <c r="M485" t="s">
        <v>15</v>
      </c>
    </row>
    <row r="486" spans="1:13" x14ac:dyDescent="0.25">
      <c r="A486">
        <v>485</v>
      </c>
      <c r="B486" t="s">
        <v>982</v>
      </c>
      <c r="C486" s="1">
        <v>37.239444470800002</v>
      </c>
      <c r="D486" s="1">
        <v>-7.1285198222900004</v>
      </c>
      <c r="E486" s="3">
        <v>2</v>
      </c>
      <c r="F486" s="2">
        <v>2</v>
      </c>
      <c r="G486" s="4">
        <v>2</v>
      </c>
      <c r="H486" s="13"/>
      <c r="I486" s="15"/>
      <c r="J486" s="19">
        <v>2</v>
      </c>
      <c r="K486" s="2" t="s">
        <v>983</v>
      </c>
      <c r="L486" s="11" t="str">
        <f t="shared" si="8"/>
        <v>Ver Imagen</v>
      </c>
      <c r="M486" t="s">
        <v>15</v>
      </c>
    </row>
    <row r="487" spans="1:13" x14ac:dyDescent="0.25">
      <c r="A487">
        <v>486</v>
      </c>
      <c r="B487" t="s">
        <v>984</v>
      </c>
      <c r="C487" s="1">
        <v>37.239270606600002</v>
      </c>
      <c r="D487" s="1">
        <v>-7.1285033321600002</v>
      </c>
      <c r="E487" s="3">
        <v>2</v>
      </c>
      <c r="F487" s="2">
        <v>2</v>
      </c>
      <c r="G487" s="4">
        <v>2</v>
      </c>
      <c r="H487" s="13"/>
      <c r="I487" s="15"/>
      <c r="J487" s="19">
        <v>2</v>
      </c>
      <c r="K487" s="2" t="s">
        <v>985</v>
      </c>
      <c r="L487" s="11" t="str">
        <f t="shared" si="8"/>
        <v>Ver Imagen</v>
      </c>
      <c r="M487" t="s">
        <v>15</v>
      </c>
    </row>
    <row r="488" spans="1:13" x14ac:dyDescent="0.25">
      <c r="A488">
        <v>487</v>
      </c>
      <c r="B488" t="s">
        <v>986</v>
      </c>
      <c r="C488" s="1">
        <v>37.239037025999998</v>
      </c>
      <c r="D488" s="1">
        <v>-7.12847911291</v>
      </c>
      <c r="E488" s="3">
        <v>2</v>
      </c>
      <c r="F488" s="2">
        <v>2</v>
      </c>
      <c r="G488" s="4">
        <v>2</v>
      </c>
      <c r="H488" s="13"/>
      <c r="I488" s="15"/>
      <c r="J488" s="19">
        <v>2</v>
      </c>
      <c r="K488" s="2" t="s">
        <v>987</v>
      </c>
      <c r="L488" s="11" t="str">
        <f t="shared" si="8"/>
        <v>Ver Imagen</v>
      </c>
      <c r="M488" t="s">
        <v>15</v>
      </c>
    </row>
    <row r="489" spans="1:13" x14ac:dyDescent="0.25">
      <c r="A489">
        <v>488</v>
      </c>
      <c r="B489" t="s">
        <v>988</v>
      </c>
      <c r="C489" s="1">
        <v>37.2388544517</v>
      </c>
      <c r="D489" s="1">
        <v>-7.1284597161600001</v>
      </c>
      <c r="E489" s="3">
        <v>2</v>
      </c>
      <c r="F489" s="2">
        <v>2</v>
      </c>
      <c r="G489" s="4">
        <v>2</v>
      </c>
      <c r="H489" s="13"/>
      <c r="I489" s="15"/>
      <c r="J489" s="19">
        <v>2</v>
      </c>
      <c r="K489" s="2" t="s">
        <v>989</v>
      </c>
      <c r="L489" s="11" t="str">
        <f t="shared" si="8"/>
        <v>Ver Imagen</v>
      </c>
      <c r="M489" t="s">
        <v>15</v>
      </c>
    </row>
    <row r="490" spans="1:13" x14ac:dyDescent="0.25">
      <c r="A490">
        <v>489</v>
      </c>
      <c r="B490" t="s">
        <v>990</v>
      </c>
      <c r="C490" s="1">
        <v>37.237005673399999</v>
      </c>
      <c r="D490" s="1">
        <v>-7.1282790658000001</v>
      </c>
      <c r="E490" s="3">
        <v>2</v>
      </c>
      <c r="F490" s="2">
        <v>2</v>
      </c>
      <c r="G490" s="4">
        <v>2</v>
      </c>
      <c r="H490" s="13"/>
      <c r="I490" s="15"/>
      <c r="J490" s="19">
        <v>2</v>
      </c>
      <c r="K490" s="2" t="s">
        <v>991</v>
      </c>
      <c r="L490" s="11" t="str">
        <f t="shared" si="8"/>
        <v>Ver Imagen</v>
      </c>
      <c r="M490" t="s">
        <v>15</v>
      </c>
    </row>
    <row r="491" spans="1:13" x14ac:dyDescent="0.25">
      <c r="A491">
        <v>490</v>
      </c>
      <c r="B491" t="s">
        <v>992</v>
      </c>
      <c r="C491" s="1">
        <v>37.236817737999999</v>
      </c>
      <c r="D491" s="1">
        <v>-7.1282619305899999</v>
      </c>
      <c r="E491" s="3">
        <v>2</v>
      </c>
      <c r="F491" s="2">
        <v>2</v>
      </c>
      <c r="G491" s="4">
        <v>2</v>
      </c>
      <c r="H491" s="13"/>
      <c r="I491" s="15"/>
      <c r="J491" s="19">
        <v>2</v>
      </c>
      <c r="K491" s="2" t="s">
        <v>993</v>
      </c>
      <c r="L491" s="11" t="str">
        <f t="shared" si="8"/>
        <v>Ver Imagen</v>
      </c>
      <c r="M491" t="s">
        <v>15</v>
      </c>
    </row>
    <row r="492" spans="1:13" x14ac:dyDescent="0.25">
      <c r="A492">
        <v>491</v>
      </c>
      <c r="B492" t="s">
        <v>994</v>
      </c>
      <c r="C492" s="1">
        <v>37.236003557899998</v>
      </c>
      <c r="D492" s="1">
        <v>-7.1281852411699997</v>
      </c>
      <c r="E492" s="3">
        <v>2</v>
      </c>
      <c r="F492" s="2">
        <v>2</v>
      </c>
      <c r="G492" s="4">
        <v>2</v>
      </c>
      <c r="H492" s="13"/>
      <c r="I492" s="15"/>
      <c r="J492" s="19">
        <v>2</v>
      </c>
      <c r="K492" s="2" t="s">
        <v>995</v>
      </c>
      <c r="L492" s="11" t="str">
        <f t="shared" si="8"/>
        <v>Ver Imagen</v>
      </c>
      <c r="M492" t="s">
        <v>15</v>
      </c>
    </row>
    <row r="493" spans="1:13" x14ac:dyDescent="0.25">
      <c r="A493">
        <v>492</v>
      </c>
      <c r="B493" t="s">
        <v>996</v>
      </c>
      <c r="C493" s="1">
        <v>37.235800427299999</v>
      </c>
      <c r="D493" s="1">
        <v>-7.1281613723100001</v>
      </c>
      <c r="E493" s="3">
        <v>2</v>
      </c>
      <c r="F493" s="2">
        <v>2</v>
      </c>
      <c r="G493" s="4">
        <v>2</v>
      </c>
      <c r="H493" s="13"/>
      <c r="I493" s="15"/>
      <c r="J493" s="19">
        <v>2</v>
      </c>
      <c r="K493" s="2" t="s">
        <v>997</v>
      </c>
      <c r="L493" s="11" t="str">
        <f t="shared" si="8"/>
        <v>Ver Imagen</v>
      </c>
      <c r="M493" t="s">
        <v>15</v>
      </c>
    </row>
    <row r="494" spans="1:13" x14ac:dyDescent="0.25">
      <c r="A494">
        <v>493</v>
      </c>
      <c r="B494" t="s">
        <v>998</v>
      </c>
      <c r="C494" s="1">
        <v>37.235627440499997</v>
      </c>
      <c r="D494" s="1">
        <v>-7.12813649885</v>
      </c>
      <c r="E494" s="3">
        <v>2</v>
      </c>
      <c r="F494" s="2">
        <v>2</v>
      </c>
      <c r="G494" s="4">
        <v>2</v>
      </c>
      <c r="H494" s="13"/>
      <c r="I494" s="15"/>
      <c r="J494" s="19">
        <v>2</v>
      </c>
      <c r="K494" s="2" t="s">
        <v>999</v>
      </c>
      <c r="L494" s="11" t="str">
        <f t="shared" si="8"/>
        <v>Ver Imagen</v>
      </c>
      <c r="M494" t="s">
        <v>15</v>
      </c>
    </row>
    <row r="495" spans="1:13" x14ac:dyDescent="0.25">
      <c r="A495">
        <v>494</v>
      </c>
      <c r="B495" t="s">
        <v>1000</v>
      </c>
      <c r="C495" s="1">
        <v>37.235218913700002</v>
      </c>
      <c r="D495" s="1">
        <v>-7.1280424193999998</v>
      </c>
      <c r="E495" s="3">
        <v>2</v>
      </c>
      <c r="F495" s="2">
        <v>2</v>
      </c>
      <c r="G495" s="4">
        <v>2</v>
      </c>
      <c r="H495" s="13"/>
      <c r="I495" s="15"/>
      <c r="J495" s="19">
        <v>2</v>
      </c>
      <c r="K495" s="2" t="s">
        <v>1001</v>
      </c>
      <c r="L495" s="11" t="str">
        <f t="shared" si="8"/>
        <v>Ver Imagen</v>
      </c>
      <c r="M495" t="s">
        <v>15</v>
      </c>
    </row>
    <row r="496" spans="1:13" x14ac:dyDescent="0.25">
      <c r="A496">
        <v>495</v>
      </c>
      <c r="B496" t="s">
        <v>1002</v>
      </c>
      <c r="C496" s="1">
        <v>37.235006968199997</v>
      </c>
      <c r="D496" s="1">
        <v>-7.1279666306199996</v>
      </c>
      <c r="E496" s="3">
        <v>2</v>
      </c>
      <c r="F496" s="2">
        <v>2</v>
      </c>
      <c r="G496" s="4">
        <v>2</v>
      </c>
      <c r="H496" s="13"/>
      <c r="I496" s="15"/>
      <c r="J496" s="19">
        <v>2</v>
      </c>
      <c r="K496" s="2" t="s">
        <v>1003</v>
      </c>
      <c r="L496" s="11" t="str">
        <f t="shared" si="8"/>
        <v>Ver Imagen</v>
      </c>
      <c r="M496" t="s">
        <v>15</v>
      </c>
    </row>
    <row r="497" spans="1:13" x14ac:dyDescent="0.25">
      <c r="A497">
        <v>496</v>
      </c>
      <c r="B497" t="s">
        <v>1004</v>
      </c>
      <c r="C497" s="1">
        <v>37.234430269999997</v>
      </c>
      <c r="D497" s="1">
        <v>-7.1277081355299998</v>
      </c>
      <c r="E497" s="3">
        <v>2</v>
      </c>
      <c r="F497" s="2">
        <v>2</v>
      </c>
      <c r="G497" s="4">
        <v>2</v>
      </c>
      <c r="H497" s="13"/>
      <c r="I497" s="15"/>
      <c r="J497" s="19">
        <v>2</v>
      </c>
      <c r="K497" s="2" t="s">
        <v>1005</v>
      </c>
      <c r="L497" s="11" t="str">
        <f t="shared" si="8"/>
        <v>Ver Imagen</v>
      </c>
      <c r="M497" t="s">
        <v>15</v>
      </c>
    </row>
    <row r="498" spans="1:13" x14ac:dyDescent="0.25">
      <c r="A498">
        <v>497</v>
      </c>
      <c r="B498" t="s">
        <v>1006</v>
      </c>
      <c r="C498" s="1">
        <v>37.234261660199998</v>
      </c>
      <c r="D498" s="1">
        <v>-7.1276292273799999</v>
      </c>
      <c r="E498" s="3">
        <v>2</v>
      </c>
      <c r="F498" s="2">
        <v>2</v>
      </c>
      <c r="G498" s="4">
        <v>2</v>
      </c>
      <c r="H498" s="13"/>
      <c r="I498" s="15"/>
      <c r="J498" s="19">
        <v>2</v>
      </c>
      <c r="K498" s="2" t="s">
        <v>1007</v>
      </c>
      <c r="L498" s="11" t="str">
        <f t="shared" si="8"/>
        <v>Ver Imagen</v>
      </c>
      <c r="M498" t="s">
        <v>15</v>
      </c>
    </row>
    <row r="499" spans="1:13" x14ac:dyDescent="0.25">
      <c r="A499">
        <v>498</v>
      </c>
      <c r="B499" t="s">
        <v>1008</v>
      </c>
      <c r="C499" s="1">
        <v>37.234059845399997</v>
      </c>
      <c r="D499" s="1">
        <v>-7.12753814612</v>
      </c>
      <c r="E499" s="3">
        <v>2</v>
      </c>
      <c r="F499" s="2">
        <v>2</v>
      </c>
      <c r="G499" s="4">
        <v>2</v>
      </c>
      <c r="H499" s="13"/>
      <c r="I499" s="15"/>
      <c r="J499" s="19">
        <v>2</v>
      </c>
      <c r="K499" s="2" t="s">
        <v>1009</v>
      </c>
      <c r="L499" s="11" t="str">
        <f t="shared" si="8"/>
        <v>Ver Imagen</v>
      </c>
      <c r="M499" t="s">
        <v>15</v>
      </c>
    </row>
    <row r="500" spans="1:13" x14ac:dyDescent="0.25">
      <c r="A500">
        <v>499</v>
      </c>
      <c r="B500" t="s">
        <v>1010</v>
      </c>
      <c r="C500" s="1">
        <v>37.233849446800001</v>
      </c>
      <c r="D500" s="1">
        <v>-7.1274524461400004</v>
      </c>
      <c r="E500" s="3">
        <v>2</v>
      </c>
      <c r="F500" s="2">
        <v>2</v>
      </c>
      <c r="G500" s="4">
        <v>2</v>
      </c>
      <c r="H500" s="13"/>
      <c r="I500" s="15"/>
      <c r="J500" s="19">
        <v>2</v>
      </c>
      <c r="K500" s="2" t="s">
        <v>1011</v>
      </c>
      <c r="L500" s="11" t="str">
        <f t="shared" si="8"/>
        <v>Ver Imagen</v>
      </c>
      <c r="M500" t="s">
        <v>15</v>
      </c>
    </row>
    <row r="501" spans="1:13" x14ac:dyDescent="0.25">
      <c r="A501">
        <v>500</v>
      </c>
      <c r="B501" t="s">
        <v>1012</v>
      </c>
      <c r="C501" s="1">
        <v>37.2337044386</v>
      </c>
      <c r="D501" s="1">
        <v>-7.12740180636</v>
      </c>
      <c r="E501" s="3">
        <v>2</v>
      </c>
      <c r="F501" s="2">
        <v>2</v>
      </c>
      <c r="G501" s="4">
        <v>2</v>
      </c>
      <c r="H501" s="13"/>
      <c r="I501" s="15"/>
      <c r="J501" s="19">
        <v>2</v>
      </c>
      <c r="K501" s="2" t="s">
        <v>1013</v>
      </c>
      <c r="L501" s="11" t="str">
        <f t="shared" si="8"/>
        <v>Ver Imagen</v>
      </c>
      <c r="M501" t="s">
        <v>15</v>
      </c>
    </row>
    <row r="502" spans="1:13" x14ac:dyDescent="0.25">
      <c r="A502">
        <v>501</v>
      </c>
      <c r="B502" t="s">
        <v>1014</v>
      </c>
      <c r="C502" s="1">
        <v>37.233485663400003</v>
      </c>
      <c r="D502" s="1">
        <v>-7.1273383430699999</v>
      </c>
      <c r="E502" s="3">
        <v>2</v>
      </c>
      <c r="F502" s="2">
        <v>2</v>
      </c>
      <c r="G502" s="4">
        <v>2</v>
      </c>
      <c r="H502" s="13"/>
      <c r="I502" s="15"/>
      <c r="J502" s="19">
        <v>2</v>
      </c>
      <c r="K502" s="2" t="s">
        <v>1015</v>
      </c>
      <c r="L502" s="11" t="str">
        <f t="shared" si="8"/>
        <v>Ver Imagen</v>
      </c>
      <c r="M502" t="s">
        <v>15</v>
      </c>
    </row>
    <row r="503" spans="1:13" x14ac:dyDescent="0.25">
      <c r="A503">
        <v>502</v>
      </c>
      <c r="B503" t="s">
        <v>1016</v>
      </c>
      <c r="C503" s="1">
        <v>37.2332892417</v>
      </c>
      <c r="D503" s="1">
        <v>-7.1272926937900003</v>
      </c>
      <c r="E503" s="3">
        <v>2</v>
      </c>
      <c r="F503" s="2">
        <v>2</v>
      </c>
      <c r="G503" s="4">
        <v>2</v>
      </c>
      <c r="H503" s="13"/>
      <c r="I503" s="15"/>
      <c r="J503" s="19">
        <v>2</v>
      </c>
      <c r="K503" s="2" t="s">
        <v>1017</v>
      </c>
      <c r="L503" s="11" t="str">
        <f t="shared" si="8"/>
        <v>Ver Imagen</v>
      </c>
      <c r="M503" t="s">
        <v>15</v>
      </c>
    </row>
    <row r="504" spans="1:13" x14ac:dyDescent="0.25">
      <c r="A504">
        <v>503</v>
      </c>
      <c r="B504" t="s">
        <v>1018</v>
      </c>
      <c r="C504" s="1">
        <v>37.233115831799999</v>
      </c>
      <c r="D504" s="1">
        <v>-7.1272602335800004</v>
      </c>
      <c r="E504" s="3">
        <v>2</v>
      </c>
      <c r="F504" s="2">
        <v>2</v>
      </c>
      <c r="G504" s="4">
        <v>2</v>
      </c>
      <c r="H504" s="13"/>
      <c r="I504" s="15"/>
      <c r="J504" s="19">
        <v>2</v>
      </c>
      <c r="K504" s="2" t="s">
        <v>1019</v>
      </c>
      <c r="L504" s="11" t="str">
        <f t="shared" si="8"/>
        <v>Ver Imagen</v>
      </c>
      <c r="M504" t="s">
        <v>15</v>
      </c>
    </row>
    <row r="505" spans="1:13" x14ac:dyDescent="0.25">
      <c r="A505">
        <v>504</v>
      </c>
      <c r="B505" t="s">
        <v>1020</v>
      </c>
      <c r="C505" s="1">
        <v>37.232679712100001</v>
      </c>
      <c r="D505" s="1">
        <v>-7.1272015601799996</v>
      </c>
      <c r="E505" s="3">
        <v>2</v>
      </c>
      <c r="F505" s="2">
        <v>2</v>
      </c>
      <c r="G505" s="4">
        <v>2</v>
      </c>
      <c r="H505" s="13"/>
      <c r="I505" s="15"/>
      <c r="J505" s="19">
        <v>2</v>
      </c>
      <c r="K505" s="2" t="s">
        <v>1021</v>
      </c>
      <c r="L505" s="11" t="str">
        <f t="shared" si="8"/>
        <v>Ver Imagen</v>
      </c>
      <c r="M505" t="s">
        <v>15</v>
      </c>
    </row>
    <row r="506" spans="1:13" x14ac:dyDescent="0.25">
      <c r="A506">
        <v>505</v>
      </c>
      <c r="B506" t="s">
        <v>1022</v>
      </c>
      <c r="C506" s="1">
        <v>37.232498563299998</v>
      </c>
      <c r="D506" s="1">
        <v>-7.1271826058099998</v>
      </c>
      <c r="E506" s="3">
        <v>2</v>
      </c>
      <c r="F506" s="2">
        <v>2</v>
      </c>
      <c r="G506" s="4">
        <v>2</v>
      </c>
      <c r="H506" s="13"/>
      <c r="I506" s="15"/>
      <c r="J506" s="19">
        <v>2</v>
      </c>
      <c r="K506" s="2" t="s">
        <v>1023</v>
      </c>
      <c r="L506" s="11" t="str">
        <f t="shared" si="8"/>
        <v>Ver Imagen</v>
      </c>
      <c r="M506" t="s">
        <v>15</v>
      </c>
    </row>
    <row r="507" spans="1:13" x14ac:dyDescent="0.25">
      <c r="A507">
        <v>506</v>
      </c>
      <c r="B507" t="s">
        <v>1024</v>
      </c>
      <c r="C507" s="1">
        <v>37.232290195499999</v>
      </c>
      <c r="D507" s="1">
        <v>-7.12716383246</v>
      </c>
      <c r="E507" s="3">
        <v>2</v>
      </c>
      <c r="F507" s="2">
        <v>2</v>
      </c>
      <c r="G507" s="4">
        <v>2</v>
      </c>
      <c r="H507" s="13"/>
      <c r="I507" s="15"/>
      <c r="J507" s="19">
        <v>2</v>
      </c>
      <c r="K507" s="2" t="s">
        <v>1025</v>
      </c>
      <c r="L507" s="11" t="str">
        <f t="shared" si="8"/>
        <v>Ver Imagen</v>
      </c>
      <c r="M507" t="s">
        <v>15</v>
      </c>
    </row>
    <row r="508" spans="1:13" x14ac:dyDescent="0.25">
      <c r="A508">
        <v>507</v>
      </c>
      <c r="B508" t="s">
        <v>1026</v>
      </c>
      <c r="C508" s="1">
        <v>37.232047198499998</v>
      </c>
      <c r="D508" s="1">
        <v>-7.1271433326500002</v>
      </c>
      <c r="E508" s="3">
        <v>2</v>
      </c>
      <c r="F508" s="2">
        <v>2</v>
      </c>
      <c r="G508" s="4">
        <v>2</v>
      </c>
      <c r="H508" s="13"/>
      <c r="I508" s="15"/>
      <c r="J508" s="19">
        <v>2</v>
      </c>
      <c r="K508" s="2" t="s">
        <v>1027</v>
      </c>
      <c r="L508" s="11" t="str">
        <f t="shared" si="8"/>
        <v>Ver Imagen</v>
      </c>
      <c r="M508" t="s">
        <v>15</v>
      </c>
    </row>
    <row r="509" spans="1:13" x14ac:dyDescent="0.25">
      <c r="A509">
        <v>508</v>
      </c>
      <c r="B509" t="s">
        <v>1028</v>
      </c>
      <c r="C509" s="1">
        <v>37.2318654786</v>
      </c>
      <c r="D509" s="1">
        <v>-7.1271281701999998</v>
      </c>
      <c r="E509" s="3">
        <v>2</v>
      </c>
      <c r="F509" s="2">
        <v>2</v>
      </c>
      <c r="G509" s="4">
        <v>2</v>
      </c>
      <c r="H509" s="13"/>
      <c r="I509" s="15"/>
      <c r="J509" s="19">
        <v>2</v>
      </c>
      <c r="K509" s="2" t="s">
        <v>1029</v>
      </c>
      <c r="L509" s="11" t="str">
        <f t="shared" si="8"/>
        <v>Ver Imagen</v>
      </c>
      <c r="M509" t="s">
        <v>15</v>
      </c>
    </row>
    <row r="510" spans="1:13" x14ac:dyDescent="0.25">
      <c r="A510">
        <v>509</v>
      </c>
      <c r="B510" t="s">
        <v>1030</v>
      </c>
      <c r="C510" s="1">
        <v>37.230214129499998</v>
      </c>
      <c r="D510" s="1">
        <v>-7.1269812000700004</v>
      </c>
      <c r="E510" s="3">
        <v>2</v>
      </c>
      <c r="F510" s="2">
        <v>2</v>
      </c>
      <c r="G510" s="4">
        <v>2</v>
      </c>
      <c r="H510" s="13"/>
      <c r="I510" s="15"/>
      <c r="J510" s="19">
        <v>2</v>
      </c>
      <c r="K510" s="2" t="s">
        <v>1031</v>
      </c>
      <c r="L510" s="11" t="str">
        <f t="shared" si="8"/>
        <v>Ver Imagen</v>
      </c>
      <c r="M510" t="s">
        <v>15</v>
      </c>
    </row>
    <row r="511" spans="1:13" x14ac:dyDescent="0.25">
      <c r="A511">
        <v>510</v>
      </c>
      <c r="B511" t="s">
        <v>1032</v>
      </c>
      <c r="C511" s="1">
        <v>37.230042247299998</v>
      </c>
      <c r="D511" s="1">
        <v>-7.1269649388299996</v>
      </c>
      <c r="E511" s="3">
        <v>2</v>
      </c>
      <c r="F511" s="2">
        <v>2</v>
      </c>
      <c r="G511" s="4">
        <v>2</v>
      </c>
      <c r="H511" s="13"/>
      <c r="I511" s="15"/>
      <c r="J511" s="19">
        <v>2</v>
      </c>
      <c r="K511" s="2" t="s">
        <v>1033</v>
      </c>
      <c r="L511" s="11" t="str">
        <f t="shared" si="8"/>
        <v>Ver Imagen</v>
      </c>
      <c r="M511" t="s">
        <v>15</v>
      </c>
    </row>
    <row r="512" spans="1:13" x14ac:dyDescent="0.25">
      <c r="A512">
        <v>511</v>
      </c>
      <c r="B512" t="s">
        <v>1034</v>
      </c>
      <c r="C512" s="1">
        <v>37.222991116300001</v>
      </c>
      <c r="D512" s="1">
        <v>-7.1250117829099997</v>
      </c>
      <c r="E512" s="3">
        <v>2</v>
      </c>
      <c r="F512" s="2">
        <v>2</v>
      </c>
      <c r="G512" s="4">
        <v>2</v>
      </c>
      <c r="H512" s="13"/>
      <c r="I512" s="15"/>
      <c r="J512" s="19">
        <v>2</v>
      </c>
      <c r="K512" s="2" t="s">
        <v>1035</v>
      </c>
      <c r="L512" s="11" t="str">
        <f t="shared" si="8"/>
        <v>Ver Imagen</v>
      </c>
      <c r="M512" t="s">
        <v>15</v>
      </c>
    </row>
    <row r="513" spans="1:13" x14ac:dyDescent="0.25">
      <c r="A513">
        <v>512</v>
      </c>
      <c r="B513" t="s">
        <v>1036</v>
      </c>
      <c r="C513" s="1">
        <v>37.222367905900001</v>
      </c>
      <c r="D513" s="1">
        <v>-7.1250660343399996</v>
      </c>
      <c r="E513" s="3">
        <v>2</v>
      </c>
      <c r="F513" s="2">
        <v>2</v>
      </c>
      <c r="G513" s="4">
        <v>2</v>
      </c>
      <c r="H513" s="13"/>
      <c r="I513" s="15"/>
      <c r="J513" s="19">
        <v>2</v>
      </c>
      <c r="K513" s="2" t="s">
        <v>1037</v>
      </c>
      <c r="L513" s="11" t="str">
        <f t="shared" si="8"/>
        <v>Ver Imagen</v>
      </c>
      <c r="M513" t="s">
        <v>15</v>
      </c>
    </row>
    <row r="514" spans="1:13" x14ac:dyDescent="0.25">
      <c r="A514">
        <v>513</v>
      </c>
      <c r="B514" t="s">
        <v>1038</v>
      </c>
      <c r="C514" s="1">
        <v>37.222168398100003</v>
      </c>
      <c r="D514" s="1">
        <v>-7.1251072002000004</v>
      </c>
      <c r="E514" s="3">
        <v>2</v>
      </c>
      <c r="F514" s="2">
        <v>2</v>
      </c>
      <c r="G514" s="4">
        <v>2</v>
      </c>
      <c r="H514" s="13"/>
      <c r="I514" s="15"/>
      <c r="J514" s="19">
        <v>2</v>
      </c>
      <c r="K514" s="2" t="s">
        <v>1039</v>
      </c>
      <c r="L514" s="11" t="str">
        <f t="shared" si="8"/>
        <v>Ver Imagen</v>
      </c>
      <c r="M514" t="s">
        <v>15</v>
      </c>
    </row>
    <row r="515" spans="1:13" x14ac:dyDescent="0.25">
      <c r="A515">
        <v>514</v>
      </c>
      <c r="B515" t="s">
        <v>1040</v>
      </c>
      <c r="C515" s="1">
        <v>37.443823414400001</v>
      </c>
      <c r="D515" s="1">
        <v>-7.0966979756599997</v>
      </c>
      <c r="E515" s="3">
        <v>2</v>
      </c>
      <c r="F515" s="2">
        <v>2</v>
      </c>
      <c r="G515" s="4">
        <v>2</v>
      </c>
      <c r="H515" s="13"/>
      <c r="I515" s="15"/>
      <c r="J515" s="19">
        <v>2</v>
      </c>
      <c r="K515" s="2" t="s">
        <v>1041</v>
      </c>
      <c r="L515" s="11" t="str">
        <f t="shared" si="8"/>
        <v>Ver Imagen</v>
      </c>
      <c r="M515" t="s">
        <v>15</v>
      </c>
    </row>
    <row r="516" spans="1:13" x14ac:dyDescent="0.25">
      <c r="A516">
        <v>515</v>
      </c>
      <c r="B516" t="s">
        <v>1042</v>
      </c>
      <c r="C516" s="1">
        <v>37.443150302799999</v>
      </c>
      <c r="D516" s="1">
        <v>-7.09484888193</v>
      </c>
      <c r="E516" s="3">
        <v>2</v>
      </c>
      <c r="F516" s="2">
        <v>2</v>
      </c>
      <c r="G516" s="4">
        <v>2</v>
      </c>
      <c r="H516" s="13"/>
      <c r="I516" s="15"/>
      <c r="J516" s="19">
        <v>2</v>
      </c>
      <c r="K516" s="2" t="s">
        <v>1043</v>
      </c>
      <c r="L516" s="11" t="str">
        <f t="shared" si="8"/>
        <v>Ver Imagen</v>
      </c>
      <c r="M516" t="s">
        <v>15</v>
      </c>
    </row>
    <row r="517" spans="1:13" x14ac:dyDescent="0.25">
      <c r="A517">
        <v>516</v>
      </c>
      <c r="B517" t="s">
        <v>1044</v>
      </c>
      <c r="C517" s="1">
        <v>37.442538292899997</v>
      </c>
      <c r="D517" s="1">
        <v>-7.0932537736399999</v>
      </c>
      <c r="E517" s="3">
        <v>2</v>
      </c>
      <c r="F517" s="2">
        <v>2</v>
      </c>
      <c r="G517" s="4">
        <v>2</v>
      </c>
      <c r="H517" s="13"/>
      <c r="I517" s="15"/>
      <c r="J517" s="19">
        <v>2</v>
      </c>
      <c r="K517" s="2" t="s">
        <v>1045</v>
      </c>
      <c r="L517" s="11" t="str">
        <f t="shared" si="8"/>
        <v>Ver Imagen</v>
      </c>
      <c r="M517" t="s">
        <v>15</v>
      </c>
    </row>
    <row r="518" spans="1:13" x14ac:dyDescent="0.25">
      <c r="A518">
        <v>517</v>
      </c>
      <c r="B518" t="s">
        <v>1046</v>
      </c>
      <c r="C518" s="1">
        <v>37.442279521400003</v>
      </c>
      <c r="D518" s="1">
        <v>-7.09259031694</v>
      </c>
      <c r="E518" s="3">
        <v>2</v>
      </c>
      <c r="F518" s="2">
        <v>2</v>
      </c>
      <c r="G518" s="4">
        <v>2</v>
      </c>
      <c r="H518" s="13"/>
      <c r="I518" s="15"/>
      <c r="J518" s="19">
        <v>2</v>
      </c>
      <c r="K518" s="2" t="s">
        <v>1047</v>
      </c>
      <c r="L518" s="11" t="str">
        <f t="shared" si="8"/>
        <v>Ver Imagen</v>
      </c>
      <c r="M518" t="s">
        <v>15</v>
      </c>
    </row>
    <row r="519" spans="1:13" x14ac:dyDescent="0.25">
      <c r="A519">
        <v>518</v>
      </c>
      <c r="B519" t="s">
        <v>1048</v>
      </c>
      <c r="C519" s="1">
        <v>37.436433871200002</v>
      </c>
      <c r="D519" s="1">
        <v>-7.0782327668300002</v>
      </c>
      <c r="E519" s="3">
        <v>2</v>
      </c>
      <c r="F519" s="2">
        <v>2</v>
      </c>
      <c r="G519" s="4">
        <v>2</v>
      </c>
      <c r="H519" s="13"/>
      <c r="I519" s="15"/>
      <c r="J519" s="19">
        <v>2</v>
      </c>
      <c r="K519" s="2" t="s">
        <v>1049</v>
      </c>
      <c r="L519" s="11" t="str">
        <f t="shared" si="8"/>
        <v>Ver Imagen</v>
      </c>
      <c r="M519" t="s">
        <v>15</v>
      </c>
    </row>
    <row r="520" spans="1:13" x14ac:dyDescent="0.25">
      <c r="A520">
        <v>519</v>
      </c>
      <c r="B520" t="s">
        <v>1050</v>
      </c>
      <c r="C520" s="1">
        <v>37.436277896299998</v>
      </c>
      <c r="D520" s="1">
        <v>-7.0777901296800003</v>
      </c>
      <c r="E520" s="3">
        <v>2</v>
      </c>
      <c r="F520" s="2">
        <v>2</v>
      </c>
      <c r="G520" s="4">
        <v>2</v>
      </c>
      <c r="H520" s="13"/>
      <c r="I520" s="15"/>
      <c r="J520" s="19">
        <v>2</v>
      </c>
      <c r="K520" s="2" t="s">
        <v>1051</v>
      </c>
      <c r="L520" s="11" t="str">
        <f t="shared" si="8"/>
        <v>Ver Imagen</v>
      </c>
      <c r="M520" t="s">
        <v>15</v>
      </c>
    </row>
    <row r="521" spans="1:13" x14ac:dyDescent="0.25">
      <c r="A521">
        <v>520</v>
      </c>
      <c r="B521" t="s">
        <v>1052</v>
      </c>
      <c r="C521" s="1">
        <v>37.436200732099998</v>
      </c>
      <c r="D521" s="1">
        <v>-7.07756880101</v>
      </c>
      <c r="E521" s="3">
        <v>2</v>
      </c>
      <c r="F521" s="2">
        <v>2</v>
      </c>
      <c r="G521" s="4">
        <v>2</v>
      </c>
      <c r="H521" s="13"/>
      <c r="I521" s="15"/>
      <c r="J521" s="19">
        <v>2</v>
      </c>
      <c r="K521" s="2" t="s">
        <v>1053</v>
      </c>
      <c r="L521" s="11" t="str">
        <f t="shared" ref="L521:L584" si="9">HYPERLINK("2\0\" &amp; K521, "Ver Imagen")</f>
        <v>Ver Imagen</v>
      </c>
      <c r="M521" t="s">
        <v>15</v>
      </c>
    </row>
    <row r="522" spans="1:13" x14ac:dyDescent="0.25">
      <c r="A522">
        <v>521</v>
      </c>
      <c r="B522" t="s">
        <v>1054</v>
      </c>
      <c r="C522" s="1">
        <v>37.221804818099997</v>
      </c>
      <c r="D522" s="1">
        <v>-7.05494013698</v>
      </c>
      <c r="E522" s="3">
        <v>2</v>
      </c>
      <c r="F522" s="2">
        <v>2</v>
      </c>
      <c r="G522" s="4">
        <v>2</v>
      </c>
      <c r="H522" s="13"/>
      <c r="I522" s="15"/>
      <c r="J522" s="19">
        <v>2</v>
      </c>
      <c r="K522" s="2" t="s">
        <v>1055</v>
      </c>
      <c r="L522" s="11" t="str">
        <f t="shared" si="9"/>
        <v>Ver Imagen</v>
      </c>
      <c r="M522" t="s">
        <v>15</v>
      </c>
    </row>
    <row r="523" spans="1:13" x14ac:dyDescent="0.25">
      <c r="A523">
        <v>522</v>
      </c>
      <c r="B523" t="s">
        <v>1056</v>
      </c>
      <c r="C523" s="1">
        <v>37.222098662400001</v>
      </c>
      <c r="D523" s="1">
        <v>-7.055281388</v>
      </c>
      <c r="E523" s="3">
        <v>2</v>
      </c>
      <c r="F523" s="2">
        <v>2</v>
      </c>
      <c r="G523" s="4">
        <v>2</v>
      </c>
      <c r="H523" s="13"/>
      <c r="I523" s="15"/>
      <c r="J523" s="19">
        <v>2</v>
      </c>
      <c r="K523" s="2" t="s">
        <v>1057</v>
      </c>
      <c r="L523" s="11" t="str">
        <f t="shared" si="9"/>
        <v>Ver Imagen</v>
      </c>
      <c r="M523" t="s">
        <v>15</v>
      </c>
    </row>
    <row r="524" spans="1:13" x14ac:dyDescent="0.25">
      <c r="A524">
        <v>523</v>
      </c>
      <c r="B524" t="s">
        <v>1058</v>
      </c>
      <c r="C524" s="1">
        <v>37.223211224400004</v>
      </c>
      <c r="D524" s="1">
        <v>-7.0558947869099997</v>
      </c>
      <c r="E524" s="3">
        <v>2</v>
      </c>
      <c r="F524" s="2">
        <v>2</v>
      </c>
      <c r="G524" s="4">
        <v>2</v>
      </c>
      <c r="H524" s="13"/>
      <c r="I524" s="15"/>
      <c r="J524" s="19">
        <v>2</v>
      </c>
      <c r="K524" s="2" t="s">
        <v>1059</v>
      </c>
      <c r="L524" s="11" t="str">
        <f t="shared" si="9"/>
        <v>Ver Imagen</v>
      </c>
      <c r="M524" t="s">
        <v>15</v>
      </c>
    </row>
    <row r="525" spans="1:13" x14ac:dyDescent="0.25">
      <c r="A525">
        <v>524</v>
      </c>
      <c r="B525" t="s">
        <v>1060</v>
      </c>
      <c r="C525" s="1">
        <v>37.2237814203</v>
      </c>
      <c r="D525" s="1">
        <v>-7.05615941728</v>
      </c>
      <c r="E525" s="3">
        <v>2</v>
      </c>
      <c r="F525" s="2">
        <v>2</v>
      </c>
      <c r="G525" s="4">
        <v>2</v>
      </c>
      <c r="H525" s="13"/>
      <c r="I525" s="15"/>
      <c r="J525" s="19">
        <v>2</v>
      </c>
      <c r="K525" s="2" t="s">
        <v>1061</v>
      </c>
      <c r="L525" s="11" t="str">
        <f t="shared" si="9"/>
        <v>Ver Imagen</v>
      </c>
      <c r="M525" t="s">
        <v>15</v>
      </c>
    </row>
    <row r="526" spans="1:13" x14ac:dyDescent="0.25">
      <c r="A526">
        <v>525</v>
      </c>
      <c r="B526" t="s">
        <v>1062</v>
      </c>
      <c r="C526" s="1">
        <v>37.224792331899998</v>
      </c>
      <c r="D526" s="1">
        <v>-7.05735756225</v>
      </c>
      <c r="E526" s="3">
        <v>2</v>
      </c>
      <c r="F526" s="2">
        <v>2</v>
      </c>
      <c r="G526" s="4">
        <v>2</v>
      </c>
      <c r="H526" s="13"/>
      <c r="I526" s="15"/>
      <c r="J526" s="19">
        <v>2</v>
      </c>
      <c r="K526" s="2" t="s">
        <v>1063</v>
      </c>
      <c r="L526" s="11" t="str">
        <f t="shared" si="9"/>
        <v>Ver Imagen</v>
      </c>
      <c r="M526" t="s">
        <v>15</v>
      </c>
    </row>
    <row r="527" spans="1:13" x14ac:dyDescent="0.25">
      <c r="A527">
        <v>526</v>
      </c>
      <c r="B527" t="s">
        <v>1064</v>
      </c>
      <c r="C527" s="1">
        <v>37.224908730599999</v>
      </c>
      <c r="D527" s="1">
        <v>-7.0575530727800002</v>
      </c>
      <c r="E527" s="3">
        <v>2</v>
      </c>
      <c r="F527" s="2">
        <v>2</v>
      </c>
      <c r="G527" s="4">
        <v>2</v>
      </c>
      <c r="H527" s="13"/>
      <c r="I527" s="15"/>
      <c r="J527" s="19">
        <v>2</v>
      </c>
      <c r="K527" s="2" t="s">
        <v>1065</v>
      </c>
      <c r="L527" s="11" t="str">
        <f t="shared" si="9"/>
        <v>Ver Imagen</v>
      </c>
      <c r="M527" t="s">
        <v>15</v>
      </c>
    </row>
    <row r="528" spans="1:13" x14ac:dyDescent="0.25">
      <c r="A528">
        <v>527</v>
      </c>
      <c r="B528" t="s">
        <v>1066</v>
      </c>
      <c r="C528" s="1">
        <v>37.225398986199998</v>
      </c>
      <c r="D528" s="1">
        <v>-7.0583812761900004</v>
      </c>
      <c r="E528" s="3">
        <v>2</v>
      </c>
      <c r="F528" s="2">
        <v>2</v>
      </c>
      <c r="G528" s="4">
        <v>2</v>
      </c>
      <c r="H528" s="13"/>
      <c r="I528" s="15"/>
      <c r="J528" s="19">
        <v>2</v>
      </c>
      <c r="K528" s="2" t="s">
        <v>1067</v>
      </c>
      <c r="L528" s="11" t="str">
        <f t="shared" si="9"/>
        <v>Ver Imagen</v>
      </c>
      <c r="M528" t="s">
        <v>15</v>
      </c>
    </row>
    <row r="529" spans="1:13" x14ac:dyDescent="0.25">
      <c r="A529">
        <v>528</v>
      </c>
      <c r="B529" t="s">
        <v>1068</v>
      </c>
      <c r="C529" s="1">
        <v>37.225518012599998</v>
      </c>
      <c r="D529" s="1">
        <v>-7.0585824376500002</v>
      </c>
      <c r="E529" s="3">
        <v>2</v>
      </c>
      <c r="F529" s="2">
        <v>2</v>
      </c>
      <c r="G529" s="4">
        <v>2</v>
      </c>
      <c r="H529" s="13"/>
      <c r="I529" s="15"/>
      <c r="J529" s="19">
        <v>2</v>
      </c>
      <c r="K529" s="2" t="s">
        <v>1069</v>
      </c>
      <c r="L529" s="11" t="str">
        <f t="shared" si="9"/>
        <v>Ver Imagen</v>
      </c>
      <c r="M529" t="s">
        <v>15</v>
      </c>
    </row>
    <row r="530" spans="1:13" x14ac:dyDescent="0.25">
      <c r="A530">
        <v>529</v>
      </c>
      <c r="B530" t="s">
        <v>1070</v>
      </c>
      <c r="C530" s="1">
        <v>37.2256360867</v>
      </c>
      <c r="D530" s="1">
        <v>-7.0587824124800003</v>
      </c>
      <c r="E530" s="3">
        <v>2</v>
      </c>
      <c r="F530" s="2">
        <v>2</v>
      </c>
      <c r="G530" s="4">
        <v>2</v>
      </c>
      <c r="H530" s="13"/>
      <c r="I530" s="15"/>
      <c r="J530" s="19">
        <v>2</v>
      </c>
      <c r="K530" s="2" t="s">
        <v>1071</v>
      </c>
      <c r="L530" s="11" t="str">
        <f t="shared" si="9"/>
        <v>Ver Imagen</v>
      </c>
      <c r="M530" t="s">
        <v>15</v>
      </c>
    </row>
    <row r="531" spans="1:13" x14ac:dyDescent="0.25">
      <c r="A531">
        <v>530</v>
      </c>
      <c r="B531" t="s">
        <v>1072</v>
      </c>
      <c r="C531" s="1">
        <v>37.225760054699997</v>
      </c>
      <c r="D531" s="1">
        <v>-7.0589930421</v>
      </c>
      <c r="E531" s="3">
        <v>2</v>
      </c>
      <c r="F531" s="2">
        <v>2</v>
      </c>
      <c r="G531" s="4">
        <v>2</v>
      </c>
      <c r="H531" s="13"/>
      <c r="I531" s="15"/>
      <c r="J531" s="19">
        <v>2</v>
      </c>
      <c r="K531" s="2" t="s">
        <v>1073</v>
      </c>
      <c r="L531" s="11" t="str">
        <f t="shared" si="9"/>
        <v>Ver Imagen</v>
      </c>
      <c r="M531" t="s">
        <v>15</v>
      </c>
    </row>
    <row r="532" spans="1:13" x14ac:dyDescent="0.25">
      <c r="A532">
        <v>531</v>
      </c>
      <c r="B532" t="s">
        <v>1074</v>
      </c>
      <c r="C532" s="1">
        <v>37.226120634700003</v>
      </c>
      <c r="D532" s="1">
        <v>-7.0596052661200002</v>
      </c>
      <c r="E532" s="3">
        <v>2</v>
      </c>
      <c r="F532" s="2">
        <v>2</v>
      </c>
      <c r="G532" s="4">
        <v>2</v>
      </c>
      <c r="H532" s="13"/>
      <c r="I532" s="15"/>
      <c r="J532" s="19">
        <v>2</v>
      </c>
      <c r="K532" s="2" t="s">
        <v>1075</v>
      </c>
      <c r="L532" s="11" t="str">
        <f t="shared" si="9"/>
        <v>Ver Imagen</v>
      </c>
      <c r="M532" t="s">
        <v>15</v>
      </c>
    </row>
    <row r="533" spans="1:13" x14ac:dyDescent="0.25">
      <c r="A533">
        <v>532</v>
      </c>
      <c r="B533" t="s">
        <v>1076</v>
      </c>
      <c r="C533" s="1">
        <v>37.226240216599997</v>
      </c>
      <c r="D533" s="1">
        <v>-7.0598096011799996</v>
      </c>
      <c r="E533" s="3">
        <v>2</v>
      </c>
      <c r="F533" s="2">
        <v>2</v>
      </c>
      <c r="G533" s="4">
        <v>2</v>
      </c>
      <c r="H533" s="13"/>
      <c r="I533" s="15"/>
      <c r="J533" s="19">
        <v>2</v>
      </c>
      <c r="K533" s="2" t="s">
        <v>1077</v>
      </c>
      <c r="L533" s="11" t="str">
        <f t="shared" si="9"/>
        <v>Ver Imagen</v>
      </c>
      <c r="M533" t="s">
        <v>15</v>
      </c>
    </row>
    <row r="534" spans="1:13" x14ac:dyDescent="0.25">
      <c r="A534">
        <v>533</v>
      </c>
      <c r="B534" t="s">
        <v>1078</v>
      </c>
      <c r="C534" s="1">
        <v>37.434510843200002</v>
      </c>
      <c r="D534" s="1">
        <v>-7.0683622070699998</v>
      </c>
      <c r="E534" s="3">
        <v>2</v>
      </c>
      <c r="F534" s="2">
        <v>2</v>
      </c>
      <c r="G534" s="4">
        <v>2</v>
      </c>
      <c r="H534" s="13"/>
      <c r="I534" s="15"/>
      <c r="J534" s="19">
        <v>2</v>
      </c>
      <c r="K534" s="2" t="s">
        <v>1079</v>
      </c>
      <c r="L534" s="11" t="str">
        <f t="shared" si="9"/>
        <v>Ver Imagen</v>
      </c>
      <c r="M534" t="s">
        <v>15</v>
      </c>
    </row>
    <row r="535" spans="1:13" x14ac:dyDescent="0.25">
      <c r="A535">
        <v>534</v>
      </c>
      <c r="B535" t="s">
        <v>1080</v>
      </c>
      <c r="C535" s="1">
        <v>37.227875052100003</v>
      </c>
      <c r="D535" s="1">
        <v>-7.0611687774899998</v>
      </c>
      <c r="E535" s="3">
        <v>2</v>
      </c>
      <c r="F535" s="2">
        <v>2</v>
      </c>
      <c r="G535" s="4">
        <v>2</v>
      </c>
      <c r="H535" s="13"/>
      <c r="I535" s="15"/>
      <c r="J535" s="19">
        <v>2</v>
      </c>
      <c r="K535" s="2" t="s">
        <v>1081</v>
      </c>
      <c r="L535" s="11" t="str">
        <f t="shared" si="9"/>
        <v>Ver Imagen</v>
      </c>
      <c r="M535" t="s">
        <v>15</v>
      </c>
    </row>
    <row r="536" spans="1:13" x14ac:dyDescent="0.25">
      <c r="A536">
        <v>535</v>
      </c>
      <c r="B536" t="s">
        <v>1082</v>
      </c>
      <c r="C536" s="1">
        <v>37.228041105700001</v>
      </c>
      <c r="D536" s="1">
        <v>-7.0612999716999996</v>
      </c>
      <c r="E536" s="3">
        <v>2</v>
      </c>
      <c r="F536" s="2">
        <v>2</v>
      </c>
      <c r="G536" s="4">
        <v>2</v>
      </c>
      <c r="H536" s="13"/>
      <c r="I536" s="15"/>
      <c r="J536" s="19">
        <v>2</v>
      </c>
      <c r="K536" s="2" t="s">
        <v>1083</v>
      </c>
      <c r="L536" s="11" t="str">
        <f t="shared" si="9"/>
        <v>Ver Imagen</v>
      </c>
      <c r="M536" t="s">
        <v>15</v>
      </c>
    </row>
    <row r="537" spans="1:13" x14ac:dyDescent="0.25">
      <c r="A537">
        <v>536</v>
      </c>
      <c r="B537" t="s">
        <v>1084</v>
      </c>
      <c r="C537" s="1">
        <v>37.2286454674</v>
      </c>
      <c r="D537" s="1">
        <v>-7.0619772892099997</v>
      </c>
      <c r="E537" s="3">
        <v>2</v>
      </c>
      <c r="F537" s="2">
        <v>2</v>
      </c>
      <c r="G537" s="4">
        <v>2</v>
      </c>
      <c r="H537" s="13"/>
      <c r="I537" s="15"/>
      <c r="J537" s="19">
        <v>2</v>
      </c>
      <c r="K537" s="2" t="s">
        <v>1085</v>
      </c>
      <c r="L537" s="11" t="str">
        <f t="shared" si="9"/>
        <v>Ver Imagen</v>
      </c>
      <c r="M537" t="s">
        <v>15</v>
      </c>
    </row>
    <row r="538" spans="1:13" x14ac:dyDescent="0.25">
      <c r="A538">
        <v>537</v>
      </c>
      <c r="B538" t="s">
        <v>1086</v>
      </c>
      <c r="C538" s="1">
        <v>37.228791815599998</v>
      </c>
      <c r="D538" s="1">
        <v>-7.0621526433800001</v>
      </c>
      <c r="E538" s="3">
        <v>2</v>
      </c>
      <c r="F538" s="2">
        <v>2</v>
      </c>
      <c r="G538" s="4">
        <v>2</v>
      </c>
      <c r="H538" s="13"/>
      <c r="I538" s="15"/>
      <c r="J538" s="19">
        <v>2</v>
      </c>
      <c r="K538" s="2" t="s">
        <v>1087</v>
      </c>
      <c r="L538" s="11" t="str">
        <f t="shared" si="9"/>
        <v>Ver Imagen</v>
      </c>
      <c r="M538" t="s">
        <v>15</v>
      </c>
    </row>
    <row r="539" spans="1:13" x14ac:dyDescent="0.25">
      <c r="A539">
        <v>538</v>
      </c>
      <c r="B539" t="s">
        <v>1088</v>
      </c>
      <c r="C539" s="1">
        <v>37.433823116600003</v>
      </c>
      <c r="D539" s="1">
        <v>-7.06682025858</v>
      </c>
      <c r="E539" s="3">
        <v>2</v>
      </c>
      <c r="F539" s="2">
        <v>2</v>
      </c>
      <c r="G539" s="4">
        <v>2</v>
      </c>
      <c r="H539" s="13"/>
      <c r="I539" s="15"/>
      <c r="J539" s="19">
        <v>2</v>
      </c>
      <c r="K539" s="2" t="s">
        <v>1089</v>
      </c>
      <c r="L539" s="11" t="str">
        <f t="shared" si="9"/>
        <v>Ver Imagen</v>
      </c>
      <c r="M539" t="s">
        <v>15</v>
      </c>
    </row>
    <row r="540" spans="1:13" x14ac:dyDescent="0.25">
      <c r="A540">
        <v>539</v>
      </c>
      <c r="B540" t="s">
        <v>1090</v>
      </c>
      <c r="C540" s="1">
        <v>37.432899641900001</v>
      </c>
      <c r="D540" s="1">
        <v>-7.0648051830199998</v>
      </c>
      <c r="E540" s="3">
        <v>2</v>
      </c>
      <c r="F540" s="2">
        <v>2</v>
      </c>
      <c r="G540" s="4">
        <v>2</v>
      </c>
      <c r="H540" s="13"/>
      <c r="I540" s="15"/>
      <c r="J540" s="19">
        <v>2</v>
      </c>
      <c r="K540" s="2" t="s">
        <v>1091</v>
      </c>
      <c r="L540" s="11" t="str">
        <f t="shared" si="9"/>
        <v>Ver Imagen</v>
      </c>
      <c r="M540" t="s">
        <v>15</v>
      </c>
    </row>
    <row r="541" spans="1:13" x14ac:dyDescent="0.25">
      <c r="A541">
        <v>540</v>
      </c>
      <c r="B541" t="s">
        <v>1092</v>
      </c>
      <c r="C541" s="1">
        <v>37.225248030300001</v>
      </c>
      <c r="D541" s="1">
        <v>-7.0277473524999996</v>
      </c>
      <c r="E541" s="3">
        <v>2</v>
      </c>
      <c r="F541" s="2">
        <v>2</v>
      </c>
      <c r="G541" s="4">
        <v>2</v>
      </c>
      <c r="H541" s="13"/>
      <c r="I541" s="15"/>
      <c r="J541" s="19">
        <v>2</v>
      </c>
      <c r="K541" s="2" t="s">
        <v>1093</v>
      </c>
      <c r="L541" s="11" t="str">
        <f t="shared" si="9"/>
        <v>Ver Imagen</v>
      </c>
      <c r="M541" t="s">
        <v>15</v>
      </c>
    </row>
    <row r="542" spans="1:13" x14ac:dyDescent="0.25">
      <c r="A542">
        <v>541</v>
      </c>
      <c r="B542" t="s">
        <v>1094</v>
      </c>
      <c r="C542" s="1">
        <v>37.225291075599998</v>
      </c>
      <c r="D542" s="1">
        <v>-7.0285056530999999</v>
      </c>
      <c r="E542" s="3">
        <v>2</v>
      </c>
      <c r="F542" s="2">
        <v>2</v>
      </c>
      <c r="G542" s="4">
        <v>2</v>
      </c>
      <c r="H542" s="13"/>
      <c r="I542" s="15"/>
      <c r="J542" s="19">
        <v>2</v>
      </c>
      <c r="K542" s="2" t="s">
        <v>1095</v>
      </c>
      <c r="L542" s="11" t="str">
        <f t="shared" si="9"/>
        <v>Ver Imagen</v>
      </c>
      <c r="M542" t="s">
        <v>15</v>
      </c>
    </row>
    <row r="543" spans="1:13" x14ac:dyDescent="0.25">
      <c r="A543">
        <v>542</v>
      </c>
      <c r="B543" t="s">
        <v>1096</v>
      </c>
      <c r="C543" s="1">
        <v>37.225307819999998</v>
      </c>
      <c r="D543" s="1">
        <v>-7.0287823178600002</v>
      </c>
      <c r="E543" s="3">
        <v>2</v>
      </c>
      <c r="F543" s="2">
        <v>2</v>
      </c>
      <c r="G543" s="4">
        <v>2</v>
      </c>
      <c r="H543" s="13"/>
      <c r="I543" s="15"/>
      <c r="J543" s="19">
        <v>2</v>
      </c>
      <c r="K543" s="2" t="s">
        <v>1097</v>
      </c>
      <c r="L543" s="11" t="str">
        <f t="shared" si="9"/>
        <v>Ver Imagen</v>
      </c>
      <c r="M543" t="s">
        <v>15</v>
      </c>
    </row>
    <row r="544" spans="1:13" x14ac:dyDescent="0.25">
      <c r="A544">
        <v>543</v>
      </c>
      <c r="B544" t="s">
        <v>1098</v>
      </c>
      <c r="C544" s="1">
        <v>37.224830671799999</v>
      </c>
      <c r="D544" s="1">
        <v>-7.0337385879900003</v>
      </c>
      <c r="E544" s="3">
        <v>2</v>
      </c>
      <c r="F544" s="2">
        <v>2</v>
      </c>
      <c r="G544" s="4">
        <v>2</v>
      </c>
      <c r="H544" s="13"/>
      <c r="I544" s="15"/>
      <c r="J544" s="19">
        <v>2</v>
      </c>
      <c r="K544" s="2" t="s">
        <v>1099</v>
      </c>
      <c r="L544" s="11" t="str">
        <f t="shared" si="9"/>
        <v>Ver Imagen</v>
      </c>
      <c r="M544" t="s">
        <v>15</v>
      </c>
    </row>
    <row r="545" spans="1:13" x14ac:dyDescent="0.25">
      <c r="A545">
        <v>544</v>
      </c>
      <c r="B545" t="s">
        <v>1100</v>
      </c>
      <c r="C545" s="1">
        <v>37.432103725700003</v>
      </c>
      <c r="D545" s="1">
        <v>-7.0630826940200002</v>
      </c>
      <c r="E545" s="3">
        <v>2</v>
      </c>
      <c r="F545" s="2">
        <v>2</v>
      </c>
      <c r="G545" s="4">
        <v>2</v>
      </c>
      <c r="H545" s="13"/>
      <c r="I545" s="15"/>
      <c r="J545" s="19">
        <v>2</v>
      </c>
      <c r="K545" s="2" t="s">
        <v>1101</v>
      </c>
      <c r="L545" s="11" t="str">
        <f t="shared" si="9"/>
        <v>Ver Imagen</v>
      </c>
      <c r="M545" t="s">
        <v>15</v>
      </c>
    </row>
    <row r="546" spans="1:13" x14ac:dyDescent="0.25">
      <c r="A546">
        <v>545</v>
      </c>
      <c r="B546" t="s">
        <v>1102</v>
      </c>
      <c r="C546" s="1">
        <v>37.224615584799999</v>
      </c>
      <c r="D546" s="1">
        <v>-7.0344472045200002</v>
      </c>
      <c r="E546" s="3">
        <v>2</v>
      </c>
      <c r="F546" s="2">
        <v>2</v>
      </c>
      <c r="G546" s="4">
        <v>2</v>
      </c>
      <c r="H546" s="13"/>
      <c r="I546" s="15"/>
      <c r="J546" s="19">
        <v>2</v>
      </c>
      <c r="K546" s="2" t="s">
        <v>1103</v>
      </c>
      <c r="L546" s="11" t="str">
        <f t="shared" si="9"/>
        <v>Ver Imagen</v>
      </c>
      <c r="M546" t="s">
        <v>15</v>
      </c>
    </row>
    <row r="547" spans="1:13" x14ac:dyDescent="0.25">
      <c r="A547">
        <v>546</v>
      </c>
      <c r="B547" t="s">
        <v>1104</v>
      </c>
      <c r="C547" s="1">
        <v>37.224575942999998</v>
      </c>
      <c r="D547" s="1">
        <v>-7.0364899768300004</v>
      </c>
      <c r="E547" s="3">
        <v>2</v>
      </c>
      <c r="F547" s="2">
        <v>2</v>
      </c>
      <c r="G547" s="4">
        <v>2</v>
      </c>
      <c r="H547" s="13"/>
      <c r="I547" s="15"/>
      <c r="J547" s="19">
        <v>2</v>
      </c>
      <c r="K547" s="2" t="s">
        <v>1105</v>
      </c>
      <c r="L547" s="11" t="str">
        <f t="shared" si="9"/>
        <v>Ver Imagen</v>
      </c>
      <c r="M547" t="s">
        <v>15</v>
      </c>
    </row>
    <row r="548" spans="1:13" x14ac:dyDescent="0.25">
      <c r="A548">
        <v>547</v>
      </c>
      <c r="B548" t="s">
        <v>1106</v>
      </c>
      <c r="C548" s="1">
        <v>37.2245866652</v>
      </c>
      <c r="D548" s="1">
        <v>-7.0367292533499999</v>
      </c>
      <c r="E548" s="3">
        <v>2</v>
      </c>
      <c r="F548" s="2">
        <v>2</v>
      </c>
      <c r="G548" s="4">
        <v>2</v>
      </c>
      <c r="H548" s="13"/>
      <c r="I548" s="15"/>
      <c r="J548" s="19">
        <v>2</v>
      </c>
      <c r="K548" s="2" t="s">
        <v>1107</v>
      </c>
      <c r="L548" s="11" t="str">
        <f t="shared" si="9"/>
        <v>Ver Imagen</v>
      </c>
      <c r="M548" t="s">
        <v>15</v>
      </c>
    </row>
    <row r="549" spans="1:13" x14ac:dyDescent="0.25">
      <c r="A549">
        <v>548</v>
      </c>
      <c r="B549" t="s">
        <v>1108</v>
      </c>
      <c r="C549" s="1">
        <v>37.224599408300001</v>
      </c>
      <c r="D549" s="1">
        <v>-7.0369982587799997</v>
      </c>
      <c r="E549" s="3">
        <v>2</v>
      </c>
      <c r="F549" s="2">
        <v>2</v>
      </c>
      <c r="G549" s="4">
        <v>2</v>
      </c>
      <c r="H549" s="13"/>
      <c r="I549" s="15"/>
      <c r="J549" s="19">
        <v>2</v>
      </c>
      <c r="K549" s="2" t="s">
        <v>1109</v>
      </c>
      <c r="L549" s="11" t="str">
        <f t="shared" si="9"/>
        <v>Ver Imagen</v>
      </c>
      <c r="M549" t="s">
        <v>15</v>
      </c>
    </row>
    <row r="550" spans="1:13" x14ac:dyDescent="0.25">
      <c r="A550">
        <v>549</v>
      </c>
      <c r="B550" t="s">
        <v>1110</v>
      </c>
      <c r="C550" s="1">
        <v>37.431381934400001</v>
      </c>
      <c r="D550" s="1">
        <v>-7.0615142669199997</v>
      </c>
      <c r="E550" s="3">
        <v>2</v>
      </c>
      <c r="F550" s="2">
        <v>2</v>
      </c>
      <c r="G550" s="4">
        <v>2</v>
      </c>
      <c r="H550" s="13"/>
      <c r="I550" s="15"/>
      <c r="J550" s="19">
        <v>2</v>
      </c>
      <c r="K550" s="2" t="s">
        <v>1111</v>
      </c>
      <c r="L550" s="11" t="str">
        <f t="shared" si="9"/>
        <v>Ver Imagen</v>
      </c>
      <c r="M550" t="s">
        <v>15</v>
      </c>
    </row>
    <row r="551" spans="1:13" x14ac:dyDescent="0.25">
      <c r="A551">
        <v>550</v>
      </c>
      <c r="B551" t="s">
        <v>1112</v>
      </c>
      <c r="C551" s="1">
        <v>37.224668418299999</v>
      </c>
      <c r="D551" s="1">
        <v>-7.0382712313100004</v>
      </c>
      <c r="E551" s="3">
        <v>2</v>
      </c>
      <c r="F551" s="2">
        <v>2</v>
      </c>
      <c r="G551" s="4">
        <v>2</v>
      </c>
      <c r="H551" s="13"/>
      <c r="I551" s="15"/>
      <c r="J551" s="19">
        <v>2</v>
      </c>
      <c r="K551" s="2" t="s">
        <v>1113</v>
      </c>
      <c r="L551" s="11" t="str">
        <f t="shared" si="9"/>
        <v>Ver Imagen</v>
      </c>
      <c r="M551" t="s">
        <v>15</v>
      </c>
    </row>
    <row r="552" spans="1:13" x14ac:dyDescent="0.25">
      <c r="A552">
        <v>551</v>
      </c>
      <c r="B552" t="s">
        <v>1114</v>
      </c>
      <c r="C552" s="1">
        <v>37.224690285000001</v>
      </c>
      <c r="D552" s="1">
        <v>-7.0385170400700003</v>
      </c>
      <c r="E552" s="3">
        <v>2</v>
      </c>
      <c r="F552" s="2">
        <v>2</v>
      </c>
      <c r="G552" s="4">
        <v>2</v>
      </c>
      <c r="H552" s="13"/>
      <c r="I552" s="15"/>
      <c r="J552" s="19">
        <v>2</v>
      </c>
      <c r="K552" s="2" t="s">
        <v>1115</v>
      </c>
      <c r="L552" s="11" t="str">
        <f t="shared" si="9"/>
        <v>Ver Imagen</v>
      </c>
      <c r="M552" t="s">
        <v>15</v>
      </c>
    </row>
    <row r="553" spans="1:13" x14ac:dyDescent="0.25">
      <c r="A553">
        <v>552</v>
      </c>
      <c r="B553" t="s">
        <v>1116</v>
      </c>
      <c r="C553" s="1">
        <v>37.224906478900003</v>
      </c>
      <c r="D553" s="1">
        <v>-7.0397525165600001</v>
      </c>
      <c r="E553" s="3">
        <v>2</v>
      </c>
      <c r="F553" s="2">
        <v>2</v>
      </c>
      <c r="G553" s="4">
        <v>2</v>
      </c>
      <c r="H553" s="13"/>
      <c r="I553" s="15"/>
      <c r="J553" s="19">
        <v>2</v>
      </c>
      <c r="K553" s="2" t="s">
        <v>1117</v>
      </c>
      <c r="L553" s="11" t="str">
        <f t="shared" si="9"/>
        <v>Ver Imagen</v>
      </c>
      <c r="M553" t="s">
        <v>15</v>
      </c>
    </row>
    <row r="554" spans="1:13" x14ac:dyDescent="0.25">
      <c r="A554">
        <v>553</v>
      </c>
      <c r="B554" t="s">
        <v>1118</v>
      </c>
      <c r="C554" s="1">
        <v>37.225028770999998</v>
      </c>
      <c r="D554" s="1">
        <v>-7.0402540185699998</v>
      </c>
      <c r="E554" s="3">
        <v>2</v>
      </c>
      <c r="F554" s="2">
        <v>2</v>
      </c>
      <c r="G554" s="4">
        <v>2</v>
      </c>
      <c r="H554" s="13"/>
      <c r="I554" s="15"/>
      <c r="J554" s="19">
        <v>2</v>
      </c>
      <c r="K554" s="2" t="s">
        <v>1119</v>
      </c>
      <c r="L554" s="11" t="str">
        <f t="shared" si="9"/>
        <v>Ver Imagen</v>
      </c>
      <c r="M554" t="s">
        <v>15</v>
      </c>
    </row>
    <row r="555" spans="1:13" x14ac:dyDescent="0.25">
      <c r="A555">
        <v>554</v>
      </c>
      <c r="B555" t="s">
        <v>1120</v>
      </c>
      <c r="C555" s="1">
        <v>37.22508697</v>
      </c>
      <c r="D555" s="1">
        <v>-7.0404769208799998</v>
      </c>
      <c r="E555" s="3">
        <v>2</v>
      </c>
      <c r="F555" s="2">
        <v>2</v>
      </c>
      <c r="G555" s="4">
        <v>2</v>
      </c>
      <c r="H555" s="13"/>
      <c r="I555" s="15"/>
      <c r="J555" s="19">
        <v>2</v>
      </c>
      <c r="K555" s="2" t="s">
        <v>1121</v>
      </c>
      <c r="L555" s="11" t="str">
        <f t="shared" si="9"/>
        <v>Ver Imagen</v>
      </c>
      <c r="M555" t="s">
        <v>15</v>
      </c>
    </row>
    <row r="556" spans="1:13" x14ac:dyDescent="0.25">
      <c r="A556">
        <v>555</v>
      </c>
      <c r="B556" t="s">
        <v>1122</v>
      </c>
      <c r="C556" s="1">
        <v>37.225147768799999</v>
      </c>
      <c r="D556" s="1">
        <v>-7.0406939308599998</v>
      </c>
      <c r="E556" s="3">
        <v>2</v>
      </c>
      <c r="F556" s="2">
        <v>2</v>
      </c>
      <c r="G556" s="4">
        <v>2</v>
      </c>
      <c r="H556" s="13"/>
      <c r="I556" s="15"/>
      <c r="J556" s="19">
        <v>2</v>
      </c>
      <c r="K556" s="2" t="s">
        <v>1123</v>
      </c>
      <c r="L556" s="11" t="str">
        <f t="shared" si="9"/>
        <v>Ver Imagen</v>
      </c>
      <c r="M556" t="s">
        <v>15</v>
      </c>
    </row>
    <row r="557" spans="1:13" x14ac:dyDescent="0.25">
      <c r="A557">
        <v>556</v>
      </c>
      <c r="B557" t="s">
        <v>1124</v>
      </c>
      <c r="C557" s="1">
        <v>37.234074205500001</v>
      </c>
      <c r="D557" s="1">
        <v>-7.0625625548500004</v>
      </c>
      <c r="E557" s="3">
        <v>2</v>
      </c>
      <c r="F557" s="2">
        <v>2</v>
      </c>
      <c r="G557" s="4">
        <v>2</v>
      </c>
      <c r="H557" s="13"/>
      <c r="I557" s="15"/>
      <c r="J557" s="19">
        <v>2</v>
      </c>
      <c r="K557" s="2" t="s">
        <v>1125</v>
      </c>
      <c r="L557" s="11" t="str">
        <f t="shared" si="9"/>
        <v>Ver Imagen</v>
      </c>
      <c r="M557" t="s">
        <v>15</v>
      </c>
    </row>
    <row r="558" spans="1:13" x14ac:dyDescent="0.25">
      <c r="A558">
        <v>557</v>
      </c>
      <c r="B558" t="s">
        <v>1126</v>
      </c>
      <c r="C558" s="1">
        <v>37.234174416899997</v>
      </c>
      <c r="D558" s="1">
        <v>-7.0702943754999996</v>
      </c>
      <c r="E558" s="3">
        <v>2</v>
      </c>
      <c r="F558" s="2">
        <v>2</v>
      </c>
      <c r="G558" s="4">
        <v>2</v>
      </c>
      <c r="H558" s="13"/>
      <c r="I558" s="15"/>
      <c r="J558" s="19">
        <v>2</v>
      </c>
      <c r="K558" s="2" t="s">
        <v>1127</v>
      </c>
      <c r="L558" s="11" t="str">
        <f t="shared" si="9"/>
        <v>Ver Imagen</v>
      </c>
      <c r="M558" t="s">
        <v>15</v>
      </c>
    </row>
    <row r="559" spans="1:13" x14ac:dyDescent="0.25">
      <c r="A559">
        <v>558</v>
      </c>
      <c r="B559" t="s">
        <v>1128</v>
      </c>
      <c r="C559" s="1">
        <v>37.252324203999997</v>
      </c>
      <c r="D559" s="1">
        <v>-7.1044833014200002</v>
      </c>
      <c r="E559" s="3">
        <v>2</v>
      </c>
      <c r="F559" s="2">
        <v>2</v>
      </c>
      <c r="G559" s="4">
        <v>2</v>
      </c>
      <c r="H559" s="13"/>
      <c r="I559" s="15"/>
      <c r="J559" s="19">
        <v>2</v>
      </c>
      <c r="K559" s="2" t="s">
        <v>1129</v>
      </c>
      <c r="L559" s="11" t="str">
        <f t="shared" si="9"/>
        <v>Ver Imagen</v>
      </c>
      <c r="M559" t="s">
        <v>15</v>
      </c>
    </row>
    <row r="560" spans="1:13" x14ac:dyDescent="0.25">
      <c r="A560">
        <v>559</v>
      </c>
      <c r="B560" t="s">
        <v>1130</v>
      </c>
      <c r="C560" s="1">
        <v>37.483754931199996</v>
      </c>
      <c r="D560" s="1">
        <v>-7.1296677871699998</v>
      </c>
      <c r="E560" s="3">
        <v>2</v>
      </c>
      <c r="F560" s="2">
        <v>2</v>
      </c>
      <c r="G560" s="4">
        <v>2</v>
      </c>
      <c r="H560" s="13"/>
      <c r="I560" s="15"/>
      <c r="J560" s="19">
        <v>2</v>
      </c>
      <c r="K560" s="2" t="s">
        <v>1131</v>
      </c>
      <c r="L560" s="11" t="str">
        <f t="shared" si="9"/>
        <v>Ver Imagen</v>
      </c>
      <c r="M560" t="s">
        <v>15</v>
      </c>
    </row>
    <row r="561" spans="1:13" x14ac:dyDescent="0.25">
      <c r="A561">
        <v>560</v>
      </c>
      <c r="B561" t="s">
        <v>1132</v>
      </c>
      <c r="C561" s="1">
        <v>37.482981652100001</v>
      </c>
      <c r="D561" s="1">
        <v>-7.1289132139299998</v>
      </c>
      <c r="E561" s="3">
        <v>2</v>
      </c>
      <c r="F561" s="2">
        <v>2</v>
      </c>
      <c r="G561" s="4">
        <v>2</v>
      </c>
      <c r="H561" s="13"/>
      <c r="I561" s="15"/>
      <c r="J561" s="19">
        <v>2</v>
      </c>
      <c r="K561" s="2" t="s">
        <v>1133</v>
      </c>
      <c r="L561" s="11" t="str">
        <f t="shared" si="9"/>
        <v>Ver Imagen</v>
      </c>
      <c r="M561" t="s">
        <v>15</v>
      </c>
    </row>
    <row r="562" spans="1:13" x14ac:dyDescent="0.25">
      <c r="A562">
        <v>561</v>
      </c>
      <c r="B562" t="s">
        <v>1134</v>
      </c>
      <c r="C562" s="1">
        <v>37.482258325300002</v>
      </c>
      <c r="D562" s="1">
        <v>-7.12842244541</v>
      </c>
      <c r="E562" s="3">
        <v>2</v>
      </c>
      <c r="F562" s="2">
        <v>2</v>
      </c>
      <c r="G562" s="4">
        <v>2</v>
      </c>
      <c r="H562" s="13"/>
      <c r="I562" s="15"/>
      <c r="J562" s="19">
        <v>2</v>
      </c>
      <c r="K562" s="2" t="s">
        <v>1135</v>
      </c>
      <c r="L562" s="11" t="str">
        <f t="shared" si="9"/>
        <v>Ver Imagen</v>
      </c>
      <c r="M562" t="s">
        <v>15</v>
      </c>
    </row>
    <row r="563" spans="1:13" x14ac:dyDescent="0.25">
      <c r="A563">
        <v>562</v>
      </c>
      <c r="B563" t="s">
        <v>1136</v>
      </c>
      <c r="C563" s="1">
        <v>37.481325789800003</v>
      </c>
      <c r="D563" s="1">
        <v>-7.1279156824700003</v>
      </c>
      <c r="E563" s="3">
        <v>2</v>
      </c>
      <c r="F563" s="2">
        <v>2</v>
      </c>
      <c r="G563" s="4">
        <v>2</v>
      </c>
      <c r="H563" s="13"/>
      <c r="I563" s="15"/>
      <c r="J563" s="19">
        <v>2</v>
      </c>
      <c r="K563" s="2" t="s">
        <v>1137</v>
      </c>
      <c r="L563" s="11" t="str">
        <f t="shared" si="9"/>
        <v>Ver Imagen</v>
      </c>
      <c r="M563" t="s">
        <v>15</v>
      </c>
    </row>
    <row r="564" spans="1:13" x14ac:dyDescent="0.25">
      <c r="A564">
        <v>563</v>
      </c>
      <c r="B564" t="s">
        <v>1138</v>
      </c>
      <c r="C564" s="1">
        <v>37.480936026599998</v>
      </c>
      <c r="D564" s="1">
        <v>-7.1277995644100001</v>
      </c>
      <c r="E564" s="3">
        <v>2</v>
      </c>
      <c r="F564" s="2">
        <v>2</v>
      </c>
      <c r="G564" s="4">
        <v>2</v>
      </c>
      <c r="H564" s="13"/>
      <c r="I564" s="15"/>
      <c r="J564" s="19">
        <v>2</v>
      </c>
      <c r="K564" s="2" t="s">
        <v>1139</v>
      </c>
      <c r="L564" s="11" t="str">
        <f t="shared" si="9"/>
        <v>Ver Imagen</v>
      </c>
      <c r="M564" t="s">
        <v>15</v>
      </c>
    </row>
    <row r="565" spans="1:13" x14ac:dyDescent="0.25">
      <c r="A565">
        <v>564</v>
      </c>
      <c r="B565" t="s">
        <v>1140</v>
      </c>
      <c r="C565" s="1">
        <v>37.464698898400002</v>
      </c>
      <c r="D565" s="1">
        <v>-7.1234194189200002</v>
      </c>
      <c r="E565" s="3">
        <v>2</v>
      </c>
      <c r="F565" s="2">
        <v>2</v>
      </c>
      <c r="G565" s="4">
        <v>2</v>
      </c>
      <c r="H565" s="13"/>
      <c r="I565" s="15"/>
      <c r="J565" s="19">
        <v>2</v>
      </c>
      <c r="K565" s="2" t="s">
        <v>1141</v>
      </c>
      <c r="L565" s="11" t="str">
        <f t="shared" si="9"/>
        <v>Ver Imagen</v>
      </c>
      <c r="M565" t="s">
        <v>15</v>
      </c>
    </row>
    <row r="566" spans="1:13" x14ac:dyDescent="0.25">
      <c r="A566">
        <v>565</v>
      </c>
      <c r="B566" t="s">
        <v>1142</v>
      </c>
      <c r="C566" s="1">
        <v>37.462190792900003</v>
      </c>
      <c r="D566" s="1">
        <v>-7.1243069922000002</v>
      </c>
      <c r="E566" s="3">
        <v>2</v>
      </c>
      <c r="F566" s="2">
        <v>2</v>
      </c>
      <c r="G566" s="4">
        <v>2</v>
      </c>
      <c r="H566" s="13"/>
      <c r="I566" s="15"/>
      <c r="J566" s="19">
        <v>2</v>
      </c>
      <c r="K566" s="2" t="s">
        <v>1143</v>
      </c>
      <c r="L566" s="11" t="str">
        <f t="shared" si="9"/>
        <v>Ver Imagen</v>
      </c>
      <c r="M566" t="s">
        <v>15</v>
      </c>
    </row>
    <row r="567" spans="1:13" x14ac:dyDescent="0.25">
      <c r="A567">
        <v>566</v>
      </c>
      <c r="B567" t="s">
        <v>1144</v>
      </c>
      <c r="C567" s="1">
        <v>37.4608015763</v>
      </c>
      <c r="D567" s="1">
        <v>-7.1246447661400003</v>
      </c>
      <c r="E567" s="3">
        <v>2</v>
      </c>
      <c r="F567" s="2">
        <v>2</v>
      </c>
      <c r="G567" s="4">
        <v>2</v>
      </c>
      <c r="H567" s="13"/>
      <c r="I567" s="15"/>
      <c r="J567" s="19">
        <v>2</v>
      </c>
      <c r="K567" s="2" t="s">
        <v>1145</v>
      </c>
      <c r="L567" s="11" t="str">
        <f t="shared" si="9"/>
        <v>Ver Imagen</v>
      </c>
      <c r="M567" t="s">
        <v>15</v>
      </c>
    </row>
    <row r="568" spans="1:13" x14ac:dyDescent="0.25">
      <c r="A568">
        <v>567</v>
      </c>
      <c r="B568" t="s">
        <v>1146</v>
      </c>
      <c r="C568" s="1">
        <v>37.460572503999998</v>
      </c>
      <c r="D568" s="1">
        <v>-7.1247125968500002</v>
      </c>
      <c r="E568" s="3">
        <v>2</v>
      </c>
      <c r="F568" s="2">
        <v>2</v>
      </c>
      <c r="G568" s="4">
        <v>2</v>
      </c>
      <c r="H568" s="13"/>
      <c r="I568" s="15"/>
      <c r="J568" s="19">
        <v>2</v>
      </c>
      <c r="K568" s="2" t="s">
        <v>1147</v>
      </c>
      <c r="L568" s="11" t="str">
        <f t="shared" si="9"/>
        <v>Ver Imagen</v>
      </c>
      <c r="M568" t="s">
        <v>15</v>
      </c>
    </row>
    <row r="569" spans="1:13" x14ac:dyDescent="0.25">
      <c r="A569">
        <v>568</v>
      </c>
      <c r="B569" t="s">
        <v>1148</v>
      </c>
      <c r="C569" s="1">
        <v>37.460346171200001</v>
      </c>
      <c r="D569" s="1">
        <v>-7.1247833531399998</v>
      </c>
      <c r="E569" s="3">
        <v>2</v>
      </c>
      <c r="F569" s="2">
        <v>2</v>
      </c>
      <c r="G569" s="4">
        <v>2</v>
      </c>
      <c r="H569" s="13"/>
      <c r="I569" s="15"/>
      <c r="J569" s="19">
        <v>2</v>
      </c>
      <c r="K569" s="2" t="s">
        <v>1149</v>
      </c>
      <c r="L569" s="11" t="str">
        <f t="shared" si="9"/>
        <v>Ver Imagen</v>
      </c>
      <c r="M569" t="s">
        <v>15</v>
      </c>
    </row>
    <row r="570" spans="1:13" x14ac:dyDescent="0.25">
      <c r="A570">
        <v>569</v>
      </c>
      <c r="B570" t="s">
        <v>1150</v>
      </c>
      <c r="C570" s="1">
        <v>37.459176706500003</v>
      </c>
      <c r="D570" s="1">
        <v>-7.1251966531299997</v>
      </c>
      <c r="E570" s="3">
        <v>2</v>
      </c>
      <c r="F570" s="2">
        <v>2</v>
      </c>
      <c r="G570" s="4">
        <v>2</v>
      </c>
      <c r="H570" s="13"/>
      <c r="I570" s="15"/>
      <c r="J570" s="19">
        <v>2</v>
      </c>
      <c r="K570" s="2" t="s">
        <v>1151</v>
      </c>
      <c r="L570" s="11" t="str">
        <f t="shared" si="9"/>
        <v>Ver Imagen</v>
      </c>
      <c r="M570" t="s">
        <v>15</v>
      </c>
    </row>
    <row r="571" spans="1:13" x14ac:dyDescent="0.25">
      <c r="A571">
        <v>570</v>
      </c>
      <c r="B571" t="s">
        <v>1152</v>
      </c>
      <c r="C571" s="1">
        <v>37.458974140199999</v>
      </c>
      <c r="D571" s="1">
        <v>-7.12527034953</v>
      </c>
      <c r="E571" s="3">
        <v>2</v>
      </c>
      <c r="F571" s="2">
        <v>2</v>
      </c>
      <c r="G571" s="4">
        <v>2</v>
      </c>
      <c r="H571" s="13"/>
      <c r="I571" s="15"/>
      <c r="J571" s="19">
        <v>2</v>
      </c>
      <c r="K571" s="2" t="s">
        <v>1153</v>
      </c>
      <c r="L571" s="11" t="str">
        <f t="shared" si="9"/>
        <v>Ver Imagen</v>
      </c>
      <c r="M571" t="s">
        <v>15</v>
      </c>
    </row>
    <row r="572" spans="1:13" x14ac:dyDescent="0.25">
      <c r="A572">
        <v>571</v>
      </c>
      <c r="B572" t="s">
        <v>1154</v>
      </c>
      <c r="C572" s="1">
        <v>37.4586526525</v>
      </c>
      <c r="D572" s="1">
        <v>-7.1253859559999997</v>
      </c>
      <c r="E572" s="3">
        <v>2</v>
      </c>
      <c r="F572" s="2">
        <v>2</v>
      </c>
      <c r="G572" s="4">
        <v>2</v>
      </c>
      <c r="H572" s="13"/>
      <c r="I572" s="15"/>
      <c r="J572" s="19">
        <v>2</v>
      </c>
      <c r="K572" s="2" t="s">
        <v>1155</v>
      </c>
      <c r="L572" s="11" t="str">
        <f t="shared" si="9"/>
        <v>Ver Imagen</v>
      </c>
      <c r="M572" t="s">
        <v>15</v>
      </c>
    </row>
    <row r="573" spans="1:13" x14ac:dyDescent="0.25">
      <c r="A573">
        <v>572</v>
      </c>
      <c r="B573" t="s">
        <v>1156</v>
      </c>
      <c r="C573" s="1">
        <v>37.457853999000001</v>
      </c>
      <c r="D573" s="1">
        <v>-7.1256781254700003</v>
      </c>
      <c r="E573" s="3">
        <v>2</v>
      </c>
      <c r="F573" s="2">
        <v>2</v>
      </c>
      <c r="G573" s="4">
        <v>2</v>
      </c>
      <c r="H573" s="13"/>
      <c r="I573" s="15"/>
      <c r="J573" s="19">
        <v>2</v>
      </c>
      <c r="K573" s="2" t="s">
        <v>1157</v>
      </c>
      <c r="L573" s="11" t="str">
        <f t="shared" si="9"/>
        <v>Ver Imagen</v>
      </c>
      <c r="M573" t="s">
        <v>15</v>
      </c>
    </row>
    <row r="574" spans="1:13" x14ac:dyDescent="0.25">
      <c r="A574">
        <v>573</v>
      </c>
      <c r="B574" t="s">
        <v>1158</v>
      </c>
      <c r="C574" s="1">
        <v>37.4574552001</v>
      </c>
      <c r="D574" s="1">
        <v>-7.1258191961800001</v>
      </c>
      <c r="E574" s="3">
        <v>2</v>
      </c>
      <c r="F574" s="2">
        <v>2</v>
      </c>
      <c r="G574" s="4">
        <v>2</v>
      </c>
      <c r="H574" s="13"/>
      <c r="I574" s="15"/>
      <c r="J574" s="19">
        <v>2</v>
      </c>
      <c r="K574" s="2" t="s">
        <v>1159</v>
      </c>
      <c r="L574" s="11" t="str">
        <f t="shared" si="9"/>
        <v>Ver Imagen</v>
      </c>
      <c r="M574" t="s">
        <v>15</v>
      </c>
    </row>
    <row r="575" spans="1:13" x14ac:dyDescent="0.25">
      <c r="A575">
        <v>574</v>
      </c>
      <c r="B575" t="s">
        <v>1160</v>
      </c>
      <c r="C575" s="1">
        <v>37.457287263399998</v>
      </c>
      <c r="D575" s="1">
        <v>-7.1258801727299996</v>
      </c>
      <c r="E575" s="3">
        <v>2</v>
      </c>
      <c r="F575" s="2">
        <v>2</v>
      </c>
      <c r="G575" s="4">
        <v>2</v>
      </c>
      <c r="H575" s="13"/>
      <c r="I575" s="15"/>
      <c r="J575" s="19">
        <v>2</v>
      </c>
      <c r="K575" s="2" t="s">
        <v>1161</v>
      </c>
      <c r="L575" s="11" t="str">
        <f t="shared" si="9"/>
        <v>Ver Imagen</v>
      </c>
      <c r="M575" t="s">
        <v>15</v>
      </c>
    </row>
    <row r="576" spans="1:13" x14ac:dyDescent="0.25">
      <c r="A576">
        <v>575</v>
      </c>
      <c r="B576" t="s">
        <v>1162</v>
      </c>
      <c r="C576" s="1">
        <v>37.455712431000002</v>
      </c>
      <c r="D576" s="1">
        <v>-7.1264644669399999</v>
      </c>
      <c r="E576" s="3">
        <v>2</v>
      </c>
      <c r="F576" s="2">
        <v>2</v>
      </c>
      <c r="G576" s="4">
        <v>2</v>
      </c>
      <c r="H576" s="13"/>
      <c r="I576" s="15"/>
      <c r="J576" s="19">
        <v>2</v>
      </c>
      <c r="K576" s="2" t="s">
        <v>1163</v>
      </c>
      <c r="L576" s="11" t="str">
        <f t="shared" si="9"/>
        <v>Ver Imagen</v>
      </c>
      <c r="M576" t="s">
        <v>15</v>
      </c>
    </row>
    <row r="577" spans="1:13" x14ac:dyDescent="0.25">
      <c r="A577">
        <v>576</v>
      </c>
      <c r="B577" t="s">
        <v>1164</v>
      </c>
      <c r="C577" s="1">
        <v>37.455164754599998</v>
      </c>
      <c r="D577" s="1">
        <v>-7.1266661101600004</v>
      </c>
      <c r="E577" s="3">
        <v>2</v>
      </c>
      <c r="F577" s="2">
        <v>2</v>
      </c>
      <c r="G577" s="4">
        <v>2</v>
      </c>
      <c r="H577" s="13"/>
      <c r="I577" s="15"/>
      <c r="J577" s="19">
        <v>2</v>
      </c>
      <c r="K577" s="2" t="s">
        <v>1165</v>
      </c>
      <c r="L577" s="11" t="str">
        <f t="shared" si="9"/>
        <v>Ver Imagen</v>
      </c>
      <c r="M577" t="s">
        <v>15</v>
      </c>
    </row>
    <row r="578" spans="1:13" x14ac:dyDescent="0.25">
      <c r="A578">
        <v>577</v>
      </c>
      <c r="B578" t="s">
        <v>1166</v>
      </c>
      <c r="C578" s="1">
        <v>37.454149359299997</v>
      </c>
      <c r="D578" s="1">
        <v>-7.1270351088400004</v>
      </c>
      <c r="E578" s="3">
        <v>2</v>
      </c>
      <c r="F578" s="2">
        <v>2</v>
      </c>
      <c r="G578" s="4">
        <v>2</v>
      </c>
      <c r="H578" s="13"/>
      <c r="I578" s="15"/>
      <c r="J578" s="19">
        <v>2</v>
      </c>
      <c r="K578" s="2" t="s">
        <v>1167</v>
      </c>
      <c r="L578" s="11" t="str">
        <f t="shared" si="9"/>
        <v>Ver Imagen</v>
      </c>
      <c r="M578" t="s">
        <v>15</v>
      </c>
    </row>
    <row r="579" spans="1:13" x14ac:dyDescent="0.25">
      <c r="A579">
        <v>578</v>
      </c>
      <c r="B579" t="s">
        <v>1168</v>
      </c>
      <c r="C579" s="1">
        <v>37.453397486599997</v>
      </c>
      <c r="D579" s="1">
        <v>-7.1272650498000001</v>
      </c>
      <c r="E579" s="3">
        <v>2</v>
      </c>
      <c r="F579" s="2">
        <v>2</v>
      </c>
      <c r="G579" s="4">
        <v>2</v>
      </c>
      <c r="H579" s="13"/>
      <c r="I579" s="15"/>
      <c r="J579" s="19">
        <v>2</v>
      </c>
      <c r="K579" s="2" t="s">
        <v>1169</v>
      </c>
      <c r="L579" s="11" t="str">
        <f t="shared" si="9"/>
        <v>Ver Imagen</v>
      </c>
      <c r="M579" t="s">
        <v>15</v>
      </c>
    </row>
    <row r="580" spans="1:13" x14ac:dyDescent="0.25">
      <c r="A580">
        <v>579</v>
      </c>
      <c r="B580" t="s">
        <v>1170</v>
      </c>
      <c r="C580" s="1">
        <v>37.4518016038</v>
      </c>
      <c r="D580" s="1">
        <v>-7.1274672611899996</v>
      </c>
      <c r="E580" s="3">
        <v>2</v>
      </c>
      <c r="F580" s="2">
        <v>2</v>
      </c>
      <c r="G580" s="4">
        <v>2</v>
      </c>
      <c r="H580" s="13"/>
      <c r="I580" s="15"/>
      <c r="J580" s="19">
        <v>2</v>
      </c>
      <c r="K580" s="2" t="s">
        <v>1171</v>
      </c>
      <c r="L580" s="11" t="str">
        <f t="shared" si="9"/>
        <v>Ver Imagen</v>
      </c>
      <c r="M580" t="s">
        <v>15</v>
      </c>
    </row>
    <row r="581" spans="1:13" x14ac:dyDescent="0.25">
      <c r="A581">
        <v>580</v>
      </c>
      <c r="B581" t="s">
        <v>1172</v>
      </c>
      <c r="C581" s="1">
        <v>37.451572593800002</v>
      </c>
      <c r="D581" s="1">
        <v>-7.1274636210200004</v>
      </c>
      <c r="E581" s="3">
        <v>2</v>
      </c>
      <c r="F581" s="2">
        <v>2</v>
      </c>
      <c r="G581" s="4">
        <v>2</v>
      </c>
      <c r="H581" s="13"/>
      <c r="I581" s="15"/>
      <c r="J581" s="19">
        <v>2</v>
      </c>
      <c r="K581" s="2" t="s">
        <v>1173</v>
      </c>
      <c r="L581" s="11" t="str">
        <f t="shared" si="9"/>
        <v>Ver Imagen</v>
      </c>
      <c r="M581" t="s">
        <v>15</v>
      </c>
    </row>
    <row r="582" spans="1:13" x14ac:dyDescent="0.25">
      <c r="A582">
        <v>581</v>
      </c>
      <c r="B582" t="s">
        <v>1174</v>
      </c>
      <c r="C582" s="1">
        <v>37.486964896700002</v>
      </c>
      <c r="D582" s="1">
        <v>-7.2802041724800004</v>
      </c>
      <c r="E582" s="3">
        <v>2</v>
      </c>
      <c r="F582" s="2">
        <v>2</v>
      </c>
      <c r="G582" s="4">
        <v>2</v>
      </c>
      <c r="H582" s="13"/>
      <c r="I582" s="15"/>
      <c r="J582" s="19">
        <v>2</v>
      </c>
      <c r="K582" s="2" t="s">
        <v>1175</v>
      </c>
      <c r="L582" s="11" t="str">
        <f t="shared" si="9"/>
        <v>Ver Imagen</v>
      </c>
      <c r="M582" t="s">
        <v>15</v>
      </c>
    </row>
    <row r="583" spans="1:13" x14ac:dyDescent="0.25">
      <c r="A583">
        <v>582</v>
      </c>
      <c r="B583" t="s">
        <v>1176</v>
      </c>
      <c r="C583" s="1">
        <v>37.487142181199999</v>
      </c>
      <c r="D583" s="1">
        <v>-7.2801107081599996</v>
      </c>
      <c r="E583" s="3">
        <v>2</v>
      </c>
      <c r="F583" s="2">
        <v>2</v>
      </c>
      <c r="G583" s="4">
        <v>2</v>
      </c>
      <c r="H583" s="13"/>
      <c r="I583" s="15"/>
      <c r="J583" s="19">
        <v>2</v>
      </c>
      <c r="K583" s="2" t="s">
        <v>1177</v>
      </c>
      <c r="L583" s="11" t="str">
        <f t="shared" si="9"/>
        <v>Ver Imagen</v>
      </c>
      <c r="M583" t="s">
        <v>15</v>
      </c>
    </row>
    <row r="584" spans="1:13" x14ac:dyDescent="0.25">
      <c r="A584">
        <v>583</v>
      </c>
      <c r="B584" t="s">
        <v>1178</v>
      </c>
      <c r="C584" s="1">
        <v>37.487743353699997</v>
      </c>
      <c r="D584" s="1">
        <v>-7.2797984394500004</v>
      </c>
      <c r="E584" s="3">
        <v>2</v>
      </c>
      <c r="F584" s="2">
        <v>2</v>
      </c>
      <c r="G584" s="4">
        <v>2</v>
      </c>
      <c r="H584" s="13"/>
      <c r="I584" s="15"/>
      <c r="J584" s="19">
        <v>2</v>
      </c>
      <c r="K584" s="2" t="s">
        <v>1179</v>
      </c>
      <c r="L584" s="11" t="str">
        <f t="shared" si="9"/>
        <v>Ver Imagen</v>
      </c>
      <c r="M584" t="s">
        <v>15</v>
      </c>
    </row>
    <row r="585" spans="1:13" x14ac:dyDescent="0.25">
      <c r="A585">
        <v>584</v>
      </c>
      <c r="B585" t="s">
        <v>1180</v>
      </c>
      <c r="C585" s="1">
        <v>37.487917555599999</v>
      </c>
      <c r="D585" s="1">
        <v>-7.2797079276799996</v>
      </c>
      <c r="E585" s="3">
        <v>2</v>
      </c>
      <c r="F585" s="2">
        <v>2</v>
      </c>
      <c r="G585" s="4">
        <v>2</v>
      </c>
      <c r="H585" s="13"/>
      <c r="I585" s="15"/>
      <c r="J585" s="19">
        <v>2</v>
      </c>
      <c r="K585" s="2" t="s">
        <v>1181</v>
      </c>
      <c r="L585" s="11" t="str">
        <f t="shared" ref="L585:L648" si="10">HYPERLINK("2\0\" &amp; K585, "Ver Imagen")</f>
        <v>Ver Imagen</v>
      </c>
      <c r="M585" t="s">
        <v>15</v>
      </c>
    </row>
    <row r="586" spans="1:13" x14ac:dyDescent="0.25">
      <c r="A586">
        <v>585</v>
      </c>
      <c r="B586" t="s">
        <v>1182</v>
      </c>
      <c r="C586" s="1">
        <v>37.488297386399999</v>
      </c>
      <c r="D586" s="1">
        <v>-7.27950911768</v>
      </c>
      <c r="E586" s="3">
        <v>2</v>
      </c>
      <c r="F586" s="2">
        <v>2</v>
      </c>
      <c r="G586" s="4">
        <v>2</v>
      </c>
      <c r="H586" s="13"/>
      <c r="I586" s="15"/>
      <c r="J586" s="19">
        <v>2</v>
      </c>
      <c r="K586" s="2" t="s">
        <v>1183</v>
      </c>
      <c r="L586" s="11" t="str">
        <f t="shared" si="10"/>
        <v>Ver Imagen</v>
      </c>
      <c r="M586" t="s">
        <v>15</v>
      </c>
    </row>
    <row r="587" spans="1:13" x14ac:dyDescent="0.25">
      <c r="A587">
        <v>586</v>
      </c>
      <c r="B587" t="s">
        <v>1184</v>
      </c>
      <c r="C587" s="1">
        <v>37.488487685499997</v>
      </c>
      <c r="D587" s="1">
        <v>-7.2794098321299998</v>
      </c>
      <c r="E587" s="3">
        <v>2</v>
      </c>
      <c r="F587" s="2">
        <v>2</v>
      </c>
      <c r="G587" s="4">
        <v>2</v>
      </c>
      <c r="H587" s="13"/>
      <c r="I587" s="15"/>
      <c r="J587" s="19">
        <v>2</v>
      </c>
      <c r="K587" s="2" t="s">
        <v>1185</v>
      </c>
      <c r="L587" s="11" t="str">
        <f t="shared" si="10"/>
        <v>Ver Imagen</v>
      </c>
      <c r="M587" t="s">
        <v>15</v>
      </c>
    </row>
    <row r="588" spans="1:13" x14ac:dyDescent="0.25">
      <c r="A588">
        <v>587</v>
      </c>
      <c r="B588" t="s">
        <v>1186</v>
      </c>
      <c r="C588" s="1">
        <v>37.489200255199997</v>
      </c>
      <c r="D588" s="1">
        <v>-7.2790403025600003</v>
      </c>
      <c r="E588" s="3">
        <v>2</v>
      </c>
      <c r="F588" s="2">
        <v>2</v>
      </c>
      <c r="G588" s="4">
        <v>2</v>
      </c>
      <c r="H588" s="13"/>
      <c r="I588" s="15"/>
      <c r="J588" s="19">
        <v>2</v>
      </c>
      <c r="K588" s="2" t="s">
        <v>1187</v>
      </c>
      <c r="L588" s="11" t="str">
        <f t="shared" si="10"/>
        <v>Ver Imagen</v>
      </c>
      <c r="M588" t="s">
        <v>15</v>
      </c>
    </row>
    <row r="589" spans="1:13" x14ac:dyDescent="0.25">
      <c r="A589">
        <v>588</v>
      </c>
      <c r="B589" t="s">
        <v>1188</v>
      </c>
      <c r="C589" s="1">
        <v>37.489392279199997</v>
      </c>
      <c r="D589" s="1">
        <v>-7.2789390953900002</v>
      </c>
      <c r="E589" s="3">
        <v>2</v>
      </c>
      <c r="F589" s="2">
        <v>2</v>
      </c>
      <c r="G589" s="4">
        <v>2</v>
      </c>
      <c r="H589" s="13"/>
      <c r="I589" s="15"/>
      <c r="J589" s="19">
        <v>2</v>
      </c>
      <c r="K589" s="2" t="s">
        <v>1189</v>
      </c>
      <c r="L589" s="11" t="str">
        <f t="shared" si="10"/>
        <v>Ver Imagen</v>
      </c>
      <c r="M589" t="s">
        <v>15</v>
      </c>
    </row>
    <row r="590" spans="1:13" x14ac:dyDescent="0.25">
      <c r="A590">
        <v>589</v>
      </c>
      <c r="B590" t="s">
        <v>1190</v>
      </c>
      <c r="C590" s="1">
        <v>37.489567597499999</v>
      </c>
      <c r="D590" s="1">
        <v>-7.2788462569499996</v>
      </c>
      <c r="E590" s="3">
        <v>2</v>
      </c>
      <c r="F590" s="2">
        <v>2</v>
      </c>
      <c r="G590" s="4">
        <v>2</v>
      </c>
      <c r="H590" s="13"/>
      <c r="I590" s="15"/>
      <c r="J590" s="19">
        <v>2</v>
      </c>
      <c r="K590" s="2" t="s">
        <v>1191</v>
      </c>
      <c r="L590" s="11" t="str">
        <f t="shared" si="10"/>
        <v>Ver Imagen</v>
      </c>
      <c r="M590" t="s">
        <v>15</v>
      </c>
    </row>
    <row r="591" spans="1:13" x14ac:dyDescent="0.25">
      <c r="A591">
        <v>590</v>
      </c>
      <c r="B591" t="s">
        <v>1192</v>
      </c>
      <c r="C591" s="1">
        <v>37.489804213799999</v>
      </c>
      <c r="D591" s="1">
        <v>-7.2787219349100001</v>
      </c>
      <c r="E591" s="3">
        <v>2</v>
      </c>
      <c r="F591" s="2">
        <v>2</v>
      </c>
      <c r="G591" s="4">
        <v>2</v>
      </c>
      <c r="H591" s="13"/>
      <c r="I591" s="15"/>
      <c r="J591" s="19">
        <v>2</v>
      </c>
      <c r="K591" s="2" t="s">
        <v>1193</v>
      </c>
      <c r="L591" s="11" t="str">
        <f t="shared" si="10"/>
        <v>Ver Imagen</v>
      </c>
      <c r="M591" t="s">
        <v>15</v>
      </c>
    </row>
    <row r="592" spans="1:13" x14ac:dyDescent="0.25">
      <c r="A592">
        <v>591</v>
      </c>
      <c r="B592" t="s">
        <v>1194</v>
      </c>
      <c r="C592" s="1">
        <v>37.489974659799998</v>
      </c>
      <c r="D592" s="1">
        <v>-7.2786322407700004</v>
      </c>
      <c r="E592" s="3">
        <v>2</v>
      </c>
      <c r="F592" s="2">
        <v>2</v>
      </c>
      <c r="G592" s="4">
        <v>2</v>
      </c>
      <c r="H592" s="13"/>
      <c r="I592" s="15"/>
      <c r="J592" s="19">
        <v>2</v>
      </c>
      <c r="K592" s="2" t="s">
        <v>1195</v>
      </c>
      <c r="L592" s="11" t="str">
        <f t="shared" si="10"/>
        <v>Ver Imagen</v>
      </c>
      <c r="M592" t="s">
        <v>15</v>
      </c>
    </row>
    <row r="593" spans="1:13" x14ac:dyDescent="0.25">
      <c r="A593">
        <v>592</v>
      </c>
      <c r="B593" t="s">
        <v>1196</v>
      </c>
      <c r="C593" s="1">
        <v>37.490144200800003</v>
      </c>
      <c r="D593" s="1">
        <v>-7.2785429746199997</v>
      </c>
      <c r="E593" s="3">
        <v>2</v>
      </c>
      <c r="F593" s="2">
        <v>2</v>
      </c>
      <c r="G593" s="4">
        <v>2</v>
      </c>
      <c r="H593" s="13"/>
      <c r="I593" s="15"/>
      <c r="J593" s="19">
        <v>2</v>
      </c>
      <c r="K593" s="2" t="s">
        <v>1197</v>
      </c>
      <c r="L593" s="11" t="str">
        <f t="shared" si="10"/>
        <v>Ver Imagen</v>
      </c>
      <c r="M593" t="s">
        <v>15</v>
      </c>
    </row>
    <row r="594" spans="1:13" x14ac:dyDescent="0.25">
      <c r="A594">
        <v>593</v>
      </c>
      <c r="B594" t="s">
        <v>1198</v>
      </c>
      <c r="C594" s="1">
        <v>37.490314813700003</v>
      </c>
      <c r="D594" s="1">
        <v>-7.2784538187000001</v>
      </c>
      <c r="E594" s="3">
        <v>2</v>
      </c>
      <c r="F594" s="2">
        <v>2</v>
      </c>
      <c r="G594" s="4">
        <v>2</v>
      </c>
      <c r="H594" s="13"/>
      <c r="I594" s="15"/>
      <c r="J594" s="19">
        <v>2</v>
      </c>
      <c r="K594" s="2" t="s">
        <v>1199</v>
      </c>
      <c r="L594" s="11" t="str">
        <f t="shared" si="10"/>
        <v>Ver Imagen</v>
      </c>
      <c r="M594" t="s">
        <v>15</v>
      </c>
    </row>
    <row r="595" spans="1:13" x14ac:dyDescent="0.25">
      <c r="A595">
        <v>594</v>
      </c>
      <c r="B595" t="s">
        <v>1200</v>
      </c>
      <c r="C595" s="1">
        <v>37.4905229019</v>
      </c>
      <c r="D595" s="1">
        <v>-7.27834664421</v>
      </c>
      <c r="E595" s="3">
        <v>2</v>
      </c>
      <c r="F595" s="2">
        <v>2</v>
      </c>
      <c r="G595" s="4">
        <v>2</v>
      </c>
      <c r="H595" s="13"/>
      <c r="I595" s="15"/>
      <c r="J595" s="19">
        <v>2</v>
      </c>
      <c r="K595" s="2" t="s">
        <v>1201</v>
      </c>
      <c r="L595" s="11" t="str">
        <f t="shared" si="10"/>
        <v>Ver Imagen</v>
      </c>
      <c r="M595" t="s">
        <v>15</v>
      </c>
    </row>
    <row r="596" spans="1:13" x14ac:dyDescent="0.25">
      <c r="A596">
        <v>595</v>
      </c>
      <c r="B596" t="s">
        <v>1202</v>
      </c>
      <c r="C596" s="1">
        <v>37.490726288600001</v>
      </c>
      <c r="D596" s="1">
        <v>-7.27824520355</v>
      </c>
      <c r="E596" s="3">
        <v>2</v>
      </c>
      <c r="F596" s="2">
        <v>2</v>
      </c>
      <c r="G596" s="4">
        <v>2</v>
      </c>
      <c r="H596" s="13"/>
      <c r="I596" s="15"/>
      <c r="J596" s="19">
        <v>2</v>
      </c>
      <c r="K596" s="2" t="s">
        <v>1203</v>
      </c>
      <c r="L596" s="11" t="str">
        <f t="shared" si="10"/>
        <v>Ver Imagen</v>
      </c>
      <c r="M596" t="s">
        <v>15</v>
      </c>
    </row>
    <row r="597" spans="1:13" x14ac:dyDescent="0.25">
      <c r="A597">
        <v>596</v>
      </c>
      <c r="B597" t="s">
        <v>1204</v>
      </c>
      <c r="C597" s="1">
        <v>37.490894048100003</v>
      </c>
      <c r="D597" s="1">
        <v>-7.2781646928999999</v>
      </c>
      <c r="E597" s="3">
        <v>2</v>
      </c>
      <c r="F597" s="2">
        <v>2</v>
      </c>
      <c r="G597" s="4">
        <v>2</v>
      </c>
      <c r="H597" s="13"/>
      <c r="I597" s="15"/>
      <c r="J597" s="19">
        <v>2</v>
      </c>
      <c r="K597" s="2" t="s">
        <v>1205</v>
      </c>
      <c r="L597" s="11" t="str">
        <f t="shared" si="10"/>
        <v>Ver Imagen</v>
      </c>
      <c r="M597" t="s">
        <v>15</v>
      </c>
    </row>
    <row r="598" spans="1:13" x14ac:dyDescent="0.25">
      <c r="A598">
        <v>597</v>
      </c>
      <c r="B598" t="s">
        <v>1206</v>
      </c>
      <c r="C598" s="1">
        <v>37.491090898099998</v>
      </c>
      <c r="D598" s="1">
        <v>-7.2780739283000004</v>
      </c>
      <c r="E598" s="3">
        <v>2</v>
      </c>
      <c r="F598" s="2">
        <v>2</v>
      </c>
      <c r="G598" s="4">
        <v>2</v>
      </c>
      <c r="H598" s="13"/>
      <c r="I598" s="15"/>
      <c r="J598" s="19">
        <v>2</v>
      </c>
      <c r="K598" s="2" t="s">
        <v>1207</v>
      </c>
      <c r="L598" s="11" t="str">
        <f t="shared" si="10"/>
        <v>Ver Imagen</v>
      </c>
      <c r="M598" t="s">
        <v>15</v>
      </c>
    </row>
    <row r="599" spans="1:13" x14ac:dyDescent="0.25">
      <c r="A599">
        <v>598</v>
      </c>
      <c r="B599" t="s">
        <v>1208</v>
      </c>
      <c r="C599" s="1">
        <v>37.491299261499996</v>
      </c>
      <c r="D599" s="1">
        <v>-7.2779811399899996</v>
      </c>
      <c r="E599" s="3">
        <v>2</v>
      </c>
      <c r="F599" s="2">
        <v>2</v>
      </c>
      <c r="G599" s="4">
        <v>2</v>
      </c>
      <c r="H599" s="13"/>
      <c r="I599" s="15"/>
      <c r="J599" s="19">
        <v>2</v>
      </c>
      <c r="K599" s="2" t="s">
        <v>1209</v>
      </c>
      <c r="L599" s="11" t="str">
        <f t="shared" si="10"/>
        <v>Ver Imagen</v>
      </c>
      <c r="M599" t="s">
        <v>15</v>
      </c>
    </row>
    <row r="600" spans="1:13" x14ac:dyDescent="0.25">
      <c r="A600">
        <v>599</v>
      </c>
      <c r="B600" t="s">
        <v>1210</v>
      </c>
      <c r="C600" s="1">
        <v>37.491680941200002</v>
      </c>
      <c r="D600" s="1">
        <v>-7.2778156567599996</v>
      </c>
      <c r="E600" s="3">
        <v>2</v>
      </c>
      <c r="F600" s="2">
        <v>2</v>
      </c>
      <c r="G600" s="4">
        <v>2</v>
      </c>
      <c r="H600" s="13"/>
      <c r="I600" s="15"/>
      <c r="J600" s="19">
        <v>2</v>
      </c>
      <c r="K600" s="2" t="s">
        <v>1211</v>
      </c>
      <c r="L600" s="11" t="str">
        <f t="shared" si="10"/>
        <v>Ver Imagen</v>
      </c>
      <c r="M600" t="s">
        <v>15</v>
      </c>
    </row>
    <row r="601" spans="1:13" x14ac:dyDescent="0.25">
      <c r="A601">
        <v>600</v>
      </c>
      <c r="B601" t="s">
        <v>1212</v>
      </c>
      <c r="C601" s="1">
        <v>37.491870466999998</v>
      </c>
      <c r="D601" s="1">
        <v>-7.2777357557900002</v>
      </c>
      <c r="E601" s="3">
        <v>2</v>
      </c>
      <c r="F601" s="2">
        <v>2</v>
      </c>
      <c r="G601" s="4">
        <v>2</v>
      </c>
      <c r="H601" s="13"/>
      <c r="I601" s="15"/>
      <c r="J601" s="19">
        <v>2</v>
      </c>
      <c r="K601" s="2" t="s">
        <v>1213</v>
      </c>
      <c r="L601" s="11" t="str">
        <f t="shared" si="10"/>
        <v>Ver Imagen</v>
      </c>
      <c r="M601" t="s">
        <v>15</v>
      </c>
    </row>
    <row r="602" spans="1:13" x14ac:dyDescent="0.25">
      <c r="A602">
        <v>601</v>
      </c>
      <c r="B602" t="s">
        <v>1214</v>
      </c>
      <c r="C602" s="1">
        <v>37.492228894299998</v>
      </c>
      <c r="D602" s="1">
        <v>-7.2775893254600001</v>
      </c>
      <c r="E602" s="3">
        <v>2</v>
      </c>
      <c r="F602" s="2">
        <v>2</v>
      </c>
      <c r="G602" s="4">
        <v>2</v>
      </c>
      <c r="H602" s="13"/>
      <c r="I602" s="15"/>
      <c r="J602" s="19">
        <v>2</v>
      </c>
      <c r="K602" s="2" t="s">
        <v>1215</v>
      </c>
      <c r="L602" s="11" t="str">
        <f t="shared" si="10"/>
        <v>Ver Imagen</v>
      </c>
      <c r="M602" t="s">
        <v>15</v>
      </c>
    </row>
    <row r="603" spans="1:13" x14ac:dyDescent="0.25">
      <c r="A603">
        <v>602</v>
      </c>
      <c r="B603" t="s">
        <v>1216</v>
      </c>
      <c r="C603" s="1">
        <v>37.492420259799999</v>
      </c>
      <c r="D603" s="1">
        <v>-7.2775144063599999</v>
      </c>
      <c r="E603" s="3">
        <v>2</v>
      </c>
      <c r="F603" s="2">
        <v>2</v>
      </c>
      <c r="G603" s="4">
        <v>2</v>
      </c>
      <c r="H603" s="13"/>
      <c r="I603" s="15"/>
      <c r="J603" s="19">
        <v>2</v>
      </c>
      <c r="K603" s="2" t="s">
        <v>1217</v>
      </c>
      <c r="L603" s="11" t="str">
        <f t="shared" si="10"/>
        <v>Ver Imagen</v>
      </c>
      <c r="M603" t="s">
        <v>15</v>
      </c>
    </row>
    <row r="604" spans="1:13" x14ac:dyDescent="0.25">
      <c r="A604">
        <v>603</v>
      </c>
      <c r="B604" t="s">
        <v>1218</v>
      </c>
      <c r="C604" s="1">
        <v>37.493218637799998</v>
      </c>
      <c r="D604" s="1">
        <v>-7.2772369968300001</v>
      </c>
      <c r="E604" s="3">
        <v>2</v>
      </c>
      <c r="F604" s="2">
        <v>2</v>
      </c>
      <c r="G604" s="4">
        <v>2</v>
      </c>
      <c r="H604" s="13"/>
      <c r="I604" s="15"/>
      <c r="J604" s="19">
        <v>2</v>
      </c>
      <c r="K604" s="2" t="s">
        <v>1219</v>
      </c>
      <c r="L604" s="11" t="str">
        <f t="shared" si="10"/>
        <v>Ver Imagen</v>
      </c>
      <c r="M604" t="s">
        <v>15</v>
      </c>
    </row>
    <row r="605" spans="1:13" x14ac:dyDescent="0.25">
      <c r="A605">
        <v>604</v>
      </c>
      <c r="B605" t="s">
        <v>1220</v>
      </c>
      <c r="C605" s="1">
        <v>37.494002237700002</v>
      </c>
      <c r="D605" s="1">
        <v>-7.2769737337700002</v>
      </c>
      <c r="E605" s="3">
        <v>2</v>
      </c>
      <c r="F605" s="2">
        <v>2</v>
      </c>
      <c r="G605" s="4">
        <v>2</v>
      </c>
      <c r="H605" s="13"/>
      <c r="I605" s="15"/>
      <c r="J605" s="19">
        <v>2</v>
      </c>
      <c r="K605" s="2" t="s">
        <v>1221</v>
      </c>
      <c r="L605" s="11" t="str">
        <f t="shared" si="10"/>
        <v>Ver Imagen</v>
      </c>
      <c r="M605" t="s">
        <v>15</v>
      </c>
    </row>
    <row r="606" spans="1:13" x14ac:dyDescent="0.25">
      <c r="A606">
        <v>605</v>
      </c>
      <c r="B606" t="s">
        <v>1222</v>
      </c>
      <c r="C606" s="1">
        <v>37.494174429300003</v>
      </c>
      <c r="D606" s="1">
        <v>-7.2769169807100003</v>
      </c>
      <c r="E606" s="3">
        <v>2</v>
      </c>
      <c r="F606" s="2">
        <v>2</v>
      </c>
      <c r="G606" s="4">
        <v>2</v>
      </c>
      <c r="H606" s="13"/>
      <c r="I606" s="15"/>
      <c r="J606" s="19">
        <v>2</v>
      </c>
      <c r="K606" s="2" t="s">
        <v>1223</v>
      </c>
      <c r="L606" s="11" t="str">
        <f t="shared" si="10"/>
        <v>Ver Imagen</v>
      </c>
      <c r="M606" t="s">
        <v>15</v>
      </c>
    </row>
    <row r="607" spans="1:13" x14ac:dyDescent="0.25">
      <c r="A607">
        <v>606</v>
      </c>
      <c r="B607" t="s">
        <v>1224</v>
      </c>
      <c r="C607" s="1">
        <v>37.494580207799999</v>
      </c>
      <c r="D607" s="1">
        <v>-7.2767847517300002</v>
      </c>
      <c r="E607" s="3">
        <v>2</v>
      </c>
      <c r="F607" s="2">
        <v>2</v>
      </c>
      <c r="G607" s="4">
        <v>2</v>
      </c>
      <c r="H607" s="13"/>
      <c r="I607" s="15"/>
      <c r="J607" s="19">
        <v>2</v>
      </c>
      <c r="K607" s="2" t="s">
        <v>1225</v>
      </c>
      <c r="L607" s="11" t="str">
        <f t="shared" si="10"/>
        <v>Ver Imagen</v>
      </c>
      <c r="M607" t="s">
        <v>15</v>
      </c>
    </row>
    <row r="608" spans="1:13" x14ac:dyDescent="0.25">
      <c r="A608">
        <v>607</v>
      </c>
      <c r="B608" t="s">
        <v>1226</v>
      </c>
      <c r="C608" s="1">
        <v>37.495584025699998</v>
      </c>
      <c r="D608" s="1">
        <v>-7.2757746104700001</v>
      </c>
      <c r="E608" s="3">
        <v>2</v>
      </c>
      <c r="F608" s="2">
        <v>2</v>
      </c>
      <c r="G608" s="4">
        <v>2</v>
      </c>
      <c r="H608" s="13"/>
      <c r="I608" s="15"/>
      <c r="J608" s="19">
        <v>2</v>
      </c>
      <c r="K608" s="2" t="s">
        <v>1227</v>
      </c>
      <c r="L608" s="11" t="str">
        <f t="shared" si="10"/>
        <v>Ver Imagen</v>
      </c>
      <c r="M608" t="s">
        <v>15</v>
      </c>
    </row>
    <row r="609" spans="1:13" x14ac:dyDescent="0.25">
      <c r="A609">
        <v>608</v>
      </c>
      <c r="B609" t="s">
        <v>1228</v>
      </c>
      <c r="C609" s="1">
        <v>37.495701835399998</v>
      </c>
      <c r="D609" s="1">
        <v>-7.2740061949300001</v>
      </c>
      <c r="E609" s="3">
        <v>2</v>
      </c>
      <c r="F609" s="2">
        <v>2</v>
      </c>
      <c r="G609" s="4">
        <v>2</v>
      </c>
      <c r="H609" s="13"/>
      <c r="I609" s="15"/>
      <c r="J609" s="19">
        <v>2</v>
      </c>
      <c r="K609" s="2" t="s">
        <v>1229</v>
      </c>
      <c r="L609" s="11" t="str">
        <f t="shared" si="10"/>
        <v>Ver Imagen</v>
      </c>
      <c r="M609" t="s">
        <v>15</v>
      </c>
    </row>
    <row r="610" spans="1:13" x14ac:dyDescent="0.25">
      <c r="A610">
        <v>609</v>
      </c>
      <c r="B610" t="s">
        <v>1230</v>
      </c>
      <c r="C610" s="1">
        <v>37.495429935600001</v>
      </c>
      <c r="D610" s="1">
        <v>-7.2722659393600004</v>
      </c>
      <c r="E610" s="3">
        <v>2</v>
      </c>
      <c r="F610" s="2">
        <v>2</v>
      </c>
      <c r="G610" s="4">
        <v>2</v>
      </c>
      <c r="H610" s="13"/>
      <c r="I610" s="15"/>
      <c r="J610" s="19">
        <v>2</v>
      </c>
      <c r="K610" s="2" t="s">
        <v>1231</v>
      </c>
      <c r="L610" s="11" t="str">
        <f t="shared" si="10"/>
        <v>Ver Imagen</v>
      </c>
      <c r="M610" t="s">
        <v>15</v>
      </c>
    </row>
    <row r="611" spans="1:13" x14ac:dyDescent="0.25">
      <c r="A611">
        <v>610</v>
      </c>
      <c r="B611" t="s">
        <v>1232</v>
      </c>
      <c r="C611" s="1">
        <v>37.495393265499999</v>
      </c>
      <c r="D611" s="1">
        <v>-7.2720194308700004</v>
      </c>
      <c r="E611" s="3">
        <v>2</v>
      </c>
      <c r="F611" s="2">
        <v>2</v>
      </c>
      <c r="G611" s="4">
        <v>2</v>
      </c>
      <c r="H611" s="13"/>
      <c r="I611" s="15"/>
      <c r="J611" s="19">
        <v>2</v>
      </c>
      <c r="K611" s="2" t="s">
        <v>1233</v>
      </c>
      <c r="L611" s="11" t="str">
        <f t="shared" si="10"/>
        <v>Ver Imagen</v>
      </c>
      <c r="M611" t="s">
        <v>15</v>
      </c>
    </row>
    <row r="612" spans="1:13" x14ac:dyDescent="0.25">
      <c r="A612">
        <v>611</v>
      </c>
      <c r="B612" t="s">
        <v>1234</v>
      </c>
      <c r="C612" s="1">
        <v>37.495354194500003</v>
      </c>
      <c r="D612" s="1">
        <v>-7.2717148440699999</v>
      </c>
      <c r="E612" s="3">
        <v>2</v>
      </c>
      <c r="F612" s="2">
        <v>2</v>
      </c>
      <c r="G612" s="4">
        <v>2</v>
      </c>
      <c r="H612" s="13"/>
      <c r="I612" s="15"/>
      <c r="J612" s="19">
        <v>2</v>
      </c>
      <c r="K612" s="2" t="s">
        <v>1235</v>
      </c>
      <c r="L612" s="11" t="str">
        <f t="shared" si="10"/>
        <v>Ver Imagen</v>
      </c>
      <c r="M612" t="s">
        <v>15</v>
      </c>
    </row>
    <row r="613" spans="1:13" x14ac:dyDescent="0.25">
      <c r="A613">
        <v>612</v>
      </c>
      <c r="B613" t="s">
        <v>1236</v>
      </c>
      <c r="C613" s="1">
        <v>37.498215201000001</v>
      </c>
      <c r="D613" s="1">
        <v>-7.2677137217999999</v>
      </c>
      <c r="E613" s="3">
        <v>2</v>
      </c>
      <c r="F613" s="2">
        <v>2</v>
      </c>
      <c r="G613" s="4">
        <v>2</v>
      </c>
      <c r="H613" s="13"/>
      <c r="I613" s="15"/>
      <c r="J613" s="19">
        <v>2</v>
      </c>
      <c r="K613" s="2" t="s">
        <v>1237</v>
      </c>
      <c r="L613" s="11" t="str">
        <f t="shared" si="10"/>
        <v>Ver Imagen</v>
      </c>
      <c r="M613" t="s">
        <v>15</v>
      </c>
    </row>
    <row r="614" spans="1:13" x14ac:dyDescent="0.25">
      <c r="A614">
        <v>613</v>
      </c>
      <c r="B614" t="s">
        <v>1238</v>
      </c>
      <c r="C614" s="1">
        <v>37.498405799799997</v>
      </c>
      <c r="D614" s="1">
        <v>-7.2676484637699996</v>
      </c>
      <c r="E614" s="3">
        <v>2</v>
      </c>
      <c r="F614" s="2">
        <v>2</v>
      </c>
      <c r="G614" s="4">
        <v>2</v>
      </c>
      <c r="H614" s="13"/>
      <c r="I614" s="15"/>
      <c r="J614" s="19">
        <v>2</v>
      </c>
      <c r="K614" s="2" t="s">
        <v>1239</v>
      </c>
      <c r="L614" s="11" t="str">
        <f t="shared" si="10"/>
        <v>Ver Imagen</v>
      </c>
      <c r="M614" t="s">
        <v>15</v>
      </c>
    </row>
    <row r="615" spans="1:13" x14ac:dyDescent="0.25">
      <c r="A615">
        <v>614</v>
      </c>
      <c r="B615" t="s">
        <v>1240</v>
      </c>
      <c r="C615" s="1">
        <v>37.499181397500003</v>
      </c>
      <c r="D615" s="1">
        <v>-7.2673804090200003</v>
      </c>
      <c r="E615" s="3">
        <v>2</v>
      </c>
      <c r="F615" s="2">
        <v>2</v>
      </c>
      <c r="G615" s="4">
        <v>2</v>
      </c>
      <c r="H615" s="13"/>
      <c r="I615" s="15"/>
      <c r="J615" s="19">
        <v>2</v>
      </c>
      <c r="K615" s="2" t="s">
        <v>1241</v>
      </c>
      <c r="L615" s="11" t="str">
        <f t="shared" si="10"/>
        <v>Ver Imagen</v>
      </c>
      <c r="M615" t="s">
        <v>15</v>
      </c>
    </row>
    <row r="616" spans="1:13" x14ac:dyDescent="0.25">
      <c r="A616">
        <v>615</v>
      </c>
      <c r="B616" t="s">
        <v>1242</v>
      </c>
      <c r="C616" s="1">
        <v>37.499399637400003</v>
      </c>
      <c r="D616" s="1">
        <v>-7.2673058956499998</v>
      </c>
      <c r="E616" s="3">
        <v>2</v>
      </c>
      <c r="F616" s="2">
        <v>2</v>
      </c>
      <c r="G616" s="4">
        <v>2</v>
      </c>
      <c r="H616" s="13"/>
      <c r="I616" s="15"/>
      <c r="J616" s="19">
        <v>2</v>
      </c>
      <c r="K616" s="2" t="s">
        <v>1243</v>
      </c>
      <c r="L616" s="11" t="str">
        <f t="shared" si="10"/>
        <v>Ver Imagen</v>
      </c>
      <c r="M616" t="s">
        <v>15</v>
      </c>
    </row>
    <row r="617" spans="1:13" x14ac:dyDescent="0.25">
      <c r="A617">
        <v>616</v>
      </c>
      <c r="B617" t="s">
        <v>1244</v>
      </c>
      <c r="C617" s="1">
        <v>37.499775731200003</v>
      </c>
      <c r="D617" s="1">
        <v>-7.2671772393699996</v>
      </c>
      <c r="E617" s="3">
        <v>2</v>
      </c>
      <c r="F617" s="2">
        <v>2</v>
      </c>
      <c r="G617" s="4">
        <v>2</v>
      </c>
      <c r="H617" s="13"/>
      <c r="I617" s="15"/>
      <c r="J617" s="19">
        <v>2</v>
      </c>
      <c r="K617" s="2" t="s">
        <v>1245</v>
      </c>
      <c r="L617" s="11" t="str">
        <f t="shared" si="10"/>
        <v>Ver Imagen</v>
      </c>
      <c r="M617" t="s">
        <v>15</v>
      </c>
    </row>
    <row r="618" spans="1:13" x14ac:dyDescent="0.25">
      <c r="A618">
        <v>617</v>
      </c>
      <c r="B618" t="s">
        <v>1246</v>
      </c>
      <c r="C618" s="1">
        <v>37.499986066399998</v>
      </c>
      <c r="D618" s="1">
        <v>-7.2671050643499999</v>
      </c>
      <c r="E618" s="3">
        <v>2</v>
      </c>
      <c r="F618" s="2">
        <v>2</v>
      </c>
      <c r="G618" s="4">
        <v>2</v>
      </c>
      <c r="H618" s="13"/>
      <c r="I618" s="15"/>
      <c r="J618" s="19">
        <v>2</v>
      </c>
      <c r="K618" s="2" t="s">
        <v>1247</v>
      </c>
      <c r="L618" s="11" t="str">
        <f t="shared" si="10"/>
        <v>Ver Imagen</v>
      </c>
      <c r="M618" t="s">
        <v>15</v>
      </c>
    </row>
    <row r="619" spans="1:13" x14ac:dyDescent="0.25">
      <c r="A619">
        <v>618</v>
      </c>
      <c r="B619" t="s">
        <v>1248</v>
      </c>
      <c r="C619" s="1">
        <v>37.199550548600001</v>
      </c>
      <c r="D619" s="1">
        <v>-6.9846825061600004</v>
      </c>
      <c r="E619" s="3">
        <v>2</v>
      </c>
      <c r="F619" s="2">
        <v>2</v>
      </c>
      <c r="G619" s="4">
        <v>2</v>
      </c>
      <c r="H619" s="13"/>
      <c r="I619" s="15"/>
      <c r="J619" s="19">
        <v>2</v>
      </c>
      <c r="K619" s="2" t="s">
        <v>1249</v>
      </c>
      <c r="L619" s="11" t="str">
        <f t="shared" si="10"/>
        <v>Ver Imagen</v>
      </c>
      <c r="M619" t="s">
        <v>15</v>
      </c>
    </row>
    <row r="620" spans="1:13" x14ac:dyDescent="0.25">
      <c r="A620">
        <v>619</v>
      </c>
      <c r="B620" t="s">
        <v>1250</v>
      </c>
      <c r="C620" s="1">
        <v>37.199483657099996</v>
      </c>
      <c r="D620" s="1">
        <v>-6.9844348655499999</v>
      </c>
      <c r="E620" s="3">
        <v>2</v>
      </c>
      <c r="F620" s="2">
        <v>2</v>
      </c>
      <c r="G620" s="4">
        <v>2</v>
      </c>
      <c r="H620" s="13"/>
      <c r="I620" s="15"/>
      <c r="J620" s="19">
        <v>2</v>
      </c>
      <c r="K620" s="2" t="s">
        <v>1251</v>
      </c>
      <c r="L620" s="11" t="str">
        <f t="shared" si="10"/>
        <v>Ver Imagen</v>
      </c>
      <c r="M620" t="s">
        <v>15</v>
      </c>
    </row>
    <row r="621" spans="1:13" x14ac:dyDescent="0.25">
      <c r="A621">
        <v>620</v>
      </c>
      <c r="B621" t="s">
        <v>1252</v>
      </c>
      <c r="C621" s="1">
        <v>37.199416783899999</v>
      </c>
      <c r="D621" s="1">
        <v>-6.9841922960199998</v>
      </c>
      <c r="E621" s="3">
        <v>2</v>
      </c>
      <c r="F621" s="2">
        <v>2</v>
      </c>
      <c r="G621" s="4">
        <v>2</v>
      </c>
      <c r="H621" s="13"/>
      <c r="I621" s="15"/>
      <c r="J621" s="19">
        <v>2</v>
      </c>
      <c r="K621" s="2" t="s">
        <v>1253</v>
      </c>
      <c r="L621" s="11" t="str">
        <f t="shared" si="10"/>
        <v>Ver Imagen</v>
      </c>
      <c r="M621" t="s">
        <v>15</v>
      </c>
    </row>
    <row r="622" spans="1:13" x14ac:dyDescent="0.25">
      <c r="A622">
        <v>621</v>
      </c>
      <c r="B622" t="s">
        <v>1254</v>
      </c>
      <c r="C622" s="1">
        <v>37.199059087800002</v>
      </c>
      <c r="D622" s="1">
        <v>-6.9830255324500001</v>
      </c>
      <c r="E622" s="3">
        <v>2</v>
      </c>
      <c r="F622" s="2">
        <v>2</v>
      </c>
      <c r="G622" s="4">
        <v>2</v>
      </c>
      <c r="H622" s="13"/>
      <c r="I622" s="15"/>
      <c r="J622" s="19">
        <v>2</v>
      </c>
      <c r="K622" s="2" t="s">
        <v>1255</v>
      </c>
      <c r="L622" s="11" t="str">
        <f t="shared" si="10"/>
        <v>Ver Imagen</v>
      </c>
      <c r="M622" t="s">
        <v>15</v>
      </c>
    </row>
    <row r="623" spans="1:13" x14ac:dyDescent="0.25">
      <c r="A623">
        <v>622</v>
      </c>
      <c r="B623" t="s">
        <v>1256</v>
      </c>
      <c r="C623" s="1">
        <v>37.188119040300002</v>
      </c>
      <c r="D623" s="1">
        <v>-6.9789640987599997</v>
      </c>
      <c r="E623" s="3">
        <v>2</v>
      </c>
      <c r="F623" s="2">
        <v>2</v>
      </c>
      <c r="G623" s="4">
        <v>2</v>
      </c>
      <c r="H623" s="13"/>
      <c r="I623" s="15"/>
      <c r="J623" s="19">
        <v>2</v>
      </c>
      <c r="K623" s="2" t="s">
        <v>1257</v>
      </c>
      <c r="L623" s="11" t="str">
        <f t="shared" si="10"/>
        <v>Ver Imagen</v>
      </c>
      <c r="M623" t="s">
        <v>15</v>
      </c>
    </row>
    <row r="624" spans="1:13" x14ac:dyDescent="0.25">
      <c r="A624">
        <v>623</v>
      </c>
      <c r="B624" t="s">
        <v>1258</v>
      </c>
      <c r="C624" s="1">
        <v>37.187968173000002</v>
      </c>
      <c r="D624" s="1">
        <v>-6.9790709148000003</v>
      </c>
      <c r="E624" s="3">
        <v>2</v>
      </c>
      <c r="F624" s="2">
        <v>2</v>
      </c>
      <c r="G624" s="4">
        <v>2</v>
      </c>
      <c r="H624" s="13"/>
      <c r="I624" s="15"/>
      <c r="J624" s="19">
        <v>2</v>
      </c>
      <c r="K624" s="2" t="s">
        <v>1259</v>
      </c>
      <c r="L624" s="11" t="str">
        <f t="shared" si="10"/>
        <v>Ver Imagen</v>
      </c>
      <c r="M624" t="s">
        <v>15</v>
      </c>
    </row>
    <row r="625" spans="1:13" x14ac:dyDescent="0.25">
      <c r="A625">
        <v>624</v>
      </c>
      <c r="B625" t="s">
        <v>1260</v>
      </c>
      <c r="C625" s="1">
        <v>37.500364291899999</v>
      </c>
      <c r="D625" s="1">
        <v>-7.2669737034799997</v>
      </c>
      <c r="E625" s="3">
        <v>2</v>
      </c>
      <c r="F625" s="2">
        <v>2</v>
      </c>
      <c r="G625" s="4">
        <v>2</v>
      </c>
      <c r="H625" s="13"/>
      <c r="I625" s="15"/>
      <c r="J625" s="19">
        <v>2</v>
      </c>
      <c r="K625" s="2" t="s">
        <v>1261</v>
      </c>
      <c r="L625" s="11" t="str">
        <f t="shared" si="10"/>
        <v>Ver Imagen</v>
      </c>
      <c r="M625" t="s">
        <v>15</v>
      </c>
    </row>
    <row r="626" spans="1:13" x14ac:dyDescent="0.25">
      <c r="A626">
        <v>625</v>
      </c>
      <c r="B626" t="s">
        <v>1262</v>
      </c>
      <c r="C626" s="1">
        <v>37.500565088199998</v>
      </c>
      <c r="D626" s="1">
        <v>-7.2669043451600004</v>
      </c>
      <c r="E626" s="3">
        <v>2</v>
      </c>
      <c r="F626" s="2">
        <v>2</v>
      </c>
      <c r="G626" s="4">
        <v>2</v>
      </c>
      <c r="H626" s="13"/>
      <c r="I626" s="15"/>
      <c r="J626" s="19">
        <v>2</v>
      </c>
      <c r="K626" s="2" t="s">
        <v>1263</v>
      </c>
      <c r="L626" s="11" t="str">
        <f t="shared" si="10"/>
        <v>Ver Imagen</v>
      </c>
      <c r="M626" t="s">
        <v>15</v>
      </c>
    </row>
    <row r="627" spans="1:13" x14ac:dyDescent="0.25">
      <c r="A627">
        <v>626</v>
      </c>
      <c r="B627" t="s">
        <v>1264</v>
      </c>
      <c r="C627" s="1">
        <v>37.5007825227</v>
      </c>
      <c r="D627" s="1">
        <v>-7.2668308176799998</v>
      </c>
      <c r="E627" s="3">
        <v>2</v>
      </c>
      <c r="F627" s="2">
        <v>2</v>
      </c>
      <c r="G627" s="4">
        <v>2</v>
      </c>
      <c r="H627" s="13"/>
      <c r="I627" s="15"/>
      <c r="J627" s="19">
        <v>2</v>
      </c>
      <c r="K627" s="2" t="s">
        <v>1265</v>
      </c>
      <c r="L627" s="11" t="str">
        <f t="shared" si="10"/>
        <v>Ver Imagen</v>
      </c>
      <c r="M627" t="s">
        <v>15</v>
      </c>
    </row>
    <row r="628" spans="1:13" x14ac:dyDescent="0.25">
      <c r="A628">
        <v>627</v>
      </c>
      <c r="B628" t="s">
        <v>1266</v>
      </c>
      <c r="C628" s="1">
        <v>37.267437983800001</v>
      </c>
      <c r="D628" s="1">
        <v>-6.9595045572499998</v>
      </c>
      <c r="E628" s="3">
        <v>2</v>
      </c>
      <c r="F628" s="2">
        <v>2</v>
      </c>
      <c r="G628" s="4">
        <v>2</v>
      </c>
      <c r="H628" s="13"/>
      <c r="I628" s="15"/>
      <c r="J628" s="19">
        <v>2</v>
      </c>
      <c r="K628" s="2" t="s">
        <v>1267</v>
      </c>
      <c r="L628" s="11" t="str">
        <f t="shared" si="10"/>
        <v>Ver Imagen</v>
      </c>
      <c r="M628" t="s">
        <v>15</v>
      </c>
    </row>
    <row r="629" spans="1:13" x14ac:dyDescent="0.25">
      <c r="A629">
        <v>628</v>
      </c>
      <c r="B629" t="s">
        <v>1268</v>
      </c>
      <c r="C629" s="1">
        <v>37.503481090699999</v>
      </c>
      <c r="D629" s="1">
        <v>-7.2659131098899996</v>
      </c>
      <c r="E629" s="3">
        <v>2</v>
      </c>
      <c r="F629" s="2">
        <v>2</v>
      </c>
      <c r="G629" s="4">
        <v>2</v>
      </c>
      <c r="H629" s="13"/>
      <c r="I629" s="15"/>
      <c r="J629" s="19">
        <v>2</v>
      </c>
      <c r="K629" s="2" t="s">
        <v>1269</v>
      </c>
      <c r="L629" s="11" t="str">
        <f t="shared" si="10"/>
        <v>Ver Imagen</v>
      </c>
      <c r="M629" t="s">
        <v>15</v>
      </c>
    </row>
    <row r="630" spans="1:13" x14ac:dyDescent="0.25">
      <c r="A630">
        <v>629</v>
      </c>
      <c r="B630" t="s">
        <v>1270</v>
      </c>
      <c r="C630" s="1">
        <v>37.503688110699997</v>
      </c>
      <c r="D630" s="1">
        <v>-7.2658425770199999</v>
      </c>
      <c r="E630" s="3">
        <v>2</v>
      </c>
      <c r="F630" s="2">
        <v>2</v>
      </c>
      <c r="G630" s="4">
        <v>2</v>
      </c>
      <c r="H630" s="13"/>
      <c r="I630" s="15"/>
      <c r="J630" s="19">
        <v>2</v>
      </c>
      <c r="K630" s="2" t="s">
        <v>1271</v>
      </c>
      <c r="L630" s="11" t="str">
        <f t="shared" si="10"/>
        <v>Ver Imagen</v>
      </c>
      <c r="M630" t="s">
        <v>15</v>
      </c>
    </row>
    <row r="631" spans="1:13" x14ac:dyDescent="0.25">
      <c r="A631">
        <v>630</v>
      </c>
      <c r="B631" t="s">
        <v>1272</v>
      </c>
      <c r="C631" s="1">
        <v>37.503867468499998</v>
      </c>
      <c r="D631" s="1">
        <v>-7.2657818215500001</v>
      </c>
      <c r="E631" s="3">
        <v>2</v>
      </c>
      <c r="F631" s="2">
        <v>2</v>
      </c>
      <c r="G631" s="4">
        <v>2</v>
      </c>
      <c r="H631" s="13"/>
      <c r="I631" s="15"/>
      <c r="J631" s="19">
        <v>2</v>
      </c>
      <c r="K631" s="2" t="s">
        <v>1273</v>
      </c>
      <c r="L631" s="11" t="str">
        <f t="shared" si="10"/>
        <v>Ver Imagen</v>
      </c>
      <c r="M631" t="s">
        <v>15</v>
      </c>
    </row>
    <row r="632" spans="1:13" x14ac:dyDescent="0.25">
      <c r="A632">
        <v>631</v>
      </c>
      <c r="B632" t="s">
        <v>1274</v>
      </c>
      <c r="C632" s="1">
        <v>37.504058018999999</v>
      </c>
      <c r="D632" s="1">
        <v>-7.2657176394</v>
      </c>
      <c r="E632" s="3">
        <v>2</v>
      </c>
      <c r="F632" s="2">
        <v>2</v>
      </c>
      <c r="G632" s="4">
        <v>2</v>
      </c>
      <c r="H632" s="13"/>
      <c r="I632" s="15"/>
      <c r="J632" s="19">
        <v>2</v>
      </c>
      <c r="K632" s="2" t="s">
        <v>1275</v>
      </c>
      <c r="L632" s="11" t="str">
        <f t="shared" si="10"/>
        <v>Ver Imagen</v>
      </c>
      <c r="M632" t="s">
        <v>15</v>
      </c>
    </row>
    <row r="633" spans="1:13" x14ac:dyDescent="0.25">
      <c r="A633">
        <v>632</v>
      </c>
      <c r="B633" t="s">
        <v>1276</v>
      </c>
      <c r="C633" s="1">
        <v>37.505250669399999</v>
      </c>
      <c r="D633" s="1">
        <v>-7.2653238185799998</v>
      </c>
      <c r="E633" s="3">
        <v>2</v>
      </c>
      <c r="F633" s="2">
        <v>2</v>
      </c>
      <c r="G633" s="4">
        <v>2</v>
      </c>
      <c r="H633" s="13"/>
      <c r="I633" s="15"/>
      <c r="J633" s="19">
        <v>2</v>
      </c>
      <c r="K633" s="2" t="s">
        <v>1277</v>
      </c>
      <c r="L633" s="11" t="str">
        <f t="shared" si="10"/>
        <v>Ver Imagen</v>
      </c>
      <c r="M633" t="s">
        <v>15</v>
      </c>
    </row>
    <row r="634" spans="1:13" x14ac:dyDescent="0.25">
      <c r="A634">
        <v>633</v>
      </c>
      <c r="B634" t="s">
        <v>1278</v>
      </c>
      <c r="C634" s="1">
        <v>37.505438882500002</v>
      </c>
      <c r="D634" s="1">
        <v>-7.2652850656299997</v>
      </c>
      <c r="E634" s="3">
        <v>2</v>
      </c>
      <c r="F634" s="2">
        <v>2</v>
      </c>
      <c r="G634" s="4">
        <v>2</v>
      </c>
      <c r="H634" s="13"/>
      <c r="I634" s="15"/>
      <c r="J634" s="19">
        <v>2</v>
      </c>
      <c r="K634" s="2" t="s">
        <v>1279</v>
      </c>
      <c r="L634" s="11" t="str">
        <f t="shared" si="10"/>
        <v>Ver Imagen</v>
      </c>
      <c r="M634" t="s">
        <v>15</v>
      </c>
    </row>
    <row r="635" spans="1:13" x14ac:dyDescent="0.25">
      <c r="A635">
        <v>634</v>
      </c>
      <c r="B635" t="s">
        <v>1280</v>
      </c>
      <c r="C635" s="1">
        <v>37.505654012699999</v>
      </c>
      <c r="D635" s="1">
        <v>-7.2652592967</v>
      </c>
      <c r="E635" s="3">
        <v>2</v>
      </c>
      <c r="F635" s="2">
        <v>2</v>
      </c>
      <c r="G635" s="4">
        <v>2</v>
      </c>
      <c r="H635" s="13"/>
      <c r="I635" s="15"/>
      <c r="J635" s="19">
        <v>2</v>
      </c>
      <c r="K635" s="2" t="s">
        <v>1281</v>
      </c>
      <c r="L635" s="11" t="str">
        <f t="shared" si="10"/>
        <v>Ver Imagen</v>
      </c>
      <c r="M635" t="s">
        <v>15</v>
      </c>
    </row>
    <row r="636" spans="1:13" x14ac:dyDescent="0.25">
      <c r="A636">
        <v>635</v>
      </c>
      <c r="B636" t="s">
        <v>1282</v>
      </c>
      <c r="C636" s="1">
        <v>37.505862195500001</v>
      </c>
      <c r="D636" s="1">
        <v>-7.2652538619399998</v>
      </c>
      <c r="E636" s="3">
        <v>2</v>
      </c>
      <c r="F636" s="2">
        <v>2</v>
      </c>
      <c r="G636" s="4">
        <v>2</v>
      </c>
      <c r="H636" s="13"/>
      <c r="I636" s="15"/>
      <c r="J636" s="19">
        <v>2</v>
      </c>
      <c r="K636" s="2" t="s">
        <v>1283</v>
      </c>
      <c r="L636" s="11" t="str">
        <f t="shared" si="10"/>
        <v>Ver Imagen</v>
      </c>
      <c r="M636" t="s">
        <v>15</v>
      </c>
    </row>
    <row r="637" spans="1:13" x14ac:dyDescent="0.25">
      <c r="A637">
        <v>636</v>
      </c>
      <c r="B637" t="s">
        <v>1284</v>
      </c>
      <c r="C637" s="1">
        <v>37.506234359600001</v>
      </c>
      <c r="D637" s="1">
        <v>-7.2652946396400004</v>
      </c>
      <c r="E637" s="3">
        <v>2</v>
      </c>
      <c r="F637" s="2">
        <v>2</v>
      </c>
      <c r="G637" s="4">
        <v>2</v>
      </c>
      <c r="H637" s="13"/>
      <c r="I637" s="15"/>
      <c r="J637" s="19">
        <v>2</v>
      </c>
      <c r="K637" s="2" t="s">
        <v>1285</v>
      </c>
      <c r="L637" s="11" t="str">
        <f t="shared" si="10"/>
        <v>Ver Imagen</v>
      </c>
      <c r="M637" t="s">
        <v>15</v>
      </c>
    </row>
    <row r="638" spans="1:13" x14ac:dyDescent="0.25">
      <c r="A638">
        <v>637</v>
      </c>
      <c r="B638" t="s">
        <v>1286</v>
      </c>
      <c r="C638" s="1">
        <v>37.506847427099999</v>
      </c>
      <c r="D638" s="1">
        <v>-7.2655074878799999</v>
      </c>
      <c r="E638" s="3">
        <v>2</v>
      </c>
      <c r="F638" s="2">
        <v>2</v>
      </c>
      <c r="G638" s="4">
        <v>2</v>
      </c>
      <c r="H638" s="13"/>
      <c r="I638" s="15"/>
      <c r="J638" s="19">
        <v>2</v>
      </c>
      <c r="K638" s="2" t="s">
        <v>1287</v>
      </c>
      <c r="L638" s="11" t="str">
        <f t="shared" si="10"/>
        <v>Ver Imagen</v>
      </c>
      <c r="M638" t="s">
        <v>15</v>
      </c>
    </row>
    <row r="639" spans="1:13" x14ac:dyDescent="0.25">
      <c r="A639">
        <v>638</v>
      </c>
      <c r="B639" t="s">
        <v>1288</v>
      </c>
      <c r="C639" s="1">
        <v>37.507207549</v>
      </c>
      <c r="D639" s="1">
        <v>-7.26572957571</v>
      </c>
      <c r="E639" s="3">
        <v>2</v>
      </c>
      <c r="F639" s="2">
        <v>2</v>
      </c>
      <c r="G639" s="4">
        <v>2</v>
      </c>
      <c r="H639" s="13"/>
      <c r="I639" s="15"/>
      <c r="J639" s="19">
        <v>2</v>
      </c>
      <c r="K639" s="2" t="s">
        <v>1289</v>
      </c>
      <c r="L639" s="11" t="str">
        <f t="shared" si="10"/>
        <v>Ver Imagen</v>
      </c>
      <c r="M639" t="s">
        <v>15</v>
      </c>
    </row>
    <row r="640" spans="1:13" x14ac:dyDescent="0.25">
      <c r="A640">
        <v>639</v>
      </c>
      <c r="B640" t="s">
        <v>1290</v>
      </c>
      <c r="C640" s="1">
        <v>37.508396085500003</v>
      </c>
      <c r="D640" s="1">
        <v>-7.2666777659799999</v>
      </c>
      <c r="E640" s="3">
        <v>2</v>
      </c>
      <c r="F640" s="2">
        <v>2</v>
      </c>
      <c r="G640" s="4">
        <v>2</v>
      </c>
      <c r="H640" s="13"/>
      <c r="I640" s="15"/>
      <c r="J640" s="19">
        <v>2</v>
      </c>
      <c r="K640" s="2" t="s">
        <v>1291</v>
      </c>
      <c r="L640" s="11" t="str">
        <f t="shared" si="10"/>
        <v>Ver Imagen</v>
      </c>
      <c r="M640" t="s">
        <v>15</v>
      </c>
    </row>
    <row r="641" spans="1:13" x14ac:dyDescent="0.25">
      <c r="A641">
        <v>640</v>
      </c>
      <c r="B641" t="s">
        <v>1292</v>
      </c>
      <c r="C641" s="1">
        <v>37.508572486200002</v>
      </c>
      <c r="D641" s="1">
        <v>-7.26681210939</v>
      </c>
      <c r="E641" s="3">
        <v>2</v>
      </c>
      <c r="F641" s="2">
        <v>2</v>
      </c>
      <c r="G641" s="4">
        <v>2</v>
      </c>
      <c r="H641" s="13"/>
      <c r="I641" s="15"/>
      <c r="J641" s="19">
        <v>2</v>
      </c>
      <c r="K641" s="2" t="s">
        <v>1293</v>
      </c>
      <c r="L641" s="11" t="str">
        <f t="shared" si="10"/>
        <v>Ver Imagen</v>
      </c>
      <c r="M641" t="s">
        <v>15</v>
      </c>
    </row>
    <row r="642" spans="1:13" x14ac:dyDescent="0.25">
      <c r="A642">
        <v>641</v>
      </c>
      <c r="B642" t="s">
        <v>1294</v>
      </c>
      <c r="C642" s="1">
        <v>37.508736904499997</v>
      </c>
      <c r="D642" s="1">
        <v>-7.2669314788400001</v>
      </c>
      <c r="E642" s="3">
        <v>2</v>
      </c>
      <c r="F642" s="2">
        <v>2</v>
      </c>
      <c r="G642" s="4">
        <v>2</v>
      </c>
      <c r="H642" s="13"/>
      <c r="I642" s="15"/>
      <c r="J642" s="19">
        <v>2</v>
      </c>
      <c r="K642" s="2" t="s">
        <v>1295</v>
      </c>
      <c r="L642" s="11" t="str">
        <f t="shared" si="10"/>
        <v>Ver Imagen</v>
      </c>
      <c r="M642" t="s">
        <v>15</v>
      </c>
    </row>
    <row r="643" spans="1:13" x14ac:dyDescent="0.25">
      <c r="A643">
        <v>642</v>
      </c>
      <c r="B643" t="s">
        <v>1296</v>
      </c>
      <c r="C643" s="1">
        <v>37.509667653100003</v>
      </c>
      <c r="D643" s="1">
        <v>-7.2674529037199997</v>
      </c>
      <c r="E643" s="3">
        <v>2</v>
      </c>
      <c r="F643" s="2">
        <v>2</v>
      </c>
      <c r="G643" s="4">
        <v>2</v>
      </c>
      <c r="H643" s="13"/>
      <c r="I643" s="15"/>
      <c r="J643" s="19">
        <v>2</v>
      </c>
      <c r="K643" s="2" t="s">
        <v>1297</v>
      </c>
      <c r="L643" s="11" t="str">
        <f t="shared" si="10"/>
        <v>Ver Imagen</v>
      </c>
      <c r="M643" t="s">
        <v>15</v>
      </c>
    </row>
    <row r="644" spans="1:13" x14ac:dyDescent="0.25">
      <c r="A644">
        <v>643</v>
      </c>
      <c r="B644" t="s">
        <v>1298</v>
      </c>
      <c r="C644" s="1">
        <v>37.511608316</v>
      </c>
      <c r="D644" s="1">
        <v>-7.2682102176400001</v>
      </c>
      <c r="E644" s="3">
        <v>2</v>
      </c>
      <c r="F644" s="2">
        <v>2</v>
      </c>
      <c r="G644" s="4">
        <v>2</v>
      </c>
      <c r="H644" s="13"/>
      <c r="I644" s="15"/>
      <c r="J644" s="19">
        <v>2</v>
      </c>
      <c r="K644" s="2" t="s">
        <v>1299</v>
      </c>
      <c r="L644" s="11" t="str">
        <f t="shared" si="10"/>
        <v>Ver Imagen</v>
      </c>
      <c r="M644" t="s">
        <v>15</v>
      </c>
    </row>
    <row r="645" spans="1:13" x14ac:dyDescent="0.25">
      <c r="A645">
        <v>644</v>
      </c>
      <c r="B645" t="s">
        <v>1300</v>
      </c>
      <c r="C645" s="1">
        <v>37.511991749099998</v>
      </c>
      <c r="D645" s="1">
        <v>-7.2683711928600001</v>
      </c>
      <c r="E645" s="3">
        <v>2</v>
      </c>
      <c r="F645" s="2">
        <v>2</v>
      </c>
      <c r="G645" s="4">
        <v>2</v>
      </c>
      <c r="H645" s="13"/>
      <c r="I645" s="15"/>
      <c r="J645" s="19">
        <v>2</v>
      </c>
      <c r="K645" s="2" t="s">
        <v>1301</v>
      </c>
      <c r="L645" s="11" t="str">
        <f t="shared" si="10"/>
        <v>Ver Imagen</v>
      </c>
      <c r="M645" t="s">
        <v>15</v>
      </c>
    </row>
    <row r="646" spans="1:13" x14ac:dyDescent="0.25">
      <c r="A646">
        <v>645</v>
      </c>
      <c r="B646" t="s">
        <v>1302</v>
      </c>
      <c r="C646" s="1">
        <v>37.5121795457</v>
      </c>
      <c r="D646" s="1">
        <v>-7.2684477087900001</v>
      </c>
      <c r="E646" s="3">
        <v>2</v>
      </c>
      <c r="F646" s="2">
        <v>2</v>
      </c>
      <c r="G646" s="4">
        <v>2</v>
      </c>
      <c r="H646" s="13"/>
      <c r="I646" s="15"/>
      <c r="J646" s="19">
        <v>2</v>
      </c>
      <c r="K646" s="2" t="s">
        <v>1303</v>
      </c>
      <c r="L646" s="11" t="str">
        <f t="shared" si="10"/>
        <v>Ver Imagen</v>
      </c>
      <c r="M646" t="s">
        <v>15</v>
      </c>
    </row>
    <row r="647" spans="1:13" x14ac:dyDescent="0.25">
      <c r="A647">
        <v>646</v>
      </c>
      <c r="B647" t="s">
        <v>1304</v>
      </c>
      <c r="C647" s="1">
        <v>37.512420091999999</v>
      </c>
      <c r="D647" s="1">
        <v>-7.2685458928299997</v>
      </c>
      <c r="E647" s="3">
        <v>2</v>
      </c>
      <c r="F647" s="2">
        <v>2</v>
      </c>
      <c r="G647" s="4">
        <v>2</v>
      </c>
      <c r="H647" s="13"/>
      <c r="I647" s="15"/>
      <c r="J647" s="19">
        <v>2</v>
      </c>
      <c r="K647" s="2" t="s">
        <v>1305</v>
      </c>
      <c r="L647" s="11" t="str">
        <f t="shared" si="10"/>
        <v>Ver Imagen</v>
      </c>
      <c r="M647" t="s">
        <v>15</v>
      </c>
    </row>
    <row r="648" spans="1:13" x14ac:dyDescent="0.25">
      <c r="A648">
        <v>647</v>
      </c>
      <c r="B648" t="s">
        <v>1306</v>
      </c>
      <c r="C648" s="1">
        <v>37.512575550900003</v>
      </c>
      <c r="D648" s="1">
        <v>-7.2686095749000001</v>
      </c>
      <c r="E648" s="3">
        <v>2</v>
      </c>
      <c r="F648" s="2">
        <v>2</v>
      </c>
      <c r="G648" s="4">
        <v>2</v>
      </c>
      <c r="H648" s="13"/>
      <c r="I648" s="15"/>
      <c r="J648" s="19">
        <v>2</v>
      </c>
      <c r="K648" s="2" t="s">
        <v>1307</v>
      </c>
      <c r="L648" s="11" t="str">
        <f t="shared" si="10"/>
        <v>Ver Imagen</v>
      </c>
      <c r="M648" t="s">
        <v>15</v>
      </c>
    </row>
    <row r="649" spans="1:13" x14ac:dyDescent="0.25">
      <c r="A649">
        <v>648</v>
      </c>
      <c r="B649" t="s">
        <v>1308</v>
      </c>
      <c r="C649" s="1">
        <v>37.5127809293</v>
      </c>
      <c r="D649" s="1">
        <v>-7.2686917714800003</v>
      </c>
      <c r="E649" s="3">
        <v>2</v>
      </c>
      <c r="F649" s="2">
        <v>2</v>
      </c>
      <c r="G649" s="4">
        <v>2</v>
      </c>
      <c r="H649" s="13"/>
      <c r="I649" s="15"/>
      <c r="J649" s="19">
        <v>2</v>
      </c>
      <c r="K649" s="2" t="s">
        <v>1309</v>
      </c>
      <c r="L649" s="11" t="str">
        <f t="shared" ref="L649:L712" si="11">HYPERLINK("2\0\" &amp; K649, "Ver Imagen")</f>
        <v>Ver Imagen</v>
      </c>
      <c r="M649" t="s">
        <v>15</v>
      </c>
    </row>
    <row r="650" spans="1:13" x14ac:dyDescent="0.25">
      <c r="A650">
        <v>649</v>
      </c>
      <c r="B650" t="s">
        <v>1310</v>
      </c>
      <c r="C650" s="1">
        <v>37.514340004799998</v>
      </c>
      <c r="D650" s="1">
        <v>-7.2689562436899999</v>
      </c>
      <c r="E650" s="3">
        <v>2</v>
      </c>
      <c r="F650" s="2">
        <v>2</v>
      </c>
      <c r="G650" s="4">
        <v>2</v>
      </c>
      <c r="H650" s="13"/>
      <c r="I650" s="15"/>
      <c r="J650" s="19">
        <v>2</v>
      </c>
      <c r="K650" s="2" t="s">
        <v>1311</v>
      </c>
      <c r="L650" s="11" t="str">
        <f t="shared" si="11"/>
        <v>Ver Imagen</v>
      </c>
      <c r="M650" t="s">
        <v>15</v>
      </c>
    </row>
    <row r="651" spans="1:13" x14ac:dyDescent="0.25">
      <c r="A651">
        <v>650</v>
      </c>
      <c r="B651" t="s">
        <v>1312</v>
      </c>
      <c r="C651" s="1">
        <v>37.514545406800003</v>
      </c>
      <c r="D651" s="1">
        <v>-7.2689035780799998</v>
      </c>
      <c r="E651" s="3">
        <v>2</v>
      </c>
      <c r="F651" s="2">
        <v>2</v>
      </c>
      <c r="G651" s="4">
        <v>2</v>
      </c>
      <c r="H651" s="13"/>
      <c r="I651" s="15"/>
      <c r="J651" s="19">
        <v>2</v>
      </c>
      <c r="K651" s="2" t="s">
        <v>1313</v>
      </c>
      <c r="L651" s="11" t="str">
        <f t="shared" si="11"/>
        <v>Ver Imagen</v>
      </c>
      <c r="M651" t="s">
        <v>15</v>
      </c>
    </row>
    <row r="652" spans="1:13" x14ac:dyDescent="0.25">
      <c r="A652">
        <v>651</v>
      </c>
      <c r="B652" t="s">
        <v>1314</v>
      </c>
      <c r="C652" s="1">
        <v>37.514916667999998</v>
      </c>
      <c r="D652" s="1">
        <v>-7.2687572213699996</v>
      </c>
      <c r="E652" s="3">
        <v>2</v>
      </c>
      <c r="F652" s="2">
        <v>2</v>
      </c>
      <c r="G652" s="4">
        <v>2</v>
      </c>
      <c r="H652" s="13"/>
      <c r="I652" s="15"/>
      <c r="J652" s="19">
        <v>2</v>
      </c>
      <c r="K652" s="2" t="s">
        <v>1315</v>
      </c>
      <c r="L652" s="11" t="str">
        <f t="shared" si="11"/>
        <v>Ver Imagen</v>
      </c>
      <c r="M652" t="s">
        <v>15</v>
      </c>
    </row>
    <row r="653" spans="1:13" x14ac:dyDescent="0.25">
      <c r="A653">
        <v>652</v>
      </c>
      <c r="B653" t="s">
        <v>1316</v>
      </c>
      <c r="C653" s="1">
        <v>37.515113349099998</v>
      </c>
      <c r="D653" s="1">
        <v>-7.2686477004399999</v>
      </c>
      <c r="E653" s="3">
        <v>2</v>
      </c>
      <c r="F653" s="2">
        <v>2</v>
      </c>
      <c r="G653" s="4">
        <v>2</v>
      </c>
      <c r="H653" s="13"/>
      <c r="I653" s="15"/>
      <c r="J653" s="19">
        <v>2</v>
      </c>
      <c r="K653" s="2" t="s">
        <v>1317</v>
      </c>
      <c r="L653" s="11" t="str">
        <f t="shared" si="11"/>
        <v>Ver Imagen</v>
      </c>
      <c r="M653" t="s">
        <v>15</v>
      </c>
    </row>
    <row r="654" spans="1:13" x14ac:dyDescent="0.25">
      <c r="A654">
        <v>653</v>
      </c>
      <c r="B654" t="s">
        <v>1318</v>
      </c>
      <c r="C654" s="1">
        <v>37.515760226099999</v>
      </c>
      <c r="D654" s="1">
        <v>-7.2680716509199996</v>
      </c>
      <c r="E654" s="3">
        <v>2</v>
      </c>
      <c r="F654" s="2">
        <v>2</v>
      </c>
      <c r="G654" s="4">
        <v>2</v>
      </c>
      <c r="H654" s="13"/>
      <c r="I654" s="15"/>
      <c r="J654" s="19">
        <v>2</v>
      </c>
      <c r="K654" s="2" t="s">
        <v>1319</v>
      </c>
      <c r="L654" s="11" t="str">
        <f t="shared" si="11"/>
        <v>Ver Imagen</v>
      </c>
      <c r="M654" t="s">
        <v>15</v>
      </c>
    </row>
    <row r="655" spans="1:13" x14ac:dyDescent="0.25">
      <c r="A655">
        <v>654</v>
      </c>
      <c r="B655" t="s">
        <v>1320</v>
      </c>
      <c r="C655" s="1">
        <v>37.516376911999998</v>
      </c>
      <c r="D655" s="1">
        <v>-7.2670784158500004</v>
      </c>
      <c r="E655" s="3">
        <v>2</v>
      </c>
      <c r="F655" s="2">
        <v>2</v>
      </c>
      <c r="G655" s="4">
        <v>2</v>
      </c>
      <c r="H655" s="13"/>
      <c r="I655" s="15"/>
      <c r="J655" s="19">
        <v>2</v>
      </c>
      <c r="K655" s="2" t="s">
        <v>1321</v>
      </c>
      <c r="L655" s="11" t="str">
        <f t="shared" si="11"/>
        <v>Ver Imagen</v>
      </c>
      <c r="M655" t="s">
        <v>15</v>
      </c>
    </row>
    <row r="656" spans="1:13" x14ac:dyDescent="0.25">
      <c r="A656">
        <v>655</v>
      </c>
      <c r="B656" t="s">
        <v>1322</v>
      </c>
      <c r="C656" s="1">
        <v>37.5164866211</v>
      </c>
      <c r="D656" s="1">
        <v>-7.2668644558700004</v>
      </c>
      <c r="E656" s="3">
        <v>2</v>
      </c>
      <c r="F656" s="2">
        <v>2</v>
      </c>
      <c r="G656" s="4">
        <v>2</v>
      </c>
      <c r="H656" s="13"/>
      <c r="I656" s="15"/>
      <c r="J656" s="19">
        <v>2</v>
      </c>
      <c r="K656" s="2" t="s">
        <v>1323</v>
      </c>
      <c r="L656" s="11" t="str">
        <f t="shared" si="11"/>
        <v>Ver Imagen</v>
      </c>
      <c r="M656" t="s">
        <v>15</v>
      </c>
    </row>
    <row r="657" spans="1:13" x14ac:dyDescent="0.25">
      <c r="A657">
        <v>656</v>
      </c>
      <c r="B657" t="s">
        <v>1324</v>
      </c>
      <c r="C657" s="1">
        <v>37.516921137700002</v>
      </c>
      <c r="D657" s="1">
        <v>-7.2660185845600003</v>
      </c>
      <c r="E657" s="3">
        <v>2</v>
      </c>
      <c r="F657" s="2">
        <v>2</v>
      </c>
      <c r="G657" s="4">
        <v>2</v>
      </c>
      <c r="H657" s="13"/>
      <c r="I657" s="15"/>
      <c r="J657" s="19">
        <v>2</v>
      </c>
      <c r="K657" s="2" t="s">
        <v>1325</v>
      </c>
      <c r="L657" s="11" t="str">
        <f t="shared" si="11"/>
        <v>Ver Imagen</v>
      </c>
      <c r="M657" t="s">
        <v>15</v>
      </c>
    </row>
    <row r="658" spans="1:13" x14ac:dyDescent="0.25">
      <c r="A658">
        <v>657</v>
      </c>
      <c r="B658" t="s">
        <v>1326</v>
      </c>
      <c r="C658" s="1">
        <v>37.517044576799996</v>
      </c>
      <c r="D658" s="1">
        <v>-7.2657765334800004</v>
      </c>
      <c r="E658" s="3">
        <v>2</v>
      </c>
      <c r="F658" s="2">
        <v>2</v>
      </c>
      <c r="G658" s="4">
        <v>2</v>
      </c>
      <c r="H658" s="13"/>
      <c r="I658" s="15"/>
      <c r="J658" s="19">
        <v>2</v>
      </c>
      <c r="K658" s="2" t="s">
        <v>1327</v>
      </c>
      <c r="L658" s="11" t="str">
        <f t="shared" si="11"/>
        <v>Ver Imagen</v>
      </c>
      <c r="M658" t="s">
        <v>15</v>
      </c>
    </row>
    <row r="659" spans="1:13" x14ac:dyDescent="0.25">
      <c r="A659">
        <v>658</v>
      </c>
      <c r="B659" t="s">
        <v>1328</v>
      </c>
      <c r="C659" s="1">
        <v>37.517799643099998</v>
      </c>
      <c r="D659" s="1">
        <v>-7.2642946372699999</v>
      </c>
      <c r="E659" s="3">
        <v>2</v>
      </c>
      <c r="F659" s="2">
        <v>2</v>
      </c>
      <c r="G659" s="4">
        <v>2</v>
      </c>
      <c r="H659" s="13"/>
      <c r="I659" s="15"/>
      <c r="J659" s="19">
        <v>2</v>
      </c>
      <c r="K659" s="2" t="s">
        <v>1329</v>
      </c>
      <c r="L659" s="11" t="str">
        <f t="shared" si="11"/>
        <v>Ver Imagen</v>
      </c>
      <c r="M659" t="s">
        <v>15</v>
      </c>
    </row>
    <row r="660" spans="1:13" x14ac:dyDescent="0.25">
      <c r="A660">
        <v>659</v>
      </c>
      <c r="B660" t="s">
        <v>1330</v>
      </c>
      <c r="C660" s="1">
        <v>37.517916662799998</v>
      </c>
      <c r="D660" s="1">
        <v>-7.2640653004800004</v>
      </c>
      <c r="E660" s="3">
        <v>2</v>
      </c>
      <c r="F660" s="2">
        <v>2</v>
      </c>
      <c r="G660" s="4">
        <v>2</v>
      </c>
      <c r="H660" s="13"/>
      <c r="I660" s="15"/>
      <c r="J660" s="19">
        <v>2</v>
      </c>
      <c r="K660" s="2" t="s">
        <v>1331</v>
      </c>
      <c r="L660" s="11" t="str">
        <f t="shared" si="11"/>
        <v>Ver Imagen</v>
      </c>
      <c r="M660" t="s">
        <v>15</v>
      </c>
    </row>
    <row r="661" spans="1:13" x14ac:dyDescent="0.25">
      <c r="A661">
        <v>660</v>
      </c>
      <c r="B661" t="s">
        <v>1332</v>
      </c>
      <c r="C661" s="1">
        <v>37.518120906299998</v>
      </c>
      <c r="D661" s="1">
        <v>-7.2636649632500001</v>
      </c>
      <c r="E661" s="3">
        <v>2</v>
      </c>
      <c r="F661" s="2">
        <v>2</v>
      </c>
      <c r="G661" s="4">
        <v>2</v>
      </c>
      <c r="H661" s="13"/>
      <c r="I661" s="15"/>
      <c r="J661" s="19">
        <v>2</v>
      </c>
      <c r="K661" s="2" t="s">
        <v>1333</v>
      </c>
      <c r="L661" s="11" t="str">
        <f t="shared" si="11"/>
        <v>Ver Imagen</v>
      </c>
      <c r="M661" t="s">
        <v>15</v>
      </c>
    </row>
    <row r="662" spans="1:13" x14ac:dyDescent="0.25">
      <c r="A662">
        <v>661</v>
      </c>
      <c r="B662" t="s">
        <v>1334</v>
      </c>
      <c r="C662" s="1">
        <v>37.518236623699998</v>
      </c>
      <c r="D662" s="1">
        <v>-7.2634380954199997</v>
      </c>
      <c r="E662" s="3">
        <v>2</v>
      </c>
      <c r="F662" s="2">
        <v>2</v>
      </c>
      <c r="G662" s="4">
        <v>2</v>
      </c>
      <c r="H662" s="13"/>
      <c r="I662" s="15"/>
      <c r="J662" s="19">
        <v>2</v>
      </c>
      <c r="K662" s="2" t="s">
        <v>1335</v>
      </c>
      <c r="L662" s="11" t="str">
        <f t="shared" si="11"/>
        <v>Ver Imagen</v>
      </c>
      <c r="M662" t="s">
        <v>15</v>
      </c>
    </row>
    <row r="663" spans="1:13" x14ac:dyDescent="0.25">
      <c r="A663">
        <v>662</v>
      </c>
      <c r="B663" t="s">
        <v>1336</v>
      </c>
      <c r="C663" s="1">
        <v>37.518343961500001</v>
      </c>
      <c r="D663" s="1">
        <v>-7.2632280650199998</v>
      </c>
      <c r="E663" s="3">
        <v>2</v>
      </c>
      <c r="F663" s="2">
        <v>2</v>
      </c>
      <c r="G663" s="4">
        <v>2</v>
      </c>
      <c r="H663" s="13"/>
      <c r="I663" s="15"/>
      <c r="J663" s="19">
        <v>2</v>
      </c>
      <c r="K663" s="2" t="s">
        <v>1337</v>
      </c>
      <c r="L663" s="11" t="str">
        <f t="shared" si="11"/>
        <v>Ver Imagen</v>
      </c>
      <c r="M663" t="s">
        <v>15</v>
      </c>
    </row>
    <row r="664" spans="1:13" x14ac:dyDescent="0.25">
      <c r="A664">
        <v>663</v>
      </c>
      <c r="B664" t="s">
        <v>1338</v>
      </c>
      <c r="C664" s="1">
        <v>37.518728689</v>
      </c>
      <c r="D664" s="1">
        <v>-7.2625645455300001</v>
      </c>
      <c r="E664" s="3">
        <v>2</v>
      </c>
      <c r="F664" s="2">
        <v>2</v>
      </c>
      <c r="G664" s="4">
        <v>2</v>
      </c>
      <c r="H664" s="13"/>
      <c r="I664" s="15"/>
      <c r="J664" s="19">
        <v>2</v>
      </c>
      <c r="K664" s="2" t="s">
        <v>1339</v>
      </c>
      <c r="L664" s="11" t="str">
        <f t="shared" si="11"/>
        <v>Ver Imagen</v>
      </c>
      <c r="M664" t="s">
        <v>15</v>
      </c>
    </row>
    <row r="665" spans="1:13" x14ac:dyDescent="0.25">
      <c r="A665">
        <v>664</v>
      </c>
      <c r="B665" t="s">
        <v>1340</v>
      </c>
      <c r="C665" s="1">
        <v>37.518975154700001</v>
      </c>
      <c r="D665" s="1">
        <v>-7.2622507751600001</v>
      </c>
      <c r="E665" s="3">
        <v>2</v>
      </c>
      <c r="F665" s="2">
        <v>2</v>
      </c>
      <c r="G665" s="4">
        <v>2</v>
      </c>
      <c r="H665" s="13"/>
      <c r="I665" s="15"/>
      <c r="J665" s="19">
        <v>2</v>
      </c>
      <c r="K665" s="2" t="s">
        <v>1341</v>
      </c>
      <c r="L665" s="11" t="str">
        <f t="shared" si="11"/>
        <v>Ver Imagen</v>
      </c>
      <c r="M665" t="s">
        <v>15</v>
      </c>
    </row>
    <row r="666" spans="1:13" x14ac:dyDescent="0.25">
      <c r="A666">
        <v>665</v>
      </c>
      <c r="B666" t="s">
        <v>1342</v>
      </c>
      <c r="C666" s="1">
        <v>37.5192731976</v>
      </c>
      <c r="D666" s="1">
        <v>-7.2619387083899998</v>
      </c>
      <c r="E666" s="3">
        <v>2</v>
      </c>
      <c r="F666" s="2">
        <v>2</v>
      </c>
      <c r="G666" s="4">
        <v>2</v>
      </c>
      <c r="H666" s="13"/>
      <c r="I666" s="15"/>
      <c r="J666" s="19">
        <v>2</v>
      </c>
      <c r="K666" s="2" t="s">
        <v>1343</v>
      </c>
      <c r="L666" s="11" t="str">
        <f t="shared" si="11"/>
        <v>Ver Imagen</v>
      </c>
      <c r="M666" t="s">
        <v>15</v>
      </c>
    </row>
    <row r="667" spans="1:13" x14ac:dyDescent="0.25">
      <c r="A667">
        <v>666</v>
      </c>
      <c r="B667" t="s">
        <v>1344</v>
      </c>
      <c r="C667" s="1">
        <v>37.519607658600002</v>
      </c>
      <c r="D667" s="1">
        <v>-7.2616207766500001</v>
      </c>
      <c r="E667" s="3">
        <v>2</v>
      </c>
      <c r="F667" s="2">
        <v>2</v>
      </c>
      <c r="G667" s="4">
        <v>2</v>
      </c>
      <c r="H667" s="13"/>
      <c r="I667" s="15"/>
      <c r="J667" s="19">
        <v>2</v>
      </c>
      <c r="K667" s="2" t="s">
        <v>1345</v>
      </c>
      <c r="L667" s="11" t="str">
        <f t="shared" si="11"/>
        <v>Ver Imagen</v>
      </c>
      <c r="M667" t="s">
        <v>15</v>
      </c>
    </row>
    <row r="668" spans="1:13" x14ac:dyDescent="0.25">
      <c r="A668">
        <v>667</v>
      </c>
      <c r="B668" t="s">
        <v>1346</v>
      </c>
      <c r="C668" s="1">
        <v>37.519770470399997</v>
      </c>
      <c r="D668" s="1">
        <v>-7.2614685481299999</v>
      </c>
      <c r="E668" s="3">
        <v>2</v>
      </c>
      <c r="F668" s="2">
        <v>2</v>
      </c>
      <c r="G668" s="4">
        <v>2</v>
      </c>
      <c r="H668" s="13"/>
      <c r="I668" s="15"/>
      <c r="J668" s="19">
        <v>2</v>
      </c>
      <c r="K668" s="2" t="s">
        <v>1347</v>
      </c>
      <c r="L668" s="11" t="str">
        <f t="shared" si="11"/>
        <v>Ver Imagen</v>
      </c>
      <c r="M668" t="s">
        <v>15</v>
      </c>
    </row>
    <row r="669" spans="1:13" x14ac:dyDescent="0.25">
      <c r="A669">
        <v>668</v>
      </c>
      <c r="B669" t="s">
        <v>1348</v>
      </c>
      <c r="C669" s="1">
        <v>37.519932577100001</v>
      </c>
      <c r="D669" s="1">
        <v>-7.26131770848</v>
      </c>
      <c r="E669" s="3">
        <v>2</v>
      </c>
      <c r="F669" s="2">
        <v>2</v>
      </c>
      <c r="G669" s="4">
        <v>2</v>
      </c>
      <c r="H669" s="13"/>
      <c r="I669" s="15"/>
      <c r="J669" s="19">
        <v>2</v>
      </c>
      <c r="K669" s="2" t="s">
        <v>1349</v>
      </c>
      <c r="L669" s="11" t="str">
        <f t="shared" si="11"/>
        <v>Ver Imagen</v>
      </c>
      <c r="M669" t="s">
        <v>15</v>
      </c>
    </row>
    <row r="670" spans="1:13" x14ac:dyDescent="0.25">
      <c r="A670">
        <v>669</v>
      </c>
      <c r="B670" t="s">
        <v>1350</v>
      </c>
      <c r="C670" s="1">
        <v>37.520579078700003</v>
      </c>
      <c r="D670" s="1">
        <v>-7.26071161544</v>
      </c>
      <c r="E670" s="3">
        <v>2</v>
      </c>
      <c r="F670" s="2">
        <v>2</v>
      </c>
      <c r="G670" s="4">
        <v>2</v>
      </c>
      <c r="H670" s="13"/>
      <c r="I670" s="15"/>
      <c r="J670" s="19">
        <v>2</v>
      </c>
      <c r="K670" s="2" t="s">
        <v>1351</v>
      </c>
      <c r="L670" s="11" t="str">
        <f t="shared" si="11"/>
        <v>Ver Imagen</v>
      </c>
      <c r="M670" t="s">
        <v>15</v>
      </c>
    </row>
    <row r="671" spans="1:13" x14ac:dyDescent="0.25">
      <c r="A671">
        <v>670</v>
      </c>
      <c r="B671" t="s">
        <v>1352</v>
      </c>
      <c r="C671" s="1">
        <v>37.520898331799998</v>
      </c>
      <c r="D671" s="1">
        <v>-7.2604108349800001</v>
      </c>
      <c r="E671" s="3">
        <v>2</v>
      </c>
      <c r="F671" s="2">
        <v>2</v>
      </c>
      <c r="G671" s="4">
        <v>2</v>
      </c>
      <c r="H671" s="13"/>
      <c r="I671" s="15"/>
      <c r="J671" s="19">
        <v>2</v>
      </c>
      <c r="K671" s="2" t="s">
        <v>1353</v>
      </c>
      <c r="L671" s="11" t="str">
        <f t="shared" si="11"/>
        <v>Ver Imagen</v>
      </c>
      <c r="M671" t="s">
        <v>15</v>
      </c>
    </row>
    <row r="672" spans="1:13" x14ac:dyDescent="0.25">
      <c r="A672">
        <v>671</v>
      </c>
      <c r="B672" t="s">
        <v>1354</v>
      </c>
      <c r="C672" s="1">
        <v>37.521749675999999</v>
      </c>
      <c r="D672" s="1">
        <v>-7.2597066272099999</v>
      </c>
      <c r="E672" s="3">
        <v>2</v>
      </c>
      <c r="F672" s="2">
        <v>2</v>
      </c>
      <c r="G672" s="4">
        <v>2</v>
      </c>
      <c r="H672" s="13"/>
      <c r="I672" s="15"/>
      <c r="J672" s="19">
        <v>2</v>
      </c>
      <c r="K672" s="2" t="s">
        <v>1355</v>
      </c>
      <c r="L672" s="11" t="str">
        <f t="shared" si="11"/>
        <v>Ver Imagen</v>
      </c>
      <c r="M672" t="s">
        <v>15</v>
      </c>
    </row>
    <row r="673" spans="1:13" x14ac:dyDescent="0.25">
      <c r="A673">
        <v>672</v>
      </c>
      <c r="B673" t="s">
        <v>1356</v>
      </c>
      <c r="C673" s="1">
        <v>37.522711128600001</v>
      </c>
      <c r="D673" s="1">
        <v>-7.2592666594699997</v>
      </c>
      <c r="E673" s="3">
        <v>2</v>
      </c>
      <c r="F673" s="2">
        <v>2</v>
      </c>
      <c r="G673" s="4">
        <v>2</v>
      </c>
      <c r="H673" s="13"/>
      <c r="I673" s="15"/>
      <c r="J673" s="19">
        <v>2</v>
      </c>
      <c r="K673" s="2" t="s">
        <v>1357</v>
      </c>
      <c r="L673" s="11" t="str">
        <f t="shared" si="11"/>
        <v>Ver Imagen</v>
      </c>
      <c r="M673" t="s">
        <v>15</v>
      </c>
    </row>
    <row r="674" spans="1:13" x14ac:dyDescent="0.25">
      <c r="A674">
        <v>673</v>
      </c>
      <c r="B674" t="s">
        <v>1358</v>
      </c>
      <c r="C674" s="1">
        <v>37.523661444299997</v>
      </c>
      <c r="D674" s="1">
        <v>-7.25882385258</v>
      </c>
      <c r="E674" s="3">
        <v>2</v>
      </c>
      <c r="F674" s="2">
        <v>2</v>
      </c>
      <c r="G674" s="4">
        <v>2</v>
      </c>
      <c r="H674" s="13"/>
      <c r="I674" s="15"/>
      <c r="J674" s="19">
        <v>2</v>
      </c>
      <c r="K674" s="2" t="s">
        <v>1359</v>
      </c>
      <c r="L674" s="11" t="str">
        <f t="shared" si="11"/>
        <v>Ver Imagen</v>
      </c>
      <c r="M674" t="s">
        <v>15</v>
      </c>
    </row>
    <row r="675" spans="1:13" x14ac:dyDescent="0.25">
      <c r="A675">
        <v>674</v>
      </c>
      <c r="B675" t="s">
        <v>1360</v>
      </c>
      <c r="C675" s="1">
        <v>37.267983959699997</v>
      </c>
      <c r="D675" s="1">
        <v>-6.96963073551</v>
      </c>
      <c r="E675" s="3">
        <v>2</v>
      </c>
      <c r="F675" s="2">
        <v>2</v>
      </c>
      <c r="G675" s="4">
        <v>2</v>
      </c>
      <c r="H675" s="13"/>
      <c r="I675" s="15"/>
      <c r="J675" s="19">
        <v>2</v>
      </c>
      <c r="K675" s="2" t="s">
        <v>1361</v>
      </c>
      <c r="L675" s="11" t="str">
        <f t="shared" si="11"/>
        <v>Ver Imagen</v>
      </c>
      <c r="M675" t="s">
        <v>15</v>
      </c>
    </row>
    <row r="676" spans="1:13" x14ac:dyDescent="0.25">
      <c r="A676">
        <v>675</v>
      </c>
      <c r="B676" t="s">
        <v>1362</v>
      </c>
      <c r="C676" s="1">
        <v>37.268073758200003</v>
      </c>
      <c r="D676" s="1">
        <v>-6.9703891643400002</v>
      </c>
      <c r="E676" s="3">
        <v>2</v>
      </c>
      <c r="F676" s="2">
        <v>2</v>
      </c>
      <c r="G676" s="4">
        <v>2</v>
      </c>
      <c r="H676" s="13"/>
      <c r="I676" s="15"/>
      <c r="J676" s="19">
        <v>2</v>
      </c>
      <c r="K676" s="2" t="s">
        <v>1363</v>
      </c>
      <c r="L676" s="11" t="str">
        <f t="shared" si="11"/>
        <v>Ver Imagen</v>
      </c>
      <c r="M676" t="s">
        <v>15</v>
      </c>
    </row>
    <row r="677" spans="1:13" x14ac:dyDescent="0.25">
      <c r="A677">
        <v>676</v>
      </c>
      <c r="B677" t="s">
        <v>1364</v>
      </c>
      <c r="C677" s="1">
        <v>37.524300849799999</v>
      </c>
      <c r="D677" s="1">
        <v>-7.2582380451599997</v>
      </c>
      <c r="E677" s="3">
        <v>2</v>
      </c>
      <c r="F677" s="2">
        <v>2</v>
      </c>
      <c r="G677" s="4">
        <v>2</v>
      </c>
      <c r="H677" s="13"/>
      <c r="I677" s="15"/>
      <c r="J677" s="19">
        <v>2</v>
      </c>
      <c r="K677" s="2" t="s">
        <v>1365</v>
      </c>
      <c r="L677" s="11" t="str">
        <f t="shared" si="11"/>
        <v>Ver Imagen</v>
      </c>
      <c r="M677" t="s">
        <v>15</v>
      </c>
    </row>
    <row r="678" spans="1:13" x14ac:dyDescent="0.25">
      <c r="A678">
        <v>677</v>
      </c>
      <c r="B678" t="s">
        <v>1366</v>
      </c>
      <c r="C678" s="1">
        <v>37.524434641799999</v>
      </c>
      <c r="D678" s="1">
        <v>-7.2580696170100003</v>
      </c>
      <c r="E678" s="3">
        <v>2</v>
      </c>
      <c r="F678" s="2">
        <v>2</v>
      </c>
      <c r="G678" s="4">
        <v>2</v>
      </c>
      <c r="H678" s="13"/>
      <c r="I678" s="15"/>
      <c r="J678" s="19">
        <v>2</v>
      </c>
      <c r="K678" s="2" t="s">
        <v>1367</v>
      </c>
      <c r="L678" s="11" t="str">
        <f t="shared" si="11"/>
        <v>Ver Imagen</v>
      </c>
      <c r="M678" t="s">
        <v>15</v>
      </c>
    </row>
    <row r="679" spans="1:13" x14ac:dyDescent="0.25">
      <c r="A679">
        <v>678</v>
      </c>
      <c r="B679" t="s">
        <v>1368</v>
      </c>
      <c r="C679" s="1">
        <v>37.524581406499998</v>
      </c>
      <c r="D679" s="1">
        <v>-7.2578647843599997</v>
      </c>
      <c r="E679" s="3">
        <v>2</v>
      </c>
      <c r="F679" s="2">
        <v>2</v>
      </c>
      <c r="G679" s="4">
        <v>2</v>
      </c>
      <c r="H679" s="13"/>
      <c r="I679" s="15"/>
      <c r="J679" s="19">
        <v>2</v>
      </c>
      <c r="K679" s="2" t="s">
        <v>1369</v>
      </c>
      <c r="L679" s="11" t="str">
        <f t="shared" si="11"/>
        <v>Ver Imagen</v>
      </c>
      <c r="M679" t="s">
        <v>15</v>
      </c>
    </row>
    <row r="680" spans="1:13" x14ac:dyDescent="0.25">
      <c r="A680">
        <v>679</v>
      </c>
      <c r="B680" t="s">
        <v>1370</v>
      </c>
      <c r="C680" s="1">
        <v>37.524713527300001</v>
      </c>
      <c r="D680" s="1">
        <v>-7.2576658178500004</v>
      </c>
      <c r="E680" s="3">
        <v>2</v>
      </c>
      <c r="F680" s="2">
        <v>2</v>
      </c>
      <c r="G680" s="4">
        <v>2</v>
      </c>
      <c r="H680" s="13"/>
      <c r="I680" s="15"/>
      <c r="J680" s="19">
        <v>2</v>
      </c>
      <c r="K680" s="2" t="s">
        <v>1371</v>
      </c>
      <c r="L680" s="11" t="str">
        <f t="shared" si="11"/>
        <v>Ver Imagen</v>
      </c>
      <c r="M680" t="s">
        <v>15</v>
      </c>
    </row>
    <row r="681" spans="1:13" x14ac:dyDescent="0.25">
      <c r="A681">
        <v>680</v>
      </c>
      <c r="B681" t="s">
        <v>1372</v>
      </c>
      <c r="C681" s="1">
        <v>37.524966635799998</v>
      </c>
      <c r="D681" s="1">
        <v>-7.25726746492</v>
      </c>
      <c r="E681" s="3">
        <v>2</v>
      </c>
      <c r="F681" s="2">
        <v>2</v>
      </c>
      <c r="G681" s="4">
        <v>2</v>
      </c>
      <c r="H681" s="13"/>
      <c r="I681" s="15"/>
      <c r="J681" s="19">
        <v>2</v>
      </c>
      <c r="K681" s="2" t="s">
        <v>1373</v>
      </c>
      <c r="L681" s="11" t="str">
        <f t="shared" si="11"/>
        <v>Ver Imagen</v>
      </c>
      <c r="M681" t="s">
        <v>15</v>
      </c>
    </row>
    <row r="682" spans="1:13" x14ac:dyDescent="0.25">
      <c r="A682">
        <v>681</v>
      </c>
      <c r="B682" t="s">
        <v>1374</v>
      </c>
      <c r="C682" s="1">
        <v>37.5250835577</v>
      </c>
      <c r="D682" s="1">
        <v>-7.25708062021</v>
      </c>
      <c r="E682" s="3">
        <v>2</v>
      </c>
      <c r="F682" s="2">
        <v>2</v>
      </c>
      <c r="G682" s="4">
        <v>2</v>
      </c>
      <c r="H682" s="13"/>
      <c r="I682" s="15"/>
      <c r="J682" s="19">
        <v>2</v>
      </c>
      <c r="K682" s="2" t="s">
        <v>1375</v>
      </c>
      <c r="L682" s="11" t="str">
        <f t="shared" si="11"/>
        <v>Ver Imagen</v>
      </c>
      <c r="M682" t="s">
        <v>15</v>
      </c>
    </row>
    <row r="683" spans="1:13" x14ac:dyDescent="0.25">
      <c r="A683">
        <v>682</v>
      </c>
      <c r="B683" t="s">
        <v>1376</v>
      </c>
      <c r="C683" s="1">
        <v>37.525212679200003</v>
      </c>
      <c r="D683" s="1">
        <v>-7.2568742042599998</v>
      </c>
      <c r="E683" s="3">
        <v>2</v>
      </c>
      <c r="F683" s="2">
        <v>2</v>
      </c>
      <c r="G683" s="4">
        <v>2</v>
      </c>
      <c r="H683" s="13"/>
      <c r="I683" s="15"/>
      <c r="J683" s="19">
        <v>2</v>
      </c>
      <c r="K683" s="2" t="s">
        <v>1377</v>
      </c>
      <c r="L683" s="11" t="str">
        <f t="shared" si="11"/>
        <v>Ver Imagen</v>
      </c>
      <c r="M683" t="s">
        <v>15</v>
      </c>
    </row>
    <row r="684" spans="1:13" x14ac:dyDescent="0.25">
      <c r="A684">
        <v>683</v>
      </c>
      <c r="B684" t="s">
        <v>1378</v>
      </c>
      <c r="C684" s="1">
        <v>37.525459712200004</v>
      </c>
      <c r="D684" s="1">
        <v>-7.25647849977</v>
      </c>
      <c r="E684" s="3">
        <v>2</v>
      </c>
      <c r="F684" s="2">
        <v>2</v>
      </c>
      <c r="G684" s="4">
        <v>2</v>
      </c>
      <c r="H684" s="13"/>
      <c r="I684" s="15"/>
      <c r="J684" s="19">
        <v>2</v>
      </c>
      <c r="K684" s="2" t="s">
        <v>1379</v>
      </c>
      <c r="L684" s="11" t="str">
        <f t="shared" si="11"/>
        <v>Ver Imagen</v>
      </c>
      <c r="M684" t="s">
        <v>15</v>
      </c>
    </row>
    <row r="685" spans="1:13" x14ac:dyDescent="0.25">
      <c r="A685">
        <v>684</v>
      </c>
      <c r="B685" t="s">
        <v>1380</v>
      </c>
      <c r="C685" s="1">
        <v>37.525601180700001</v>
      </c>
      <c r="D685" s="1">
        <v>-7.2562535585100001</v>
      </c>
      <c r="E685" s="3">
        <v>2</v>
      </c>
      <c r="F685" s="2">
        <v>2</v>
      </c>
      <c r="G685" s="4">
        <v>2</v>
      </c>
      <c r="H685" s="13"/>
      <c r="I685" s="15"/>
      <c r="J685" s="19">
        <v>2</v>
      </c>
      <c r="K685" s="2" t="s">
        <v>1381</v>
      </c>
      <c r="L685" s="11" t="str">
        <f t="shared" si="11"/>
        <v>Ver Imagen</v>
      </c>
      <c r="M685" t="s">
        <v>15</v>
      </c>
    </row>
    <row r="686" spans="1:13" x14ac:dyDescent="0.25">
      <c r="A686">
        <v>685</v>
      </c>
      <c r="B686" t="s">
        <v>1382</v>
      </c>
      <c r="C686" s="1">
        <v>37.525854062900002</v>
      </c>
      <c r="D686" s="1">
        <v>-7.25588463278</v>
      </c>
      <c r="E686" s="3">
        <v>2</v>
      </c>
      <c r="F686" s="2">
        <v>2</v>
      </c>
      <c r="G686" s="4">
        <v>2</v>
      </c>
      <c r="H686" s="13"/>
      <c r="I686" s="15"/>
      <c r="J686" s="19">
        <v>2</v>
      </c>
      <c r="K686" s="2" t="s">
        <v>1383</v>
      </c>
      <c r="L686" s="11" t="str">
        <f t="shared" si="11"/>
        <v>Ver Imagen</v>
      </c>
      <c r="M686" t="s">
        <v>15</v>
      </c>
    </row>
    <row r="687" spans="1:13" x14ac:dyDescent="0.25">
      <c r="A687">
        <v>686</v>
      </c>
      <c r="B687" t="s">
        <v>1384</v>
      </c>
      <c r="C687" s="1">
        <v>37.526159847000002</v>
      </c>
      <c r="D687" s="1">
        <v>-7.2555401336500003</v>
      </c>
      <c r="E687" s="3">
        <v>2</v>
      </c>
      <c r="F687" s="2">
        <v>2</v>
      </c>
      <c r="G687" s="4">
        <v>2</v>
      </c>
      <c r="H687" s="13"/>
      <c r="I687" s="15"/>
      <c r="J687" s="19">
        <v>2</v>
      </c>
      <c r="K687" s="2" t="s">
        <v>1385</v>
      </c>
      <c r="L687" s="11" t="str">
        <f t="shared" si="11"/>
        <v>Ver Imagen</v>
      </c>
      <c r="M687" t="s">
        <v>15</v>
      </c>
    </row>
    <row r="688" spans="1:13" x14ac:dyDescent="0.25">
      <c r="A688">
        <v>687</v>
      </c>
      <c r="B688" t="s">
        <v>1386</v>
      </c>
      <c r="C688" s="1">
        <v>37.526351346399998</v>
      </c>
      <c r="D688" s="1">
        <v>-7.2553790033399999</v>
      </c>
      <c r="E688" s="3">
        <v>2</v>
      </c>
      <c r="F688" s="2">
        <v>2</v>
      </c>
      <c r="G688" s="4">
        <v>2</v>
      </c>
      <c r="H688" s="13"/>
      <c r="I688" s="15"/>
      <c r="J688" s="19">
        <v>2</v>
      </c>
      <c r="K688" s="2" t="s">
        <v>1387</v>
      </c>
      <c r="L688" s="11" t="str">
        <f t="shared" si="11"/>
        <v>Ver Imagen</v>
      </c>
      <c r="M688" t="s">
        <v>15</v>
      </c>
    </row>
    <row r="689" spans="1:13" x14ac:dyDescent="0.25">
      <c r="A689">
        <v>688</v>
      </c>
      <c r="B689" t="s">
        <v>1388</v>
      </c>
      <c r="C689" s="1">
        <v>37.526495608899999</v>
      </c>
      <c r="D689" s="1">
        <v>-7.2552758160000002</v>
      </c>
      <c r="E689" s="3">
        <v>2</v>
      </c>
      <c r="F689" s="2">
        <v>2</v>
      </c>
      <c r="G689" s="4">
        <v>2</v>
      </c>
      <c r="H689" s="13"/>
      <c r="I689" s="15"/>
      <c r="J689" s="19">
        <v>2</v>
      </c>
      <c r="K689" s="2" t="s">
        <v>1389</v>
      </c>
      <c r="L689" s="11" t="str">
        <f t="shared" si="11"/>
        <v>Ver Imagen</v>
      </c>
      <c r="M689" t="s">
        <v>15</v>
      </c>
    </row>
    <row r="690" spans="1:13" x14ac:dyDescent="0.25">
      <c r="A690">
        <v>689</v>
      </c>
      <c r="B690" t="s">
        <v>1390</v>
      </c>
      <c r="C690" s="1">
        <v>37.526701056</v>
      </c>
      <c r="D690" s="1">
        <v>-7.2551446028499997</v>
      </c>
      <c r="E690" s="3">
        <v>2</v>
      </c>
      <c r="F690" s="2">
        <v>2</v>
      </c>
      <c r="G690" s="4">
        <v>2</v>
      </c>
      <c r="H690" s="13"/>
      <c r="I690" s="15"/>
      <c r="J690" s="19">
        <v>2</v>
      </c>
      <c r="K690" s="2" t="s">
        <v>1391</v>
      </c>
      <c r="L690" s="11" t="str">
        <f t="shared" si="11"/>
        <v>Ver Imagen</v>
      </c>
      <c r="M690" t="s">
        <v>15</v>
      </c>
    </row>
    <row r="691" spans="1:13" x14ac:dyDescent="0.25">
      <c r="A691">
        <v>690</v>
      </c>
      <c r="B691" t="s">
        <v>1392</v>
      </c>
      <c r="C691" s="1">
        <v>37.527049061900001</v>
      </c>
      <c r="D691" s="1">
        <v>-7.2549415778400004</v>
      </c>
      <c r="E691" s="3">
        <v>2</v>
      </c>
      <c r="F691" s="2">
        <v>2</v>
      </c>
      <c r="G691" s="4">
        <v>2</v>
      </c>
      <c r="H691" s="13"/>
      <c r="I691" s="15"/>
      <c r="J691" s="19">
        <v>2</v>
      </c>
      <c r="K691" s="2" t="s">
        <v>1393</v>
      </c>
      <c r="L691" s="11" t="str">
        <f t="shared" si="11"/>
        <v>Ver Imagen</v>
      </c>
      <c r="M691" t="s">
        <v>15</v>
      </c>
    </row>
    <row r="692" spans="1:13" x14ac:dyDescent="0.25">
      <c r="A692">
        <v>691</v>
      </c>
      <c r="B692" t="s">
        <v>1394</v>
      </c>
      <c r="C692" s="1">
        <v>37.527228081600001</v>
      </c>
      <c r="D692" s="1">
        <v>-7.2548393444699997</v>
      </c>
      <c r="E692" s="3">
        <v>2</v>
      </c>
      <c r="F692" s="2">
        <v>2</v>
      </c>
      <c r="G692" s="4">
        <v>2</v>
      </c>
      <c r="H692" s="13"/>
      <c r="I692" s="15"/>
      <c r="J692" s="19">
        <v>2</v>
      </c>
      <c r="K692" s="2" t="s">
        <v>1395</v>
      </c>
      <c r="L692" s="11" t="str">
        <f t="shared" si="11"/>
        <v>Ver Imagen</v>
      </c>
      <c r="M692" t="s">
        <v>15</v>
      </c>
    </row>
    <row r="693" spans="1:13" x14ac:dyDescent="0.25">
      <c r="A693">
        <v>692</v>
      </c>
      <c r="B693" t="s">
        <v>1396</v>
      </c>
      <c r="C693" s="1">
        <v>37.271832182600001</v>
      </c>
      <c r="D693" s="1">
        <v>-6.9859085369900003</v>
      </c>
      <c r="E693" s="3">
        <v>2</v>
      </c>
      <c r="F693" s="2">
        <v>2</v>
      </c>
      <c r="G693" s="4">
        <v>2</v>
      </c>
      <c r="H693" s="13"/>
      <c r="I693" s="15"/>
      <c r="J693" s="19">
        <v>2</v>
      </c>
      <c r="K693" s="2" t="s">
        <v>1397</v>
      </c>
      <c r="L693" s="11" t="str">
        <f t="shared" si="11"/>
        <v>Ver Imagen</v>
      </c>
      <c r="M693" t="s">
        <v>15</v>
      </c>
    </row>
    <row r="694" spans="1:13" x14ac:dyDescent="0.25">
      <c r="A694">
        <v>693</v>
      </c>
      <c r="B694" t="s">
        <v>1398</v>
      </c>
      <c r="C694" s="1">
        <v>37.271855909099997</v>
      </c>
      <c r="D694" s="1">
        <v>-6.9863887584800004</v>
      </c>
      <c r="E694" s="3">
        <v>2</v>
      </c>
      <c r="F694" s="2">
        <v>2</v>
      </c>
      <c r="G694" s="4">
        <v>2</v>
      </c>
      <c r="H694" s="13"/>
      <c r="I694" s="15"/>
      <c r="J694" s="19">
        <v>2</v>
      </c>
      <c r="K694" s="2" t="s">
        <v>1399</v>
      </c>
      <c r="L694" s="11" t="str">
        <f t="shared" si="11"/>
        <v>Ver Imagen</v>
      </c>
      <c r="M694" t="s">
        <v>15</v>
      </c>
    </row>
    <row r="695" spans="1:13" x14ac:dyDescent="0.25">
      <c r="A695">
        <v>694</v>
      </c>
      <c r="B695" t="s">
        <v>1400</v>
      </c>
      <c r="C695" s="1">
        <v>37.271748212600002</v>
      </c>
      <c r="D695" s="1">
        <v>-6.9873954014399997</v>
      </c>
      <c r="E695" s="3">
        <v>2</v>
      </c>
      <c r="F695" s="2">
        <v>2</v>
      </c>
      <c r="G695" s="4">
        <v>2</v>
      </c>
      <c r="H695" s="13"/>
      <c r="I695" s="15"/>
      <c r="J695" s="19">
        <v>2</v>
      </c>
      <c r="K695" s="2" t="s">
        <v>1401</v>
      </c>
      <c r="L695" s="11" t="str">
        <f t="shared" si="11"/>
        <v>Ver Imagen</v>
      </c>
      <c r="M695" t="s">
        <v>15</v>
      </c>
    </row>
    <row r="696" spans="1:13" x14ac:dyDescent="0.25">
      <c r="A696">
        <v>695</v>
      </c>
      <c r="B696" t="s">
        <v>1402</v>
      </c>
      <c r="C696" s="1">
        <v>37.271688722100002</v>
      </c>
      <c r="D696" s="1">
        <v>-6.9876366676400004</v>
      </c>
      <c r="E696" s="3">
        <v>2</v>
      </c>
      <c r="F696" s="2">
        <v>2</v>
      </c>
      <c r="G696" s="4">
        <v>2</v>
      </c>
      <c r="H696" s="13"/>
      <c r="I696" s="15"/>
      <c r="J696" s="19">
        <v>2</v>
      </c>
      <c r="K696" s="2" t="s">
        <v>1403</v>
      </c>
      <c r="L696" s="11" t="str">
        <f t="shared" si="11"/>
        <v>Ver Imagen</v>
      </c>
      <c r="M696" t="s">
        <v>15</v>
      </c>
    </row>
    <row r="697" spans="1:13" x14ac:dyDescent="0.25">
      <c r="A697">
        <v>696</v>
      </c>
      <c r="B697" t="s">
        <v>1404</v>
      </c>
      <c r="C697" s="1">
        <v>37.2712667395</v>
      </c>
      <c r="D697" s="1">
        <v>-6.9885419855500004</v>
      </c>
      <c r="E697" s="3">
        <v>2</v>
      </c>
      <c r="F697" s="2">
        <v>2</v>
      </c>
      <c r="G697" s="4">
        <v>2</v>
      </c>
      <c r="H697" s="13"/>
      <c r="I697" s="15"/>
      <c r="J697" s="19">
        <v>2</v>
      </c>
      <c r="K697" s="2" t="s">
        <v>1405</v>
      </c>
      <c r="L697" s="11" t="str">
        <f t="shared" si="11"/>
        <v>Ver Imagen</v>
      </c>
      <c r="M697" t="s">
        <v>15</v>
      </c>
    </row>
    <row r="698" spans="1:13" x14ac:dyDescent="0.25">
      <c r="A698">
        <v>697</v>
      </c>
      <c r="B698" t="s">
        <v>1406</v>
      </c>
      <c r="C698" s="1">
        <v>37.271140955</v>
      </c>
      <c r="D698" s="1">
        <v>-6.9887122577399996</v>
      </c>
      <c r="E698" s="3">
        <v>2</v>
      </c>
      <c r="F698" s="2">
        <v>2</v>
      </c>
      <c r="G698" s="4">
        <v>2</v>
      </c>
      <c r="H698" s="13"/>
      <c r="I698" s="15"/>
      <c r="J698" s="19">
        <v>2</v>
      </c>
      <c r="K698" s="2" t="s">
        <v>1407</v>
      </c>
      <c r="L698" s="11" t="str">
        <f t="shared" si="11"/>
        <v>Ver Imagen</v>
      </c>
      <c r="M698" t="s">
        <v>15</v>
      </c>
    </row>
    <row r="699" spans="1:13" x14ac:dyDescent="0.25">
      <c r="A699">
        <v>698</v>
      </c>
      <c r="B699" t="s">
        <v>1408</v>
      </c>
      <c r="C699" s="1">
        <v>37.270825598199998</v>
      </c>
      <c r="D699" s="1">
        <v>-6.9890378628600001</v>
      </c>
      <c r="E699" s="3">
        <v>2</v>
      </c>
      <c r="F699" s="2">
        <v>2</v>
      </c>
      <c r="G699" s="4">
        <v>2</v>
      </c>
      <c r="H699" s="13"/>
      <c r="I699" s="15"/>
      <c r="J699" s="19">
        <v>2</v>
      </c>
      <c r="K699" s="2" t="s">
        <v>1409</v>
      </c>
      <c r="L699" s="11" t="str">
        <f t="shared" si="11"/>
        <v>Ver Imagen</v>
      </c>
      <c r="M699" t="s">
        <v>15</v>
      </c>
    </row>
    <row r="700" spans="1:13" x14ac:dyDescent="0.25">
      <c r="A700">
        <v>699</v>
      </c>
      <c r="B700" t="s">
        <v>1410</v>
      </c>
      <c r="C700" s="1">
        <v>37.270653998699999</v>
      </c>
      <c r="D700" s="1">
        <v>-6.98918188699</v>
      </c>
      <c r="E700" s="3">
        <v>2</v>
      </c>
      <c r="F700" s="2">
        <v>2</v>
      </c>
      <c r="G700" s="4">
        <v>2</v>
      </c>
      <c r="H700" s="13"/>
      <c r="I700" s="15"/>
      <c r="J700" s="19">
        <v>2</v>
      </c>
      <c r="K700" s="2" t="s">
        <v>1411</v>
      </c>
      <c r="L700" s="11" t="str">
        <f t="shared" si="11"/>
        <v>Ver Imagen</v>
      </c>
      <c r="M700" t="s">
        <v>15</v>
      </c>
    </row>
    <row r="701" spans="1:13" x14ac:dyDescent="0.25">
      <c r="A701">
        <v>700</v>
      </c>
      <c r="B701" t="s">
        <v>1412</v>
      </c>
      <c r="C701" s="1">
        <v>37.268381109099998</v>
      </c>
      <c r="D701" s="1">
        <v>-6.9907850066300004</v>
      </c>
      <c r="E701" s="3">
        <v>2</v>
      </c>
      <c r="F701" s="2">
        <v>2</v>
      </c>
      <c r="G701" s="4">
        <v>2</v>
      </c>
      <c r="H701" s="13"/>
      <c r="I701" s="15"/>
      <c r="J701" s="19">
        <v>2</v>
      </c>
      <c r="K701" s="2" t="s">
        <v>1413</v>
      </c>
      <c r="L701" s="11" t="str">
        <f t="shared" si="11"/>
        <v>Ver Imagen</v>
      </c>
      <c r="M701" t="s">
        <v>15</v>
      </c>
    </row>
    <row r="702" spans="1:13" x14ac:dyDescent="0.25">
      <c r="A702">
        <v>701</v>
      </c>
      <c r="B702" t="s">
        <v>1414</v>
      </c>
      <c r="C702" s="1">
        <v>37.188190074200001</v>
      </c>
      <c r="D702" s="1">
        <v>-6.97834103832</v>
      </c>
      <c r="E702" s="3">
        <v>2</v>
      </c>
      <c r="F702" s="2">
        <v>2</v>
      </c>
      <c r="G702" s="4">
        <v>2</v>
      </c>
      <c r="H702" s="13"/>
      <c r="I702" s="15"/>
      <c r="J702" s="19">
        <v>2</v>
      </c>
      <c r="K702" s="2" t="s">
        <v>1415</v>
      </c>
      <c r="L702" s="11" t="str">
        <f t="shared" si="11"/>
        <v>Ver Imagen</v>
      </c>
      <c r="M702" t="s">
        <v>15</v>
      </c>
    </row>
    <row r="703" spans="1:13" x14ac:dyDescent="0.25">
      <c r="A703">
        <v>702</v>
      </c>
      <c r="B703" t="s">
        <v>1416</v>
      </c>
      <c r="C703" s="1">
        <v>37.1883649058</v>
      </c>
      <c r="D703" s="1">
        <v>-6.9783559655799996</v>
      </c>
      <c r="E703" s="3">
        <v>2</v>
      </c>
      <c r="F703" s="2">
        <v>2</v>
      </c>
      <c r="G703" s="4">
        <v>2</v>
      </c>
      <c r="H703" s="13"/>
      <c r="I703" s="15"/>
      <c r="J703" s="19">
        <v>2</v>
      </c>
      <c r="K703" s="2" t="s">
        <v>1417</v>
      </c>
      <c r="L703" s="11" t="str">
        <f t="shared" si="11"/>
        <v>Ver Imagen</v>
      </c>
      <c r="M703" t="s">
        <v>15</v>
      </c>
    </row>
    <row r="704" spans="1:13" x14ac:dyDescent="0.25">
      <c r="A704">
        <v>703</v>
      </c>
      <c r="B704" t="s">
        <v>1418</v>
      </c>
      <c r="C704" s="1">
        <v>37.266159401700001</v>
      </c>
      <c r="D704" s="1">
        <v>-6.9932686507900002</v>
      </c>
      <c r="E704" s="3">
        <v>2</v>
      </c>
      <c r="F704" s="2">
        <v>2</v>
      </c>
      <c r="G704" s="4">
        <v>2</v>
      </c>
      <c r="H704" s="13"/>
      <c r="I704" s="15"/>
      <c r="J704" s="19">
        <v>2</v>
      </c>
      <c r="K704" s="2" t="s">
        <v>1419</v>
      </c>
      <c r="L704" s="11" t="str">
        <f t="shared" si="11"/>
        <v>Ver Imagen</v>
      </c>
      <c r="M704" t="s">
        <v>15</v>
      </c>
    </row>
    <row r="705" spans="1:13" x14ac:dyDescent="0.25">
      <c r="A705">
        <v>704</v>
      </c>
      <c r="B705" t="s">
        <v>1420</v>
      </c>
      <c r="C705" s="1">
        <v>37.191358747099997</v>
      </c>
      <c r="D705" s="1">
        <v>-6.9776311288399997</v>
      </c>
      <c r="E705" s="3">
        <v>2</v>
      </c>
      <c r="F705" s="2">
        <v>2</v>
      </c>
      <c r="G705" s="4">
        <v>2</v>
      </c>
      <c r="H705" s="13"/>
      <c r="I705" s="15"/>
      <c r="J705" s="19">
        <v>2</v>
      </c>
      <c r="K705" s="2" t="s">
        <v>1421</v>
      </c>
      <c r="L705" s="11" t="str">
        <f t="shared" si="11"/>
        <v>Ver Imagen</v>
      </c>
      <c r="M705" t="s">
        <v>15</v>
      </c>
    </row>
    <row r="706" spans="1:13" x14ac:dyDescent="0.25">
      <c r="A706">
        <v>705</v>
      </c>
      <c r="B706" t="s">
        <v>1422</v>
      </c>
      <c r="C706" s="1">
        <v>37.264513688000001</v>
      </c>
      <c r="D706" s="1">
        <v>-7.0016448804099998</v>
      </c>
      <c r="E706" s="3">
        <v>2</v>
      </c>
      <c r="F706" s="2">
        <v>2</v>
      </c>
      <c r="G706" s="4">
        <v>2</v>
      </c>
      <c r="H706" s="13"/>
      <c r="I706" s="15"/>
      <c r="J706" s="19">
        <v>2</v>
      </c>
      <c r="K706" s="2" t="s">
        <v>1423</v>
      </c>
      <c r="L706" s="11" t="str">
        <f t="shared" si="11"/>
        <v>Ver Imagen</v>
      </c>
      <c r="M706" t="s">
        <v>15</v>
      </c>
    </row>
    <row r="707" spans="1:13" x14ac:dyDescent="0.25">
      <c r="A707">
        <v>706</v>
      </c>
      <c r="B707" t="s">
        <v>1424</v>
      </c>
      <c r="C707" s="1">
        <v>37.2644175816</v>
      </c>
      <c r="D707" s="1">
        <v>-7.0021796490900003</v>
      </c>
      <c r="E707" s="3">
        <v>2</v>
      </c>
      <c r="F707" s="2">
        <v>2</v>
      </c>
      <c r="G707" s="4">
        <v>2</v>
      </c>
      <c r="H707" s="13"/>
      <c r="I707" s="15"/>
      <c r="J707" s="19">
        <v>2</v>
      </c>
      <c r="K707" s="2" t="s">
        <v>1425</v>
      </c>
      <c r="L707" s="11" t="str">
        <f t="shared" si="11"/>
        <v>Ver Imagen</v>
      </c>
      <c r="M707" t="s">
        <v>15</v>
      </c>
    </row>
    <row r="708" spans="1:13" x14ac:dyDescent="0.25">
      <c r="A708">
        <v>707</v>
      </c>
      <c r="B708" t="s">
        <v>1426</v>
      </c>
      <c r="C708" s="1">
        <v>37.198196355599997</v>
      </c>
      <c r="D708" s="1">
        <v>-6.9807350683399996</v>
      </c>
      <c r="E708" s="3">
        <v>2</v>
      </c>
      <c r="F708" s="2">
        <v>2</v>
      </c>
      <c r="G708" s="4">
        <v>2</v>
      </c>
      <c r="H708" s="13"/>
      <c r="I708" s="15"/>
      <c r="J708" s="19">
        <v>2</v>
      </c>
      <c r="K708" s="2" t="s">
        <v>1427</v>
      </c>
      <c r="L708" s="11" t="str">
        <f t="shared" si="11"/>
        <v>Ver Imagen</v>
      </c>
      <c r="M708" t="s">
        <v>15</v>
      </c>
    </row>
    <row r="709" spans="1:13" x14ac:dyDescent="0.25">
      <c r="A709">
        <v>708</v>
      </c>
      <c r="B709" t="s">
        <v>1428</v>
      </c>
      <c r="C709" s="1">
        <v>37.199040550900001</v>
      </c>
      <c r="D709" s="1">
        <v>-6.9825089438700001</v>
      </c>
      <c r="E709" s="3">
        <v>2</v>
      </c>
      <c r="F709" s="2">
        <v>2</v>
      </c>
      <c r="G709" s="4">
        <v>2</v>
      </c>
      <c r="H709" s="13"/>
      <c r="I709" s="15"/>
      <c r="J709" s="19">
        <v>2</v>
      </c>
      <c r="K709" s="2" t="s">
        <v>1429</v>
      </c>
      <c r="L709" s="11" t="str">
        <f t="shared" si="11"/>
        <v>Ver Imagen</v>
      </c>
      <c r="M709" t="s">
        <v>15</v>
      </c>
    </row>
    <row r="710" spans="1:13" x14ac:dyDescent="0.25">
      <c r="A710">
        <v>709</v>
      </c>
      <c r="B710" t="s">
        <v>1430</v>
      </c>
      <c r="C710" s="1">
        <v>37.199763100600002</v>
      </c>
      <c r="D710" s="1">
        <v>-6.9849155729800003</v>
      </c>
      <c r="E710" s="3">
        <v>2</v>
      </c>
      <c r="F710" s="2">
        <v>2</v>
      </c>
      <c r="G710" s="4">
        <v>2</v>
      </c>
      <c r="H710" s="13"/>
      <c r="I710" s="15"/>
      <c r="J710" s="19">
        <v>2</v>
      </c>
      <c r="K710" s="2" t="s">
        <v>1431</v>
      </c>
      <c r="L710" s="11" t="str">
        <f t="shared" si="11"/>
        <v>Ver Imagen</v>
      </c>
      <c r="M710" t="s">
        <v>15</v>
      </c>
    </row>
    <row r="711" spans="1:13" x14ac:dyDescent="0.25">
      <c r="A711">
        <v>710</v>
      </c>
      <c r="B711" t="s">
        <v>1432</v>
      </c>
      <c r="C711" s="1">
        <v>37.199827313199997</v>
      </c>
      <c r="D711" s="1">
        <v>-6.98516588688</v>
      </c>
      <c r="E711" s="3">
        <v>2</v>
      </c>
      <c r="F711" s="2">
        <v>2</v>
      </c>
      <c r="G711" s="4">
        <v>2</v>
      </c>
      <c r="H711" s="13"/>
      <c r="I711" s="15"/>
      <c r="J711" s="19">
        <v>2</v>
      </c>
      <c r="K711" s="2" t="s">
        <v>1433</v>
      </c>
      <c r="L711" s="11" t="str">
        <f t="shared" si="11"/>
        <v>Ver Imagen</v>
      </c>
      <c r="M711" t="s">
        <v>15</v>
      </c>
    </row>
    <row r="712" spans="1:13" x14ac:dyDescent="0.25">
      <c r="A712">
        <v>711</v>
      </c>
      <c r="B712" t="s">
        <v>1434</v>
      </c>
      <c r="C712" s="1">
        <v>37.261500928399997</v>
      </c>
      <c r="D712" s="1">
        <v>-7.01071707915</v>
      </c>
      <c r="E712" s="3">
        <v>2</v>
      </c>
      <c r="F712" s="2">
        <v>2</v>
      </c>
      <c r="G712" s="4">
        <v>2</v>
      </c>
      <c r="H712" s="13"/>
      <c r="I712" s="15"/>
      <c r="J712" s="19">
        <v>2</v>
      </c>
      <c r="K712" s="2" t="s">
        <v>1435</v>
      </c>
      <c r="L712" s="11" t="str">
        <f t="shared" si="11"/>
        <v>Ver Imagen</v>
      </c>
      <c r="M712" t="s">
        <v>15</v>
      </c>
    </row>
    <row r="713" spans="1:13" x14ac:dyDescent="0.25">
      <c r="A713">
        <v>712</v>
      </c>
      <c r="B713" t="s">
        <v>1436</v>
      </c>
      <c r="C713" s="1">
        <v>37.260981466399997</v>
      </c>
      <c r="D713" s="1">
        <v>-7.0110837715600001</v>
      </c>
      <c r="E713" s="3">
        <v>2</v>
      </c>
      <c r="F713" s="2">
        <v>2</v>
      </c>
      <c r="G713" s="4">
        <v>2</v>
      </c>
      <c r="H713" s="13"/>
      <c r="I713" s="15"/>
      <c r="J713" s="19">
        <v>2</v>
      </c>
      <c r="K713" s="2" t="s">
        <v>1437</v>
      </c>
      <c r="L713" s="11" t="str">
        <f t="shared" ref="L713:L776" si="12">HYPERLINK("2\0\" &amp; K713, "Ver Imagen")</f>
        <v>Ver Imagen</v>
      </c>
      <c r="M713" t="s">
        <v>15</v>
      </c>
    </row>
    <row r="714" spans="1:13" x14ac:dyDescent="0.25">
      <c r="A714">
        <v>713</v>
      </c>
      <c r="B714" t="s">
        <v>1438</v>
      </c>
      <c r="C714" s="1">
        <v>37.259693278100002</v>
      </c>
      <c r="D714" s="1">
        <v>-7.0119040047599999</v>
      </c>
      <c r="E714" s="3">
        <v>2</v>
      </c>
      <c r="F714" s="2">
        <v>2</v>
      </c>
      <c r="G714" s="4">
        <v>2</v>
      </c>
      <c r="H714" s="13"/>
      <c r="I714" s="15"/>
      <c r="J714" s="19">
        <v>2</v>
      </c>
      <c r="K714" s="2" t="s">
        <v>1439</v>
      </c>
      <c r="L714" s="11" t="str">
        <f t="shared" si="12"/>
        <v>Ver Imagen</v>
      </c>
      <c r="M714" t="s">
        <v>15</v>
      </c>
    </row>
    <row r="715" spans="1:13" x14ac:dyDescent="0.25">
      <c r="A715">
        <v>714</v>
      </c>
      <c r="B715" t="s">
        <v>1440</v>
      </c>
      <c r="C715" s="1">
        <v>37.259507946100001</v>
      </c>
      <c r="D715" s="1">
        <v>-7.0120236186599998</v>
      </c>
      <c r="E715" s="3">
        <v>2</v>
      </c>
      <c r="F715" s="2">
        <v>2</v>
      </c>
      <c r="G715" s="4">
        <v>2</v>
      </c>
      <c r="H715" s="13"/>
      <c r="I715" s="15"/>
      <c r="J715" s="19">
        <v>2</v>
      </c>
      <c r="K715" s="2" t="s">
        <v>1441</v>
      </c>
      <c r="L715" s="11" t="str">
        <f t="shared" si="12"/>
        <v>Ver Imagen</v>
      </c>
      <c r="M715" t="s">
        <v>15</v>
      </c>
    </row>
    <row r="716" spans="1:13" x14ac:dyDescent="0.25">
      <c r="A716">
        <v>715</v>
      </c>
      <c r="B716" t="s">
        <v>1442</v>
      </c>
      <c r="C716" s="1">
        <v>37.259368197100002</v>
      </c>
      <c r="D716" s="1">
        <v>-7.0121131983799998</v>
      </c>
      <c r="E716" s="3">
        <v>2</v>
      </c>
      <c r="F716" s="2">
        <v>2</v>
      </c>
      <c r="G716" s="4">
        <v>2</v>
      </c>
      <c r="H716" s="13"/>
      <c r="I716" s="15"/>
      <c r="J716" s="19">
        <v>2</v>
      </c>
      <c r="K716" s="2" t="s">
        <v>1443</v>
      </c>
      <c r="L716" s="11" t="str">
        <f t="shared" si="12"/>
        <v>Ver Imagen</v>
      </c>
      <c r="M716" t="s">
        <v>15</v>
      </c>
    </row>
    <row r="717" spans="1:13" x14ac:dyDescent="0.25">
      <c r="A717">
        <v>716</v>
      </c>
      <c r="B717" t="s">
        <v>1444</v>
      </c>
      <c r="C717" s="1">
        <v>37.259180891100002</v>
      </c>
      <c r="D717" s="1">
        <v>-7.0122321136099997</v>
      </c>
      <c r="E717" s="3">
        <v>2</v>
      </c>
      <c r="F717" s="2">
        <v>2</v>
      </c>
      <c r="G717" s="4">
        <v>2</v>
      </c>
      <c r="H717" s="13"/>
      <c r="I717" s="15"/>
      <c r="J717" s="19">
        <v>2</v>
      </c>
      <c r="K717" s="2" t="s">
        <v>1445</v>
      </c>
      <c r="L717" s="11" t="str">
        <f t="shared" si="12"/>
        <v>Ver Imagen</v>
      </c>
      <c r="M717" t="s">
        <v>15</v>
      </c>
    </row>
    <row r="718" spans="1:13" x14ac:dyDescent="0.25">
      <c r="A718">
        <v>717</v>
      </c>
      <c r="B718" t="s">
        <v>1446</v>
      </c>
      <c r="C718" s="1">
        <v>37.258984818800002</v>
      </c>
      <c r="D718" s="1">
        <v>-7.0123559913199998</v>
      </c>
      <c r="E718" s="3">
        <v>2</v>
      </c>
      <c r="F718" s="2">
        <v>2</v>
      </c>
      <c r="G718" s="4">
        <v>2</v>
      </c>
      <c r="H718" s="13"/>
      <c r="I718" s="15"/>
      <c r="J718" s="19">
        <v>2</v>
      </c>
      <c r="K718" s="2" t="s">
        <v>1447</v>
      </c>
      <c r="L718" s="11" t="str">
        <f t="shared" si="12"/>
        <v>Ver Imagen</v>
      </c>
      <c r="M718" t="s">
        <v>15</v>
      </c>
    </row>
    <row r="719" spans="1:13" x14ac:dyDescent="0.25">
      <c r="A719">
        <v>718</v>
      </c>
      <c r="B719" t="s">
        <v>1448</v>
      </c>
      <c r="C719" s="1">
        <v>37.2018602379</v>
      </c>
      <c r="D719" s="1">
        <v>-6.9946663401600002</v>
      </c>
      <c r="E719" s="3">
        <v>2</v>
      </c>
      <c r="F719" s="2">
        <v>2</v>
      </c>
      <c r="G719" s="4">
        <v>2</v>
      </c>
      <c r="H719" s="13"/>
      <c r="I719" s="15"/>
      <c r="J719" s="19">
        <v>2</v>
      </c>
      <c r="K719" s="2" t="s">
        <v>1449</v>
      </c>
      <c r="L719" s="11" t="str">
        <f t="shared" si="12"/>
        <v>Ver Imagen</v>
      </c>
      <c r="M719" t="s">
        <v>15</v>
      </c>
    </row>
    <row r="720" spans="1:13" x14ac:dyDescent="0.25">
      <c r="A720">
        <v>719</v>
      </c>
      <c r="B720" t="s">
        <v>1450</v>
      </c>
      <c r="C720" s="1">
        <v>37.204229688700003</v>
      </c>
      <c r="D720" s="1">
        <v>-7.0115915402600004</v>
      </c>
      <c r="E720" s="3">
        <v>2</v>
      </c>
      <c r="F720" s="2">
        <v>2</v>
      </c>
      <c r="G720" s="4">
        <v>2</v>
      </c>
      <c r="H720" s="13"/>
      <c r="I720" s="15"/>
      <c r="J720" s="19">
        <v>2</v>
      </c>
      <c r="K720" s="2" t="s">
        <v>1451</v>
      </c>
      <c r="L720" s="11" t="str">
        <f t="shared" si="12"/>
        <v>Ver Imagen</v>
      </c>
      <c r="M720" t="s">
        <v>15</v>
      </c>
    </row>
    <row r="721" spans="1:13" x14ac:dyDescent="0.25">
      <c r="A721">
        <v>720</v>
      </c>
      <c r="B721" t="s">
        <v>1452</v>
      </c>
      <c r="C721" s="1">
        <v>37.249724906399997</v>
      </c>
      <c r="D721" s="1">
        <v>-7.0181242369300003</v>
      </c>
      <c r="E721" s="3">
        <v>2</v>
      </c>
      <c r="F721" s="2">
        <v>2</v>
      </c>
      <c r="G721" s="4">
        <v>2</v>
      </c>
      <c r="H721" s="13"/>
      <c r="I721" s="15"/>
      <c r="J721" s="19">
        <v>2</v>
      </c>
      <c r="K721" s="2" t="s">
        <v>1453</v>
      </c>
      <c r="L721" s="11" t="str">
        <f t="shared" si="12"/>
        <v>Ver Imagen</v>
      </c>
      <c r="M721" t="s">
        <v>15</v>
      </c>
    </row>
    <row r="722" spans="1:13" x14ac:dyDescent="0.25">
      <c r="A722">
        <v>721</v>
      </c>
      <c r="B722" t="s">
        <v>1454</v>
      </c>
      <c r="C722" s="1">
        <v>37.249551115400003</v>
      </c>
      <c r="D722" s="1">
        <v>-7.0181796293199996</v>
      </c>
      <c r="E722" s="3">
        <v>2</v>
      </c>
      <c r="F722" s="2">
        <v>2</v>
      </c>
      <c r="G722" s="4">
        <v>2</v>
      </c>
      <c r="H722" s="13"/>
      <c r="I722" s="15"/>
      <c r="J722" s="19">
        <v>2</v>
      </c>
      <c r="K722" s="2" t="s">
        <v>1455</v>
      </c>
      <c r="L722" s="11" t="str">
        <f t="shared" si="12"/>
        <v>Ver Imagen</v>
      </c>
      <c r="M722" t="s">
        <v>15</v>
      </c>
    </row>
    <row r="723" spans="1:13" x14ac:dyDescent="0.25">
      <c r="A723">
        <v>722</v>
      </c>
      <c r="B723" t="s">
        <v>1456</v>
      </c>
      <c r="C723" s="1">
        <v>37.2492940765</v>
      </c>
      <c r="D723" s="1">
        <v>-7.0182465885700003</v>
      </c>
      <c r="E723" s="3">
        <v>2</v>
      </c>
      <c r="F723" s="2">
        <v>2</v>
      </c>
      <c r="G723" s="4">
        <v>2</v>
      </c>
      <c r="H723" s="13"/>
      <c r="I723" s="15"/>
      <c r="J723" s="19">
        <v>2</v>
      </c>
      <c r="K723" s="2" t="s">
        <v>1457</v>
      </c>
      <c r="L723" s="11" t="str">
        <f t="shared" si="12"/>
        <v>Ver Imagen</v>
      </c>
      <c r="M723" t="s">
        <v>15</v>
      </c>
    </row>
    <row r="724" spans="1:13" x14ac:dyDescent="0.25">
      <c r="A724">
        <v>723</v>
      </c>
      <c r="B724" t="s">
        <v>1458</v>
      </c>
      <c r="C724" s="1">
        <v>37.249118420599999</v>
      </c>
      <c r="D724" s="1">
        <v>-7.0182821454399997</v>
      </c>
      <c r="E724" s="3">
        <v>2</v>
      </c>
      <c r="F724" s="2">
        <v>2</v>
      </c>
      <c r="G724" s="4">
        <v>2</v>
      </c>
      <c r="H724" s="13"/>
      <c r="I724" s="15"/>
      <c r="J724" s="19">
        <v>2</v>
      </c>
      <c r="K724" s="2" t="s">
        <v>1459</v>
      </c>
      <c r="L724" s="11" t="str">
        <f t="shared" si="12"/>
        <v>Ver Imagen</v>
      </c>
      <c r="M724" t="s">
        <v>15</v>
      </c>
    </row>
    <row r="725" spans="1:13" x14ac:dyDescent="0.25">
      <c r="A725">
        <v>724</v>
      </c>
      <c r="B725" t="s">
        <v>1460</v>
      </c>
      <c r="C725" s="1">
        <v>37.204591954599998</v>
      </c>
      <c r="D725" s="1">
        <v>-7.0135790622199998</v>
      </c>
      <c r="E725" s="3">
        <v>2</v>
      </c>
      <c r="F725" s="2">
        <v>2</v>
      </c>
      <c r="G725" s="4">
        <v>2</v>
      </c>
      <c r="H725" s="13"/>
      <c r="I725" s="15"/>
      <c r="J725" s="19">
        <v>2</v>
      </c>
      <c r="K725" s="2" t="s">
        <v>1461</v>
      </c>
      <c r="L725" s="11" t="str">
        <f t="shared" si="12"/>
        <v>Ver Imagen</v>
      </c>
      <c r="M725" t="s">
        <v>15</v>
      </c>
    </row>
    <row r="726" spans="1:13" x14ac:dyDescent="0.25">
      <c r="A726">
        <v>725</v>
      </c>
      <c r="B726" t="s">
        <v>1462</v>
      </c>
      <c r="C726" s="1">
        <v>37.204982120300002</v>
      </c>
      <c r="D726" s="1">
        <v>-7.0155447184900002</v>
      </c>
      <c r="E726" s="3">
        <v>2</v>
      </c>
      <c r="F726" s="2">
        <v>2</v>
      </c>
      <c r="G726" s="4">
        <v>2</v>
      </c>
      <c r="H726" s="13"/>
      <c r="I726" s="15"/>
      <c r="J726" s="19">
        <v>2</v>
      </c>
      <c r="K726" s="2" t="s">
        <v>1463</v>
      </c>
      <c r="L726" s="11" t="str">
        <f t="shared" si="12"/>
        <v>Ver Imagen</v>
      </c>
      <c r="M726" t="s">
        <v>15</v>
      </c>
    </row>
    <row r="727" spans="1:13" x14ac:dyDescent="0.25">
      <c r="A727">
        <v>726</v>
      </c>
      <c r="B727" t="s">
        <v>1464</v>
      </c>
      <c r="C727" s="1">
        <v>37.228080606100001</v>
      </c>
      <c r="D727" s="1">
        <v>-7.0219191996600001</v>
      </c>
      <c r="E727" s="3">
        <v>2</v>
      </c>
      <c r="F727" s="2">
        <v>2</v>
      </c>
      <c r="G727" s="4">
        <v>2</v>
      </c>
      <c r="H727" s="13"/>
      <c r="I727" s="15"/>
      <c r="J727" s="19">
        <v>2</v>
      </c>
      <c r="K727" s="2" t="s">
        <v>1465</v>
      </c>
      <c r="L727" s="11" t="str">
        <f t="shared" si="12"/>
        <v>Ver Imagen</v>
      </c>
      <c r="M727" t="s">
        <v>15</v>
      </c>
    </row>
    <row r="728" spans="1:13" x14ac:dyDescent="0.25">
      <c r="A728">
        <v>727</v>
      </c>
      <c r="B728" t="s">
        <v>1466</v>
      </c>
      <c r="C728" s="1">
        <v>37.227737481600002</v>
      </c>
      <c r="D728" s="1">
        <v>-7.0221817704099996</v>
      </c>
      <c r="E728" s="3">
        <v>2</v>
      </c>
      <c r="F728" s="2">
        <v>2</v>
      </c>
      <c r="G728" s="4">
        <v>2</v>
      </c>
      <c r="H728" s="13"/>
      <c r="I728" s="15"/>
      <c r="J728" s="19">
        <v>2</v>
      </c>
      <c r="K728" s="2" t="s">
        <v>1467</v>
      </c>
      <c r="L728" s="11" t="str">
        <f t="shared" si="12"/>
        <v>Ver Imagen</v>
      </c>
      <c r="M728" t="s">
        <v>15</v>
      </c>
    </row>
    <row r="729" spans="1:13" x14ac:dyDescent="0.25">
      <c r="A729">
        <v>728</v>
      </c>
      <c r="B729" t="s">
        <v>1468</v>
      </c>
      <c r="C729" s="1">
        <v>37.227381965799999</v>
      </c>
      <c r="D729" s="1">
        <v>-7.0224484837699999</v>
      </c>
      <c r="E729" s="3">
        <v>2</v>
      </c>
      <c r="F729" s="2">
        <v>2</v>
      </c>
      <c r="G729" s="4">
        <v>2</v>
      </c>
      <c r="H729" s="13"/>
      <c r="I729" s="15"/>
      <c r="J729" s="19">
        <v>2</v>
      </c>
      <c r="K729" s="2" t="s">
        <v>1469</v>
      </c>
      <c r="L729" s="11" t="str">
        <f t="shared" si="12"/>
        <v>Ver Imagen</v>
      </c>
      <c r="M729" t="s">
        <v>15</v>
      </c>
    </row>
    <row r="730" spans="1:13" x14ac:dyDescent="0.25">
      <c r="A730">
        <v>729</v>
      </c>
      <c r="B730" t="s">
        <v>1470</v>
      </c>
      <c r="C730" s="1">
        <v>37.227221905</v>
      </c>
      <c r="D730" s="1">
        <v>-7.0225643926899997</v>
      </c>
      <c r="E730" s="3">
        <v>2</v>
      </c>
      <c r="F730" s="2">
        <v>2</v>
      </c>
      <c r="G730" s="4">
        <v>2</v>
      </c>
      <c r="H730" s="13"/>
      <c r="I730" s="15"/>
      <c r="J730" s="19">
        <v>2</v>
      </c>
      <c r="K730" s="2" t="s">
        <v>1471</v>
      </c>
      <c r="L730" s="11" t="str">
        <f t="shared" si="12"/>
        <v>Ver Imagen</v>
      </c>
      <c r="M730" t="s">
        <v>15</v>
      </c>
    </row>
    <row r="731" spans="1:13" x14ac:dyDescent="0.25">
      <c r="A731">
        <v>730</v>
      </c>
      <c r="B731" t="s">
        <v>1472</v>
      </c>
      <c r="C731" s="1">
        <v>37.226833429000003</v>
      </c>
      <c r="D731" s="1">
        <v>-7.0228176812300003</v>
      </c>
      <c r="E731" s="3">
        <v>2</v>
      </c>
      <c r="F731" s="2">
        <v>2</v>
      </c>
      <c r="G731" s="4">
        <v>2</v>
      </c>
      <c r="H731" s="13"/>
      <c r="I731" s="15"/>
      <c r="J731" s="19">
        <v>2</v>
      </c>
      <c r="K731" s="2" t="s">
        <v>1473</v>
      </c>
      <c r="L731" s="11" t="str">
        <f t="shared" si="12"/>
        <v>Ver Imagen</v>
      </c>
      <c r="M731" t="s">
        <v>15</v>
      </c>
    </row>
    <row r="732" spans="1:13" x14ac:dyDescent="0.25">
      <c r="A732">
        <v>731</v>
      </c>
      <c r="B732" t="s">
        <v>1474</v>
      </c>
      <c r="C732" s="1">
        <v>37.226278187299997</v>
      </c>
      <c r="D732" s="1">
        <v>-7.0230917121800003</v>
      </c>
      <c r="E732" s="3">
        <v>2</v>
      </c>
      <c r="F732" s="2">
        <v>2</v>
      </c>
      <c r="G732" s="4">
        <v>2</v>
      </c>
      <c r="H732" s="13"/>
      <c r="I732" s="15"/>
      <c r="J732" s="19">
        <v>2</v>
      </c>
      <c r="K732" s="2" t="s">
        <v>1475</v>
      </c>
      <c r="L732" s="11" t="str">
        <f t="shared" si="12"/>
        <v>Ver Imagen</v>
      </c>
      <c r="M732" t="s">
        <v>15</v>
      </c>
    </row>
    <row r="733" spans="1:13" x14ac:dyDescent="0.25">
      <c r="A733">
        <v>732</v>
      </c>
      <c r="B733" t="s">
        <v>1476</v>
      </c>
      <c r="C733" s="1">
        <v>37.214779391699999</v>
      </c>
      <c r="D733" s="1">
        <v>-7.0234509033399997</v>
      </c>
      <c r="E733" s="3">
        <v>2</v>
      </c>
      <c r="F733" s="2">
        <v>2</v>
      </c>
      <c r="G733" s="4">
        <v>2</v>
      </c>
      <c r="H733" s="13"/>
      <c r="I733" s="15"/>
      <c r="J733" s="19">
        <v>2</v>
      </c>
      <c r="K733" s="2" t="s">
        <v>1477</v>
      </c>
      <c r="L733" s="11" t="str">
        <f t="shared" si="12"/>
        <v>Ver Imagen</v>
      </c>
      <c r="M733" t="s">
        <v>15</v>
      </c>
    </row>
    <row r="734" spans="1:13" x14ac:dyDescent="0.25">
      <c r="A734">
        <v>733</v>
      </c>
      <c r="B734" t="s">
        <v>1478</v>
      </c>
      <c r="C734" s="1">
        <v>37.225463966</v>
      </c>
      <c r="D734" s="1">
        <v>-7.0233332433399998</v>
      </c>
      <c r="E734" s="3">
        <v>2</v>
      </c>
      <c r="F734" s="2">
        <v>2</v>
      </c>
      <c r="G734" s="4">
        <v>2</v>
      </c>
      <c r="H734" s="13"/>
      <c r="I734" s="15"/>
      <c r="J734" s="19">
        <v>2</v>
      </c>
      <c r="K734" s="2" t="s">
        <v>1479</v>
      </c>
      <c r="L734" s="11" t="str">
        <f t="shared" si="12"/>
        <v>Ver Imagen</v>
      </c>
      <c r="M734" t="s">
        <v>15</v>
      </c>
    </row>
    <row r="735" spans="1:13" x14ac:dyDescent="0.25">
      <c r="A735">
        <v>734</v>
      </c>
      <c r="B735" t="s">
        <v>1480</v>
      </c>
      <c r="C735" s="1">
        <v>37.2157416497</v>
      </c>
      <c r="D735" s="1">
        <v>-7.0232772365700002</v>
      </c>
      <c r="E735" s="3">
        <v>2</v>
      </c>
      <c r="F735" s="2">
        <v>2</v>
      </c>
      <c r="G735" s="4">
        <v>2</v>
      </c>
      <c r="H735" s="13"/>
      <c r="I735" s="15"/>
      <c r="J735" s="19">
        <v>2</v>
      </c>
      <c r="K735" s="2" t="s">
        <v>1481</v>
      </c>
      <c r="L735" s="11" t="str">
        <f t="shared" si="12"/>
        <v>Ver Imagen</v>
      </c>
      <c r="M735" t="s">
        <v>15</v>
      </c>
    </row>
    <row r="736" spans="1:13" x14ac:dyDescent="0.25">
      <c r="A736">
        <v>735</v>
      </c>
      <c r="B736" t="s">
        <v>1482</v>
      </c>
      <c r="C736" s="1">
        <v>37.223693546500002</v>
      </c>
      <c r="D736" s="1">
        <v>-7.0233127185299997</v>
      </c>
      <c r="E736" s="3">
        <v>2</v>
      </c>
      <c r="F736" s="2">
        <v>2</v>
      </c>
      <c r="G736" s="4">
        <v>2</v>
      </c>
      <c r="H736" s="13"/>
      <c r="I736" s="15"/>
      <c r="J736" s="19">
        <v>2</v>
      </c>
      <c r="K736" s="2" t="s">
        <v>1483</v>
      </c>
      <c r="L736" s="11" t="str">
        <f t="shared" si="12"/>
        <v>Ver Imagen</v>
      </c>
      <c r="M736" t="s">
        <v>15</v>
      </c>
    </row>
    <row r="737" spans="1:13" x14ac:dyDescent="0.25">
      <c r="A737">
        <v>736</v>
      </c>
      <c r="B737" t="s">
        <v>1484</v>
      </c>
      <c r="C737" s="1">
        <v>37.2234922353</v>
      </c>
      <c r="D737" s="1">
        <v>-7.0232936776899999</v>
      </c>
      <c r="E737" s="3">
        <v>2</v>
      </c>
      <c r="F737" s="2">
        <v>2</v>
      </c>
      <c r="G737" s="4">
        <v>2</v>
      </c>
      <c r="H737" s="13"/>
      <c r="I737" s="15"/>
      <c r="J737" s="19">
        <v>2</v>
      </c>
      <c r="K737" s="2" t="s">
        <v>1485</v>
      </c>
      <c r="L737" s="11" t="str">
        <f t="shared" si="12"/>
        <v>Ver Imagen</v>
      </c>
      <c r="M737" t="s">
        <v>15</v>
      </c>
    </row>
    <row r="738" spans="1:13" x14ac:dyDescent="0.25">
      <c r="A738">
        <v>737</v>
      </c>
      <c r="B738" t="s">
        <v>1486</v>
      </c>
      <c r="C738" s="1">
        <v>37.218362234600001</v>
      </c>
      <c r="D738" s="1">
        <v>-7.0228307964700001</v>
      </c>
      <c r="E738" s="3">
        <v>2</v>
      </c>
      <c r="F738" s="2">
        <v>2</v>
      </c>
      <c r="G738" s="4">
        <v>2</v>
      </c>
      <c r="H738" s="13"/>
      <c r="I738" s="15"/>
      <c r="J738" s="19">
        <v>2</v>
      </c>
      <c r="K738" s="2" t="s">
        <v>1487</v>
      </c>
      <c r="L738" s="11" t="str">
        <f t="shared" si="12"/>
        <v>Ver Imagen</v>
      </c>
      <c r="M738" t="s">
        <v>15</v>
      </c>
    </row>
    <row r="739" spans="1:13" x14ac:dyDescent="0.25">
      <c r="A739">
        <v>738</v>
      </c>
      <c r="B739" t="s">
        <v>1488</v>
      </c>
      <c r="C739" s="1">
        <v>37.218569537199997</v>
      </c>
      <c r="D739" s="1">
        <v>-7.0228084448999999</v>
      </c>
      <c r="E739" s="3">
        <v>2</v>
      </c>
      <c r="F739" s="2">
        <v>2</v>
      </c>
      <c r="G739" s="4">
        <v>2</v>
      </c>
      <c r="H739" s="13"/>
      <c r="I739" s="15"/>
      <c r="J739" s="19">
        <v>2</v>
      </c>
      <c r="K739" s="2" t="s">
        <v>1489</v>
      </c>
      <c r="L739" s="11" t="str">
        <f t="shared" si="12"/>
        <v>Ver Imagen</v>
      </c>
      <c r="M739" t="s">
        <v>15</v>
      </c>
    </row>
    <row r="740" spans="1:13" x14ac:dyDescent="0.25">
      <c r="A740">
        <v>739</v>
      </c>
      <c r="B740" t="s">
        <v>1490</v>
      </c>
      <c r="C740" s="1">
        <v>37.218764876400002</v>
      </c>
      <c r="D740" s="1">
        <v>-7.0227909707</v>
      </c>
      <c r="E740" s="3">
        <v>2</v>
      </c>
      <c r="F740" s="2">
        <v>2</v>
      </c>
      <c r="G740" s="4">
        <v>2</v>
      </c>
      <c r="H740" s="13"/>
      <c r="I740" s="15"/>
      <c r="J740" s="19">
        <v>2</v>
      </c>
      <c r="K740" s="2" t="s">
        <v>1491</v>
      </c>
      <c r="L740" s="11" t="str">
        <f t="shared" si="12"/>
        <v>Ver Imagen</v>
      </c>
      <c r="M740" t="s">
        <v>15</v>
      </c>
    </row>
    <row r="741" spans="1:13" x14ac:dyDescent="0.25">
      <c r="A741">
        <v>740</v>
      </c>
      <c r="B741" t="s">
        <v>1492</v>
      </c>
      <c r="C741" s="1">
        <v>37.2191421092</v>
      </c>
      <c r="D741" s="1">
        <v>-7.0227699766100002</v>
      </c>
      <c r="E741" s="3">
        <v>2</v>
      </c>
      <c r="F741" s="2">
        <v>2</v>
      </c>
      <c r="G741" s="4">
        <v>2</v>
      </c>
      <c r="H741" s="13"/>
      <c r="I741" s="15"/>
      <c r="J741" s="19">
        <v>2</v>
      </c>
      <c r="K741" s="2" t="s">
        <v>1493</v>
      </c>
      <c r="L741" s="11" t="str">
        <f t="shared" si="12"/>
        <v>Ver Imagen</v>
      </c>
      <c r="M741" t="s">
        <v>15</v>
      </c>
    </row>
    <row r="742" spans="1:13" x14ac:dyDescent="0.25">
      <c r="A742">
        <v>741</v>
      </c>
      <c r="B742" t="s">
        <v>1494</v>
      </c>
      <c r="C742" s="1">
        <v>37.219384109499998</v>
      </c>
      <c r="D742" s="1">
        <v>-7.0227655551300003</v>
      </c>
      <c r="E742" s="3">
        <v>2</v>
      </c>
      <c r="F742" s="2">
        <v>2</v>
      </c>
      <c r="G742" s="4">
        <v>2</v>
      </c>
      <c r="H742" s="13"/>
      <c r="I742" s="15"/>
      <c r="J742" s="19">
        <v>2</v>
      </c>
      <c r="K742" s="2" t="s">
        <v>1495</v>
      </c>
      <c r="L742" s="11" t="str">
        <f t="shared" si="12"/>
        <v>Ver Imagen</v>
      </c>
      <c r="M742" t="s">
        <v>15</v>
      </c>
    </row>
    <row r="743" spans="1:13" x14ac:dyDescent="0.25">
      <c r="A743">
        <v>742</v>
      </c>
      <c r="B743" t="s">
        <v>1496</v>
      </c>
      <c r="C743" s="1">
        <v>37.2101946007</v>
      </c>
      <c r="D743" s="1">
        <v>-7.0237858321599997</v>
      </c>
      <c r="E743" s="3">
        <v>2</v>
      </c>
      <c r="F743" s="2">
        <v>2</v>
      </c>
      <c r="G743" s="4">
        <v>2</v>
      </c>
      <c r="H743" s="13"/>
      <c r="I743" s="15"/>
      <c r="J743" s="19">
        <v>2</v>
      </c>
      <c r="K743" s="2" t="s">
        <v>1497</v>
      </c>
      <c r="L743" s="11" t="str">
        <f t="shared" si="12"/>
        <v>Ver Imagen</v>
      </c>
      <c r="M743" t="s">
        <v>15</v>
      </c>
    </row>
    <row r="744" spans="1:13" x14ac:dyDescent="0.25">
      <c r="A744">
        <v>743</v>
      </c>
      <c r="B744" t="s">
        <v>1498</v>
      </c>
      <c r="C744" s="1">
        <v>37.220611689800002</v>
      </c>
      <c r="D744" s="1">
        <v>-7.0228332067399997</v>
      </c>
      <c r="E744" s="3">
        <v>2</v>
      </c>
      <c r="F744" s="2">
        <v>2</v>
      </c>
      <c r="G744" s="4">
        <v>2</v>
      </c>
      <c r="H744" s="13"/>
      <c r="I744" s="15"/>
      <c r="J744" s="19">
        <v>2</v>
      </c>
      <c r="K744" s="2" t="s">
        <v>1499</v>
      </c>
      <c r="L744" s="11" t="str">
        <f t="shared" si="12"/>
        <v>Ver Imagen</v>
      </c>
      <c r="M744" t="s">
        <v>15</v>
      </c>
    </row>
    <row r="745" spans="1:13" x14ac:dyDescent="0.25">
      <c r="A745">
        <v>744</v>
      </c>
      <c r="B745" t="s">
        <v>1500</v>
      </c>
      <c r="C745" s="1">
        <v>37.208704508499999</v>
      </c>
      <c r="D745" s="1">
        <v>-7.02305545801</v>
      </c>
      <c r="E745" s="3">
        <v>2</v>
      </c>
      <c r="F745" s="2">
        <v>2</v>
      </c>
      <c r="G745" s="4">
        <v>2</v>
      </c>
      <c r="H745" s="13"/>
      <c r="I745" s="15"/>
      <c r="J745" s="19">
        <v>2</v>
      </c>
      <c r="K745" s="2" t="s">
        <v>1501</v>
      </c>
      <c r="L745" s="11" t="str">
        <f t="shared" si="12"/>
        <v>Ver Imagen</v>
      </c>
      <c r="M745" t="s">
        <v>15</v>
      </c>
    </row>
    <row r="746" spans="1:13" x14ac:dyDescent="0.25">
      <c r="A746">
        <v>745</v>
      </c>
      <c r="B746" t="s">
        <v>1502</v>
      </c>
      <c r="C746" s="1">
        <v>37.2066713444</v>
      </c>
      <c r="D746" s="1">
        <v>-7.0209422468499998</v>
      </c>
      <c r="E746" s="3">
        <v>2</v>
      </c>
      <c r="F746" s="2">
        <v>2</v>
      </c>
      <c r="G746" s="4">
        <v>2</v>
      </c>
      <c r="H746" s="13"/>
      <c r="I746" s="15"/>
      <c r="J746" s="19">
        <v>2</v>
      </c>
      <c r="K746" s="2" t="s">
        <v>1503</v>
      </c>
      <c r="L746" s="11" t="str">
        <f t="shared" si="12"/>
        <v>Ver Imagen</v>
      </c>
      <c r="M746" t="s">
        <v>15</v>
      </c>
    </row>
    <row r="747" spans="1:13" x14ac:dyDescent="0.25">
      <c r="A747">
        <v>746</v>
      </c>
      <c r="B747" t="s">
        <v>1504</v>
      </c>
      <c r="C747" s="1">
        <v>37.206190221699998</v>
      </c>
      <c r="D747" s="1">
        <v>-7.0200890094000004</v>
      </c>
      <c r="E747" s="3">
        <v>2</v>
      </c>
      <c r="F747" s="2">
        <v>2</v>
      </c>
      <c r="G747" s="4">
        <v>2</v>
      </c>
      <c r="H747" s="13"/>
      <c r="I747" s="15"/>
      <c r="J747" s="19">
        <v>2</v>
      </c>
      <c r="K747" s="2" t="s">
        <v>1505</v>
      </c>
      <c r="L747" s="11" t="str">
        <f t="shared" si="12"/>
        <v>Ver Imagen</v>
      </c>
      <c r="M747" t="s">
        <v>15</v>
      </c>
    </row>
    <row r="748" spans="1:13" x14ac:dyDescent="0.25">
      <c r="A748">
        <v>747</v>
      </c>
      <c r="B748" t="s">
        <v>1506</v>
      </c>
      <c r="C748" s="1">
        <v>37.206089222800003</v>
      </c>
      <c r="D748" s="1">
        <v>-7.0198779659800001</v>
      </c>
      <c r="E748" s="3">
        <v>2</v>
      </c>
      <c r="F748" s="2">
        <v>2</v>
      </c>
      <c r="G748" s="4">
        <v>2</v>
      </c>
      <c r="H748" s="13"/>
      <c r="I748" s="15"/>
      <c r="J748" s="19">
        <v>2</v>
      </c>
      <c r="K748" s="2" t="s">
        <v>1507</v>
      </c>
      <c r="L748" s="11" t="str">
        <f t="shared" si="12"/>
        <v>Ver Imagen</v>
      </c>
      <c r="M748" t="s">
        <v>15</v>
      </c>
    </row>
    <row r="749" spans="1:13" x14ac:dyDescent="0.25">
      <c r="A749">
        <v>748</v>
      </c>
      <c r="B749" t="s">
        <v>1508</v>
      </c>
      <c r="C749" s="1">
        <v>37.205908801200003</v>
      </c>
      <c r="D749" s="1">
        <v>-7.0194618430200002</v>
      </c>
      <c r="E749" s="3">
        <v>2</v>
      </c>
      <c r="F749" s="2">
        <v>2</v>
      </c>
      <c r="G749" s="4">
        <v>2</v>
      </c>
      <c r="H749" s="13"/>
      <c r="I749" s="15"/>
      <c r="J749" s="19">
        <v>2</v>
      </c>
      <c r="K749" s="2" t="s">
        <v>1509</v>
      </c>
      <c r="L749" s="11" t="str">
        <f t="shared" si="12"/>
        <v>Ver Imagen</v>
      </c>
      <c r="M749" t="s">
        <v>15</v>
      </c>
    </row>
    <row r="750" spans="1:13" x14ac:dyDescent="0.25">
      <c r="A750">
        <v>749</v>
      </c>
      <c r="B750" t="s">
        <v>1510</v>
      </c>
      <c r="C750" s="1">
        <v>37.205825917299997</v>
      </c>
      <c r="D750" s="1">
        <v>-7.0192525665199996</v>
      </c>
      <c r="E750" s="3">
        <v>2</v>
      </c>
      <c r="F750" s="2">
        <v>2</v>
      </c>
      <c r="G750" s="4">
        <v>2</v>
      </c>
      <c r="H750" s="13"/>
      <c r="I750" s="15"/>
      <c r="J750" s="19">
        <v>2</v>
      </c>
      <c r="K750" s="2" t="s">
        <v>1511</v>
      </c>
      <c r="L750" s="11" t="str">
        <f t="shared" si="12"/>
        <v>Ver Imagen</v>
      </c>
      <c r="M750" t="s">
        <v>15</v>
      </c>
    </row>
    <row r="751" spans="1:13" x14ac:dyDescent="0.25">
      <c r="A751">
        <v>750</v>
      </c>
      <c r="B751" t="s">
        <v>1512</v>
      </c>
      <c r="C751" s="1">
        <v>37.205567137800003</v>
      </c>
      <c r="D751" s="1">
        <v>-7.0185110586999997</v>
      </c>
      <c r="E751" s="3">
        <v>2</v>
      </c>
      <c r="F751" s="2">
        <v>2</v>
      </c>
      <c r="G751" s="4">
        <v>2</v>
      </c>
      <c r="H751" s="13"/>
      <c r="I751" s="15"/>
      <c r="J751" s="19">
        <v>2</v>
      </c>
      <c r="K751" s="2" t="s">
        <v>1513</v>
      </c>
      <c r="L751" s="11" t="str">
        <f t="shared" si="12"/>
        <v>Ver Imagen</v>
      </c>
      <c r="M751" t="s">
        <v>15</v>
      </c>
    </row>
    <row r="752" spans="1:13" x14ac:dyDescent="0.25">
      <c r="A752">
        <v>751</v>
      </c>
      <c r="B752" t="s">
        <v>1514</v>
      </c>
      <c r="C752" s="1">
        <v>37.205483017200002</v>
      </c>
      <c r="D752" s="1">
        <v>-7.0182418072299999</v>
      </c>
      <c r="E752" s="3">
        <v>2</v>
      </c>
      <c r="F752" s="2">
        <v>2</v>
      </c>
      <c r="G752" s="4">
        <v>2</v>
      </c>
      <c r="H752" s="13"/>
      <c r="I752" s="15"/>
      <c r="J752" s="19">
        <v>2</v>
      </c>
      <c r="K752" s="2" t="s">
        <v>1515</v>
      </c>
      <c r="L752" s="11" t="str">
        <f t="shared" si="12"/>
        <v>Ver Imagen</v>
      </c>
      <c r="M752" t="s">
        <v>15</v>
      </c>
    </row>
    <row r="753" spans="1:13" x14ac:dyDescent="0.25">
      <c r="A753">
        <v>752</v>
      </c>
      <c r="B753" t="s">
        <v>1516</v>
      </c>
      <c r="C753" s="1">
        <v>37.201816340500002</v>
      </c>
      <c r="D753" s="1">
        <v>-6.9953353541299998</v>
      </c>
      <c r="E753" s="3">
        <v>2</v>
      </c>
      <c r="F753" s="2">
        <v>2</v>
      </c>
      <c r="G753" s="4">
        <v>2</v>
      </c>
      <c r="H753" s="13"/>
      <c r="I753" s="15"/>
      <c r="J753" s="19">
        <v>2</v>
      </c>
      <c r="K753" s="2" t="s">
        <v>1517</v>
      </c>
      <c r="L753" s="11" t="str">
        <f t="shared" si="12"/>
        <v>Ver Imagen</v>
      </c>
      <c r="M753" t="s">
        <v>15</v>
      </c>
    </row>
    <row r="754" spans="1:13" x14ac:dyDescent="0.25">
      <c r="A754">
        <v>753</v>
      </c>
      <c r="B754" t="s">
        <v>1518</v>
      </c>
      <c r="C754" s="1">
        <v>37.2017781021</v>
      </c>
      <c r="D754" s="1">
        <v>-6.99510254535</v>
      </c>
      <c r="E754" s="3">
        <v>2</v>
      </c>
      <c r="F754" s="2">
        <v>2</v>
      </c>
      <c r="G754" s="4">
        <v>2</v>
      </c>
      <c r="H754" s="13"/>
      <c r="I754" s="15"/>
      <c r="J754" s="19">
        <v>2</v>
      </c>
      <c r="K754" s="2" t="s">
        <v>1519</v>
      </c>
      <c r="L754" s="11" t="str">
        <f t="shared" si="12"/>
        <v>Ver Imagen</v>
      </c>
      <c r="M754" t="s">
        <v>15</v>
      </c>
    </row>
    <row r="755" spans="1:13" x14ac:dyDescent="0.25">
      <c r="A755">
        <v>754</v>
      </c>
      <c r="B755" t="s">
        <v>1520</v>
      </c>
      <c r="C755" s="1">
        <v>37.201735275799997</v>
      </c>
      <c r="D755" s="1">
        <v>-6.9948488264000002</v>
      </c>
      <c r="E755" s="3">
        <v>2</v>
      </c>
      <c r="F755" s="2">
        <v>2</v>
      </c>
      <c r="G755" s="4">
        <v>2</v>
      </c>
      <c r="H755" s="13"/>
      <c r="I755" s="15"/>
      <c r="J755" s="19">
        <v>2</v>
      </c>
      <c r="K755" s="2" t="s">
        <v>1521</v>
      </c>
      <c r="L755" s="11" t="str">
        <f t="shared" si="12"/>
        <v>Ver Imagen</v>
      </c>
      <c r="M755" t="s">
        <v>15</v>
      </c>
    </row>
    <row r="756" spans="1:13" x14ac:dyDescent="0.25">
      <c r="A756">
        <v>755</v>
      </c>
      <c r="B756" t="s">
        <v>1522</v>
      </c>
      <c r="C756" s="1">
        <v>37.201692795600003</v>
      </c>
      <c r="D756" s="1">
        <v>-6.9946042007400004</v>
      </c>
      <c r="E756" s="3">
        <v>2</v>
      </c>
      <c r="F756" s="2">
        <v>2</v>
      </c>
      <c r="G756" s="4">
        <v>2</v>
      </c>
      <c r="H756" s="13"/>
      <c r="I756" s="15"/>
      <c r="J756" s="19">
        <v>2</v>
      </c>
      <c r="K756" s="2" t="s">
        <v>1523</v>
      </c>
      <c r="L756" s="11" t="str">
        <f t="shared" si="12"/>
        <v>Ver Imagen</v>
      </c>
      <c r="M756" t="s">
        <v>15</v>
      </c>
    </row>
    <row r="757" spans="1:13" x14ac:dyDescent="0.25">
      <c r="A757">
        <v>756</v>
      </c>
      <c r="B757" t="s">
        <v>1524</v>
      </c>
      <c r="C757" s="1">
        <v>37.201650326200003</v>
      </c>
      <c r="D757" s="1">
        <v>-6.9943657744900003</v>
      </c>
      <c r="E757" s="3">
        <v>2</v>
      </c>
      <c r="F757" s="2">
        <v>2</v>
      </c>
      <c r="G757" s="4">
        <v>2</v>
      </c>
      <c r="H757" s="13"/>
      <c r="I757" s="15"/>
      <c r="J757" s="19">
        <v>2</v>
      </c>
      <c r="K757" s="2" t="s">
        <v>1525</v>
      </c>
      <c r="L757" s="11" t="str">
        <f t="shared" si="12"/>
        <v>Ver Imagen</v>
      </c>
      <c r="M757" t="s">
        <v>15</v>
      </c>
    </row>
    <row r="758" spans="1:13" x14ac:dyDescent="0.25">
      <c r="A758">
        <v>757</v>
      </c>
      <c r="B758" t="s">
        <v>1526</v>
      </c>
      <c r="C758" s="1">
        <v>37.201604042200003</v>
      </c>
      <c r="D758" s="1">
        <v>-6.9941025396200001</v>
      </c>
      <c r="E758" s="3">
        <v>2</v>
      </c>
      <c r="F758" s="2">
        <v>2</v>
      </c>
      <c r="G758" s="4">
        <v>2</v>
      </c>
      <c r="H758" s="13"/>
      <c r="I758" s="15"/>
      <c r="J758" s="19">
        <v>2</v>
      </c>
      <c r="K758" s="2" t="s">
        <v>1527</v>
      </c>
      <c r="L758" s="11" t="str">
        <f t="shared" si="12"/>
        <v>Ver Imagen</v>
      </c>
      <c r="M758" t="s">
        <v>15</v>
      </c>
    </row>
    <row r="759" spans="1:13" x14ac:dyDescent="0.25">
      <c r="A759">
        <v>758</v>
      </c>
      <c r="B759" t="s">
        <v>1528</v>
      </c>
      <c r="C759" s="1">
        <v>37.201561800900002</v>
      </c>
      <c r="D759" s="1">
        <v>-6.9938573975900002</v>
      </c>
      <c r="E759" s="3">
        <v>2</v>
      </c>
      <c r="F759" s="2">
        <v>2</v>
      </c>
      <c r="G759" s="4">
        <v>2</v>
      </c>
      <c r="H759" s="13"/>
      <c r="I759" s="15"/>
      <c r="J759" s="19">
        <v>2</v>
      </c>
      <c r="K759" s="2" t="s">
        <v>1529</v>
      </c>
      <c r="L759" s="11" t="str">
        <f t="shared" si="12"/>
        <v>Ver Imagen</v>
      </c>
      <c r="M759" t="s">
        <v>15</v>
      </c>
    </row>
    <row r="760" spans="1:13" x14ac:dyDescent="0.25">
      <c r="A760">
        <v>759</v>
      </c>
      <c r="B760" t="s">
        <v>1530</v>
      </c>
      <c r="C760" s="1">
        <v>37.201523152699998</v>
      </c>
      <c r="D760" s="1">
        <v>-6.9936359508099999</v>
      </c>
      <c r="E760" s="3">
        <v>2</v>
      </c>
      <c r="F760" s="2">
        <v>2</v>
      </c>
      <c r="G760" s="4">
        <v>2</v>
      </c>
      <c r="H760" s="13"/>
      <c r="I760" s="15"/>
      <c r="J760" s="19">
        <v>2</v>
      </c>
      <c r="K760" s="2" t="s">
        <v>1531</v>
      </c>
      <c r="L760" s="11" t="str">
        <f t="shared" si="12"/>
        <v>Ver Imagen</v>
      </c>
      <c r="M760" t="s">
        <v>15</v>
      </c>
    </row>
    <row r="761" spans="1:13" x14ac:dyDescent="0.25">
      <c r="A761">
        <v>760</v>
      </c>
      <c r="B761" t="s">
        <v>1532</v>
      </c>
      <c r="C761" s="1">
        <v>37.201470475800001</v>
      </c>
      <c r="D761" s="1">
        <v>-6.9933419881100001</v>
      </c>
      <c r="E761" s="3">
        <v>2</v>
      </c>
      <c r="F761" s="2">
        <v>2</v>
      </c>
      <c r="G761" s="4">
        <v>2</v>
      </c>
      <c r="H761" s="13"/>
      <c r="I761" s="15"/>
      <c r="J761" s="19">
        <v>2</v>
      </c>
      <c r="K761" s="2" t="s">
        <v>1533</v>
      </c>
      <c r="L761" s="11" t="str">
        <f t="shared" si="12"/>
        <v>Ver Imagen</v>
      </c>
      <c r="M761" t="s">
        <v>15</v>
      </c>
    </row>
    <row r="762" spans="1:13" x14ac:dyDescent="0.25">
      <c r="A762">
        <v>761</v>
      </c>
      <c r="B762" t="s">
        <v>1534</v>
      </c>
      <c r="C762" s="1">
        <v>37.201296215799999</v>
      </c>
      <c r="D762" s="1">
        <v>-6.9924210699599998</v>
      </c>
      <c r="E762" s="3">
        <v>2</v>
      </c>
      <c r="F762" s="2">
        <v>2</v>
      </c>
      <c r="G762" s="4">
        <v>2</v>
      </c>
      <c r="H762" s="13"/>
      <c r="I762" s="15"/>
      <c r="J762" s="19">
        <v>2</v>
      </c>
      <c r="K762" s="2" t="s">
        <v>1535</v>
      </c>
      <c r="L762" s="11" t="str">
        <f t="shared" si="12"/>
        <v>Ver Imagen</v>
      </c>
      <c r="M762" t="s">
        <v>15</v>
      </c>
    </row>
    <row r="763" spans="1:13" x14ac:dyDescent="0.25">
      <c r="A763">
        <v>762</v>
      </c>
      <c r="B763" t="s">
        <v>1536</v>
      </c>
      <c r="C763" s="1">
        <v>37.201187695900003</v>
      </c>
      <c r="D763" s="1">
        <v>-6.9918607141700004</v>
      </c>
      <c r="E763" s="3">
        <v>2</v>
      </c>
      <c r="F763" s="2">
        <v>2</v>
      </c>
      <c r="G763" s="4">
        <v>2</v>
      </c>
      <c r="H763" s="13"/>
      <c r="I763" s="15"/>
      <c r="J763" s="19">
        <v>2</v>
      </c>
      <c r="K763" s="2" t="s">
        <v>1537</v>
      </c>
      <c r="L763" s="11" t="str">
        <f t="shared" si="12"/>
        <v>Ver Imagen</v>
      </c>
      <c r="M763" t="s">
        <v>15</v>
      </c>
    </row>
    <row r="764" spans="1:13" x14ac:dyDescent="0.25">
      <c r="A764">
        <v>763</v>
      </c>
      <c r="B764" t="s">
        <v>1538</v>
      </c>
      <c r="C764" s="1">
        <v>37.201144558499998</v>
      </c>
      <c r="D764" s="1">
        <v>-6.99163972818</v>
      </c>
      <c r="E764" s="3">
        <v>2</v>
      </c>
      <c r="F764" s="2">
        <v>2</v>
      </c>
      <c r="G764" s="4">
        <v>2</v>
      </c>
      <c r="H764" s="13"/>
      <c r="I764" s="15"/>
      <c r="J764" s="19">
        <v>2</v>
      </c>
      <c r="K764" s="2" t="s">
        <v>1539</v>
      </c>
      <c r="L764" s="11" t="str">
        <f t="shared" si="12"/>
        <v>Ver Imagen</v>
      </c>
      <c r="M764" t="s">
        <v>15</v>
      </c>
    </row>
    <row r="765" spans="1:13" x14ac:dyDescent="0.25">
      <c r="A765">
        <v>764</v>
      </c>
      <c r="B765" t="s">
        <v>1540</v>
      </c>
      <c r="C765" s="1">
        <v>37.2010877405</v>
      </c>
      <c r="D765" s="1">
        <v>-6.9913485514099998</v>
      </c>
      <c r="E765" s="3">
        <v>2</v>
      </c>
      <c r="F765" s="2">
        <v>2</v>
      </c>
      <c r="G765" s="4">
        <v>2</v>
      </c>
      <c r="H765" s="13"/>
      <c r="I765" s="15"/>
      <c r="J765" s="19">
        <v>2</v>
      </c>
      <c r="K765" s="2" t="s">
        <v>1541</v>
      </c>
      <c r="L765" s="11" t="str">
        <f t="shared" si="12"/>
        <v>Ver Imagen</v>
      </c>
      <c r="M765" t="s">
        <v>15</v>
      </c>
    </row>
    <row r="766" spans="1:13" x14ac:dyDescent="0.25">
      <c r="A766">
        <v>765</v>
      </c>
      <c r="B766" t="s">
        <v>1542</v>
      </c>
      <c r="C766" s="1">
        <v>37.2010532149</v>
      </c>
      <c r="D766" s="1">
        <v>-6.9911712777000004</v>
      </c>
      <c r="E766" s="3">
        <v>2</v>
      </c>
      <c r="F766" s="2">
        <v>2</v>
      </c>
      <c r="G766" s="4">
        <v>2</v>
      </c>
      <c r="H766" s="13"/>
      <c r="I766" s="15"/>
      <c r="J766" s="19">
        <v>2</v>
      </c>
      <c r="K766" s="2" t="s">
        <v>1543</v>
      </c>
      <c r="L766" s="11" t="str">
        <f t="shared" si="12"/>
        <v>Ver Imagen</v>
      </c>
      <c r="M766" t="s">
        <v>15</v>
      </c>
    </row>
    <row r="767" spans="1:13" x14ac:dyDescent="0.25">
      <c r="A767">
        <v>766</v>
      </c>
      <c r="B767" t="s">
        <v>1544</v>
      </c>
      <c r="C767" s="1">
        <v>37.201000920799999</v>
      </c>
      <c r="D767" s="1">
        <v>-6.9909068360499997</v>
      </c>
      <c r="E767" s="3">
        <v>2</v>
      </c>
      <c r="F767" s="2">
        <v>2</v>
      </c>
      <c r="G767" s="4">
        <v>2</v>
      </c>
      <c r="H767" s="13"/>
      <c r="I767" s="15"/>
      <c r="J767" s="19">
        <v>2</v>
      </c>
      <c r="K767" s="2" t="s">
        <v>1545</v>
      </c>
      <c r="L767" s="11" t="str">
        <f t="shared" si="12"/>
        <v>Ver Imagen</v>
      </c>
      <c r="M767" t="s">
        <v>15</v>
      </c>
    </row>
    <row r="768" spans="1:13" x14ac:dyDescent="0.25">
      <c r="A768">
        <v>767</v>
      </c>
      <c r="B768" t="s">
        <v>1546</v>
      </c>
      <c r="C768" s="1">
        <v>37.200894263999999</v>
      </c>
      <c r="D768" s="1">
        <v>-6.99039195777</v>
      </c>
      <c r="E768" s="3">
        <v>2</v>
      </c>
      <c r="F768" s="2">
        <v>2</v>
      </c>
      <c r="G768" s="4">
        <v>2</v>
      </c>
      <c r="H768" s="13"/>
      <c r="I768" s="15"/>
      <c r="J768" s="19">
        <v>2</v>
      </c>
      <c r="K768" s="2" t="s">
        <v>1547</v>
      </c>
      <c r="L768" s="11" t="str">
        <f t="shared" si="12"/>
        <v>Ver Imagen</v>
      </c>
      <c r="M768" t="s">
        <v>15</v>
      </c>
    </row>
    <row r="769" spans="1:13" x14ac:dyDescent="0.25">
      <c r="A769">
        <v>768</v>
      </c>
      <c r="B769" t="s">
        <v>1548</v>
      </c>
      <c r="C769" s="1">
        <v>37.200683253599998</v>
      </c>
      <c r="D769" s="1">
        <v>-6.9894237881099999</v>
      </c>
      <c r="E769" s="3">
        <v>2</v>
      </c>
      <c r="F769" s="2">
        <v>2</v>
      </c>
      <c r="G769" s="4">
        <v>2</v>
      </c>
      <c r="H769" s="13"/>
      <c r="I769" s="15"/>
      <c r="J769" s="19">
        <v>2</v>
      </c>
      <c r="K769" s="2" t="s">
        <v>1549</v>
      </c>
      <c r="L769" s="11" t="str">
        <f t="shared" si="12"/>
        <v>Ver Imagen</v>
      </c>
      <c r="M769" t="s">
        <v>15</v>
      </c>
    </row>
    <row r="770" spans="1:13" x14ac:dyDescent="0.25">
      <c r="A770">
        <v>769</v>
      </c>
      <c r="B770" t="s">
        <v>1550</v>
      </c>
      <c r="C770" s="1">
        <v>37.200580149700002</v>
      </c>
      <c r="D770" s="1">
        <v>-6.9889540660999998</v>
      </c>
      <c r="E770" s="3">
        <v>2</v>
      </c>
      <c r="F770" s="2">
        <v>2</v>
      </c>
      <c r="G770" s="4">
        <v>2</v>
      </c>
      <c r="H770" s="13"/>
      <c r="I770" s="15"/>
      <c r="J770" s="19">
        <v>2</v>
      </c>
      <c r="K770" s="2" t="s">
        <v>1551</v>
      </c>
      <c r="L770" s="11" t="str">
        <f t="shared" si="12"/>
        <v>Ver Imagen</v>
      </c>
      <c r="M770" t="s">
        <v>15</v>
      </c>
    </row>
    <row r="771" spans="1:13" x14ac:dyDescent="0.25">
      <c r="A771">
        <v>770</v>
      </c>
      <c r="B771" t="s">
        <v>1552</v>
      </c>
      <c r="C771" s="1">
        <v>37.2005313636</v>
      </c>
      <c r="D771" s="1">
        <v>-6.9887347383699998</v>
      </c>
      <c r="E771" s="3">
        <v>2</v>
      </c>
      <c r="F771" s="2">
        <v>2</v>
      </c>
      <c r="G771" s="4">
        <v>2</v>
      </c>
      <c r="H771" s="13"/>
      <c r="I771" s="15"/>
      <c r="J771" s="19">
        <v>2</v>
      </c>
      <c r="K771" s="2" t="s">
        <v>1553</v>
      </c>
      <c r="L771" s="11" t="str">
        <f t="shared" si="12"/>
        <v>Ver Imagen</v>
      </c>
      <c r="M771" t="s">
        <v>15</v>
      </c>
    </row>
    <row r="772" spans="1:13" x14ac:dyDescent="0.25">
      <c r="A772">
        <v>771</v>
      </c>
      <c r="B772" t="s">
        <v>1554</v>
      </c>
      <c r="C772" s="1">
        <v>37.200461608700003</v>
      </c>
      <c r="D772" s="1">
        <v>-6.9884249093399999</v>
      </c>
      <c r="E772" s="3">
        <v>2</v>
      </c>
      <c r="F772" s="2">
        <v>2</v>
      </c>
      <c r="G772" s="4">
        <v>2</v>
      </c>
      <c r="H772" s="13"/>
      <c r="I772" s="15"/>
      <c r="J772" s="19">
        <v>2</v>
      </c>
      <c r="K772" s="2" t="s">
        <v>1555</v>
      </c>
      <c r="L772" s="11" t="str">
        <f t="shared" si="12"/>
        <v>Ver Imagen</v>
      </c>
      <c r="M772" t="s">
        <v>15</v>
      </c>
    </row>
    <row r="773" spans="1:13" x14ac:dyDescent="0.25">
      <c r="A773">
        <v>772</v>
      </c>
      <c r="B773" t="s">
        <v>1556</v>
      </c>
      <c r="C773" s="1">
        <v>37.200416101000002</v>
      </c>
      <c r="D773" s="1">
        <v>-6.9882246908100001</v>
      </c>
      <c r="E773" s="3">
        <v>2</v>
      </c>
      <c r="F773" s="2">
        <v>2</v>
      </c>
      <c r="G773" s="4">
        <v>2</v>
      </c>
      <c r="H773" s="13"/>
      <c r="I773" s="15"/>
      <c r="J773" s="19">
        <v>2</v>
      </c>
      <c r="K773" s="2" t="s">
        <v>1557</v>
      </c>
      <c r="L773" s="11" t="str">
        <f t="shared" si="12"/>
        <v>Ver Imagen</v>
      </c>
      <c r="M773" t="s">
        <v>15</v>
      </c>
    </row>
    <row r="774" spans="1:13" x14ac:dyDescent="0.25">
      <c r="A774">
        <v>773</v>
      </c>
      <c r="B774" t="s">
        <v>1558</v>
      </c>
      <c r="C774" s="1">
        <v>37.200362487699998</v>
      </c>
      <c r="D774" s="1">
        <v>-6.9879904747300001</v>
      </c>
      <c r="E774" s="3">
        <v>2</v>
      </c>
      <c r="F774" s="2">
        <v>2</v>
      </c>
      <c r="G774" s="4">
        <v>2</v>
      </c>
      <c r="H774" s="13"/>
      <c r="I774" s="15"/>
      <c r="J774" s="19">
        <v>2</v>
      </c>
      <c r="K774" s="2" t="s">
        <v>1559</v>
      </c>
      <c r="L774" s="11" t="str">
        <f t="shared" si="12"/>
        <v>Ver Imagen</v>
      </c>
      <c r="M774" t="s">
        <v>15</v>
      </c>
    </row>
    <row r="775" spans="1:13" x14ac:dyDescent="0.25">
      <c r="A775">
        <v>774</v>
      </c>
      <c r="B775" t="s">
        <v>1560</v>
      </c>
      <c r="C775" s="1">
        <v>37.200136857899999</v>
      </c>
      <c r="D775" s="1">
        <v>-6.9870201268500001</v>
      </c>
      <c r="E775" s="3">
        <v>2</v>
      </c>
      <c r="F775" s="2">
        <v>2</v>
      </c>
      <c r="G775" s="4">
        <v>2</v>
      </c>
      <c r="H775" s="13"/>
      <c r="I775" s="15"/>
      <c r="J775" s="19">
        <v>2</v>
      </c>
      <c r="K775" s="2" t="s">
        <v>1561</v>
      </c>
      <c r="L775" s="11" t="str">
        <f t="shared" si="12"/>
        <v>Ver Imagen</v>
      </c>
      <c r="M775" t="s">
        <v>15</v>
      </c>
    </row>
    <row r="776" spans="1:13" x14ac:dyDescent="0.25">
      <c r="A776">
        <v>775</v>
      </c>
      <c r="B776" t="s">
        <v>1562</v>
      </c>
      <c r="C776" s="1">
        <v>37.221798697200001</v>
      </c>
      <c r="D776" s="1">
        <v>-7.0229465714300003</v>
      </c>
      <c r="E776" s="3">
        <v>2</v>
      </c>
      <c r="F776" s="2">
        <v>2</v>
      </c>
      <c r="G776" s="4">
        <v>2</v>
      </c>
      <c r="H776" s="13"/>
      <c r="I776" s="15"/>
      <c r="J776" s="19">
        <v>2</v>
      </c>
      <c r="K776" s="2" t="s">
        <v>1563</v>
      </c>
      <c r="L776" s="11" t="str">
        <f t="shared" si="12"/>
        <v>Ver Imagen</v>
      </c>
      <c r="M776" t="s">
        <v>15</v>
      </c>
    </row>
    <row r="777" spans="1:13" x14ac:dyDescent="0.25">
      <c r="A777">
        <v>776</v>
      </c>
      <c r="B777" t="s">
        <v>1564</v>
      </c>
      <c r="C777" s="1">
        <v>37.2219852383</v>
      </c>
      <c r="D777" s="1">
        <v>-7.0229648500900002</v>
      </c>
      <c r="E777" s="3">
        <v>2</v>
      </c>
      <c r="F777" s="2">
        <v>2</v>
      </c>
      <c r="G777" s="4">
        <v>2</v>
      </c>
      <c r="H777" s="13"/>
      <c r="I777" s="15"/>
      <c r="J777" s="19">
        <v>2</v>
      </c>
      <c r="K777" s="2" t="s">
        <v>1565</v>
      </c>
      <c r="L777" s="11" t="str">
        <f t="shared" ref="L777:L834" si="13">HYPERLINK("2\0\" &amp; K777, "Ver Imagen")</f>
        <v>Ver Imagen</v>
      </c>
      <c r="M777" t="s">
        <v>15</v>
      </c>
    </row>
    <row r="778" spans="1:13" x14ac:dyDescent="0.25">
      <c r="A778">
        <v>777</v>
      </c>
      <c r="B778" t="s">
        <v>1566</v>
      </c>
      <c r="C778" s="1">
        <v>37.222183700000002</v>
      </c>
      <c r="D778" s="1">
        <v>-7.0229841649600004</v>
      </c>
      <c r="E778" s="3">
        <v>2</v>
      </c>
      <c r="F778" s="2">
        <v>2</v>
      </c>
      <c r="G778" s="4">
        <v>2</v>
      </c>
      <c r="H778" s="13"/>
      <c r="I778" s="15"/>
      <c r="J778" s="19">
        <v>2</v>
      </c>
      <c r="K778" s="2" t="s">
        <v>1567</v>
      </c>
      <c r="L778" s="11" t="str">
        <f t="shared" si="13"/>
        <v>Ver Imagen</v>
      </c>
      <c r="M778" t="s">
        <v>15</v>
      </c>
    </row>
    <row r="779" spans="1:13" x14ac:dyDescent="0.25">
      <c r="A779">
        <v>778</v>
      </c>
      <c r="B779" t="s">
        <v>1568</v>
      </c>
      <c r="C779" s="1">
        <v>37.222413861699998</v>
      </c>
      <c r="D779" s="1">
        <v>-7.023006187</v>
      </c>
      <c r="E779" s="3">
        <v>2</v>
      </c>
      <c r="F779" s="2">
        <v>2</v>
      </c>
      <c r="G779" s="4">
        <v>2</v>
      </c>
      <c r="H779" s="13"/>
      <c r="I779" s="15"/>
      <c r="J779" s="19">
        <v>2</v>
      </c>
      <c r="K779" s="2" t="s">
        <v>1569</v>
      </c>
      <c r="L779" s="11" t="str">
        <f t="shared" si="13"/>
        <v>Ver Imagen</v>
      </c>
      <c r="M779" t="s">
        <v>15</v>
      </c>
    </row>
    <row r="780" spans="1:13" x14ac:dyDescent="0.25">
      <c r="A780">
        <v>779</v>
      </c>
      <c r="B780" t="s">
        <v>1570</v>
      </c>
      <c r="C780" s="1">
        <v>37.222828043500002</v>
      </c>
      <c r="D780" s="1">
        <v>-7.0230454071999997</v>
      </c>
      <c r="E780" s="3">
        <v>2</v>
      </c>
      <c r="F780" s="2">
        <v>2</v>
      </c>
      <c r="G780" s="4">
        <v>2</v>
      </c>
      <c r="H780" s="13"/>
      <c r="I780" s="15"/>
      <c r="J780" s="19">
        <v>2</v>
      </c>
      <c r="K780" s="2" t="s">
        <v>1571</v>
      </c>
      <c r="L780" s="11" t="str">
        <f t="shared" si="13"/>
        <v>Ver Imagen</v>
      </c>
      <c r="M780" t="s">
        <v>15</v>
      </c>
    </row>
    <row r="781" spans="1:13" x14ac:dyDescent="0.25">
      <c r="A781">
        <v>780</v>
      </c>
      <c r="B781" t="s">
        <v>1572</v>
      </c>
      <c r="C781" s="1">
        <v>37.223212883800002</v>
      </c>
      <c r="D781" s="1">
        <v>-7.02308107047</v>
      </c>
      <c r="E781" s="3">
        <v>2</v>
      </c>
      <c r="F781" s="2">
        <v>2</v>
      </c>
      <c r="G781" s="4">
        <v>2</v>
      </c>
      <c r="H781" s="13"/>
      <c r="I781" s="15"/>
      <c r="J781" s="19">
        <v>2</v>
      </c>
      <c r="K781" s="2" t="s">
        <v>1573</v>
      </c>
      <c r="L781" s="11" t="str">
        <f t="shared" si="13"/>
        <v>Ver Imagen</v>
      </c>
      <c r="M781" t="s">
        <v>15</v>
      </c>
    </row>
    <row r="782" spans="1:13" x14ac:dyDescent="0.25">
      <c r="A782">
        <v>781</v>
      </c>
      <c r="B782" t="s">
        <v>1574</v>
      </c>
      <c r="C782" s="1">
        <v>37.223405605799996</v>
      </c>
      <c r="D782" s="1">
        <v>-7.0230996033700004</v>
      </c>
      <c r="E782" s="3">
        <v>2</v>
      </c>
      <c r="F782" s="2">
        <v>2</v>
      </c>
      <c r="G782" s="4">
        <v>2</v>
      </c>
      <c r="H782" s="13"/>
      <c r="I782" s="15"/>
      <c r="J782" s="19">
        <v>2</v>
      </c>
      <c r="K782" s="2" t="s">
        <v>1575</v>
      </c>
      <c r="L782" s="11" t="str">
        <f t="shared" si="13"/>
        <v>Ver Imagen</v>
      </c>
      <c r="M782" t="s">
        <v>15</v>
      </c>
    </row>
    <row r="783" spans="1:13" x14ac:dyDescent="0.25">
      <c r="A783">
        <v>782</v>
      </c>
      <c r="B783" t="s">
        <v>1576</v>
      </c>
      <c r="C783" s="1">
        <v>37.223605558899997</v>
      </c>
      <c r="D783" s="1">
        <v>-7.0231195618199997</v>
      </c>
      <c r="E783" s="3">
        <v>2</v>
      </c>
      <c r="F783" s="2">
        <v>2</v>
      </c>
      <c r="G783" s="4">
        <v>2</v>
      </c>
      <c r="H783" s="13"/>
      <c r="I783" s="15"/>
      <c r="J783" s="19">
        <v>2</v>
      </c>
      <c r="K783" s="2" t="s">
        <v>1577</v>
      </c>
      <c r="L783" s="11" t="str">
        <f t="shared" si="13"/>
        <v>Ver Imagen</v>
      </c>
      <c r="M783" t="s">
        <v>15</v>
      </c>
    </row>
    <row r="784" spans="1:13" x14ac:dyDescent="0.25">
      <c r="A784">
        <v>783</v>
      </c>
      <c r="B784" t="s">
        <v>1578</v>
      </c>
      <c r="C784" s="1">
        <v>37.224016889700003</v>
      </c>
      <c r="D784" s="1">
        <v>-7.0231605128399996</v>
      </c>
      <c r="E784" s="3">
        <v>2</v>
      </c>
      <c r="F784" s="2">
        <v>2</v>
      </c>
      <c r="G784" s="4">
        <v>2</v>
      </c>
      <c r="H784" s="13"/>
      <c r="I784" s="15"/>
      <c r="J784" s="19">
        <v>2</v>
      </c>
      <c r="K784" s="2" t="s">
        <v>1579</v>
      </c>
      <c r="L784" s="11" t="str">
        <f t="shared" si="13"/>
        <v>Ver Imagen</v>
      </c>
      <c r="M784" t="s">
        <v>15</v>
      </c>
    </row>
    <row r="785" spans="1:13" x14ac:dyDescent="0.25">
      <c r="A785">
        <v>784</v>
      </c>
      <c r="B785" t="s">
        <v>1580</v>
      </c>
      <c r="C785" s="1">
        <v>37.224223822699997</v>
      </c>
      <c r="D785" s="1">
        <v>-7.0231799930000003</v>
      </c>
      <c r="E785" s="3">
        <v>2</v>
      </c>
      <c r="F785" s="2">
        <v>2</v>
      </c>
      <c r="G785" s="4">
        <v>2</v>
      </c>
      <c r="H785" s="13"/>
      <c r="I785" s="15"/>
      <c r="J785" s="19">
        <v>2</v>
      </c>
      <c r="K785" s="2" t="s">
        <v>1581</v>
      </c>
      <c r="L785" s="11" t="str">
        <f t="shared" si="13"/>
        <v>Ver Imagen</v>
      </c>
      <c r="M785" t="s">
        <v>15</v>
      </c>
    </row>
    <row r="786" spans="1:13" x14ac:dyDescent="0.25">
      <c r="A786">
        <v>785</v>
      </c>
      <c r="B786" t="s">
        <v>1582</v>
      </c>
      <c r="C786" s="1">
        <v>37.224859042299997</v>
      </c>
      <c r="D786" s="1">
        <v>-7.02320904799</v>
      </c>
      <c r="E786" s="3">
        <v>2</v>
      </c>
      <c r="F786" s="2">
        <v>2</v>
      </c>
      <c r="G786" s="4">
        <v>2</v>
      </c>
      <c r="H786" s="13"/>
      <c r="I786" s="15"/>
      <c r="J786" s="19">
        <v>2</v>
      </c>
      <c r="K786" s="2" t="s">
        <v>1583</v>
      </c>
      <c r="L786" s="11" t="str">
        <f t="shared" si="13"/>
        <v>Ver Imagen</v>
      </c>
      <c r="M786" t="s">
        <v>15</v>
      </c>
    </row>
    <row r="787" spans="1:13" x14ac:dyDescent="0.25">
      <c r="A787">
        <v>786</v>
      </c>
      <c r="B787" t="s">
        <v>1584</v>
      </c>
      <c r="C787" s="1">
        <v>37.2250485864</v>
      </c>
      <c r="D787" s="1">
        <v>-7.0232022160699996</v>
      </c>
      <c r="E787" s="3">
        <v>2</v>
      </c>
      <c r="F787" s="2">
        <v>2</v>
      </c>
      <c r="G787" s="4">
        <v>2</v>
      </c>
      <c r="H787" s="13"/>
      <c r="I787" s="15"/>
      <c r="J787" s="19">
        <v>2</v>
      </c>
      <c r="K787" s="2" t="s">
        <v>1585</v>
      </c>
      <c r="L787" s="11" t="str">
        <f t="shared" si="13"/>
        <v>Ver Imagen</v>
      </c>
      <c r="M787" t="s">
        <v>15</v>
      </c>
    </row>
    <row r="788" spans="1:13" x14ac:dyDescent="0.25">
      <c r="A788">
        <v>787</v>
      </c>
      <c r="B788" t="s">
        <v>1586</v>
      </c>
      <c r="C788" s="1">
        <v>37.225248295999997</v>
      </c>
      <c r="D788" s="1">
        <v>-7.0231843736700004</v>
      </c>
      <c r="E788" s="3">
        <v>2</v>
      </c>
      <c r="F788" s="2">
        <v>2</v>
      </c>
      <c r="G788" s="4">
        <v>2</v>
      </c>
      <c r="H788" s="13"/>
      <c r="I788" s="15"/>
      <c r="J788" s="19">
        <v>2</v>
      </c>
      <c r="K788" s="2" t="s">
        <v>1587</v>
      </c>
      <c r="L788" s="11" t="str">
        <f t="shared" si="13"/>
        <v>Ver Imagen</v>
      </c>
      <c r="M788" t="s">
        <v>15</v>
      </c>
    </row>
    <row r="789" spans="1:13" x14ac:dyDescent="0.25">
      <c r="A789">
        <v>788</v>
      </c>
      <c r="B789" t="s">
        <v>1588</v>
      </c>
      <c r="C789" s="1">
        <v>37.2256490527</v>
      </c>
      <c r="D789" s="1">
        <v>-7.0231156508500003</v>
      </c>
      <c r="E789" s="3">
        <v>2</v>
      </c>
      <c r="F789" s="2">
        <v>2</v>
      </c>
      <c r="G789" s="4">
        <v>2</v>
      </c>
      <c r="H789" s="13"/>
      <c r="I789" s="15"/>
      <c r="J789" s="19">
        <v>2</v>
      </c>
      <c r="K789" s="2" t="s">
        <v>1589</v>
      </c>
      <c r="L789" s="11" t="str">
        <f t="shared" si="13"/>
        <v>Ver Imagen</v>
      </c>
      <c r="M789" t="s">
        <v>15</v>
      </c>
    </row>
    <row r="790" spans="1:13" x14ac:dyDescent="0.25">
      <c r="A790">
        <v>789</v>
      </c>
      <c r="B790" t="s">
        <v>1590</v>
      </c>
      <c r="C790" s="1">
        <v>37.226011082299998</v>
      </c>
      <c r="D790" s="1">
        <v>-7.0230139757499996</v>
      </c>
      <c r="E790" s="3">
        <v>2</v>
      </c>
      <c r="F790" s="2">
        <v>2</v>
      </c>
      <c r="G790" s="4">
        <v>2</v>
      </c>
      <c r="H790" s="13"/>
      <c r="I790" s="15"/>
      <c r="J790" s="19">
        <v>2</v>
      </c>
      <c r="K790" s="2" t="s">
        <v>1591</v>
      </c>
      <c r="L790" s="11" t="str">
        <f t="shared" si="13"/>
        <v>Ver Imagen</v>
      </c>
      <c r="M790" t="s">
        <v>15</v>
      </c>
    </row>
    <row r="791" spans="1:13" x14ac:dyDescent="0.25">
      <c r="A791">
        <v>790</v>
      </c>
      <c r="B791" t="s">
        <v>1592</v>
      </c>
      <c r="C791" s="1">
        <v>37.226215163699997</v>
      </c>
      <c r="D791" s="1">
        <v>-7.02293831221</v>
      </c>
      <c r="E791" s="3">
        <v>2</v>
      </c>
      <c r="F791" s="2">
        <v>2</v>
      </c>
      <c r="G791" s="4">
        <v>2</v>
      </c>
      <c r="H791" s="13"/>
      <c r="I791" s="15"/>
      <c r="J791" s="19">
        <v>2</v>
      </c>
      <c r="K791" s="2" t="s">
        <v>1593</v>
      </c>
      <c r="L791" s="11" t="str">
        <f t="shared" si="13"/>
        <v>Ver Imagen</v>
      </c>
      <c r="M791" t="s">
        <v>15</v>
      </c>
    </row>
    <row r="792" spans="1:13" x14ac:dyDescent="0.25">
      <c r="A792">
        <v>791</v>
      </c>
      <c r="B792" t="s">
        <v>1594</v>
      </c>
      <c r="C792" s="1">
        <v>37.226599854900002</v>
      </c>
      <c r="D792" s="1">
        <v>-7.0227572599199997</v>
      </c>
      <c r="E792" s="3">
        <v>2</v>
      </c>
      <c r="F792" s="2">
        <v>2</v>
      </c>
      <c r="G792" s="4">
        <v>2</v>
      </c>
      <c r="H792" s="13"/>
      <c r="I792" s="15"/>
      <c r="J792" s="19">
        <v>2</v>
      </c>
      <c r="K792" s="2" t="s">
        <v>1595</v>
      </c>
      <c r="L792" s="11" t="str">
        <f t="shared" si="13"/>
        <v>Ver Imagen</v>
      </c>
      <c r="M792" t="s">
        <v>15</v>
      </c>
    </row>
    <row r="793" spans="1:13" x14ac:dyDescent="0.25">
      <c r="A793">
        <v>792</v>
      </c>
      <c r="B793" t="s">
        <v>1596</v>
      </c>
      <c r="C793" s="1">
        <v>37.226779596</v>
      </c>
      <c r="D793" s="1">
        <v>-7.0226544780499998</v>
      </c>
      <c r="E793" s="3">
        <v>2</v>
      </c>
      <c r="F793" s="2">
        <v>2</v>
      </c>
      <c r="G793" s="4">
        <v>2</v>
      </c>
      <c r="H793" s="13"/>
      <c r="I793" s="15"/>
      <c r="J793" s="19">
        <v>2</v>
      </c>
      <c r="K793" s="2" t="s">
        <v>1597</v>
      </c>
      <c r="L793" s="11" t="str">
        <f t="shared" si="13"/>
        <v>Ver Imagen</v>
      </c>
      <c r="M793" t="s">
        <v>15</v>
      </c>
    </row>
    <row r="794" spans="1:13" x14ac:dyDescent="0.25">
      <c r="A794">
        <v>793</v>
      </c>
      <c r="B794" t="s">
        <v>1598</v>
      </c>
      <c r="C794" s="1">
        <v>37.2269799607</v>
      </c>
      <c r="D794" s="1">
        <v>-7.0225260824199998</v>
      </c>
      <c r="E794" s="3">
        <v>2</v>
      </c>
      <c r="F794" s="2">
        <v>2</v>
      </c>
      <c r="G794" s="4">
        <v>2</v>
      </c>
      <c r="H794" s="13"/>
      <c r="I794" s="15"/>
      <c r="J794" s="19">
        <v>2</v>
      </c>
      <c r="K794" s="2" t="s">
        <v>1599</v>
      </c>
      <c r="L794" s="11" t="str">
        <f t="shared" si="13"/>
        <v>Ver Imagen</v>
      </c>
      <c r="M794" t="s">
        <v>15</v>
      </c>
    </row>
    <row r="795" spans="1:13" x14ac:dyDescent="0.25">
      <c r="A795">
        <v>794</v>
      </c>
      <c r="B795" t="s">
        <v>1600</v>
      </c>
      <c r="C795" s="1">
        <v>37.227495439800002</v>
      </c>
      <c r="D795" s="1">
        <v>-7.0221559919400001</v>
      </c>
      <c r="E795" s="3">
        <v>2</v>
      </c>
      <c r="F795" s="2">
        <v>2</v>
      </c>
      <c r="G795" s="4">
        <v>2</v>
      </c>
      <c r="H795" s="13"/>
      <c r="I795" s="15"/>
      <c r="J795" s="19">
        <v>2</v>
      </c>
      <c r="K795" s="2" t="s">
        <v>1601</v>
      </c>
      <c r="L795" s="11" t="str">
        <f t="shared" si="13"/>
        <v>Ver Imagen</v>
      </c>
      <c r="M795" t="s">
        <v>15</v>
      </c>
    </row>
    <row r="796" spans="1:13" x14ac:dyDescent="0.25">
      <c r="A796">
        <v>795</v>
      </c>
      <c r="B796" t="s">
        <v>1602</v>
      </c>
      <c r="C796" s="1">
        <v>37.233284675199997</v>
      </c>
      <c r="D796" s="1">
        <v>-7.0181051480000001</v>
      </c>
      <c r="E796" s="3">
        <v>2</v>
      </c>
      <c r="F796" s="2">
        <v>2</v>
      </c>
      <c r="G796" s="4">
        <v>2</v>
      </c>
      <c r="H796" s="13"/>
      <c r="I796" s="15"/>
      <c r="J796" s="19">
        <v>2</v>
      </c>
      <c r="K796" s="2" t="s">
        <v>1603</v>
      </c>
      <c r="L796" s="11" t="str">
        <f t="shared" si="13"/>
        <v>Ver Imagen</v>
      </c>
      <c r="M796" t="s">
        <v>15</v>
      </c>
    </row>
    <row r="797" spans="1:13" x14ac:dyDescent="0.25">
      <c r="A797">
        <v>796</v>
      </c>
      <c r="B797" t="s">
        <v>1604</v>
      </c>
      <c r="C797" s="1">
        <v>37.233483303600003</v>
      </c>
      <c r="D797" s="1">
        <v>-7.0180590016400002</v>
      </c>
      <c r="E797" s="3">
        <v>2</v>
      </c>
      <c r="F797" s="2">
        <v>2</v>
      </c>
      <c r="G797" s="4">
        <v>2</v>
      </c>
      <c r="H797" s="13"/>
      <c r="I797" s="15"/>
      <c r="J797" s="19">
        <v>2</v>
      </c>
      <c r="K797" s="2" t="s">
        <v>1605</v>
      </c>
      <c r="L797" s="11" t="str">
        <f t="shared" si="13"/>
        <v>Ver Imagen</v>
      </c>
      <c r="M797" t="s">
        <v>15</v>
      </c>
    </row>
    <row r="798" spans="1:13" x14ac:dyDescent="0.25">
      <c r="A798">
        <v>797</v>
      </c>
      <c r="B798" t="s">
        <v>1606</v>
      </c>
      <c r="C798" s="1">
        <v>37.233690187000001</v>
      </c>
      <c r="D798" s="1">
        <v>-7.0180244086199997</v>
      </c>
      <c r="E798" s="3">
        <v>2</v>
      </c>
      <c r="F798" s="2">
        <v>2</v>
      </c>
      <c r="G798" s="4">
        <v>2</v>
      </c>
      <c r="H798" s="13"/>
      <c r="I798" s="15"/>
      <c r="J798" s="19">
        <v>2</v>
      </c>
      <c r="K798" s="2" t="s">
        <v>1607</v>
      </c>
      <c r="L798" s="11" t="str">
        <f t="shared" si="13"/>
        <v>Ver Imagen</v>
      </c>
      <c r="M798" t="s">
        <v>15</v>
      </c>
    </row>
    <row r="799" spans="1:13" x14ac:dyDescent="0.25">
      <c r="A799">
        <v>798</v>
      </c>
      <c r="B799" t="s">
        <v>1608</v>
      </c>
      <c r="C799" s="1">
        <v>37.233895222199997</v>
      </c>
      <c r="D799" s="1">
        <v>-7.0180034615600002</v>
      </c>
      <c r="E799" s="3">
        <v>2</v>
      </c>
      <c r="F799" s="2">
        <v>2</v>
      </c>
      <c r="G799" s="4">
        <v>2</v>
      </c>
      <c r="H799" s="13"/>
      <c r="I799" s="15"/>
      <c r="J799" s="19">
        <v>2</v>
      </c>
      <c r="K799" s="2" t="s">
        <v>1609</v>
      </c>
      <c r="L799" s="11" t="str">
        <f t="shared" si="13"/>
        <v>Ver Imagen</v>
      </c>
      <c r="M799" t="s">
        <v>15</v>
      </c>
    </row>
    <row r="800" spans="1:13" x14ac:dyDescent="0.25">
      <c r="A800">
        <v>799</v>
      </c>
      <c r="B800" t="s">
        <v>1610</v>
      </c>
      <c r="C800" s="1">
        <v>37.234503056000001</v>
      </c>
      <c r="D800" s="1">
        <v>-7.0180180500200002</v>
      </c>
      <c r="E800" s="3">
        <v>2</v>
      </c>
      <c r="F800" s="2">
        <v>2</v>
      </c>
      <c r="G800" s="4">
        <v>2</v>
      </c>
      <c r="H800" s="13"/>
      <c r="I800" s="15"/>
      <c r="J800" s="19">
        <v>2</v>
      </c>
      <c r="K800" s="2" t="s">
        <v>1611</v>
      </c>
      <c r="L800" s="11" t="str">
        <f t="shared" si="13"/>
        <v>Ver Imagen</v>
      </c>
      <c r="M800" t="s">
        <v>15</v>
      </c>
    </row>
    <row r="801" spans="1:13" x14ac:dyDescent="0.25">
      <c r="A801">
        <v>800</v>
      </c>
      <c r="B801" t="s">
        <v>1612</v>
      </c>
      <c r="C801" s="1">
        <v>37.234687568600002</v>
      </c>
      <c r="D801" s="1">
        <v>-7.0180449732800003</v>
      </c>
      <c r="E801" s="3">
        <v>2</v>
      </c>
      <c r="F801" s="2">
        <v>2</v>
      </c>
      <c r="G801" s="4">
        <v>2</v>
      </c>
      <c r="H801" s="13"/>
      <c r="I801" s="15"/>
      <c r="J801" s="19">
        <v>2</v>
      </c>
      <c r="K801" s="2" t="s">
        <v>1613</v>
      </c>
      <c r="L801" s="11" t="str">
        <f t="shared" si="13"/>
        <v>Ver Imagen</v>
      </c>
      <c r="M801" t="s">
        <v>15</v>
      </c>
    </row>
    <row r="802" spans="1:13" x14ac:dyDescent="0.25">
      <c r="A802">
        <v>801</v>
      </c>
      <c r="B802" t="s">
        <v>1614</v>
      </c>
      <c r="C802" s="1">
        <v>37.234890495999998</v>
      </c>
      <c r="D802" s="1">
        <v>-7.0180842214499997</v>
      </c>
      <c r="E802" s="3">
        <v>2</v>
      </c>
      <c r="F802" s="2">
        <v>2</v>
      </c>
      <c r="G802" s="4">
        <v>2</v>
      </c>
      <c r="H802" s="13"/>
      <c r="I802" s="15"/>
      <c r="J802" s="19">
        <v>2</v>
      </c>
      <c r="K802" s="2" t="s">
        <v>1615</v>
      </c>
      <c r="L802" s="11" t="str">
        <f t="shared" si="13"/>
        <v>Ver Imagen</v>
      </c>
      <c r="M802" t="s">
        <v>15</v>
      </c>
    </row>
    <row r="803" spans="1:13" x14ac:dyDescent="0.25">
      <c r="A803">
        <v>802</v>
      </c>
      <c r="B803" t="s">
        <v>1616</v>
      </c>
      <c r="C803" s="1">
        <v>37.235316741699997</v>
      </c>
      <c r="D803" s="1">
        <v>-7.0181878295600004</v>
      </c>
      <c r="E803" s="3">
        <v>2</v>
      </c>
      <c r="F803" s="2">
        <v>2</v>
      </c>
      <c r="G803" s="4">
        <v>2</v>
      </c>
      <c r="H803" s="13"/>
      <c r="I803" s="15"/>
      <c r="J803" s="19">
        <v>2</v>
      </c>
      <c r="K803" s="2" t="s">
        <v>1617</v>
      </c>
      <c r="L803" s="11" t="str">
        <f t="shared" si="13"/>
        <v>Ver Imagen</v>
      </c>
      <c r="M803" t="s">
        <v>15</v>
      </c>
    </row>
    <row r="804" spans="1:13" x14ac:dyDescent="0.25">
      <c r="A804">
        <v>803</v>
      </c>
      <c r="B804" t="s">
        <v>1618</v>
      </c>
      <c r="C804" s="1">
        <v>37.235882085500002</v>
      </c>
      <c r="D804" s="1">
        <v>-7.01833592849</v>
      </c>
      <c r="E804" s="3">
        <v>2</v>
      </c>
      <c r="F804" s="2">
        <v>2</v>
      </c>
      <c r="G804" s="4">
        <v>2</v>
      </c>
      <c r="H804" s="13"/>
      <c r="I804" s="15"/>
      <c r="J804" s="19">
        <v>2</v>
      </c>
      <c r="K804" s="2" t="s">
        <v>1619</v>
      </c>
      <c r="L804" s="11" t="str">
        <f t="shared" si="13"/>
        <v>Ver Imagen</v>
      </c>
      <c r="M804" t="s">
        <v>15</v>
      </c>
    </row>
    <row r="805" spans="1:13" x14ac:dyDescent="0.25">
      <c r="A805">
        <v>804</v>
      </c>
      <c r="B805" t="s">
        <v>1620</v>
      </c>
      <c r="C805" s="1">
        <v>37.236105023</v>
      </c>
      <c r="D805" s="1">
        <v>-7.0183927917000002</v>
      </c>
      <c r="E805" s="3">
        <v>2</v>
      </c>
      <c r="F805" s="2">
        <v>2</v>
      </c>
      <c r="G805" s="4">
        <v>2</v>
      </c>
      <c r="H805" s="13"/>
      <c r="I805" s="15"/>
      <c r="J805" s="19">
        <v>2</v>
      </c>
      <c r="K805" s="2" t="s">
        <v>1621</v>
      </c>
      <c r="L805" s="11" t="str">
        <f t="shared" si="13"/>
        <v>Ver Imagen</v>
      </c>
      <c r="M805" t="s">
        <v>15</v>
      </c>
    </row>
    <row r="806" spans="1:13" x14ac:dyDescent="0.25">
      <c r="A806">
        <v>805</v>
      </c>
      <c r="B806" t="s">
        <v>1622</v>
      </c>
      <c r="C806" s="1">
        <v>37.237099866000001</v>
      </c>
      <c r="D806" s="1">
        <v>-7.0185481483499998</v>
      </c>
      <c r="E806" s="3">
        <v>2</v>
      </c>
      <c r="F806" s="2">
        <v>2</v>
      </c>
      <c r="G806" s="4">
        <v>2</v>
      </c>
      <c r="H806" s="13"/>
      <c r="I806" s="15"/>
      <c r="J806" s="19">
        <v>2</v>
      </c>
      <c r="K806" s="2" t="s">
        <v>1623</v>
      </c>
      <c r="L806" s="11" t="str">
        <f t="shared" si="13"/>
        <v>Ver Imagen</v>
      </c>
      <c r="M806" t="s">
        <v>15</v>
      </c>
    </row>
    <row r="807" spans="1:13" x14ac:dyDescent="0.25">
      <c r="A807">
        <v>806</v>
      </c>
      <c r="B807" t="s">
        <v>1624</v>
      </c>
      <c r="C807" s="1">
        <v>37.237288501800002</v>
      </c>
      <c r="D807" s="1">
        <v>-7.0185607561000003</v>
      </c>
      <c r="E807" s="3">
        <v>2</v>
      </c>
      <c r="F807" s="2">
        <v>2</v>
      </c>
      <c r="G807" s="4">
        <v>2</v>
      </c>
      <c r="H807" s="13"/>
      <c r="I807" s="15"/>
      <c r="J807" s="19">
        <v>2</v>
      </c>
      <c r="K807" s="2" t="s">
        <v>1625</v>
      </c>
      <c r="L807" s="11" t="str">
        <f t="shared" si="13"/>
        <v>Ver Imagen</v>
      </c>
      <c r="M807" t="s">
        <v>15</v>
      </c>
    </row>
    <row r="808" spans="1:13" x14ac:dyDescent="0.25">
      <c r="A808">
        <v>807</v>
      </c>
      <c r="B808" t="s">
        <v>1626</v>
      </c>
      <c r="C808" s="1">
        <v>37.238104978099997</v>
      </c>
      <c r="D808" s="1">
        <v>-7.0185640249899999</v>
      </c>
      <c r="E808" s="3">
        <v>2</v>
      </c>
      <c r="F808" s="2">
        <v>2</v>
      </c>
      <c r="G808" s="4">
        <v>2</v>
      </c>
      <c r="H808" s="13"/>
      <c r="I808" s="15"/>
      <c r="J808" s="19">
        <v>2</v>
      </c>
      <c r="K808" s="2" t="s">
        <v>1627</v>
      </c>
      <c r="L808" s="11" t="str">
        <f t="shared" si="13"/>
        <v>Ver Imagen</v>
      </c>
      <c r="M808" t="s">
        <v>15</v>
      </c>
    </row>
    <row r="809" spans="1:13" x14ac:dyDescent="0.25">
      <c r="A809">
        <v>808</v>
      </c>
      <c r="B809" t="s">
        <v>1628</v>
      </c>
      <c r="C809" s="1">
        <v>37.238319713599999</v>
      </c>
      <c r="D809" s="1">
        <v>-7.0185555372400001</v>
      </c>
      <c r="E809" s="3">
        <v>2</v>
      </c>
      <c r="F809" s="2">
        <v>2</v>
      </c>
      <c r="G809" s="4">
        <v>2</v>
      </c>
      <c r="H809" s="13"/>
      <c r="I809" s="15"/>
      <c r="J809" s="19">
        <v>2</v>
      </c>
      <c r="K809" s="2" t="s">
        <v>1629</v>
      </c>
      <c r="L809" s="11" t="str">
        <f t="shared" si="13"/>
        <v>Ver Imagen</v>
      </c>
      <c r="M809" t="s">
        <v>15</v>
      </c>
    </row>
    <row r="810" spans="1:13" x14ac:dyDescent="0.25">
      <c r="A810">
        <v>809</v>
      </c>
      <c r="B810" t="s">
        <v>1630</v>
      </c>
      <c r="C810" s="1">
        <v>37.238503525900001</v>
      </c>
      <c r="D810" s="1">
        <v>-7.0185475318000003</v>
      </c>
      <c r="E810" s="3">
        <v>2</v>
      </c>
      <c r="F810" s="2">
        <v>2</v>
      </c>
      <c r="G810" s="4">
        <v>2</v>
      </c>
      <c r="H810" s="13"/>
      <c r="I810" s="15"/>
      <c r="J810" s="19">
        <v>2</v>
      </c>
      <c r="K810" s="2" t="s">
        <v>1631</v>
      </c>
      <c r="L810" s="11" t="str">
        <f t="shared" si="13"/>
        <v>Ver Imagen</v>
      </c>
      <c r="M810" t="s">
        <v>15</v>
      </c>
    </row>
    <row r="811" spans="1:13" x14ac:dyDescent="0.25">
      <c r="A811">
        <v>810</v>
      </c>
      <c r="B811" t="s">
        <v>1632</v>
      </c>
      <c r="C811" s="1">
        <v>37.238707747900001</v>
      </c>
      <c r="D811" s="1">
        <v>-7.0185390283200002</v>
      </c>
      <c r="E811" s="3">
        <v>2</v>
      </c>
      <c r="F811" s="2">
        <v>2</v>
      </c>
      <c r="G811" s="4">
        <v>2</v>
      </c>
      <c r="H811" s="13"/>
      <c r="I811" s="15"/>
      <c r="J811" s="19">
        <v>2</v>
      </c>
      <c r="K811" s="2" t="s">
        <v>1633</v>
      </c>
      <c r="L811" s="11" t="str">
        <f t="shared" si="13"/>
        <v>Ver Imagen</v>
      </c>
      <c r="M811" t="s">
        <v>15</v>
      </c>
    </row>
    <row r="812" spans="1:13" x14ac:dyDescent="0.25">
      <c r="A812">
        <v>811</v>
      </c>
      <c r="B812" t="s">
        <v>1634</v>
      </c>
      <c r="C812" s="1">
        <v>37.238940221299998</v>
      </c>
      <c r="D812" s="1">
        <v>-7.0185297522800001</v>
      </c>
      <c r="E812" s="3">
        <v>2</v>
      </c>
      <c r="F812" s="2">
        <v>2</v>
      </c>
      <c r="G812" s="4">
        <v>2</v>
      </c>
      <c r="H812" s="13"/>
      <c r="I812" s="15"/>
      <c r="J812" s="19">
        <v>2</v>
      </c>
      <c r="K812" s="2" t="s">
        <v>1635</v>
      </c>
      <c r="L812" s="11" t="str">
        <f t="shared" si="13"/>
        <v>Ver Imagen</v>
      </c>
      <c r="M812" t="s">
        <v>15</v>
      </c>
    </row>
    <row r="813" spans="1:13" x14ac:dyDescent="0.25">
      <c r="A813">
        <v>812</v>
      </c>
      <c r="B813" t="s">
        <v>1636</v>
      </c>
      <c r="C813" s="1">
        <v>37.239131659400002</v>
      </c>
      <c r="D813" s="1">
        <v>-7.0185222920300001</v>
      </c>
      <c r="E813" s="3">
        <v>2</v>
      </c>
      <c r="F813" s="2">
        <v>2</v>
      </c>
      <c r="G813" s="4">
        <v>2</v>
      </c>
      <c r="H813" s="13"/>
      <c r="I813" s="15"/>
      <c r="J813" s="19">
        <v>2</v>
      </c>
      <c r="K813" s="2" t="s">
        <v>1637</v>
      </c>
      <c r="L813" s="11" t="str">
        <f t="shared" si="13"/>
        <v>Ver Imagen</v>
      </c>
      <c r="M813" t="s">
        <v>15</v>
      </c>
    </row>
    <row r="814" spans="1:13" x14ac:dyDescent="0.25">
      <c r="A814">
        <v>813</v>
      </c>
      <c r="B814" t="s">
        <v>1638</v>
      </c>
      <c r="C814" s="1">
        <v>37.2393059877</v>
      </c>
      <c r="D814" s="1">
        <v>-7.0185149791199999</v>
      </c>
      <c r="E814" s="3">
        <v>2</v>
      </c>
      <c r="F814" s="2">
        <v>2</v>
      </c>
      <c r="G814" s="4">
        <v>2</v>
      </c>
      <c r="H814" s="13"/>
      <c r="I814" s="15"/>
      <c r="J814" s="19">
        <v>2</v>
      </c>
      <c r="K814" s="2" t="s">
        <v>1639</v>
      </c>
      <c r="L814" s="11" t="str">
        <f t="shared" si="13"/>
        <v>Ver Imagen</v>
      </c>
      <c r="M814" t="s">
        <v>15</v>
      </c>
    </row>
    <row r="815" spans="1:13" x14ac:dyDescent="0.25">
      <c r="A815">
        <v>814</v>
      </c>
      <c r="B815" t="s">
        <v>1640</v>
      </c>
      <c r="C815" s="1">
        <v>37.239531141999997</v>
      </c>
      <c r="D815" s="1">
        <v>-7.0185047423700002</v>
      </c>
      <c r="E815" s="3">
        <v>2</v>
      </c>
      <c r="F815" s="2">
        <v>2</v>
      </c>
      <c r="G815" s="4">
        <v>2</v>
      </c>
      <c r="H815" s="13"/>
      <c r="I815" s="15"/>
      <c r="J815" s="19">
        <v>2</v>
      </c>
      <c r="K815" s="2" t="s">
        <v>1641</v>
      </c>
      <c r="L815" s="11" t="str">
        <f t="shared" si="13"/>
        <v>Ver Imagen</v>
      </c>
      <c r="M815" t="s">
        <v>15</v>
      </c>
    </row>
    <row r="816" spans="1:13" x14ac:dyDescent="0.25">
      <c r="A816">
        <v>815</v>
      </c>
      <c r="B816" t="s">
        <v>1642</v>
      </c>
      <c r="C816" s="1">
        <v>37.239724730799999</v>
      </c>
      <c r="D816" s="1">
        <v>-7.01849534729</v>
      </c>
      <c r="E816" s="3">
        <v>2</v>
      </c>
      <c r="F816" s="2">
        <v>2</v>
      </c>
      <c r="G816" s="4">
        <v>2</v>
      </c>
      <c r="H816" s="13"/>
      <c r="I816" s="15"/>
      <c r="J816" s="19">
        <v>2</v>
      </c>
      <c r="K816" s="2" t="s">
        <v>1643</v>
      </c>
      <c r="L816" s="11" t="str">
        <f t="shared" si="13"/>
        <v>Ver Imagen</v>
      </c>
      <c r="M816" t="s">
        <v>15</v>
      </c>
    </row>
    <row r="817" spans="1:13" x14ac:dyDescent="0.25">
      <c r="A817">
        <v>816</v>
      </c>
      <c r="B817" t="s">
        <v>1644</v>
      </c>
      <c r="C817" s="1">
        <v>37.239918751099999</v>
      </c>
      <c r="D817" s="1">
        <v>-7.0184861567799999</v>
      </c>
      <c r="E817" s="3">
        <v>2</v>
      </c>
      <c r="F817" s="2">
        <v>2</v>
      </c>
      <c r="G817" s="4">
        <v>2</v>
      </c>
      <c r="H817" s="13"/>
      <c r="I817" s="15"/>
      <c r="J817" s="19">
        <v>2</v>
      </c>
      <c r="K817" s="2" t="s">
        <v>1645</v>
      </c>
      <c r="L817" s="11" t="str">
        <f t="shared" si="13"/>
        <v>Ver Imagen</v>
      </c>
      <c r="M817" t="s">
        <v>15</v>
      </c>
    </row>
    <row r="818" spans="1:13" x14ac:dyDescent="0.25">
      <c r="A818">
        <v>817</v>
      </c>
      <c r="B818" t="s">
        <v>1646</v>
      </c>
      <c r="C818" s="1">
        <v>37.240112357199997</v>
      </c>
      <c r="D818" s="1">
        <v>-7.0184778661399996</v>
      </c>
      <c r="E818" s="3">
        <v>2</v>
      </c>
      <c r="F818" s="2">
        <v>2</v>
      </c>
      <c r="G818" s="4">
        <v>2</v>
      </c>
      <c r="H818" s="13"/>
      <c r="I818" s="15"/>
      <c r="J818" s="19">
        <v>2</v>
      </c>
      <c r="K818" s="2" t="s">
        <v>1647</v>
      </c>
      <c r="L818" s="11" t="str">
        <f t="shared" si="13"/>
        <v>Ver Imagen</v>
      </c>
      <c r="M818" t="s">
        <v>15</v>
      </c>
    </row>
    <row r="819" spans="1:13" x14ac:dyDescent="0.25">
      <c r="A819">
        <v>818</v>
      </c>
      <c r="B819" t="s">
        <v>1648</v>
      </c>
      <c r="C819" s="1">
        <v>37.240345096600002</v>
      </c>
      <c r="D819" s="1">
        <v>-7.0184686726300001</v>
      </c>
      <c r="E819" s="3">
        <v>2</v>
      </c>
      <c r="F819" s="2">
        <v>2</v>
      </c>
      <c r="G819" s="4">
        <v>2</v>
      </c>
      <c r="H819" s="13"/>
      <c r="I819" s="15"/>
      <c r="J819" s="19">
        <v>2</v>
      </c>
      <c r="K819" s="2" t="s">
        <v>1649</v>
      </c>
      <c r="L819" s="11" t="str">
        <f t="shared" si="13"/>
        <v>Ver Imagen</v>
      </c>
      <c r="M819" t="s">
        <v>15</v>
      </c>
    </row>
    <row r="820" spans="1:13" x14ac:dyDescent="0.25">
      <c r="A820">
        <v>819</v>
      </c>
      <c r="B820" t="s">
        <v>1650</v>
      </c>
      <c r="C820" s="1">
        <v>37.240553055500001</v>
      </c>
      <c r="D820" s="1">
        <v>-7.0184607548100004</v>
      </c>
      <c r="E820" s="3">
        <v>2</v>
      </c>
      <c r="F820" s="2">
        <v>2</v>
      </c>
      <c r="G820" s="4">
        <v>2</v>
      </c>
      <c r="H820" s="13"/>
      <c r="I820" s="15"/>
      <c r="J820" s="19">
        <v>2</v>
      </c>
      <c r="K820" s="2" t="s">
        <v>1651</v>
      </c>
      <c r="L820" s="11" t="str">
        <f t="shared" si="13"/>
        <v>Ver Imagen</v>
      </c>
      <c r="M820" t="s">
        <v>15</v>
      </c>
    </row>
    <row r="821" spans="1:13" x14ac:dyDescent="0.25">
      <c r="A821">
        <v>820</v>
      </c>
      <c r="B821" t="s">
        <v>1652</v>
      </c>
      <c r="C821" s="1">
        <v>37.247006648300001</v>
      </c>
      <c r="D821" s="1">
        <v>-7.0182254255799998</v>
      </c>
      <c r="E821" s="3">
        <v>2</v>
      </c>
      <c r="F821" s="2">
        <v>2</v>
      </c>
      <c r="G821" s="4">
        <v>2</v>
      </c>
      <c r="H821" s="13"/>
      <c r="I821" s="15"/>
      <c r="J821" s="19">
        <v>2</v>
      </c>
      <c r="K821" s="2" t="s">
        <v>1653</v>
      </c>
      <c r="L821" s="11" t="str">
        <f t="shared" si="13"/>
        <v>Ver Imagen</v>
      </c>
      <c r="M821" t="s">
        <v>15</v>
      </c>
    </row>
    <row r="822" spans="1:13" x14ac:dyDescent="0.25">
      <c r="A822">
        <v>821</v>
      </c>
      <c r="B822" t="s">
        <v>1654</v>
      </c>
      <c r="C822" s="1">
        <v>37.247609987499999</v>
      </c>
      <c r="D822" s="1">
        <v>-7.01820315372</v>
      </c>
      <c r="E822" s="3">
        <v>2</v>
      </c>
      <c r="F822" s="2">
        <v>2</v>
      </c>
      <c r="G822" s="4">
        <v>2</v>
      </c>
      <c r="H822" s="13"/>
      <c r="I822" s="15"/>
      <c r="J822" s="19">
        <v>2</v>
      </c>
      <c r="K822" s="2" t="s">
        <v>1655</v>
      </c>
      <c r="L822" s="11" t="str">
        <f t="shared" si="13"/>
        <v>Ver Imagen</v>
      </c>
      <c r="M822" t="s">
        <v>15</v>
      </c>
    </row>
    <row r="823" spans="1:13" x14ac:dyDescent="0.25">
      <c r="A823">
        <v>822</v>
      </c>
      <c r="B823" t="s">
        <v>1656</v>
      </c>
      <c r="C823" s="1">
        <v>37.248250148099999</v>
      </c>
      <c r="D823" s="1">
        <v>-7.0181724779900003</v>
      </c>
      <c r="E823" s="3">
        <v>2</v>
      </c>
      <c r="F823" s="2">
        <v>2</v>
      </c>
      <c r="G823" s="4">
        <v>2</v>
      </c>
      <c r="H823" s="13"/>
      <c r="I823" s="15"/>
      <c r="J823" s="19">
        <v>2</v>
      </c>
      <c r="K823" s="2" t="s">
        <v>1657</v>
      </c>
      <c r="L823" s="11" t="str">
        <f t="shared" si="13"/>
        <v>Ver Imagen</v>
      </c>
      <c r="M823" t="s">
        <v>15</v>
      </c>
    </row>
    <row r="824" spans="1:13" x14ac:dyDescent="0.25">
      <c r="A824">
        <v>823</v>
      </c>
      <c r="B824" t="s">
        <v>1658</v>
      </c>
      <c r="C824" s="1">
        <v>37.249235646800003</v>
      </c>
      <c r="D824" s="1">
        <v>-7.0180665523499997</v>
      </c>
      <c r="E824" s="3">
        <v>2</v>
      </c>
      <c r="F824" s="2">
        <v>2</v>
      </c>
      <c r="G824" s="4">
        <v>2</v>
      </c>
      <c r="H824" s="13"/>
      <c r="I824" s="15"/>
      <c r="J824" s="19">
        <v>2</v>
      </c>
      <c r="K824" s="2" t="s">
        <v>1659</v>
      </c>
      <c r="L824" s="11" t="str">
        <f t="shared" si="13"/>
        <v>Ver Imagen</v>
      </c>
      <c r="M824" t="s">
        <v>15</v>
      </c>
    </row>
    <row r="825" spans="1:13" x14ac:dyDescent="0.25">
      <c r="A825">
        <v>824</v>
      </c>
      <c r="B825" t="s">
        <v>1660</v>
      </c>
      <c r="C825" s="1">
        <v>37.2502176124</v>
      </c>
      <c r="D825" s="1">
        <v>-7.0177096504999996</v>
      </c>
      <c r="E825" s="3">
        <v>2</v>
      </c>
      <c r="F825" s="2">
        <v>2</v>
      </c>
      <c r="G825" s="4">
        <v>2</v>
      </c>
      <c r="H825" s="13"/>
      <c r="I825" s="15"/>
      <c r="J825" s="19">
        <v>2</v>
      </c>
      <c r="K825" s="2" t="s">
        <v>1661</v>
      </c>
      <c r="L825" s="11" t="str">
        <f t="shared" si="13"/>
        <v>Ver Imagen</v>
      </c>
      <c r="M825" t="s">
        <v>15</v>
      </c>
    </row>
    <row r="826" spans="1:13" x14ac:dyDescent="0.25">
      <c r="A826">
        <v>825</v>
      </c>
      <c r="B826" t="s">
        <v>1662</v>
      </c>
      <c r="C826" s="1">
        <v>37.250559688800003</v>
      </c>
      <c r="D826" s="1">
        <v>-7.0175148192999997</v>
      </c>
      <c r="E826" s="3">
        <v>2</v>
      </c>
      <c r="F826" s="2">
        <v>2</v>
      </c>
      <c r="G826" s="4">
        <v>2</v>
      </c>
      <c r="H826" s="13"/>
      <c r="I826" s="15"/>
      <c r="J826" s="19">
        <v>2</v>
      </c>
      <c r="K826" s="2" t="s">
        <v>1663</v>
      </c>
      <c r="L826" s="11" t="str">
        <f t="shared" si="13"/>
        <v>Ver Imagen</v>
      </c>
      <c r="M826" t="s">
        <v>15</v>
      </c>
    </row>
    <row r="827" spans="1:13" x14ac:dyDescent="0.25">
      <c r="A827">
        <v>826</v>
      </c>
      <c r="B827" t="s">
        <v>1664</v>
      </c>
      <c r="C827" s="1">
        <v>37.250744093199998</v>
      </c>
      <c r="D827" s="1">
        <v>-7.0174008363900002</v>
      </c>
      <c r="E827" s="3">
        <v>2</v>
      </c>
      <c r="F827" s="2">
        <v>2</v>
      </c>
      <c r="G827" s="4">
        <v>2</v>
      </c>
      <c r="H827" s="13"/>
      <c r="I827" s="15"/>
      <c r="J827" s="19">
        <v>2</v>
      </c>
      <c r="K827" s="2" t="s">
        <v>1665</v>
      </c>
      <c r="L827" s="11" t="str">
        <f t="shared" si="13"/>
        <v>Ver Imagen</v>
      </c>
      <c r="M827" t="s">
        <v>15</v>
      </c>
    </row>
    <row r="828" spans="1:13" x14ac:dyDescent="0.25">
      <c r="A828">
        <v>827</v>
      </c>
      <c r="B828" t="s">
        <v>1666</v>
      </c>
      <c r="C828" s="1">
        <v>37.250913581100001</v>
      </c>
      <c r="D828" s="1">
        <v>-7.0172938690300004</v>
      </c>
      <c r="E828" s="3">
        <v>2</v>
      </c>
      <c r="F828" s="2">
        <v>2</v>
      </c>
      <c r="G828" s="4">
        <v>2</v>
      </c>
      <c r="H828" s="13"/>
      <c r="I828" s="15"/>
      <c r="J828" s="19">
        <v>2</v>
      </c>
      <c r="K828" s="2" t="s">
        <v>1667</v>
      </c>
      <c r="L828" s="11" t="str">
        <f t="shared" si="13"/>
        <v>Ver Imagen</v>
      </c>
      <c r="M828" t="s">
        <v>15</v>
      </c>
    </row>
    <row r="829" spans="1:13" x14ac:dyDescent="0.25">
      <c r="A829">
        <v>828</v>
      </c>
      <c r="B829" t="s">
        <v>1668</v>
      </c>
      <c r="C829" s="1">
        <v>37.251104192500001</v>
      </c>
      <c r="D829" s="1">
        <v>-7.0171721962099998</v>
      </c>
      <c r="E829" s="3">
        <v>2</v>
      </c>
      <c r="F829" s="2">
        <v>2</v>
      </c>
      <c r="G829" s="4">
        <v>2</v>
      </c>
      <c r="H829" s="13"/>
      <c r="I829" s="15"/>
      <c r="J829" s="19">
        <v>2</v>
      </c>
      <c r="K829" s="2" t="s">
        <v>1669</v>
      </c>
      <c r="L829" s="11" t="str">
        <f t="shared" si="13"/>
        <v>Ver Imagen</v>
      </c>
      <c r="M829" t="s">
        <v>15</v>
      </c>
    </row>
    <row r="830" spans="1:13" x14ac:dyDescent="0.25">
      <c r="A830">
        <v>829</v>
      </c>
      <c r="B830" t="s">
        <v>1670</v>
      </c>
      <c r="C830" s="1">
        <v>37.251308428900003</v>
      </c>
      <c r="D830" s="1">
        <v>-7.01704193533</v>
      </c>
      <c r="E830" s="3">
        <v>2</v>
      </c>
      <c r="F830" s="2">
        <v>2</v>
      </c>
      <c r="G830" s="4">
        <v>2</v>
      </c>
      <c r="H830" s="13"/>
      <c r="I830" s="15"/>
      <c r="J830" s="19">
        <v>2</v>
      </c>
      <c r="K830" s="2" t="s">
        <v>1671</v>
      </c>
      <c r="L830" s="11" t="str">
        <f t="shared" si="13"/>
        <v>Ver Imagen</v>
      </c>
      <c r="M830" t="s">
        <v>15</v>
      </c>
    </row>
    <row r="831" spans="1:13" x14ac:dyDescent="0.25">
      <c r="A831">
        <v>830</v>
      </c>
      <c r="B831" t="s">
        <v>1672</v>
      </c>
      <c r="C831" s="1">
        <v>37.252581403100002</v>
      </c>
      <c r="D831" s="1">
        <v>-7.0162345294800001</v>
      </c>
      <c r="E831" s="3">
        <v>2</v>
      </c>
      <c r="F831" s="2">
        <v>2</v>
      </c>
      <c r="G831" s="4">
        <v>2</v>
      </c>
      <c r="H831" s="13"/>
      <c r="I831" s="15"/>
      <c r="J831" s="19">
        <v>2</v>
      </c>
      <c r="K831" s="2" t="s">
        <v>1673</v>
      </c>
      <c r="L831" s="11" t="str">
        <f t="shared" si="13"/>
        <v>Ver Imagen</v>
      </c>
      <c r="M831" t="s">
        <v>15</v>
      </c>
    </row>
    <row r="832" spans="1:13" x14ac:dyDescent="0.25">
      <c r="A832">
        <v>831</v>
      </c>
      <c r="B832" t="s">
        <v>1674</v>
      </c>
      <c r="C832" s="1">
        <v>37.253443800100001</v>
      </c>
      <c r="D832" s="1">
        <v>-7.0156870628299997</v>
      </c>
      <c r="E832" s="3">
        <v>2</v>
      </c>
      <c r="F832" s="2">
        <v>2</v>
      </c>
      <c r="G832" s="4">
        <v>2</v>
      </c>
      <c r="H832" s="13"/>
      <c r="I832" s="15"/>
      <c r="J832" s="19">
        <v>2</v>
      </c>
      <c r="K832" s="2" t="s">
        <v>1675</v>
      </c>
      <c r="L832" s="11" t="str">
        <f t="shared" si="13"/>
        <v>Ver Imagen</v>
      </c>
      <c r="M832" t="s">
        <v>15</v>
      </c>
    </row>
    <row r="833" spans="1:13" x14ac:dyDescent="0.25">
      <c r="A833">
        <v>832</v>
      </c>
      <c r="B833" t="s">
        <v>1676</v>
      </c>
      <c r="C833" s="1">
        <v>37.254700123600003</v>
      </c>
      <c r="D833" s="1">
        <v>-7.0148817391199998</v>
      </c>
      <c r="E833" s="3">
        <v>2</v>
      </c>
      <c r="F833" s="2">
        <v>2</v>
      </c>
      <c r="G833" s="4">
        <v>2</v>
      </c>
      <c r="H833" s="13"/>
      <c r="I833" s="15"/>
      <c r="J833" s="19">
        <v>2</v>
      </c>
      <c r="K833" s="2" t="s">
        <v>1677</v>
      </c>
      <c r="L833" s="11" t="str">
        <f t="shared" si="13"/>
        <v>Ver Imagen</v>
      </c>
      <c r="M833" t="s">
        <v>15</v>
      </c>
    </row>
    <row r="834" spans="1:13" x14ac:dyDescent="0.25">
      <c r="A834">
        <v>833</v>
      </c>
      <c r="B834" t="s">
        <v>1678</v>
      </c>
      <c r="C834" s="1">
        <v>37.258514654400003</v>
      </c>
      <c r="D834" s="1">
        <v>-7.0124553423</v>
      </c>
      <c r="E834" s="3">
        <v>2</v>
      </c>
      <c r="F834" s="2">
        <v>2</v>
      </c>
      <c r="G834" s="4">
        <v>2</v>
      </c>
      <c r="H834" s="13"/>
      <c r="I834" s="15"/>
      <c r="J834" s="19">
        <v>2</v>
      </c>
      <c r="K834" s="2" t="s">
        <v>1679</v>
      </c>
      <c r="L834" s="11" t="str">
        <f t="shared" si="13"/>
        <v>Ver Imagen</v>
      </c>
      <c r="M834" t="s">
        <v>15</v>
      </c>
    </row>
    <row r="835" spans="1:13" x14ac:dyDescent="0.25">
      <c r="A835">
        <v>834</v>
      </c>
      <c r="B835" t="s">
        <v>1680</v>
      </c>
      <c r="C835" s="1">
        <v>37.278690583299998</v>
      </c>
      <c r="D835" s="1">
        <v>-6.9936946184300002</v>
      </c>
      <c r="E835" s="3">
        <v>1</v>
      </c>
      <c r="F835" s="2">
        <v>2</v>
      </c>
      <c r="G835" s="4">
        <v>2</v>
      </c>
      <c r="H835" s="13"/>
      <c r="I835" s="15"/>
      <c r="J835" s="19">
        <v>2</v>
      </c>
      <c r="K835" s="2" t="s">
        <v>1681</v>
      </c>
      <c r="L835" s="11" t="str">
        <f t="shared" ref="L835:L898" si="14">HYPERLINK("2\1\" &amp; K835, "Ver Imagen")</f>
        <v>Ver Imagen</v>
      </c>
      <c r="M835" t="s">
        <v>15</v>
      </c>
    </row>
    <row r="836" spans="1:13" x14ac:dyDescent="0.25">
      <c r="A836">
        <v>835</v>
      </c>
      <c r="B836" t="s">
        <v>1682</v>
      </c>
      <c r="C836" s="1">
        <v>37.2788052326</v>
      </c>
      <c r="D836" s="1">
        <v>-6.9939354837399996</v>
      </c>
      <c r="E836" s="3">
        <v>1</v>
      </c>
      <c r="F836" s="2">
        <v>2</v>
      </c>
      <c r="G836" s="4">
        <v>2</v>
      </c>
      <c r="H836" s="13"/>
      <c r="I836" s="15"/>
      <c r="J836" s="19">
        <v>2</v>
      </c>
      <c r="K836" s="2" t="s">
        <v>1683</v>
      </c>
      <c r="L836" s="11" t="str">
        <f t="shared" si="14"/>
        <v>Ver Imagen</v>
      </c>
      <c r="M836" t="s">
        <v>15</v>
      </c>
    </row>
    <row r="837" spans="1:13" x14ac:dyDescent="0.25">
      <c r="A837">
        <v>836</v>
      </c>
      <c r="B837" t="s">
        <v>1684</v>
      </c>
      <c r="C837" s="1">
        <v>37.278887130500003</v>
      </c>
      <c r="D837" s="1">
        <v>-6.9941380154999999</v>
      </c>
      <c r="E837" s="3">
        <v>1</v>
      </c>
      <c r="F837" s="2">
        <v>2</v>
      </c>
      <c r="G837" s="4">
        <v>2</v>
      </c>
      <c r="H837" s="13"/>
      <c r="I837" s="15"/>
      <c r="J837" s="19">
        <v>2</v>
      </c>
      <c r="K837" s="2" t="s">
        <v>1685</v>
      </c>
      <c r="L837" s="11" t="str">
        <f t="shared" si="14"/>
        <v>Ver Imagen</v>
      </c>
      <c r="M837" t="s">
        <v>15</v>
      </c>
    </row>
    <row r="838" spans="1:13" x14ac:dyDescent="0.25">
      <c r="A838">
        <v>837</v>
      </c>
      <c r="B838" t="s">
        <v>1686</v>
      </c>
      <c r="C838" s="1">
        <v>37.279459705199997</v>
      </c>
      <c r="D838" s="1">
        <v>-6.9963001405599998</v>
      </c>
      <c r="E838" s="3">
        <v>1</v>
      </c>
      <c r="F838" s="2">
        <v>2</v>
      </c>
      <c r="G838" s="4">
        <v>2</v>
      </c>
      <c r="H838" s="13"/>
      <c r="I838" s="15"/>
      <c r="J838" s="19">
        <v>2</v>
      </c>
      <c r="K838" s="2" t="s">
        <v>1687</v>
      </c>
      <c r="L838" s="11" t="str">
        <f t="shared" si="14"/>
        <v>Ver Imagen</v>
      </c>
      <c r="M838" t="s">
        <v>15</v>
      </c>
    </row>
    <row r="839" spans="1:13" x14ac:dyDescent="0.25">
      <c r="A839">
        <v>838</v>
      </c>
      <c r="B839" t="s">
        <v>1688</v>
      </c>
      <c r="C839" s="1">
        <v>37.279718213700001</v>
      </c>
      <c r="D839" s="1">
        <v>-6.9975567774899998</v>
      </c>
      <c r="E839" s="3">
        <v>1</v>
      </c>
      <c r="F839" s="2">
        <v>2</v>
      </c>
      <c r="G839" s="4">
        <v>2</v>
      </c>
      <c r="H839" s="13"/>
      <c r="I839" s="15"/>
      <c r="J839" s="19">
        <v>2</v>
      </c>
      <c r="K839" s="2" t="s">
        <v>1689</v>
      </c>
      <c r="L839" s="11" t="str">
        <f t="shared" si="14"/>
        <v>Ver Imagen</v>
      </c>
      <c r="M839" t="s">
        <v>15</v>
      </c>
    </row>
    <row r="840" spans="1:13" x14ac:dyDescent="0.25">
      <c r="A840">
        <v>839</v>
      </c>
      <c r="B840" t="s">
        <v>1690</v>
      </c>
      <c r="C840" s="1">
        <v>37.279763173900001</v>
      </c>
      <c r="D840" s="1">
        <v>-6.9977948491199999</v>
      </c>
      <c r="E840" s="3">
        <v>1</v>
      </c>
      <c r="F840" s="2">
        <v>2</v>
      </c>
      <c r="G840" s="4">
        <v>2</v>
      </c>
      <c r="H840" s="13"/>
      <c r="I840" s="15"/>
      <c r="J840" s="19">
        <v>2</v>
      </c>
      <c r="K840" s="2" t="s">
        <v>1691</v>
      </c>
      <c r="L840" s="11" t="str">
        <f t="shared" si="14"/>
        <v>Ver Imagen</v>
      </c>
      <c r="M840" t="s">
        <v>15</v>
      </c>
    </row>
    <row r="841" spans="1:13" x14ac:dyDescent="0.25">
      <c r="A841">
        <v>840</v>
      </c>
      <c r="B841" t="s">
        <v>1692</v>
      </c>
      <c r="C841" s="1">
        <v>37.293269327399997</v>
      </c>
      <c r="D841" s="1">
        <v>-7.0463164872700004</v>
      </c>
      <c r="E841" s="3">
        <v>1</v>
      </c>
      <c r="F841" s="2">
        <v>2</v>
      </c>
      <c r="G841" s="4">
        <v>2</v>
      </c>
      <c r="H841" s="13"/>
      <c r="I841" s="15"/>
      <c r="J841" s="19">
        <v>2</v>
      </c>
      <c r="K841" s="2" t="s">
        <v>1693</v>
      </c>
      <c r="L841" s="11" t="str">
        <f t="shared" si="14"/>
        <v>Ver Imagen</v>
      </c>
      <c r="M841" t="s">
        <v>15</v>
      </c>
    </row>
    <row r="842" spans="1:13" x14ac:dyDescent="0.25">
      <c r="A842">
        <v>841</v>
      </c>
      <c r="B842" t="s">
        <v>1694</v>
      </c>
      <c r="C842" s="1">
        <v>37.463945422499997</v>
      </c>
      <c r="D842" s="1">
        <v>-7.1186096631</v>
      </c>
      <c r="E842" s="3">
        <v>1</v>
      </c>
      <c r="F842" s="2">
        <v>2</v>
      </c>
      <c r="G842" s="4">
        <v>2</v>
      </c>
      <c r="H842" s="13"/>
      <c r="I842" s="15"/>
      <c r="J842" s="19">
        <v>2</v>
      </c>
      <c r="K842" s="2" t="s">
        <v>1695</v>
      </c>
      <c r="L842" s="11" t="str">
        <f t="shared" si="14"/>
        <v>Ver Imagen</v>
      </c>
      <c r="M842" t="s">
        <v>15</v>
      </c>
    </row>
    <row r="843" spans="1:13" x14ac:dyDescent="0.25">
      <c r="A843">
        <v>842</v>
      </c>
      <c r="B843" t="s">
        <v>1696</v>
      </c>
      <c r="C843" s="1">
        <v>37.463655576299999</v>
      </c>
      <c r="D843" s="1">
        <v>-7.1182990427800004</v>
      </c>
      <c r="E843" s="3">
        <v>1</v>
      </c>
      <c r="F843" s="2">
        <v>2</v>
      </c>
      <c r="G843" s="4">
        <v>2</v>
      </c>
      <c r="H843" s="13"/>
      <c r="I843" s="15"/>
      <c r="J843" s="19">
        <v>2</v>
      </c>
      <c r="K843" s="2" t="s">
        <v>1697</v>
      </c>
      <c r="L843" s="11" t="str">
        <f t="shared" si="14"/>
        <v>Ver Imagen</v>
      </c>
      <c r="M843" t="s">
        <v>15</v>
      </c>
    </row>
    <row r="844" spans="1:13" x14ac:dyDescent="0.25">
      <c r="A844">
        <v>843</v>
      </c>
      <c r="B844" t="s">
        <v>1698</v>
      </c>
      <c r="C844" s="1">
        <v>37.462954033099997</v>
      </c>
      <c r="D844" s="1">
        <v>-7.1177360116299999</v>
      </c>
      <c r="E844" s="3">
        <v>1</v>
      </c>
      <c r="F844" s="2">
        <v>2</v>
      </c>
      <c r="G844" s="4">
        <v>2</v>
      </c>
      <c r="H844" s="13"/>
      <c r="I844" s="15"/>
      <c r="J844" s="19">
        <v>2</v>
      </c>
      <c r="K844" s="2" t="s">
        <v>1699</v>
      </c>
      <c r="L844" s="11" t="str">
        <f t="shared" si="14"/>
        <v>Ver Imagen</v>
      </c>
      <c r="M844" t="s">
        <v>15</v>
      </c>
    </row>
    <row r="845" spans="1:13" x14ac:dyDescent="0.25">
      <c r="A845">
        <v>844</v>
      </c>
      <c r="B845" t="s">
        <v>1700</v>
      </c>
      <c r="C845" s="1">
        <v>37.4625984905</v>
      </c>
      <c r="D845" s="1">
        <v>-7.1175123998899998</v>
      </c>
      <c r="E845" s="3">
        <v>1</v>
      </c>
      <c r="F845" s="2">
        <v>2</v>
      </c>
      <c r="G845" s="4">
        <v>2</v>
      </c>
      <c r="H845" s="13"/>
      <c r="I845" s="15"/>
      <c r="J845" s="19">
        <v>2</v>
      </c>
      <c r="K845" s="2" t="s">
        <v>1701</v>
      </c>
      <c r="L845" s="11" t="str">
        <f t="shared" si="14"/>
        <v>Ver Imagen</v>
      </c>
      <c r="M845" t="s">
        <v>15</v>
      </c>
    </row>
    <row r="846" spans="1:13" x14ac:dyDescent="0.25">
      <c r="A846">
        <v>845</v>
      </c>
      <c r="B846" t="s">
        <v>1702</v>
      </c>
      <c r="C846" s="1">
        <v>37.461489547500001</v>
      </c>
      <c r="D846" s="1">
        <v>-7.1164663039100002</v>
      </c>
      <c r="E846" s="3">
        <v>1</v>
      </c>
      <c r="F846" s="2">
        <v>2</v>
      </c>
      <c r="G846" s="4">
        <v>2</v>
      </c>
      <c r="H846" s="13"/>
      <c r="I846" s="15"/>
      <c r="J846" s="19">
        <v>2</v>
      </c>
      <c r="K846" s="2" t="s">
        <v>1703</v>
      </c>
      <c r="L846" s="11" t="str">
        <f t="shared" si="14"/>
        <v>Ver Imagen</v>
      </c>
      <c r="M846" t="s">
        <v>15</v>
      </c>
    </row>
    <row r="847" spans="1:13" x14ac:dyDescent="0.25">
      <c r="A847">
        <v>846</v>
      </c>
      <c r="B847" t="s">
        <v>1704</v>
      </c>
      <c r="C847" s="1">
        <v>37.461060303099998</v>
      </c>
      <c r="D847" s="1">
        <v>-7.1159471334999997</v>
      </c>
      <c r="E847" s="3">
        <v>1</v>
      </c>
      <c r="F847" s="2">
        <v>2</v>
      </c>
      <c r="G847" s="4">
        <v>2</v>
      </c>
      <c r="H847" s="13"/>
      <c r="I847" s="15"/>
      <c r="J847" s="19">
        <v>2</v>
      </c>
      <c r="K847" s="2" t="s">
        <v>1705</v>
      </c>
      <c r="L847" s="11" t="str">
        <f t="shared" si="14"/>
        <v>Ver Imagen</v>
      </c>
      <c r="M847" t="s">
        <v>15</v>
      </c>
    </row>
    <row r="848" spans="1:13" x14ac:dyDescent="0.25">
      <c r="A848">
        <v>847</v>
      </c>
      <c r="B848" t="s">
        <v>1706</v>
      </c>
      <c r="C848" s="1">
        <v>37.460906127100003</v>
      </c>
      <c r="D848" s="1">
        <v>-7.11577916334</v>
      </c>
      <c r="E848" s="3">
        <v>1</v>
      </c>
      <c r="F848" s="2">
        <v>2</v>
      </c>
      <c r="G848" s="4">
        <v>2</v>
      </c>
      <c r="H848" s="13"/>
      <c r="I848" s="15"/>
      <c r="J848" s="19">
        <v>2</v>
      </c>
      <c r="K848" s="2" t="s">
        <v>1707</v>
      </c>
      <c r="L848" s="11" t="str">
        <f t="shared" si="14"/>
        <v>Ver Imagen</v>
      </c>
      <c r="M848" t="s">
        <v>15</v>
      </c>
    </row>
    <row r="849" spans="1:13" x14ac:dyDescent="0.25">
      <c r="A849">
        <v>848</v>
      </c>
      <c r="B849" t="s">
        <v>1708</v>
      </c>
      <c r="C849" s="1">
        <v>37.4607113219</v>
      </c>
      <c r="D849" s="1">
        <v>-7.1155864381400002</v>
      </c>
      <c r="E849" s="3">
        <v>1</v>
      </c>
      <c r="F849" s="2">
        <v>2</v>
      </c>
      <c r="G849" s="4">
        <v>2</v>
      </c>
      <c r="H849" s="13"/>
      <c r="I849" s="15"/>
      <c r="J849" s="19">
        <v>2</v>
      </c>
      <c r="K849" s="2" t="s">
        <v>1709</v>
      </c>
      <c r="L849" s="11" t="str">
        <f t="shared" si="14"/>
        <v>Ver Imagen</v>
      </c>
      <c r="M849" t="s">
        <v>15</v>
      </c>
    </row>
    <row r="850" spans="1:13" x14ac:dyDescent="0.25">
      <c r="A850">
        <v>849</v>
      </c>
      <c r="B850" t="s">
        <v>1710</v>
      </c>
      <c r="C850" s="1">
        <v>37.460554192099998</v>
      </c>
      <c r="D850" s="1">
        <v>-7.1154538592099996</v>
      </c>
      <c r="E850" s="3">
        <v>1</v>
      </c>
      <c r="F850" s="2">
        <v>2</v>
      </c>
      <c r="G850" s="4">
        <v>2</v>
      </c>
      <c r="H850" s="13"/>
      <c r="I850" s="15"/>
      <c r="J850" s="19">
        <v>2</v>
      </c>
      <c r="K850" s="2" t="s">
        <v>1711</v>
      </c>
      <c r="L850" s="11" t="str">
        <f t="shared" si="14"/>
        <v>Ver Imagen</v>
      </c>
      <c r="M850" t="s">
        <v>15</v>
      </c>
    </row>
    <row r="851" spans="1:13" x14ac:dyDescent="0.25">
      <c r="A851">
        <v>850</v>
      </c>
      <c r="B851" t="s">
        <v>1712</v>
      </c>
      <c r="C851" s="1">
        <v>37.460386176900002</v>
      </c>
      <c r="D851" s="1">
        <v>-7.1153362093799997</v>
      </c>
      <c r="E851" s="3">
        <v>1</v>
      </c>
      <c r="F851" s="2">
        <v>2</v>
      </c>
      <c r="G851" s="4">
        <v>2</v>
      </c>
      <c r="H851" s="13"/>
      <c r="I851" s="15"/>
      <c r="J851" s="19">
        <v>2</v>
      </c>
      <c r="K851" s="2" t="s">
        <v>1713</v>
      </c>
      <c r="L851" s="11" t="str">
        <f t="shared" si="14"/>
        <v>Ver Imagen</v>
      </c>
      <c r="M851" t="s">
        <v>15</v>
      </c>
    </row>
    <row r="852" spans="1:13" x14ac:dyDescent="0.25">
      <c r="A852">
        <v>851</v>
      </c>
      <c r="B852" t="s">
        <v>1714</v>
      </c>
      <c r="C852" s="1">
        <v>37.4602001226</v>
      </c>
      <c r="D852" s="1">
        <v>-7.1152239470099996</v>
      </c>
      <c r="E852" s="3">
        <v>1</v>
      </c>
      <c r="F852" s="2">
        <v>2</v>
      </c>
      <c r="G852" s="4">
        <v>2</v>
      </c>
      <c r="H852" s="13"/>
      <c r="I852" s="15"/>
      <c r="J852" s="19">
        <v>2</v>
      </c>
      <c r="K852" s="2" t="s">
        <v>1715</v>
      </c>
      <c r="L852" s="11" t="str">
        <f t="shared" si="14"/>
        <v>Ver Imagen</v>
      </c>
      <c r="M852" t="s">
        <v>15</v>
      </c>
    </row>
    <row r="853" spans="1:13" x14ac:dyDescent="0.25">
      <c r="A853">
        <v>852</v>
      </c>
      <c r="B853" t="s">
        <v>1716</v>
      </c>
      <c r="C853" s="1">
        <v>37.459617800799997</v>
      </c>
      <c r="D853" s="1">
        <v>-7.1149808262200001</v>
      </c>
      <c r="E853" s="3">
        <v>1</v>
      </c>
      <c r="F853" s="2">
        <v>2</v>
      </c>
      <c r="G853" s="4">
        <v>2</v>
      </c>
      <c r="H853" s="13"/>
      <c r="I853" s="15"/>
      <c r="J853" s="19">
        <v>2</v>
      </c>
      <c r="K853" s="2" t="s">
        <v>1717</v>
      </c>
      <c r="L853" s="11" t="str">
        <f t="shared" si="14"/>
        <v>Ver Imagen</v>
      </c>
      <c r="M853" t="s">
        <v>15</v>
      </c>
    </row>
    <row r="854" spans="1:13" x14ac:dyDescent="0.25">
      <c r="A854">
        <v>853</v>
      </c>
      <c r="B854" t="s">
        <v>1718</v>
      </c>
      <c r="C854" s="1">
        <v>37.458847674600001</v>
      </c>
      <c r="D854" s="1">
        <v>-7.1147492187900001</v>
      </c>
      <c r="E854" s="3">
        <v>1</v>
      </c>
      <c r="F854" s="2">
        <v>2</v>
      </c>
      <c r="G854" s="4">
        <v>2</v>
      </c>
      <c r="H854" s="13"/>
      <c r="I854" s="15"/>
      <c r="J854" s="19">
        <v>2</v>
      </c>
      <c r="K854" s="2" t="s">
        <v>1719</v>
      </c>
      <c r="L854" s="11" t="str">
        <f t="shared" si="14"/>
        <v>Ver Imagen</v>
      </c>
      <c r="M854" t="s">
        <v>15</v>
      </c>
    </row>
    <row r="855" spans="1:13" x14ac:dyDescent="0.25">
      <c r="A855">
        <v>854</v>
      </c>
      <c r="B855" t="s">
        <v>1720</v>
      </c>
      <c r="C855" s="1">
        <v>37.458681743299998</v>
      </c>
      <c r="D855" s="1">
        <v>-7.1146735045199998</v>
      </c>
      <c r="E855" s="3">
        <v>1</v>
      </c>
      <c r="F855" s="2">
        <v>2</v>
      </c>
      <c r="G855" s="4">
        <v>2</v>
      </c>
      <c r="H855" s="13"/>
      <c r="I855" s="15"/>
      <c r="J855" s="19">
        <v>2</v>
      </c>
      <c r="K855" s="2" t="s">
        <v>1721</v>
      </c>
      <c r="L855" s="11" t="str">
        <f t="shared" si="14"/>
        <v>Ver Imagen</v>
      </c>
      <c r="M855" t="s">
        <v>15</v>
      </c>
    </row>
    <row r="856" spans="1:13" x14ac:dyDescent="0.25">
      <c r="A856">
        <v>855</v>
      </c>
      <c r="B856" t="s">
        <v>1722</v>
      </c>
      <c r="C856" s="1">
        <v>37.192929090699998</v>
      </c>
      <c r="D856" s="1">
        <v>-6.9951238774000002</v>
      </c>
      <c r="E856" s="3">
        <v>1</v>
      </c>
      <c r="F856" s="2">
        <v>2</v>
      </c>
      <c r="G856" s="4">
        <v>2</v>
      </c>
      <c r="H856" s="13"/>
      <c r="I856" s="15"/>
      <c r="J856" s="19">
        <v>2</v>
      </c>
      <c r="K856" s="2" t="s">
        <v>1723</v>
      </c>
      <c r="L856" s="11" t="str">
        <f t="shared" si="14"/>
        <v>Ver Imagen</v>
      </c>
      <c r="M856" t="s">
        <v>15</v>
      </c>
    </row>
    <row r="857" spans="1:13" x14ac:dyDescent="0.25">
      <c r="A857">
        <v>856</v>
      </c>
      <c r="B857" t="s">
        <v>1724</v>
      </c>
      <c r="C857" s="1">
        <v>37.194785580599998</v>
      </c>
      <c r="D857" s="1">
        <v>-6.9996149323700001</v>
      </c>
      <c r="E857" s="3">
        <v>1</v>
      </c>
      <c r="F857" s="2">
        <v>2</v>
      </c>
      <c r="G857" s="4">
        <v>2</v>
      </c>
      <c r="H857" s="13"/>
      <c r="I857" s="15"/>
      <c r="J857" s="19">
        <v>2</v>
      </c>
      <c r="K857" s="2" t="s">
        <v>1725</v>
      </c>
      <c r="L857" s="11" t="str">
        <f t="shared" si="14"/>
        <v>Ver Imagen</v>
      </c>
      <c r="M857" t="s">
        <v>15</v>
      </c>
    </row>
    <row r="858" spans="1:13" x14ac:dyDescent="0.25">
      <c r="A858">
        <v>857</v>
      </c>
      <c r="B858" t="s">
        <v>1726</v>
      </c>
      <c r="C858" s="1">
        <v>37.218440774400001</v>
      </c>
      <c r="D858" s="1">
        <v>-7.1249658419699999</v>
      </c>
      <c r="E858" s="3">
        <v>1</v>
      </c>
      <c r="F858" s="2">
        <v>2</v>
      </c>
      <c r="G858" s="4">
        <v>2</v>
      </c>
      <c r="H858" s="13"/>
      <c r="I858" s="15"/>
      <c r="J858" s="19">
        <v>2</v>
      </c>
      <c r="K858" s="2" t="s">
        <v>1727</v>
      </c>
      <c r="L858" s="11" t="str">
        <f t="shared" si="14"/>
        <v>Ver Imagen</v>
      </c>
      <c r="M858" t="s">
        <v>15</v>
      </c>
    </row>
    <row r="859" spans="1:13" x14ac:dyDescent="0.25">
      <c r="A859">
        <v>858</v>
      </c>
      <c r="B859" t="s">
        <v>1728</v>
      </c>
      <c r="C859" s="1">
        <v>37.218403694499997</v>
      </c>
      <c r="D859" s="1">
        <v>-7.1247209317799998</v>
      </c>
      <c r="E859" s="3">
        <v>1</v>
      </c>
      <c r="F859" s="2">
        <v>2</v>
      </c>
      <c r="G859" s="4">
        <v>2</v>
      </c>
      <c r="H859" s="13"/>
      <c r="I859" s="15"/>
      <c r="J859" s="19">
        <v>2</v>
      </c>
      <c r="K859" s="2" t="s">
        <v>1729</v>
      </c>
      <c r="L859" s="11" t="str">
        <f t="shared" si="14"/>
        <v>Ver Imagen</v>
      </c>
      <c r="M859" t="s">
        <v>15</v>
      </c>
    </row>
    <row r="860" spans="1:13" x14ac:dyDescent="0.25">
      <c r="A860">
        <v>859</v>
      </c>
      <c r="B860" t="s">
        <v>1730</v>
      </c>
      <c r="C860" s="1">
        <v>37.218370678600003</v>
      </c>
      <c r="D860" s="1">
        <v>-7.1241998203900003</v>
      </c>
      <c r="E860" s="3">
        <v>1</v>
      </c>
      <c r="F860" s="2">
        <v>2</v>
      </c>
      <c r="G860" s="4">
        <v>2</v>
      </c>
      <c r="H860" s="13"/>
      <c r="I860" s="15"/>
      <c r="J860" s="19">
        <v>2</v>
      </c>
      <c r="K860" s="2" t="s">
        <v>1731</v>
      </c>
      <c r="L860" s="11" t="str">
        <f t="shared" si="14"/>
        <v>Ver Imagen</v>
      </c>
      <c r="M860" t="s">
        <v>15</v>
      </c>
    </row>
    <row r="861" spans="1:13" x14ac:dyDescent="0.25">
      <c r="A861">
        <v>860</v>
      </c>
      <c r="B861" t="s">
        <v>1732</v>
      </c>
      <c r="C861" s="1">
        <v>37.218129223399998</v>
      </c>
      <c r="D861" s="1">
        <v>-7.1227160464599999</v>
      </c>
      <c r="E861" s="3">
        <v>1</v>
      </c>
      <c r="F861" s="2">
        <v>2</v>
      </c>
      <c r="G861" s="4">
        <v>2</v>
      </c>
      <c r="H861" s="13"/>
      <c r="I861" s="15"/>
      <c r="J861" s="19">
        <v>2</v>
      </c>
      <c r="K861" s="2" t="s">
        <v>1733</v>
      </c>
      <c r="L861" s="11" t="str">
        <f t="shared" si="14"/>
        <v>Ver Imagen</v>
      </c>
      <c r="M861" t="s">
        <v>15</v>
      </c>
    </row>
    <row r="862" spans="1:13" x14ac:dyDescent="0.25">
      <c r="A862">
        <v>861</v>
      </c>
      <c r="B862" t="s">
        <v>1734</v>
      </c>
      <c r="C862" s="1">
        <v>37.218033820899997</v>
      </c>
      <c r="D862" s="1">
        <v>-7.12052209373</v>
      </c>
      <c r="E862" s="3">
        <v>1</v>
      </c>
      <c r="F862" s="2">
        <v>2</v>
      </c>
      <c r="G862" s="4">
        <v>2</v>
      </c>
      <c r="H862" s="13"/>
      <c r="I862" s="15"/>
      <c r="J862" s="19">
        <v>2</v>
      </c>
      <c r="K862" s="2" t="s">
        <v>1735</v>
      </c>
      <c r="L862" s="11" t="str">
        <f t="shared" si="14"/>
        <v>Ver Imagen</v>
      </c>
      <c r="M862" t="s">
        <v>15</v>
      </c>
    </row>
    <row r="863" spans="1:13" x14ac:dyDescent="0.25">
      <c r="A863">
        <v>862</v>
      </c>
      <c r="B863" t="s">
        <v>1736</v>
      </c>
      <c r="C863" s="1">
        <v>37.218123278</v>
      </c>
      <c r="D863" s="1">
        <v>-7.1192430098699999</v>
      </c>
      <c r="E863" s="3">
        <v>1</v>
      </c>
      <c r="F863" s="2">
        <v>2</v>
      </c>
      <c r="G863" s="4">
        <v>2</v>
      </c>
      <c r="H863" s="13"/>
      <c r="I863" s="15"/>
      <c r="J863" s="19">
        <v>2</v>
      </c>
      <c r="K863" s="2" t="s">
        <v>1737</v>
      </c>
      <c r="L863" s="11" t="str">
        <f t="shared" si="14"/>
        <v>Ver Imagen</v>
      </c>
      <c r="M863" t="s">
        <v>15</v>
      </c>
    </row>
    <row r="864" spans="1:13" x14ac:dyDescent="0.25">
      <c r="A864">
        <v>863</v>
      </c>
      <c r="B864" t="s">
        <v>1738</v>
      </c>
      <c r="C864" s="1">
        <v>37.217965743699999</v>
      </c>
      <c r="D864" s="1">
        <v>-7.1174465506000004</v>
      </c>
      <c r="E864" s="3">
        <v>1</v>
      </c>
      <c r="F864" s="2">
        <v>2</v>
      </c>
      <c r="G864" s="4">
        <v>2</v>
      </c>
      <c r="H864" s="13"/>
      <c r="I864" s="15"/>
      <c r="J864" s="19">
        <v>2</v>
      </c>
      <c r="K864" s="2" t="s">
        <v>1739</v>
      </c>
      <c r="L864" s="11" t="str">
        <f t="shared" si="14"/>
        <v>Ver Imagen</v>
      </c>
      <c r="M864" t="s">
        <v>15</v>
      </c>
    </row>
    <row r="865" spans="1:13" x14ac:dyDescent="0.25">
      <c r="A865">
        <v>864</v>
      </c>
      <c r="B865" t="s">
        <v>1740</v>
      </c>
      <c r="C865" s="1">
        <v>37.217662902599997</v>
      </c>
      <c r="D865" s="1">
        <v>-7.1152308655100001</v>
      </c>
      <c r="E865" s="3">
        <v>1</v>
      </c>
      <c r="F865" s="2">
        <v>2</v>
      </c>
      <c r="G865" s="4">
        <v>2</v>
      </c>
      <c r="H865" s="13"/>
      <c r="I865" s="15"/>
      <c r="J865" s="19">
        <v>2</v>
      </c>
      <c r="K865" s="2" t="s">
        <v>1741</v>
      </c>
      <c r="L865" s="11" t="str">
        <f t="shared" si="14"/>
        <v>Ver Imagen</v>
      </c>
      <c r="M865" t="s">
        <v>15</v>
      </c>
    </row>
    <row r="866" spans="1:13" x14ac:dyDescent="0.25">
      <c r="A866">
        <v>865</v>
      </c>
      <c r="B866" t="s">
        <v>1742</v>
      </c>
      <c r="C866" s="1">
        <v>37.217631330000003</v>
      </c>
      <c r="D866" s="1">
        <v>-7.1149995823600003</v>
      </c>
      <c r="E866" s="3">
        <v>1</v>
      </c>
      <c r="F866" s="2">
        <v>2</v>
      </c>
      <c r="G866" s="4">
        <v>2</v>
      </c>
      <c r="H866" s="13"/>
      <c r="I866" s="15"/>
      <c r="J866" s="19">
        <v>2</v>
      </c>
      <c r="K866" s="2" t="s">
        <v>1743</v>
      </c>
      <c r="L866" s="11" t="str">
        <f t="shared" si="14"/>
        <v>Ver Imagen</v>
      </c>
      <c r="M866" t="s">
        <v>15</v>
      </c>
    </row>
    <row r="867" spans="1:13" x14ac:dyDescent="0.25">
      <c r="A867">
        <v>866</v>
      </c>
      <c r="B867" t="s">
        <v>1744</v>
      </c>
      <c r="C867" s="1">
        <v>37.217568434199997</v>
      </c>
      <c r="D867" s="1">
        <v>-7.1145055916700004</v>
      </c>
      <c r="E867" s="3">
        <v>1</v>
      </c>
      <c r="F867" s="2">
        <v>2</v>
      </c>
      <c r="G867" s="4">
        <v>2</v>
      </c>
      <c r="H867" s="13"/>
      <c r="I867" s="15"/>
      <c r="J867" s="19">
        <v>2</v>
      </c>
      <c r="K867" s="2" t="s">
        <v>1745</v>
      </c>
      <c r="L867" s="11" t="str">
        <f t="shared" si="14"/>
        <v>Ver Imagen</v>
      </c>
      <c r="M867" t="s">
        <v>15</v>
      </c>
    </row>
    <row r="868" spans="1:13" x14ac:dyDescent="0.25">
      <c r="A868">
        <v>867</v>
      </c>
      <c r="B868" t="s">
        <v>1746</v>
      </c>
      <c r="C868" s="1">
        <v>37.217536661099999</v>
      </c>
      <c r="D868" s="1">
        <v>-7.1142181901699999</v>
      </c>
      <c r="E868" s="3">
        <v>1</v>
      </c>
      <c r="F868" s="2">
        <v>2</v>
      </c>
      <c r="G868" s="4">
        <v>2</v>
      </c>
      <c r="H868" s="13"/>
      <c r="I868" s="15"/>
      <c r="J868" s="19">
        <v>2</v>
      </c>
      <c r="K868" s="2" t="s">
        <v>1747</v>
      </c>
      <c r="L868" s="11" t="str">
        <f t="shared" si="14"/>
        <v>Ver Imagen</v>
      </c>
      <c r="M868" t="s">
        <v>15</v>
      </c>
    </row>
    <row r="869" spans="1:13" x14ac:dyDescent="0.25">
      <c r="A869">
        <v>868</v>
      </c>
      <c r="B869" t="s">
        <v>1748</v>
      </c>
      <c r="C869" s="1">
        <v>37.217571334299997</v>
      </c>
      <c r="D869" s="1">
        <v>-7.1119877089700001</v>
      </c>
      <c r="E869" s="3">
        <v>1</v>
      </c>
      <c r="F869" s="2">
        <v>2</v>
      </c>
      <c r="G869" s="4">
        <v>2</v>
      </c>
      <c r="H869" s="13"/>
      <c r="I869" s="15"/>
      <c r="J869" s="19">
        <v>2</v>
      </c>
      <c r="K869" s="2" t="s">
        <v>1749</v>
      </c>
      <c r="L869" s="11" t="str">
        <f t="shared" si="14"/>
        <v>Ver Imagen</v>
      </c>
      <c r="M869" t="s">
        <v>15</v>
      </c>
    </row>
    <row r="870" spans="1:13" x14ac:dyDescent="0.25">
      <c r="A870">
        <v>869</v>
      </c>
      <c r="B870" t="s">
        <v>1750</v>
      </c>
      <c r="C870" s="1">
        <v>37.217628805700002</v>
      </c>
      <c r="D870" s="1">
        <v>-7.1107175697000002</v>
      </c>
      <c r="E870" s="3">
        <v>1</v>
      </c>
      <c r="F870" s="2">
        <v>2</v>
      </c>
      <c r="G870" s="4">
        <v>2</v>
      </c>
      <c r="H870" s="13"/>
      <c r="I870" s="15"/>
      <c r="J870" s="19">
        <v>2</v>
      </c>
      <c r="K870" s="2" t="s">
        <v>1751</v>
      </c>
      <c r="L870" s="11" t="str">
        <f t="shared" si="14"/>
        <v>Ver Imagen</v>
      </c>
      <c r="M870" t="s">
        <v>15</v>
      </c>
    </row>
    <row r="871" spans="1:13" x14ac:dyDescent="0.25">
      <c r="A871">
        <v>870</v>
      </c>
      <c r="B871" t="s">
        <v>1752</v>
      </c>
      <c r="C871" s="1">
        <v>37.217654695500002</v>
      </c>
      <c r="D871" s="1">
        <v>-7.1099498724099996</v>
      </c>
      <c r="E871" s="3">
        <v>1</v>
      </c>
      <c r="F871" s="2">
        <v>2</v>
      </c>
      <c r="G871" s="4">
        <v>2</v>
      </c>
      <c r="H871" s="13"/>
      <c r="I871" s="15"/>
      <c r="J871" s="19">
        <v>2</v>
      </c>
      <c r="K871" s="2" t="s">
        <v>1753</v>
      </c>
      <c r="L871" s="11" t="str">
        <f t="shared" si="14"/>
        <v>Ver Imagen</v>
      </c>
      <c r="M871" t="s">
        <v>15</v>
      </c>
    </row>
    <row r="872" spans="1:13" x14ac:dyDescent="0.25">
      <c r="A872">
        <v>871</v>
      </c>
      <c r="B872" t="s">
        <v>1754</v>
      </c>
      <c r="C872" s="1">
        <v>37.2176532581</v>
      </c>
      <c r="D872" s="1">
        <v>-7.1096820949600001</v>
      </c>
      <c r="E872" s="3">
        <v>1</v>
      </c>
      <c r="F872" s="2">
        <v>2</v>
      </c>
      <c r="G872" s="4">
        <v>2</v>
      </c>
      <c r="H872" s="13"/>
      <c r="I872" s="15"/>
      <c r="J872" s="19">
        <v>2</v>
      </c>
      <c r="K872" s="2" t="s">
        <v>1755</v>
      </c>
      <c r="L872" s="11" t="str">
        <f t="shared" si="14"/>
        <v>Ver Imagen</v>
      </c>
      <c r="M872" t="s">
        <v>15</v>
      </c>
    </row>
    <row r="873" spans="1:13" x14ac:dyDescent="0.25">
      <c r="A873">
        <v>872</v>
      </c>
      <c r="B873" t="s">
        <v>1756</v>
      </c>
      <c r="C873" s="1">
        <v>37.217597098100001</v>
      </c>
      <c r="D873" s="1">
        <v>-7.1089546803300001</v>
      </c>
      <c r="E873" s="3">
        <v>1</v>
      </c>
      <c r="F873" s="2">
        <v>2</v>
      </c>
      <c r="G873" s="4">
        <v>2</v>
      </c>
      <c r="H873" s="13"/>
      <c r="I873" s="15"/>
      <c r="J873" s="19">
        <v>2</v>
      </c>
      <c r="K873" s="2" t="s">
        <v>1757</v>
      </c>
      <c r="L873" s="11" t="str">
        <f t="shared" si="14"/>
        <v>Ver Imagen</v>
      </c>
      <c r="M873" t="s">
        <v>15</v>
      </c>
    </row>
    <row r="874" spans="1:13" x14ac:dyDescent="0.25">
      <c r="A874">
        <v>873</v>
      </c>
      <c r="B874" t="s">
        <v>1758</v>
      </c>
      <c r="C874" s="1">
        <v>37.2175286684</v>
      </c>
      <c r="D874" s="1">
        <v>-7.1084601883999996</v>
      </c>
      <c r="E874" s="3">
        <v>1</v>
      </c>
      <c r="F874" s="2">
        <v>2</v>
      </c>
      <c r="G874" s="4">
        <v>2</v>
      </c>
      <c r="H874" s="13"/>
      <c r="I874" s="15"/>
      <c r="J874" s="19">
        <v>2</v>
      </c>
      <c r="K874" s="2" t="s">
        <v>1759</v>
      </c>
      <c r="L874" s="11" t="str">
        <f t="shared" si="14"/>
        <v>Ver Imagen</v>
      </c>
      <c r="M874" t="s">
        <v>15</v>
      </c>
    </row>
    <row r="875" spans="1:13" x14ac:dyDescent="0.25">
      <c r="A875">
        <v>874</v>
      </c>
      <c r="B875" t="s">
        <v>1760</v>
      </c>
      <c r="C875" s="1">
        <v>37.217416203100001</v>
      </c>
      <c r="D875" s="1">
        <v>-7.1077097266999996</v>
      </c>
      <c r="E875" s="3">
        <v>1</v>
      </c>
      <c r="F875" s="2">
        <v>2</v>
      </c>
      <c r="G875" s="4">
        <v>2</v>
      </c>
      <c r="H875" s="13"/>
      <c r="I875" s="15"/>
      <c r="J875" s="19">
        <v>2</v>
      </c>
      <c r="K875" s="2" t="s">
        <v>1761</v>
      </c>
      <c r="L875" s="11" t="str">
        <f t="shared" si="14"/>
        <v>Ver Imagen</v>
      </c>
      <c r="M875" t="s">
        <v>15</v>
      </c>
    </row>
    <row r="876" spans="1:13" x14ac:dyDescent="0.25">
      <c r="A876">
        <v>875</v>
      </c>
      <c r="B876" t="s">
        <v>1762</v>
      </c>
      <c r="C876" s="1">
        <v>37.217378334300001</v>
      </c>
      <c r="D876" s="1">
        <v>-7.1074569004199999</v>
      </c>
      <c r="E876" s="3">
        <v>1</v>
      </c>
      <c r="F876" s="2">
        <v>2</v>
      </c>
      <c r="G876" s="4">
        <v>2</v>
      </c>
      <c r="H876" s="13"/>
      <c r="I876" s="15"/>
      <c r="J876" s="19">
        <v>2</v>
      </c>
      <c r="K876" s="2" t="s">
        <v>1763</v>
      </c>
      <c r="L876" s="11" t="str">
        <f t="shared" si="14"/>
        <v>Ver Imagen</v>
      </c>
      <c r="M876" t="s">
        <v>15</v>
      </c>
    </row>
    <row r="877" spans="1:13" x14ac:dyDescent="0.25">
      <c r="A877">
        <v>876</v>
      </c>
      <c r="B877" t="s">
        <v>1764</v>
      </c>
      <c r="C877" s="1">
        <v>37.217346823699998</v>
      </c>
      <c r="D877" s="1">
        <v>-7.1072404280499999</v>
      </c>
      <c r="E877" s="3">
        <v>1</v>
      </c>
      <c r="F877" s="2">
        <v>2</v>
      </c>
      <c r="G877" s="4">
        <v>2</v>
      </c>
      <c r="H877" s="13"/>
      <c r="I877" s="15"/>
      <c r="J877" s="19">
        <v>2</v>
      </c>
      <c r="K877" s="2" t="s">
        <v>1765</v>
      </c>
      <c r="L877" s="11" t="str">
        <f t="shared" si="14"/>
        <v>Ver Imagen</v>
      </c>
      <c r="M877" t="s">
        <v>15</v>
      </c>
    </row>
    <row r="878" spans="1:13" x14ac:dyDescent="0.25">
      <c r="A878">
        <v>877</v>
      </c>
      <c r="B878" t="s">
        <v>1766</v>
      </c>
      <c r="C878" s="1">
        <v>37.217013741999999</v>
      </c>
      <c r="D878" s="1">
        <v>-7.1044525390300004</v>
      </c>
      <c r="E878" s="3">
        <v>1</v>
      </c>
      <c r="F878" s="2">
        <v>2</v>
      </c>
      <c r="G878" s="4">
        <v>2</v>
      </c>
      <c r="H878" s="13"/>
      <c r="I878" s="15"/>
      <c r="J878" s="19">
        <v>2</v>
      </c>
      <c r="K878" s="2" t="s">
        <v>1767</v>
      </c>
      <c r="L878" s="11" t="str">
        <f t="shared" si="14"/>
        <v>Ver Imagen</v>
      </c>
      <c r="M878" t="s">
        <v>15</v>
      </c>
    </row>
    <row r="879" spans="1:13" x14ac:dyDescent="0.25">
      <c r="A879">
        <v>878</v>
      </c>
      <c r="B879" t="s">
        <v>1768</v>
      </c>
      <c r="C879" s="1">
        <v>37.2169908949</v>
      </c>
      <c r="D879" s="1">
        <v>-7.1041874463300001</v>
      </c>
      <c r="E879" s="3">
        <v>1</v>
      </c>
      <c r="F879" s="2">
        <v>2</v>
      </c>
      <c r="G879" s="4">
        <v>2</v>
      </c>
      <c r="H879" s="13"/>
      <c r="I879" s="15"/>
      <c r="J879" s="19">
        <v>2</v>
      </c>
      <c r="K879" s="2" t="s">
        <v>1769</v>
      </c>
      <c r="L879" s="11" t="str">
        <f t="shared" si="14"/>
        <v>Ver Imagen</v>
      </c>
      <c r="M879" t="s">
        <v>15</v>
      </c>
    </row>
    <row r="880" spans="1:13" x14ac:dyDescent="0.25">
      <c r="A880">
        <v>879</v>
      </c>
      <c r="B880" t="s">
        <v>1770</v>
      </c>
      <c r="C880" s="1">
        <v>37.216970600800003</v>
      </c>
      <c r="D880" s="1">
        <v>-7.1039695836499996</v>
      </c>
      <c r="E880" s="3">
        <v>1</v>
      </c>
      <c r="F880" s="2">
        <v>2</v>
      </c>
      <c r="G880" s="4">
        <v>2</v>
      </c>
      <c r="H880" s="13"/>
      <c r="I880" s="15"/>
      <c r="J880" s="19">
        <v>2</v>
      </c>
      <c r="K880" s="2" t="s">
        <v>1771</v>
      </c>
      <c r="L880" s="11" t="str">
        <f t="shared" si="14"/>
        <v>Ver Imagen</v>
      </c>
      <c r="M880" t="s">
        <v>15</v>
      </c>
    </row>
    <row r="881" spans="1:13" x14ac:dyDescent="0.25">
      <c r="A881">
        <v>880</v>
      </c>
      <c r="B881" t="s">
        <v>1772</v>
      </c>
      <c r="C881" s="1">
        <v>37.216864647400001</v>
      </c>
      <c r="D881" s="1">
        <v>-7.1027120650000004</v>
      </c>
      <c r="E881" s="3">
        <v>1</v>
      </c>
      <c r="F881" s="2">
        <v>2</v>
      </c>
      <c r="G881" s="4">
        <v>2</v>
      </c>
      <c r="H881" s="13"/>
      <c r="I881" s="15"/>
      <c r="J881" s="19">
        <v>2</v>
      </c>
      <c r="K881" s="2" t="s">
        <v>1773</v>
      </c>
      <c r="L881" s="11" t="str">
        <f t="shared" si="14"/>
        <v>Ver Imagen</v>
      </c>
      <c r="M881" t="s">
        <v>15</v>
      </c>
    </row>
    <row r="882" spans="1:13" x14ac:dyDescent="0.25">
      <c r="A882">
        <v>881</v>
      </c>
      <c r="B882" t="s">
        <v>1774</v>
      </c>
      <c r="C882" s="1">
        <v>37.216817804900003</v>
      </c>
      <c r="D882" s="1">
        <v>-7.1022066214299997</v>
      </c>
      <c r="E882" s="3">
        <v>1</v>
      </c>
      <c r="F882" s="2">
        <v>2</v>
      </c>
      <c r="G882" s="4">
        <v>2</v>
      </c>
      <c r="H882" s="13"/>
      <c r="I882" s="15"/>
      <c r="J882" s="19">
        <v>2</v>
      </c>
      <c r="K882" s="2" t="s">
        <v>1775</v>
      </c>
      <c r="L882" s="11" t="str">
        <f t="shared" si="14"/>
        <v>Ver Imagen</v>
      </c>
      <c r="M882" t="s">
        <v>15</v>
      </c>
    </row>
    <row r="883" spans="1:13" x14ac:dyDescent="0.25">
      <c r="A883">
        <v>882</v>
      </c>
      <c r="B883" t="s">
        <v>1776</v>
      </c>
      <c r="C883" s="1">
        <v>37.2167792511</v>
      </c>
      <c r="D883" s="1">
        <v>-7.1016791743400001</v>
      </c>
      <c r="E883" s="3">
        <v>1</v>
      </c>
      <c r="F883" s="2">
        <v>2</v>
      </c>
      <c r="G883" s="4">
        <v>2</v>
      </c>
      <c r="H883" s="13"/>
      <c r="I883" s="15"/>
      <c r="J883" s="19">
        <v>2</v>
      </c>
      <c r="K883" s="2" t="s">
        <v>1777</v>
      </c>
      <c r="L883" s="11" t="str">
        <f t="shared" si="14"/>
        <v>Ver Imagen</v>
      </c>
      <c r="M883" t="s">
        <v>15</v>
      </c>
    </row>
    <row r="884" spans="1:13" x14ac:dyDescent="0.25">
      <c r="A884">
        <v>883</v>
      </c>
      <c r="B884" t="s">
        <v>1778</v>
      </c>
      <c r="C884" s="1">
        <v>37.216867725</v>
      </c>
      <c r="D884" s="1">
        <v>-7.1009316068699997</v>
      </c>
      <c r="E884" s="3">
        <v>1</v>
      </c>
      <c r="F884" s="2">
        <v>2</v>
      </c>
      <c r="G884" s="4">
        <v>2</v>
      </c>
      <c r="H884" s="13"/>
      <c r="I884" s="15"/>
      <c r="J884" s="19">
        <v>2</v>
      </c>
      <c r="K884" s="2" t="s">
        <v>1779</v>
      </c>
      <c r="L884" s="11" t="str">
        <f t="shared" si="14"/>
        <v>Ver Imagen</v>
      </c>
      <c r="M884" t="s">
        <v>15</v>
      </c>
    </row>
    <row r="885" spans="1:13" x14ac:dyDescent="0.25">
      <c r="A885">
        <v>884</v>
      </c>
      <c r="B885" t="s">
        <v>1780</v>
      </c>
      <c r="C885" s="1">
        <v>37.217005262199997</v>
      </c>
      <c r="D885" s="1">
        <v>-7.0991570999300002</v>
      </c>
      <c r="E885" s="3">
        <v>1</v>
      </c>
      <c r="F885" s="2">
        <v>2</v>
      </c>
      <c r="G885" s="4">
        <v>2</v>
      </c>
      <c r="H885" s="13"/>
      <c r="I885" s="15"/>
      <c r="J885" s="19">
        <v>2</v>
      </c>
      <c r="K885" s="2" t="s">
        <v>1781</v>
      </c>
      <c r="L885" s="11" t="str">
        <f t="shared" si="14"/>
        <v>Ver Imagen</v>
      </c>
      <c r="M885" t="s">
        <v>15</v>
      </c>
    </row>
    <row r="886" spans="1:13" x14ac:dyDescent="0.25">
      <c r="A886">
        <v>885</v>
      </c>
      <c r="B886" t="s">
        <v>1782</v>
      </c>
      <c r="C886" s="1">
        <v>37.216957080999997</v>
      </c>
      <c r="D886" s="1">
        <v>-7.0986775611299997</v>
      </c>
      <c r="E886" s="3">
        <v>1</v>
      </c>
      <c r="F886" s="2">
        <v>2</v>
      </c>
      <c r="G886" s="4">
        <v>2</v>
      </c>
      <c r="H886" s="13"/>
      <c r="I886" s="15"/>
      <c r="J886" s="19">
        <v>2</v>
      </c>
      <c r="K886" s="2" t="s">
        <v>1783</v>
      </c>
      <c r="L886" s="11" t="str">
        <f t="shared" si="14"/>
        <v>Ver Imagen</v>
      </c>
      <c r="M886" t="s">
        <v>15</v>
      </c>
    </row>
    <row r="887" spans="1:13" x14ac:dyDescent="0.25">
      <c r="A887">
        <v>886</v>
      </c>
      <c r="B887" t="s">
        <v>1784</v>
      </c>
      <c r="C887" s="1">
        <v>37.216928539199998</v>
      </c>
      <c r="D887" s="1">
        <v>-7.0983858877300001</v>
      </c>
      <c r="E887" s="3">
        <v>1</v>
      </c>
      <c r="F887" s="2">
        <v>2</v>
      </c>
      <c r="G887" s="4">
        <v>2</v>
      </c>
      <c r="H887" s="13"/>
      <c r="I887" s="15"/>
      <c r="J887" s="19">
        <v>2</v>
      </c>
      <c r="K887" s="2" t="s">
        <v>1785</v>
      </c>
      <c r="L887" s="11" t="str">
        <f t="shared" si="14"/>
        <v>Ver Imagen</v>
      </c>
      <c r="M887" t="s">
        <v>15</v>
      </c>
    </row>
    <row r="888" spans="1:13" x14ac:dyDescent="0.25">
      <c r="A888">
        <v>887</v>
      </c>
      <c r="B888" t="s">
        <v>1786</v>
      </c>
      <c r="C888" s="1">
        <v>37.216903589399998</v>
      </c>
      <c r="D888" s="1">
        <v>-7.0981368711700004</v>
      </c>
      <c r="E888" s="3">
        <v>1</v>
      </c>
      <c r="F888" s="2">
        <v>2</v>
      </c>
      <c r="G888" s="4">
        <v>2</v>
      </c>
      <c r="H888" s="13"/>
      <c r="I888" s="15"/>
      <c r="J888" s="19">
        <v>2</v>
      </c>
      <c r="K888" s="2" t="s">
        <v>1787</v>
      </c>
      <c r="L888" s="11" t="str">
        <f t="shared" si="14"/>
        <v>Ver Imagen</v>
      </c>
      <c r="M888" t="s">
        <v>15</v>
      </c>
    </row>
    <row r="889" spans="1:13" x14ac:dyDescent="0.25">
      <c r="A889">
        <v>888</v>
      </c>
      <c r="B889" t="s">
        <v>1788</v>
      </c>
      <c r="C889" s="1">
        <v>37.2168533758</v>
      </c>
      <c r="D889" s="1">
        <v>-7.0976585724500003</v>
      </c>
      <c r="E889" s="3">
        <v>1</v>
      </c>
      <c r="F889" s="2">
        <v>2</v>
      </c>
      <c r="G889" s="4">
        <v>2</v>
      </c>
      <c r="H889" s="13"/>
      <c r="I889" s="15"/>
      <c r="J889" s="19">
        <v>2</v>
      </c>
      <c r="K889" s="2" t="s">
        <v>1789</v>
      </c>
      <c r="L889" s="11" t="str">
        <f t="shared" si="14"/>
        <v>Ver Imagen</v>
      </c>
      <c r="M889" t="s">
        <v>15</v>
      </c>
    </row>
    <row r="890" spans="1:13" x14ac:dyDescent="0.25">
      <c r="A890">
        <v>889</v>
      </c>
      <c r="B890" t="s">
        <v>1790</v>
      </c>
      <c r="C890" s="1">
        <v>37.216825625699997</v>
      </c>
      <c r="D890" s="1">
        <v>-7.09739327506</v>
      </c>
      <c r="E890" s="3">
        <v>1</v>
      </c>
      <c r="F890" s="2">
        <v>2</v>
      </c>
      <c r="G890" s="4">
        <v>2</v>
      </c>
      <c r="H890" s="13"/>
      <c r="I890" s="15"/>
      <c r="J890" s="19">
        <v>2</v>
      </c>
      <c r="K890" s="2" t="s">
        <v>1791</v>
      </c>
      <c r="L890" s="11" t="str">
        <f t="shared" si="14"/>
        <v>Ver Imagen</v>
      </c>
      <c r="M890" t="s">
        <v>15</v>
      </c>
    </row>
    <row r="891" spans="1:13" x14ac:dyDescent="0.25">
      <c r="A891">
        <v>890</v>
      </c>
      <c r="B891" t="s">
        <v>1792</v>
      </c>
      <c r="C891" s="1">
        <v>37.216734219899998</v>
      </c>
      <c r="D891" s="1">
        <v>-7.0964057678400003</v>
      </c>
      <c r="E891" s="3">
        <v>1</v>
      </c>
      <c r="F891" s="2">
        <v>2</v>
      </c>
      <c r="G891" s="4">
        <v>2</v>
      </c>
      <c r="H891" s="13"/>
      <c r="I891" s="15"/>
      <c r="J891" s="19">
        <v>2</v>
      </c>
      <c r="K891" s="2" t="s">
        <v>1793</v>
      </c>
      <c r="L891" s="11" t="str">
        <f t="shared" si="14"/>
        <v>Ver Imagen</v>
      </c>
      <c r="M891" t="s">
        <v>15</v>
      </c>
    </row>
    <row r="892" spans="1:13" x14ac:dyDescent="0.25">
      <c r="A892">
        <v>891</v>
      </c>
      <c r="B892" t="s">
        <v>1794</v>
      </c>
      <c r="C892" s="1">
        <v>37.2166172413</v>
      </c>
      <c r="D892" s="1">
        <v>-7.0949539474099996</v>
      </c>
      <c r="E892" s="3">
        <v>1</v>
      </c>
      <c r="F892" s="2">
        <v>2</v>
      </c>
      <c r="G892" s="4">
        <v>2</v>
      </c>
      <c r="H892" s="13"/>
      <c r="I892" s="15"/>
      <c r="J892" s="19">
        <v>2</v>
      </c>
      <c r="K892" s="2" t="s">
        <v>1795</v>
      </c>
      <c r="L892" s="11" t="str">
        <f t="shared" si="14"/>
        <v>Ver Imagen</v>
      </c>
      <c r="M892" t="s">
        <v>15</v>
      </c>
    </row>
    <row r="893" spans="1:13" x14ac:dyDescent="0.25">
      <c r="A893">
        <v>892</v>
      </c>
      <c r="B893" t="s">
        <v>1796</v>
      </c>
      <c r="C893" s="1">
        <v>37.2166219478</v>
      </c>
      <c r="D893" s="1">
        <v>-7.0946670861900003</v>
      </c>
      <c r="E893" s="3">
        <v>1</v>
      </c>
      <c r="F893" s="2">
        <v>2</v>
      </c>
      <c r="G893" s="4">
        <v>2</v>
      </c>
      <c r="H893" s="13"/>
      <c r="I893" s="15"/>
      <c r="J893" s="19">
        <v>2</v>
      </c>
      <c r="K893" s="2" t="s">
        <v>1797</v>
      </c>
      <c r="L893" s="11" t="str">
        <f t="shared" si="14"/>
        <v>Ver Imagen</v>
      </c>
      <c r="M893" t="s">
        <v>15</v>
      </c>
    </row>
    <row r="894" spans="1:13" x14ac:dyDescent="0.25">
      <c r="A894">
        <v>893</v>
      </c>
      <c r="B894" t="s">
        <v>1798</v>
      </c>
      <c r="C894" s="1">
        <v>37.216180904200002</v>
      </c>
      <c r="D894" s="1">
        <v>-7.09064243117</v>
      </c>
      <c r="E894" s="3">
        <v>1</v>
      </c>
      <c r="F894" s="2">
        <v>2</v>
      </c>
      <c r="G894" s="4">
        <v>2</v>
      </c>
      <c r="H894" s="13"/>
      <c r="I894" s="15"/>
      <c r="J894" s="19">
        <v>2</v>
      </c>
      <c r="K894" s="2" t="s">
        <v>1799</v>
      </c>
      <c r="L894" s="11" t="str">
        <f t="shared" si="14"/>
        <v>Ver Imagen</v>
      </c>
      <c r="M894" t="s">
        <v>15</v>
      </c>
    </row>
    <row r="895" spans="1:13" x14ac:dyDescent="0.25">
      <c r="A895">
        <v>894</v>
      </c>
      <c r="B895" t="s">
        <v>1800</v>
      </c>
      <c r="C895" s="1">
        <v>37.216154169299998</v>
      </c>
      <c r="D895" s="1">
        <v>-7.0904205775999998</v>
      </c>
      <c r="E895" s="3">
        <v>1</v>
      </c>
      <c r="F895" s="2">
        <v>2</v>
      </c>
      <c r="G895" s="4">
        <v>2</v>
      </c>
      <c r="H895" s="13"/>
      <c r="I895" s="15"/>
      <c r="J895" s="19">
        <v>2</v>
      </c>
      <c r="K895" s="2" t="s">
        <v>1801</v>
      </c>
      <c r="L895" s="11" t="str">
        <f t="shared" si="14"/>
        <v>Ver Imagen</v>
      </c>
      <c r="M895" t="s">
        <v>15</v>
      </c>
    </row>
    <row r="896" spans="1:13" x14ac:dyDescent="0.25">
      <c r="A896">
        <v>895</v>
      </c>
      <c r="B896" t="s">
        <v>1802</v>
      </c>
      <c r="C896" s="1">
        <v>37.216064506000002</v>
      </c>
      <c r="D896" s="1">
        <v>-7.0893630847200004</v>
      </c>
      <c r="E896" s="3">
        <v>1</v>
      </c>
      <c r="F896" s="2">
        <v>2</v>
      </c>
      <c r="G896" s="4">
        <v>2</v>
      </c>
      <c r="H896" s="13"/>
      <c r="I896" s="15"/>
      <c r="J896" s="19">
        <v>2</v>
      </c>
      <c r="K896" s="2" t="s">
        <v>1803</v>
      </c>
      <c r="L896" s="11" t="str">
        <f t="shared" si="14"/>
        <v>Ver Imagen</v>
      </c>
      <c r="M896" t="s">
        <v>15</v>
      </c>
    </row>
    <row r="897" spans="1:13" x14ac:dyDescent="0.25">
      <c r="A897">
        <v>896</v>
      </c>
      <c r="B897" t="s">
        <v>1804</v>
      </c>
      <c r="C897" s="1">
        <v>37.2160544316</v>
      </c>
      <c r="D897" s="1">
        <v>-7.0891554661000002</v>
      </c>
      <c r="E897" s="3">
        <v>1</v>
      </c>
      <c r="F897" s="2">
        <v>2</v>
      </c>
      <c r="G897" s="4">
        <v>2</v>
      </c>
      <c r="H897" s="13"/>
      <c r="I897" s="15"/>
      <c r="J897" s="19">
        <v>2</v>
      </c>
      <c r="K897" s="2" t="s">
        <v>1805</v>
      </c>
      <c r="L897" s="11" t="str">
        <f t="shared" si="14"/>
        <v>Ver Imagen</v>
      </c>
      <c r="M897" t="s">
        <v>15</v>
      </c>
    </row>
    <row r="898" spans="1:13" x14ac:dyDescent="0.25">
      <c r="A898">
        <v>897</v>
      </c>
      <c r="B898" t="s">
        <v>1806</v>
      </c>
      <c r="C898" s="1">
        <v>37.216037315900003</v>
      </c>
      <c r="D898" s="1">
        <v>-7.0886864565599996</v>
      </c>
      <c r="E898" s="3">
        <v>1</v>
      </c>
      <c r="F898" s="2">
        <v>2</v>
      </c>
      <c r="G898" s="4">
        <v>2</v>
      </c>
      <c r="H898" s="13"/>
      <c r="I898" s="15"/>
      <c r="J898" s="19">
        <v>2</v>
      </c>
      <c r="K898" s="2" t="s">
        <v>1807</v>
      </c>
      <c r="L898" s="11" t="str">
        <f t="shared" si="14"/>
        <v>Ver Imagen</v>
      </c>
      <c r="M898" t="s">
        <v>15</v>
      </c>
    </row>
    <row r="899" spans="1:13" x14ac:dyDescent="0.25">
      <c r="A899">
        <v>898</v>
      </c>
      <c r="B899" t="s">
        <v>1808</v>
      </c>
      <c r="C899" s="1">
        <v>37.216030989499998</v>
      </c>
      <c r="D899" s="1">
        <v>-7.0883868255799998</v>
      </c>
      <c r="E899" s="3">
        <v>1</v>
      </c>
      <c r="F899" s="2">
        <v>2</v>
      </c>
      <c r="G899" s="4">
        <v>2</v>
      </c>
      <c r="H899" s="13"/>
      <c r="I899" s="15"/>
      <c r="J899" s="19">
        <v>2</v>
      </c>
      <c r="K899" s="2" t="s">
        <v>1809</v>
      </c>
      <c r="L899" s="11" t="str">
        <f t="shared" ref="L899:L962" si="15">HYPERLINK("2\1\" &amp; K899, "Ver Imagen")</f>
        <v>Ver Imagen</v>
      </c>
      <c r="M899" t="s">
        <v>15</v>
      </c>
    </row>
    <row r="900" spans="1:13" x14ac:dyDescent="0.25">
      <c r="A900">
        <v>899</v>
      </c>
      <c r="B900" t="s">
        <v>1810</v>
      </c>
      <c r="C900" s="1">
        <v>37.216027439800001</v>
      </c>
      <c r="D900" s="1">
        <v>-7.0881095943199997</v>
      </c>
      <c r="E900" s="3">
        <v>1</v>
      </c>
      <c r="F900" s="2">
        <v>2</v>
      </c>
      <c r="G900" s="4">
        <v>2</v>
      </c>
      <c r="H900" s="13"/>
      <c r="I900" s="15"/>
      <c r="J900" s="19">
        <v>2</v>
      </c>
      <c r="K900" s="2" t="s">
        <v>1811</v>
      </c>
      <c r="L900" s="11" t="str">
        <f t="shared" si="15"/>
        <v>Ver Imagen</v>
      </c>
      <c r="M900" t="s">
        <v>15</v>
      </c>
    </row>
    <row r="901" spans="1:13" x14ac:dyDescent="0.25">
      <c r="A901">
        <v>900</v>
      </c>
      <c r="B901" t="s">
        <v>1812</v>
      </c>
      <c r="C901" s="1">
        <v>37.216024191300001</v>
      </c>
      <c r="D901" s="1">
        <v>-7.0878540600799997</v>
      </c>
      <c r="E901" s="3">
        <v>1</v>
      </c>
      <c r="F901" s="2">
        <v>2</v>
      </c>
      <c r="G901" s="4">
        <v>2</v>
      </c>
      <c r="H901" s="13"/>
      <c r="I901" s="15"/>
      <c r="J901" s="19">
        <v>2</v>
      </c>
      <c r="K901" s="2" t="s">
        <v>1813</v>
      </c>
      <c r="L901" s="11" t="str">
        <f t="shared" si="15"/>
        <v>Ver Imagen</v>
      </c>
      <c r="M901" t="s">
        <v>15</v>
      </c>
    </row>
    <row r="902" spans="1:13" x14ac:dyDescent="0.25">
      <c r="A902">
        <v>901</v>
      </c>
      <c r="B902" t="s">
        <v>1814</v>
      </c>
      <c r="C902" s="1">
        <v>37.216019642600003</v>
      </c>
      <c r="D902" s="1">
        <v>-7.0873641320800003</v>
      </c>
      <c r="E902" s="3">
        <v>1</v>
      </c>
      <c r="F902" s="2">
        <v>2</v>
      </c>
      <c r="G902" s="4">
        <v>2</v>
      </c>
      <c r="H902" s="13"/>
      <c r="I902" s="15"/>
      <c r="J902" s="19">
        <v>2</v>
      </c>
      <c r="K902" s="2" t="s">
        <v>1815</v>
      </c>
      <c r="L902" s="11" t="str">
        <f t="shared" si="15"/>
        <v>Ver Imagen</v>
      </c>
      <c r="M902" t="s">
        <v>15</v>
      </c>
    </row>
    <row r="903" spans="1:13" x14ac:dyDescent="0.25">
      <c r="A903">
        <v>902</v>
      </c>
      <c r="B903" t="s">
        <v>1816</v>
      </c>
      <c r="C903" s="1">
        <v>37.216078682099997</v>
      </c>
      <c r="D903" s="1">
        <v>-7.0858668679700001</v>
      </c>
      <c r="E903" s="3">
        <v>1</v>
      </c>
      <c r="F903" s="2">
        <v>2</v>
      </c>
      <c r="G903" s="4">
        <v>2</v>
      </c>
      <c r="H903" s="13"/>
      <c r="I903" s="15"/>
      <c r="J903" s="19">
        <v>2</v>
      </c>
      <c r="K903" s="2" t="s">
        <v>1817</v>
      </c>
      <c r="L903" s="11" t="str">
        <f t="shared" si="15"/>
        <v>Ver Imagen</v>
      </c>
      <c r="M903" t="s">
        <v>15</v>
      </c>
    </row>
    <row r="904" spans="1:13" x14ac:dyDescent="0.25">
      <c r="A904">
        <v>903</v>
      </c>
      <c r="B904" t="s">
        <v>1818</v>
      </c>
      <c r="C904" s="1">
        <v>37.216107016700001</v>
      </c>
      <c r="D904" s="1">
        <v>-7.0856468670000003</v>
      </c>
      <c r="E904" s="3">
        <v>1</v>
      </c>
      <c r="F904" s="2">
        <v>2</v>
      </c>
      <c r="G904" s="4">
        <v>2</v>
      </c>
      <c r="H904" s="13"/>
      <c r="I904" s="15"/>
      <c r="J904" s="19">
        <v>2</v>
      </c>
      <c r="K904" s="2" t="s">
        <v>1819</v>
      </c>
      <c r="L904" s="11" t="str">
        <f t="shared" si="15"/>
        <v>Ver Imagen</v>
      </c>
      <c r="M904" t="s">
        <v>15</v>
      </c>
    </row>
    <row r="905" spans="1:13" x14ac:dyDescent="0.25">
      <c r="A905">
        <v>904</v>
      </c>
      <c r="B905" t="s">
        <v>1820</v>
      </c>
      <c r="C905" s="1">
        <v>37.216207537199999</v>
      </c>
      <c r="D905" s="1">
        <v>-7.0848703438999996</v>
      </c>
      <c r="E905" s="3">
        <v>1</v>
      </c>
      <c r="F905" s="2">
        <v>2</v>
      </c>
      <c r="G905" s="4">
        <v>2</v>
      </c>
      <c r="H905" s="13"/>
      <c r="I905" s="15"/>
      <c r="J905" s="19">
        <v>2</v>
      </c>
      <c r="K905" s="2" t="s">
        <v>1821</v>
      </c>
      <c r="L905" s="11" t="str">
        <f t="shared" si="15"/>
        <v>Ver Imagen</v>
      </c>
      <c r="M905" t="s">
        <v>15</v>
      </c>
    </row>
    <row r="906" spans="1:13" x14ac:dyDescent="0.25">
      <c r="A906">
        <v>905</v>
      </c>
      <c r="B906" t="s">
        <v>1822</v>
      </c>
      <c r="C906" s="1">
        <v>37.216228162699998</v>
      </c>
      <c r="D906" s="1">
        <v>-7.0846039271799999</v>
      </c>
      <c r="E906" s="3">
        <v>1</v>
      </c>
      <c r="F906" s="2">
        <v>2</v>
      </c>
      <c r="G906" s="4">
        <v>2</v>
      </c>
      <c r="H906" s="13"/>
      <c r="I906" s="15"/>
      <c r="J906" s="19">
        <v>2</v>
      </c>
      <c r="K906" s="2" t="s">
        <v>1823</v>
      </c>
      <c r="L906" s="11" t="str">
        <f t="shared" si="15"/>
        <v>Ver Imagen</v>
      </c>
      <c r="M906" t="s">
        <v>15</v>
      </c>
    </row>
    <row r="907" spans="1:13" x14ac:dyDescent="0.25">
      <c r="A907">
        <v>906</v>
      </c>
      <c r="B907" t="s">
        <v>1824</v>
      </c>
      <c r="C907" s="1">
        <v>37.215710803900002</v>
      </c>
      <c r="D907" s="1">
        <v>-7.0821882566000003</v>
      </c>
      <c r="E907" s="3">
        <v>1</v>
      </c>
      <c r="F907" s="2">
        <v>2</v>
      </c>
      <c r="G907" s="4">
        <v>2</v>
      </c>
      <c r="H907" s="13"/>
      <c r="I907" s="15"/>
      <c r="J907" s="19">
        <v>2</v>
      </c>
      <c r="K907" s="2" t="s">
        <v>1825</v>
      </c>
      <c r="L907" s="11" t="str">
        <f t="shared" si="15"/>
        <v>Ver Imagen</v>
      </c>
      <c r="M907" t="s">
        <v>15</v>
      </c>
    </row>
    <row r="908" spans="1:13" x14ac:dyDescent="0.25">
      <c r="A908">
        <v>907</v>
      </c>
      <c r="B908" t="s">
        <v>1826</v>
      </c>
      <c r="C908" s="1">
        <v>37.214841423400003</v>
      </c>
      <c r="D908" s="1">
        <v>-7.0788205614999997</v>
      </c>
      <c r="E908" s="3">
        <v>1</v>
      </c>
      <c r="F908" s="2">
        <v>2</v>
      </c>
      <c r="G908" s="4">
        <v>2</v>
      </c>
      <c r="H908" s="13"/>
      <c r="I908" s="15"/>
      <c r="J908" s="19">
        <v>2</v>
      </c>
      <c r="K908" s="2" t="s">
        <v>1827</v>
      </c>
      <c r="L908" s="11" t="str">
        <f t="shared" si="15"/>
        <v>Ver Imagen</v>
      </c>
      <c r="M908" t="s">
        <v>15</v>
      </c>
    </row>
    <row r="909" spans="1:13" x14ac:dyDescent="0.25">
      <c r="A909">
        <v>908</v>
      </c>
      <c r="B909" t="s">
        <v>1828</v>
      </c>
      <c r="C909" s="1">
        <v>37.214793091399997</v>
      </c>
      <c r="D909" s="1">
        <v>-7.0785729676300004</v>
      </c>
      <c r="E909" s="3">
        <v>1</v>
      </c>
      <c r="F909" s="2">
        <v>2</v>
      </c>
      <c r="G909" s="4">
        <v>2</v>
      </c>
      <c r="H909" s="13"/>
      <c r="I909" s="15"/>
      <c r="J909" s="19">
        <v>2</v>
      </c>
      <c r="K909" s="2" t="s">
        <v>1829</v>
      </c>
      <c r="L909" s="11" t="str">
        <f t="shared" si="15"/>
        <v>Ver Imagen</v>
      </c>
      <c r="M909" t="s">
        <v>15</v>
      </c>
    </row>
    <row r="910" spans="1:13" x14ac:dyDescent="0.25">
      <c r="A910">
        <v>909</v>
      </c>
      <c r="B910" t="s">
        <v>1830</v>
      </c>
      <c r="C910" s="1">
        <v>37.214696699999998</v>
      </c>
      <c r="D910" s="1">
        <v>-7.0780679966899998</v>
      </c>
      <c r="E910" s="3">
        <v>1</v>
      </c>
      <c r="F910" s="2">
        <v>2</v>
      </c>
      <c r="G910" s="4">
        <v>2</v>
      </c>
      <c r="H910" s="13"/>
      <c r="I910" s="15"/>
      <c r="J910" s="19">
        <v>2</v>
      </c>
      <c r="K910" s="2" t="s">
        <v>1831</v>
      </c>
      <c r="L910" s="11" t="str">
        <f t="shared" si="15"/>
        <v>Ver Imagen</v>
      </c>
      <c r="M910" t="s">
        <v>15</v>
      </c>
    </row>
    <row r="911" spans="1:13" x14ac:dyDescent="0.25">
      <c r="A911">
        <v>910</v>
      </c>
      <c r="B911" t="s">
        <v>1832</v>
      </c>
      <c r="C911" s="1">
        <v>37.214091681900001</v>
      </c>
      <c r="D911" s="1">
        <v>-7.0748750810800001</v>
      </c>
      <c r="E911" s="3">
        <v>1</v>
      </c>
      <c r="F911" s="2">
        <v>2</v>
      </c>
      <c r="G911" s="4">
        <v>2</v>
      </c>
      <c r="H911" s="13"/>
      <c r="I911" s="15"/>
      <c r="J911" s="19">
        <v>2</v>
      </c>
      <c r="K911" s="2" t="s">
        <v>1833</v>
      </c>
      <c r="L911" s="11" t="str">
        <f t="shared" si="15"/>
        <v>Ver Imagen</v>
      </c>
      <c r="M911" t="s">
        <v>15</v>
      </c>
    </row>
    <row r="912" spans="1:13" x14ac:dyDescent="0.25">
      <c r="A912">
        <v>911</v>
      </c>
      <c r="B912" t="s">
        <v>1834</v>
      </c>
      <c r="C912" s="1">
        <v>37.214048502799997</v>
      </c>
      <c r="D912" s="1">
        <v>-7.0746308482</v>
      </c>
      <c r="E912" s="3">
        <v>1</v>
      </c>
      <c r="F912" s="2">
        <v>2</v>
      </c>
      <c r="G912" s="4">
        <v>2</v>
      </c>
      <c r="H912" s="13"/>
      <c r="I912" s="15"/>
      <c r="J912" s="19">
        <v>2</v>
      </c>
      <c r="K912" s="2" t="s">
        <v>1835</v>
      </c>
      <c r="L912" s="11" t="str">
        <f t="shared" si="15"/>
        <v>Ver Imagen</v>
      </c>
      <c r="M912" t="s">
        <v>15</v>
      </c>
    </row>
    <row r="913" spans="1:13" x14ac:dyDescent="0.25">
      <c r="A913">
        <v>912</v>
      </c>
      <c r="B913" t="s">
        <v>1836</v>
      </c>
      <c r="C913" s="1">
        <v>37.213927566099997</v>
      </c>
      <c r="D913" s="1">
        <v>-7.0739074421000003</v>
      </c>
      <c r="E913" s="3">
        <v>1</v>
      </c>
      <c r="F913" s="2">
        <v>2</v>
      </c>
      <c r="G913" s="4">
        <v>2</v>
      </c>
      <c r="H913" s="13"/>
      <c r="I913" s="15"/>
      <c r="J913" s="19">
        <v>2</v>
      </c>
      <c r="K913" s="2" t="s">
        <v>1837</v>
      </c>
      <c r="L913" s="11" t="str">
        <f t="shared" si="15"/>
        <v>Ver Imagen</v>
      </c>
      <c r="M913" t="s">
        <v>15</v>
      </c>
    </row>
    <row r="914" spans="1:13" x14ac:dyDescent="0.25">
      <c r="A914">
        <v>913</v>
      </c>
      <c r="B914" t="s">
        <v>1838</v>
      </c>
      <c r="C914" s="1">
        <v>37.213894554100001</v>
      </c>
      <c r="D914" s="1">
        <v>-7.0736672714799997</v>
      </c>
      <c r="E914" s="3">
        <v>1</v>
      </c>
      <c r="F914" s="2">
        <v>2</v>
      </c>
      <c r="G914" s="4">
        <v>2</v>
      </c>
      <c r="H914" s="13"/>
      <c r="I914" s="15"/>
      <c r="J914" s="19">
        <v>2</v>
      </c>
      <c r="K914" s="2" t="s">
        <v>1839</v>
      </c>
      <c r="L914" s="11" t="str">
        <f t="shared" si="15"/>
        <v>Ver Imagen</v>
      </c>
      <c r="M914" t="s">
        <v>15</v>
      </c>
    </row>
    <row r="915" spans="1:13" x14ac:dyDescent="0.25">
      <c r="A915">
        <v>914</v>
      </c>
      <c r="B915" t="s">
        <v>1840</v>
      </c>
      <c r="C915" s="1">
        <v>37.2138578932</v>
      </c>
      <c r="D915" s="1">
        <v>-7.0733785330099996</v>
      </c>
      <c r="E915" s="3">
        <v>1</v>
      </c>
      <c r="F915" s="2">
        <v>2</v>
      </c>
      <c r="G915" s="4">
        <v>2</v>
      </c>
      <c r="H915" s="13"/>
      <c r="I915" s="15"/>
      <c r="J915" s="19">
        <v>2</v>
      </c>
      <c r="K915" s="2" t="s">
        <v>1841</v>
      </c>
      <c r="L915" s="11" t="str">
        <f t="shared" si="15"/>
        <v>Ver Imagen</v>
      </c>
      <c r="M915" t="s">
        <v>15</v>
      </c>
    </row>
    <row r="916" spans="1:13" x14ac:dyDescent="0.25">
      <c r="A916">
        <v>915</v>
      </c>
      <c r="B916" t="s">
        <v>1842</v>
      </c>
      <c r="C916" s="1">
        <v>37.213639221900003</v>
      </c>
      <c r="D916" s="1">
        <v>-7.0713674187600004</v>
      </c>
      <c r="E916" s="3">
        <v>1</v>
      </c>
      <c r="F916" s="2">
        <v>2</v>
      </c>
      <c r="G916" s="4">
        <v>2</v>
      </c>
      <c r="H916" s="13"/>
      <c r="I916" s="15"/>
      <c r="J916" s="19">
        <v>2</v>
      </c>
      <c r="K916" s="2" t="s">
        <v>1843</v>
      </c>
      <c r="L916" s="11" t="str">
        <f t="shared" si="15"/>
        <v>Ver Imagen</v>
      </c>
      <c r="M916" t="s">
        <v>15</v>
      </c>
    </row>
    <row r="917" spans="1:13" x14ac:dyDescent="0.25">
      <c r="A917">
        <v>916</v>
      </c>
      <c r="B917" t="s">
        <v>1844</v>
      </c>
      <c r="C917" s="1">
        <v>37.213583560399996</v>
      </c>
      <c r="D917" s="1">
        <v>-7.07085437914</v>
      </c>
      <c r="E917" s="3">
        <v>1</v>
      </c>
      <c r="F917" s="2">
        <v>2</v>
      </c>
      <c r="G917" s="4">
        <v>2</v>
      </c>
      <c r="H917" s="13"/>
      <c r="I917" s="15"/>
      <c r="J917" s="19">
        <v>2</v>
      </c>
      <c r="K917" s="2" t="s">
        <v>1845</v>
      </c>
      <c r="L917" s="11" t="str">
        <f t="shared" si="15"/>
        <v>Ver Imagen</v>
      </c>
      <c r="M917" t="s">
        <v>15</v>
      </c>
    </row>
    <row r="918" spans="1:13" x14ac:dyDescent="0.25">
      <c r="A918">
        <v>917</v>
      </c>
      <c r="B918" t="s">
        <v>1846</v>
      </c>
      <c r="C918" s="1">
        <v>37.213467055400002</v>
      </c>
      <c r="D918" s="1">
        <v>-7.0693931059499997</v>
      </c>
      <c r="E918" s="3">
        <v>1</v>
      </c>
      <c r="F918" s="2">
        <v>2</v>
      </c>
      <c r="G918" s="4">
        <v>2</v>
      </c>
      <c r="H918" s="13"/>
      <c r="I918" s="15"/>
      <c r="J918" s="19">
        <v>2</v>
      </c>
      <c r="K918" s="2" t="s">
        <v>1847</v>
      </c>
      <c r="L918" s="11" t="str">
        <f t="shared" si="15"/>
        <v>Ver Imagen</v>
      </c>
      <c r="M918" t="s">
        <v>15</v>
      </c>
    </row>
    <row r="919" spans="1:13" x14ac:dyDescent="0.25">
      <c r="A919">
        <v>918</v>
      </c>
      <c r="B919" t="s">
        <v>1848</v>
      </c>
      <c r="C919" s="1">
        <v>37.213446159599997</v>
      </c>
      <c r="D919" s="1">
        <v>-7.0688256941300001</v>
      </c>
      <c r="E919" s="3">
        <v>1</v>
      </c>
      <c r="F919" s="2">
        <v>2</v>
      </c>
      <c r="G919" s="4">
        <v>2</v>
      </c>
      <c r="H919" s="13"/>
      <c r="I919" s="15"/>
      <c r="J919" s="19">
        <v>2</v>
      </c>
      <c r="K919" s="2" t="s">
        <v>1849</v>
      </c>
      <c r="L919" s="11" t="str">
        <f t="shared" si="15"/>
        <v>Ver Imagen</v>
      </c>
      <c r="M919" t="s">
        <v>15</v>
      </c>
    </row>
    <row r="920" spans="1:13" x14ac:dyDescent="0.25">
      <c r="A920">
        <v>919</v>
      </c>
      <c r="B920" t="s">
        <v>1850</v>
      </c>
      <c r="C920" s="1">
        <v>37.213436689300003</v>
      </c>
      <c r="D920" s="1">
        <v>-7.0685800699800003</v>
      </c>
      <c r="E920" s="3">
        <v>1</v>
      </c>
      <c r="F920" s="2">
        <v>2</v>
      </c>
      <c r="G920" s="4">
        <v>2</v>
      </c>
      <c r="H920" s="13"/>
      <c r="I920" s="15"/>
      <c r="J920" s="19">
        <v>2</v>
      </c>
      <c r="K920" s="2" t="s">
        <v>1851</v>
      </c>
      <c r="L920" s="11" t="str">
        <f t="shared" si="15"/>
        <v>Ver Imagen</v>
      </c>
      <c r="M920" t="s">
        <v>15</v>
      </c>
    </row>
    <row r="921" spans="1:13" x14ac:dyDescent="0.25">
      <c r="A921">
        <v>920</v>
      </c>
      <c r="B921" t="s">
        <v>1852</v>
      </c>
      <c r="C921" s="1">
        <v>37.2134155886</v>
      </c>
      <c r="D921" s="1">
        <v>-7.0681316409299999</v>
      </c>
      <c r="E921" s="3">
        <v>1</v>
      </c>
      <c r="F921" s="2">
        <v>2</v>
      </c>
      <c r="G921" s="4">
        <v>2</v>
      </c>
      <c r="H921" s="13"/>
      <c r="I921" s="15"/>
      <c r="J921" s="19">
        <v>2</v>
      </c>
      <c r="K921" s="2" t="s">
        <v>1853</v>
      </c>
      <c r="L921" s="11" t="str">
        <f t="shared" si="15"/>
        <v>Ver Imagen</v>
      </c>
      <c r="M921" t="s">
        <v>15</v>
      </c>
    </row>
    <row r="922" spans="1:13" x14ac:dyDescent="0.25">
      <c r="A922">
        <v>921</v>
      </c>
      <c r="B922" t="s">
        <v>1854</v>
      </c>
      <c r="C922" s="1">
        <v>37.213388007900001</v>
      </c>
      <c r="D922" s="1">
        <v>-7.0675920094500002</v>
      </c>
      <c r="E922" s="3">
        <v>1</v>
      </c>
      <c r="F922" s="2">
        <v>2</v>
      </c>
      <c r="G922" s="4">
        <v>2</v>
      </c>
      <c r="H922" s="13"/>
      <c r="I922" s="15"/>
      <c r="J922" s="19">
        <v>2</v>
      </c>
      <c r="K922" s="2" t="s">
        <v>1855</v>
      </c>
      <c r="L922" s="11" t="str">
        <f t="shared" si="15"/>
        <v>Ver Imagen</v>
      </c>
      <c r="M922" t="s">
        <v>15</v>
      </c>
    </row>
    <row r="923" spans="1:13" x14ac:dyDescent="0.25">
      <c r="A923">
        <v>922</v>
      </c>
      <c r="B923" t="s">
        <v>1856</v>
      </c>
      <c r="C923" s="1">
        <v>37.213311796399999</v>
      </c>
      <c r="D923" s="1">
        <v>-7.0656018522800004</v>
      </c>
      <c r="E923" s="3">
        <v>1</v>
      </c>
      <c r="F923" s="2">
        <v>2</v>
      </c>
      <c r="G923" s="4">
        <v>2</v>
      </c>
      <c r="H923" s="13"/>
      <c r="I923" s="15"/>
      <c r="J923" s="19">
        <v>2</v>
      </c>
      <c r="K923" s="2" t="s">
        <v>1857</v>
      </c>
      <c r="L923" s="11" t="str">
        <f t="shared" si="15"/>
        <v>Ver Imagen</v>
      </c>
      <c r="M923" t="s">
        <v>15</v>
      </c>
    </row>
    <row r="924" spans="1:13" x14ac:dyDescent="0.25">
      <c r="A924">
        <v>923</v>
      </c>
      <c r="B924" t="s">
        <v>1858</v>
      </c>
      <c r="C924" s="1">
        <v>37.2120423</v>
      </c>
      <c r="D924" s="1">
        <v>-7.05915699095</v>
      </c>
      <c r="E924" s="3">
        <v>1</v>
      </c>
      <c r="F924" s="2">
        <v>2</v>
      </c>
      <c r="G924" s="4">
        <v>2</v>
      </c>
      <c r="H924" s="13"/>
      <c r="I924" s="15"/>
      <c r="J924" s="19">
        <v>2</v>
      </c>
      <c r="K924" s="2" t="s">
        <v>1859</v>
      </c>
      <c r="L924" s="11" t="str">
        <f t="shared" si="15"/>
        <v>Ver Imagen</v>
      </c>
      <c r="M924" t="s">
        <v>15</v>
      </c>
    </row>
    <row r="925" spans="1:13" x14ac:dyDescent="0.25">
      <c r="A925">
        <v>924</v>
      </c>
      <c r="B925" t="s">
        <v>1860</v>
      </c>
      <c r="C925" s="1">
        <v>37.209942929100002</v>
      </c>
      <c r="D925" s="1">
        <v>-7.0415798907699996</v>
      </c>
      <c r="E925" s="3">
        <v>2</v>
      </c>
      <c r="F925" s="2">
        <v>2</v>
      </c>
      <c r="G925" s="4">
        <v>1</v>
      </c>
      <c r="H925" s="13"/>
      <c r="I925" s="15"/>
      <c r="J925" s="19">
        <v>2</v>
      </c>
      <c r="K925" s="2" t="s">
        <v>1861</v>
      </c>
      <c r="L925" s="11" t="str">
        <f t="shared" si="15"/>
        <v>Ver Imagen</v>
      </c>
      <c r="M925" t="s">
        <v>15</v>
      </c>
    </row>
    <row r="926" spans="1:13" x14ac:dyDescent="0.25">
      <c r="A926">
        <v>925</v>
      </c>
      <c r="B926" t="s">
        <v>1862</v>
      </c>
      <c r="C926" s="1">
        <v>37.209574632100001</v>
      </c>
      <c r="D926" s="1">
        <v>-7.0406090719399996</v>
      </c>
      <c r="E926" s="3">
        <v>2</v>
      </c>
      <c r="F926" s="2">
        <v>2</v>
      </c>
      <c r="G926" s="4">
        <v>1</v>
      </c>
      <c r="H926" s="13"/>
      <c r="I926" s="15"/>
      <c r="J926" s="19">
        <v>2</v>
      </c>
      <c r="K926" s="2" t="s">
        <v>1863</v>
      </c>
      <c r="L926" s="11" t="str">
        <f t="shared" si="15"/>
        <v>Ver Imagen</v>
      </c>
      <c r="M926" t="s">
        <v>15</v>
      </c>
    </row>
    <row r="927" spans="1:13" x14ac:dyDescent="0.25">
      <c r="A927">
        <v>926</v>
      </c>
      <c r="B927" t="s">
        <v>1864</v>
      </c>
      <c r="C927" s="1">
        <v>37.203735338900003</v>
      </c>
      <c r="D927" s="1">
        <v>-7.0254118297200003</v>
      </c>
      <c r="E927" s="3">
        <v>1</v>
      </c>
      <c r="F927" s="2">
        <v>2</v>
      </c>
      <c r="G927" s="4">
        <v>2</v>
      </c>
      <c r="H927" s="13"/>
      <c r="I927" s="15"/>
      <c r="J927" s="19">
        <v>2</v>
      </c>
      <c r="K927" s="2" t="s">
        <v>1865</v>
      </c>
      <c r="L927" s="11" t="str">
        <f t="shared" si="15"/>
        <v>Ver Imagen</v>
      </c>
      <c r="M927" t="s">
        <v>15</v>
      </c>
    </row>
    <row r="928" spans="1:13" x14ac:dyDescent="0.25">
      <c r="A928">
        <v>927</v>
      </c>
      <c r="B928" t="s">
        <v>1866</v>
      </c>
      <c r="C928" s="1">
        <v>37.203633285599999</v>
      </c>
      <c r="D928" s="1">
        <v>-7.02514779992</v>
      </c>
      <c r="E928" s="3">
        <v>1</v>
      </c>
      <c r="F928" s="2">
        <v>2</v>
      </c>
      <c r="G928" s="4">
        <v>2</v>
      </c>
      <c r="H928" s="13"/>
      <c r="I928" s="15"/>
      <c r="J928" s="19">
        <v>2</v>
      </c>
      <c r="K928" s="2" t="s">
        <v>1867</v>
      </c>
      <c r="L928" s="11" t="str">
        <f t="shared" si="15"/>
        <v>Ver Imagen</v>
      </c>
      <c r="M928" t="s">
        <v>15</v>
      </c>
    </row>
    <row r="929" spans="1:13" x14ac:dyDescent="0.25">
      <c r="A929">
        <v>928</v>
      </c>
      <c r="B929" t="s">
        <v>1868</v>
      </c>
      <c r="C929" s="1">
        <v>37.2035556294</v>
      </c>
      <c r="D929" s="1">
        <v>-7.0249483875600003</v>
      </c>
      <c r="E929" s="3">
        <v>1</v>
      </c>
      <c r="F929" s="2">
        <v>2</v>
      </c>
      <c r="G929" s="4">
        <v>2</v>
      </c>
      <c r="H929" s="13"/>
      <c r="I929" s="15"/>
      <c r="J929" s="19">
        <v>2</v>
      </c>
      <c r="K929" s="2" t="s">
        <v>1869</v>
      </c>
      <c r="L929" s="11" t="str">
        <f t="shared" si="15"/>
        <v>Ver Imagen</v>
      </c>
      <c r="M929" t="s">
        <v>15</v>
      </c>
    </row>
    <row r="930" spans="1:13" x14ac:dyDescent="0.25">
      <c r="A930">
        <v>929</v>
      </c>
      <c r="B930" t="s">
        <v>1870</v>
      </c>
      <c r="C930" s="1">
        <v>37.203375146799999</v>
      </c>
      <c r="D930" s="1">
        <v>-7.0244816588600001</v>
      </c>
      <c r="E930" s="3">
        <v>1</v>
      </c>
      <c r="F930" s="2">
        <v>2</v>
      </c>
      <c r="G930" s="4">
        <v>2</v>
      </c>
      <c r="H930" s="13"/>
      <c r="I930" s="15"/>
      <c r="J930" s="19">
        <v>2</v>
      </c>
      <c r="K930" s="2" t="s">
        <v>1871</v>
      </c>
      <c r="L930" s="11" t="str">
        <f t="shared" si="15"/>
        <v>Ver Imagen</v>
      </c>
      <c r="M930" t="s">
        <v>15</v>
      </c>
    </row>
    <row r="931" spans="1:13" x14ac:dyDescent="0.25">
      <c r="A931">
        <v>930</v>
      </c>
      <c r="B931" t="s">
        <v>1872</v>
      </c>
      <c r="C931" s="1">
        <v>37.2032014965</v>
      </c>
      <c r="D931" s="1">
        <v>-7.0240388706500001</v>
      </c>
      <c r="E931" s="3">
        <v>1</v>
      </c>
      <c r="F931" s="2">
        <v>2</v>
      </c>
      <c r="G931" s="4">
        <v>2</v>
      </c>
      <c r="H931" s="13"/>
      <c r="I931" s="15"/>
      <c r="J931" s="19">
        <v>2</v>
      </c>
      <c r="K931" s="2" t="s">
        <v>1873</v>
      </c>
      <c r="L931" s="11" t="str">
        <f t="shared" si="15"/>
        <v>Ver Imagen</v>
      </c>
      <c r="M931" t="s">
        <v>15</v>
      </c>
    </row>
    <row r="932" spans="1:13" x14ac:dyDescent="0.25">
      <c r="A932">
        <v>931</v>
      </c>
      <c r="B932" t="s">
        <v>1874</v>
      </c>
      <c r="C932" s="1">
        <v>37.201899034199997</v>
      </c>
      <c r="D932" s="1">
        <v>-7.0206404647799996</v>
      </c>
      <c r="E932" s="3">
        <v>1</v>
      </c>
      <c r="F932" s="2">
        <v>2</v>
      </c>
      <c r="G932" s="4">
        <v>2</v>
      </c>
      <c r="H932" s="13"/>
      <c r="I932" s="15"/>
      <c r="J932" s="19">
        <v>2</v>
      </c>
      <c r="K932" s="2" t="s">
        <v>1875</v>
      </c>
      <c r="L932" s="11" t="str">
        <f t="shared" si="15"/>
        <v>Ver Imagen</v>
      </c>
      <c r="M932" t="s">
        <v>15</v>
      </c>
    </row>
    <row r="933" spans="1:13" x14ac:dyDescent="0.25">
      <c r="A933">
        <v>932</v>
      </c>
      <c r="B933" t="s">
        <v>1876</v>
      </c>
      <c r="C933" s="1">
        <v>37.2016226995</v>
      </c>
      <c r="D933" s="1">
        <v>-7.0199209051100002</v>
      </c>
      <c r="E933" s="3">
        <v>1</v>
      </c>
      <c r="F933" s="2">
        <v>2</v>
      </c>
      <c r="G933" s="4">
        <v>2</v>
      </c>
      <c r="H933" s="13"/>
      <c r="I933" s="15"/>
      <c r="J933" s="19">
        <v>2</v>
      </c>
      <c r="K933" s="2" t="s">
        <v>1877</v>
      </c>
      <c r="L933" s="11" t="str">
        <f t="shared" si="15"/>
        <v>Ver Imagen</v>
      </c>
      <c r="M933" t="s">
        <v>15</v>
      </c>
    </row>
    <row r="934" spans="1:13" x14ac:dyDescent="0.25">
      <c r="A934">
        <v>933</v>
      </c>
      <c r="B934" t="s">
        <v>1878</v>
      </c>
      <c r="C934" s="1">
        <v>37.2014453424</v>
      </c>
      <c r="D934" s="1">
        <v>-7.0194540185500003</v>
      </c>
      <c r="E934" s="3">
        <v>1</v>
      </c>
      <c r="F934" s="2">
        <v>2</v>
      </c>
      <c r="G934" s="4">
        <v>2</v>
      </c>
      <c r="H934" s="13"/>
      <c r="I934" s="15"/>
      <c r="J934" s="19">
        <v>2</v>
      </c>
      <c r="K934" s="2" t="s">
        <v>1879</v>
      </c>
      <c r="L934" s="11" t="str">
        <f t="shared" si="15"/>
        <v>Ver Imagen</v>
      </c>
      <c r="M934" t="s">
        <v>15</v>
      </c>
    </row>
    <row r="935" spans="1:13" x14ac:dyDescent="0.25">
      <c r="A935">
        <v>934</v>
      </c>
      <c r="B935" t="s">
        <v>1880</v>
      </c>
      <c r="C935" s="1">
        <v>37.201286254000003</v>
      </c>
      <c r="D935" s="1">
        <v>-7.0190337232099997</v>
      </c>
      <c r="E935" s="3">
        <v>1</v>
      </c>
      <c r="F935" s="2">
        <v>2</v>
      </c>
      <c r="G935" s="4">
        <v>2</v>
      </c>
      <c r="H935" s="13"/>
      <c r="I935" s="15"/>
      <c r="J935" s="19">
        <v>2</v>
      </c>
      <c r="K935" s="2" t="s">
        <v>1881</v>
      </c>
      <c r="L935" s="11" t="str">
        <f t="shared" si="15"/>
        <v>Ver Imagen</v>
      </c>
      <c r="M935" t="s">
        <v>15</v>
      </c>
    </row>
    <row r="936" spans="1:13" x14ac:dyDescent="0.25">
      <c r="A936">
        <v>935</v>
      </c>
      <c r="B936" t="s">
        <v>1882</v>
      </c>
      <c r="C936" s="1">
        <v>37.201187577600002</v>
      </c>
      <c r="D936" s="1">
        <v>-7.0187805908299996</v>
      </c>
      <c r="E936" s="3">
        <v>1</v>
      </c>
      <c r="F936" s="2">
        <v>2</v>
      </c>
      <c r="G936" s="4">
        <v>2</v>
      </c>
      <c r="H936" s="13"/>
      <c r="I936" s="15"/>
      <c r="J936" s="19">
        <v>2</v>
      </c>
      <c r="K936" s="2" t="s">
        <v>1883</v>
      </c>
      <c r="L936" s="11" t="str">
        <f t="shared" si="15"/>
        <v>Ver Imagen</v>
      </c>
      <c r="M936" t="s">
        <v>15</v>
      </c>
    </row>
    <row r="937" spans="1:13" x14ac:dyDescent="0.25">
      <c r="A937">
        <v>936</v>
      </c>
      <c r="B937" t="s">
        <v>1884</v>
      </c>
      <c r="C937" s="1">
        <v>37.201103175</v>
      </c>
      <c r="D937" s="1">
        <v>-7.0185639015900003</v>
      </c>
      <c r="E937" s="3">
        <v>1</v>
      </c>
      <c r="F937" s="2">
        <v>2</v>
      </c>
      <c r="G937" s="4">
        <v>2</v>
      </c>
      <c r="H937" s="13"/>
      <c r="I937" s="15"/>
      <c r="J937" s="19">
        <v>2</v>
      </c>
      <c r="K937" s="2" t="s">
        <v>1885</v>
      </c>
      <c r="L937" s="11" t="str">
        <f t="shared" si="15"/>
        <v>Ver Imagen</v>
      </c>
      <c r="M937" t="s">
        <v>15</v>
      </c>
    </row>
    <row r="938" spans="1:13" x14ac:dyDescent="0.25">
      <c r="A938">
        <v>937</v>
      </c>
      <c r="B938" t="s">
        <v>1886</v>
      </c>
      <c r="C938" s="1">
        <v>37.2005817334</v>
      </c>
      <c r="D938" s="1">
        <v>-7.0172115889000004</v>
      </c>
      <c r="E938" s="3">
        <v>1</v>
      </c>
      <c r="F938" s="2">
        <v>2</v>
      </c>
      <c r="G938" s="4">
        <v>2</v>
      </c>
      <c r="H938" s="13"/>
      <c r="I938" s="15"/>
      <c r="J938" s="19">
        <v>2</v>
      </c>
      <c r="K938" s="2" t="s">
        <v>1887</v>
      </c>
      <c r="L938" s="11" t="str">
        <f t="shared" si="15"/>
        <v>Ver Imagen</v>
      </c>
      <c r="M938" t="s">
        <v>15</v>
      </c>
    </row>
    <row r="939" spans="1:13" x14ac:dyDescent="0.25">
      <c r="A939">
        <v>938</v>
      </c>
      <c r="B939" t="s">
        <v>1888</v>
      </c>
      <c r="C939" s="1">
        <v>37.1999578649</v>
      </c>
      <c r="D939" s="1">
        <v>-7.0155802544499997</v>
      </c>
      <c r="E939" s="3">
        <v>1</v>
      </c>
      <c r="F939" s="2">
        <v>2</v>
      </c>
      <c r="G939" s="4">
        <v>2</v>
      </c>
      <c r="H939" s="13"/>
      <c r="I939" s="15"/>
      <c r="J939" s="19">
        <v>2</v>
      </c>
      <c r="K939" s="2" t="s">
        <v>1889</v>
      </c>
      <c r="L939" s="11" t="str">
        <f t="shared" si="15"/>
        <v>Ver Imagen</v>
      </c>
      <c r="M939" t="s">
        <v>15</v>
      </c>
    </row>
    <row r="940" spans="1:13" x14ac:dyDescent="0.25">
      <c r="A940">
        <v>939</v>
      </c>
      <c r="B940" t="s">
        <v>1890</v>
      </c>
      <c r="C940" s="1">
        <v>37.286322060499998</v>
      </c>
      <c r="D940" s="1">
        <v>-7.1416142862900003</v>
      </c>
      <c r="E940" s="3">
        <v>1</v>
      </c>
      <c r="F940" s="2">
        <v>2</v>
      </c>
      <c r="G940" s="4">
        <v>2</v>
      </c>
      <c r="H940" s="13"/>
      <c r="I940" s="15"/>
      <c r="J940" s="19">
        <v>2</v>
      </c>
      <c r="K940" s="2" t="s">
        <v>1891</v>
      </c>
      <c r="L940" s="11" t="str">
        <f t="shared" si="15"/>
        <v>Ver Imagen</v>
      </c>
      <c r="M940" t="s">
        <v>15</v>
      </c>
    </row>
    <row r="941" spans="1:13" x14ac:dyDescent="0.25">
      <c r="A941">
        <v>940</v>
      </c>
      <c r="B941" t="s">
        <v>1892</v>
      </c>
      <c r="C941" s="1">
        <v>37.2859547479</v>
      </c>
      <c r="D941" s="1">
        <v>-7.1419144475399996</v>
      </c>
      <c r="E941" s="3">
        <v>1</v>
      </c>
      <c r="F941" s="2">
        <v>2</v>
      </c>
      <c r="G941" s="4">
        <v>2</v>
      </c>
      <c r="H941" s="13"/>
      <c r="I941" s="15"/>
      <c r="J941" s="19">
        <v>2</v>
      </c>
      <c r="K941" s="2" t="s">
        <v>1893</v>
      </c>
      <c r="L941" s="11" t="str">
        <f t="shared" si="15"/>
        <v>Ver Imagen</v>
      </c>
      <c r="M941" t="s">
        <v>15</v>
      </c>
    </row>
    <row r="942" spans="1:13" x14ac:dyDescent="0.25">
      <c r="A942">
        <v>941</v>
      </c>
      <c r="B942" t="s">
        <v>1894</v>
      </c>
      <c r="C942" s="1">
        <v>37.285820161499998</v>
      </c>
      <c r="D942" s="1">
        <v>-7.1420314753499996</v>
      </c>
      <c r="E942" s="3">
        <v>1</v>
      </c>
      <c r="F942" s="2">
        <v>2</v>
      </c>
      <c r="G942" s="4">
        <v>2</v>
      </c>
      <c r="H942" s="13"/>
      <c r="I942" s="15"/>
      <c r="J942" s="19">
        <v>2</v>
      </c>
      <c r="K942" s="2" t="s">
        <v>1895</v>
      </c>
      <c r="L942" s="11" t="str">
        <f t="shared" si="15"/>
        <v>Ver Imagen</v>
      </c>
      <c r="M942" t="s">
        <v>15</v>
      </c>
    </row>
    <row r="943" spans="1:13" x14ac:dyDescent="0.25">
      <c r="A943">
        <v>942</v>
      </c>
      <c r="B943" t="s">
        <v>1896</v>
      </c>
      <c r="C943" s="1">
        <v>37.285624333999998</v>
      </c>
      <c r="D943" s="1">
        <v>-7.1422024343499997</v>
      </c>
      <c r="E943" s="3">
        <v>1</v>
      </c>
      <c r="F943" s="2">
        <v>2</v>
      </c>
      <c r="G943" s="4">
        <v>2</v>
      </c>
      <c r="H943" s="13"/>
      <c r="I943" s="15"/>
      <c r="J943" s="19">
        <v>2</v>
      </c>
      <c r="K943" s="2" t="s">
        <v>1897</v>
      </c>
      <c r="L943" s="11" t="str">
        <f t="shared" si="15"/>
        <v>Ver Imagen</v>
      </c>
      <c r="M943" t="s">
        <v>15</v>
      </c>
    </row>
    <row r="944" spans="1:13" x14ac:dyDescent="0.25">
      <c r="A944">
        <v>943</v>
      </c>
      <c r="B944" t="s">
        <v>1898</v>
      </c>
      <c r="C944" s="1">
        <v>37.284572744899997</v>
      </c>
      <c r="D944" s="1">
        <v>-7.1431006465299998</v>
      </c>
      <c r="E944" s="3">
        <v>1</v>
      </c>
      <c r="F944" s="2">
        <v>2</v>
      </c>
      <c r="G944" s="4">
        <v>2</v>
      </c>
      <c r="H944" s="13"/>
      <c r="I944" s="15"/>
      <c r="J944" s="19">
        <v>2</v>
      </c>
      <c r="K944" s="2" t="s">
        <v>1899</v>
      </c>
      <c r="L944" s="11" t="str">
        <f t="shared" si="15"/>
        <v>Ver Imagen</v>
      </c>
      <c r="M944" t="s">
        <v>15</v>
      </c>
    </row>
    <row r="945" spans="1:13" x14ac:dyDescent="0.25">
      <c r="A945">
        <v>944</v>
      </c>
      <c r="B945" t="s">
        <v>1900</v>
      </c>
      <c r="C945" s="1">
        <v>37.283833279100001</v>
      </c>
      <c r="D945" s="1">
        <v>-7.1435347349300002</v>
      </c>
      <c r="E945" s="3">
        <v>1</v>
      </c>
      <c r="F945" s="2">
        <v>2</v>
      </c>
      <c r="G945" s="4">
        <v>2</v>
      </c>
      <c r="H945" s="13"/>
      <c r="I945" s="15"/>
      <c r="J945" s="19">
        <v>2</v>
      </c>
      <c r="K945" s="2" t="s">
        <v>1901</v>
      </c>
      <c r="L945" s="11" t="str">
        <f t="shared" si="15"/>
        <v>Ver Imagen</v>
      </c>
      <c r="M945" t="s">
        <v>15</v>
      </c>
    </row>
    <row r="946" spans="1:13" x14ac:dyDescent="0.25">
      <c r="A946">
        <v>945</v>
      </c>
      <c r="B946" t="s">
        <v>1902</v>
      </c>
      <c r="C946" s="1">
        <v>37.283264013699998</v>
      </c>
      <c r="D946" s="1">
        <v>-7.1438194882100001</v>
      </c>
      <c r="E946" s="3">
        <v>1</v>
      </c>
      <c r="F946" s="2">
        <v>2</v>
      </c>
      <c r="G946" s="4">
        <v>2</v>
      </c>
      <c r="H946" s="13"/>
      <c r="I946" s="15"/>
      <c r="J946" s="19">
        <v>2</v>
      </c>
      <c r="K946" s="2" t="s">
        <v>1903</v>
      </c>
      <c r="L946" s="11" t="str">
        <f t="shared" si="15"/>
        <v>Ver Imagen</v>
      </c>
      <c r="M946" t="s">
        <v>15</v>
      </c>
    </row>
    <row r="947" spans="1:13" x14ac:dyDescent="0.25">
      <c r="A947">
        <v>946</v>
      </c>
      <c r="B947" t="s">
        <v>1904</v>
      </c>
      <c r="C947" s="1">
        <v>37.282685751899997</v>
      </c>
      <c r="D947" s="1">
        <v>-7.1440591280200003</v>
      </c>
      <c r="E947" s="3">
        <v>1</v>
      </c>
      <c r="F947" s="2">
        <v>2</v>
      </c>
      <c r="G947" s="4">
        <v>2</v>
      </c>
      <c r="H947" s="13"/>
      <c r="I947" s="15"/>
      <c r="J947" s="19">
        <v>2</v>
      </c>
      <c r="K947" s="2" t="s">
        <v>1905</v>
      </c>
      <c r="L947" s="11" t="str">
        <f t="shared" si="15"/>
        <v>Ver Imagen</v>
      </c>
      <c r="M947" t="s">
        <v>15</v>
      </c>
    </row>
    <row r="948" spans="1:13" x14ac:dyDescent="0.25">
      <c r="A948">
        <v>947</v>
      </c>
      <c r="B948" t="s">
        <v>1906</v>
      </c>
      <c r="C948" s="1">
        <v>37.281912388199999</v>
      </c>
      <c r="D948" s="1">
        <v>-7.1443777001199997</v>
      </c>
      <c r="E948" s="3">
        <v>1</v>
      </c>
      <c r="F948" s="2">
        <v>2</v>
      </c>
      <c r="G948" s="4">
        <v>2</v>
      </c>
      <c r="H948" s="13"/>
      <c r="I948" s="15"/>
      <c r="J948" s="19">
        <v>2</v>
      </c>
      <c r="K948" s="2" t="s">
        <v>1907</v>
      </c>
      <c r="L948" s="11" t="str">
        <f t="shared" si="15"/>
        <v>Ver Imagen</v>
      </c>
      <c r="M948" t="s">
        <v>15</v>
      </c>
    </row>
    <row r="949" spans="1:13" x14ac:dyDescent="0.25">
      <c r="A949">
        <v>948</v>
      </c>
      <c r="B949" t="s">
        <v>1908</v>
      </c>
      <c r="C949" s="1">
        <v>37.281352365099998</v>
      </c>
      <c r="D949" s="1">
        <v>-7.1446630773299997</v>
      </c>
      <c r="E949" s="3">
        <v>1</v>
      </c>
      <c r="F949" s="2">
        <v>2</v>
      </c>
      <c r="G949" s="4">
        <v>2</v>
      </c>
      <c r="H949" s="13"/>
      <c r="I949" s="15"/>
      <c r="J949" s="19">
        <v>2</v>
      </c>
      <c r="K949" s="2" t="s">
        <v>1909</v>
      </c>
      <c r="L949" s="11" t="str">
        <f t="shared" si="15"/>
        <v>Ver Imagen</v>
      </c>
      <c r="M949" t="s">
        <v>15</v>
      </c>
    </row>
    <row r="950" spans="1:13" x14ac:dyDescent="0.25">
      <c r="A950">
        <v>949</v>
      </c>
      <c r="B950" t="s">
        <v>1910</v>
      </c>
      <c r="C950" s="1">
        <v>37.276797180199999</v>
      </c>
      <c r="D950" s="1">
        <v>-7.1431561239899999</v>
      </c>
      <c r="E950" s="3">
        <v>1</v>
      </c>
      <c r="F950" s="2">
        <v>2</v>
      </c>
      <c r="G950" s="4">
        <v>2</v>
      </c>
      <c r="H950" s="13"/>
      <c r="I950" s="15"/>
      <c r="J950" s="19">
        <v>2</v>
      </c>
      <c r="K950" s="2" t="s">
        <v>1911</v>
      </c>
      <c r="L950" s="11" t="str">
        <f t="shared" si="15"/>
        <v>Ver Imagen</v>
      </c>
      <c r="M950" t="s">
        <v>15</v>
      </c>
    </row>
    <row r="951" spans="1:13" x14ac:dyDescent="0.25">
      <c r="A951">
        <v>950</v>
      </c>
      <c r="B951" t="s">
        <v>1912</v>
      </c>
      <c r="C951" s="1">
        <v>37.2501027104</v>
      </c>
      <c r="D951" s="1">
        <v>-7.1272631080400002</v>
      </c>
      <c r="E951" s="3">
        <v>1</v>
      </c>
      <c r="F951" s="2">
        <v>2</v>
      </c>
      <c r="G951" s="4">
        <v>2</v>
      </c>
      <c r="H951" s="13"/>
      <c r="I951" s="15"/>
      <c r="J951" s="19">
        <v>2</v>
      </c>
      <c r="K951" s="2" t="s">
        <v>1913</v>
      </c>
      <c r="L951" s="11" t="str">
        <f t="shared" si="15"/>
        <v>Ver Imagen</v>
      </c>
      <c r="M951" t="s">
        <v>15</v>
      </c>
    </row>
    <row r="952" spans="1:13" x14ac:dyDescent="0.25">
      <c r="A952">
        <v>951</v>
      </c>
      <c r="B952" t="s">
        <v>1914</v>
      </c>
      <c r="C952" s="1">
        <v>37.249944158700004</v>
      </c>
      <c r="D952" s="1">
        <v>-7.1272878837900002</v>
      </c>
      <c r="E952" s="3">
        <v>1</v>
      </c>
      <c r="F952" s="2">
        <v>2</v>
      </c>
      <c r="G952" s="4">
        <v>2</v>
      </c>
      <c r="H952" s="13"/>
      <c r="I952" s="15"/>
      <c r="J952" s="19">
        <v>2</v>
      </c>
      <c r="K952" s="2" t="s">
        <v>1915</v>
      </c>
      <c r="L952" s="11" t="str">
        <f t="shared" si="15"/>
        <v>Ver Imagen</v>
      </c>
      <c r="M952" t="s">
        <v>15</v>
      </c>
    </row>
    <row r="953" spans="1:13" x14ac:dyDescent="0.25">
      <c r="A953">
        <v>952</v>
      </c>
      <c r="B953" t="s">
        <v>1916</v>
      </c>
      <c r="C953" s="1">
        <v>37.244457744199998</v>
      </c>
      <c r="D953" s="1">
        <v>-7.1280998095200001</v>
      </c>
      <c r="E953" s="3">
        <v>1</v>
      </c>
      <c r="F953" s="2">
        <v>2</v>
      </c>
      <c r="G953" s="4">
        <v>2</v>
      </c>
      <c r="H953" s="13"/>
      <c r="I953" s="15"/>
      <c r="J953" s="19">
        <v>2</v>
      </c>
      <c r="K953" s="2" t="s">
        <v>1917</v>
      </c>
      <c r="L953" s="11" t="str">
        <f t="shared" si="15"/>
        <v>Ver Imagen</v>
      </c>
      <c r="M953" t="s">
        <v>15</v>
      </c>
    </row>
    <row r="954" spans="1:13" x14ac:dyDescent="0.25">
      <c r="A954">
        <v>953</v>
      </c>
      <c r="B954" t="s">
        <v>1918</v>
      </c>
      <c r="C954" s="1">
        <v>37.242673832100003</v>
      </c>
      <c r="D954" s="1">
        <v>-7.12836437108</v>
      </c>
      <c r="E954" s="3">
        <v>1</v>
      </c>
      <c r="F954" s="2">
        <v>2</v>
      </c>
      <c r="G954" s="4">
        <v>2</v>
      </c>
      <c r="H954" s="13"/>
      <c r="I954" s="15"/>
      <c r="J954" s="19">
        <v>2</v>
      </c>
      <c r="K954" s="2" t="s">
        <v>1919</v>
      </c>
      <c r="L954" s="11" t="str">
        <f t="shared" si="15"/>
        <v>Ver Imagen</v>
      </c>
      <c r="M954" t="s">
        <v>15</v>
      </c>
    </row>
    <row r="955" spans="1:13" x14ac:dyDescent="0.25">
      <c r="A955">
        <v>954</v>
      </c>
      <c r="B955" t="s">
        <v>1920</v>
      </c>
      <c r="C955" s="1">
        <v>37.242249512599997</v>
      </c>
      <c r="D955" s="1">
        <v>-7.1284303263900002</v>
      </c>
      <c r="E955" s="3">
        <v>1</v>
      </c>
      <c r="F955" s="2">
        <v>2</v>
      </c>
      <c r="G955" s="4">
        <v>2</v>
      </c>
      <c r="H955" s="13"/>
      <c r="I955" s="15"/>
      <c r="J955" s="19">
        <v>2</v>
      </c>
      <c r="K955" s="2" t="s">
        <v>1921</v>
      </c>
      <c r="L955" s="11" t="str">
        <f t="shared" si="15"/>
        <v>Ver Imagen</v>
      </c>
      <c r="M955" t="s">
        <v>15</v>
      </c>
    </row>
    <row r="956" spans="1:13" x14ac:dyDescent="0.25">
      <c r="A956">
        <v>955</v>
      </c>
      <c r="B956" t="s">
        <v>1922</v>
      </c>
      <c r="C956" s="1">
        <v>37.242094838699998</v>
      </c>
      <c r="D956" s="1">
        <v>-7.1284543326999996</v>
      </c>
      <c r="E956" s="3">
        <v>1</v>
      </c>
      <c r="F956" s="2">
        <v>2</v>
      </c>
      <c r="G956" s="4">
        <v>2</v>
      </c>
      <c r="H956" s="13"/>
      <c r="I956" s="15"/>
      <c r="J956" s="19">
        <v>2</v>
      </c>
      <c r="K956" s="2" t="s">
        <v>1923</v>
      </c>
      <c r="L956" s="11" t="str">
        <f t="shared" si="15"/>
        <v>Ver Imagen</v>
      </c>
      <c r="M956" t="s">
        <v>15</v>
      </c>
    </row>
    <row r="957" spans="1:13" x14ac:dyDescent="0.25">
      <c r="A957">
        <v>956</v>
      </c>
      <c r="B957" t="s">
        <v>1924</v>
      </c>
      <c r="C957" s="1">
        <v>37.231071344100002</v>
      </c>
      <c r="D957" s="1">
        <v>-7.1270633910700001</v>
      </c>
      <c r="E957" s="3">
        <v>1</v>
      </c>
      <c r="F957" s="2">
        <v>2</v>
      </c>
      <c r="G957" s="4">
        <v>2</v>
      </c>
      <c r="H957" s="13"/>
      <c r="I957" s="15"/>
      <c r="J957" s="19">
        <v>2</v>
      </c>
      <c r="K957" s="2" t="s">
        <v>1925</v>
      </c>
      <c r="L957" s="11" t="str">
        <f t="shared" si="15"/>
        <v>Ver Imagen</v>
      </c>
      <c r="M957" t="s">
        <v>15</v>
      </c>
    </row>
    <row r="958" spans="1:13" x14ac:dyDescent="0.25">
      <c r="A958">
        <v>957</v>
      </c>
      <c r="B958" t="s">
        <v>1926</v>
      </c>
      <c r="C958" s="1">
        <v>37.443913627000001</v>
      </c>
      <c r="D958" s="1">
        <v>-7.0971681070599999</v>
      </c>
      <c r="E958" s="3">
        <v>2</v>
      </c>
      <c r="F958" s="2">
        <v>2</v>
      </c>
      <c r="G958" s="4">
        <v>1</v>
      </c>
      <c r="H958" s="13"/>
      <c r="I958" s="15"/>
      <c r="J958" s="19">
        <v>2</v>
      </c>
      <c r="K958" s="2" t="s">
        <v>1927</v>
      </c>
      <c r="L958" s="11" t="str">
        <f t="shared" si="15"/>
        <v>Ver Imagen</v>
      </c>
      <c r="M958" t="s">
        <v>15</v>
      </c>
    </row>
    <row r="959" spans="1:13" x14ac:dyDescent="0.25">
      <c r="A959">
        <v>958</v>
      </c>
      <c r="B959" t="s">
        <v>1928</v>
      </c>
      <c r="C959" s="1">
        <v>37.436363500100001</v>
      </c>
      <c r="D959" s="1">
        <v>-7.0780328830999997</v>
      </c>
      <c r="E959" s="3">
        <v>2</v>
      </c>
      <c r="F959" s="2">
        <v>2</v>
      </c>
      <c r="G959" s="4">
        <v>1</v>
      </c>
      <c r="H959" s="13"/>
      <c r="I959" s="15"/>
      <c r="J959" s="19">
        <v>2</v>
      </c>
      <c r="K959" s="2" t="s">
        <v>1929</v>
      </c>
      <c r="L959" s="11" t="str">
        <f t="shared" si="15"/>
        <v>Ver Imagen</v>
      </c>
      <c r="M959" t="s">
        <v>15</v>
      </c>
    </row>
    <row r="960" spans="1:13" x14ac:dyDescent="0.25">
      <c r="A960">
        <v>959</v>
      </c>
      <c r="B960" t="s">
        <v>1930</v>
      </c>
      <c r="C960" s="1">
        <v>37.435696196800002</v>
      </c>
      <c r="D960" s="1">
        <v>-7.0768477561500003</v>
      </c>
      <c r="E960" s="3">
        <v>2</v>
      </c>
      <c r="F960" s="2">
        <v>2</v>
      </c>
      <c r="G960" s="4">
        <v>1</v>
      </c>
      <c r="H960" s="13"/>
      <c r="I960" s="15"/>
      <c r="J960" s="19">
        <v>2</v>
      </c>
      <c r="K960" s="2" t="s">
        <v>1931</v>
      </c>
      <c r="L960" s="11" t="str">
        <f t="shared" si="15"/>
        <v>Ver Imagen</v>
      </c>
      <c r="M960" t="s">
        <v>15</v>
      </c>
    </row>
    <row r="961" spans="1:13" x14ac:dyDescent="0.25">
      <c r="A961">
        <v>960</v>
      </c>
      <c r="B961" t="s">
        <v>1932</v>
      </c>
      <c r="C961" s="1">
        <v>37.435495605600003</v>
      </c>
      <c r="D961" s="1">
        <v>-7.0758173386100003</v>
      </c>
      <c r="E961" s="3">
        <v>2</v>
      </c>
      <c r="F961" s="2">
        <v>2</v>
      </c>
      <c r="G961" s="4">
        <v>1</v>
      </c>
      <c r="H961" s="13"/>
      <c r="I961" s="15"/>
      <c r="J961" s="19">
        <v>2</v>
      </c>
      <c r="K961" s="2" t="s">
        <v>1933</v>
      </c>
      <c r="L961" s="11" t="str">
        <f t="shared" si="15"/>
        <v>Ver Imagen</v>
      </c>
      <c r="M961" t="s">
        <v>15</v>
      </c>
    </row>
    <row r="962" spans="1:13" x14ac:dyDescent="0.25">
      <c r="A962">
        <v>961</v>
      </c>
      <c r="B962" t="s">
        <v>1934</v>
      </c>
      <c r="C962" s="1">
        <v>37.434974728500002</v>
      </c>
      <c r="D962" s="1">
        <v>-7.06979634149</v>
      </c>
      <c r="E962" s="3">
        <v>2</v>
      </c>
      <c r="F962" s="2">
        <v>2</v>
      </c>
      <c r="G962" s="4">
        <v>1</v>
      </c>
      <c r="H962" s="13"/>
      <c r="I962" s="15"/>
      <c r="J962" s="19">
        <v>2</v>
      </c>
      <c r="K962" s="2" t="s">
        <v>1935</v>
      </c>
      <c r="L962" s="11" t="str">
        <f t="shared" si="15"/>
        <v>Ver Imagen</v>
      </c>
      <c r="M962" t="s">
        <v>15</v>
      </c>
    </row>
    <row r="963" spans="1:13" x14ac:dyDescent="0.25">
      <c r="A963">
        <v>962</v>
      </c>
      <c r="B963" t="s">
        <v>1936</v>
      </c>
      <c r="C963" s="1">
        <v>37.433228485400001</v>
      </c>
      <c r="D963" s="1">
        <v>-7.0655163858899996</v>
      </c>
      <c r="E963" s="3">
        <v>2</v>
      </c>
      <c r="F963" s="2">
        <v>2</v>
      </c>
      <c r="G963" s="4">
        <v>1</v>
      </c>
      <c r="H963" s="13"/>
      <c r="I963" s="15"/>
      <c r="J963" s="19">
        <v>2</v>
      </c>
      <c r="K963" s="2" t="s">
        <v>1937</v>
      </c>
      <c r="L963" s="11" t="str">
        <f t="shared" ref="L963:L1026" si="16">HYPERLINK("2\1\" &amp; K963, "Ver Imagen")</f>
        <v>Ver Imagen</v>
      </c>
      <c r="M963" t="s">
        <v>15</v>
      </c>
    </row>
    <row r="964" spans="1:13" x14ac:dyDescent="0.25">
      <c r="A964">
        <v>963</v>
      </c>
      <c r="B964" t="s">
        <v>1938</v>
      </c>
      <c r="C964" s="1">
        <v>37.431507015100003</v>
      </c>
      <c r="D964" s="1">
        <v>-7.0617865275899998</v>
      </c>
      <c r="E964" s="3">
        <v>2</v>
      </c>
      <c r="F964" s="2">
        <v>2</v>
      </c>
      <c r="G964" s="4">
        <v>1</v>
      </c>
      <c r="H964" s="13"/>
      <c r="I964" s="15"/>
      <c r="J964" s="19">
        <v>2</v>
      </c>
      <c r="K964" s="2" t="s">
        <v>1939</v>
      </c>
      <c r="L964" s="11" t="str">
        <f t="shared" si="16"/>
        <v>Ver Imagen</v>
      </c>
      <c r="M964" t="s">
        <v>15</v>
      </c>
    </row>
    <row r="965" spans="1:13" x14ac:dyDescent="0.25">
      <c r="A965">
        <v>964</v>
      </c>
      <c r="B965" t="s">
        <v>1940</v>
      </c>
      <c r="C965" s="1">
        <v>37.470953522099997</v>
      </c>
      <c r="D965" s="1">
        <v>-7.12536677727</v>
      </c>
      <c r="E965" s="3">
        <v>2</v>
      </c>
      <c r="F965" s="2">
        <v>2</v>
      </c>
      <c r="G965" s="4">
        <v>1</v>
      </c>
      <c r="H965" s="13"/>
      <c r="I965" s="15"/>
      <c r="J965" s="19">
        <v>2</v>
      </c>
      <c r="K965" s="2" t="s">
        <v>1941</v>
      </c>
      <c r="L965" s="11" t="str">
        <f t="shared" si="16"/>
        <v>Ver Imagen</v>
      </c>
      <c r="M965" t="s">
        <v>15</v>
      </c>
    </row>
    <row r="966" spans="1:13" x14ac:dyDescent="0.25">
      <c r="A966">
        <v>965</v>
      </c>
      <c r="B966" t="s">
        <v>1942</v>
      </c>
      <c r="C966" s="1">
        <v>37.466590929200002</v>
      </c>
      <c r="D966" s="1">
        <v>-7.1227277882899998</v>
      </c>
      <c r="E966" s="3">
        <v>2</v>
      </c>
      <c r="F966" s="2">
        <v>2</v>
      </c>
      <c r="G966" s="4">
        <v>1</v>
      </c>
      <c r="H966" s="13"/>
      <c r="I966" s="15"/>
      <c r="J966" s="19">
        <v>2</v>
      </c>
      <c r="K966" s="2" t="s">
        <v>1943</v>
      </c>
      <c r="L966" s="11" t="str">
        <f t="shared" si="16"/>
        <v>Ver Imagen</v>
      </c>
      <c r="M966" t="s">
        <v>15</v>
      </c>
    </row>
    <row r="967" spans="1:13" x14ac:dyDescent="0.25">
      <c r="A967">
        <v>966</v>
      </c>
      <c r="B967" t="s">
        <v>1944</v>
      </c>
      <c r="C967" s="1">
        <v>37.466392744899998</v>
      </c>
      <c r="D967" s="1">
        <v>-7.1227199042500002</v>
      </c>
      <c r="E967" s="3">
        <v>2</v>
      </c>
      <c r="F967" s="2">
        <v>2</v>
      </c>
      <c r="G967" s="4">
        <v>1</v>
      </c>
      <c r="H967" s="13"/>
      <c r="I967" s="15"/>
      <c r="J967" s="19">
        <v>2</v>
      </c>
      <c r="K967" s="2" t="s">
        <v>1945</v>
      </c>
      <c r="L967" s="11" t="str">
        <f t="shared" si="16"/>
        <v>Ver Imagen</v>
      </c>
      <c r="M967" t="s">
        <v>15</v>
      </c>
    </row>
    <row r="968" spans="1:13" x14ac:dyDescent="0.25">
      <c r="A968">
        <v>967</v>
      </c>
      <c r="B968" t="s">
        <v>1946</v>
      </c>
      <c r="C968" s="1">
        <v>37.466154998299999</v>
      </c>
      <c r="D968" s="1">
        <v>-7.1227343171699999</v>
      </c>
      <c r="E968" s="3">
        <v>2</v>
      </c>
      <c r="F968" s="2">
        <v>2</v>
      </c>
      <c r="G968" s="4">
        <v>1</v>
      </c>
      <c r="H968" s="13"/>
      <c r="I968" s="15"/>
      <c r="J968" s="19">
        <v>2</v>
      </c>
      <c r="K968" s="2" t="s">
        <v>1947</v>
      </c>
      <c r="L968" s="11" t="str">
        <f t="shared" si="16"/>
        <v>Ver Imagen</v>
      </c>
      <c r="M968" t="s">
        <v>15</v>
      </c>
    </row>
    <row r="969" spans="1:13" x14ac:dyDescent="0.25">
      <c r="A969">
        <v>968</v>
      </c>
      <c r="B969" t="s">
        <v>1948</v>
      </c>
      <c r="C969" s="1">
        <v>37.465025672700001</v>
      </c>
      <c r="D969" s="1">
        <v>-7.1231970584899997</v>
      </c>
      <c r="E969" s="3">
        <v>1</v>
      </c>
      <c r="F969" s="2">
        <v>2</v>
      </c>
      <c r="G969" s="4">
        <v>2</v>
      </c>
      <c r="H969" s="13"/>
      <c r="I969" s="15"/>
      <c r="J969" s="19">
        <v>2</v>
      </c>
      <c r="K969" s="2" t="s">
        <v>1949</v>
      </c>
      <c r="L969" s="11" t="str">
        <f t="shared" si="16"/>
        <v>Ver Imagen</v>
      </c>
      <c r="M969" t="s">
        <v>15</v>
      </c>
    </row>
    <row r="970" spans="1:13" x14ac:dyDescent="0.25">
      <c r="A970">
        <v>969</v>
      </c>
      <c r="B970" t="s">
        <v>1950</v>
      </c>
      <c r="C970" s="1">
        <v>37.464864535499999</v>
      </c>
      <c r="D970" s="1">
        <v>-7.1233059590699996</v>
      </c>
      <c r="E970" s="3">
        <v>1</v>
      </c>
      <c r="F970" s="2">
        <v>2</v>
      </c>
      <c r="G970" s="4">
        <v>2</v>
      </c>
      <c r="H970" s="13"/>
      <c r="I970" s="15"/>
      <c r="J970" s="19">
        <v>2</v>
      </c>
      <c r="K970" s="2" t="s">
        <v>1951</v>
      </c>
      <c r="L970" s="11" t="str">
        <f t="shared" si="16"/>
        <v>Ver Imagen</v>
      </c>
      <c r="M970" t="s">
        <v>15</v>
      </c>
    </row>
    <row r="971" spans="1:13" x14ac:dyDescent="0.25">
      <c r="A971">
        <v>970</v>
      </c>
      <c r="B971" t="s">
        <v>1952</v>
      </c>
      <c r="C971" s="1">
        <v>37.464345316500001</v>
      </c>
      <c r="D971" s="1">
        <v>-7.12365302177</v>
      </c>
      <c r="E971" s="3">
        <v>1</v>
      </c>
      <c r="F971" s="2">
        <v>2</v>
      </c>
      <c r="G971" s="4">
        <v>2</v>
      </c>
      <c r="H971" s="13"/>
      <c r="I971" s="15"/>
      <c r="J971" s="19">
        <v>2</v>
      </c>
      <c r="K971" s="2" t="s">
        <v>1953</v>
      </c>
      <c r="L971" s="11" t="str">
        <f t="shared" si="16"/>
        <v>Ver Imagen</v>
      </c>
      <c r="M971" t="s">
        <v>15</v>
      </c>
    </row>
    <row r="972" spans="1:13" x14ac:dyDescent="0.25">
      <c r="A972">
        <v>971</v>
      </c>
      <c r="B972" t="s">
        <v>1954</v>
      </c>
      <c r="C972" s="1">
        <v>37.4639684769</v>
      </c>
      <c r="D972" s="1">
        <v>-7.1238579255000003</v>
      </c>
      <c r="E972" s="3">
        <v>1</v>
      </c>
      <c r="F972" s="2">
        <v>2</v>
      </c>
      <c r="G972" s="4">
        <v>2</v>
      </c>
      <c r="H972" s="13"/>
      <c r="I972" s="15"/>
      <c r="J972" s="19">
        <v>2</v>
      </c>
      <c r="K972" s="2" t="s">
        <v>1955</v>
      </c>
      <c r="L972" s="11" t="str">
        <f t="shared" si="16"/>
        <v>Ver Imagen</v>
      </c>
      <c r="M972" t="s">
        <v>15</v>
      </c>
    </row>
    <row r="973" spans="1:13" x14ac:dyDescent="0.25">
      <c r="A973">
        <v>972</v>
      </c>
      <c r="B973" t="s">
        <v>1956</v>
      </c>
      <c r="C973" s="1">
        <v>37.463753538699997</v>
      </c>
      <c r="D973" s="1">
        <v>-7.1239537851400003</v>
      </c>
      <c r="E973" s="3">
        <v>1</v>
      </c>
      <c r="F973" s="2">
        <v>2</v>
      </c>
      <c r="G973" s="4">
        <v>2</v>
      </c>
      <c r="H973" s="13"/>
      <c r="I973" s="15"/>
      <c r="J973" s="19">
        <v>2</v>
      </c>
      <c r="K973" s="2" t="s">
        <v>1957</v>
      </c>
      <c r="L973" s="11" t="str">
        <f t="shared" si="16"/>
        <v>Ver Imagen</v>
      </c>
      <c r="M973" t="s">
        <v>15</v>
      </c>
    </row>
    <row r="974" spans="1:13" x14ac:dyDescent="0.25">
      <c r="A974">
        <v>973</v>
      </c>
      <c r="B974" t="s">
        <v>1958</v>
      </c>
      <c r="C974" s="1">
        <v>37.463387346799998</v>
      </c>
      <c r="D974" s="1">
        <v>-7.1240806170399997</v>
      </c>
      <c r="E974" s="3">
        <v>1</v>
      </c>
      <c r="F974" s="2">
        <v>2</v>
      </c>
      <c r="G974" s="4">
        <v>2</v>
      </c>
      <c r="H974" s="13"/>
      <c r="I974" s="15"/>
      <c r="J974" s="19">
        <v>2</v>
      </c>
      <c r="K974" s="2" t="s">
        <v>1959</v>
      </c>
      <c r="L974" s="11" t="str">
        <f t="shared" si="16"/>
        <v>Ver Imagen</v>
      </c>
      <c r="M974" t="s">
        <v>15</v>
      </c>
    </row>
    <row r="975" spans="1:13" x14ac:dyDescent="0.25">
      <c r="A975">
        <v>974</v>
      </c>
      <c r="B975" t="s">
        <v>1960</v>
      </c>
      <c r="C975" s="1">
        <v>37.461755357500003</v>
      </c>
      <c r="D975" s="1">
        <v>-7.12439755708</v>
      </c>
      <c r="E975" s="3">
        <v>1</v>
      </c>
      <c r="F975" s="2">
        <v>2</v>
      </c>
      <c r="G975" s="4">
        <v>2</v>
      </c>
      <c r="H975" s="13"/>
      <c r="I975" s="15"/>
      <c r="J975" s="19">
        <v>2</v>
      </c>
      <c r="K975" s="2" t="s">
        <v>1961</v>
      </c>
      <c r="L975" s="11" t="str">
        <f t="shared" si="16"/>
        <v>Ver Imagen</v>
      </c>
      <c r="M975" t="s">
        <v>15</v>
      </c>
    </row>
    <row r="976" spans="1:13" x14ac:dyDescent="0.25">
      <c r="A976">
        <v>975</v>
      </c>
      <c r="B976" t="s">
        <v>1962</v>
      </c>
      <c r="C976" s="1">
        <v>37.461568341300001</v>
      </c>
      <c r="D976" s="1">
        <v>-7.1244422335099999</v>
      </c>
      <c r="E976" s="3">
        <v>1</v>
      </c>
      <c r="F976" s="2">
        <v>2</v>
      </c>
      <c r="G976" s="4">
        <v>2</v>
      </c>
      <c r="H976" s="13"/>
      <c r="I976" s="15"/>
      <c r="J976" s="19">
        <v>2</v>
      </c>
      <c r="K976" s="2" t="s">
        <v>1963</v>
      </c>
      <c r="L976" s="11" t="str">
        <f t="shared" si="16"/>
        <v>Ver Imagen</v>
      </c>
      <c r="M976" t="s">
        <v>15</v>
      </c>
    </row>
    <row r="977" spans="1:13" x14ac:dyDescent="0.25">
      <c r="A977">
        <v>976</v>
      </c>
      <c r="B977" t="s">
        <v>1964</v>
      </c>
      <c r="C977" s="1">
        <v>37.461375435100003</v>
      </c>
      <c r="D977" s="1">
        <v>-7.1244905548400004</v>
      </c>
      <c r="E977" s="3">
        <v>1</v>
      </c>
      <c r="F977" s="2">
        <v>2</v>
      </c>
      <c r="G977" s="4">
        <v>2</v>
      </c>
      <c r="H977" s="13"/>
      <c r="I977" s="15"/>
      <c r="J977" s="19">
        <v>2</v>
      </c>
      <c r="K977" s="2" t="s">
        <v>1965</v>
      </c>
      <c r="L977" s="11" t="str">
        <f t="shared" si="16"/>
        <v>Ver Imagen</v>
      </c>
      <c r="M977" t="s">
        <v>15</v>
      </c>
    </row>
    <row r="978" spans="1:13" x14ac:dyDescent="0.25">
      <c r="A978">
        <v>977</v>
      </c>
      <c r="B978" t="s">
        <v>1966</v>
      </c>
      <c r="C978" s="1">
        <v>37.461181322199998</v>
      </c>
      <c r="D978" s="1">
        <v>-7.1245407248000001</v>
      </c>
      <c r="E978" s="3">
        <v>1</v>
      </c>
      <c r="F978" s="2">
        <v>2</v>
      </c>
      <c r="G978" s="4">
        <v>2</v>
      </c>
      <c r="H978" s="13"/>
      <c r="I978" s="15"/>
      <c r="J978" s="19">
        <v>2</v>
      </c>
      <c r="K978" s="2" t="s">
        <v>1967</v>
      </c>
      <c r="L978" s="11" t="str">
        <f t="shared" si="16"/>
        <v>Ver Imagen</v>
      </c>
      <c r="M978" t="s">
        <v>15</v>
      </c>
    </row>
    <row r="979" spans="1:13" x14ac:dyDescent="0.25">
      <c r="A979">
        <v>978</v>
      </c>
      <c r="B979" t="s">
        <v>1968</v>
      </c>
      <c r="C979" s="1">
        <v>37.460983808999998</v>
      </c>
      <c r="D979" s="1">
        <v>-7.1245937170499998</v>
      </c>
      <c r="E979" s="3">
        <v>1</v>
      </c>
      <c r="F979" s="2">
        <v>2</v>
      </c>
      <c r="G979" s="4">
        <v>2</v>
      </c>
      <c r="H979" s="13"/>
      <c r="I979" s="15"/>
      <c r="J979" s="19">
        <v>2</v>
      </c>
      <c r="K979" s="2" t="s">
        <v>1969</v>
      </c>
      <c r="L979" s="11" t="str">
        <f t="shared" si="16"/>
        <v>Ver Imagen</v>
      </c>
      <c r="M979" t="s">
        <v>15</v>
      </c>
    </row>
    <row r="980" spans="1:13" x14ac:dyDescent="0.25">
      <c r="A980">
        <v>979</v>
      </c>
      <c r="B980" t="s">
        <v>1970</v>
      </c>
      <c r="C980" s="1">
        <v>37.460186934399999</v>
      </c>
      <c r="D980" s="1">
        <v>-7.1248348366099998</v>
      </c>
      <c r="E980" s="3">
        <v>2</v>
      </c>
      <c r="F980" s="2">
        <v>2</v>
      </c>
      <c r="G980" s="4">
        <v>1</v>
      </c>
      <c r="H980" s="13"/>
      <c r="I980" s="15"/>
      <c r="J980" s="19">
        <v>2</v>
      </c>
      <c r="K980" s="2" t="s">
        <v>1971</v>
      </c>
      <c r="L980" s="11" t="str">
        <f t="shared" si="16"/>
        <v>Ver Imagen</v>
      </c>
      <c r="M980" t="s">
        <v>15</v>
      </c>
    </row>
    <row r="981" spans="1:13" x14ac:dyDescent="0.25">
      <c r="A981">
        <v>980</v>
      </c>
      <c r="B981" t="s">
        <v>1972</v>
      </c>
      <c r="C981" s="1">
        <v>37.459809036499998</v>
      </c>
      <c r="D981" s="1">
        <v>-7.1249633130500003</v>
      </c>
      <c r="E981" s="3">
        <v>1</v>
      </c>
      <c r="F981" s="2">
        <v>2</v>
      </c>
      <c r="G981" s="4">
        <v>2</v>
      </c>
      <c r="H981" s="13"/>
      <c r="I981" s="15"/>
      <c r="J981" s="19">
        <v>2</v>
      </c>
      <c r="K981" s="2" t="s">
        <v>1973</v>
      </c>
      <c r="L981" s="11" t="str">
        <f t="shared" si="16"/>
        <v>Ver Imagen</v>
      </c>
      <c r="M981" t="s">
        <v>15</v>
      </c>
    </row>
    <row r="982" spans="1:13" x14ac:dyDescent="0.25">
      <c r="A982">
        <v>981</v>
      </c>
      <c r="B982" t="s">
        <v>1974</v>
      </c>
      <c r="C982" s="1">
        <v>37.454755151100002</v>
      </c>
      <c r="D982" s="1">
        <v>-7.1268172388800002</v>
      </c>
      <c r="E982" s="3">
        <v>1</v>
      </c>
      <c r="F982" s="2">
        <v>2</v>
      </c>
      <c r="G982" s="4">
        <v>2</v>
      </c>
      <c r="H982" s="13"/>
      <c r="I982" s="15"/>
      <c r="J982" s="19">
        <v>2</v>
      </c>
      <c r="K982" s="2" t="s">
        <v>1975</v>
      </c>
      <c r="L982" s="11" t="str">
        <f t="shared" si="16"/>
        <v>Ver Imagen</v>
      </c>
      <c r="M982" t="s">
        <v>15</v>
      </c>
    </row>
    <row r="983" spans="1:13" x14ac:dyDescent="0.25">
      <c r="A983">
        <v>982</v>
      </c>
      <c r="B983" t="s">
        <v>1976</v>
      </c>
      <c r="C983" s="1">
        <v>37.4539750454</v>
      </c>
      <c r="D983" s="1">
        <v>-7.1270942678300004</v>
      </c>
      <c r="E983" s="3">
        <v>2</v>
      </c>
      <c r="F983" s="2">
        <v>2</v>
      </c>
      <c r="G983" s="4">
        <v>1</v>
      </c>
      <c r="H983" s="13"/>
      <c r="I983" s="15"/>
      <c r="J983" s="19">
        <v>2</v>
      </c>
      <c r="K983" s="2" t="s">
        <v>1977</v>
      </c>
      <c r="L983" s="11" t="str">
        <f t="shared" si="16"/>
        <v>Ver Imagen</v>
      </c>
      <c r="M983" t="s">
        <v>15</v>
      </c>
    </row>
    <row r="984" spans="1:13" x14ac:dyDescent="0.25">
      <c r="A984">
        <v>983</v>
      </c>
      <c r="B984" t="s">
        <v>1978</v>
      </c>
      <c r="C984" s="1">
        <v>37.452572802799999</v>
      </c>
      <c r="D984" s="1">
        <v>-7.12741987315</v>
      </c>
      <c r="E984" s="3">
        <v>1</v>
      </c>
      <c r="F984" s="2">
        <v>2</v>
      </c>
      <c r="G984" s="4">
        <v>2</v>
      </c>
      <c r="H984" s="13"/>
      <c r="I984" s="15"/>
      <c r="J984" s="19">
        <v>2</v>
      </c>
      <c r="K984" s="2" t="s">
        <v>1979</v>
      </c>
      <c r="L984" s="11" t="str">
        <f t="shared" si="16"/>
        <v>Ver Imagen</v>
      </c>
      <c r="M984" t="s">
        <v>15</v>
      </c>
    </row>
    <row r="985" spans="1:13" x14ac:dyDescent="0.25">
      <c r="A985">
        <v>984</v>
      </c>
      <c r="B985" t="s">
        <v>1980</v>
      </c>
      <c r="C985" s="1">
        <v>37.200068449600003</v>
      </c>
      <c r="D985" s="1">
        <v>-6.9867313074400004</v>
      </c>
      <c r="E985" s="3">
        <v>1</v>
      </c>
      <c r="F985" s="2">
        <v>2</v>
      </c>
      <c r="G985" s="4">
        <v>2</v>
      </c>
      <c r="H985" s="13"/>
      <c r="I985" s="15"/>
      <c r="J985" s="19">
        <v>2</v>
      </c>
      <c r="K985" s="2" t="s">
        <v>1981</v>
      </c>
      <c r="L985" s="11" t="str">
        <f t="shared" si="16"/>
        <v>Ver Imagen</v>
      </c>
      <c r="M985" t="s">
        <v>15</v>
      </c>
    </row>
    <row r="986" spans="1:13" x14ac:dyDescent="0.25">
      <c r="A986">
        <v>985</v>
      </c>
      <c r="B986" t="s">
        <v>1982</v>
      </c>
      <c r="C986" s="1">
        <v>37.199994808900001</v>
      </c>
      <c r="D986" s="1">
        <v>-6.9864250986299998</v>
      </c>
      <c r="E986" s="3">
        <v>1</v>
      </c>
      <c r="F986" s="2">
        <v>2</v>
      </c>
      <c r="G986" s="4">
        <v>2</v>
      </c>
      <c r="H986" s="13"/>
      <c r="I986" s="15"/>
      <c r="J986" s="19">
        <v>2</v>
      </c>
      <c r="K986" s="2" t="s">
        <v>1983</v>
      </c>
      <c r="L986" s="11" t="str">
        <f t="shared" si="16"/>
        <v>Ver Imagen</v>
      </c>
      <c r="M986" t="s">
        <v>15</v>
      </c>
    </row>
    <row r="987" spans="1:13" x14ac:dyDescent="0.25">
      <c r="A987">
        <v>986</v>
      </c>
      <c r="B987" t="s">
        <v>1984</v>
      </c>
      <c r="C987" s="1">
        <v>37.199915176399998</v>
      </c>
      <c r="D987" s="1">
        <v>-6.9861007690300001</v>
      </c>
      <c r="E987" s="3">
        <v>1</v>
      </c>
      <c r="F987" s="2">
        <v>2</v>
      </c>
      <c r="G987" s="4">
        <v>2</v>
      </c>
      <c r="H987" s="13"/>
      <c r="I987" s="15"/>
      <c r="J987" s="19">
        <v>2</v>
      </c>
      <c r="K987" s="2" t="s">
        <v>1985</v>
      </c>
      <c r="L987" s="11" t="str">
        <f t="shared" si="16"/>
        <v>Ver Imagen</v>
      </c>
      <c r="M987" t="s">
        <v>15</v>
      </c>
    </row>
    <row r="988" spans="1:13" x14ac:dyDescent="0.25">
      <c r="A988">
        <v>987</v>
      </c>
      <c r="B988" t="s">
        <v>1986</v>
      </c>
      <c r="C988" s="1">
        <v>37.199864749699998</v>
      </c>
      <c r="D988" s="1">
        <v>-6.9858973125299997</v>
      </c>
      <c r="E988" s="3">
        <v>1</v>
      </c>
      <c r="F988" s="2">
        <v>2</v>
      </c>
      <c r="G988" s="4">
        <v>2</v>
      </c>
      <c r="H988" s="13"/>
      <c r="I988" s="15"/>
      <c r="J988" s="19">
        <v>2</v>
      </c>
      <c r="K988" s="2" t="s">
        <v>1987</v>
      </c>
      <c r="L988" s="11" t="str">
        <f t="shared" si="16"/>
        <v>Ver Imagen</v>
      </c>
      <c r="M988" t="s">
        <v>15</v>
      </c>
    </row>
    <row r="989" spans="1:13" x14ac:dyDescent="0.25">
      <c r="A989">
        <v>988</v>
      </c>
      <c r="B989" t="s">
        <v>1988</v>
      </c>
      <c r="C989" s="1">
        <v>37.199820908200003</v>
      </c>
      <c r="D989" s="1">
        <v>-6.9857213946399996</v>
      </c>
      <c r="E989" s="3">
        <v>1</v>
      </c>
      <c r="F989" s="2">
        <v>2</v>
      </c>
      <c r="G989" s="4">
        <v>2</v>
      </c>
      <c r="H989" s="13"/>
      <c r="I989" s="15"/>
      <c r="J989" s="19">
        <v>2</v>
      </c>
      <c r="K989" s="2" t="s">
        <v>1989</v>
      </c>
      <c r="L989" s="11" t="str">
        <f t="shared" si="16"/>
        <v>Ver Imagen</v>
      </c>
      <c r="M989" t="s">
        <v>15</v>
      </c>
    </row>
    <row r="990" spans="1:13" x14ac:dyDescent="0.25">
      <c r="A990">
        <v>989</v>
      </c>
      <c r="B990" t="s">
        <v>1990</v>
      </c>
      <c r="C990" s="1">
        <v>37.199746941299999</v>
      </c>
      <c r="D990" s="1">
        <v>-6.9854297583699996</v>
      </c>
      <c r="E990" s="3">
        <v>1</v>
      </c>
      <c r="F990" s="2">
        <v>2</v>
      </c>
      <c r="G990" s="4">
        <v>2</v>
      </c>
      <c r="H990" s="13"/>
      <c r="I990" s="15"/>
      <c r="J990" s="19">
        <v>2</v>
      </c>
      <c r="K990" s="2" t="s">
        <v>1991</v>
      </c>
      <c r="L990" s="11" t="str">
        <f t="shared" si="16"/>
        <v>Ver Imagen</v>
      </c>
      <c r="M990" t="s">
        <v>15</v>
      </c>
    </row>
    <row r="991" spans="1:13" x14ac:dyDescent="0.25">
      <c r="A991">
        <v>990</v>
      </c>
      <c r="B991" t="s">
        <v>1992</v>
      </c>
      <c r="C991" s="1">
        <v>37.199687294900002</v>
      </c>
      <c r="D991" s="1">
        <v>-6.98519962575</v>
      </c>
      <c r="E991" s="3">
        <v>1</v>
      </c>
      <c r="F991" s="2">
        <v>2</v>
      </c>
      <c r="G991" s="4">
        <v>2</v>
      </c>
      <c r="H991" s="13"/>
      <c r="I991" s="15"/>
      <c r="J991" s="19">
        <v>2</v>
      </c>
      <c r="K991" s="2" t="s">
        <v>1993</v>
      </c>
      <c r="L991" s="11" t="str">
        <f t="shared" si="16"/>
        <v>Ver Imagen</v>
      </c>
      <c r="M991" t="s">
        <v>15</v>
      </c>
    </row>
    <row r="992" spans="1:13" x14ac:dyDescent="0.25">
      <c r="A992">
        <v>991</v>
      </c>
      <c r="B992" t="s">
        <v>1994</v>
      </c>
      <c r="C992" s="1">
        <v>37.199351390799997</v>
      </c>
      <c r="D992" s="1">
        <v>-6.9839618860200003</v>
      </c>
      <c r="E992" s="3">
        <v>1</v>
      </c>
      <c r="F992" s="2">
        <v>2</v>
      </c>
      <c r="G992" s="4">
        <v>2</v>
      </c>
      <c r="H992" s="13"/>
      <c r="I992" s="15"/>
      <c r="J992" s="19">
        <v>2</v>
      </c>
      <c r="K992" s="2" t="s">
        <v>1995</v>
      </c>
      <c r="L992" s="11" t="str">
        <f t="shared" si="16"/>
        <v>Ver Imagen</v>
      </c>
      <c r="M992" t="s">
        <v>15</v>
      </c>
    </row>
    <row r="993" spans="1:13" x14ac:dyDescent="0.25">
      <c r="A993">
        <v>992</v>
      </c>
      <c r="B993" t="s">
        <v>1996</v>
      </c>
      <c r="C993" s="1">
        <v>37.199283083700003</v>
      </c>
      <c r="D993" s="1">
        <v>-6.9837301168600003</v>
      </c>
      <c r="E993" s="3">
        <v>1</v>
      </c>
      <c r="F993" s="2">
        <v>2</v>
      </c>
      <c r="G993" s="4">
        <v>2</v>
      </c>
      <c r="H993" s="13"/>
      <c r="I993" s="15"/>
      <c r="J993" s="19">
        <v>2</v>
      </c>
      <c r="K993" s="2" t="s">
        <v>1997</v>
      </c>
      <c r="L993" s="11" t="str">
        <f t="shared" si="16"/>
        <v>Ver Imagen</v>
      </c>
      <c r="M993" t="s">
        <v>15</v>
      </c>
    </row>
    <row r="994" spans="1:13" x14ac:dyDescent="0.25">
      <c r="A994">
        <v>993</v>
      </c>
      <c r="B994" t="s">
        <v>1998</v>
      </c>
      <c r="C994" s="1">
        <v>37.199211634599997</v>
      </c>
      <c r="D994" s="1">
        <v>-6.9834969786599999</v>
      </c>
      <c r="E994" s="3">
        <v>1</v>
      </c>
      <c r="F994" s="2">
        <v>2</v>
      </c>
      <c r="G994" s="4">
        <v>2</v>
      </c>
      <c r="H994" s="13"/>
      <c r="I994" s="15"/>
      <c r="J994" s="19">
        <v>2</v>
      </c>
      <c r="K994" s="2" t="s">
        <v>1999</v>
      </c>
      <c r="L994" s="11" t="str">
        <f t="shared" si="16"/>
        <v>Ver Imagen</v>
      </c>
      <c r="M994" t="s">
        <v>15</v>
      </c>
    </row>
    <row r="995" spans="1:13" x14ac:dyDescent="0.25">
      <c r="A995">
        <v>994</v>
      </c>
      <c r="B995" t="s">
        <v>2000</v>
      </c>
      <c r="C995" s="1">
        <v>37.199150097699999</v>
      </c>
      <c r="D995" s="1">
        <v>-6.9833024099900003</v>
      </c>
      <c r="E995" s="3">
        <v>1</v>
      </c>
      <c r="F995" s="2">
        <v>2</v>
      </c>
      <c r="G995" s="4">
        <v>2</v>
      </c>
      <c r="H995" s="13"/>
      <c r="I995" s="15"/>
      <c r="J995" s="19">
        <v>2</v>
      </c>
      <c r="K995" s="2" t="s">
        <v>2001</v>
      </c>
      <c r="L995" s="11" t="str">
        <f t="shared" si="16"/>
        <v>Ver Imagen</v>
      </c>
      <c r="M995" t="s">
        <v>15</v>
      </c>
    </row>
    <row r="996" spans="1:13" x14ac:dyDescent="0.25">
      <c r="A996">
        <v>995</v>
      </c>
      <c r="B996" t="s">
        <v>2002</v>
      </c>
      <c r="C996" s="1">
        <v>37.267379224300001</v>
      </c>
      <c r="D996" s="1">
        <v>-6.95897718337</v>
      </c>
      <c r="E996" s="3">
        <v>1</v>
      </c>
      <c r="F996" s="2">
        <v>2</v>
      </c>
      <c r="G996" s="4">
        <v>2</v>
      </c>
      <c r="H996" s="13"/>
      <c r="I996" s="15"/>
      <c r="J996" s="19">
        <v>2</v>
      </c>
      <c r="K996" s="2" t="s">
        <v>2003</v>
      </c>
      <c r="L996" s="11" t="str">
        <f t="shared" si="16"/>
        <v>Ver Imagen</v>
      </c>
      <c r="M996" t="s">
        <v>15</v>
      </c>
    </row>
    <row r="997" spans="1:13" x14ac:dyDescent="0.25">
      <c r="A997">
        <v>996</v>
      </c>
      <c r="B997" t="s">
        <v>2004</v>
      </c>
      <c r="C997" s="1">
        <v>37.267408044900002</v>
      </c>
      <c r="D997" s="1">
        <v>-6.9592451206000003</v>
      </c>
      <c r="E997" s="3">
        <v>1</v>
      </c>
      <c r="F997" s="2">
        <v>2</v>
      </c>
      <c r="G997" s="4">
        <v>2</v>
      </c>
      <c r="H997" s="13"/>
      <c r="I997" s="15"/>
      <c r="J997" s="19">
        <v>2</v>
      </c>
      <c r="K997" s="2" t="s">
        <v>2005</v>
      </c>
      <c r="L997" s="11" t="str">
        <f t="shared" si="16"/>
        <v>Ver Imagen</v>
      </c>
      <c r="M997" t="s">
        <v>15</v>
      </c>
    </row>
    <row r="998" spans="1:13" x14ac:dyDescent="0.25">
      <c r="A998">
        <v>997</v>
      </c>
      <c r="B998" t="s">
        <v>2006</v>
      </c>
      <c r="C998" s="1">
        <v>37.267496792800003</v>
      </c>
      <c r="D998" s="1">
        <v>-6.9600120463000001</v>
      </c>
      <c r="E998" s="3">
        <v>1</v>
      </c>
      <c r="F998" s="2">
        <v>2</v>
      </c>
      <c r="G998" s="4">
        <v>2</v>
      </c>
      <c r="H998" s="13"/>
      <c r="I998" s="15"/>
      <c r="J998" s="19">
        <v>2</v>
      </c>
      <c r="K998" s="2" t="s">
        <v>2007</v>
      </c>
      <c r="L998" s="11" t="str">
        <f t="shared" si="16"/>
        <v>Ver Imagen</v>
      </c>
      <c r="M998" t="s">
        <v>15</v>
      </c>
    </row>
    <row r="999" spans="1:13" x14ac:dyDescent="0.25">
      <c r="A999">
        <v>998</v>
      </c>
      <c r="B999" t="s">
        <v>2008</v>
      </c>
      <c r="C999" s="1">
        <v>37.2675217022</v>
      </c>
      <c r="D999" s="1">
        <v>-6.9602834109299998</v>
      </c>
      <c r="E999" s="3">
        <v>1</v>
      </c>
      <c r="F999" s="2">
        <v>2</v>
      </c>
      <c r="G999" s="4">
        <v>2</v>
      </c>
      <c r="H999" s="13"/>
      <c r="I999" s="15"/>
      <c r="J999" s="19">
        <v>2</v>
      </c>
      <c r="K999" s="2" t="s">
        <v>2009</v>
      </c>
      <c r="L999" s="11" t="str">
        <f t="shared" si="16"/>
        <v>Ver Imagen</v>
      </c>
      <c r="M999" t="s">
        <v>15</v>
      </c>
    </row>
    <row r="1000" spans="1:13" x14ac:dyDescent="0.25">
      <c r="A1000">
        <v>999</v>
      </c>
      <c r="B1000" t="s">
        <v>2010</v>
      </c>
      <c r="C1000" s="1">
        <v>37.2675379537</v>
      </c>
      <c r="D1000" s="1">
        <v>-6.9605118313499998</v>
      </c>
      <c r="E1000" s="3">
        <v>1</v>
      </c>
      <c r="F1000" s="2">
        <v>2</v>
      </c>
      <c r="G1000" s="4">
        <v>2</v>
      </c>
      <c r="H1000" s="13"/>
      <c r="I1000" s="15"/>
      <c r="J1000" s="19">
        <v>2</v>
      </c>
      <c r="K1000" s="2" t="s">
        <v>2011</v>
      </c>
      <c r="L1000" s="11" t="str">
        <f t="shared" si="16"/>
        <v>Ver Imagen</v>
      </c>
      <c r="M1000" t="s">
        <v>15</v>
      </c>
    </row>
    <row r="1001" spans="1:13" x14ac:dyDescent="0.25">
      <c r="A1001">
        <v>1000</v>
      </c>
      <c r="B1001" t="s">
        <v>2012</v>
      </c>
      <c r="C1001" s="1">
        <v>37.267553214800003</v>
      </c>
      <c r="D1001" s="1">
        <v>-6.9607884808199998</v>
      </c>
      <c r="E1001" s="3">
        <v>1</v>
      </c>
      <c r="F1001" s="2">
        <v>2</v>
      </c>
      <c r="G1001" s="4">
        <v>2</v>
      </c>
      <c r="H1001" s="13"/>
      <c r="I1001" s="15"/>
      <c r="J1001" s="19">
        <v>2</v>
      </c>
      <c r="K1001" s="2" t="s">
        <v>2013</v>
      </c>
      <c r="L1001" s="11" t="str">
        <f t="shared" si="16"/>
        <v>Ver Imagen</v>
      </c>
      <c r="M1001" t="s">
        <v>15</v>
      </c>
    </row>
    <row r="1002" spans="1:13" x14ac:dyDescent="0.25">
      <c r="A1002">
        <v>1001</v>
      </c>
      <c r="B1002" t="s">
        <v>2014</v>
      </c>
      <c r="C1002" s="1">
        <v>37.267564118400003</v>
      </c>
      <c r="D1002" s="1">
        <v>-6.9610344559500001</v>
      </c>
      <c r="E1002" s="3">
        <v>1</v>
      </c>
      <c r="F1002" s="2">
        <v>2</v>
      </c>
      <c r="G1002" s="4">
        <v>2</v>
      </c>
      <c r="H1002" s="13"/>
      <c r="I1002" s="15"/>
      <c r="J1002" s="19">
        <v>2</v>
      </c>
      <c r="K1002" s="2" t="s">
        <v>2015</v>
      </c>
      <c r="L1002" s="11" t="str">
        <f t="shared" si="16"/>
        <v>Ver Imagen</v>
      </c>
      <c r="M1002" t="s">
        <v>15</v>
      </c>
    </row>
    <row r="1003" spans="1:13" x14ac:dyDescent="0.25">
      <c r="A1003">
        <v>1002</v>
      </c>
      <c r="B1003" t="s">
        <v>2016</v>
      </c>
      <c r="C1003" s="1">
        <v>37.267572813000001</v>
      </c>
      <c r="D1003" s="1">
        <v>-6.9612560559399999</v>
      </c>
      <c r="E1003" s="3">
        <v>1</v>
      </c>
      <c r="F1003" s="2">
        <v>2</v>
      </c>
      <c r="G1003" s="4">
        <v>2</v>
      </c>
      <c r="H1003" s="13"/>
      <c r="I1003" s="15"/>
      <c r="J1003" s="19">
        <v>2</v>
      </c>
      <c r="K1003" s="2" t="s">
        <v>2017</v>
      </c>
      <c r="L1003" s="11" t="str">
        <f t="shared" si="16"/>
        <v>Ver Imagen</v>
      </c>
      <c r="M1003" t="s">
        <v>15</v>
      </c>
    </row>
    <row r="1004" spans="1:13" x14ac:dyDescent="0.25">
      <c r="A1004">
        <v>1003</v>
      </c>
      <c r="B1004" t="s">
        <v>2018</v>
      </c>
      <c r="C1004" s="1">
        <v>37.267580511699997</v>
      </c>
      <c r="D1004" s="1">
        <v>-6.9614844843999997</v>
      </c>
      <c r="E1004" s="3">
        <v>1</v>
      </c>
      <c r="F1004" s="2">
        <v>2</v>
      </c>
      <c r="G1004" s="4">
        <v>2</v>
      </c>
      <c r="H1004" s="13"/>
      <c r="I1004" s="15"/>
      <c r="J1004" s="19">
        <v>2</v>
      </c>
      <c r="K1004" s="2" t="s">
        <v>2019</v>
      </c>
      <c r="L1004" s="11" t="str">
        <f t="shared" si="16"/>
        <v>Ver Imagen</v>
      </c>
      <c r="M1004" t="s">
        <v>15</v>
      </c>
    </row>
    <row r="1005" spans="1:13" x14ac:dyDescent="0.25">
      <c r="A1005">
        <v>1004</v>
      </c>
      <c r="B1005" t="s">
        <v>2020</v>
      </c>
      <c r="C1005" s="1">
        <v>37.188584755699999</v>
      </c>
      <c r="D1005" s="1">
        <v>-6.9783336180399997</v>
      </c>
      <c r="E1005" s="3">
        <v>1</v>
      </c>
      <c r="F1005" s="2">
        <v>2</v>
      </c>
      <c r="G1005" s="4">
        <v>2</v>
      </c>
      <c r="H1005" s="13"/>
      <c r="I1005" s="15"/>
      <c r="J1005" s="19">
        <v>2</v>
      </c>
      <c r="K1005" s="2" t="s">
        <v>2021</v>
      </c>
      <c r="L1005" s="11" t="str">
        <f t="shared" si="16"/>
        <v>Ver Imagen</v>
      </c>
      <c r="M1005" t="s">
        <v>15</v>
      </c>
    </row>
    <row r="1006" spans="1:13" x14ac:dyDescent="0.25">
      <c r="A1006">
        <v>1005</v>
      </c>
      <c r="B1006" t="s">
        <v>2022</v>
      </c>
      <c r="C1006" s="1">
        <v>37.188786118499998</v>
      </c>
      <c r="D1006" s="1">
        <v>-6.97829079026</v>
      </c>
      <c r="E1006" s="3">
        <v>1</v>
      </c>
      <c r="F1006" s="2">
        <v>2</v>
      </c>
      <c r="G1006" s="4">
        <v>2</v>
      </c>
      <c r="H1006" s="13"/>
      <c r="I1006" s="15"/>
      <c r="J1006" s="19">
        <v>2</v>
      </c>
      <c r="K1006" s="2" t="s">
        <v>2023</v>
      </c>
      <c r="L1006" s="11" t="str">
        <f t="shared" si="16"/>
        <v>Ver Imagen</v>
      </c>
      <c r="M1006" t="s">
        <v>15</v>
      </c>
    </row>
    <row r="1007" spans="1:13" x14ac:dyDescent="0.25">
      <c r="A1007">
        <v>1006</v>
      </c>
      <c r="B1007" t="s">
        <v>2024</v>
      </c>
      <c r="C1007" s="1">
        <v>37.189012308099997</v>
      </c>
      <c r="D1007" s="1">
        <v>-6.9782329300199999</v>
      </c>
      <c r="E1007" s="3">
        <v>1</v>
      </c>
      <c r="F1007" s="2">
        <v>2</v>
      </c>
      <c r="G1007" s="4">
        <v>2</v>
      </c>
      <c r="H1007" s="13"/>
      <c r="I1007" s="15"/>
      <c r="J1007" s="19">
        <v>2</v>
      </c>
      <c r="K1007" s="2" t="s">
        <v>2025</v>
      </c>
      <c r="L1007" s="11" t="str">
        <f t="shared" si="16"/>
        <v>Ver Imagen</v>
      </c>
      <c r="M1007" t="s">
        <v>15</v>
      </c>
    </row>
    <row r="1008" spans="1:13" x14ac:dyDescent="0.25">
      <c r="A1008">
        <v>1007</v>
      </c>
      <c r="B1008" t="s">
        <v>2026</v>
      </c>
      <c r="C1008" s="1">
        <v>37.1891667895</v>
      </c>
      <c r="D1008" s="1">
        <v>-6.9781906862499996</v>
      </c>
      <c r="E1008" s="3">
        <v>1</v>
      </c>
      <c r="F1008" s="2">
        <v>2</v>
      </c>
      <c r="G1008" s="4">
        <v>2</v>
      </c>
      <c r="H1008" s="13"/>
      <c r="I1008" s="15"/>
      <c r="J1008" s="19">
        <v>2</v>
      </c>
      <c r="K1008" s="2" t="s">
        <v>2027</v>
      </c>
      <c r="L1008" s="11" t="str">
        <f t="shared" si="16"/>
        <v>Ver Imagen</v>
      </c>
      <c r="M1008" t="s">
        <v>15</v>
      </c>
    </row>
    <row r="1009" spans="1:13" x14ac:dyDescent="0.25">
      <c r="A1009">
        <v>1008</v>
      </c>
      <c r="B1009" t="s">
        <v>2028</v>
      </c>
      <c r="C1009" s="1">
        <v>37.189361601199998</v>
      </c>
      <c r="D1009" s="1">
        <v>-6.9781358986499997</v>
      </c>
      <c r="E1009" s="3">
        <v>1</v>
      </c>
      <c r="F1009" s="2">
        <v>2</v>
      </c>
      <c r="G1009" s="4">
        <v>2</v>
      </c>
      <c r="H1009" s="13"/>
      <c r="I1009" s="15"/>
      <c r="J1009" s="19">
        <v>2</v>
      </c>
      <c r="K1009" s="2" t="s">
        <v>2029</v>
      </c>
      <c r="L1009" s="11" t="str">
        <f t="shared" si="16"/>
        <v>Ver Imagen</v>
      </c>
      <c r="M1009" t="s">
        <v>15</v>
      </c>
    </row>
    <row r="1010" spans="1:13" x14ac:dyDescent="0.25">
      <c r="A1010">
        <v>1009</v>
      </c>
      <c r="B1010" t="s">
        <v>2030</v>
      </c>
      <c r="C1010" s="1">
        <v>37.189590776499998</v>
      </c>
      <c r="D1010" s="1">
        <v>-6.9780708154199997</v>
      </c>
      <c r="E1010" s="3">
        <v>1</v>
      </c>
      <c r="F1010" s="2">
        <v>2</v>
      </c>
      <c r="G1010" s="4">
        <v>2</v>
      </c>
      <c r="H1010" s="13"/>
      <c r="I1010" s="15"/>
      <c r="J1010" s="19">
        <v>2</v>
      </c>
      <c r="K1010" s="2" t="s">
        <v>2031</v>
      </c>
      <c r="L1010" s="11" t="str">
        <f t="shared" si="16"/>
        <v>Ver Imagen</v>
      </c>
      <c r="M1010" t="s">
        <v>15</v>
      </c>
    </row>
    <row r="1011" spans="1:13" x14ac:dyDescent="0.25">
      <c r="A1011">
        <v>1010</v>
      </c>
      <c r="B1011" t="s">
        <v>2032</v>
      </c>
      <c r="C1011" s="1">
        <v>37.189795941100002</v>
      </c>
      <c r="D1011" s="1">
        <v>-6.9780139740799996</v>
      </c>
      <c r="E1011" s="3">
        <v>1</v>
      </c>
      <c r="F1011" s="2">
        <v>2</v>
      </c>
      <c r="G1011" s="4">
        <v>2</v>
      </c>
      <c r="H1011" s="13"/>
      <c r="I1011" s="15"/>
      <c r="J1011" s="19">
        <v>2</v>
      </c>
      <c r="K1011" s="2" t="s">
        <v>2033</v>
      </c>
      <c r="L1011" s="11" t="str">
        <f t="shared" si="16"/>
        <v>Ver Imagen</v>
      </c>
      <c r="M1011" t="s">
        <v>15</v>
      </c>
    </row>
    <row r="1012" spans="1:13" x14ac:dyDescent="0.25">
      <c r="A1012">
        <v>1011</v>
      </c>
      <c r="B1012" t="s">
        <v>2034</v>
      </c>
      <c r="C1012" s="1">
        <v>37.1899890376</v>
      </c>
      <c r="D1012" s="1">
        <v>-6.9779613306900004</v>
      </c>
      <c r="E1012" s="3">
        <v>1</v>
      </c>
      <c r="F1012" s="2">
        <v>2</v>
      </c>
      <c r="G1012" s="4">
        <v>2</v>
      </c>
      <c r="H1012" s="13"/>
      <c r="I1012" s="15"/>
      <c r="J1012" s="19">
        <v>2</v>
      </c>
      <c r="K1012" s="2" t="s">
        <v>2035</v>
      </c>
      <c r="L1012" s="11" t="str">
        <f t="shared" si="16"/>
        <v>Ver Imagen</v>
      </c>
      <c r="M1012" t="s">
        <v>15</v>
      </c>
    </row>
    <row r="1013" spans="1:13" x14ac:dyDescent="0.25">
      <c r="A1013">
        <v>1012</v>
      </c>
      <c r="B1013" t="s">
        <v>2036</v>
      </c>
      <c r="C1013" s="1">
        <v>37.265568280700002</v>
      </c>
      <c r="D1013" s="1">
        <v>-6.9956934190500002</v>
      </c>
      <c r="E1013" s="3">
        <v>2</v>
      </c>
      <c r="F1013" s="2">
        <v>2</v>
      </c>
      <c r="G1013" s="4">
        <v>1</v>
      </c>
      <c r="H1013" s="13"/>
      <c r="I1013" s="15"/>
      <c r="J1013" s="19">
        <v>2</v>
      </c>
      <c r="K1013" s="2" t="s">
        <v>2037</v>
      </c>
      <c r="L1013" s="11" t="str">
        <f t="shared" si="16"/>
        <v>Ver Imagen</v>
      </c>
      <c r="M1013" t="s">
        <v>15</v>
      </c>
    </row>
    <row r="1014" spans="1:13" x14ac:dyDescent="0.25">
      <c r="A1014">
        <v>1013</v>
      </c>
      <c r="B1014" t="s">
        <v>2038</v>
      </c>
      <c r="C1014" s="1">
        <v>37.204647685300003</v>
      </c>
      <c r="D1014" s="1">
        <v>-7.01385566055</v>
      </c>
      <c r="E1014" s="3">
        <v>1</v>
      </c>
      <c r="F1014" s="2">
        <v>2</v>
      </c>
      <c r="G1014" s="4">
        <v>2</v>
      </c>
      <c r="H1014" s="13"/>
      <c r="I1014" s="15"/>
      <c r="J1014" s="19">
        <v>2</v>
      </c>
      <c r="K1014" s="2" t="s">
        <v>2039</v>
      </c>
      <c r="L1014" s="11" t="str">
        <f t="shared" si="16"/>
        <v>Ver Imagen</v>
      </c>
      <c r="M1014" t="s">
        <v>15</v>
      </c>
    </row>
    <row r="1015" spans="1:13" x14ac:dyDescent="0.25">
      <c r="A1015">
        <v>1014</v>
      </c>
      <c r="B1015" t="s">
        <v>2040</v>
      </c>
      <c r="C1015" s="1">
        <v>37.204701479900002</v>
      </c>
      <c r="D1015" s="1">
        <v>-7.0141207904299998</v>
      </c>
      <c r="E1015" s="3">
        <v>1</v>
      </c>
      <c r="F1015" s="2">
        <v>2</v>
      </c>
      <c r="G1015" s="4">
        <v>2</v>
      </c>
      <c r="H1015" s="13"/>
      <c r="I1015" s="15"/>
      <c r="J1015" s="19">
        <v>2</v>
      </c>
      <c r="K1015" s="2" t="s">
        <v>2041</v>
      </c>
      <c r="L1015" s="11" t="str">
        <f t="shared" si="16"/>
        <v>Ver Imagen</v>
      </c>
      <c r="M1015" t="s">
        <v>15</v>
      </c>
    </row>
    <row r="1016" spans="1:13" x14ac:dyDescent="0.25">
      <c r="A1016">
        <v>1015</v>
      </c>
      <c r="B1016" t="s">
        <v>2042</v>
      </c>
      <c r="C1016" s="1">
        <v>37.204747732599998</v>
      </c>
      <c r="D1016" s="1">
        <v>-7.0143514907200002</v>
      </c>
      <c r="E1016" s="3">
        <v>1</v>
      </c>
      <c r="F1016" s="2">
        <v>2</v>
      </c>
      <c r="G1016" s="4">
        <v>2</v>
      </c>
      <c r="H1016" s="13"/>
      <c r="I1016" s="15"/>
      <c r="J1016" s="19">
        <v>2</v>
      </c>
      <c r="K1016" s="2" t="s">
        <v>2043</v>
      </c>
      <c r="L1016" s="11" t="str">
        <f t="shared" si="16"/>
        <v>Ver Imagen</v>
      </c>
      <c r="M1016" t="s">
        <v>15</v>
      </c>
    </row>
    <row r="1017" spans="1:13" x14ac:dyDescent="0.25">
      <c r="A1017">
        <v>1016</v>
      </c>
      <c r="B1017" t="s">
        <v>2044</v>
      </c>
      <c r="C1017" s="1">
        <v>37.2048337162</v>
      </c>
      <c r="D1017" s="1">
        <v>-7.0147860819099996</v>
      </c>
      <c r="E1017" s="3">
        <v>1</v>
      </c>
      <c r="F1017" s="2">
        <v>2</v>
      </c>
      <c r="G1017" s="4">
        <v>2</v>
      </c>
      <c r="H1017" s="13"/>
      <c r="I1017" s="15"/>
      <c r="J1017" s="19">
        <v>2</v>
      </c>
      <c r="K1017" s="2" t="s">
        <v>2045</v>
      </c>
      <c r="L1017" s="11" t="str">
        <f t="shared" si="16"/>
        <v>Ver Imagen</v>
      </c>
      <c r="M1017" t="s">
        <v>15</v>
      </c>
    </row>
    <row r="1018" spans="1:13" x14ac:dyDescent="0.25">
      <c r="A1018">
        <v>1017</v>
      </c>
      <c r="B1018" t="s">
        <v>2046</v>
      </c>
      <c r="C1018" s="1">
        <v>37.204937823800002</v>
      </c>
      <c r="D1018" s="1">
        <v>-7.0153192690199999</v>
      </c>
      <c r="E1018" s="3">
        <v>1</v>
      </c>
      <c r="F1018" s="2">
        <v>2</v>
      </c>
      <c r="G1018" s="4">
        <v>2</v>
      </c>
      <c r="H1018" s="13"/>
      <c r="I1018" s="15"/>
      <c r="J1018" s="19">
        <v>2</v>
      </c>
      <c r="K1018" s="2" t="s">
        <v>2047</v>
      </c>
      <c r="L1018" s="11" t="str">
        <f t="shared" si="16"/>
        <v>Ver Imagen</v>
      </c>
      <c r="M1018" t="s">
        <v>15</v>
      </c>
    </row>
    <row r="1019" spans="1:13" x14ac:dyDescent="0.25">
      <c r="A1019">
        <v>1018</v>
      </c>
      <c r="B1019" t="s">
        <v>2048</v>
      </c>
      <c r="C1019" s="1">
        <v>37.205079038699999</v>
      </c>
      <c r="D1019" s="1">
        <v>-7.0160183084599996</v>
      </c>
      <c r="E1019" s="3">
        <v>1</v>
      </c>
      <c r="F1019" s="2">
        <v>2</v>
      </c>
      <c r="G1019" s="4">
        <v>2</v>
      </c>
      <c r="H1019" s="13"/>
      <c r="I1019" s="15"/>
      <c r="J1019" s="19">
        <v>2</v>
      </c>
      <c r="K1019" s="2" t="s">
        <v>2049</v>
      </c>
      <c r="L1019" s="11" t="str">
        <f t="shared" si="16"/>
        <v>Ver Imagen</v>
      </c>
      <c r="M1019" t="s">
        <v>15</v>
      </c>
    </row>
    <row r="1020" spans="1:13" x14ac:dyDescent="0.25">
      <c r="A1020">
        <v>1019</v>
      </c>
      <c r="B1020" t="s">
        <v>2050</v>
      </c>
      <c r="C1020" s="1">
        <v>37.205132628100003</v>
      </c>
      <c r="D1020" s="1">
        <v>-7.0162703370399999</v>
      </c>
      <c r="E1020" s="3">
        <v>1</v>
      </c>
      <c r="F1020" s="2">
        <v>2</v>
      </c>
      <c r="G1020" s="4">
        <v>2</v>
      </c>
      <c r="H1020" s="13"/>
      <c r="I1020" s="15"/>
      <c r="J1020" s="19">
        <v>2</v>
      </c>
      <c r="K1020" s="2" t="s">
        <v>2051</v>
      </c>
      <c r="L1020" s="11" t="str">
        <f t="shared" si="16"/>
        <v>Ver Imagen</v>
      </c>
      <c r="M1020" t="s">
        <v>15</v>
      </c>
    </row>
    <row r="1021" spans="1:13" x14ac:dyDescent="0.25">
      <c r="A1021">
        <v>1020</v>
      </c>
      <c r="B1021" t="s">
        <v>2052</v>
      </c>
      <c r="C1021" s="1">
        <v>37.2051823591</v>
      </c>
      <c r="D1021" s="1">
        <v>-7.0164962169800003</v>
      </c>
      <c r="E1021" s="3">
        <v>1</v>
      </c>
      <c r="F1021" s="2">
        <v>2</v>
      </c>
      <c r="G1021" s="4">
        <v>2</v>
      </c>
      <c r="H1021" s="13"/>
      <c r="I1021" s="15"/>
      <c r="J1021" s="19">
        <v>2</v>
      </c>
      <c r="K1021" s="2" t="s">
        <v>2053</v>
      </c>
      <c r="L1021" s="11" t="str">
        <f t="shared" si="16"/>
        <v>Ver Imagen</v>
      </c>
      <c r="M1021" t="s">
        <v>15</v>
      </c>
    </row>
    <row r="1022" spans="1:13" x14ac:dyDescent="0.25">
      <c r="A1022">
        <v>1021</v>
      </c>
      <c r="B1022" t="s">
        <v>2054</v>
      </c>
      <c r="C1022" s="1">
        <v>37.212145740700002</v>
      </c>
      <c r="D1022" s="1">
        <v>-7.0238499778900003</v>
      </c>
      <c r="E1022" s="3">
        <v>1</v>
      </c>
      <c r="F1022" s="2">
        <v>2</v>
      </c>
      <c r="G1022" s="4">
        <v>2</v>
      </c>
      <c r="H1022" s="13"/>
      <c r="I1022" s="15"/>
      <c r="J1022" s="19">
        <v>2</v>
      </c>
      <c r="K1022" s="2" t="s">
        <v>2055</v>
      </c>
      <c r="L1022" s="11" t="str">
        <f t="shared" si="16"/>
        <v>Ver Imagen</v>
      </c>
      <c r="M1022" t="s">
        <v>15</v>
      </c>
    </row>
    <row r="1023" spans="1:13" x14ac:dyDescent="0.25">
      <c r="A1023">
        <v>1022</v>
      </c>
      <c r="B1023" t="s">
        <v>2056</v>
      </c>
      <c r="C1023" s="1">
        <v>37.212375684900003</v>
      </c>
      <c r="D1023" s="1">
        <v>-7.0238341465899996</v>
      </c>
      <c r="E1023" s="3">
        <v>1</v>
      </c>
      <c r="F1023" s="2">
        <v>2</v>
      </c>
      <c r="G1023" s="4">
        <v>2</v>
      </c>
      <c r="H1023" s="13"/>
      <c r="I1023" s="15"/>
      <c r="J1023" s="19">
        <v>2</v>
      </c>
      <c r="K1023" s="2" t="s">
        <v>2057</v>
      </c>
      <c r="L1023" s="11" t="str">
        <f t="shared" si="16"/>
        <v>Ver Imagen</v>
      </c>
      <c r="M1023" t="s">
        <v>15</v>
      </c>
    </row>
    <row r="1024" spans="1:13" x14ac:dyDescent="0.25">
      <c r="A1024">
        <v>1023</v>
      </c>
      <c r="B1024" t="s">
        <v>2058</v>
      </c>
      <c r="C1024" s="1">
        <v>37.212584581999998</v>
      </c>
      <c r="D1024" s="1">
        <v>-7.0238133592200001</v>
      </c>
      <c r="E1024" s="3">
        <v>1</v>
      </c>
      <c r="F1024" s="2">
        <v>2</v>
      </c>
      <c r="G1024" s="4">
        <v>2</v>
      </c>
      <c r="H1024" s="13"/>
      <c r="I1024" s="15"/>
      <c r="J1024" s="19">
        <v>2</v>
      </c>
      <c r="K1024" s="2" t="s">
        <v>2059</v>
      </c>
      <c r="L1024" s="11" t="str">
        <f t="shared" si="16"/>
        <v>Ver Imagen</v>
      </c>
      <c r="M1024" t="s">
        <v>15</v>
      </c>
    </row>
    <row r="1025" spans="1:13" x14ac:dyDescent="0.25">
      <c r="A1025">
        <v>1024</v>
      </c>
      <c r="B1025" t="s">
        <v>2060</v>
      </c>
      <c r="C1025" s="1">
        <v>37.212779237200003</v>
      </c>
      <c r="D1025" s="1">
        <v>-7.0237889966399996</v>
      </c>
      <c r="E1025" s="3">
        <v>1</v>
      </c>
      <c r="F1025" s="2">
        <v>2</v>
      </c>
      <c r="G1025" s="4">
        <v>2</v>
      </c>
      <c r="H1025" s="13"/>
      <c r="I1025" s="15"/>
      <c r="J1025" s="19">
        <v>2</v>
      </c>
      <c r="K1025" s="2" t="s">
        <v>2061</v>
      </c>
      <c r="L1025" s="11" t="str">
        <f t="shared" si="16"/>
        <v>Ver Imagen</v>
      </c>
      <c r="M1025" t="s">
        <v>15</v>
      </c>
    </row>
    <row r="1026" spans="1:13" x14ac:dyDescent="0.25">
      <c r="A1026">
        <v>1025</v>
      </c>
      <c r="B1026" t="s">
        <v>2062</v>
      </c>
      <c r="C1026" s="1">
        <v>37.212962851299999</v>
      </c>
      <c r="D1026" s="1">
        <v>-7.0237630535899997</v>
      </c>
      <c r="E1026" s="3">
        <v>1</v>
      </c>
      <c r="F1026" s="2">
        <v>2</v>
      </c>
      <c r="G1026" s="4">
        <v>2</v>
      </c>
      <c r="H1026" s="13"/>
      <c r="I1026" s="15"/>
      <c r="J1026" s="19">
        <v>2</v>
      </c>
      <c r="K1026" s="2" t="s">
        <v>2063</v>
      </c>
      <c r="L1026" s="11" t="str">
        <f t="shared" si="16"/>
        <v>Ver Imagen</v>
      </c>
      <c r="M1026" t="s">
        <v>15</v>
      </c>
    </row>
    <row r="1027" spans="1:13" x14ac:dyDescent="0.25">
      <c r="A1027">
        <v>1026</v>
      </c>
      <c r="B1027" t="s">
        <v>2064</v>
      </c>
      <c r="C1027" s="1">
        <v>37.213133647100001</v>
      </c>
      <c r="D1027" s="1">
        <v>-7.0237368875900001</v>
      </c>
      <c r="E1027" s="3">
        <v>1</v>
      </c>
      <c r="F1027" s="2">
        <v>2</v>
      </c>
      <c r="G1027" s="4">
        <v>2</v>
      </c>
      <c r="H1027" s="13"/>
      <c r="I1027" s="15"/>
      <c r="J1027" s="19">
        <v>2</v>
      </c>
      <c r="K1027" s="2" t="s">
        <v>2065</v>
      </c>
      <c r="L1027" s="11" t="str">
        <f t="shared" ref="L1027:L1090" si="17">HYPERLINK("2\1\" &amp; K1027, "Ver Imagen")</f>
        <v>Ver Imagen</v>
      </c>
      <c r="M1027" t="s">
        <v>15</v>
      </c>
    </row>
    <row r="1028" spans="1:13" x14ac:dyDescent="0.25">
      <c r="A1028">
        <v>1027</v>
      </c>
      <c r="B1028" t="s">
        <v>2066</v>
      </c>
      <c r="C1028" s="1">
        <v>37.213369024800002</v>
      </c>
      <c r="D1028" s="1">
        <v>-7.0236983666799997</v>
      </c>
      <c r="E1028" s="3">
        <v>1</v>
      </c>
      <c r="F1028" s="2">
        <v>2</v>
      </c>
      <c r="G1028" s="4">
        <v>2</v>
      </c>
      <c r="H1028" s="13"/>
      <c r="I1028" s="15"/>
      <c r="J1028" s="19">
        <v>2</v>
      </c>
      <c r="K1028" s="2" t="s">
        <v>2067</v>
      </c>
      <c r="L1028" s="11" t="str">
        <f t="shared" si="17"/>
        <v>Ver Imagen</v>
      </c>
      <c r="M1028" t="s">
        <v>15</v>
      </c>
    </row>
    <row r="1029" spans="1:13" x14ac:dyDescent="0.25">
      <c r="A1029">
        <v>1028</v>
      </c>
      <c r="B1029" t="s">
        <v>2068</v>
      </c>
      <c r="C1029" s="1">
        <v>37.213775776799999</v>
      </c>
      <c r="D1029" s="1">
        <v>-7.0236288238100002</v>
      </c>
      <c r="E1029" s="3">
        <v>1</v>
      </c>
      <c r="F1029" s="2">
        <v>2</v>
      </c>
      <c r="G1029" s="4">
        <v>2</v>
      </c>
      <c r="H1029" s="13"/>
      <c r="I1029" s="15"/>
      <c r="J1029" s="19">
        <v>2</v>
      </c>
      <c r="K1029" s="2" t="s">
        <v>2069</v>
      </c>
      <c r="L1029" s="11" t="str">
        <f t="shared" si="17"/>
        <v>Ver Imagen</v>
      </c>
      <c r="M1029" t="s">
        <v>15</v>
      </c>
    </row>
    <row r="1030" spans="1:13" x14ac:dyDescent="0.25">
      <c r="A1030">
        <v>1029</v>
      </c>
      <c r="B1030" t="s">
        <v>2070</v>
      </c>
      <c r="C1030" s="1">
        <v>37.225655604899998</v>
      </c>
      <c r="D1030" s="1">
        <v>-7.0232940714799996</v>
      </c>
      <c r="E1030" s="3">
        <v>1</v>
      </c>
      <c r="F1030" s="2">
        <v>2</v>
      </c>
      <c r="G1030" s="4">
        <v>2</v>
      </c>
      <c r="H1030" s="13"/>
      <c r="I1030" s="15"/>
      <c r="J1030" s="19">
        <v>2</v>
      </c>
      <c r="K1030" s="2" t="s">
        <v>2071</v>
      </c>
      <c r="L1030" s="11" t="str">
        <f t="shared" si="17"/>
        <v>Ver Imagen</v>
      </c>
      <c r="M1030" t="s">
        <v>15</v>
      </c>
    </row>
    <row r="1031" spans="1:13" x14ac:dyDescent="0.25">
      <c r="A1031">
        <v>1030</v>
      </c>
      <c r="B1031" t="s">
        <v>2072</v>
      </c>
      <c r="C1031" s="1">
        <v>37.224861326599999</v>
      </c>
      <c r="D1031" s="1">
        <v>-7.0233927390300002</v>
      </c>
      <c r="E1031" s="3">
        <v>1</v>
      </c>
      <c r="F1031" s="2">
        <v>2</v>
      </c>
      <c r="G1031" s="4">
        <v>2</v>
      </c>
      <c r="H1031" s="13"/>
      <c r="I1031" s="15"/>
      <c r="J1031" s="19">
        <v>2</v>
      </c>
      <c r="K1031" s="2" t="s">
        <v>2073</v>
      </c>
      <c r="L1031" s="11" t="str">
        <f t="shared" si="17"/>
        <v>Ver Imagen</v>
      </c>
      <c r="M1031" t="s">
        <v>15</v>
      </c>
    </row>
    <row r="1032" spans="1:13" x14ac:dyDescent="0.25">
      <c r="A1032">
        <v>1031</v>
      </c>
      <c r="B1032" t="s">
        <v>2074</v>
      </c>
      <c r="C1032" s="1">
        <v>37.224499794499998</v>
      </c>
      <c r="D1032" s="1">
        <v>-7.0233835085900003</v>
      </c>
      <c r="E1032" s="3">
        <v>1</v>
      </c>
      <c r="F1032" s="2">
        <v>2</v>
      </c>
      <c r="G1032" s="4">
        <v>2</v>
      </c>
      <c r="H1032" s="13"/>
      <c r="I1032" s="15"/>
      <c r="J1032" s="19">
        <v>2</v>
      </c>
      <c r="K1032" s="2" t="s">
        <v>2075</v>
      </c>
      <c r="L1032" s="11" t="str">
        <f t="shared" si="17"/>
        <v>Ver Imagen</v>
      </c>
      <c r="M1032" t="s">
        <v>15</v>
      </c>
    </row>
    <row r="1033" spans="1:13" x14ac:dyDescent="0.25">
      <c r="A1033">
        <v>1032</v>
      </c>
      <c r="B1033" t="s">
        <v>2076</v>
      </c>
      <c r="C1033" s="1">
        <v>37.224302128300003</v>
      </c>
      <c r="D1033" s="1">
        <v>-7.0233686773899997</v>
      </c>
      <c r="E1033" s="3">
        <v>1</v>
      </c>
      <c r="F1033" s="2">
        <v>2</v>
      </c>
      <c r="G1033" s="4">
        <v>2</v>
      </c>
      <c r="H1033" s="13"/>
      <c r="I1033" s="15"/>
      <c r="J1033" s="19">
        <v>2</v>
      </c>
      <c r="K1033" s="2" t="s">
        <v>2077</v>
      </c>
      <c r="L1033" s="11" t="str">
        <f t="shared" si="17"/>
        <v>Ver Imagen</v>
      </c>
      <c r="M1033" t="s">
        <v>15</v>
      </c>
    </row>
    <row r="1034" spans="1:13" x14ac:dyDescent="0.25">
      <c r="A1034">
        <v>1033</v>
      </c>
      <c r="B1034" t="s">
        <v>2078</v>
      </c>
      <c r="C1034" s="1">
        <v>37.222870288800003</v>
      </c>
      <c r="D1034" s="1">
        <v>-7.0232363076100004</v>
      </c>
      <c r="E1034" s="3">
        <v>1</v>
      </c>
      <c r="F1034" s="2">
        <v>2</v>
      </c>
      <c r="G1034" s="4">
        <v>2</v>
      </c>
      <c r="H1034" s="13"/>
      <c r="I1034" s="15"/>
      <c r="J1034" s="19">
        <v>2</v>
      </c>
      <c r="K1034" s="2" t="s">
        <v>2079</v>
      </c>
      <c r="L1034" s="11" t="str">
        <f t="shared" si="17"/>
        <v>Ver Imagen</v>
      </c>
      <c r="M1034" t="s">
        <v>15</v>
      </c>
    </row>
    <row r="1035" spans="1:13" x14ac:dyDescent="0.25">
      <c r="A1035">
        <v>1034</v>
      </c>
      <c r="B1035" t="s">
        <v>2080</v>
      </c>
      <c r="C1035" s="1">
        <v>37.222279780599997</v>
      </c>
      <c r="D1035" s="1">
        <v>-7.0231762911100004</v>
      </c>
      <c r="E1035" s="3">
        <v>1</v>
      </c>
      <c r="F1035" s="2">
        <v>2</v>
      </c>
      <c r="G1035" s="4">
        <v>2</v>
      </c>
      <c r="H1035" s="13"/>
      <c r="I1035" s="15"/>
      <c r="J1035" s="19">
        <v>2</v>
      </c>
      <c r="K1035" s="2" t="s">
        <v>2081</v>
      </c>
      <c r="L1035" s="11" t="str">
        <f t="shared" si="17"/>
        <v>Ver Imagen</v>
      </c>
      <c r="M1035" t="s">
        <v>15</v>
      </c>
    </row>
    <row r="1036" spans="1:13" x14ac:dyDescent="0.25">
      <c r="A1036">
        <v>1035</v>
      </c>
      <c r="B1036" t="s">
        <v>2082</v>
      </c>
      <c r="C1036" s="1">
        <v>37.222067893999998</v>
      </c>
      <c r="D1036" s="1">
        <v>-7.0231542963100004</v>
      </c>
      <c r="E1036" s="3">
        <v>1</v>
      </c>
      <c r="F1036" s="2">
        <v>2</v>
      </c>
      <c r="G1036" s="4">
        <v>2</v>
      </c>
      <c r="H1036" s="13"/>
      <c r="I1036" s="15"/>
      <c r="J1036" s="19">
        <v>2</v>
      </c>
      <c r="K1036" s="2" t="s">
        <v>2083</v>
      </c>
      <c r="L1036" s="11" t="str">
        <f t="shared" si="17"/>
        <v>Ver Imagen</v>
      </c>
      <c r="M1036" t="s">
        <v>15</v>
      </c>
    </row>
    <row r="1037" spans="1:13" x14ac:dyDescent="0.25">
      <c r="A1037">
        <v>1036</v>
      </c>
      <c r="B1037" t="s">
        <v>2084</v>
      </c>
      <c r="C1037" s="1">
        <v>37.219800497000001</v>
      </c>
      <c r="D1037" s="1">
        <v>-7.0227766270499998</v>
      </c>
      <c r="E1037" s="3">
        <v>1</v>
      </c>
      <c r="F1037" s="2">
        <v>2</v>
      </c>
      <c r="G1037" s="4">
        <v>2</v>
      </c>
      <c r="H1037" s="13"/>
      <c r="I1037" s="15"/>
      <c r="J1037" s="19">
        <v>2</v>
      </c>
      <c r="K1037" s="2" t="s">
        <v>2085</v>
      </c>
      <c r="L1037" s="11" t="str">
        <f t="shared" si="17"/>
        <v>Ver Imagen</v>
      </c>
      <c r="M1037" t="s">
        <v>15</v>
      </c>
    </row>
    <row r="1038" spans="1:13" x14ac:dyDescent="0.25">
      <c r="A1038">
        <v>1037</v>
      </c>
      <c r="B1038" t="s">
        <v>2086</v>
      </c>
      <c r="C1038" s="1">
        <v>37.220201382200003</v>
      </c>
      <c r="D1038" s="1">
        <v>-7.0228029963700003</v>
      </c>
      <c r="E1038" s="3">
        <v>1</v>
      </c>
      <c r="F1038" s="2">
        <v>2</v>
      </c>
      <c r="G1038" s="4">
        <v>2</v>
      </c>
      <c r="H1038" s="13"/>
      <c r="I1038" s="15"/>
      <c r="J1038" s="19">
        <v>2</v>
      </c>
      <c r="K1038" s="2" t="s">
        <v>2087</v>
      </c>
      <c r="L1038" s="11" t="str">
        <f t="shared" si="17"/>
        <v>Ver Imagen</v>
      </c>
      <c r="M1038" t="s">
        <v>15</v>
      </c>
    </row>
    <row r="1039" spans="1:13" x14ac:dyDescent="0.25">
      <c r="A1039">
        <v>1038</v>
      </c>
      <c r="B1039" t="s">
        <v>2088</v>
      </c>
      <c r="C1039" s="1">
        <v>37.220393484200002</v>
      </c>
      <c r="D1039" s="1">
        <v>-7.0228166671499999</v>
      </c>
      <c r="E1039" s="3">
        <v>1</v>
      </c>
      <c r="F1039" s="2">
        <v>2</v>
      </c>
      <c r="G1039" s="4">
        <v>2</v>
      </c>
      <c r="H1039" s="13"/>
      <c r="I1039" s="15"/>
      <c r="J1039" s="19">
        <v>2</v>
      </c>
      <c r="K1039" s="2" t="s">
        <v>2089</v>
      </c>
      <c r="L1039" s="11" t="str">
        <f t="shared" si="17"/>
        <v>Ver Imagen</v>
      </c>
      <c r="M1039" t="s">
        <v>15</v>
      </c>
    </row>
    <row r="1040" spans="1:13" x14ac:dyDescent="0.25">
      <c r="A1040">
        <v>1039</v>
      </c>
      <c r="B1040" t="s">
        <v>2090</v>
      </c>
      <c r="C1040" s="1">
        <v>37.2214634511</v>
      </c>
      <c r="D1040" s="1">
        <v>-7.0229132453999998</v>
      </c>
      <c r="E1040" s="3">
        <v>1</v>
      </c>
      <c r="F1040" s="2">
        <v>2</v>
      </c>
      <c r="G1040" s="4">
        <v>2</v>
      </c>
      <c r="H1040" s="13"/>
      <c r="I1040" s="15"/>
      <c r="J1040" s="19">
        <v>2</v>
      </c>
      <c r="K1040" s="2" t="s">
        <v>2091</v>
      </c>
      <c r="L1040" s="11" t="str">
        <f t="shared" si="17"/>
        <v>Ver Imagen</v>
      </c>
      <c r="M1040" t="s">
        <v>15</v>
      </c>
    </row>
    <row r="1041" spans="1:13" x14ac:dyDescent="0.25">
      <c r="A1041">
        <v>1040</v>
      </c>
      <c r="B1041" t="s">
        <v>2092</v>
      </c>
      <c r="C1041" s="1">
        <v>37.205362883600003</v>
      </c>
      <c r="D1041" s="1">
        <v>-7.0178311465299998</v>
      </c>
      <c r="E1041" s="3">
        <v>1</v>
      </c>
      <c r="F1041" s="2">
        <v>2</v>
      </c>
      <c r="G1041" s="4">
        <v>2</v>
      </c>
      <c r="H1041" s="13"/>
      <c r="I1041" s="15"/>
      <c r="J1041" s="19">
        <v>2</v>
      </c>
      <c r="K1041" s="2" t="s">
        <v>2093</v>
      </c>
      <c r="L1041" s="11" t="str">
        <f t="shared" si="17"/>
        <v>Ver Imagen</v>
      </c>
      <c r="M1041" t="s">
        <v>15</v>
      </c>
    </row>
    <row r="1042" spans="1:13" x14ac:dyDescent="0.25">
      <c r="A1042">
        <v>1041</v>
      </c>
      <c r="B1042" t="s">
        <v>2094</v>
      </c>
      <c r="C1042" s="1">
        <v>37.201372977200002</v>
      </c>
      <c r="D1042" s="1">
        <v>-6.9928196306599997</v>
      </c>
      <c r="E1042" s="3">
        <v>1</v>
      </c>
      <c r="F1042" s="2">
        <v>2</v>
      </c>
      <c r="G1042" s="4">
        <v>2</v>
      </c>
      <c r="H1042" s="13"/>
      <c r="I1042" s="15"/>
      <c r="J1042" s="19">
        <v>2</v>
      </c>
      <c r="K1042" s="2" t="s">
        <v>2095</v>
      </c>
      <c r="L1042" s="11" t="str">
        <f t="shared" si="17"/>
        <v>Ver Imagen</v>
      </c>
      <c r="M1042" t="s">
        <v>15</v>
      </c>
    </row>
    <row r="1043" spans="1:13" x14ac:dyDescent="0.25">
      <c r="A1043">
        <v>1042</v>
      </c>
      <c r="B1043" t="s">
        <v>2096</v>
      </c>
      <c r="C1043" s="1">
        <v>37.227877315100002</v>
      </c>
      <c r="D1043" s="1">
        <v>-7.0218685991900003</v>
      </c>
      <c r="E1043" s="3">
        <v>2</v>
      </c>
      <c r="F1043" s="2">
        <v>2</v>
      </c>
      <c r="G1043" s="4">
        <v>1</v>
      </c>
      <c r="H1043" s="13"/>
      <c r="I1043" s="15"/>
      <c r="J1043" s="19">
        <v>2</v>
      </c>
      <c r="K1043" s="2" t="s">
        <v>2097</v>
      </c>
      <c r="L1043" s="11" t="str">
        <f t="shared" si="17"/>
        <v>Ver Imagen</v>
      </c>
      <c r="M1043" t="s">
        <v>15</v>
      </c>
    </row>
    <row r="1044" spans="1:13" x14ac:dyDescent="0.25">
      <c r="A1044">
        <v>1043</v>
      </c>
      <c r="B1044" t="s">
        <v>2098</v>
      </c>
      <c r="C1044" s="1">
        <v>37.265152051199998</v>
      </c>
      <c r="D1044" s="1">
        <v>-6.9973733534699996</v>
      </c>
      <c r="E1044" s="3">
        <v>1</v>
      </c>
      <c r="F1044" s="2">
        <v>2</v>
      </c>
      <c r="G1044" s="4">
        <v>2</v>
      </c>
      <c r="H1044" s="13"/>
      <c r="I1044" s="15"/>
      <c r="J1044" s="19">
        <v>2</v>
      </c>
      <c r="K1044" s="2" t="s">
        <v>2099</v>
      </c>
      <c r="L1044" s="11" t="str">
        <f t="shared" si="17"/>
        <v>Ver Imagen</v>
      </c>
      <c r="M1044" t="s">
        <v>15</v>
      </c>
    </row>
    <row r="1045" spans="1:13" x14ac:dyDescent="0.25">
      <c r="A1045">
        <v>1044</v>
      </c>
      <c r="B1045" t="s">
        <v>2100</v>
      </c>
      <c r="C1045" s="1">
        <v>37.265194511200001</v>
      </c>
      <c r="D1045" s="1">
        <v>-6.9971395582599998</v>
      </c>
      <c r="E1045" s="3">
        <v>1</v>
      </c>
      <c r="F1045" s="2">
        <v>2</v>
      </c>
      <c r="G1045" s="4">
        <v>2</v>
      </c>
      <c r="H1045" s="13"/>
      <c r="I1045" s="15"/>
      <c r="J1045" s="19">
        <v>2</v>
      </c>
      <c r="K1045" s="2" t="s">
        <v>2101</v>
      </c>
      <c r="L1045" s="11" t="str">
        <f t="shared" si="17"/>
        <v>Ver Imagen</v>
      </c>
      <c r="M1045" t="s">
        <v>15</v>
      </c>
    </row>
    <row r="1046" spans="1:13" x14ac:dyDescent="0.25">
      <c r="A1046">
        <v>1045</v>
      </c>
      <c r="B1046" t="s">
        <v>2102</v>
      </c>
      <c r="C1046" s="1">
        <v>37.265327779400003</v>
      </c>
      <c r="D1046" s="1">
        <v>-6.9964138952599999</v>
      </c>
      <c r="E1046" s="3">
        <v>2</v>
      </c>
      <c r="F1046" s="2">
        <v>2</v>
      </c>
      <c r="G1046" s="4">
        <v>1</v>
      </c>
      <c r="H1046" s="13"/>
      <c r="I1046" s="15"/>
      <c r="J1046" s="19">
        <v>2</v>
      </c>
      <c r="K1046" s="2" t="s">
        <v>2103</v>
      </c>
      <c r="L1046" s="11" t="str">
        <f t="shared" si="17"/>
        <v>Ver Imagen</v>
      </c>
      <c r="M1046" t="s">
        <v>15</v>
      </c>
    </row>
    <row r="1047" spans="1:13" x14ac:dyDescent="0.25">
      <c r="A1047">
        <v>1046</v>
      </c>
      <c r="B1047" t="s">
        <v>2104</v>
      </c>
      <c r="C1047" s="1">
        <v>37.266042755900003</v>
      </c>
      <c r="D1047" s="1">
        <v>-6.9932433185400003</v>
      </c>
      <c r="E1047" s="3">
        <v>2</v>
      </c>
      <c r="F1047" s="2">
        <v>2</v>
      </c>
      <c r="G1047" s="4">
        <v>1</v>
      </c>
      <c r="H1047" s="13"/>
      <c r="I1047" s="15"/>
      <c r="J1047" s="19">
        <v>2</v>
      </c>
      <c r="K1047" s="2" t="s">
        <v>2105</v>
      </c>
      <c r="L1047" s="11" t="str">
        <f t="shared" si="17"/>
        <v>Ver Imagen</v>
      </c>
      <c r="M1047" t="s">
        <v>15</v>
      </c>
    </row>
    <row r="1048" spans="1:13" x14ac:dyDescent="0.25">
      <c r="A1048">
        <v>1047</v>
      </c>
      <c r="B1048" t="s">
        <v>2106</v>
      </c>
      <c r="C1048" s="1">
        <v>37.266143790500003</v>
      </c>
      <c r="D1048" s="1">
        <v>-6.9930120767900004</v>
      </c>
      <c r="E1048" s="3">
        <v>2</v>
      </c>
      <c r="F1048" s="2">
        <v>2</v>
      </c>
      <c r="G1048" s="4">
        <v>1</v>
      </c>
      <c r="H1048" s="13"/>
      <c r="I1048" s="15"/>
      <c r="J1048" s="19">
        <v>2</v>
      </c>
      <c r="K1048" s="2" t="s">
        <v>2107</v>
      </c>
      <c r="L1048" s="11" t="str">
        <f t="shared" si="17"/>
        <v>Ver Imagen</v>
      </c>
      <c r="M1048" t="s">
        <v>15</v>
      </c>
    </row>
    <row r="1049" spans="1:13" x14ac:dyDescent="0.25">
      <c r="A1049">
        <v>1048</v>
      </c>
      <c r="B1049" t="s">
        <v>2108</v>
      </c>
      <c r="C1049" s="1">
        <v>37.266287990099997</v>
      </c>
      <c r="D1049" s="1">
        <v>-6.99272355025</v>
      </c>
      <c r="E1049" s="3">
        <v>2</v>
      </c>
      <c r="F1049" s="2">
        <v>2</v>
      </c>
      <c r="G1049" s="4">
        <v>1</v>
      </c>
      <c r="H1049" s="13"/>
      <c r="I1049" s="15"/>
      <c r="J1049" s="19">
        <v>2</v>
      </c>
      <c r="K1049" s="2" t="s">
        <v>2109</v>
      </c>
      <c r="L1049" s="11" t="str">
        <f t="shared" si="17"/>
        <v>Ver Imagen</v>
      </c>
      <c r="M1049" t="s">
        <v>15</v>
      </c>
    </row>
    <row r="1050" spans="1:13" x14ac:dyDescent="0.25">
      <c r="A1050">
        <v>1049</v>
      </c>
      <c r="B1050" t="s">
        <v>2110</v>
      </c>
      <c r="C1050" s="1">
        <v>37.267907039599997</v>
      </c>
      <c r="D1050" s="1">
        <v>-6.9909463552100002</v>
      </c>
      <c r="E1050" s="3">
        <v>2</v>
      </c>
      <c r="F1050" s="2">
        <v>2</v>
      </c>
      <c r="G1050" s="4">
        <v>1</v>
      </c>
      <c r="H1050" s="13"/>
      <c r="I1050" s="15"/>
      <c r="J1050" s="19">
        <v>2</v>
      </c>
      <c r="K1050" s="2" t="s">
        <v>2111</v>
      </c>
      <c r="L1050" s="11" t="str">
        <f t="shared" si="17"/>
        <v>Ver Imagen</v>
      </c>
      <c r="M1050" t="s">
        <v>15</v>
      </c>
    </row>
    <row r="1051" spans="1:13" x14ac:dyDescent="0.25">
      <c r="A1051">
        <v>1050</v>
      </c>
      <c r="B1051" t="s">
        <v>2112</v>
      </c>
      <c r="C1051" s="1">
        <v>37.446172932899998</v>
      </c>
      <c r="D1051" s="1">
        <v>-7.1354613319400002</v>
      </c>
      <c r="E1051" s="3">
        <v>2</v>
      </c>
      <c r="F1051" s="2">
        <v>2</v>
      </c>
      <c r="G1051" s="4">
        <v>3</v>
      </c>
      <c r="H1051" s="13"/>
      <c r="I1051" s="15"/>
      <c r="J1051" s="19">
        <v>2</v>
      </c>
      <c r="K1051" s="2" t="s">
        <v>2113</v>
      </c>
      <c r="L1051" s="11" t="str">
        <f t="shared" si="17"/>
        <v>Ver Imagen</v>
      </c>
      <c r="M1051" t="s">
        <v>15</v>
      </c>
    </row>
    <row r="1052" spans="1:13" x14ac:dyDescent="0.25">
      <c r="A1052">
        <v>1051</v>
      </c>
      <c r="B1052" t="s">
        <v>2114</v>
      </c>
      <c r="C1052" s="1">
        <v>37.446145800099998</v>
      </c>
      <c r="D1052" s="1">
        <v>-7.1359771447</v>
      </c>
      <c r="E1052" s="3">
        <v>2</v>
      </c>
      <c r="F1052" s="2">
        <v>3</v>
      </c>
      <c r="G1052" s="4">
        <v>2</v>
      </c>
      <c r="H1052" s="13"/>
      <c r="I1052" s="15"/>
      <c r="J1052" s="19">
        <v>2</v>
      </c>
      <c r="K1052" s="2" t="s">
        <v>2115</v>
      </c>
      <c r="L1052" s="11" t="str">
        <f t="shared" si="17"/>
        <v>Ver Imagen</v>
      </c>
      <c r="M1052" t="s">
        <v>15</v>
      </c>
    </row>
    <row r="1053" spans="1:13" x14ac:dyDescent="0.25">
      <c r="A1053">
        <v>1052</v>
      </c>
      <c r="B1053" t="s">
        <v>2116</v>
      </c>
      <c r="C1053" s="1">
        <v>37.448369655299999</v>
      </c>
      <c r="D1053" s="1">
        <v>-7.1424401212899999</v>
      </c>
      <c r="E1053" s="3">
        <v>2</v>
      </c>
      <c r="F1053" s="2">
        <v>3</v>
      </c>
      <c r="G1053" s="4">
        <v>2</v>
      </c>
      <c r="H1053" s="13"/>
      <c r="I1053" s="15"/>
      <c r="J1053" s="19">
        <v>2</v>
      </c>
      <c r="K1053" s="2" t="s">
        <v>2117</v>
      </c>
      <c r="L1053" s="11" t="str">
        <f t="shared" si="17"/>
        <v>Ver Imagen</v>
      </c>
      <c r="M1053" t="s">
        <v>15</v>
      </c>
    </row>
    <row r="1054" spans="1:13" x14ac:dyDescent="0.25">
      <c r="A1054">
        <v>1053</v>
      </c>
      <c r="B1054" t="s">
        <v>2118</v>
      </c>
      <c r="C1054" s="1">
        <v>37.451974106999998</v>
      </c>
      <c r="D1054" s="1">
        <v>-7.15817127559</v>
      </c>
      <c r="E1054" s="3">
        <v>1</v>
      </c>
      <c r="F1054" s="2">
        <v>2</v>
      </c>
      <c r="G1054" s="4">
        <v>2</v>
      </c>
      <c r="H1054" s="13"/>
      <c r="I1054" s="15"/>
      <c r="J1054" s="19">
        <v>2</v>
      </c>
      <c r="K1054" s="2" t="s">
        <v>2119</v>
      </c>
      <c r="L1054" s="11" t="str">
        <f t="shared" si="17"/>
        <v>Ver Imagen</v>
      </c>
      <c r="M1054" t="s">
        <v>15</v>
      </c>
    </row>
    <row r="1055" spans="1:13" x14ac:dyDescent="0.25">
      <c r="A1055">
        <v>1054</v>
      </c>
      <c r="B1055" t="s">
        <v>2120</v>
      </c>
      <c r="C1055" s="1">
        <v>37.452132713899999</v>
      </c>
      <c r="D1055" s="1">
        <v>-7.1589062444699998</v>
      </c>
      <c r="E1055" s="3">
        <v>2</v>
      </c>
      <c r="F1055" s="2">
        <v>3</v>
      </c>
      <c r="G1055" s="4">
        <v>2</v>
      </c>
      <c r="H1055" s="13"/>
      <c r="I1055" s="15"/>
      <c r="J1055" s="19">
        <v>2</v>
      </c>
      <c r="K1055" s="2" t="s">
        <v>2121</v>
      </c>
      <c r="L1055" s="11" t="str">
        <f t="shared" si="17"/>
        <v>Ver Imagen</v>
      </c>
      <c r="M1055" t="s">
        <v>15</v>
      </c>
    </row>
    <row r="1056" spans="1:13" x14ac:dyDescent="0.25">
      <c r="A1056">
        <v>1055</v>
      </c>
      <c r="B1056" t="s">
        <v>2122</v>
      </c>
      <c r="C1056" s="1">
        <v>37.452350455000001</v>
      </c>
      <c r="D1056" s="1">
        <v>-7.1599366584900004</v>
      </c>
      <c r="E1056" s="3">
        <v>2</v>
      </c>
      <c r="F1056" s="2">
        <v>3</v>
      </c>
      <c r="G1056" s="4">
        <v>2</v>
      </c>
      <c r="H1056" s="13"/>
      <c r="I1056" s="15"/>
      <c r="J1056" s="19">
        <v>2</v>
      </c>
      <c r="K1056" s="2" t="s">
        <v>2123</v>
      </c>
      <c r="L1056" s="11" t="str">
        <f t="shared" si="17"/>
        <v>Ver Imagen</v>
      </c>
      <c r="M1056" t="s">
        <v>15</v>
      </c>
    </row>
    <row r="1057" spans="1:13" x14ac:dyDescent="0.25">
      <c r="A1057">
        <v>1056</v>
      </c>
      <c r="B1057" t="s">
        <v>2124</v>
      </c>
      <c r="C1057" s="1">
        <v>37.452408230000003</v>
      </c>
      <c r="D1057" s="1">
        <v>-7.1602139329899996</v>
      </c>
      <c r="E1057" s="3">
        <v>2</v>
      </c>
      <c r="F1057" s="2">
        <v>3</v>
      </c>
      <c r="G1057" s="4">
        <v>2</v>
      </c>
      <c r="H1057" s="13"/>
      <c r="I1057" s="15"/>
      <c r="J1057" s="19">
        <v>2</v>
      </c>
      <c r="K1057" s="2" t="s">
        <v>2125</v>
      </c>
      <c r="L1057" s="11" t="str">
        <f t="shared" si="17"/>
        <v>Ver Imagen</v>
      </c>
      <c r="M1057" t="s">
        <v>15</v>
      </c>
    </row>
    <row r="1058" spans="1:13" x14ac:dyDescent="0.25">
      <c r="A1058">
        <v>1057</v>
      </c>
      <c r="B1058" t="s">
        <v>2126</v>
      </c>
      <c r="C1058" s="1">
        <v>37.453275153699998</v>
      </c>
      <c r="D1058" s="1">
        <v>-7.16233579881</v>
      </c>
      <c r="E1058" s="3">
        <v>2</v>
      </c>
      <c r="F1058" s="2">
        <v>2</v>
      </c>
      <c r="G1058" s="4">
        <v>3</v>
      </c>
      <c r="H1058" s="13"/>
      <c r="I1058" s="15"/>
      <c r="J1058" s="19">
        <v>2</v>
      </c>
      <c r="K1058" s="2" t="s">
        <v>2127</v>
      </c>
      <c r="L1058" s="11" t="str">
        <f t="shared" si="17"/>
        <v>Ver Imagen</v>
      </c>
      <c r="M1058" t="s">
        <v>15</v>
      </c>
    </row>
    <row r="1059" spans="1:13" x14ac:dyDescent="0.25">
      <c r="A1059">
        <v>1058</v>
      </c>
      <c r="B1059" t="s">
        <v>2128</v>
      </c>
      <c r="C1059" s="1">
        <v>37.454268821699998</v>
      </c>
      <c r="D1059" s="1">
        <v>-7.1643063283500004</v>
      </c>
      <c r="E1059" s="3">
        <v>1</v>
      </c>
      <c r="F1059" s="2">
        <v>2</v>
      </c>
      <c r="G1059" s="4">
        <v>2</v>
      </c>
      <c r="H1059" s="13"/>
      <c r="I1059" s="15"/>
      <c r="J1059" s="19">
        <v>2</v>
      </c>
      <c r="K1059" s="2" t="s">
        <v>2129</v>
      </c>
      <c r="L1059" s="11" t="str">
        <f t="shared" si="17"/>
        <v>Ver Imagen</v>
      </c>
      <c r="M1059" t="s">
        <v>15</v>
      </c>
    </row>
    <row r="1060" spans="1:13" x14ac:dyDescent="0.25">
      <c r="A1060">
        <v>1059</v>
      </c>
      <c r="B1060" t="s">
        <v>2130</v>
      </c>
      <c r="C1060" s="1">
        <v>37.454399303999999</v>
      </c>
      <c r="D1060" s="1">
        <v>-7.1645646859600003</v>
      </c>
      <c r="E1060" s="3">
        <v>1</v>
      </c>
      <c r="F1060" s="2">
        <v>2</v>
      </c>
      <c r="G1060" s="4">
        <v>2</v>
      </c>
      <c r="H1060" s="13"/>
      <c r="I1060" s="15"/>
      <c r="J1060" s="19">
        <v>2</v>
      </c>
      <c r="K1060" s="2" t="s">
        <v>2131</v>
      </c>
      <c r="L1060" s="11" t="str">
        <f t="shared" si="17"/>
        <v>Ver Imagen</v>
      </c>
      <c r="M1060" t="s">
        <v>15</v>
      </c>
    </row>
    <row r="1061" spans="1:13" x14ac:dyDescent="0.25">
      <c r="A1061">
        <v>1060</v>
      </c>
      <c r="B1061" t="s">
        <v>2132</v>
      </c>
      <c r="C1061" s="1">
        <v>37.4555439843</v>
      </c>
      <c r="D1061" s="1">
        <v>-7.1662405438599999</v>
      </c>
      <c r="E1061" s="3">
        <v>2</v>
      </c>
      <c r="F1061" s="2">
        <v>3</v>
      </c>
      <c r="G1061" s="4">
        <v>2</v>
      </c>
      <c r="H1061" s="13"/>
      <c r="I1061" s="15"/>
      <c r="J1061" s="19">
        <v>2</v>
      </c>
      <c r="K1061" s="2" t="s">
        <v>2133</v>
      </c>
      <c r="L1061" s="11" t="str">
        <f t="shared" si="17"/>
        <v>Ver Imagen</v>
      </c>
      <c r="M1061" t="s">
        <v>15</v>
      </c>
    </row>
    <row r="1062" spans="1:13" x14ac:dyDescent="0.25">
      <c r="A1062">
        <v>1061</v>
      </c>
      <c r="B1062" t="s">
        <v>2134</v>
      </c>
      <c r="C1062" s="1">
        <v>37.457107156200003</v>
      </c>
      <c r="D1062" s="1">
        <v>-7.1681713243000003</v>
      </c>
      <c r="E1062" s="3">
        <v>2</v>
      </c>
      <c r="F1062" s="2">
        <v>2</v>
      </c>
      <c r="G1062" s="4">
        <v>3</v>
      </c>
      <c r="H1062" s="13"/>
      <c r="I1062" s="15"/>
      <c r="J1062" s="19">
        <v>2</v>
      </c>
      <c r="K1062" s="2" t="s">
        <v>2135</v>
      </c>
      <c r="L1062" s="11" t="str">
        <f t="shared" si="17"/>
        <v>Ver Imagen</v>
      </c>
      <c r="M1062" t="s">
        <v>15</v>
      </c>
    </row>
    <row r="1063" spans="1:13" x14ac:dyDescent="0.25">
      <c r="A1063">
        <v>1062</v>
      </c>
      <c r="B1063" t="s">
        <v>2136</v>
      </c>
      <c r="C1063" s="1">
        <v>37.461469815599997</v>
      </c>
      <c r="D1063" s="1">
        <v>-7.1742602281899996</v>
      </c>
      <c r="E1063" s="3">
        <v>2</v>
      </c>
      <c r="F1063" s="2">
        <v>3</v>
      </c>
      <c r="G1063" s="4">
        <v>2</v>
      </c>
      <c r="H1063" s="13"/>
      <c r="I1063" s="15"/>
      <c r="J1063" s="19">
        <v>2</v>
      </c>
      <c r="K1063" s="2" t="s">
        <v>2137</v>
      </c>
      <c r="L1063" s="11" t="str">
        <f t="shared" si="17"/>
        <v>Ver Imagen</v>
      </c>
      <c r="M1063" t="s">
        <v>15</v>
      </c>
    </row>
    <row r="1064" spans="1:13" x14ac:dyDescent="0.25">
      <c r="A1064">
        <v>1063</v>
      </c>
      <c r="B1064" t="s">
        <v>2138</v>
      </c>
      <c r="C1064" s="1">
        <v>37.462329194799999</v>
      </c>
      <c r="D1064" s="1">
        <v>-7.1756699491999996</v>
      </c>
      <c r="E1064" s="3">
        <v>2</v>
      </c>
      <c r="F1064" s="2">
        <v>3</v>
      </c>
      <c r="G1064" s="4">
        <v>2</v>
      </c>
      <c r="H1064" s="13"/>
      <c r="I1064" s="15"/>
      <c r="J1064" s="19">
        <v>2</v>
      </c>
      <c r="K1064" s="2" t="s">
        <v>2139</v>
      </c>
      <c r="L1064" s="11" t="str">
        <f t="shared" si="17"/>
        <v>Ver Imagen</v>
      </c>
      <c r="M1064" t="s">
        <v>15</v>
      </c>
    </row>
    <row r="1065" spans="1:13" x14ac:dyDescent="0.25">
      <c r="A1065">
        <v>1064</v>
      </c>
      <c r="B1065" t="s">
        <v>2140</v>
      </c>
      <c r="C1065" s="1">
        <v>37.4635642139</v>
      </c>
      <c r="D1065" s="1">
        <v>-7.17770508006</v>
      </c>
      <c r="E1065" s="3">
        <v>2</v>
      </c>
      <c r="F1065" s="2">
        <v>3</v>
      </c>
      <c r="G1065" s="4">
        <v>2</v>
      </c>
      <c r="H1065" s="13"/>
      <c r="I1065" s="15"/>
      <c r="J1065" s="19">
        <v>2</v>
      </c>
      <c r="K1065" s="2" t="s">
        <v>2141</v>
      </c>
      <c r="L1065" s="11" t="str">
        <f t="shared" si="17"/>
        <v>Ver Imagen</v>
      </c>
      <c r="M1065" t="s">
        <v>15</v>
      </c>
    </row>
    <row r="1066" spans="1:13" x14ac:dyDescent="0.25">
      <c r="A1066">
        <v>1065</v>
      </c>
      <c r="B1066" t="s">
        <v>2142</v>
      </c>
      <c r="C1066" s="1">
        <v>37.447378921400002</v>
      </c>
      <c r="D1066" s="1">
        <v>-7.1402554899000004</v>
      </c>
      <c r="E1066" s="3">
        <v>2</v>
      </c>
      <c r="F1066" s="2">
        <v>2</v>
      </c>
      <c r="G1066" s="4">
        <v>3</v>
      </c>
      <c r="H1066" s="13"/>
      <c r="I1066" s="15"/>
      <c r="J1066" s="19">
        <v>2</v>
      </c>
      <c r="K1066" s="2" t="s">
        <v>2143</v>
      </c>
      <c r="L1066" s="11" t="str">
        <f t="shared" si="17"/>
        <v>Ver Imagen</v>
      </c>
      <c r="M1066" t="s">
        <v>15</v>
      </c>
    </row>
    <row r="1067" spans="1:13" x14ac:dyDescent="0.25">
      <c r="A1067">
        <v>1066</v>
      </c>
      <c r="B1067" t="s">
        <v>2144</v>
      </c>
      <c r="C1067" s="1">
        <v>37.4786322932</v>
      </c>
      <c r="D1067" s="1">
        <v>-7.2071834993800001</v>
      </c>
      <c r="E1067" s="3">
        <v>2</v>
      </c>
      <c r="F1067" s="2">
        <v>3</v>
      </c>
      <c r="G1067" s="4">
        <v>2</v>
      </c>
      <c r="H1067" s="13"/>
      <c r="I1067" s="15"/>
      <c r="J1067" s="19">
        <v>2</v>
      </c>
      <c r="K1067" s="2" t="s">
        <v>2145</v>
      </c>
      <c r="L1067" s="11" t="str">
        <f t="shared" si="17"/>
        <v>Ver Imagen</v>
      </c>
      <c r="M1067" t="s">
        <v>15</v>
      </c>
    </row>
    <row r="1068" spans="1:13" x14ac:dyDescent="0.25">
      <c r="A1068">
        <v>1067</v>
      </c>
      <c r="B1068" t="s">
        <v>2146</v>
      </c>
      <c r="C1068" s="1">
        <v>37.4826754901</v>
      </c>
      <c r="D1068" s="1">
        <v>-7.2185206148300001</v>
      </c>
      <c r="E1068" s="3">
        <v>2</v>
      </c>
      <c r="F1068" s="2">
        <v>1</v>
      </c>
      <c r="G1068" s="4">
        <v>2</v>
      </c>
      <c r="H1068" s="13"/>
      <c r="I1068" s="15"/>
      <c r="J1068" s="19">
        <v>2</v>
      </c>
      <c r="K1068" s="2" t="s">
        <v>2147</v>
      </c>
      <c r="L1068" s="11" t="str">
        <f t="shared" si="17"/>
        <v>Ver Imagen</v>
      </c>
      <c r="M1068" t="s">
        <v>15</v>
      </c>
    </row>
    <row r="1069" spans="1:13" x14ac:dyDescent="0.25">
      <c r="A1069">
        <v>1068</v>
      </c>
      <c r="B1069" t="s">
        <v>2148</v>
      </c>
      <c r="C1069" s="1">
        <v>37.483045549800003</v>
      </c>
      <c r="D1069" s="1">
        <v>-7.2204195231300003</v>
      </c>
      <c r="E1069" s="3">
        <v>2</v>
      </c>
      <c r="F1069" s="2">
        <v>1</v>
      </c>
      <c r="G1069" s="4">
        <v>2</v>
      </c>
      <c r="H1069" s="13"/>
      <c r="I1069" s="15"/>
      <c r="J1069" s="19">
        <v>2</v>
      </c>
      <c r="K1069" s="2" t="s">
        <v>2149</v>
      </c>
      <c r="L1069" s="11" t="str">
        <f t="shared" si="17"/>
        <v>Ver Imagen</v>
      </c>
      <c r="M1069" t="s">
        <v>15</v>
      </c>
    </row>
    <row r="1070" spans="1:13" x14ac:dyDescent="0.25">
      <c r="A1070">
        <v>1069</v>
      </c>
      <c r="B1070" t="s">
        <v>2150</v>
      </c>
      <c r="C1070" s="1">
        <v>37.483202342799999</v>
      </c>
      <c r="D1070" s="1">
        <v>-7.2211973815999997</v>
      </c>
      <c r="E1070" s="3">
        <v>1</v>
      </c>
      <c r="F1070" s="2">
        <v>2</v>
      </c>
      <c r="G1070" s="4">
        <v>2</v>
      </c>
      <c r="H1070" s="13"/>
      <c r="I1070" s="15"/>
      <c r="J1070" s="19">
        <v>2</v>
      </c>
      <c r="K1070" s="2" t="s">
        <v>2151</v>
      </c>
      <c r="L1070" s="11" t="str">
        <f t="shared" si="17"/>
        <v>Ver Imagen</v>
      </c>
      <c r="M1070" t="s">
        <v>15</v>
      </c>
    </row>
    <row r="1071" spans="1:13" x14ac:dyDescent="0.25">
      <c r="A1071">
        <v>1070</v>
      </c>
      <c r="B1071" t="s">
        <v>2152</v>
      </c>
      <c r="C1071" s="1">
        <v>37.483251472100001</v>
      </c>
      <c r="D1071" s="1">
        <v>-7.2214457303800001</v>
      </c>
      <c r="E1071" s="3">
        <v>2</v>
      </c>
      <c r="F1071" s="2">
        <v>2</v>
      </c>
      <c r="G1071" s="4">
        <v>1</v>
      </c>
      <c r="H1071" s="13"/>
      <c r="I1071" s="15"/>
      <c r="J1071" s="19">
        <v>2</v>
      </c>
      <c r="K1071" s="2" t="s">
        <v>2153</v>
      </c>
      <c r="L1071" s="11" t="str">
        <f t="shared" si="17"/>
        <v>Ver Imagen</v>
      </c>
      <c r="M1071" t="s">
        <v>15</v>
      </c>
    </row>
    <row r="1072" spans="1:13" x14ac:dyDescent="0.25">
      <c r="A1072">
        <v>1071</v>
      </c>
      <c r="B1072" t="s">
        <v>2154</v>
      </c>
      <c r="C1072" s="1">
        <v>37.483343553899999</v>
      </c>
      <c r="D1072" s="1">
        <v>-7.2219134070999997</v>
      </c>
      <c r="E1072" s="3">
        <v>2</v>
      </c>
      <c r="F1072" s="2">
        <v>1</v>
      </c>
      <c r="G1072" s="4">
        <v>2</v>
      </c>
      <c r="H1072" s="13"/>
      <c r="I1072" s="15"/>
      <c r="J1072" s="19">
        <v>2</v>
      </c>
      <c r="K1072" s="2" t="s">
        <v>2155</v>
      </c>
      <c r="L1072" s="11" t="str">
        <f t="shared" si="17"/>
        <v>Ver Imagen</v>
      </c>
      <c r="M1072" t="s">
        <v>15</v>
      </c>
    </row>
    <row r="1073" spans="1:13" x14ac:dyDescent="0.25">
      <c r="A1073">
        <v>1072</v>
      </c>
      <c r="B1073" t="s">
        <v>2156</v>
      </c>
      <c r="C1073" s="1">
        <v>37.483388380500003</v>
      </c>
      <c r="D1073" s="1">
        <v>-7.2221399080999999</v>
      </c>
      <c r="E1073" s="3">
        <v>2</v>
      </c>
      <c r="F1073" s="2">
        <v>1</v>
      </c>
      <c r="G1073" s="4">
        <v>2</v>
      </c>
      <c r="H1073" s="13"/>
      <c r="I1073" s="15"/>
      <c r="J1073" s="19">
        <v>2</v>
      </c>
      <c r="K1073" s="2" t="s">
        <v>2157</v>
      </c>
      <c r="L1073" s="11" t="str">
        <f t="shared" si="17"/>
        <v>Ver Imagen</v>
      </c>
      <c r="M1073" t="s">
        <v>15</v>
      </c>
    </row>
    <row r="1074" spans="1:13" x14ac:dyDescent="0.25">
      <c r="A1074">
        <v>1073</v>
      </c>
      <c r="B1074" t="s">
        <v>2158</v>
      </c>
      <c r="C1074" s="1">
        <v>37.484110803</v>
      </c>
      <c r="D1074" s="1">
        <v>-7.2258791987100004</v>
      </c>
      <c r="E1074" s="3">
        <v>1</v>
      </c>
      <c r="F1074" s="2">
        <v>2</v>
      </c>
      <c r="G1074" s="4">
        <v>2</v>
      </c>
      <c r="H1074" s="13"/>
      <c r="I1074" s="15"/>
      <c r="J1074" s="19">
        <v>2</v>
      </c>
      <c r="K1074" s="2" t="s">
        <v>2159</v>
      </c>
      <c r="L1074" s="11" t="str">
        <f t="shared" si="17"/>
        <v>Ver Imagen</v>
      </c>
      <c r="M1074" t="s">
        <v>15</v>
      </c>
    </row>
    <row r="1075" spans="1:13" x14ac:dyDescent="0.25">
      <c r="A1075">
        <v>1074</v>
      </c>
      <c r="B1075" t="s">
        <v>2160</v>
      </c>
      <c r="C1075" s="1">
        <v>37.484498677300003</v>
      </c>
      <c r="D1075" s="1">
        <v>-7.2278759711699996</v>
      </c>
      <c r="E1075" s="3">
        <v>1</v>
      </c>
      <c r="F1075" s="2">
        <v>2</v>
      </c>
      <c r="G1075" s="4">
        <v>2</v>
      </c>
      <c r="H1075" s="13"/>
      <c r="I1075" s="15"/>
      <c r="J1075" s="19">
        <v>2</v>
      </c>
      <c r="K1075" s="2" t="s">
        <v>2161</v>
      </c>
      <c r="L1075" s="11" t="str">
        <f t="shared" si="17"/>
        <v>Ver Imagen</v>
      </c>
      <c r="M1075" t="s">
        <v>15</v>
      </c>
    </row>
    <row r="1076" spans="1:13" x14ac:dyDescent="0.25">
      <c r="A1076">
        <v>1075</v>
      </c>
      <c r="B1076" t="s">
        <v>2162</v>
      </c>
      <c r="C1076" s="1">
        <v>37.484837503599998</v>
      </c>
      <c r="D1076" s="1">
        <v>-7.2296107149299997</v>
      </c>
      <c r="E1076" s="3">
        <v>2</v>
      </c>
      <c r="F1076" s="2">
        <v>2</v>
      </c>
      <c r="G1076" s="4">
        <v>1</v>
      </c>
      <c r="H1076" s="13"/>
      <c r="I1076" s="15"/>
      <c r="J1076" s="19">
        <v>2</v>
      </c>
      <c r="K1076" s="2" t="s">
        <v>2163</v>
      </c>
      <c r="L1076" s="11" t="str">
        <f t="shared" si="17"/>
        <v>Ver Imagen</v>
      </c>
      <c r="M1076" t="s">
        <v>15</v>
      </c>
    </row>
    <row r="1077" spans="1:13" x14ac:dyDescent="0.25">
      <c r="A1077">
        <v>1076</v>
      </c>
      <c r="B1077" t="s">
        <v>2164</v>
      </c>
      <c r="C1077" s="1">
        <v>37.484930216499997</v>
      </c>
      <c r="D1077" s="1">
        <v>-7.2300892319400001</v>
      </c>
      <c r="E1077" s="3">
        <v>1</v>
      </c>
      <c r="F1077" s="2">
        <v>2</v>
      </c>
      <c r="G1077" s="4">
        <v>2</v>
      </c>
      <c r="H1077" s="13"/>
      <c r="I1077" s="15"/>
      <c r="J1077" s="19">
        <v>2</v>
      </c>
      <c r="K1077" s="2" t="s">
        <v>2165</v>
      </c>
      <c r="L1077" s="11" t="str">
        <f t="shared" si="17"/>
        <v>Ver Imagen</v>
      </c>
      <c r="M1077" t="s">
        <v>15</v>
      </c>
    </row>
    <row r="1078" spans="1:13" x14ac:dyDescent="0.25">
      <c r="A1078">
        <v>1077</v>
      </c>
      <c r="B1078" t="s">
        <v>2166</v>
      </c>
      <c r="C1078" s="1">
        <v>37.485213518599998</v>
      </c>
      <c r="D1078" s="1">
        <v>-7.2315560145499997</v>
      </c>
      <c r="E1078" s="3">
        <v>1</v>
      </c>
      <c r="F1078" s="2">
        <v>2</v>
      </c>
      <c r="G1078" s="4">
        <v>2</v>
      </c>
      <c r="H1078" s="13"/>
      <c r="I1078" s="15"/>
      <c r="J1078" s="19">
        <v>2</v>
      </c>
      <c r="K1078" s="2" t="s">
        <v>2167</v>
      </c>
      <c r="L1078" s="11" t="str">
        <f t="shared" si="17"/>
        <v>Ver Imagen</v>
      </c>
      <c r="M1078" t="s">
        <v>15</v>
      </c>
    </row>
    <row r="1079" spans="1:13" x14ac:dyDescent="0.25">
      <c r="A1079">
        <v>1078</v>
      </c>
      <c r="B1079" t="s">
        <v>2168</v>
      </c>
      <c r="C1079" s="1">
        <v>37.485399066299998</v>
      </c>
      <c r="D1079" s="1">
        <v>-7.2325335578900001</v>
      </c>
      <c r="E1079" s="3">
        <v>1</v>
      </c>
      <c r="F1079" s="2">
        <v>2</v>
      </c>
      <c r="G1079" s="4">
        <v>2</v>
      </c>
      <c r="H1079" s="13"/>
      <c r="I1079" s="15"/>
      <c r="J1079" s="19">
        <v>2</v>
      </c>
      <c r="K1079" s="2" t="s">
        <v>2169</v>
      </c>
      <c r="L1079" s="11" t="str">
        <f t="shared" si="17"/>
        <v>Ver Imagen</v>
      </c>
      <c r="M1079" t="s">
        <v>15</v>
      </c>
    </row>
    <row r="1080" spans="1:13" x14ac:dyDescent="0.25">
      <c r="A1080">
        <v>1079</v>
      </c>
      <c r="B1080" t="s">
        <v>2170</v>
      </c>
      <c r="C1080" s="1">
        <v>37.486482768000002</v>
      </c>
      <c r="D1080" s="1">
        <v>-7.2381753529299999</v>
      </c>
      <c r="E1080" s="3">
        <v>1</v>
      </c>
      <c r="F1080" s="2">
        <v>2</v>
      </c>
      <c r="G1080" s="4">
        <v>2</v>
      </c>
      <c r="H1080" s="13"/>
      <c r="I1080" s="15"/>
      <c r="J1080" s="19">
        <v>2</v>
      </c>
      <c r="K1080" s="2" t="s">
        <v>2171</v>
      </c>
      <c r="L1080" s="11" t="str">
        <f t="shared" si="17"/>
        <v>Ver Imagen</v>
      </c>
      <c r="M1080" t="s">
        <v>15</v>
      </c>
    </row>
    <row r="1081" spans="1:13" x14ac:dyDescent="0.25">
      <c r="A1081">
        <v>1080</v>
      </c>
      <c r="B1081" t="s">
        <v>2172</v>
      </c>
      <c r="C1081" s="1">
        <v>37.486683657599997</v>
      </c>
      <c r="D1081" s="1">
        <v>-7.2392218968200002</v>
      </c>
      <c r="E1081" s="3">
        <v>1</v>
      </c>
      <c r="F1081" s="2">
        <v>2</v>
      </c>
      <c r="G1081" s="4">
        <v>2</v>
      </c>
      <c r="H1081" s="13"/>
      <c r="I1081" s="15"/>
      <c r="J1081" s="19">
        <v>2</v>
      </c>
      <c r="K1081" s="2" t="s">
        <v>2173</v>
      </c>
      <c r="L1081" s="11" t="str">
        <f t="shared" si="17"/>
        <v>Ver Imagen</v>
      </c>
      <c r="M1081" t="s">
        <v>15</v>
      </c>
    </row>
    <row r="1082" spans="1:13" x14ac:dyDescent="0.25">
      <c r="A1082">
        <v>1081</v>
      </c>
      <c r="B1082" t="s">
        <v>2174</v>
      </c>
      <c r="C1082" s="1">
        <v>37.486731324899999</v>
      </c>
      <c r="D1082" s="1">
        <v>-7.2394618185299997</v>
      </c>
      <c r="E1082" s="3">
        <v>1</v>
      </c>
      <c r="F1082" s="2">
        <v>2</v>
      </c>
      <c r="G1082" s="4">
        <v>2</v>
      </c>
      <c r="H1082" s="13"/>
      <c r="I1082" s="15"/>
      <c r="J1082" s="19">
        <v>2</v>
      </c>
      <c r="K1082" s="2" t="s">
        <v>2175</v>
      </c>
      <c r="L1082" s="11" t="str">
        <f t="shared" si="17"/>
        <v>Ver Imagen</v>
      </c>
      <c r="M1082" t="s">
        <v>15</v>
      </c>
    </row>
    <row r="1083" spans="1:13" x14ac:dyDescent="0.25">
      <c r="A1083">
        <v>1082</v>
      </c>
      <c r="B1083" t="s">
        <v>2176</v>
      </c>
      <c r="C1083" s="1">
        <v>37.4867795734</v>
      </c>
      <c r="D1083" s="1">
        <v>-7.2397026844500001</v>
      </c>
      <c r="E1083" s="3">
        <v>1</v>
      </c>
      <c r="F1083" s="2">
        <v>2</v>
      </c>
      <c r="G1083" s="4">
        <v>2</v>
      </c>
      <c r="H1083" s="13"/>
      <c r="I1083" s="15"/>
      <c r="J1083" s="19">
        <v>2</v>
      </c>
      <c r="K1083" s="2" t="s">
        <v>2177</v>
      </c>
      <c r="L1083" s="11" t="str">
        <f t="shared" si="17"/>
        <v>Ver Imagen</v>
      </c>
      <c r="M1083" t="s">
        <v>15</v>
      </c>
    </row>
    <row r="1084" spans="1:13" x14ac:dyDescent="0.25">
      <c r="A1084">
        <v>1083</v>
      </c>
      <c r="B1084" t="s">
        <v>2178</v>
      </c>
      <c r="C1084" s="1">
        <v>37.486928915599997</v>
      </c>
      <c r="D1084" s="1">
        <v>-7.2404904345899999</v>
      </c>
      <c r="E1084" s="3">
        <v>1</v>
      </c>
      <c r="F1084" s="2">
        <v>2</v>
      </c>
      <c r="G1084" s="4">
        <v>2</v>
      </c>
      <c r="H1084" s="13"/>
      <c r="I1084" s="15"/>
      <c r="J1084" s="19">
        <v>2</v>
      </c>
      <c r="K1084" s="2" t="s">
        <v>2179</v>
      </c>
      <c r="L1084" s="11" t="str">
        <f t="shared" si="17"/>
        <v>Ver Imagen</v>
      </c>
      <c r="M1084" t="s">
        <v>15</v>
      </c>
    </row>
    <row r="1085" spans="1:13" x14ac:dyDescent="0.25">
      <c r="A1085">
        <v>1084</v>
      </c>
      <c r="B1085" t="s">
        <v>2180</v>
      </c>
      <c r="C1085" s="1">
        <v>37.486961470300002</v>
      </c>
      <c r="D1085" s="1">
        <v>-7.2407112553499999</v>
      </c>
      <c r="E1085" s="3">
        <v>1</v>
      </c>
      <c r="F1085" s="2">
        <v>2</v>
      </c>
      <c r="G1085" s="4">
        <v>2</v>
      </c>
      <c r="H1085" s="13"/>
      <c r="I1085" s="15"/>
      <c r="J1085" s="19">
        <v>2</v>
      </c>
      <c r="K1085" s="2" t="s">
        <v>2181</v>
      </c>
      <c r="L1085" s="11" t="str">
        <f t="shared" si="17"/>
        <v>Ver Imagen</v>
      </c>
      <c r="M1085" t="s">
        <v>15</v>
      </c>
    </row>
    <row r="1086" spans="1:13" x14ac:dyDescent="0.25">
      <c r="A1086">
        <v>1085</v>
      </c>
      <c r="B1086" t="s">
        <v>2182</v>
      </c>
      <c r="C1086" s="1">
        <v>37.487077683899997</v>
      </c>
      <c r="D1086" s="1">
        <v>-7.2419504312700003</v>
      </c>
      <c r="E1086" s="3">
        <v>1</v>
      </c>
      <c r="F1086" s="2">
        <v>2</v>
      </c>
      <c r="G1086" s="4">
        <v>2</v>
      </c>
      <c r="H1086" s="13"/>
      <c r="I1086" s="15"/>
      <c r="J1086" s="19">
        <v>2</v>
      </c>
      <c r="K1086" s="2" t="s">
        <v>2183</v>
      </c>
      <c r="L1086" s="11" t="str">
        <f t="shared" si="17"/>
        <v>Ver Imagen</v>
      </c>
      <c r="M1086" t="s">
        <v>15</v>
      </c>
    </row>
    <row r="1087" spans="1:13" x14ac:dyDescent="0.25">
      <c r="A1087">
        <v>1086</v>
      </c>
      <c r="B1087" t="s">
        <v>2184</v>
      </c>
      <c r="C1087" s="1">
        <v>37.487327094599998</v>
      </c>
      <c r="D1087" s="1">
        <v>-7.2436734957300004</v>
      </c>
      <c r="E1087" s="3">
        <v>1</v>
      </c>
      <c r="F1087" s="2">
        <v>2</v>
      </c>
      <c r="G1087" s="4">
        <v>2</v>
      </c>
      <c r="H1087" s="13"/>
      <c r="I1087" s="15"/>
      <c r="J1087" s="19">
        <v>2</v>
      </c>
      <c r="K1087" s="2" t="s">
        <v>2185</v>
      </c>
      <c r="L1087" s="11" t="str">
        <f t="shared" si="17"/>
        <v>Ver Imagen</v>
      </c>
      <c r="M1087" t="s">
        <v>15</v>
      </c>
    </row>
    <row r="1088" spans="1:13" x14ac:dyDescent="0.25">
      <c r="A1088">
        <v>1087</v>
      </c>
      <c r="B1088" t="s">
        <v>2186</v>
      </c>
      <c r="C1088" s="1">
        <v>37.488699366100001</v>
      </c>
      <c r="D1088" s="1">
        <v>-7.24714521853</v>
      </c>
      <c r="E1088" s="3">
        <v>1</v>
      </c>
      <c r="F1088" s="2">
        <v>2</v>
      </c>
      <c r="G1088" s="4">
        <v>2</v>
      </c>
      <c r="H1088" s="13"/>
      <c r="I1088" s="15"/>
      <c r="J1088" s="19">
        <v>2</v>
      </c>
      <c r="K1088" s="2" t="s">
        <v>2187</v>
      </c>
      <c r="L1088" s="11" t="str">
        <f t="shared" si="17"/>
        <v>Ver Imagen</v>
      </c>
      <c r="M1088" t="s">
        <v>15</v>
      </c>
    </row>
    <row r="1089" spans="1:13" x14ac:dyDescent="0.25">
      <c r="A1089">
        <v>1088</v>
      </c>
      <c r="B1089" t="s">
        <v>2188</v>
      </c>
      <c r="C1089" s="1">
        <v>37.488784744599997</v>
      </c>
      <c r="D1089" s="1">
        <v>-7.2473074355199998</v>
      </c>
      <c r="E1089" s="3">
        <v>1</v>
      </c>
      <c r="F1089" s="2">
        <v>2</v>
      </c>
      <c r="G1089" s="4">
        <v>2</v>
      </c>
      <c r="H1089" s="13"/>
      <c r="I1089" s="15"/>
      <c r="J1089" s="19">
        <v>2</v>
      </c>
      <c r="K1089" s="2" t="s">
        <v>2189</v>
      </c>
      <c r="L1089" s="11" t="str">
        <f t="shared" si="17"/>
        <v>Ver Imagen</v>
      </c>
      <c r="M1089" t="s">
        <v>15</v>
      </c>
    </row>
    <row r="1090" spans="1:13" x14ac:dyDescent="0.25">
      <c r="A1090">
        <v>1089</v>
      </c>
      <c r="B1090" t="s">
        <v>2190</v>
      </c>
      <c r="C1090" s="1">
        <v>37.491165764800002</v>
      </c>
      <c r="D1090" s="1">
        <v>-7.26068468316</v>
      </c>
      <c r="E1090" s="3">
        <v>2</v>
      </c>
      <c r="F1090" s="2">
        <v>2</v>
      </c>
      <c r="G1090" s="4">
        <v>3</v>
      </c>
      <c r="H1090" s="13"/>
      <c r="I1090" s="15"/>
      <c r="J1090" s="19">
        <v>2</v>
      </c>
      <c r="K1090" s="2" t="s">
        <v>2191</v>
      </c>
      <c r="L1090" s="11" t="str">
        <f t="shared" si="17"/>
        <v>Ver Imagen</v>
      </c>
      <c r="M1090" t="s">
        <v>15</v>
      </c>
    </row>
    <row r="1091" spans="1:13" x14ac:dyDescent="0.25">
      <c r="A1091">
        <v>1090</v>
      </c>
      <c r="B1091" t="s">
        <v>2192</v>
      </c>
      <c r="C1091" s="1">
        <v>37.493060102900003</v>
      </c>
      <c r="D1091" s="1">
        <v>-7.2632734550800002</v>
      </c>
      <c r="E1091" s="3">
        <v>1</v>
      </c>
      <c r="F1091" s="2">
        <v>2</v>
      </c>
      <c r="G1091" s="4">
        <v>2</v>
      </c>
      <c r="H1091" s="13"/>
      <c r="I1091" s="15"/>
      <c r="J1091" s="19">
        <v>2</v>
      </c>
      <c r="K1091" s="2" t="s">
        <v>2193</v>
      </c>
      <c r="L1091" s="11" t="str">
        <f t="shared" ref="L1091:L1154" si="18">HYPERLINK("2\1\" &amp; K1091, "Ver Imagen")</f>
        <v>Ver Imagen</v>
      </c>
      <c r="M1091" t="s">
        <v>15</v>
      </c>
    </row>
    <row r="1092" spans="1:13" x14ac:dyDescent="0.25">
      <c r="A1092">
        <v>1091</v>
      </c>
      <c r="B1092" t="s">
        <v>2194</v>
      </c>
      <c r="C1092" s="1">
        <v>37.278348407499998</v>
      </c>
      <c r="D1092" s="1">
        <v>-6.99312143569</v>
      </c>
      <c r="E1092" s="3">
        <v>2</v>
      </c>
      <c r="F1092" s="2">
        <v>2</v>
      </c>
      <c r="G1092" s="4">
        <v>3</v>
      </c>
      <c r="H1092" s="13"/>
      <c r="I1092" s="15"/>
      <c r="J1092" s="19">
        <v>2</v>
      </c>
      <c r="K1092" s="2" t="s">
        <v>2195</v>
      </c>
      <c r="L1092" s="11" t="str">
        <f t="shared" si="18"/>
        <v>Ver Imagen</v>
      </c>
      <c r="M1092" t="s">
        <v>15</v>
      </c>
    </row>
    <row r="1093" spans="1:13" x14ac:dyDescent="0.25">
      <c r="A1093">
        <v>1092</v>
      </c>
      <c r="B1093" t="s">
        <v>2196</v>
      </c>
      <c r="C1093" s="1">
        <v>37.278462008200002</v>
      </c>
      <c r="D1093" s="1">
        <v>-6.9932942289</v>
      </c>
      <c r="E1093" s="3">
        <v>2</v>
      </c>
      <c r="F1093" s="2">
        <v>2</v>
      </c>
      <c r="G1093" s="4">
        <v>3</v>
      </c>
      <c r="H1093" s="13"/>
      <c r="I1093" s="15"/>
      <c r="J1093" s="19">
        <v>2</v>
      </c>
      <c r="K1093" s="2" t="s">
        <v>2197</v>
      </c>
      <c r="L1093" s="11" t="str">
        <f t="shared" si="18"/>
        <v>Ver Imagen</v>
      </c>
      <c r="M1093" t="s">
        <v>15</v>
      </c>
    </row>
    <row r="1094" spans="1:13" x14ac:dyDescent="0.25">
      <c r="A1094">
        <v>1093</v>
      </c>
      <c r="B1094" t="s">
        <v>2198</v>
      </c>
      <c r="C1094" s="1">
        <v>37.278564891400002</v>
      </c>
      <c r="D1094" s="1">
        <v>-6.9934647929700002</v>
      </c>
      <c r="E1094" s="3">
        <v>1</v>
      </c>
      <c r="F1094" s="2">
        <v>2</v>
      </c>
      <c r="G1094" s="4">
        <v>2</v>
      </c>
      <c r="H1094" s="13"/>
      <c r="I1094" s="15"/>
      <c r="J1094" s="19">
        <v>2</v>
      </c>
      <c r="K1094" s="2" t="s">
        <v>2199</v>
      </c>
      <c r="L1094" s="11" t="str">
        <f t="shared" si="18"/>
        <v>Ver Imagen</v>
      </c>
      <c r="M1094" t="s">
        <v>15</v>
      </c>
    </row>
    <row r="1095" spans="1:13" x14ac:dyDescent="0.25">
      <c r="A1095">
        <v>1094</v>
      </c>
      <c r="B1095" t="s">
        <v>2200</v>
      </c>
      <c r="C1095" s="1">
        <v>37.280624828299999</v>
      </c>
      <c r="D1095" s="1">
        <v>-7.0025073962700004</v>
      </c>
      <c r="E1095" s="3">
        <v>2</v>
      </c>
      <c r="F1095" s="2">
        <v>2</v>
      </c>
      <c r="G1095" s="4">
        <v>3</v>
      </c>
      <c r="H1095" s="13"/>
      <c r="I1095" s="15"/>
      <c r="J1095" s="19">
        <v>2</v>
      </c>
      <c r="K1095" s="2" t="s">
        <v>2201</v>
      </c>
      <c r="L1095" s="11" t="str">
        <f t="shared" si="18"/>
        <v>Ver Imagen</v>
      </c>
      <c r="M1095" t="s">
        <v>15</v>
      </c>
    </row>
    <row r="1096" spans="1:13" x14ac:dyDescent="0.25">
      <c r="A1096">
        <v>1095</v>
      </c>
      <c r="B1096" t="s">
        <v>2202</v>
      </c>
      <c r="C1096" s="1">
        <v>37.280703959100002</v>
      </c>
      <c r="D1096" s="1">
        <v>-7.0032815365700003</v>
      </c>
      <c r="E1096" s="3">
        <v>2</v>
      </c>
      <c r="F1096" s="2">
        <v>2</v>
      </c>
      <c r="G1096" s="4">
        <v>3</v>
      </c>
      <c r="H1096" s="13"/>
      <c r="I1096" s="15"/>
      <c r="J1096" s="19">
        <v>2</v>
      </c>
      <c r="K1096" s="2" t="s">
        <v>2203</v>
      </c>
      <c r="L1096" s="11" t="str">
        <f t="shared" si="18"/>
        <v>Ver Imagen</v>
      </c>
      <c r="M1096" t="s">
        <v>15</v>
      </c>
    </row>
    <row r="1097" spans="1:13" x14ac:dyDescent="0.25">
      <c r="A1097">
        <v>1096</v>
      </c>
      <c r="B1097" t="s">
        <v>2204</v>
      </c>
      <c r="C1097" s="1">
        <v>37.279068022700002</v>
      </c>
      <c r="D1097" s="1">
        <v>-7.0083858676100004</v>
      </c>
      <c r="E1097" s="3">
        <v>2</v>
      </c>
      <c r="F1097" s="2">
        <v>2</v>
      </c>
      <c r="G1097" s="4">
        <v>3</v>
      </c>
      <c r="H1097" s="13"/>
      <c r="I1097" s="15"/>
      <c r="J1097" s="19">
        <v>2</v>
      </c>
      <c r="K1097" s="2" t="s">
        <v>2205</v>
      </c>
      <c r="L1097" s="11" t="str">
        <f t="shared" si="18"/>
        <v>Ver Imagen</v>
      </c>
      <c r="M1097" t="s">
        <v>15</v>
      </c>
    </row>
    <row r="1098" spans="1:13" x14ac:dyDescent="0.25">
      <c r="A1098">
        <v>1097</v>
      </c>
      <c r="B1098" t="s">
        <v>2206</v>
      </c>
      <c r="C1098" s="1">
        <v>37.278892160799998</v>
      </c>
      <c r="D1098" s="1">
        <v>-7.0088355695000004</v>
      </c>
      <c r="E1098" s="3">
        <v>2</v>
      </c>
      <c r="F1098" s="2">
        <v>2</v>
      </c>
      <c r="G1098" s="4">
        <v>3</v>
      </c>
      <c r="H1098" s="13"/>
      <c r="I1098" s="15"/>
      <c r="J1098" s="19">
        <v>2</v>
      </c>
      <c r="K1098" s="2" t="s">
        <v>2207</v>
      </c>
      <c r="L1098" s="11" t="str">
        <f t="shared" si="18"/>
        <v>Ver Imagen</v>
      </c>
      <c r="M1098" t="s">
        <v>15</v>
      </c>
    </row>
    <row r="1099" spans="1:13" x14ac:dyDescent="0.25">
      <c r="A1099">
        <v>1098</v>
      </c>
      <c r="B1099" t="s">
        <v>2208</v>
      </c>
      <c r="C1099" s="1">
        <v>37.2786058561</v>
      </c>
      <c r="D1099" s="1">
        <v>-7.0095355537800001</v>
      </c>
      <c r="E1099" s="3">
        <v>2</v>
      </c>
      <c r="F1099" s="2">
        <v>2</v>
      </c>
      <c r="G1099" s="4">
        <v>3</v>
      </c>
      <c r="H1099" s="13"/>
      <c r="I1099" s="15"/>
      <c r="J1099" s="19">
        <v>2</v>
      </c>
      <c r="K1099" s="2" t="s">
        <v>2209</v>
      </c>
      <c r="L1099" s="11" t="str">
        <f t="shared" si="18"/>
        <v>Ver Imagen</v>
      </c>
      <c r="M1099" t="s">
        <v>15</v>
      </c>
    </row>
    <row r="1100" spans="1:13" x14ac:dyDescent="0.25">
      <c r="A1100">
        <v>1099</v>
      </c>
      <c r="B1100" t="s">
        <v>2210</v>
      </c>
      <c r="C1100" s="1">
        <v>37.2774943573</v>
      </c>
      <c r="D1100" s="1">
        <v>-7.0116490918899999</v>
      </c>
      <c r="E1100" s="3">
        <v>2</v>
      </c>
      <c r="F1100" s="2">
        <v>2</v>
      </c>
      <c r="G1100" s="4">
        <v>3</v>
      </c>
      <c r="H1100" s="13"/>
      <c r="I1100" s="15"/>
      <c r="J1100" s="19">
        <v>2</v>
      </c>
      <c r="K1100" s="2" t="s">
        <v>2211</v>
      </c>
      <c r="L1100" s="11" t="str">
        <f t="shared" si="18"/>
        <v>Ver Imagen</v>
      </c>
      <c r="M1100" t="s">
        <v>15</v>
      </c>
    </row>
    <row r="1101" spans="1:13" x14ac:dyDescent="0.25">
      <c r="A1101">
        <v>1100</v>
      </c>
      <c r="B1101" t="s">
        <v>2212</v>
      </c>
      <c r="C1101" s="1">
        <v>37.275381810100001</v>
      </c>
      <c r="D1101" s="1">
        <v>-7.0169980051699996</v>
      </c>
      <c r="E1101" s="3">
        <v>1</v>
      </c>
      <c r="F1101" s="2">
        <v>2</v>
      </c>
      <c r="G1101" s="4">
        <v>2</v>
      </c>
      <c r="H1101" s="13"/>
      <c r="I1101" s="15"/>
      <c r="J1101" s="19">
        <v>2</v>
      </c>
      <c r="K1101" s="2" t="s">
        <v>2213</v>
      </c>
      <c r="L1101" s="11" t="str">
        <f t="shared" si="18"/>
        <v>Ver Imagen</v>
      </c>
      <c r="M1101" t="s">
        <v>15</v>
      </c>
    </row>
    <row r="1102" spans="1:13" x14ac:dyDescent="0.25">
      <c r="A1102">
        <v>1101</v>
      </c>
      <c r="B1102" t="s">
        <v>2214</v>
      </c>
      <c r="C1102" s="1">
        <v>37.275478497000002</v>
      </c>
      <c r="D1102" s="1">
        <v>-7.0177737422900002</v>
      </c>
      <c r="E1102" s="3">
        <v>1</v>
      </c>
      <c r="F1102" s="2">
        <v>2</v>
      </c>
      <c r="G1102" s="4">
        <v>2</v>
      </c>
      <c r="H1102" s="13"/>
      <c r="I1102" s="15"/>
      <c r="J1102" s="19">
        <v>2</v>
      </c>
      <c r="K1102" s="2" t="s">
        <v>2215</v>
      </c>
      <c r="L1102" s="11" t="str">
        <f t="shared" si="18"/>
        <v>Ver Imagen</v>
      </c>
      <c r="M1102" t="s">
        <v>15</v>
      </c>
    </row>
    <row r="1103" spans="1:13" x14ac:dyDescent="0.25">
      <c r="A1103">
        <v>1102</v>
      </c>
      <c r="B1103" t="s">
        <v>2216</v>
      </c>
      <c r="C1103" s="1">
        <v>37.275513091400001</v>
      </c>
      <c r="D1103" s="1">
        <v>-7.0180225759099999</v>
      </c>
      <c r="E1103" s="3">
        <v>1</v>
      </c>
      <c r="F1103" s="2">
        <v>2</v>
      </c>
      <c r="G1103" s="4">
        <v>2</v>
      </c>
      <c r="H1103" s="13"/>
      <c r="I1103" s="15"/>
      <c r="J1103" s="19">
        <v>2</v>
      </c>
      <c r="K1103" s="2" t="s">
        <v>2217</v>
      </c>
      <c r="L1103" s="11" t="str">
        <f t="shared" si="18"/>
        <v>Ver Imagen</v>
      </c>
      <c r="M1103" t="s">
        <v>15</v>
      </c>
    </row>
    <row r="1104" spans="1:13" x14ac:dyDescent="0.25">
      <c r="A1104">
        <v>1103</v>
      </c>
      <c r="B1104" t="s">
        <v>2218</v>
      </c>
      <c r="C1104" s="1">
        <v>37.275579800599999</v>
      </c>
      <c r="D1104" s="1">
        <v>-7.0184888852</v>
      </c>
      <c r="E1104" s="3">
        <v>1</v>
      </c>
      <c r="F1104" s="2">
        <v>2</v>
      </c>
      <c r="G1104" s="4">
        <v>2</v>
      </c>
      <c r="H1104" s="13"/>
      <c r="I1104" s="15"/>
      <c r="J1104" s="19">
        <v>2</v>
      </c>
      <c r="K1104" s="2" t="s">
        <v>2219</v>
      </c>
      <c r="L1104" s="11" t="str">
        <f t="shared" si="18"/>
        <v>Ver Imagen</v>
      </c>
      <c r="M1104" t="s">
        <v>15</v>
      </c>
    </row>
    <row r="1105" spans="1:13" x14ac:dyDescent="0.25">
      <c r="A1105">
        <v>1104</v>
      </c>
      <c r="B1105" t="s">
        <v>2220</v>
      </c>
      <c r="C1105" s="1">
        <v>37.275890880399999</v>
      </c>
      <c r="D1105" s="1">
        <v>-7.0207924990799997</v>
      </c>
      <c r="E1105" s="3">
        <v>2</v>
      </c>
      <c r="F1105" s="2">
        <v>2</v>
      </c>
      <c r="G1105" s="4">
        <v>3</v>
      </c>
      <c r="H1105" s="13"/>
      <c r="I1105" s="15"/>
      <c r="J1105" s="19">
        <v>2</v>
      </c>
      <c r="K1105" s="2" t="s">
        <v>2221</v>
      </c>
      <c r="L1105" s="11" t="str">
        <f t="shared" si="18"/>
        <v>Ver Imagen</v>
      </c>
      <c r="M1105" t="s">
        <v>15</v>
      </c>
    </row>
    <row r="1106" spans="1:13" x14ac:dyDescent="0.25">
      <c r="A1106">
        <v>1105</v>
      </c>
      <c r="B1106" t="s">
        <v>2222</v>
      </c>
      <c r="C1106" s="1">
        <v>37.275912108</v>
      </c>
      <c r="D1106" s="1">
        <v>-7.0209519658800001</v>
      </c>
      <c r="E1106" s="3">
        <v>2</v>
      </c>
      <c r="F1106" s="2">
        <v>2</v>
      </c>
      <c r="G1106" s="4">
        <v>3</v>
      </c>
      <c r="H1106" s="13"/>
      <c r="I1106" s="15"/>
      <c r="J1106" s="19">
        <v>2</v>
      </c>
      <c r="K1106" s="2" t="s">
        <v>2223</v>
      </c>
      <c r="L1106" s="11" t="str">
        <f t="shared" si="18"/>
        <v>Ver Imagen</v>
      </c>
      <c r="M1106" t="s">
        <v>15</v>
      </c>
    </row>
    <row r="1107" spans="1:13" x14ac:dyDescent="0.25">
      <c r="A1107">
        <v>1106</v>
      </c>
      <c r="B1107" t="s">
        <v>2224</v>
      </c>
      <c r="C1107" s="1">
        <v>37.276438372699999</v>
      </c>
      <c r="D1107" s="1">
        <v>-7.02472882064</v>
      </c>
      <c r="E1107" s="3">
        <v>2</v>
      </c>
      <c r="F1107" s="2">
        <v>2</v>
      </c>
      <c r="G1107" s="4">
        <v>3</v>
      </c>
      <c r="H1107" s="13"/>
      <c r="I1107" s="15"/>
      <c r="J1107" s="19">
        <v>2</v>
      </c>
      <c r="K1107" s="2" t="s">
        <v>2225</v>
      </c>
      <c r="L1107" s="11" t="str">
        <f t="shared" si="18"/>
        <v>Ver Imagen</v>
      </c>
      <c r="M1107" t="s">
        <v>15</v>
      </c>
    </row>
    <row r="1108" spans="1:13" x14ac:dyDescent="0.25">
      <c r="A1108">
        <v>1107</v>
      </c>
      <c r="B1108" t="s">
        <v>2226</v>
      </c>
      <c r="C1108" s="1">
        <v>37.276488993400001</v>
      </c>
      <c r="D1108" s="1">
        <v>-7.0250745329499997</v>
      </c>
      <c r="E1108" s="3">
        <v>2</v>
      </c>
      <c r="F1108" s="2">
        <v>2</v>
      </c>
      <c r="G1108" s="4">
        <v>3</v>
      </c>
      <c r="H1108" s="13"/>
      <c r="I1108" s="15"/>
      <c r="J1108" s="19">
        <v>2</v>
      </c>
      <c r="K1108" s="2" t="s">
        <v>2227</v>
      </c>
      <c r="L1108" s="11" t="str">
        <f t="shared" si="18"/>
        <v>Ver Imagen</v>
      </c>
      <c r="M1108" t="s">
        <v>15</v>
      </c>
    </row>
    <row r="1109" spans="1:13" x14ac:dyDescent="0.25">
      <c r="A1109">
        <v>1108</v>
      </c>
      <c r="B1109" t="s">
        <v>2228</v>
      </c>
      <c r="C1109" s="1">
        <v>37.276516854299999</v>
      </c>
      <c r="D1109" s="1">
        <v>-7.0252700410399997</v>
      </c>
      <c r="E1109" s="3">
        <v>2</v>
      </c>
      <c r="F1109" s="2">
        <v>2</v>
      </c>
      <c r="G1109" s="4">
        <v>3</v>
      </c>
      <c r="H1109" s="13"/>
      <c r="I1109" s="15"/>
      <c r="J1109" s="19">
        <v>2</v>
      </c>
      <c r="K1109" s="2" t="s">
        <v>2229</v>
      </c>
      <c r="L1109" s="11" t="str">
        <f t="shared" si="18"/>
        <v>Ver Imagen</v>
      </c>
      <c r="M1109" t="s">
        <v>15</v>
      </c>
    </row>
    <row r="1110" spans="1:13" x14ac:dyDescent="0.25">
      <c r="A1110">
        <v>1109</v>
      </c>
      <c r="B1110" t="s">
        <v>2230</v>
      </c>
      <c r="C1110" s="1">
        <v>37.276548482199999</v>
      </c>
      <c r="D1110" s="1">
        <v>-7.02549559768</v>
      </c>
      <c r="E1110" s="3">
        <v>2</v>
      </c>
      <c r="F1110" s="2">
        <v>2</v>
      </c>
      <c r="G1110" s="4">
        <v>3</v>
      </c>
      <c r="H1110" s="13"/>
      <c r="I1110" s="15"/>
      <c r="J1110" s="19">
        <v>2</v>
      </c>
      <c r="K1110" s="2" t="s">
        <v>2231</v>
      </c>
      <c r="L1110" s="11" t="str">
        <f t="shared" si="18"/>
        <v>Ver Imagen</v>
      </c>
      <c r="M1110" t="s">
        <v>15</v>
      </c>
    </row>
    <row r="1111" spans="1:13" x14ac:dyDescent="0.25">
      <c r="A1111">
        <v>1110</v>
      </c>
      <c r="B1111" t="s">
        <v>2232</v>
      </c>
      <c r="C1111" s="1">
        <v>37.276687866000003</v>
      </c>
      <c r="D1111" s="1">
        <v>-7.0265011481000004</v>
      </c>
      <c r="E1111" s="3">
        <v>2</v>
      </c>
      <c r="F1111" s="2">
        <v>2</v>
      </c>
      <c r="G1111" s="4">
        <v>3</v>
      </c>
      <c r="H1111" s="13"/>
      <c r="I1111" s="15"/>
      <c r="J1111" s="19">
        <v>2</v>
      </c>
      <c r="K1111" s="2" t="s">
        <v>2233</v>
      </c>
      <c r="L1111" s="11" t="str">
        <f t="shared" si="18"/>
        <v>Ver Imagen</v>
      </c>
      <c r="M1111" t="s">
        <v>15</v>
      </c>
    </row>
    <row r="1112" spans="1:13" x14ac:dyDescent="0.25">
      <c r="A1112">
        <v>1111</v>
      </c>
      <c r="B1112" t="s">
        <v>2234</v>
      </c>
      <c r="C1112" s="1">
        <v>37.276730458499998</v>
      </c>
      <c r="D1112" s="1">
        <v>-7.0267590917399998</v>
      </c>
      <c r="E1112" s="3">
        <v>2</v>
      </c>
      <c r="F1112" s="2">
        <v>2</v>
      </c>
      <c r="G1112" s="4">
        <v>3</v>
      </c>
      <c r="H1112" s="13"/>
      <c r="I1112" s="15"/>
      <c r="J1112" s="19">
        <v>2</v>
      </c>
      <c r="K1112" s="2" t="s">
        <v>2235</v>
      </c>
      <c r="L1112" s="11" t="str">
        <f t="shared" si="18"/>
        <v>Ver Imagen</v>
      </c>
      <c r="M1112" t="s">
        <v>15</v>
      </c>
    </row>
    <row r="1113" spans="1:13" x14ac:dyDescent="0.25">
      <c r="A1113">
        <v>1112</v>
      </c>
      <c r="B1113" t="s">
        <v>2236</v>
      </c>
      <c r="C1113" s="1">
        <v>37.276770107499999</v>
      </c>
      <c r="D1113" s="1">
        <v>-7.0269646461299997</v>
      </c>
      <c r="E1113" s="3">
        <v>2</v>
      </c>
      <c r="F1113" s="2">
        <v>2</v>
      </c>
      <c r="G1113" s="4">
        <v>3</v>
      </c>
      <c r="H1113" s="13"/>
      <c r="I1113" s="15"/>
      <c r="J1113" s="19">
        <v>2</v>
      </c>
      <c r="K1113" s="2" t="s">
        <v>2237</v>
      </c>
      <c r="L1113" s="11" t="str">
        <f t="shared" si="18"/>
        <v>Ver Imagen</v>
      </c>
      <c r="M1113" t="s">
        <v>15</v>
      </c>
    </row>
    <row r="1114" spans="1:13" x14ac:dyDescent="0.25">
      <c r="A1114">
        <v>1113</v>
      </c>
      <c r="B1114" t="s">
        <v>2238</v>
      </c>
      <c r="C1114" s="1">
        <v>37.276821837699998</v>
      </c>
      <c r="D1114" s="1">
        <v>-7.0271961271999999</v>
      </c>
      <c r="E1114" s="3">
        <v>2</v>
      </c>
      <c r="F1114" s="2">
        <v>2</v>
      </c>
      <c r="G1114" s="4">
        <v>3</v>
      </c>
      <c r="H1114" s="13"/>
      <c r="I1114" s="15"/>
      <c r="J1114" s="19">
        <v>2</v>
      </c>
      <c r="K1114" s="2" t="s">
        <v>2239</v>
      </c>
      <c r="L1114" s="11" t="str">
        <f t="shared" si="18"/>
        <v>Ver Imagen</v>
      </c>
      <c r="M1114" t="s">
        <v>15</v>
      </c>
    </row>
    <row r="1115" spans="1:13" x14ac:dyDescent="0.25">
      <c r="A1115">
        <v>1114</v>
      </c>
      <c r="B1115" t="s">
        <v>2240</v>
      </c>
      <c r="C1115" s="1">
        <v>37.277143042399999</v>
      </c>
      <c r="D1115" s="1">
        <v>-7.0281644055800001</v>
      </c>
      <c r="E1115" s="3">
        <v>2</v>
      </c>
      <c r="F1115" s="2">
        <v>2</v>
      </c>
      <c r="G1115" s="4">
        <v>3</v>
      </c>
      <c r="H1115" s="13"/>
      <c r="I1115" s="15"/>
      <c r="J1115" s="19">
        <v>2</v>
      </c>
      <c r="K1115" s="2" t="s">
        <v>2241</v>
      </c>
      <c r="L1115" s="11" t="str">
        <f t="shared" si="18"/>
        <v>Ver Imagen</v>
      </c>
      <c r="M1115" t="s">
        <v>15</v>
      </c>
    </row>
    <row r="1116" spans="1:13" x14ac:dyDescent="0.25">
      <c r="A1116">
        <v>1115</v>
      </c>
      <c r="B1116" t="s">
        <v>2242</v>
      </c>
      <c r="C1116" s="1">
        <v>37.277467057400003</v>
      </c>
      <c r="D1116" s="1">
        <v>-7.0287807516600003</v>
      </c>
      <c r="E1116" s="3">
        <v>2</v>
      </c>
      <c r="F1116" s="2">
        <v>2</v>
      </c>
      <c r="G1116" s="4">
        <v>3</v>
      </c>
      <c r="H1116" s="13"/>
      <c r="I1116" s="15"/>
      <c r="J1116" s="19">
        <v>2</v>
      </c>
      <c r="K1116" s="2" t="s">
        <v>2243</v>
      </c>
      <c r="L1116" s="11" t="str">
        <f t="shared" si="18"/>
        <v>Ver Imagen</v>
      </c>
      <c r="M1116" t="s">
        <v>15</v>
      </c>
    </row>
    <row r="1117" spans="1:13" x14ac:dyDescent="0.25">
      <c r="A1117">
        <v>1116</v>
      </c>
      <c r="B1117" t="s">
        <v>2244</v>
      </c>
      <c r="C1117" s="1">
        <v>37.277586936399999</v>
      </c>
      <c r="D1117" s="1">
        <v>-7.0289662376399997</v>
      </c>
      <c r="E1117" s="3">
        <v>2</v>
      </c>
      <c r="F1117" s="2">
        <v>2</v>
      </c>
      <c r="G1117" s="4">
        <v>3</v>
      </c>
      <c r="H1117" s="13"/>
      <c r="I1117" s="15"/>
      <c r="J1117" s="19">
        <v>2</v>
      </c>
      <c r="K1117" s="2" t="s">
        <v>2245</v>
      </c>
      <c r="L1117" s="11" t="str">
        <f t="shared" si="18"/>
        <v>Ver Imagen</v>
      </c>
      <c r="M1117" t="s">
        <v>15</v>
      </c>
    </row>
    <row r="1118" spans="1:13" x14ac:dyDescent="0.25">
      <c r="A1118">
        <v>1117</v>
      </c>
      <c r="B1118" t="s">
        <v>2246</v>
      </c>
      <c r="C1118" s="1">
        <v>37.277734709299999</v>
      </c>
      <c r="D1118" s="1">
        <v>-7.0291729589400003</v>
      </c>
      <c r="E1118" s="3">
        <v>2</v>
      </c>
      <c r="F1118" s="2">
        <v>2</v>
      </c>
      <c r="G1118" s="4">
        <v>3</v>
      </c>
      <c r="H1118" s="13"/>
      <c r="I1118" s="15"/>
      <c r="J1118" s="19">
        <v>2</v>
      </c>
      <c r="K1118" s="2" t="s">
        <v>2247</v>
      </c>
      <c r="L1118" s="11" t="str">
        <f t="shared" si="18"/>
        <v>Ver Imagen</v>
      </c>
      <c r="M1118" t="s">
        <v>15</v>
      </c>
    </row>
    <row r="1119" spans="1:13" x14ac:dyDescent="0.25">
      <c r="A1119">
        <v>1118</v>
      </c>
      <c r="B1119" t="s">
        <v>2248</v>
      </c>
      <c r="C1119" s="1">
        <v>37.277898562600001</v>
      </c>
      <c r="D1119" s="1">
        <v>-7.02937490419</v>
      </c>
      <c r="E1119" s="3">
        <v>2</v>
      </c>
      <c r="F1119" s="2">
        <v>2</v>
      </c>
      <c r="G1119" s="4">
        <v>3</v>
      </c>
      <c r="H1119" s="13"/>
      <c r="I1119" s="15"/>
      <c r="J1119" s="19">
        <v>2</v>
      </c>
      <c r="K1119" s="2" t="s">
        <v>2249</v>
      </c>
      <c r="L1119" s="11" t="str">
        <f t="shared" si="18"/>
        <v>Ver Imagen</v>
      </c>
      <c r="M1119" t="s">
        <v>15</v>
      </c>
    </row>
    <row r="1120" spans="1:13" x14ac:dyDescent="0.25">
      <c r="A1120">
        <v>1119</v>
      </c>
      <c r="B1120" t="s">
        <v>2250</v>
      </c>
      <c r="C1120" s="1">
        <v>37.2780328789</v>
      </c>
      <c r="D1120" s="1">
        <v>-7.0295231302800003</v>
      </c>
      <c r="E1120" s="3">
        <v>2</v>
      </c>
      <c r="F1120" s="2">
        <v>2</v>
      </c>
      <c r="G1120" s="4">
        <v>3</v>
      </c>
      <c r="H1120" s="13"/>
      <c r="I1120" s="15"/>
      <c r="J1120" s="19">
        <v>2</v>
      </c>
      <c r="K1120" s="2" t="s">
        <v>2251</v>
      </c>
      <c r="L1120" s="11" t="str">
        <f t="shared" si="18"/>
        <v>Ver Imagen</v>
      </c>
      <c r="M1120" t="s">
        <v>15</v>
      </c>
    </row>
    <row r="1121" spans="1:13" x14ac:dyDescent="0.25">
      <c r="A1121">
        <v>1120</v>
      </c>
      <c r="B1121" t="s">
        <v>2252</v>
      </c>
      <c r="C1121" s="1">
        <v>37.278177513300001</v>
      </c>
      <c r="D1121" s="1">
        <v>-7.0296694006399996</v>
      </c>
      <c r="E1121" s="3">
        <v>2</v>
      </c>
      <c r="F1121" s="2">
        <v>2</v>
      </c>
      <c r="G1121" s="4">
        <v>3</v>
      </c>
      <c r="H1121" s="13"/>
      <c r="I1121" s="15"/>
      <c r="J1121" s="19">
        <v>2</v>
      </c>
      <c r="K1121" s="2" t="s">
        <v>2253</v>
      </c>
      <c r="L1121" s="11" t="str">
        <f t="shared" si="18"/>
        <v>Ver Imagen</v>
      </c>
      <c r="M1121" t="s">
        <v>15</v>
      </c>
    </row>
    <row r="1122" spans="1:13" x14ac:dyDescent="0.25">
      <c r="A1122">
        <v>1121</v>
      </c>
      <c r="B1122" t="s">
        <v>2254</v>
      </c>
      <c r="C1122" s="1">
        <v>37.278835174100003</v>
      </c>
      <c r="D1122" s="1">
        <v>-7.0302803317300002</v>
      </c>
      <c r="E1122" s="3">
        <v>2</v>
      </c>
      <c r="F1122" s="2">
        <v>2</v>
      </c>
      <c r="G1122" s="4">
        <v>3</v>
      </c>
      <c r="H1122" s="13"/>
      <c r="I1122" s="15"/>
      <c r="J1122" s="19">
        <v>2</v>
      </c>
      <c r="K1122" s="2" t="s">
        <v>2255</v>
      </c>
      <c r="L1122" s="11" t="str">
        <f t="shared" si="18"/>
        <v>Ver Imagen</v>
      </c>
      <c r="M1122" t="s">
        <v>15</v>
      </c>
    </row>
    <row r="1123" spans="1:13" x14ac:dyDescent="0.25">
      <c r="A1123">
        <v>1122</v>
      </c>
      <c r="B1123" t="s">
        <v>2256</v>
      </c>
      <c r="C1123" s="1">
        <v>37.279487215300001</v>
      </c>
      <c r="D1123" s="1">
        <v>-7.0308805213200003</v>
      </c>
      <c r="E1123" s="3">
        <v>2</v>
      </c>
      <c r="F1123" s="2">
        <v>2</v>
      </c>
      <c r="G1123" s="4">
        <v>3</v>
      </c>
      <c r="H1123" s="13"/>
      <c r="I1123" s="15"/>
      <c r="J1123" s="19">
        <v>2</v>
      </c>
      <c r="K1123" s="2" t="s">
        <v>2257</v>
      </c>
      <c r="L1123" s="11" t="str">
        <f t="shared" si="18"/>
        <v>Ver Imagen</v>
      </c>
      <c r="M1123" t="s">
        <v>15</v>
      </c>
    </row>
    <row r="1124" spans="1:13" x14ac:dyDescent="0.25">
      <c r="A1124">
        <v>1123</v>
      </c>
      <c r="B1124" t="s">
        <v>2258</v>
      </c>
      <c r="C1124" s="1">
        <v>37.279984564400003</v>
      </c>
      <c r="D1124" s="1">
        <v>-7.03131442821</v>
      </c>
      <c r="E1124" s="3">
        <v>1</v>
      </c>
      <c r="F1124" s="2">
        <v>2</v>
      </c>
      <c r="G1124" s="4">
        <v>2</v>
      </c>
      <c r="H1124" s="13"/>
      <c r="I1124" s="15"/>
      <c r="J1124" s="19">
        <v>2</v>
      </c>
      <c r="K1124" s="2" t="s">
        <v>2259</v>
      </c>
      <c r="L1124" s="11" t="str">
        <f t="shared" si="18"/>
        <v>Ver Imagen</v>
      </c>
      <c r="M1124" t="s">
        <v>15</v>
      </c>
    </row>
    <row r="1125" spans="1:13" x14ac:dyDescent="0.25">
      <c r="A1125">
        <v>1124</v>
      </c>
      <c r="B1125" t="s">
        <v>2260</v>
      </c>
      <c r="C1125" s="1">
        <v>37.2803387939</v>
      </c>
      <c r="D1125" s="1">
        <v>-7.03155440956</v>
      </c>
      <c r="E1125" s="3">
        <v>1</v>
      </c>
      <c r="F1125" s="2">
        <v>2</v>
      </c>
      <c r="G1125" s="4">
        <v>2</v>
      </c>
      <c r="H1125" s="13"/>
      <c r="I1125" s="15"/>
      <c r="J1125" s="19">
        <v>2</v>
      </c>
      <c r="K1125" s="2" t="s">
        <v>2261</v>
      </c>
      <c r="L1125" s="11" t="str">
        <f t="shared" si="18"/>
        <v>Ver Imagen</v>
      </c>
      <c r="M1125" t="s">
        <v>15</v>
      </c>
    </row>
    <row r="1126" spans="1:13" x14ac:dyDescent="0.25">
      <c r="A1126">
        <v>1125</v>
      </c>
      <c r="B1126" t="s">
        <v>2262</v>
      </c>
      <c r="C1126" s="1">
        <v>37.280526503200001</v>
      </c>
      <c r="D1126" s="1">
        <v>-7.03165805189</v>
      </c>
      <c r="E1126" s="3">
        <v>1</v>
      </c>
      <c r="F1126" s="2">
        <v>2</v>
      </c>
      <c r="G1126" s="4">
        <v>2</v>
      </c>
      <c r="H1126" s="13"/>
      <c r="I1126" s="15"/>
      <c r="J1126" s="19">
        <v>2</v>
      </c>
      <c r="K1126" s="2" t="s">
        <v>2263</v>
      </c>
      <c r="L1126" s="11" t="str">
        <f t="shared" si="18"/>
        <v>Ver Imagen</v>
      </c>
      <c r="M1126" t="s">
        <v>15</v>
      </c>
    </row>
    <row r="1127" spans="1:13" x14ac:dyDescent="0.25">
      <c r="A1127">
        <v>1126</v>
      </c>
      <c r="B1127" t="s">
        <v>2264</v>
      </c>
      <c r="C1127" s="1">
        <v>37.280693164100001</v>
      </c>
      <c r="D1127" s="1">
        <v>-7.0317418181500004</v>
      </c>
      <c r="E1127" s="3">
        <v>1</v>
      </c>
      <c r="F1127" s="2">
        <v>2</v>
      </c>
      <c r="G1127" s="4">
        <v>2</v>
      </c>
      <c r="H1127" s="13"/>
      <c r="I1127" s="15"/>
      <c r="J1127" s="19">
        <v>2</v>
      </c>
      <c r="K1127" s="2" t="s">
        <v>2265</v>
      </c>
      <c r="L1127" s="11" t="str">
        <f t="shared" si="18"/>
        <v>Ver Imagen</v>
      </c>
      <c r="M1127" t="s">
        <v>15</v>
      </c>
    </row>
    <row r="1128" spans="1:13" x14ac:dyDescent="0.25">
      <c r="A1128">
        <v>1127</v>
      </c>
      <c r="B1128" t="s">
        <v>2266</v>
      </c>
      <c r="C1128" s="1">
        <v>37.280883113500003</v>
      </c>
      <c r="D1128" s="1">
        <v>-7.0318330261200002</v>
      </c>
      <c r="E1128" s="3">
        <v>1</v>
      </c>
      <c r="F1128" s="2">
        <v>2</v>
      </c>
      <c r="G1128" s="4">
        <v>2</v>
      </c>
      <c r="H1128" s="13"/>
      <c r="I1128" s="15"/>
      <c r="J1128" s="19">
        <v>2</v>
      </c>
      <c r="K1128" s="2" t="s">
        <v>2267</v>
      </c>
      <c r="L1128" s="11" t="str">
        <f t="shared" si="18"/>
        <v>Ver Imagen</v>
      </c>
      <c r="M1128" t="s">
        <v>15</v>
      </c>
    </row>
    <row r="1129" spans="1:13" x14ac:dyDescent="0.25">
      <c r="A1129">
        <v>1128</v>
      </c>
      <c r="B1129" t="s">
        <v>2268</v>
      </c>
      <c r="C1129" s="1">
        <v>37.2814610788</v>
      </c>
      <c r="D1129" s="1">
        <v>-7.0321143007</v>
      </c>
      <c r="E1129" s="3">
        <v>1</v>
      </c>
      <c r="F1129" s="2">
        <v>2</v>
      </c>
      <c r="G1129" s="4">
        <v>2</v>
      </c>
      <c r="H1129" s="13"/>
      <c r="I1129" s="15"/>
      <c r="J1129" s="19">
        <v>2</v>
      </c>
      <c r="K1129" s="2" t="s">
        <v>2269</v>
      </c>
      <c r="L1129" s="11" t="str">
        <f t="shared" si="18"/>
        <v>Ver Imagen</v>
      </c>
      <c r="M1129" t="s">
        <v>15</v>
      </c>
    </row>
    <row r="1130" spans="1:13" x14ac:dyDescent="0.25">
      <c r="A1130">
        <v>1129</v>
      </c>
      <c r="B1130" t="s">
        <v>2270</v>
      </c>
      <c r="C1130" s="1">
        <v>37.282199358100002</v>
      </c>
      <c r="D1130" s="1">
        <v>-7.0325275415600004</v>
      </c>
      <c r="E1130" s="3">
        <v>1</v>
      </c>
      <c r="F1130" s="2">
        <v>2</v>
      </c>
      <c r="G1130" s="4">
        <v>2</v>
      </c>
      <c r="H1130" s="13"/>
      <c r="I1130" s="15"/>
      <c r="J1130" s="19">
        <v>2</v>
      </c>
      <c r="K1130" s="2" t="s">
        <v>2271</v>
      </c>
      <c r="L1130" s="11" t="str">
        <f t="shared" si="18"/>
        <v>Ver Imagen</v>
      </c>
      <c r="M1130" t="s">
        <v>15</v>
      </c>
    </row>
    <row r="1131" spans="1:13" x14ac:dyDescent="0.25">
      <c r="A1131">
        <v>1130</v>
      </c>
      <c r="B1131" t="s">
        <v>2272</v>
      </c>
      <c r="C1131" s="1">
        <v>37.282368677999997</v>
      </c>
      <c r="D1131" s="1">
        <v>-7.03263291836</v>
      </c>
      <c r="E1131" s="3">
        <v>1</v>
      </c>
      <c r="F1131" s="2">
        <v>2</v>
      </c>
      <c r="G1131" s="4">
        <v>2</v>
      </c>
      <c r="H1131" s="13"/>
      <c r="I1131" s="15"/>
      <c r="J1131" s="19">
        <v>2</v>
      </c>
      <c r="K1131" s="2" t="s">
        <v>2273</v>
      </c>
      <c r="L1131" s="11" t="str">
        <f t="shared" si="18"/>
        <v>Ver Imagen</v>
      </c>
      <c r="M1131" t="s">
        <v>15</v>
      </c>
    </row>
    <row r="1132" spans="1:13" x14ac:dyDescent="0.25">
      <c r="A1132">
        <v>1131</v>
      </c>
      <c r="B1132" t="s">
        <v>2274</v>
      </c>
      <c r="C1132" s="1">
        <v>37.282756572700002</v>
      </c>
      <c r="D1132" s="1">
        <v>-7.0328937531299998</v>
      </c>
      <c r="E1132" s="3">
        <v>1</v>
      </c>
      <c r="F1132" s="2">
        <v>2</v>
      </c>
      <c r="G1132" s="4">
        <v>2</v>
      </c>
      <c r="H1132" s="13"/>
      <c r="I1132" s="15"/>
      <c r="J1132" s="19">
        <v>2</v>
      </c>
      <c r="K1132" s="2" t="s">
        <v>2275</v>
      </c>
      <c r="L1132" s="11" t="str">
        <f t="shared" si="18"/>
        <v>Ver Imagen</v>
      </c>
      <c r="M1132" t="s">
        <v>15</v>
      </c>
    </row>
    <row r="1133" spans="1:13" x14ac:dyDescent="0.25">
      <c r="A1133">
        <v>1132</v>
      </c>
      <c r="B1133" t="s">
        <v>2276</v>
      </c>
      <c r="C1133" s="1">
        <v>37.282918379199998</v>
      </c>
      <c r="D1133" s="1">
        <v>-7.0330204465400001</v>
      </c>
      <c r="E1133" s="3">
        <v>2</v>
      </c>
      <c r="F1133" s="2">
        <v>2</v>
      </c>
      <c r="G1133" s="4">
        <v>3</v>
      </c>
      <c r="H1133" s="13"/>
      <c r="I1133" s="15"/>
      <c r="J1133" s="19">
        <v>2</v>
      </c>
      <c r="K1133" s="2" t="s">
        <v>2277</v>
      </c>
      <c r="L1133" s="11" t="str">
        <f t="shared" si="18"/>
        <v>Ver Imagen</v>
      </c>
      <c r="M1133" t="s">
        <v>15</v>
      </c>
    </row>
    <row r="1134" spans="1:13" x14ac:dyDescent="0.25">
      <c r="A1134">
        <v>1133</v>
      </c>
      <c r="B1134" t="s">
        <v>2278</v>
      </c>
      <c r="C1134" s="1">
        <v>37.2832106575</v>
      </c>
      <c r="D1134" s="1">
        <v>-7.0333028301600002</v>
      </c>
      <c r="E1134" s="3">
        <v>1</v>
      </c>
      <c r="F1134" s="2">
        <v>2</v>
      </c>
      <c r="G1134" s="4">
        <v>2</v>
      </c>
      <c r="H1134" s="13"/>
      <c r="I1134" s="15"/>
      <c r="J1134" s="19">
        <v>2</v>
      </c>
      <c r="K1134" s="2" t="s">
        <v>2279</v>
      </c>
      <c r="L1134" s="11" t="str">
        <f t="shared" si="18"/>
        <v>Ver Imagen</v>
      </c>
      <c r="M1134" t="s">
        <v>15</v>
      </c>
    </row>
    <row r="1135" spans="1:13" x14ac:dyDescent="0.25">
      <c r="A1135">
        <v>1134</v>
      </c>
      <c r="B1135" t="s">
        <v>2280</v>
      </c>
      <c r="C1135" s="1">
        <v>37.283369776299999</v>
      </c>
      <c r="D1135" s="1">
        <v>-7.0335022367000004</v>
      </c>
      <c r="E1135" s="3">
        <v>1</v>
      </c>
      <c r="F1135" s="2">
        <v>2</v>
      </c>
      <c r="G1135" s="4">
        <v>2</v>
      </c>
      <c r="H1135" s="13"/>
      <c r="I1135" s="15"/>
      <c r="J1135" s="19">
        <v>2</v>
      </c>
      <c r="K1135" s="2" t="s">
        <v>2281</v>
      </c>
      <c r="L1135" s="11" t="str">
        <f t="shared" si="18"/>
        <v>Ver Imagen</v>
      </c>
      <c r="M1135" t="s">
        <v>15</v>
      </c>
    </row>
    <row r="1136" spans="1:13" x14ac:dyDescent="0.25">
      <c r="A1136">
        <v>1135</v>
      </c>
      <c r="B1136" t="s">
        <v>2282</v>
      </c>
      <c r="C1136" s="1">
        <v>37.283515198400003</v>
      </c>
      <c r="D1136" s="1">
        <v>-7.0337255460200003</v>
      </c>
      <c r="E1136" s="3">
        <v>2</v>
      </c>
      <c r="F1136" s="2">
        <v>2</v>
      </c>
      <c r="G1136" s="4">
        <v>3</v>
      </c>
      <c r="H1136" s="13"/>
      <c r="I1136" s="15"/>
      <c r="J1136" s="19">
        <v>2</v>
      </c>
      <c r="K1136" s="2" t="s">
        <v>2283</v>
      </c>
      <c r="L1136" s="11" t="str">
        <f t="shared" si="18"/>
        <v>Ver Imagen</v>
      </c>
      <c r="M1136" t="s">
        <v>15</v>
      </c>
    </row>
    <row r="1137" spans="1:13" x14ac:dyDescent="0.25">
      <c r="A1137">
        <v>1136</v>
      </c>
      <c r="B1137" t="s">
        <v>2284</v>
      </c>
      <c r="C1137" s="1">
        <v>37.283835518499998</v>
      </c>
      <c r="D1137" s="1">
        <v>-7.0343928016500001</v>
      </c>
      <c r="E1137" s="3">
        <v>1</v>
      </c>
      <c r="F1137" s="2">
        <v>2</v>
      </c>
      <c r="G1137" s="4">
        <v>2</v>
      </c>
      <c r="H1137" s="13"/>
      <c r="I1137" s="15"/>
      <c r="J1137" s="19">
        <v>2</v>
      </c>
      <c r="K1137" s="2" t="s">
        <v>2285</v>
      </c>
      <c r="L1137" s="11" t="str">
        <f t="shared" si="18"/>
        <v>Ver Imagen</v>
      </c>
      <c r="M1137" t="s">
        <v>15</v>
      </c>
    </row>
    <row r="1138" spans="1:13" x14ac:dyDescent="0.25">
      <c r="A1138">
        <v>1137</v>
      </c>
      <c r="B1138" t="s">
        <v>2286</v>
      </c>
      <c r="C1138" s="1">
        <v>37.283912618000002</v>
      </c>
      <c r="D1138" s="1">
        <v>-7.0346086853800003</v>
      </c>
      <c r="E1138" s="3">
        <v>1</v>
      </c>
      <c r="F1138" s="2">
        <v>2</v>
      </c>
      <c r="G1138" s="4">
        <v>2</v>
      </c>
      <c r="H1138" s="13"/>
      <c r="I1138" s="15"/>
      <c r="J1138" s="19">
        <v>2</v>
      </c>
      <c r="K1138" s="2" t="s">
        <v>2287</v>
      </c>
      <c r="L1138" s="11" t="str">
        <f t="shared" si="18"/>
        <v>Ver Imagen</v>
      </c>
      <c r="M1138" t="s">
        <v>15</v>
      </c>
    </row>
    <row r="1139" spans="1:13" x14ac:dyDescent="0.25">
      <c r="A1139">
        <v>1138</v>
      </c>
      <c r="B1139" t="s">
        <v>2288</v>
      </c>
      <c r="C1139" s="1">
        <v>37.284104655</v>
      </c>
      <c r="D1139" s="1">
        <v>-7.0366152019200001</v>
      </c>
      <c r="E1139" s="3">
        <v>1</v>
      </c>
      <c r="F1139" s="2">
        <v>2</v>
      </c>
      <c r="G1139" s="4">
        <v>2</v>
      </c>
      <c r="H1139" s="13"/>
      <c r="I1139" s="15"/>
      <c r="J1139" s="19">
        <v>2</v>
      </c>
      <c r="K1139" s="2" t="s">
        <v>2289</v>
      </c>
      <c r="L1139" s="11" t="str">
        <f t="shared" si="18"/>
        <v>Ver Imagen</v>
      </c>
      <c r="M1139" t="s">
        <v>15</v>
      </c>
    </row>
    <row r="1140" spans="1:13" x14ac:dyDescent="0.25">
      <c r="A1140">
        <v>1139</v>
      </c>
      <c r="B1140" t="s">
        <v>2290</v>
      </c>
      <c r="C1140" s="1">
        <v>37.2841159695</v>
      </c>
      <c r="D1140" s="1">
        <v>-7.0368765014900001</v>
      </c>
      <c r="E1140" s="3">
        <v>1</v>
      </c>
      <c r="F1140" s="2">
        <v>2</v>
      </c>
      <c r="G1140" s="4">
        <v>2</v>
      </c>
      <c r="H1140" s="13"/>
      <c r="I1140" s="15"/>
      <c r="J1140" s="19">
        <v>2</v>
      </c>
      <c r="K1140" s="2" t="s">
        <v>2291</v>
      </c>
      <c r="L1140" s="11" t="str">
        <f t="shared" si="18"/>
        <v>Ver Imagen</v>
      </c>
      <c r="M1140" t="s">
        <v>15</v>
      </c>
    </row>
    <row r="1141" spans="1:13" x14ac:dyDescent="0.25">
      <c r="A1141">
        <v>1140</v>
      </c>
      <c r="B1141" t="s">
        <v>2292</v>
      </c>
      <c r="C1141" s="1">
        <v>37.284274567099999</v>
      </c>
      <c r="D1141" s="1">
        <v>-7.0378074532400001</v>
      </c>
      <c r="E1141" s="3">
        <v>1</v>
      </c>
      <c r="F1141" s="2">
        <v>2</v>
      </c>
      <c r="G1141" s="4">
        <v>2</v>
      </c>
      <c r="H1141" s="13"/>
      <c r="I1141" s="15"/>
      <c r="J1141" s="19">
        <v>2</v>
      </c>
      <c r="K1141" s="2" t="s">
        <v>2293</v>
      </c>
      <c r="L1141" s="11" t="str">
        <f t="shared" si="18"/>
        <v>Ver Imagen</v>
      </c>
      <c r="M1141" t="s">
        <v>15</v>
      </c>
    </row>
    <row r="1142" spans="1:13" x14ac:dyDescent="0.25">
      <c r="A1142">
        <v>1141</v>
      </c>
      <c r="B1142" t="s">
        <v>2294</v>
      </c>
      <c r="C1142" s="1">
        <v>37.284521446500001</v>
      </c>
      <c r="D1142" s="1">
        <v>-7.0387895867400001</v>
      </c>
      <c r="E1142" s="3">
        <v>1</v>
      </c>
      <c r="F1142" s="2">
        <v>2</v>
      </c>
      <c r="G1142" s="4">
        <v>2</v>
      </c>
      <c r="H1142" s="13"/>
      <c r="I1142" s="15"/>
      <c r="J1142" s="19">
        <v>2</v>
      </c>
      <c r="K1142" s="2" t="s">
        <v>2295</v>
      </c>
      <c r="L1142" s="11" t="str">
        <f t="shared" si="18"/>
        <v>Ver Imagen</v>
      </c>
      <c r="M1142" t="s">
        <v>15</v>
      </c>
    </row>
    <row r="1143" spans="1:13" x14ac:dyDescent="0.25">
      <c r="A1143">
        <v>1142</v>
      </c>
      <c r="B1143" t="s">
        <v>2296</v>
      </c>
      <c r="C1143" s="1">
        <v>37.285249076500001</v>
      </c>
      <c r="D1143" s="1">
        <v>-7.0405882474199997</v>
      </c>
      <c r="E1143" s="3">
        <v>2</v>
      </c>
      <c r="F1143" s="2">
        <v>1</v>
      </c>
      <c r="G1143" s="4">
        <v>2</v>
      </c>
      <c r="H1143" s="13"/>
      <c r="I1143" s="15"/>
      <c r="J1143" s="19">
        <v>2</v>
      </c>
      <c r="K1143" s="2" t="s">
        <v>2297</v>
      </c>
      <c r="L1143" s="11" t="str">
        <f t="shared" si="18"/>
        <v>Ver Imagen</v>
      </c>
      <c r="M1143" t="s">
        <v>15</v>
      </c>
    </row>
    <row r="1144" spans="1:13" x14ac:dyDescent="0.25">
      <c r="A1144">
        <v>1143</v>
      </c>
      <c r="B1144" t="s">
        <v>2298</v>
      </c>
      <c r="C1144" s="1">
        <v>37.285508860100002</v>
      </c>
      <c r="D1144" s="1">
        <v>-7.0409325121000004</v>
      </c>
      <c r="E1144" s="3">
        <v>2</v>
      </c>
      <c r="F1144" s="2">
        <v>2</v>
      </c>
      <c r="G1144" s="4">
        <v>3</v>
      </c>
      <c r="H1144" s="13"/>
      <c r="I1144" s="15"/>
      <c r="J1144" s="19">
        <v>2</v>
      </c>
      <c r="K1144" s="2" t="s">
        <v>2299</v>
      </c>
      <c r="L1144" s="11" t="str">
        <f t="shared" si="18"/>
        <v>Ver Imagen</v>
      </c>
      <c r="M1144" t="s">
        <v>15</v>
      </c>
    </row>
    <row r="1145" spans="1:13" x14ac:dyDescent="0.25">
      <c r="A1145">
        <v>1144</v>
      </c>
      <c r="B1145" t="s">
        <v>2300</v>
      </c>
      <c r="C1145" s="1">
        <v>37.286203664600002</v>
      </c>
      <c r="D1145" s="1">
        <v>-7.0415488367699997</v>
      </c>
      <c r="E1145" s="3">
        <v>1</v>
      </c>
      <c r="F1145" s="2">
        <v>2</v>
      </c>
      <c r="G1145" s="4">
        <v>2</v>
      </c>
      <c r="H1145" s="13"/>
      <c r="I1145" s="15"/>
      <c r="J1145" s="19">
        <v>2</v>
      </c>
      <c r="K1145" s="2" t="s">
        <v>2301</v>
      </c>
      <c r="L1145" s="11" t="str">
        <f t="shared" si="18"/>
        <v>Ver Imagen</v>
      </c>
      <c r="M1145" t="s">
        <v>15</v>
      </c>
    </row>
    <row r="1146" spans="1:13" x14ac:dyDescent="0.25">
      <c r="A1146">
        <v>1145</v>
      </c>
      <c r="B1146" t="s">
        <v>2302</v>
      </c>
      <c r="C1146" s="1">
        <v>37.288549172400003</v>
      </c>
      <c r="D1146" s="1">
        <v>-7.0428684488900002</v>
      </c>
      <c r="E1146" s="3">
        <v>2</v>
      </c>
      <c r="F1146" s="2">
        <v>2</v>
      </c>
      <c r="G1146" s="4">
        <v>3</v>
      </c>
      <c r="H1146" s="13"/>
      <c r="I1146" s="15"/>
      <c r="J1146" s="19">
        <v>2</v>
      </c>
      <c r="K1146" s="2" t="s">
        <v>2303</v>
      </c>
      <c r="L1146" s="11" t="str">
        <f t="shared" si="18"/>
        <v>Ver Imagen</v>
      </c>
      <c r="M1146" t="s">
        <v>15</v>
      </c>
    </row>
    <row r="1147" spans="1:13" x14ac:dyDescent="0.25">
      <c r="A1147">
        <v>1146</v>
      </c>
      <c r="B1147" t="s">
        <v>2304</v>
      </c>
      <c r="C1147" s="1">
        <v>37.288709133799998</v>
      </c>
      <c r="D1147" s="1">
        <v>-7.0430480450999999</v>
      </c>
      <c r="E1147" s="3">
        <v>2</v>
      </c>
      <c r="F1147" s="2">
        <v>2</v>
      </c>
      <c r="G1147" s="4">
        <v>3</v>
      </c>
      <c r="H1147" s="13"/>
      <c r="I1147" s="15"/>
      <c r="J1147" s="19">
        <v>2</v>
      </c>
      <c r="K1147" s="2" t="s">
        <v>2305</v>
      </c>
      <c r="L1147" s="11" t="str">
        <f t="shared" si="18"/>
        <v>Ver Imagen</v>
      </c>
      <c r="M1147" t="s">
        <v>15</v>
      </c>
    </row>
    <row r="1148" spans="1:13" x14ac:dyDescent="0.25">
      <c r="A1148">
        <v>1147</v>
      </c>
      <c r="B1148" t="s">
        <v>2306</v>
      </c>
      <c r="C1148" s="1">
        <v>37.2890938695</v>
      </c>
      <c r="D1148" s="1">
        <v>-7.0435902952599996</v>
      </c>
      <c r="E1148" s="3">
        <v>2</v>
      </c>
      <c r="F1148" s="2">
        <v>2</v>
      </c>
      <c r="G1148" s="4">
        <v>3</v>
      </c>
      <c r="H1148" s="13"/>
      <c r="I1148" s="15"/>
      <c r="J1148" s="19">
        <v>2</v>
      </c>
      <c r="K1148" s="2" t="s">
        <v>2307</v>
      </c>
      <c r="L1148" s="11" t="str">
        <f t="shared" si="18"/>
        <v>Ver Imagen</v>
      </c>
      <c r="M1148" t="s">
        <v>15</v>
      </c>
    </row>
    <row r="1149" spans="1:13" x14ac:dyDescent="0.25">
      <c r="A1149">
        <v>1148</v>
      </c>
      <c r="B1149" t="s">
        <v>2308</v>
      </c>
      <c r="C1149" s="1">
        <v>37.293118771499998</v>
      </c>
      <c r="D1149" s="1">
        <v>-7.0461558413200001</v>
      </c>
      <c r="E1149" s="3">
        <v>1</v>
      </c>
      <c r="F1149" s="2">
        <v>2</v>
      </c>
      <c r="G1149" s="4">
        <v>2</v>
      </c>
      <c r="H1149" s="13"/>
      <c r="I1149" s="15"/>
      <c r="J1149" s="19">
        <v>2</v>
      </c>
      <c r="K1149" s="2" t="s">
        <v>2309</v>
      </c>
      <c r="L1149" s="11" t="str">
        <f t="shared" si="18"/>
        <v>Ver Imagen</v>
      </c>
      <c r="M1149" t="s">
        <v>15</v>
      </c>
    </row>
    <row r="1150" spans="1:13" x14ac:dyDescent="0.25">
      <c r="A1150">
        <v>1149</v>
      </c>
      <c r="B1150" t="s">
        <v>2310</v>
      </c>
      <c r="C1150" s="1">
        <v>37.2947865139</v>
      </c>
      <c r="D1150" s="1">
        <v>-7.0483469907799998</v>
      </c>
      <c r="E1150" s="3">
        <v>2</v>
      </c>
      <c r="F1150" s="2">
        <v>1</v>
      </c>
      <c r="G1150" s="4">
        <v>2</v>
      </c>
      <c r="H1150" s="13"/>
      <c r="I1150" s="15"/>
      <c r="J1150" s="19">
        <v>2</v>
      </c>
      <c r="K1150" s="2" t="s">
        <v>2311</v>
      </c>
      <c r="L1150" s="11" t="str">
        <f t="shared" si="18"/>
        <v>Ver Imagen</v>
      </c>
      <c r="M1150" t="s">
        <v>15</v>
      </c>
    </row>
    <row r="1151" spans="1:13" x14ac:dyDescent="0.25">
      <c r="A1151">
        <v>1150</v>
      </c>
      <c r="B1151" t="s">
        <v>2312</v>
      </c>
      <c r="C1151" s="1">
        <v>37.294927171099999</v>
      </c>
      <c r="D1151" s="1">
        <v>-7.0485303792499998</v>
      </c>
      <c r="E1151" s="3">
        <v>1</v>
      </c>
      <c r="F1151" s="2">
        <v>2</v>
      </c>
      <c r="G1151" s="4">
        <v>2</v>
      </c>
      <c r="H1151" s="13"/>
      <c r="I1151" s="15"/>
      <c r="J1151" s="19">
        <v>2</v>
      </c>
      <c r="K1151" s="2" t="s">
        <v>2313</v>
      </c>
      <c r="L1151" s="11" t="str">
        <f t="shared" si="18"/>
        <v>Ver Imagen</v>
      </c>
      <c r="M1151" t="s">
        <v>15</v>
      </c>
    </row>
    <row r="1152" spans="1:13" x14ac:dyDescent="0.25">
      <c r="A1152">
        <v>1151</v>
      </c>
      <c r="B1152" t="s">
        <v>2314</v>
      </c>
      <c r="C1152" s="1">
        <v>37.295969532299999</v>
      </c>
      <c r="D1152" s="1">
        <v>-7.0497287475599997</v>
      </c>
      <c r="E1152" s="3">
        <v>2</v>
      </c>
      <c r="F1152" s="2">
        <v>2</v>
      </c>
      <c r="G1152" s="4">
        <v>3</v>
      </c>
      <c r="H1152" s="13"/>
      <c r="I1152" s="15"/>
      <c r="J1152" s="19">
        <v>2</v>
      </c>
      <c r="K1152" s="2" t="s">
        <v>2315</v>
      </c>
      <c r="L1152" s="11" t="str">
        <f t="shared" si="18"/>
        <v>Ver Imagen</v>
      </c>
      <c r="M1152" t="s">
        <v>15</v>
      </c>
    </row>
    <row r="1153" spans="1:13" x14ac:dyDescent="0.25">
      <c r="A1153">
        <v>1152</v>
      </c>
      <c r="B1153" t="s">
        <v>2316</v>
      </c>
      <c r="C1153" s="1">
        <v>37.296123031100002</v>
      </c>
      <c r="D1153" s="1">
        <v>-7.0499002609900003</v>
      </c>
      <c r="E1153" s="3">
        <v>2</v>
      </c>
      <c r="F1153" s="2">
        <v>2</v>
      </c>
      <c r="G1153" s="4">
        <v>3</v>
      </c>
      <c r="H1153" s="13"/>
      <c r="I1153" s="15"/>
      <c r="J1153" s="19">
        <v>2</v>
      </c>
      <c r="K1153" s="2" t="s">
        <v>2317</v>
      </c>
      <c r="L1153" s="11" t="str">
        <f t="shared" si="18"/>
        <v>Ver Imagen</v>
      </c>
      <c r="M1153" t="s">
        <v>15</v>
      </c>
    </row>
    <row r="1154" spans="1:13" x14ac:dyDescent="0.25">
      <c r="A1154">
        <v>1153</v>
      </c>
      <c r="B1154" t="s">
        <v>2318</v>
      </c>
      <c r="C1154" s="1">
        <v>37.296789109700001</v>
      </c>
      <c r="D1154" s="1">
        <v>-7.0508515733900001</v>
      </c>
      <c r="E1154" s="3">
        <v>2</v>
      </c>
      <c r="F1154" s="2">
        <v>2</v>
      </c>
      <c r="G1154" s="4">
        <v>3</v>
      </c>
      <c r="H1154" s="13"/>
      <c r="I1154" s="15"/>
      <c r="J1154" s="19">
        <v>2</v>
      </c>
      <c r="K1154" s="2" t="s">
        <v>2319</v>
      </c>
      <c r="L1154" s="11" t="str">
        <f t="shared" si="18"/>
        <v>Ver Imagen</v>
      </c>
      <c r="M1154" t="s">
        <v>15</v>
      </c>
    </row>
    <row r="1155" spans="1:13" x14ac:dyDescent="0.25">
      <c r="A1155">
        <v>1154</v>
      </c>
      <c r="B1155" t="s">
        <v>2320</v>
      </c>
      <c r="C1155" s="1">
        <v>37.2970761407</v>
      </c>
      <c r="D1155" s="1">
        <v>-7.0515065576299998</v>
      </c>
      <c r="E1155" s="3">
        <v>1</v>
      </c>
      <c r="F1155" s="2">
        <v>2</v>
      </c>
      <c r="G1155" s="4">
        <v>2</v>
      </c>
      <c r="H1155" s="13"/>
      <c r="I1155" s="15"/>
      <c r="J1155" s="19">
        <v>2</v>
      </c>
      <c r="K1155" s="2" t="s">
        <v>2321</v>
      </c>
      <c r="L1155" s="11" t="str">
        <f t="shared" ref="L1155:L1218" si="19">HYPERLINK("2\1\" &amp; K1155, "Ver Imagen")</f>
        <v>Ver Imagen</v>
      </c>
      <c r="M1155" t="s">
        <v>15</v>
      </c>
    </row>
    <row r="1156" spans="1:13" x14ac:dyDescent="0.25">
      <c r="A1156">
        <v>1155</v>
      </c>
      <c r="B1156" t="s">
        <v>2322</v>
      </c>
      <c r="C1156" s="1">
        <v>37.297321445500003</v>
      </c>
      <c r="D1156" s="1">
        <v>-7.0522611828199997</v>
      </c>
      <c r="E1156" s="3">
        <v>1</v>
      </c>
      <c r="F1156" s="2">
        <v>2</v>
      </c>
      <c r="G1156" s="4">
        <v>2</v>
      </c>
      <c r="H1156" s="13"/>
      <c r="I1156" s="15"/>
      <c r="J1156" s="19">
        <v>2</v>
      </c>
      <c r="K1156" s="2" t="s">
        <v>2323</v>
      </c>
      <c r="L1156" s="11" t="str">
        <f t="shared" si="19"/>
        <v>Ver Imagen</v>
      </c>
      <c r="M1156" t="s">
        <v>15</v>
      </c>
    </row>
    <row r="1157" spans="1:13" x14ac:dyDescent="0.25">
      <c r="A1157">
        <v>1156</v>
      </c>
      <c r="B1157" t="s">
        <v>2324</v>
      </c>
      <c r="C1157" s="1">
        <v>37.297695981499999</v>
      </c>
      <c r="D1157" s="1">
        <v>-7.0531442578999997</v>
      </c>
      <c r="E1157" s="3">
        <v>2</v>
      </c>
      <c r="F1157" s="2">
        <v>1</v>
      </c>
      <c r="G1157" s="4">
        <v>2</v>
      </c>
      <c r="H1157" s="13"/>
      <c r="I1157" s="15"/>
      <c r="J1157" s="19">
        <v>2</v>
      </c>
      <c r="K1157" s="2" t="s">
        <v>2325</v>
      </c>
      <c r="L1157" s="11" t="str">
        <f t="shared" si="19"/>
        <v>Ver Imagen</v>
      </c>
      <c r="M1157" t="s">
        <v>15</v>
      </c>
    </row>
    <row r="1158" spans="1:13" x14ac:dyDescent="0.25">
      <c r="A1158">
        <v>1157</v>
      </c>
      <c r="B1158" t="s">
        <v>2326</v>
      </c>
      <c r="C1158" s="1">
        <v>37.297810917900001</v>
      </c>
      <c r="D1158" s="1">
        <v>-7.05332230439</v>
      </c>
      <c r="E1158" s="3">
        <v>1</v>
      </c>
      <c r="F1158" s="2">
        <v>2</v>
      </c>
      <c r="G1158" s="4">
        <v>2</v>
      </c>
      <c r="H1158" s="13"/>
      <c r="I1158" s="15"/>
      <c r="J1158" s="19">
        <v>2</v>
      </c>
      <c r="K1158" s="2" t="s">
        <v>2327</v>
      </c>
      <c r="L1158" s="11" t="str">
        <f t="shared" si="19"/>
        <v>Ver Imagen</v>
      </c>
      <c r="M1158" t="s">
        <v>15</v>
      </c>
    </row>
    <row r="1159" spans="1:13" x14ac:dyDescent="0.25">
      <c r="A1159">
        <v>1158</v>
      </c>
      <c r="B1159" t="s">
        <v>2328</v>
      </c>
      <c r="C1159" s="1">
        <v>37.297943585299997</v>
      </c>
      <c r="D1159" s="1">
        <v>-7.0534938663700002</v>
      </c>
      <c r="E1159" s="3">
        <v>2</v>
      </c>
      <c r="F1159" s="2">
        <v>2</v>
      </c>
      <c r="G1159" s="4">
        <v>1</v>
      </c>
      <c r="H1159" s="13"/>
      <c r="I1159" s="15"/>
      <c r="J1159" s="19">
        <v>2</v>
      </c>
      <c r="K1159" s="2" t="s">
        <v>2329</v>
      </c>
      <c r="L1159" s="11" t="str">
        <f t="shared" si="19"/>
        <v>Ver Imagen</v>
      </c>
      <c r="M1159" t="s">
        <v>15</v>
      </c>
    </row>
    <row r="1160" spans="1:13" x14ac:dyDescent="0.25">
      <c r="A1160">
        <v>1159</v>
      </c>
      <c r="B1160" t="s">
        <v>2330</v>
      </c>
      <c r="C1160" s="1">
        <v>37.298796142199997</v>
      </c>
      <c r="D1160" s="1">
        <v>-7.0541693350100001</v>
      </c>
      <c r="E1160" s="3">
        <v>2</v>
      </c>
      <c r="F1160" s="2">
        <v>1</v>
      </c>
      <c r="G1160" s="4">
        <v>2</v>
      </c>
      <c r="H1160" s="13"/>
      <c r="I1160" s="15"/>
      <c r="J1160" s="19">
        <v>2</v>
      </c>
      <c r="K1160" s="2" t="s">
        <v>2331</v>
      </c>
      <c r="L1160" s="11" t="str">
        <f t="shared" si="19"/>
        <v>Ver Imagen</v>
      </c>
      <c r="M1160" t="s">
        <v>15</v>
      </c>
    </row>
    <row r="1161" spans="1:13" x14ac:dyDescent="0.25">
      <c r="A1161">
        <v>1160</v>
      </c>
      <c r="B1161" t="s">
        <v>2332</v>
      </c>
      <c r="C1161" s="1">
        <v>37.299833062499999</v>
      </c>
      <c r="D1161" s="1">
        <v>-7.0550272208000004</v>
      </c>
      <c r="E1161" s="3">
        <v>2</v>
      </c>
      <c r="F1161" s="2">
        <v>1</v>
      </c>
      <c r="G1161" s="4">
        <v>2</v>
      </c>
      <c r="H1161" s="13"/>
      <c r="I1161" s="15"/>
      <c r="J1161" s="19">
        <v>2</v>
      </c>
      <c r="K1161" s="2" t="s">
        <v>2333</v>
      </c>
      <c r="L1161" s="11" t="str">
        <f t="shared" si="19"/>
        <v>Ver Imagen</v>
      </c>
      <c r="M1161" t="s">
        <v>15</v>
      </c>
    </row>
    <row r="1162" spans="1:13" x14ac:dyDescent="0.25">
      <c r="A1162">
        <v>1161</v>
      </c>
      <c r="B1162" t="s">
        <v>2334</v>
      </c>
      <c r="C1162" s="1">
        <v>37.299958479899999</v>
      </c>
      <c r="D1162" s="1">
        <v>-7.0551797569400003</v>
      </c>
      <c r="E1162" s="3">
        <v>2</v>
      </c>
      <c r="F1162" s="2">
        <v>3</v>
      </c>
      <c r="G1162" s="4">
        <v>2</v>
      </c>
      <c r="H1162" s="13"/>
      <c r="I1162" s="15"/>
      <c r="J1162" s="19">
        <v>2</v>
      </c>
      <c r="K1162" s="2" t="s">
        <v>2335</v>
      </c>
      <c r="L1162" s="11" t="str">
        <f t="shared" si="19"/>
        <v>Ver Imagen</v>
      </c>
      <c r="M1162" t="s">
        <v>15</v>
      </c>
    </row>
    <row r="1163" spans="1:13" x14ac:dyDescent="0.25">
      <c r="A1163">
        <v>1162</v>
      </c>
      <c r="B1163" t="s">
        <v>2336</v>
      </c>
      <c r="C1163" s="1">
        <v>37.300235508999997</v>
      </c>
      <c r="D1163" s="1">
        <v>-7.0555149883499997</v>
      </c>
      <c r="E1163" s="3">
        <v>2</v>
      </c>
      <c r="F1163" s="2">
        <v>1</v>
      </c>
      <c r="G1163" s="4">
        <v>2</v>
      </c>
      <c r="H1163" s="13"/>
      <c r="I1163" s="15"/>
      <c r="J1163" s="19">
        <v>2</v>
      </c>
      <c r="K1163" s="2" t="s">
        <v>2337</v>
      </c>
      <c r="L1163" s="11" t="str">
        <f t="shared" si="19"/>
        <v>Ver Imagen</v>
      </c>
      <c r="M1163" t="s">
        <v>15</v>
      </c>
    </row>
    <row r="1164" spans="1:13" x14ac:dyDescent="0.25">
      <c r="A1164">
        <v>1163</v>
      </c>
      <c r="B1164" t="s">
        <v>2338</v>
      </c>
      <c r="C1164" s="1">
        <v>37.301478583399998</v>
      </c>
      <c r="D1164" s="1">
        <v>-7.0563483691800002</v>
      </c>
      <c r="E1164" s="3">
        <v>2</v>
      </c>
      <c r="F1164" s="2">
        <v>2</v>
      </c>
      <c r="G1164" s="4">
        <v>3</v>
      </c>
      <c r="H1164" s="13"/>
      <c r="I1164" s="15"/>
      <c r="J1164" s="19">
        <v>2</v>
      </c>
      <c r="K1164" s="2" t="s">
        <v>2339</v>
      </c>
      <c r="L1164" s="11" t="str">
        <f t="shared" si="19"/>
        <v>Ver Imagen</v>
      </c>
      <c r="M1164" t="s">
        <v>15</v>
      </c>
    </row>
    <row r="1165" spans="1:13" x14ac:dyDescent="0.25">
      <c r="A1165">
        <v>1164</v>
      </c>
      <c r="B1165" t="s">
        <v>2340</v>
      </c>
      <c r="C1165" s="1">
        <v>37.301714535400002</v>
      </c>
      <c r="D1165" s="1">
        <v>-7.0564099922999999</v>
      </c>
      <c r="E1165" s="3">
        <v>2</v>
      </c>
      <c r="F1165" s="2">
        <v>1</v>
      </c>
      <c r="G1165" s="4">
        <v>2</v>
      </c>
      <c r="H1165" s="13"/>
      <c r="I1165" s="15"/>
      <c r="J1165" s="19">
        <v>2</v>
      </c>
      <c r="K1165" s="2" t="s">
        <v>2341</v>
      </c>
      <c r="L1165" s="11" t="str">
        <f t="shared" si="19"/>
        <v>Ver Imagen</v>
      </c>
      <c r="M1165" t="s">
        <v>15</v>
      </c>
    </row>
    <row r="1166" spans="1:13" x14ac:dyDescent="0.25">
      <c r="A1166">
        <v>1165</v>
      </c>
      <c r="B1166" t="s">
        <v>2342</v>
      </c>
      <c r="C1166" s="1">
        <v>37.301889321700003</v>
      </c>
      <c r="D1166" s="1">
        <v>-7.0564460033299996</v>
      </c>
      <c r="E1166" s="3">
        <v>1</v>
      </c>
      <c r="F1166" s="2">
        <v>2</v>
      </c>
      <c r="G1166" s="4">
        <v>2</v>
      </c>
      <c r="H1166" s="13"/>
      <c r="I1166" s="15"/>
      <c r="J1166" s="19">
        <v>2</v>
      </c>
      <c r="K1166" s="2" t="s">
        <v>2343</v>
      </c>
      <c r="L1166" s="11" t="str">
        <f t="shared" si="19"/>
        <v>Ver Imagen</v>
      </c>
      <c r="M1166" t="s">
        <v>15</v>
      </c>
    </row>
    <row r="1167" spans="1:13" x14ac:dyDescent="0.25">
      <c r="A1167">
        <v>1166</v>
      </c>
      <c r="B1167" t="s">
        <v>2344</v>
      </c>
      <c r="C1167" s="1">
        <v>37.302289322599997</v>
      </c>
      <c r="D1167" s="1">
        <v>-7.0565177383500002</v>
      </c>
      <c r="E1167" s="3">
        <v>2</v>
      </c>
      <c r="F1167" s="2">
        <v>1</v>
      </c>
      <c r="G1167" s="4">
        <v>2</v>
      </c>
      <c r="H1167" s="13"/>
      <c r="I1167" s="15"/>
      <c r="J1167" s="19">
        <v>2</v>
      </c>
      <c r="K1167" s="2" t="s">
        <v>2345</v>
      </c>
      <c r="L1167" s="11" t="str">
        <f t="shared" si="19"/>
        <v>Ver Imagen</v>
      </c>
      <c r="M1167" t="s">
        <v>15</v>
      </c>
    </row>
    <row r="1168" spans="1:13" x14ac:dyDescent="0.25">
      <c r="A1168">
        <v>1167</v>
      </c>
      <c r="B1168" t="s">
        <v>2346</v>
      </c>
      <c r="C1168" s="1">
        <v>37.3024745321</v>
      </c>
      <c r="D1168" s="1">
        <v>-7.0565495454300002</v>
      </c>
      <c r="E1168" s="3">
        <v>2</v>
      </c>
      <c r="F1168" s="2">
        <v>1</v>
      </c>
      <c r="G1168" s="4">
        <v>2</v>
      </c>
      <c r="H1168" s="13"/>
      <c r="I1168" s="15"/>
      <c r="J1168" s="19">
        <v>2</v>
      </c>
      <c r="K1168" s="2" t="s">
        <v>2347</v>
      </c>
      <c r="L1168" s="11" t="str">
        <f t="shared" si="19"/>
        <v>Ver Imagen</v>
      </c>
      <c r="M1168" t="s">
        <v>15</v>
      </c>
    </row>
    <row r="1169" spans="1:13" x14ac:dyDescent="0.25">
      <c r="A1169">
        <v>1168</v>
      </c>
      <c r="B1169" t="s">
        <v>2348</v>
      </c>
      <c r="C1169" s="1">
        <v>37.303056155</v>
      </c>
      <c r="D1169" s="1">
        <v>-7.0566487597799998</v>
      </c>
      <c r="E1169" s="3">
        <v>1</v>
      </c>
      <c r="F1169" s="2">
        <v>2</v>
      </c>
      <c r="G1169" s="4">
        <v>2</v>
      </c>
      <c r="H1169" s="13"/>
      <c r="I1169" s="15"/>
      <c r="J1169" s="19">
        <v>2</v>
      </c>
      <c r="K1169" s="2" t="s">
        <v>2349</v>
      </c>
      <c r="L1169" s="11" t="str">
        <f t="shared" si="19"/>
        <v>Ver Imagen</v>
      </c>
      <c r="M1169" t="s">
        <v>15</v>
      </c>
    </row>
    <row r="1170" spans="1:13" x14ac:dyDescent="0.25">
      <c r="A1170">
        <v>1169</v>
      </c>
      <c r="B1170" t="s">
        <v>2350</v>
      </c>
      <c r="C1170" s="1">
        <v>37.303269528800001</v>
      </c>
      <c r="D1170" s="1">
        <v>-7.0566833974499996</v>
      </c>
      <c r="E1170" s="3">
        <v>1</v>
      </c>
      <c r="F1170" s="2">
        <v>2</v>
      </c>
      <c r="G1170" s="4">
        <v>2</v>
      </c>
      <c r="H1170" s="13"/>
      <c r="I1170" s="15"/>
      <c r="J1170" s="19">
        <v>2</v>
      </c>
      <c r="K1170" s="2" t="s">
        <v>2351</v>
      </c>
      <c r="L1170" s="11" t="str">
        <f t="shared" si="19"/>
        <v>Ver Imagen</v>
      </c>
      <c r="M1170" t="s">
        <v>15</v>
      </c>
    </row>
    <row r="1171" spans="1:13" x14ac:dyDescent="0.25">
      <c r="A1171">
        <v>1170</v>
      </c>
      <c r="B1171" t="s">
        <v>2352</v>
      </c>
      <c r="C1171" s="1">
        <v>37.3036396567</v>
      </c>
      <c r="D1171" s="1">
        <v>-7.0567321177700002</v>
      </c>
      <c r="E1171" s="3">
        <v>1</v>
      </c>
      <c r="F1171" s="2">
        <v>2</v>
      </c>
      <c r="G1171" s="4">
        <v>2</v>
      </c>
      <c r="H1171" s="13"/>
      <c r="I1171" s="15"/>
      <c r="J1171" s="19">
        <v>2</v>
      </c>
      <c r="K1171" s="2" t="s">
        <v>2353</v>
      </c>
      <c r="L1171" s="11" t="str">
        <f t="shared" si="19"/>
        <v>Ver Imagen</v>
      </c>
      <c r="M1171" t="s">
        <v>15</v>
      </c>
    </row>
    <row r="1172" spans="1:13" x14ac:dyDescent="0.25">
      <c r="A1172">
        <v>1171</v>
      </c>
      <c r="B1172" t="s">
        <v>2354</v>
      </c>
      <c r="C1172" s="1">
        <v>37.303869533300002</v>
      </c>
      <c r="D1172" s="1">
        <v>-7.0567482369999999</v>
      </c>
      <c r="E1172" s="3">
        <v>1</v>
      </c>
      <c r="F1172" s="2">
        <v>2</v>
      </c>
      <c r="G1172" s="4">
        <v>2</v>
      </c>
      <c r="H1172" s="13"/>
      <c r="I1172" s="15"/>
      <c r="J1172" s="19">
        <v>2</v>
      </c>
      <c r="K1172" s="2" t="s">
        <v>2355</v>
      </c>
      <c r="L1172" s="11" t="str">
        <f t="shared" si="19"/>
        <v>Ver Imagen</v>
      </c>
      <c r="M1172" t="s">
        <v>15</v>
      </c>
    </row>
    <row r="1173" spans="1:13" x14ac:dyDescent="0.25">
      <c r="A1173">
        <v>1172</v>
      </c>
      <c r="B1173" t="s">
        <v>2356</v>
      </c>
      <c r="C1173" s="1">
        <v>37.304090412599997</v>
      </c>
      <c r="D1173" s="1">
        <v>-7.0567548393499999</v>
      </c>
      <c r="E1173" s="3">
        <v>1</v>
      </c>
      <c r="F1173" s="2">
        <v>2</v>
      </c>
      <c r="G1173" s="4">
        <v>2</v>
      </c>
      <c r="H1173" s="13"/>
      <c r="I1173" s="15"/>
      <c r="J1173" s="19">
        <v>2</v>
      </c>
      <c r="K1173" s="2" t="s">
        <v>2357</v>
      </c>
      <c r="L1173" s="11" t="str">
        <f t="shared" si="19"/>
        <v>Ver Imagen</v>
      </c>
      <c r="M1173" t="s">
        <v>15</v>
      </c>
    </row>
    <row r="1174" spans="1:13" x14ac:dyDescent="0.25">
      <c r="A1174">
        <v>1173</v>
      </c>
      <c r="B1174" t="s">
        <v>2358</v>
      </c>
      <c r="C1174" s="1">
        <v>37.3042739423</v>
      </c>
      <c r="D1174" s="1">
        <v>-7.0567556955599997</v>
      </c>
      <c r="E1174" s="3">
        <v>1</v>
      </c>
      <c r="F1174" s="2">
        <v>2</v>
      </c>
      <c r="G1174" s="4">
        <v>2</v>
      </c>
      <c r="H1174" s="13"/>
      <c r="I1174" s="15"/>
      <c r="J1174" s="19">
        <v>2</v>
      </c>
      <c r="K1174" s="2" t="s">
        <v>2359</v>
      </c>
      <c r="L1174" s="11" t="str">
        <f t="shared" si="19"/>
        <v>Ver Imagen</v>
      </c>
      <c r="M1174" t="s">
        <v>15</v>
      </c>
    </row>
    <row r="1175" spans="1:13" x14ac:dyDescent="0.25">
      <c r="A1175">
        <v>1174</v>
      </c>
      <c r="B1175" t="s">
        <v>2360</v>
      </c>
      <c r="C1175" s="1">
        <v>37.304480249500003</v>
      </c>
      <c r="D1175" s="1">
        <v>-7.0567525983800001</v>
      </c>
      <c r="E1175" s="3">
        <v>1</v>
      </c>
      <c r="F1175" s="2">
        <v>2</v>
      </c>
      <c r="G1175" s="4">
        <v>2</v>
      </c>
      <c r="H1175" s="13"/>
      <c r="I1175" s="15"/>
      <c r="J1175" s="19">
        <v>2</v>
      </c>
      <c r="K1175" s="2" t="s">
        <v>2361</v>
      </c>
      <c r="L1175" s="11" t="str">
        <f t="shared" si="19"/>
        <v>Ver Imagen</v>
      </c>
      <c r="M1175" t="s">
        <v>15</v>
      </c>
    </row>
    <row r="1176" spans="1:13" x14ac:dyDescent="0.25">
      <c r="A1176">
        <v>1175</v>
      </c>
      <c r="B1176" t="s">
        <v>2362</v>
      </c>
      <c r="C1176" s="1">
        <v>37.304689431500002</v>
      </c>
      <c r="D1176" s="1">
        <v>-7.0567464438199998</v>
      </c>
      <c r="E1176" s="3">
        <v>1</v>
      </c>
      <c r="F1176" s="2">
        <v>2</v>
      </c>
      <c r="G1176" s="4">
        <v>2</v>
      </c>
      <c r="H1176" s="13"/>
      <c r="I1176" s="15"/>
      <c r="J1176" s="19">
        <v>2</v>
      </c>
      <c r="K1176" s="2" t="s">
        <v>2363</v>
      </c>
      <c r="L1176" s="11" t="str">
        <f t="shared" si="19"/>
        <v>Ver Imagen</v>
      </c>
      <c r="M1176" t="s">
        <v>15</v>
      </c>
    </row>
    <row r="1177" spans="1:13" x14ac:dyDescent="0.25">
      <c r="A1177">
        <v>1176</v>
      </c>
      <c r="B1177" t="s">
        <v>2364</v>
      </c>
      <c r="C1177" s="1">
        <v>37.305287680200003</v>
      </c>
      <c r="D1177" s="1">
        <v>-7.0567342897099996</v>
      </c>
      <c r="E1177" s="3">
        <v>1</v>
      </c>
      <c r="F1177" s="2">
        <v>2</v>
      </c>
      <c r="G1177" s="4">
        <v>2</v>
      </c>
      <c r="H1177" s="13"/>
      <c r="I1177" s="15"/>
      <c r="J1177" s="19">
        <v>2</v>
      </c>
      <c r="K1177" s="2" t="s">
        <v>2365</v>
      </c>
      <c r="L1177" s="11" t="str">
        <f t="shared" si="19"/>
        <v>Ver Imagen</v>
      </c>
      <c r="M1177" t="s">
        <v>15</v>
      </c>
    </row>
    <row r="1178" spans="1:13" x14ac:dyDescent="0.25">
      <c r="A1178">
        <v>1177</v>
      </c>
      <c r="B1178" t="s">
        <v>2366</v>
      </c>
      <c r="C1178" s="1">
        <v>37.308706376000004</v>
      </c>
      <c r="D1178" s="1">
        <v>-7.0573669673200001</v>
      </c>
      <c r="E1178" s="3">
        <v>2</v>
      </c>
      <c r="F1178" s="2">
        <v>2</v>
      </c>
      <c r="G1178" s="4">
        <v>3</v>
      </c>
      <c r="H1178" s="13"/>
      <c r="I1178" s="15"/>
      <c r="J1178" s="19">
        <v>2</v>
      </c>
      <c r="K1178" s="2" t="s">
        <v>2367</v>
      </c>
      <c r="L1178" s="11" t="str">
        <f t="shared" si="19"/>
        <v>Ver Imagen</v>
      </c>
      <c r="M1178" t="s">
        <v>15</v>
      </c>
    </row>
    <row r="1179" spans="1:13" x14ac:dyDescent="0.25">
      <c r="A1179">
        <v>1178</v>
      </c>
      <c r="B1179" t="s">
        <v>2368</v>
      </c>
      <c r="C1179" s="1">
        <v>37.309228566900003</v>
      </c>
      <c r="D1179" s="1">
        <v>-7.0576521312900002</v>
      </c>
      <c r="E1179" s="3">
        <v>2</v>
      </c>
      <c r="F1179" s="2">
        <v>2</v>
      </c>
      <c r="G1179" s="4">
        <v>3</v>
      </c>
      <c r="H1179" s="13"/>
      <c r="I1179" s="15"/>
      <c r="J1179" s="19">
        <v>2</v>
      </c>
      <c r="K1179" s="2" t="s">
        <v>2369</v>
      </c>
      <c r="L1179" s="11" t="str">
        <f t="shared" si="19"/>
        <v>Ver Imagen</v>
      </c>
      <c r="M1179" t="s">
        <v>15</v>
      </c>
    </row>
    <row r="1180" spans="1:13" x14ac:dyDescent="0.25">
      <c r="A1180">
        <v>1179</v>
      </c>
      <c r="B1180" t="s">
        <v>2370</v>
      </c>
      <c r="C1180" s="1">
        <v>37.309423146699999</v>
      </c>
      <c r="D1180" s="1">
        <v>-7.0577831031800002</v>
      </c>
      <c r="E1180" s="3">
        <v>2</v>
      </c>
      <c r="F1180" s="2">
        <v>1</v>
      </c>
      <c r="G1180" s="4">
        <v>2</v>
      </c>
      <c r="H1180" s="13"/>
      <c r="I1180" s="15"/>
      <c r="J1180" s="19">
        <v>2</v>
      </c>
      <c r="K1180" s="2" t="s">
        <v>2371</v>
      </c>
      <c r="L1180" s="11" t="str">
        <f t="shared" si="19"/>
        <v>Ver Imagen</v>
      </c>
      <c r="M1180" t="s">
        <v>15</v>
      </c>
    </row>
    <row r="1181" spans="1:13" x14ac:dyDescent="0.25">
      <c r="A1181">
        <v>1180</v>
      </c>
      <c r="B1181" t="s">
        <v>2372</v>
      </c>
      <c r="C1181" s="1">
        <v>37.3095860978</v>
      </c>
      <c r="D1181" s="1">
        <v>-7.05790429325</v>
      </c>
      <c r="E1181" s="3">
        <v>2</v>
      </c>
      <c r="F1181" s="2">
        <v>1</v>
      </c>
      <c r="G1181" s="4">
        <v>2</v>
      </c>
      <c r="H1181" s="13"/>
      <c r="I1181" s="15"/>
      <c r="J1181" s="19">
        <v>2</v>
      </c>
      <c r="K1181" s="2" t="s">
        <v>2373</v>
      </c>
      <c r="L1181" s="11" t="str">
        <f t="shared" si="19"/>
        <v>Ver Imagen</v>
      </c>
      <c r="M1181" t="s">
        <v>15</v>
      </c>
    </row>
    <row r="1182" spans="1:13" x14ac:dyDescent="0.25">
      <c r="A1182">
        <v>1181</v>
      </c>
      <c r="B1182" t="s">
        <v>2374</v>
      </c>
      <c r="C1182" s="1">
        <v>37.31028491</v>
      </c>
      <c r="D1182" s="1">
        <v>-7.0584747879899998</v>
      </c>
      <c r="E1182" s="3">
        <v>1</v>
      </c>
      <c r="F1182" s="2">
        <v>2</v>
      </c>
      <c r="G1182" s="4">
        <v>2</v>
      </c>
      <c r="H1182" s="13"/>
      <c r="I1182" s="15"/>
      <c r="J1182" s="19">
        <v>2</v>
      </c>
      <c r="K1182" s="2" t="s">
        <v>2375</v>
      </c>
      <c r="L1182" s="11" t="str">
        <f t="shared" si="19"/>
        <v>Ver Imagen</v>
      </c>
      <c r="M1182" t="s">
        <v>15</v>
      </c>
    </row>
    <row r="1183" spans="1:13" x14ac:dyDescent="0.25">
      <c r="A1183">
        <v>1182</v>
      </c>
      <c r="B1183" t="s">
        <v>2376</v>
      </c>
      <c r="C1183" s="1">
        <v>37.310631827100003</v>
      </c>
      <c r="D1183" s="1">
        <v>-7.0587723122300003</v>
      </c>
      <c r="E1183" s="3">
        <v>1</v>
      </c>
      <c r="F1183" s="2">
        <v>2</v>
      </c>
      <c r="G1183" s="4">
        <v>2</v>
      </c>
      <c r="H1183" s="13"/>
      <c r="I1183" s="15"/>
      <c r="J1183" s="19">
        <v>2</v>
      </c>
      <c r="K1183" s="2" t="s">
        <v>2377</v>
      </c>
      <c r="L1183" s="11" t="str">
        <f t="shared" si="19"/>
        <v>Ver Imagen</v>
      </c>
      <c r="M1183" t="s">
        <v>15</v>
      </c>
    </row>
    <row r="1184" spans="1:13" x14ac:dyDescent="0.25">
      <c r="A1184">
        <v>1183</v>
      </c>
      <c r="B1184" t="s">
        <v>2378</v>
      </c>
      <c r="C1184" s="1">
        <v>37.310765631400002</v>
      </c>
      <c r="D1184" s="1">
        <v>-7.0588856511299998</v>
      </c>
      <c r="E1184" s="3">
        <v>1</v>
      </c>
      <c r="F1184" s="2">
        <v>2</v>
      </c>
      <c r="G1184" s="4">
        <v>2</v>
      </c>
      <c r="H1184" s="13"/>
      <c r="I1184" s="15"/>
      <c r="J1184" s="19">
        <v>2</v>
      </c>
      <c r="K1184" s="2" t="s">
        <v>2379</v>
      </c>
      <c r="L1184" s="11" t="str">
        <f t="shared" si="19"/>
        <v>Ver Imagen</v>
      </c>
      <c r="M1184" t="s">
        <v>15</v>
      </c>
    </row>
    <row r="1185" spans="1:13" x14ac:dyDescent="0.25">
      <c r="A1185">
        <v>1184</v>
      </c>
      <c r="B1185" t="s">
        <v>2380</v>
      </c>
      <c r="C1185" s="1">
        <v>37.311748242999997</v>
      </c>
      <c r="D1185" s="1">
        <v>-7.0598426846700004</v>
      </c>
      <c r="E1185" s="3">
        <v>2</v>
      </c>
      <c r="F1185" s="2">
        <v>1</v>
      </c>
      <c r="G1185" s="4">
        <v>2</v>
      </c>
      <c r="H1185" s="13"/>
      <c r="I1185" s="15"/>
      <c r="J1185" s="19">
        <v>2</v>
      </c>
      <c r="K1185" s="2" t="s">
        <v>2381</v>
      </c>
      <c r="L1185" s="11" t="str">
        <f t="shared" si="19"/>
        <v>Ver Imagen</v>
      </c>
      <c r="M1185" t="s">
        <v>15</v>
      </c>
    </row>
    <row r="1186" spans="1:13" x14ac:dyDescent="0.25">
      <c r="A1186">
        <v>1185</v>
      </c>
      <c r="B1186" t="s">
        <v>2382</v>
      </c>
      <c r="C1186" s="1">
        <v>37.312018589499999</v>
      </c>
      <c r="D1186" s="1">
        <v>-7.0602148903200002</v>
      </c>
      <c r="E1186" s="3">
        <v>2</v>
      </c>
      <c r="F1186" s="2">
        <v>1</v>
      </c>
      <c r="G1186" s="4">
        <v>2</v>
      </c>
      <c r="H1186" s="13"/>
      <c r="I1186" s="15"/>
      <c r="J1186" s="19">
        <v>2</v>
      </c>
      <c r="K1186" s="2" t="s">
        <v>2383</v>
      </c>
      <c r="L1186" s="11" t="str">
        <f t="shared" si="19"/>
        <v>Ver Imagen</v>
      </c>
      <c r="M1186" t="s">
        <v>15</v>
      </c>
    </row>
    <row r="1187" spans="1:13" x14ac:dyDescent="0.25">
      <c r="A1187">
        <v>1186</v>
      </c>
      <c r="B1187" t="s">
        <v>2384</v>
      </c>
      <c r="C1187" s="1">
        <v>37.312138451000003</v>
      </c>
      <c r="D1187" s="1">
        <v>-7.0603947652899999</v>
      </c>
      <c r="E1187" s="3">
        <v>2</v>
      </c>
      <c r="F1187" s="2">
        <v>1</v>
      </c>
      <c r="G1187" s="4">
        <v>2</v>
      </c>
      <c r="H1187" s="13"/>
      <c r="I1187" s="15"/>
      <c r="J1187" s="19">
        <v>2</v>
      </c>
      <c r="K1187" s="2" t="s">
        <v>2385</v>
      </c>
      <c r="L1187" s="11" t="str">
        <f t="shared" si="19"/>
        <v>Ver Imagen</v>
      </c>
      <c r="M1187" t="s">
        <v>15</v>
      </c>
    </row>
    <row r="1188" spans="1:13" x14ac:dyDescent="0.25">
      <c r="A1188">
        <v>1187</v>
      </c>
      <c r="B1188" t="s">
        <v>2386</v>
      </c>
      <c r="C1188" s="1">
        <v>37.312650336099999</v>
      </c>
      <c r="D1188" s="1">
        <v>-7.0611899348299998</v>
      </c>
      <c r="E1188" s="3">
        <v>1</v>
      </c>
      <c r="F1188" s="2">
        <v>2</v>
      </c>
      <c r="G1188" s="4">
        <v>2</v>
      </c>
      <c r="H1188" s="13"/>
      <c r="I1188" s="15"/>
      <c r="J1188" s="19">
        <v>2</v>
      </c>
      <c r="K1188" s="2" t="s">
        <v>2387</v>
      </c>
      <c r="L1188" s="11" t="str">
        <f t="shared" si="19"/>
        <v>Ver Imagen</v>
      </c>
      <c r="M1188" t="s">
        <v>15</v>
      </c>
    </row>
    <row r="1189" spans="1:13" x14ac:dyDescent="0.25">
      <c r="A1189">
        <v>1188</v>
      </c>
      <c r="B1189" t="s">
        <v>2388</v>
      </c>
      <c r="C1189" s="1">
        <v>37.312774382100002</v>
      </c>
      <c r="D1189" s="1">
        <v>-7.0613853451399997</v>
      </c>
      <c r="E1189" s="3">
        <v>1</v>
      </c>
      <c r="F1189" s="2">
        <v>2</v>
      </c>
      <c r="G1189" s="4">
        <v>2</v>
      </c>
      <c r="H1189" s="13"/>
      <c r="I1189" s="15"/>
      <c r="J1189" s="19">
        <v>2</v>
      </c>
      <c r="K1189" s="2" t="s">
        <v>2389</v>
      </c>
      <c r="L1189" s="11" t="str">
        <f t="shared" si="19"/>
        <v>Ver Imagen</v>
      </c>
      <c r="M1189" t="s">
        <v>15</v>
      </c>
    </row>
    <row r="1190" spans="1:13" x14ac:dyDescent="0.25">
      <c r="A1190">
        <v>1189</v>
      </c>
      <c r="B1190" t="s">
        <v>2390</v>
      </c>
      <c r="C1190" s="1">
        <v>37.313018037900001</v>
      </c>
      <c r="D1190" s="1">
        <v>-7.0617834954700003</v>
      </c>
      <c r="E1190" s="3">
        <v>1</v>
      </c>
      <c r="F1190" s="2">
        <v>2</v>
      </c>
      <c r="G1190" s="4">
        <v>2</v>
      </c>
      <c r="H1190" s="13"/>
      <c r="I1190" s="15"/>
      <c r="J1190" s="19">
        <v>2</v>
      </c>
      <c r="K1190" s="2" t="s">
        <v>2391</v>
      </c>
      <c r="L1190" s="11" t="str">
        <f t="shared" si="19"/>
        <v>Ver Imagen</v>
      </c>
      <c r="M1190" t="s">
        <v>15</v>
      </c>
    </row>
    <row r="1191" spans="1:13" x14ac:dyDescent="0.25">
      <c r="A1191">
        <v>1190</v>
      </c>
      <c r="B1191" t="s">
        <v>2392</v>
      </c>
      <c r="C1191" s="1">
        <v>37.313153424299998</v>
      </c>
      <c r="D1191" s="1">
        <v>-7.0620188450299999</v>
      </c>
      <c r="E1191" s="3">
        <v>1</v>
      </c>
      <c r="F1191" s="2">
        <v>2</v>
      </c>
      <c r="G1191" s="4">
        <v>2</v>
      </c>
      <c r="H1191" s="13"/>
      <c r="I1191" s="15"/>
      <c r="J1191" s="19">
        <v>2</v>
      </c>
      <c r="K1191" s="2" t="s">
        <v>2393</v>
      </c>
      <c r="L1191" s="11" t="str">
        <f t="shared" si="19"/>
        <v>Ver Imagen</v>
      </c>
      <c r="M1191" t="s">
        <v>15</v>
      </c>
    </row>
    <row r="1192" spans="1:13" x14ac:dyDescent="0.25">
      <c r="A1192">
        <v>1191</v>
      </c>
      <c r="B1192" t="s">
        <v>2394</v>
      </c>
      <c r="C1192" s="1">
        <v>37.3132664472</v>
      </c>
      <c r="D1192" s="1">
        <v>-7.0622224260899999</v>
      </c>
      <c r="E1192" s="3">
        <v>2</v>
      </c>
      <c r="F1192" s="2">
        <v>2</v>
      </c>
      <c r="G1192" s="4">
        <v>3</v>
      </c>
      <c r="H1192" s="13"/>
      <c r="I1192" s="15"/>
      <c r="J1192" s="19">
        <v>2</v>
      </c>
      <c r="K1192" s="2" t="s">
        <v>2395</v>
      </c>
      <c r="L1192" s="11" t="str">
        <f t="shared" si="19"/>
        <v>Ver Imagen</v>
      </c>
      <c r="M1192" t="s">
        <v>15</v>
      </c>
    </row>
    <row r="1193" spans="1:13" x14ac:dyDescent="0.25">
      <c r="A1193">
        <v>1192</v>
      </c>
      <c r="B1193" t="s">
        <v>2396</v>
      </c>
      <c r="C1193" s="1">
        <v>37.313382983799997</v>
      </c>
      <c r="D1193" s="1">
        <v>-7.0624368048899999</v>
      </c>
      <c r="E1193" s="3">
        <v>2</v>
      </c>
      <c r="F1193" s="2">
        <v>1</v>
      </c>
      <c r="G1193" s="4">
        <v>2</v>
      </c>
      <c r="H1193" s="13"/>
      <c r="I1193" s="15"/>
      <c r="J1193" s="19">
        <v>2</v>
      </c>
      <c r="K1193" s="2" t="s">
        <v>2397</v>
      </c>
      <c r="L1193" s="11" t="str">
        <f t="shared" si="19"/>
        <v>Ver Imagen</v>
      </c>
      <c r="M1193" t="s">
        <v>15</v>
      </c>
    </row>
    <row r="1194" spans="1:13" x14ac:dyDescent="0.25">
      <c r="A1194">
        <v>1193</v>
      </c>
      <c r="B1194" t="s">
        <v>2398</v>
      </c>
      <c r="C1194" s="1">
        <v>37.314030132900001</v>
      </c>
      <c r="D1194" s="1">
        <v>-7.0636509703400003</v>
      </c>
      <c r="E1194" s="3">
        <v>2</v>
      </c>
      <c r="F1194" s="2">
        <v>1</v>
      </c>
      <c r="G1194" s="4">
        <v>2</v>
      </c>
      <c r="H1194" s="13"/>
      <c r="I1194" s="15"/>
      <c r="J1194" s="19">
        <v>2</v>
      </c>
      <c r="K1194" s="2" t="s">
        <v>2399</v>
      </c>
      <c r="L1194" s="11" t="str">
        <f t="shared" si="19"/>
        <v>Ver Imagen</v>
      </c>
      <c r="M1194" t="s">
        <v>15</v>
      </c>
    </row>
    <row r="1195" spans="1:13" x14ac:dyDescent="0.25">
      <c r="A1195">
        <v>1194</v>
      </c>
      <c r="B1195" t="s">
        <v>2400</v>
      </c>
      <c r="C1195" s="1">
        <v>37.314499835299998</v>
      </c>
      <c r="D1195" s="1">
        <v>-7.0645268651400004</v>
      </c>
      <c r="E1195" s="3">
        <v>1</v>
      </c>
      <c r="F1195" s="2">
        <v>2</v>
      </c>
      <c r="G1195" s="4">
        <v>2</v>
      </c>
      <c r="H1195" s="13"/>
      <c r="I1195" s="15"/>
      <c r="J1195" s="19">
        <v>2</v>
      </c>
      <c r="K1195" s="2" t="s">
        <v>2401</v>
      </c>
      <c r="L1195" s="11" t="str">
        <f t="shared" si="19"/>
        <v>Ver Imagen</v>
      </c>
      <c r="M1195" t="s">
        <v>15</v>
      </c>
    </row>
    <row r="1196" spans="1:13" x14ac:dyDescent="0.25">
      <c r="A1196">
        <v>1195</v>
      </c>
      <c r="B1196" t="s">
        <v>2402</v>
      </c>
      <c r="C1196" s="1">
        <v>37.314720628400003</v>
      </c>
      <c r="D1196" s="1">
        <v>-7.0649363780099996</v>
      </c>
      <c r="E1196" s="3">
        <v>1</v>
      </c>
      <c r="F1196" s="2">
        <v>2</v>
      </c>
      <c r="G1196" s="4">
        <v>2</v>
      </c>
      <c r="H1196" s="13"/>
      <c r="I1196" s="15"/>
      <c r="J1196" s="19">
        <v>2</v>
      </c>
      <c r="K1196" s="2" t="s">
        <v>2403</v>
      </c>
      <c r="L1196" s="11" t="str">
        <f t="shared" si="19"/>
        <v>Ver Imagen</v>
      </c>
      <c r="M1196" t="s">
        <v>15</v>
      </c>
    </row>
    <row r="1197" spans="1:13" x14ac:dyDescent="0.25">
      <c r="A1197">
        <v>1196</v>
      </c>
      <c r="B1197" t="s">
        <v>2404</v>
      </c>
      <c r="C1197" s="1">
        <v>37.314831771999998</v>
      </c>
      <c r="D1197" s="1">
        <v>-7.06514974183</v>
      </c>
      <c r="E1197" s="3">
        <v>1</v>
      </c>
      <c r="F1197" s="2">
        <v>2</v>
      </c>
      <c r="G1197" s="4">
        <v>2</v>
      </c>
      <c r="H1197" s="13"/>
      <c r="I1197" s="15"/>
      <c r="J1197" s="19">
        <v>2</v>
      </c>
      <c r="K1197" s="2" t="s">
        <v>2405</v>
      </c>
      <c r="L1197" s="11" t="str">
        <f t="shared" si="19"/>
        <v>Ver Imagen</v>
      </c>
      <c r="M1197" t="s">
        <v>15</v>
      </c>
    </row>
    <row r="1198" spans="1:13" x14ac:dyDescent="0.25">
      <c r="A1198">
        <v>1197</v>
      </c>
      <c r="B1198" t="s">
        <v>2406</v>
      </c>
      <c r="C1198" s="1">
        <v>37.315030459500001</v>
      </c>
      <c r="D1198" s="1">
        <v>-7.0655773615799999</v>
      </c>
      <c r="E1198" s="3">
        <v>1</v>
      </c>
      <c r="F1198" s="2">
        <v>2</v>
      </c>
      <c r="G1198" s="4">
        <v>2</v>
      </c>
      <c r="H1198" s="13"/>
      <c r="I1198" s="15"/>
      <c r="J1198" s="19">
        <v>2</v>
      </c>
      <c r="K1198" s="2" t="s">
        <v>2407</v>
      </c>
      <c r="L1198" s="11" t="str">
        <f t="shared" si="19"/>
        <v>Ver Imagen</v>
      </c>
      <c r="M1198" t="s">
        <v>15</v>
      </c>
    </row>
    <row r="1199" spans="1:13" x14ac:dyDescent="0.25">
      <c r="A1199">
        <v>1198</v>
      </c>
      <c r="B1199" t="s">
        <v>2408</v>
      </c>
      <c r="C1199" s="1">
        <v>37.317605654399998</v>
      </c>
      <c r="D1199" s="1">
        <v>-7.0711044704299999</v>
      </c>
      <c r="E1199" s="3">
        <v>2</v>
      </c>
      <c r="F1199" s="2">
        <v>2</v>
      </c>
      <c r="G1199" s="4">
        <v>3</v>
      </c>
      <c r="H1199" s="13"/>
      <c r="I1199" s="15"/>
      <c r="J1199" s="19">
        <v>2</v>
      </c>
      <c r="K1199" s="2" t="s">
        <v>2409</v>
      </c>
      <c r="L1199" s="11" t="str">
        <f t="shared" si="19"/>
        <v>Ver Imagen</v>
      </c>
      <c r="M1199" t="s">
        <v>15</v>
      </c>
    </row>
    <row r="1200" spans="1:13" x14ac:dyDescent="0.25">
      <c r="A1200">
        <v>1199</v>
      </c>
      <c r="B1200" t="s">
        <v>2410</v>
      </c>
      <c r="C1200" s="1">
        <v>37.3177794132</v>
      </c>
      <c r="D1200" s="1">
        <v>-7.0711756702099997</v>
      </c>
      <c r="E1200" s="3">
        <v>2</v>
      </c>
      <c r="F1200" s="2">
        <v>2</v>
      </c>
      <c r="G1200" s="4">
        <v>3</v>
      </c>
      <c r="H1200" s="13"/>
      <c r="I1200" s="15"/>
      <c r="J1200" s="19">
        <v>2</v>
      </c>
      <c r="K1200" s="2" t="s">
        <v>2411</v>
      </c>
      <c r="L1200" s="11" t="str">
        <f t="shared" si="19"/>
        <v>Ver Imagen</v>
      </c>
      <c r="M1200" t="s">
        <v>15</v>
      </c>
    </row>
    <row r="1201" spans="1:13" x14ac:dyDescent="0.25">
      <c r="A1201">
        <v>1200</v>
      </c>
      <c r="B1201" t="s">
        <v>2412</v>
      </c>
      <c r="C1201" s="1">
        <v>37.4641037946</v>
      </c>
      <c r="D1201" s="1">
        <v>-7.1187867896099997</v>
      </c>
      <c r="E1201" s="3">
        <v>1</v>
      </c>
      <c r="F1201" s="2">
        <v>2</v>
      </c>
      <c r="G1201" s="4">
        <v>2</v>
      </c>
      <c r="H1201" s="13"/>
      <c r="I1201" s="15"/>
      <c r="J1201" s="19">
        <v>2</v>
      </c>
      <c r="K1201" s="2" t="s">
        <v>2413</v>
      </c>
      <c r="L1201" s="11" t="str">
        <f t="shared" si="19"/>
        <v>Ver Imagen</v>
      </c>
      <c r="M1201" t="s">
        <v>15</v>
      </c>
    </row>
    <row r="1202" spans="1:13" x14ac:dyDescent="0.25">
      <c r="A1202">
        <v>1201</v>
      </c>
      <c r="B1202" t="s">
        <v>2414</v>
      </c>
      <c r="C1202" s="1">
        <v>37.4483401237</v>
      </c>
      <c r="D1202" s="1">
        <v>-7.1095120029199999</v>
      </c>
      <c r="E1202" s="3">
        <v>2</v>
      </c>
      <c r="F1202" s="2">
        <v>3</v>
      </c>
      <c r="G1202" s="4">
        <v>2</v>
      </c>
      <c r="H1202" s="13"/>
      <c r="I1202" s="15"/>
      <c r="J1202" s="19">
        <v>2</v>
      </c>
      <c r="K1202" s="2" t="s">
        <v>2415</v>
      </c>
      <c r="L1202" s="11" t="str">
        <f t="shared" si="19"/>
        <v>Ver Imagen</v>
      </c>
      <c r="M1202" t="s">
        <v>15</v>
      </c>
    </row>
    <row r="1203" spans="1:13" x14ac:dyDescent="0.25">
      <c r="A1203">
        <v>1202</v>
      </c>
      <c r="B1203" t="s">
        <v>2416</v>
      </c>
      <c r="C1203" s="1">
        <v>37.268476810899998</v>
      </c>
      <c r="D1203" s="1">
        <v>-6.9735743324100001</v>
      </c>
      <c r="E1203" s="3">
        <v>2</v>
      </c>
      <c r="F1203" s="2">
        <v>3</v>
      </c>
      <c r="G1203" s="4">
        <v>2</v>
      </c>
      <c r="H1203" s="13"/>
      <c r="I1203" s="15"/>
      <c r="J1203" s="19">
        <v>2</v>
      </c>
      <c r="K1203" s="2" t="s">
        <v>2417</v>
      </c>
      <c r="L1203" s="11" t="str">
        <f t="shared" si="19"/>
        <v>Ver Imagen</v>
      </c>
      <c r="M1203" t="s">
        <v>15</v>
      </c>
    </row>
    <row r="1204" spans="1:13" x14ac:dyDescent="0.25">
      <c r="A1204">
        <v>1203</v>
      </c>
      <c r="B1204" t="s">
        <v>2418</v>
      </c>
      <c r="C1204" s="1">
        <v>37.2674551124</v>
      </c>
      <c r="D1204" s="1">
        <v>-6.9612411553699998</v>
      </c>
      <c r="E1204" s="3">
        <v>2</v>
      </c>
      <c r="F1204" s="2">
        <v>2</v>
      </c>
      <c r="G1204" s="4">
        <v>1</v>
      </c>
      <c r="H1204" s="13"/>
      <c r="I1204" s="15"/>
      <c r="J1204" s="19">
        <v>2</v>
      </c>
      <c r="K1204" s="2" t="s">
        <v>2419</v>
      </c>
      <c r="L1204" s="11" t="str">
        <f t="shared" si="19"/>
        <v>Ver Imagen</v>
      </c>
      <c r="M1204" t="s">
        <v>15</v>
      </c>
    </row>
    <row r="1205" spans="1:13" x14ac:dyDescent="0.25">
      <c r="A1205">
        <v>1204</v>
      </c>
      <c r="B1205" t="s">
        <v>2420</v>
      </c>
      <c r="C1205" s="1">
        <v>37.267195572399999</v>
      </c>
      <c r="D1205" s="1">
        <v>-6.9595242211099997</v>
      </c>
      <c r="E1205" s="3">
        <v>2</v>
      </c>
      <c r="F1205" s="2">
        <v>2</v>
      </c>
      <c r="G1205" s="4">
        <v>1</v>
      </c>
      <c r="H1205" s="13"/>
      <c r="I1205" s="15"/>
      <c r="J1205" s="19">
        <v>2</v>
      </c>
      <c r="K1205" s="2" t="s">
        <v>2421</v>
      </c>
      <c r="L1205" s="11" t="str">
        <f t="shared" si="19"/>
        <v>Ver Imagen</v>
      </c>
      <c r="M1205" t="s">
        <v>15</v>
      </c>
    </row>
    <row r="1206" spans="1:13" x14ac:dyDescent="0.25">
      <c r="A1206">
        <v>1205</v>
      </c>
      <c r="B1206" t="s">
        <v>2422</v>
      </c>
      <c r="C1206" s="1">
        <v>37.267150917000002</v>
      </c>
      <c r="D1206" s="1">
        <v>-6.9592813329999998</v>
      </c>
      <c r="E1206" s="3">
        <v>2</v>
      </c>
      <c r="F1206" s="2">
        <v>2</v>
      </c>
      <c r="G1206" s="4">
        <v>1</v>
      </c>
      <c r="H1206" s="13"/>
      <c r="I1206" s="15"/>
      <c r="J1206" s="19">
        <v>2</v>
      </c>
      <c r="K1206" s="2" t="s">
        <v>2423</v>
      </c>
      <c r="L1206" s="11" t="str">
        <f t="shared" si="19"/>
        <v>Ver Imagen</v>
      </c>
      <c r="M1206" t="s">
        <v>15</v>
      </c>
    </row>
    <row r="1207" spans="1:13" x14ac:dyDescent="0.25">
      <c r="A1207">
        <v>1206</v>
      </c>
      <c r="B1207" t="s">
        <v>2424</v>
      </c>
      <c r="C1207" s="1">
        <v>37.267101990999997</v>
      </c>
      <c r="D1207" s="1">
        <v>-6.9590260472000001</v>
      </c>
      <c r="E1207" s="3">
        <v>1</v>
      </c>
      <c r="F1207" s="2">
        <v>2</v>
      </c>
      <c r="G1207" s="4">
        <v>2</v>
      </c>
      <c r="H1207" s="13"/>
      <c r="I1207" s="15"/>
      <c r="J1207" s="19">
        <v>2</v>
      </c>
      <c r="K1207" s="2" t="s">
        <v>2425</v>
      </c>
      <c r="L1207" s="11" t="str">
        <f t="shared" si="19"/>
        <v>Ver Imagen</v>
      </c>
      <c r="M1207" t="s">
        <v>15</v>
      </c>
    </row>
    <row r="1208" spans="1:13" x14ac:dyDescent="0.25">
      <c r="A1208">
        <v>1207</v>
      </c>
      <c r="B1208" t="s">
        <v>2426</v>
      </c>
      <c r="C1208" s="1">
        <v>37.267049942500002</v>
      </c>
      <c r="D1208" s="1">
        <v>-6.9587788569100004</v>
      </c>
      <c r="E1208" s="3">
        <v>1</v>
      </c>
      <c r="F1208" s="2">
        <v>2</v>
      </c>
      <c r="G1208" s="4">
        <v>2</v>
      </c>
      <c r="H1208" s="13"/>
      <c r="I1208" s="15"/>
      <c r="J1208" s="19">
        <v>2</v>
      </c>
      <c r="K1208" s="2" t="s">
        <v>2427</v>
      </c>
      <c r="L1208" s="11" t="str">
        <f t="shared" si="19"/>
        <v>Ver Imagen</v>
      </c>
      <c r="M1208" t="s">
        <v>15</v>
      </c>
    </row>
    <row r="1209" spans="1:13" x14ac:dyDescent="0.25">
      <c r="A1209">
        <v>1208</v>
      </c>
      <c r="B1209" t="s">
        <v>2428</v>
      </c>
      <c r="C1209" s="1">
        <v>37.190072902799997</v>
      </c>
      <c r="D1209" s="1">
        <v>-6.98899874599</v>
      </c>
      <c r="E1209" s="3">
        <v>2</v>
      </c>
      <c r="F1209" s="2">
        <v>3</v>
      </c>
      <c r="G1209" s="4">
        <v>2</v>
      </c>
      <c r="H1209" s="13"/>
      <c r="I1209" s="15"/>
      <c r="J1209" s="19">
        <v>2</v>
      </c>
      <c r="K1209" s="2" t="s">
        <v>2429</v>
      </c>
      <c r="L1209" s="11" t="str">
        <f t="shared" si="19"/>
        <v>Ver Imagen</v>
      </c>
      <c r="M1209" t="s">
        <v>15</v>
      </c>
    </row>
    <row r="1210" spans="1:13" x14ac:dyDescent="0.25">
      <c r="A1210">
        <v>1209</v>
      </c>
      <c r="B1210" t="s">
        <v>2430</v>
      </c>
      <c r="C1210" s="1">
        <v>37.190686650899998</v>
      </c>
      <c r="D1210" s="1">
        <v>-6.9903281485399997</v>
      </c>
      <c r="E1210" s="3">
        <v>2</v>
      </c>
      <c r="F1210" s="2">
        <v>3</v>
      </c>
      <c r="G1210" s="4">
        <v>2</v>
      </c>
      <c r="H1210" s="13"/>
      <c r="I1210" s="15"/>
      <c r="J1210" s="19">
        <v>2</v>
      </c>
      <c r="K1210" s="2" t="s">
        <v>2431</v>
      </c>
      <c r="L1210" s="11" t="str">
        <f t="shared" si="19"/>
        <v>Ver Imagen</v>
      </c>
      <c r="M1210" t="s">
        <v>15</v>
      </c>
    </row>
    <row r="1211" spans="1:13" x14ac:dyDescent="0.25">
      <c r="A1211">
        <v>1210</v>
      </c>
      <c r="B1211" t="s">
        <v>2432</v>
      </c>
      <c r="C1211" s="1">
        <v>37.193672910399997</v>
      </c>
      <c r="D1211" s="1">
        <v>-6.9969178464299997</v>
      </c>
      <c r="E1211" s="3">
        <v>2</v>
      </c>
      <c r="F1211" s="2">
        <v>2</v>
      </c>
      <c r="G1211" s="4">
        <v>3</v>
      </c>
      <c r="H1211" s="13"/>
      <c r="I1211" s="15"/>
      <c r="J1211" s="19">
        <v>2</v>
      </c>
      <c r="K1211" s="2" t="s">
        <v>2433</v>
      </c>
      <c r="L1211" s="11" t="str">
        <f t="shared" si="19"/>
        <v>Ver Imagen</v>
      </c>
      <c r="M1211" t="s">
        <v>15</v>
      </c>
    </row>
    <row r="1212" spans="1:13" x14ac:dyDescent="0.25">
      <c r="A1212">
        <v>1211</v>
      </c>
      <c r="B1212" t="s">
        <v>2434</v>
      </c>
      <c r="C1212" s="1">
        <v>37.194697206699999</v>
      </c>
      <c r="D1212" s="1">
        <v>-6.9993980641300002</v>
      </c>
      <c r="E1212" s="3">
        <v>2</v>
      </c>
      <c r="F1212" s="2">
        <v>2</v>
      </c>
      <c r="G1212" s="4">
        <v>3</v>
      </c>
      <c r="H1212" s="13"/>
      <c r="I1212" s="15"/>
      <c r="J1212" s="19">
        <v>2</v>
      </c>
      <c r="K1212" s="2" t="s">
        <v>2435</v>
      </c>
      <c r="L1212" s="11" t="str">
        <f t="shared" si="19"/>
        <v>Ver Imagen</v>
      </c>
      <c r="M1212" t="s">
        <v>15</v>
      </c>
    </row>
    <row r="1213" spans="1:13" x14ac:dyDescent="0.25">
      <c r="A1213">
        <v>1212</v>
      </c>
      <c r="B1213" t="s">
        <v>2436</v>
      </c>
      <c r="C1213" s="1">
        <v>37.194874206400002</v>
      </c>
      <c r="D1213" s="1">
        <v>-6.99983471005</v>
      </c>
      <c r="E1213" s="3">
        <v>2</v>
      </c>
      <c r="F1213" s="2">
        <v>3</v>
      </c>
      <c r="G1213" s="4">
        <v>2</v>
      </c>
      <c r="H1213" s="13"/>
      <c r="I1213" s="15"/>
      <c r="J1213" s="19">
        <v>2</v>
      </c>
      <c r="K1213" s="2" t="s">
        <v>2437</v>
      </c>
      <c r="L1213" s="11" t="str">
        <f t="shared" si="19"/>
        <v>Ver Imagen</v>
      </c>
      <c r="M1213" t="s">
        <v>15</v>
      </c>
    </row>
    <row r="1214" spans="1:13" x14ac:dyDescent="0.25">
      <c r="A1214">
        <v>1213</v>
      </c>
      <c r="B1214" t="s">
        <v>2438</v>
      </c>
      <c r="C1214" s="1">
        <v>37.195903743300001</v>
      </c>
      <c r="D1214" s="1">
        <v>-7.0023295994900003</v>
      </c>
      <c r="E1214" s="3">
        <v>2</v>
      </c>
      <c r="F1214" s="2">
        <v>3</v>
      </c>
      <c r="G1214" s="4">
        <v>2</v>
      </c>
      <c r="H1214" s="13"/>
      <c r="I1214" s="15"/>
      <c r="J1214" s="19">
        <v>2</v>
      </c>
      <c r="K1214" s="2" t="s">
        <v>2439</v>
      </c>
      <c r="L1214" s="11" t="str">
        <f t="shared" si="19"/>
        <v>Ver Imagen</v>
      </c>
      <c r="M1214" t="s">
        <v>15</v>
      </c>
    </row>
    <row r="1215" spans="1:13" x14ac:dyDescent="0.25">
      <c r="A1215">
        <v>1214</v>
      </c>
      <c r="B1215" t="s">
        <v>2440</v>
      </c>
      <c r="C1215" s="1">
        <v>37.202426315300002</v>
      </c>
      <c r="D1215" s="1">
        <v>-7.0144748691299998</v>
      </c>
      <c r="E1215" s="3">
        <v>2</v>
      </c>
      <c r="F1215" s="2">
        <v>2</v>
      </c>
      <c r="G1215" s="4">
        <v>3</v>
      </c>
      <c r="H1215" s="13"/>
      <c r="I1215" s="15"/>
      <c r="J1215" s="19">
        <v>2</v>
      </c>
      <c r="K1215" s="2" t="s">
        <v>2441</v>
      </c>
      <c r="L1215" s="11" t="str">
        <f t="shared" si="19"/>
        <v>Ver Imagen</v>
      </c>
      <c r="M1215" t="s">
        <v>15</v>
      </c>
    </row>
    <row r="1216" spans="1:13" x14ac:dyDescent="0.25">
      <c r="A1216">
        <v>1215</v>
      </c>
      <c r="B1216" t="s">
        <v>2442</v>
      </c>
      <c r="C1216" s="1">
        <v>37.203197585600002</v>
      </c>
      <c r="D1216" s="1">
        <v>-7.0156525220699999</v>
      </c>
      <c r="E1216" s="3">
        <v>2</v>
      </c>
      <c r="F1216" s="2">
        <v>3</v>
      </c>
      <c r="G1216" s="4">
        <v>2</v>
      </c>
      <c r="H1216" s="13"/>
      <c r="I1216" s="15"/>
      <c r="J1216" s="19">
        <v>2</v>
      </c>
      <c r="K1216" s="2" t="s">
        <v>2443</v>
      </c>
      <c r="L1216" s="11" t="str">
        <f t="shared" si="19"/>
        <v>Ver Imagen</v>
      </c>
      <c r="M1216" t="s">
        <v>15</v>
      </c>
    </row>
    <row r="1217" spans="1:13" x14ac:dyDescent="0.25">
      <c r="A1217">
        <v>1216</v>
      </c>
      <c r="B1217" t="s">
        <v>2444</v>
      </c>
      <c r="C1217" s="1">
        <v>37.204077904199998</v>
      </c>
      <c r="D1217" s="1">
        <v>-7.0170123289699999</v>
      </c>
      <c r="E1217" s="3">
        <v>2</v>
      </c>
      <c r="F1217" s="2">
        <v>3</v>
      </c>
      <c r="G1217" s="4">
        <v>2</v>
      </c>
      <c r="H1217" s="13"/>
      <c r="I1217" s="15"/>
      <c r="J1217" s="19">
        <v>2</v>
      </c>
      <c r="K1217" s="2" t="s">
        <v>2445</v>
      </c>
      <c r="L1217" s="11" t="str">
        <f t="shared" si="19"/>
        <v>Ver Imagen</v>
      </c>
      <c r="M1217" t="s">
        <v>15</v>
      </c>
    </row>
    <row r="1218" spans="1:13" x14ac:dyDescent="0.25">
      <c r="A1218">
        <v>1217</v>
      </c>
      <c r="B1218" t="s">
        <v>2446</v>
      </c>
      <c r="C1218" s="1">
        <v>37.204363816300003</v>
      </c>
      <c r="D1218" s="1">
        <v>-7.0174545503700001</v>
      </c>
      <c r="E1218" s="3">
        <v>2</v>
      </c>
      <c r="F1218" s="2">
        <v>3</v>
      </c>
      <c r="G1218" s="4">
        <v>2</v>
      </c>
      <c r="H1218" s="13"/>
      <c r="I1218" s="15"/>
      <c r="J1218" s="19">
        <v>2</v>
      </c>
      <c r="K1218" s="2" t="s">
        <v>2447</v>
      </c>
      <c r="L1218" s="11" t="str">
        <f t="shared" si="19"/>
        <v>Ver Imagen</v>
      </c>
      <c r="M1218" t="s">
        <v>15</v>
      </c>
    </row>
    <row r="1219" spans="1:13" x14ac:dyDescent="0.25">
      <c r="A1219">
        <v>1218</v>
      </c>
      <c r="B1219" t="s">
        <v>2448</v>
      </c>
      <c r="C1219" s="1">
        <v>37.204586126400002</v>
      </c>
      <c r="D1219" s="1">
        <v>-7.01779713113</v>
      </c>
      <c r="E1219" s="3">
        <v>2</v>
      </c>
      <c r="F1219" s="2">
        <v>3</v>
      </c>
      <c r="G1219" s="4">
        <v>2</v>
      </c>
      <c r="H1219" s="13"/>
      <c r="I1219" s="15"/>
      <c r="J1219" s="19">
        <v>2</v>
      </c>
      <c r="K1219" s="2" t="s">
        <v>2449</v>
      </c>
      <c r="L1219" s="11" t="str">
        <f t="shared" ref="L1219:L1282" si="20">HYPERLINK("2\1\" &amp; K1219, "Ver Imagen")</f>
        <v>Ver Imagen</v>
      </c>
      <c r="M1219" t="s">
        <v>15</v>
      </c>
    </row>
    <row r="1220" spans="1:13" x14ac:dyDescent="0.25">
      <c r="A1220">
        <v>1219</v>
      </c>
      <c r="B1220" t="s">
        <v>2450</v>
      </c>
      <c r="C1220" s="1">
        <v>37.2063211579</v>
      </c>
      <c r="D1220" s="1">
        <v>-7.02061451411</v>
      </c>
      <c r="E1220" s="3">
        <v>2</v>
      </c>
      <c r="F1220" s="2">
        <v>3</v>
      </c>
      <c r="G1220" s="4">
        <v>2</v>
      </c>
      <c r="H1220" s="13"/>
      <c r="I1220" s="15"/>
      <c r="J1220" s="19">
        <v>2</v>
      </c>
      <c r="K1220" s="2" t="s">
        <v>2451</v>
      </c>
      <c r="L1220" s="11" t="str">
        <f t="shared" si="20"/>
        <v>Ver Imagen</v>
      </c>
      <c r="M1220" t="s">
        <v>15</v>
      </c>
    </row>
    <row r="1221" spans="1:13" x14ac:dyDescent="0.25">
      <c r="A1221">
        <v>1220</v>
      </c>
      <c r="B1221" t="s">
        <v>2452</v>
      </c>
      <c r="C1221" s="1">
        <v>37.206573214499997</v>
      </c>
      <c r="D1221" s="1">
        <v>-7.0210217304300002</v>
      </c>
      <c r="E1221" s="3">
        <v>2</v>
      </c>
      <c r="F1221" s="2">
        <v>3</v>
      </c>
      <c r="G1221" s="4">
        <v>2</v>
      </c>
      <c r="H1221" s="13"/>
      <c r="I1221" s="15"/>
      <c r="J1221" s="19">
        <v>2</v>
      </c>
      <c r="K1221" s="2" t="s">
        <v>2453</v>
      </c>
      <c r="L1221" s="11" t="str">
        <f t="shared" si="20"/>
        <v>Ver Imagen</v>
      </c>
      <c r="M1221" t="s">
        <v>15</v>
      </c>
    </row>
    <row r="1222" spans="1:13" x14ac:dyDescent="0.25">
      <c r="A1222">
        <v>1221</v>
      </c>
      <c r="B1222" t="s">
        <v>2454</v>
      </c>
      <c r="C1222" s="1">
        <v>37.207738961099999</v>
      </c>
      <c r="D1222" s="1">
        <v>-7.02239407186</v>
      </c>
      <c r="E1222" s="3">
        <v>2</v>
      </c>
      <c r="F1222" s="2">
        <v>3</v>
      </c>
      <c r="G1222" s="4">
        <v>2</v>
      </c>
      <c r="H1222" s="13"/>
      <c r="I1222" s="15"/>
      <c r="J1222" s="19">
        <v>2</v>
      </c>
      <c r="K1222" s="2" t="s">
        <v>2455</v>
      </c>
      <c r="L1222" s="11" t="str">
        <f t="shared" si="20"/>
        <v>Ver Imagen</v>
      </c>
      <c r="M1222" t="s">
        <v>15</v>
      </c>
    </row>
    <row r="1223" spans="1:13" x14ac:dyDescent="0.25">
      <c r="A1223">
        <v>1222</v>
      </c>
      <c r="B1223" t="s">
        <v>2456</v>
      </c>
      <c r="C1223" s="1">
        <v>37.207875504999997</v>
      </c>
      <c r="D1223" s="1">
        <v>-7.0225461341199997</v>
      </c>
      <c r="E1223" s="3">
        <v>2</v>
      </c>
      <c r="F1223" s="2">
        <v>2</v>
      </c>
      <c r="G1223" s="4">
        <v>3</v>
      </c>
      <c r="H1223" s="13"/>
      <c r="I1223" s="15"/>
      <c r="J1223" s="19">
        <v>2</v>
      </c>
      <c r="K1223" s="2" t="s">
        <v>2457</v>
      </c>
      <c r="L1223" s="11" t="str">
        <f t="shared" si="20"/>
        <v>Ver Imagen</v>
      </c>
      <c r="M1223" t="s">
        <v>15</v>
      </c>
    </row>
    <row r="1224" spans="1:13" x14ac:dyDescent="0.25">
      <c r="A1224">
        <v>1223</v>
      </c>
      <c r="B1224" t="s">
        <v>2458</v>
      </c>
      <c r="C1224" s="1">
        <v>37.208637590800002</v>
      </c>
      <c r="D1224" s="1">
        <v>-7.0256763250800001</v>
      </c>
      <c r="E1224" s="3">
        <v>2</v>
      </c>
      <c r="F1224" s="2">
        <v>2</v>
      </c>
      <c r="G1224" s="4">
        <v>3</v>
      </c>
      <c r="H1224" s="13"/>
      <c r="I1224" s="15"/>
      <c r="J1224" s="19">
        <v>2</v>
      </c>
      <c r="K1224" s="2" t="s">
        <v>2459</v>
      </c>
      <c r="L1224" s="11" t="str">
        <f t="shared" si="20"/>
        <v>Ver Imagen</v>
      </c>
      <c r="M1224" t="s">
        <v>15</v>
      </c>
    </row>
    <row r="1225" spans="1:13" x14ac:dyDescent="0.25">
      <c r="A1225">
        <v>1224</v>
      </c>
      <c r="B1225" t="s">
        <v>2460</v>
      </c>
      <c r="C1225" s="1">
        <v>37.2086937077</v>
      </c>
      <c r="D1225" s="1">
        <v>-7.0258853719000003</v>
      </c>
      <c r="E1225" s="3">
        <v>2</v>
      </c>
      <c r="F1225" s="2">
        <v>3</v>
      </c>
      <c r="G1225" s="4">
        <v>2</v>
      </c>
      <c r="H1225" s="13"/>
      <c r="I1225" s="15"/>
      <c r="J1225" s="19">
        <v>2</v>
      </c>
      <c r="K1225" s="2" t="s">
        <v>2461</v>
      </c>
      <c r="L1225" s="11" t="str">
        <f t="shared" si="20"/>
        <v>Ver Imagen</v>
      </c>
      <c r="M1225" t="s">
        <v>15</v>
      </c>
    </row>
    <row r="1226" spans="1:13" x14ac:dyDescent="0.25">
      <c r="A1226">
        <v>1225</v>
      </c>
      <c r="B1226" t="s">
        <v>2462</v>
      </c>
      <c r="C1226" s="1">
        <v>37.208748309699999</v>
      </c>
      <c r="D1226" s="1">
        <v>-7.0261273057100002</v>
      </c>
      <c r="E1226" s="3">
        <v>2</v>
      </c>
      <c r="F1226" s="2">
        <v>3</v>
      </c>
      <c r="G1226" s="4">
        <v>2</v>
      </c>
      <c r="H1226" s="13"/>
      <c r="I1226" s="15"/>
      <c r="J1226" s="19">
        <v>2</v>
      </c>
      <c r="K1226" s="2" t="s">
        <v>2463</v>
      </c>
      <c r="L1226" s="11" t="str">
        <f t="shared" si="20"/>
        <v>Ver Imagen</v>
      </c>
      <c r="M1226" t="s">
        <v>15</v>
      </c>
    </row>
    <row r="1227" spans="1:13" x14ac:dyDescent="0.25">
      <c r="A1227">
        <v>1226</v>
      </c>
      <c r="B1227" t="s">
        <v>2464</v>
      </c>
      <c r="C1227" s="1">
        <v>37.218357796900001</v>
      </c>
      <c r="D1227" s="1">
        <v>-7.1239310716400004</v>
      </c>
      <c r="E1227" s="3">
        <v>1</v>
      </c>
      <c r="F1227" s="2">
        <v>2</v>
      </c>
      <c r="G1227" s="4">
        <v>2</v>
      </c>
      <c r="H1227" s="13"/>
      <c r="I1227" s="15"/>
      <c r="J1227" s="19">
        <v>2</v>
      </c>
      <c r="K1227" s="2" t="s">
        <v>2465</v>
      </c>
      <c r="L1227" s="11" t="str">
        <f t="shared" si="20"/>
        <v>Ver Imagen</v>
      </c>
      <c r="M1227" t="s">
        <v>15</v>
      </c>
    </row>
    <row r="1228" spans="1:13" x14ac:dyDescent="0.25">
      <c r="A1228">
        <v>1227</v>
      </c>
      <c r="B1228" t="s">
        <v>2466</v>
      </c>
      <c r="C1228" s="1">
        <v>37.218080637900002</v>
      </c>
      <c r="D1228" s="1">
        <v>-7.1182734711700002</v>
      </c>
      <c r="E1228" s="3">
        <v>2</v>
      </c>
      <c r="F1228" s="2">
        <v>3</v>
      </c>
      <c r="G1228" s="4">
        <v>2</v>
      </c>
      <c r="H1228" s="13"/>
      <c r="I1228" s="15"/>
      <c r="J1228" s="19">
        <v>2</v>
      </c>
      <c r="K1228" s="2" t="s">
        <v>2467</v>
      </c>
      <c r="L1228" s="11" t="str">
        <f t="shared" si="20"/>
        <v>Ver Imagen</v>
      </c>
      <c r="M1228" t="s">
        <v>15</v>
      </c>
    </row>
    <row r="1229" spans="1:13" x14ac:dyDescent="0.25">
      <c r="A1229">
        <v>1228</v>
      </c>
      <c r="B1229" t="s">
        <v>2468</v>
      </c>
      <c r="C1229" s="1">
        <v>37.218045593600003</v>
      </c>
      <c r="D1229" s="1">
        <v>-7.11801341409</v>
      </c>
      <c r="E1229" s="3">
        <v>2</v>
      </c>
      <c r="F1229" s="2">
        <v>1</v>
      </c>
      <c r="G1229" s="4">
        <v>2</v>
      </c>
      <c r="H1229" s="13"/>
      <c r="I1229" s="15"/>
      <c r="J1229" s="19">
        <v>2</v>
      </c>
      <c r="K1229" s="2" t="s">
        <v>2469</v>
      </c>
      <c r="L1229" s="11" t="str">
        <f t="shared" si="20"/>
        <v>Ver Imagen</v>
      </c>
      <c r="M1229" t="s">
        <v>15</v>
      </c>
    </row>
    <row r="1230" spans="1:13" x14ac:dyDescent="0.25">
      <c r="A1230">
        <v>1229</v>
      </c>
      <c r="B1230" t="s">
        <v>2470</v>
      </c>
      <c r="C1230" s="1">
        <v>37.2180054158</v>
      </c>
      <c r="D1230" s="1">
        <v>-7.1177333540600003</v>
      </c>
      <c r="E1230" s="3">
        <v>1</v>
      </c>
      <c r="F1230" s="2">
        <v>2</v>
      </c>
      <c r="G1230" s="4">
        <v>2</v>
      </c>
      <c r="H1230" s="13"/>
      <c r="I1230" s="15"/>
      <c r="J1230" s="19">
        <v>2</v>
      </c>
      <c r="K1230" s="2" t="s">
        <v>2471</v>
      </c>
      <c r="L1230" s="11" t="str">
        <f t="shared" si="20"/>
        <v>Ver Imagen</v>
      </c>
      <c r="M1230" t="s">
        <v>15</v>
      </c>
    </row>
    <row r="1231" spans="1:13" x14ac:dyDescent="0.25">
      <c r="A1231">
        <v>1230</v>
      </c>
      <c r="B1231" t="s">
        <v>2472</v>
      </c>
      <c r="C1231" s="1">
        <v>37.217941650100002</v>
      </c>
      <c r="D1231" s="1">
        <v>-7.1172662944200002</v>
      </c>
      <c r="E1231" s="3">
        <v>1</v>
      </c>
      <c r="F1231" s="2">
        <v>2</v>
      </c>
      <c r="G1231" s="4">
        <v>2</v>
      </c>
      <c r="H1231" s="13"/>
      <c r="I1231" s="15"/>
      <c r="J1231" s="19">
        <v>2</v>
      </c>
      <c r="K1231" s="2" t="s">
        <v>2473</v>
      </c>
      <c r="L1231" s="11" t="str">
        <f t="shared" si="20"/>
        <v>Ver Imagen</v>
      </c>
      <c r="M1231" t="s">
        <v>15</v>
      </c>
    </row>
    <row r="1232" spans="1:13" x14ac:dyDescent="0.25">
      <c r="A1232">
        <v>1231</v>
      </c>
      <c r="B1232" t="s">
        <v>2474</v>
      </c>
      <c r="C1232" s="1">
        <v>37.217605701099998</v>
      </c>
      <c r="D1232" s="1">
        <v>-7.1111980430999999</v>
      </c>
      <c r="E1232" s="3">
        <v>2</v>
      </c>
      <c r="F1232" s="2">
        <v>1</v>
      </c>
      <c r="G1232" s="4">
        <v>2</v>
      </c>
      <c r="H1232" s="13"/>
      <c r="I1232" s="15"/>
      <c r="J1232" s="19">
        <v>2</v>
      </c>
      <c r="K1232" s="2" t="s">
        <v>2475</v>
      </c>
      <c r="L1232" s="11" t="str">
        <f t="shared" si="20"/>
        <v>Ver Imagen</v>
      </c>
      <c r="M1232" t="s">
        <v>15</v>
      </c>
    </row>
    <row r="1233" spans="1:13" x14ac:dyDescent="0.25">
      <c r="A1233">
        <v>1232</v>
      </c>
      <c r="B1233" t="s">
        <v>2476</v>
      </c>
      <c r="C1233" s="1">
        <v>37.217616447499999</v>
      </c>
      <c r="D1233" s="1">
        <v>-7.1109704821899999</v>
      </c>
      <c r="E1233" s="3">
        <v>2</v>
      </c>
      <c r="F1233" s="2">
        <v>1</v>
      </c>
      <c r="G1233" s="4">
        <v>2</v>
      </c>
      <c r="H1233" s="13"/>
      <c r="I1233" s="15"/>
      <c r="J1233" s="19">
        <v>2</v>
      </c>
      <c r="K1233" s="2" t="s">
        <v>2477</v>
      </c>
      <c r="L1233" s="11" t="str">
        <f t="shared" si="20"/>
        <v>Ver Imagen</v>
      </c>
      <c r="M1233" t="s">
        <v>15</v>
      </c>
    </row>
    <row r="1234" spans="1:13" x14ac:dyDescent="0.25">
      <c r="A1234">
        <v>1233</v>
      </c>
      <c r="B1234" t="s">
        <v>2478</v>
      </c>
      <c r="C1234" s="1">
        <v>37.217133564599997</v>
      </c>
      <c r="D1234" s="1">
        <v>-7.1057048035300001</v>
      </c>
      <c r="E1234" s="3">
        <v>2</v>
      </c>
      <c r="F1234" s="2">
        <v>1</v>
      </c>
      <c r="G1234" s="4">
        <v>2</v>
      </c>
      <c r="H1234" s="13"/>
      <c r="I1234" s="15"/>
      <c r="J1234" s="19">
        <v>2</v>
      </c>
      <c r="K1234" s="2" t="s">
        <v>2479</v>
      </c>
      <c r="L1234" s="11" t="str">
        <f t="shared" si="20"/>
        <v>Ver Imagen</v>
      </c>
      <c r="M1234" t="s">
        <v>15</v>
      </c>
    </row>
    <row r="1235" spans="1:13" x14ac:dyDescent="0.25">
      <c r="A1235">
        <v>1234</v>
      </c>
      <c r="B1235" t="s">
        <v>2480</v>
      </c>
      <c r="C1235" s="1">
        <v>37.217058686000001</v>
      </c>
      <c r="D1235" s="1">
        <v>-7.1049448353600004</v>
      </c>
      <c r="E1235" s="3">
        <v>2</v>
      </c>
      <c r="F1235" s="2">
        <v>2</v>
      </c>
      <c r="G1235" s="4">
        <v>3</v>
      </c>
      <c r="H1235" s="13"/>
      <c r="I1235" s="15"/>
      <c r="J1235" s="19">
        <v>2</v>
      </c>
      <c r="K1235" s="2" t="s">
        <v>2481</v>
      </c>
      <c r="L1235" s="11" t="str">
        <f t="shared" si="20"/>
        <v>Ver Imagen</v>
      </c>
      <c r="M1235" t="s">
        <v>15</v>
      </c>
    </row>
    <row r="1236" spans="1:13" x14ac:dyDescent="0.25">
      <c r="A1236">
        <v>1235</v>
      </c>
      <c r="B1236" t="s">
        <v>2482</v>
      </c>
      <c r="C1236" s="1">
        <v>37.2170363452</v>
      </c>
      <c r="D1236" s="1">
        <v>-7.10471045222</v>
      </c>
      <c r="E1236" s="3">
        <v>2</v>
      </c>
      <c r="F1236" s="2">
        <v>2</v>
      </c>
      <c r="G1236" s="4">
        <v>3</v>
      </c>
      <c r="H1236" s="13"/>
      <c r="I1236" s="15"/>
      <c r="J1236" s="19">
        <v>2</v>
      </c>
      <c r="K1236" s="2" t="s">
        <v>2483</v>
      </c>
      <c r="L1236" s="11" t="str">
        <f t="shared" si="20"/>
        <v>Ver Imagen</v>
      </c>
      <c r="M1236" t="s">
        <v>15</v>
      </c>
    </row>
    <row r="1237" spans="1:13" x14ac:dyDescent="0.25">
      <c r="A1237">
        <v>1236</v>
      </c>
      <c r="B1237" t="s">
        <v>2484</v>
      </c>
      <c r="C1237" s="1">
        <v>37.216883556100001</v>
      </c>
      <c r="D1237" s="1">
        <v>-7.1029609439900003</v>
      </c>
      <c r="E1237" s="3">
        <v>2</v>
      </c>
      <c r="F1237" s="2">
        <v>1</v>
      </c>
      <c r="G1237" s="4">
        <v>2</v>
      </c>
      <c r="H1237" s="13"/>
      <c r="I1237" s="15"/>
      <c r="J1237" s="19">
        <v>2</v>
      </c>
      <c r="K1237" s="2" t="s">
        <v>2485</v>
      </c>
      <c r="L1237" s="11" t="str">
        <f t="shared" si="20"/>
        <v>Ver Imagen</v>
      </c>
      <c r="M1237" t="s">
        <v>15</v>
      </c>
    </row>
    <row r="1238" spans="1:13" x14ac:dyDescent="0.25">
      <c r="A1238">
        <v>1237</v>
      </c>
      <c r="B1238" t="s">
        <v>2486</v>
      </c>
      <c r="C1238" s="1">
        <v>37.216839633100001</v>
      </c>
      <c r="D1238" s="1">
        <v>-7.1024493601899996</v>
      </c>
      <c r="E1238" s="3">
        <v>2</v>
      </c>
      <c r="F1238" s="2">
        <v>2</v>
      </c>
      <c r="G1238" s="4">
        <v>3</v>
      </c>
      <c r="H1238" s="13"/>
      <c r="I1238" s="15"/>
      <c r="J1238" s="19">
        <v>2</v>
      </c>
      <c r="K1238" s="2" t="s">
        <v>2487</v>
      </c>
      <c r="L1238" s="11" t="str">
        <f t="shared" si="20"/>
        <v>Ver Imagen</v>
      </c>
      <c r="M1238" t="s">
        <v>15</v>
      </c>
    </row>
    <row r="1239" spans="1:13" x14ac:dyDescent="0.25">
      <c r="A1239">
        <v>1238</v>
      </c>
      <c r="B1239" t="s">
        <v>2488</v>
      </c>
      <c r="C1239" s="1">
        <v>37.2169178901</v>
      </c>
      <c r="D1239" s="1">
        <v>-7.1006978799000002</v>
      </c>
      <c r="E1239" s="3">
        <v>2</v>
      </c>
      <c r="F1239" s="2">
        <v>2</v>
      </c>
      <c r="G1239" s="4">
        <v>3</v>
      </c>
      <c r="H1239" s="13"/>
      <c r="I1239" s="15"/>
      <c r="J1239" s="19">
        <v>2</v>
      </c>
      <c r="K1239" s="2" t="s">
        <v>2489</v>
      </c>
      <c r="L1239" s="11" t="str">
        <f t="shared" si="20"/>
        <v>Ver Imagen</v>
      </c>
      <c r="M1239" t="s">
        <v>15</v>
      </c>
    </row>
    <row r="1240" spans="1:13" x14ac:dyDescent="0.25">
      <c r="A1240">
        <v>1239</v>
      </c>
      <c r="B1240" t="s">
        <v>2490</v>
      </c>
      <c r="C1240" s="1">
        <v>37.216805691600001</v>
      </c>
      <c r="D1240" s="1">
        <v>-7.0971974611600004</v>
      </c>
      <c r="E1240" s="3">
        <v>2</v>
      </c>
      <c r="F1240" s="2">
        <v>2</v>
      </c>
      <c r="G1240" s="4">
        <v>3</v>
      </c>
      <c r="H1240" s="13"/>
      <c r="I1240" s="15"/>
      <c r="J1240" s="19">
        <v>2</v>
      </c>
      <c r="K1240" s="2" t="s">
        <v>2491</v>
      </c>
      <c r="L1240" s="11" t="str">
        <f t="shared" si="20"/>
        <v>Ver Imagen</v>
      </c>
      <c r="M1240" t="s">
        <v>15</v>
      </c>
    </row>
    <row r="1241" spans="1:13" x14ac:dyDescent="0.25">
      <c r="A1241">
        <v>1240</v>
      </c>
      <c r="B1241" t="s">
        <v>2492</v>
      </c>
      <c r="C1241" s="1">
        <v>37.216756625099997</v>
      </c>
      <c r="D1241" s="1">
        <v>-7.0966539926500003</v>
      </c>
      <c r="E1241" s="3">
        <v>2</v>
      </c>
      <c r="F1241" s="2">
        <v>2</v>
      </c>
      <c r="G1241" s="4">
        <v>3</v>
      </c>
      <c r="H1241" s="13"/>
      <c r="I1241" s="15"/>
      <c r="J1241" s="19">
        <v>2</v>
      </c>
      <c r="K1241" s="2" t="s">
        <v>2493</v>
      </c>
      <c r="L1241" s="11" t="str">
        <f t="shared" si="20"/>
        <v>Ver Imagen</v>
      </c>
      <c r="M1241" t="s">
        <v>15</v>
      </c>
    </row>
    <row r="1242" spans="1:13" x14ac:dyDescent="0.25">
      <c r="A1242">
        <v>1241</v>
      </c>
      <c r="B1242" t="s">
        <v>2494</v>
      </c>
      <c r="C1242" s="1">
        <v>37.216681179200002</v>
      </c>
      <c r="D1242" s="1">
        <v>-7.0958849882799999</v>
      </c>
      <c r="E1242" s="3">
        <v>2</v>
      </c>
      <c r="F1242" s="2">
        <v>1</v>
      </c>
      <c r="G1242" s="4">
        <v>2</v>
      </c>
      <c r="H1242" s="13"/>
      <c r="I1242" s="15"/>
      <c r="J1242" s="19">
        <v>2</v>
      </c>
      <c r="K1242" s="2" t="s">
        <v>2495</v>
      </c>
      <c r="L1242" s="11" t="str">
        <f t="shared" si="20"/>
        <v>Ver Imagen</v>
      </c>
      <c r="M1242" t="s">
        <v>15</v>
      </c>
    </row>
    <row r="1243" spans="1:13" x14ac:dyDescent="0.25">
      <c r="A1243">
        <v>1242</v>
      </c>
      <c r="B1243" t="s">
        <v>2496</v>
      </c>
      <c r="C1243" s="1">
        <v>37.216620754399997</v>
      </c>
      <c r="D1243" s="1">
        <v>-7.0951318888200001</v>
      </c>
      <c r="E1243" s="3">
        <v>2</v>
      </c>
      <c r="F1243" s="2">
        <v>1</v>
      </c>
      <c r="G1243" s="4">
        <v>2</v>
      </c>
      <c r="H1243" s="13"/>
      <c r="I1243" s="15"/>
      <c r="J1243" s="19">
        <v>2</v>
      </c>
      <c r="K1243" s="2" t="s">
        <v>2497</v>
      </c>
      <c r="L1243" s="11" t="str">
        <f t="shared" si="20"/>
        <v>Ver Imagen</v>
      </c>
      <c r="M1243" t="s">
        <v>15</v>
      </c>
    </row>
    <row r="1244" spans="1:13" x14ac:dyDescent="0.25">
      <c r="A1244">
        <v>1243</v>
      </c>
      <c r="B1244" t="s">
        <v>2498</v>
      </c>
      <c r="C1244" s="1">
        <v>37.2166322685</v>
      </c>
      <c r="D1244" s="1">
        <v>-7.0944229078800003</v>
      </c>
      <c r="E1244" s="3">
        <v>2</v>
      </c>
      <c r="F1244" s="2">
        <v>2</v>
      </c>
      <c r="G1244" s="4">
        <v>3</v>
      </c>
      <c r="H1244" s="13"/>
      <c r="I1244" s="15"/>
      <c r="J1244" s="19">
        <v>2</v>
      </c>
      <c r="K1244" s="2" t="s">
        <v>2499</v>
      </c>
      <c r="L1244" s="11" t="str">
        <f t="shared" si="20"/>
        <v>Ver Imagen</v>
      </c>
      <c r="M1244" t="s">
        <v>15</v>
      </c>
    </row>
    <row r="1245" spans="1:13" x14ac:dyDescent="0.25">
      <c r="A1245">
        <v>1244</v>
      </c>
      <c r="B1245" t="s">
        <v>2500</v>
      </c>
      <c r="C1245" s="1">
        <v>37.216496704800001</v>
      </c>
      <c r="D1245" s="1">
        <v>-7.0926528296300004</v>
      </c>
      <c r="E1245" s="3">
        <v>2</v>
      </c>
      <c r="F1245" s="2">
        <v>1</v>
      </c>
      <c r="G1245" s="4">
        <v>2</v>
      </c>
      <c r="H1245" s="13"/>
      <c r="I1245" s="15"/>
      <c r="J1245" s="19">
        <v>2</v>
      </c>
      <c r="K1245" s="2" t="s">
        <v>2501</v>
      </c>
      <c r="L1245" s="11" t="str">
        <f t="shared" si="20"/>
        <v>Ver Imagen</v>
      </c>
      <c r="M1245" t="s">
        <v>15</v>
      </c>
    </row>
    <row r="1246" spans="1:13" x14ac:dyDescent="0.25">
      <c r="A1246">
        <v>1245</v>
      </c>
      <c r="B1246" t="s">
        <v>2502</v>
      </c>
      <c r="C1246" s="1">
        <v>37.216455204399999</v>
      </c>
      <c r="D1246" s="1">
        <v>-7.0923913691099996</v>
      </c>
      <c r="E1246" s="3">
        <v>2</v>
      </c>
      <c r="F1246" s="2">
        <v>1</v>
      </c>
      <c r="G1246" s="4">
        <v>2</v>
      </c>
      <c r="H1246" s="13"/>
      <c r="I1246" s="15"/>
      <c r="J1246" s="19">
        <v>2</v>
      </c>
      <c r="K1246" s="2" t="s">
        <v>2503</v>
      </c>
      <c r="L1246" s="11" t="str">
        <f t="shared" si="20"/>
        <v>Ver Imagen</v>
      </c>
      <c r="M1246" t="s">
        <v>15</v>
      </c>
    </row>
    <row r="1247" spans="1:13" x14ac:dyDescent="0.25">
      <c r="A1247">
        <v>1246</v>
      </c>
      <c r="B1247" t="s">
        <v>2504</v>
      </c>
      <c r="C1247" s="1">
        <v>37.2164189509</v>
      </c>
      <c r="D1247" s="1">
        <v>-7.0921628833800003</v>
      </c>
      <c r="E1247" s="3">
        <v>2</v>
      </c>
      <c r="F1247" s="2">
        <v>2</v>
      </c>
      <c r="G1247" s="4">
        <v>3</v>
      </c>
      <c r="H1247" s="13"/>
      <c r="I1247" s="15"/>
      <c r="J1247" s="19">
        <v>2</v>
      </c>
      <c r="K1247" s="2" t="s">
        <v>2505</v>
      </c>
      <c r="L1247" s="11" t="str">
        <f t="shared" si="20"/>
        <v>Ver Imagen</v>
      </c>
      <c r="M1247" t="s">
        <v>15</v>
      </c>
    </row>
    <row r="1248" spans="1:13" x14ac:dyDescent="0.25">
      <c r="A1248">
        <v>1247</v>
      </c>
      <c r="B1248" t="s">
        <v>2506</v>
      </c>
      <c r="C1248" s="1">
        <v>37.216217036700002</v>
      </c>
      <c r="D1248" s="1">
        <v>-7.0908944264500002</v>
      </c>
      <c r="E1248" s="3">
        <v>1</v>
      </c>
      <c r="F1248" s="2">
        <v>2</v>
      </c>
      <c r="G1248" s="4">
        <v>2</v>
      </c>
      <c r="H1248" s="13"/>
      <c r="I1248" s="15"/>
      <c r="J1248" s="19">
        <v>2</v>
      </c>
      <c r="K1248" s="2" t="s">
        <v>2507</v>
      </c>
      <c r="L1248" s="11" t="str">
        <f t="shared" si="20"/>
        <v>Ver Imagen</v>
      </c>
      <c r="M1248" t="s">
        <v>15</v>
      </c>
    </row>
    <row r="1249" spans="1:13" x14ac:dyDescent="0.25">
      <c r="A1249">
        <v>1248</v>
      </c>
      <c r="B1249" t="s">
        <v>2508</v>
      </c>
      <c r="C1249" s="1">
        <v>37.216129752999997</v>
      </c>
      <c r="D1249" s="1">
        <v>-7.0901821287800004</v>
      </c>
      <c r="E1249" s="3">
        <v>1</v>
      </c>
      <c r="F1249" s="2">
        <v>2</v>
      </c>
      <c r="G1249" s="4">
        <v>2</v>
      </c>
      <c r="H1249" s="13"/>
      <c r="I1249" s="15"/>
      <c r="J1249" s="19">
        <v>2</v>
      </c>
      <c r="K1249" s="2" t="s">
        <v>2509</v>
      </c>
      <c r="L1249" s="11" t="str">
        <f t="shared" si="20"/>
        <v>Ver Imagen</v>
      </c>
      <c r="M1249" t="s">
        <v>15</v>
      </c>
    </row>
    <row r="1250" spans="1:13" x14ac:dyDescent="0.25">
      <c r="A1250">
        <v>1249</v>
      </c>
      <c r="B1250" t="s">
        <v>2510</v>
      </c>
      <c r="C1250" s="1">
        <v>37.216104340900003</v>
      </c>
      <c r="D1250" s="1">
        <v>-7.08990385264</v>
      </c>
      <c r="E1250" s="3">
        <v>2</v>
      </c>
      <c r="F1250" s="2">
        <v>2</v>
      </c>
      <c r="G1250" s="4">
        <v>3</v>
      </c>
      <c r="H1250" s="13"/>
      <c r="I1250" s="15"/>
      <c r="J1250" s="19">
        <v>2</v>
      </c>
      <c r="K1250" s="2" t="s">
        <v>2511</v>
      </c>
      <c r="L1250" s="11" t="str">
        <f t="shared" si="20"/>
        <v>Ver Imagen</v>
      </c>
      <c r="M1250" t="s">
        <v>15</v>
      </c>
    </row>
    <row r="1251" spans="1:13" x14ac:dyDescent="0.25">
      <c r="A1251">
        <v>1250</v>
      </c>
      <c r="B1251" t="s">
        <v>2512</v>
      </c>
      <c r="C1251" s="1">
        <v>37.216019129899998</v>
      </c>
      <c r="D1251" s="1">
        <v>-7.0871150007699999</v>
      </c>
      <c r="E1251" s="3">
        <v>2</v>
      </c>
      <c r="F1251" s="2">
        <v>1</v>
      </c>
      <c r="G1251" s="4">
        <v>2</v>
      </c>
      <c r="H1251" s="13"/>
      <c r="I1251" s="15"/>
      <c r="J1251" s="19">
        <v>2</v>
      </c>
      <c r="K1251" s="2" t="s">
        <v>2513</v>
      </c>
      <c r="L1251" s="11" t="str">
        <f t="shared" si="20"/>
        <v>Ver Imagen</v>
      </c>
      <c r="M1251" t="s">
        <v>15</v>
      </c>
    </row>
    <row r="1252" spans="1:13" x14ac:dyDescent="0.25">
      <c r="A1252">
        <v>1251</v>
      </c>
      <c r="B1252" t="s">
        <v>2514</v>
      </c>
      <c r="C1252" s="1">
        <v>37.216143872899998</v>
      </c>
      <c r="D1252" s="1">
        <v>-7.0853776598999998</v>
      </c>
      <c r="E1252" s="3">
        <v>1</v>
      </c>
      <c r="F1252" s="2">
        <v>2</v>
      </c>
      <c r="G1252" s="4">
        <v>2</v>
      </c>
      <c r="H1252" s="13"/>
      <c r="I1252" s="15"/>
      <c r="J1252" s="19">
        <v>2</v>
      </c>
      <c r="K1252" s="2" t="s">
        <v>2515</v>
      </c>
      <c r="L1252" s="11" t="str">
        <f t="shared" si="20"/>
        <v>Ver Imagen</v>
      </c>
      <c r="M1252" t="s">
        <v>15</v>
      </c>
    </row>
    <row r="1253" spans="1:13" x14ac:dyDescent="0.25">
      <c r="A1253">
        <v>1252</v>
      </c>
      <c r="B1253" t="s">
        <v>2516</v>
      </c>
      <c r="C1253" s="1">
        <v>37.214936227599999</v>
      </c>
      <c r="D1253" s="1">
        <v>-7.0792944287399999</v>
      </c>
      <c r="E1253" s="3">
        <v>2</v>
      </c>
      <c r="F1253" s="2">
        <v>2</v>
      </c>
      <c r="G1253" s="4">
        <v>3</v>
      </c>
      <c r="H1253" s="13"/>
      <c r="I1253" s="15"/>
      <c r="J1253" s="19">
        <v>2</v>
      </c>
      <c r="K1253" s="2" t="s">
        <v>2517</v>
      </c>
      <c r="L1253" s="11" t="str">
        <f t="shared" si="20"/>
        <v>Ver Imagen</v>
      </c>
      <c r="M1253" t="s">
        <v>15</v>
      </c>
    </row>
    <row r="1254" spans="1:13" x14ac:dyDescent="0.25">
      <c r="A1254">
        <v>1253</v>
      </c>
      <c r="B1254" t="s">
        <v>2518</v>
      </c>
      <c r="C1254" s="1">
        <v>37.214893362200002</v>
      </c>
      <c r="D1254" s="1">
        <v>-7.0790827090299997</v>
      </c>
      <c r="E1254" s="3">
        <v>2</v>
      </c>
      <c r="F1254" s="2">
        <v>1</v>
      </c>
      <c r="G1254" s="4">
        <v>2</v>
      </c>
      <c r="H1254" s="13"/>
      <c r="I1254" s="15"/>
      <c r="J1254" s="19">
        <v>2</v>
      </c>
      <c r="K1254" s="2" t="s">
        <v>2519</v>
      </c>
      <c r="L1254" s="11" t="str">
        <f t="shared" si="20"/>
        <v>Ver Imagen</v>
      </c>
      <c r="M1254" t="s">
        <v>15</v>
      </c>
    </row>
    <row r="1255" spans="1:13" x14ac:dyDescent="0.25">
      <c r="A1255">
        <v>1254</v>
      </c>
      <c r="B1255" t="s">
        <v>2520</v>
      </c>
      <c r="C1255" s="1">
        <v>37.214744845200002</v>
      </c>
      <c r="D1255" s="1">
        <v>-7.0783190464099999</v>
      </c>
      <c r="E1255" s="3">
        <v>2</v>
      </c>
      <c r="F1255" s="2">
        <v>1</v>
      </c>
      <c r="G1255" s="4">
        <v>2</v>
      </c>
      <c r="H1255" s="13"/>
      <c r="I1255" s="15"/>
      <c r="J1255" s="19">
        <v>2</v>
      </c>
      <c r="K1255" s="2" t="s">
        <v>2521</v>
      </c>
      <c r="L1255" s="11" t="str">
        <f t="shared" si="20"/>
        <v>Ver Imagen</v>
      </c>
      <c r="M1255" t="s">
        <v>15</v>
      </c>
    </row>
    <row r="1256" spans="1:13" x14ac:dyDescent="0.25">
      <c r="A1256">
        <v>1255</v>
      </c>
      <c r="B1256" t="s">
        <v>2522</v>
      </c>
      <c r="C1256" s="1">
        <v>37.2146479488</v>
      </c>
      <c r="D1256" s="1">
        <v>-7.07781366627</v>
      </c>
      <c r="E1256" s="3">
        <v>2</v>
      </c>
      <c r="F1256" s="2">
        <v>1</v>
      </c>
      <c r="G1256" s="4">
        <v>2</v>
      </c>
      <c r="H1256" s="13"/>
      <c r="I1256" s="15"/>
      <c r="J1256" s="19">
        <v>2</v>
      </c>
      <c r="K1256" s="2" t="s">
        <v>2523</v>
      </c>
      <c r="L1256" s="11" t="str">
        <f t="shared" si="20"/>
        <v>Ver Imagen</v>
      </c>
      <c r="M1256" t="s">
        <v>15</v>
      </c>
    </row>
    <row r="1257" spans="1:13" x14ac:dyDescent="0.25">
      <c r="A1257">
        <v>1256</v>
      </c>
      <c r="B1257" t="s">
        <v>2524</v>
      </c>
      <c r="C1257" s="1">
        <v>37.213967054500003</v>
      </c>
      <c r="D1257" s="1">
        <v>-7.0741581774300002</v>
      </c>
      <c r="E1257" s="3">
        <v>1</v>
      </c>
      <c r="F1257" s="2">
        <v>2</v>
      </c>
      <c r="G1257" s="4">
        <v>2</v>
      </c>
      <c r="H1257" s="13"/>
      <c r="I1257" s="15"/>
      <c r="J1257" s="19">
        <v>2</v>
      </c>
      <c r="K1257" s="2" t="s">
        <v>2525</v>
      </c>
      <c r="L1257" s="11" t="str">
        <f t="shared" si="20"/>
        <v>Ver Imagen</v>
      </c>
      <c r="M1257" t="s">
        <v>15</v>
      </c>
    </row>
    <row r="1258" spans="1:13" x14ac:dyDescent="0.25">
      <c r="A1258">
        <v>1257</v>
      </c>
      <c r="B1258" t="s">
        <v>2526</v>
      </c>
      <c r="C1258" s="1">
        <v>37.2137514028</v>
      </c>
      <c r="D1258" s="1">
        <v>-7.0723811905799998</v>
      </c>
      <c r="E1258" s="3">
        <v>2</v>
      </c>
      <c r="F1258" s="2">
        <v>1</v>
      </c>
      <c r="G1258" s="4">
        <v>2</v>
      </c>
      <c r="H1258" s="13"/>
      <c r="I1258" s="15"/>
      <c r="J1258" s="19">
        <v>2</v>
      </c>
      <c r="K1258" s="2" t="s">
        <v>2527</v>
      </c>
      <c r="L1258" s="11" t="str">
        <f t="shared" si="20"/>
        <v>Ver Imagen</v>
      </c>
      <c r="M1258" t="s">
        <v>15</v>
      </c>
    </row>
    <row r="1259" spans="1:13" x14ac:dyDescent="0.25">
      <c r="A1259">
        <v>1258</v>
      </c>
      <c r="B1259" t="s">
        <v>2528</v>
      </c>
      <c r="C1259" s="1">
        <v>37.213725746900003</v>
      </c>
      <c r="D1259" s="1">
        <v>-7.0721402618799996</v>
      </c>
      <c r="E1259" s="3">
        <v>2</v>
      </c>
      <c r="F1259" s="2">
        <v>1</v>
      </c>
      <c r="G1259" s="4">
        <v>2</v>
      </c>
      <c r="H1259" s="13"/>
      <c r="I1259" s="15"/>
      <c r="J1259" s="19">
        <v>2</v>
      </c>
      <c r="K1259" s="2" t="s">
        <v>2529</v>
      </c>
      <c r="L1259" s="11" t="str">
        <f t="shared" si="20"/>
        <v>Ver Imagen</v>
      </c>
      <c r="M1259" t="s">
        <v>15</v>
      </c>
    </row>
    <row r="1260" spans="1:13" x14ac:dyDescent="0.25">
      <c r="A1260">
        <v>1259</v>
      </c>
      <c r="B1260" t="s">
        <v>2530</v>
      </c>
      <c r="C1260" s="1">
        <v>37.213670197399999</v>
      </c>
      <c r="D1260" s="1">
        <v>-7.0716525302299997</v>
      </c>
      <c r="E1260" s="3">
        <v>2</v>
      </c>
      <c r="F1260" s="2">
        <v>1</v>
      </c>
      <c r="G1260" s="4">
        <v>2</v>
      </c>
      <c r="H1260" s="13"/>
      <c r="I1260" s="15"/>
      <c r="J1260" s="19">
        <v>2</v>
      </c>
      <c r="K1260" s="2" t="s">
        <v>2531</v>
      </c>
      <c r="L1260" s="11" t="str">
        <f t="shared" si="20"/>
        <v>Ver Imagen</v>
      </c>
      <c r="M1260" t="s">
        <v>15</v>
      </c>
    </row>
    <row r="1261" spans="1:13" x14ac:dyDescent="0.25">
      <c r="A1261">
        <v>1260</v>
      </c>
      <c r="B1261" t="s">
        <v>2532</v>
      </c>
      <c r="C1261" s="1">
        <v>37.213366653900003</v>
      </c>
      <c r="D1261" s="1">
        <v>-7.0671115241400004</v>
      </c>
      <c r="E1261" s="3">
        <v>2</v>
      </c>
      <c r="F1261" s="2">
        <v>1</v>
      </c>
      <c r="G1261" s="4">
        <v>2</v>
      </c>
      <c r="H1261" s="13"/>
      <c r="I1261" s="15"/>
      <c r="J1261" s="19">
        <v>2</v>
      </c>
      <c r="K1261" s="2" t="s">
        <v>2533</v>
      </c>
      <c r="L1261" s="11" t="str">
        <f t="shared" si="20"/>
        <v>Ver Imagen</v>
      </c>
      <c r="M1261" t="s">
        <v>15</v>
      </c>
    </row>
    <row r="1262" spans="1:13" x14ac:dyDescent="0.25">
      <c r="A1262">
        <v>1261</v>
      </c>
      <c r="B1262" t="s">
        <v>2534</v>
      </c>
      <c r="C1262" s="1">
        <v>37.213338768699998</v>
      </c>
      <c r="D1262" s="1">
        <v>-7.0663780877700004</v>
      </c>
      <c r="E1262" s="3">
        <v>2</v>
      </c>
      <c r="F1262" s="2">
        <v>2</v>
      </c>
      <c r="G1262" s="4">
        <v>3</v>
      </c>
      <c r="H1262" s="13"/>
      <c r="I1262" s="15"/>
      <c r="J1262" s="19">
        <v>2</v>
      </c>
      <c r="K1262" s="2" t="s">
        <v>2535</v>
      </c>
      <c r="L1262" s="11" t="str">
        <f t="shared" si="20"/>
        <v>Ver Imagen</v>
      </c>
      <c r="M1262" t="s">
        <v>15</v>
      </c>
    </row>
    <row r="1263" spans="1:13" x14ac:dyDescent="0.25">
      <c r="A1263">
        <v>1262</v>
      </c>
      <c r="B1263" t="s">
        <v>2536</v>
      </c>
      <c r="C1263" s="1">
        <v>37.213199674000002</v>
      </c>
      <c r="D1263" s="1">
        <v>-7.0628920503200003</v>
      </c>
      <c r="E1263" s="3">
        <v>1</v>
      </c>
      <c r="F1263" s="2">
        <v>2</v>
      </c>
      <c r="G1263" s="4">
        <v>2</v>
      </c>
      <c r="H1263" s="13"/>
      <c r="I1263" s="15"/>
      <c r="J1263" s="19">
        <v>2</v>
      </c>
      <c r="K1263" s="2" t="s">
        <v>2537</v>
      </c>
      <c r="L1263" s="11" t="str">
        <f t="shared" si="20"/>
        <v>Ver Imagen</v>
      </c>
      <c r="M1263" t="s">
        <v>15</v>
      </c>
    </row>
    <row r="1264" spans="1:13" x14ac:dyDescent="0.25">
      <c r="A1264">
        <v>1263</v>
      </c>
      <c r="B1264" t="s">
        <v>2538</v>
      </c>
      <c r="C1264" s="1">
        <v>37.212964242300004</v>
      </c>
      <c r="D1264" s="1">
        <v>-7.0616754362099998</v>
      </c>
      <c r="E1264" s="3">
        <v>2</v>
      </c>
      <c r="F1264" s="2">
        <v>2</v>
      </c>
      <c r="G1264" s="4">
        <v>3</v>
      </c>
      <c r="H1264" s="13"/>
      <c r="I1264" s="15"/>
      <c r="J1264" s="19">
        <v>2</v>
      </c>
      <c r="K1264" s="2" t="s">
        <v>2539</v>
      </c>
      <c r="L1264" s="11" t="str">
        <f t="shared" si="20"/>
        <v>Ver Imagen</v>
      </c>
      <c r="M1264" t="s">
        <v>15</v>
      </c>
    </row>
    <row r="1265" spans="1:13" x14ac:dyDescent="0.25">
      <c r="A1265">
        <v>1264</v>
      </c>
      <c r="B1265" t="s">
        <v>2540</v>
      </c>
      <c r="C1265" s="1">
        <v>37.2127957147</v>
      </c>
      <c r="D1265" s="1">
        <v>-7.0611791313500003</v>
      </c>
      <c r="E1265" s="3">
        <v>1</v>
      </c>
      <c r="F1265" s="2">
        <v>2</v>
      </c>
      <c r="G1265" s="4">
        <v>2</v>
      </c>
      <c r="H1265" s="13"/>
      <c r="I1265" s="15"/>
      <c r="J1265" s="19">
        <v>2</v>
      </c>
      <c r="K1265" s="2" t="s">
        <v>2541</v>
      </c>
      <c r="L1265" s="11" t="str">
        <f t="shared" si="20"/>
        <v>Ver Imagen</v>
      </c>
      <c r="M1265" t="s">
        <v>15</v>
      </c>
    </row>
    <row r="1266" spans="1:13" x14ac:dyDescent="0.25">
      <c r="A1266">
        <v>1265</v>
      </c>
      <c r="B1266" t="s">
        <v>2542</v>
      </c>
      <c r="C1266" s="1">
        <v>37.2124622376</v>
      </c>
      <c r="D1266" s="1">
        <v>-7.0602886627599997</v>
      </c>
      <c r="E1266" s="3">
        <v>2</v>
      </c>
      <c r="F1266" s="2">
        <v>1</v>
      </c>
      <c r="G1266" s="4">
        <v>2</v>
      </c>
      <c r="H1266" s="13"/>
      <c r="I1266" s="15"/>
      <c r="J1266" s="19">
        <v>2</v>
      </c>
      <c r="K1266" s="2" t="s">
        <v>2543</v>
      </c>
      <c r="L1266" s="11" t="str">
        <f t="shared" si="20"/>
        <v>Ver Imagen</v>
      </c>
      <c r="M1266" t="s">
        <v>15</v>
      </c>
    </row>
    <row r="1267" spans="1:13" x14ac:dyDescent="0.25">
      <c r="A1267">
        <v>1266</v>
      </c>
      <c r="B1267" t="s">
        <v>2544</v>
      </c>
      <c r="C1267" s="1">
        <v>37.212196907399999</v>
      </c>
      <c r="D1267" s="1">
        <v>-7.05956956085</v>
      </c>
      <c r="E1267" s="3">
        <v>1</v>
      </c>
      <c r="F1267" s="2">
        <v>2</v>
      </c>
      <c r="G1267" s="4">
        <v>2</v>
      </c>
      <c r="H1267" s="13"/>
      <c r="I1267" s="15"/>
      <c r="J1267" s="19">
        <v>2</v>
      </c>
      <c r="K1267" s="2" t="s">
        <v>2545</v>
      </c>
      <c r="L1267" s="11" t="str">
        <f t="shared" si="20"/>
        <v>Ver Imagen</v>
      </c>
      <c r="M1267" t="s">
        <v>15</v>
      </c>
    </row>
    <row r="1268" spans="1:13" x14ac:dyDescent="0.25">
      <c r="A1268">
        <v>1267</v>
      </c>
      <c r="B1268" t="s">
        <v>2546</v>
      </c>
      <c r="C1268" s="1">
        <v>37.211283782499997</v>
      </c>
      <c r="D1268" s="1">
        <v>-7.0565389830700003</v>
      </c>
      <c r="E1268" s="3">
        <v>1</v>
      </c>
      <c r="F1268" s="2">
        <v>2</v>
      </c>
      <c r="G1268" s="4">
        <v>2</v>
      </c>
      <c r="H1268" s="13"/>
      <c r="I1268" s="15"/>
      <c r="J1268" s="19">
        <v>2</v>
      </c>
      <c r="K1268" s="2" t="s">
        <v>2547</v>
      </c>
      <c r="L1268" s="11" t="str">
        <f t="shared" si="20"/>
        <v>Ver Imagen</v>
      </c>
      <c r="M1268" t="s">
        <v>15</v>
      </c>
    </row>
    <row r="1269" spans="1:13" x14ac:dyDescent="0.25">
      <c r="A1269">
        <v>1268</v>
      </c>
      <c r="B1269" t="s">
        <v>2548</v>
      </c>
      <c r="C1269" s="1">
        <v>37.211068974900002</v>
      </c>
      <c r="D1269" s="1">
        <v>-7.05477684356</v>
      </c>
      <c r="E1269" s="3">
        <v>2</v>
      </c>
      <c r="F1269" s="2">
        <v>3</v>
      </c>
      <c r="G1269" s="4">
        <v>2</v>
      </c>
      <c r="H1269" s="13"/>
      <c r="I1269" s="15"/>
      <c r="J1269" s="19">
        <v>2</v>
      </c>
      <c r="K1269" s="2" t="s">
        <v>2549</v>
      </c>
      <c r="L1269" s="11" t="str">
        <f t="shared" si="20"/>
        <v>Ver Imagen</v>
      </c>
      <c r="M1269" t="s">
        <v>15</v>
      </c>
    </row>
    <row r="1270" spans="1:13" x14ac:dyDescent="0.25">
      <c r="A1270">
        <v>1269</v>
      </c>
      <c r="B1270" t="s">
        <v>2550</v>
      </c>
      <c r="C1270" s="1">
        <v>37.211001604499998</v>
      </c>
      <c r="D1270" s="1">
        <v>-7.0542725967799997</v>
      </c>
      <c r="E1270" s="3">
        <v>3</v>
      </c>
      <c r="F1270" s="2">
        <v>2</v>
      </c>
      <c r="G1270" s="4">
        <v>2</v>
      </c>
      <c r="H1270" s="13"/>
      <c r="I1270" s="15"/>
      <c r="J1270" s="19">
        <v>2</v>
      </c>
      <c r="K1270" s="2" t="s">
        <v>2551</v>
      </c>
      <c r="L1270" s="11" t="str">
        <f t="shared" si="20"/>
        <v>Ver Imagen</v>
      </c>
      <c r="M1270" t="s">
        <v>15</v>
      </c>
    </row>
    <row r="1271" spans="1:13" x14ac:dyDescent="0.25">
      <c r="A1271">
        <v>1270</v>
      </c>
      <c r="B1271" t="s">
        <v>2552</v>
      </c>
      <c r="C1271" s="1">
        <v>37.210906997400002</v>
      </c>
      <c r="D1271" s="1">
        <v>-7.0538094434699996</v>
      </c>
      <c r="E1271" s="3">
        <v>2</v>
      </c>
      <c r="F1271" s="2">
        <v>3</v>
      </c>
      <c r="G1271" s="4">
        <v>2</v>
      </c>
      <c r="H1271" s="13"/>
      <c r="I1271" s="15"/>
      <c r="J1271" s="19">
        <v>2</v>
      </c>
      <c r="K1271" s="2" t="s">
        <v>2553</v>
      </c>
      <c r="L1271" s="11" t="str">
        <f t="shared" si="20"/>
        <v>Ver Imagen</v>
      </c>
      <c r="M1271" t="s">
        <v>15</v>
      </c>
    </row>
    <row r="1272" spans="1:13" x14ac:dyDescent="0.25">
      <c r="A1272">
        <v>1271</v>
      </c>
      <c r="B1272" t="s">
        <v>2554</v>
      </c>
      <c r="C1272" s="1">
        <v>37.210875616800003</v>
      </c>
      <c r="D1272" s="1">
        <v>-7.0513045140899999</v>
      </c>
      <c r="E1272" s="3">
        <v>2</v>
      </c>
      <c r="F1272" s="2">
        <v>3</v>
      </c>
      <c r="G1272" s="4">
        <v>2</v>
      </c>
      <c r="H1272" s="13"/>
      <c r="I1272" s="15"/>
      <c r="J1272" s="19">
        <v>2</v>
      </c>
      <c r="K1272" s="2" t="s">
        <v>2555</v>
      </c>
      <c r="L1272" s="11" t="str">
        <f t="shared" si="20"/>
        <v>Ver Imagen</v>
      </c>
      <c r="M1272" t="s">
        <v>15</v>
      </c>
    </row>
    <row r="1273" spans="1:13" x14ac:dyDescent="0.25">
      <c r="A1273">
        <v>1272</v>
      </c>
      <c r="B1273" t="s">
        <v>2556</v>
      </c>
      <c r="C1273" s="1">
        <v>37.211734149100003</v>
      </c>
      <c r="D1273" s="1">
        <v>-7.0487558094700002</v>
      </c>
      <c r="E1273" s="3">
        <v>2</v>
      </c>
      <c r="F1273" s="2">
        <v>1</v>
      </c>
      <c r="G1273" s="4">
        <v>2</v>
      </c>
      <c r="H1273" s="13"/>
      <c r="I1273" s="15"/>
      <c r="J1273" s="19">
        <v>2</v>
      </c>
      <c r="K1273" s="2" t="s">
        <v>2557</v>
      </c>
      <c r="L1273" s="11" t="str">
        <f t="shared" si="20"/>
        <v>Ver Imagen</v>
      </c>
      <c r="M1273" t="s">
        <v>15</v>
      </c>
    </row>
    <row r="1274" spans="1:13" x14ac:dyDescent="0.25">
      <c r="A1274">
        <v>1273</v>
      </c>
      <c r="B1274" t="s">
        <v>2558</v>
      </c>
      <c r="C1274" s="1">
        <v>37.211607974099998</v>
      </c>
      <c r="D1274" s="1">
        <v>-7.0469668201299998</v>
      </c>
      <c r="E1274" s="3">
        <v>2</v>
      </c>
      <c r="F1274" s="2">
        <v>3</v>
      </c>
      <c r="G1274" s="4">
        <v>2</v>
      </c>
      <c r="H1274" s="13"/>
      <c r="I1274" s="15"/>
      <c r="J1274" s="19">
        <v>2</v>
      </c>
      <c r="K1274" s="2" t="s">
        <v>2559</v>
      </c>
      <c r="L1274" s="11" t="str">
        <f t="shared" si="20"/>
        <v>Ver Imagen</v>
      </c>
      <c r="M1274" t="s">
        <v>15</v>
      </c>
    </row>
    <row r="1275" spans="1:13" x14ac:dyDescent="0.25">
      <c r="A1275">
        <v>1274</v>
      </c>
      <c r="B1275" t="s">
        <v>2560</v>
      </c>
      <c r="C1275" s="1">
        <v>37.211421104199999</v>
      </c>
      <c r="D1275" s="1">
        <v>-7.04596185764</v>
      </c>
      <c r="E1275" s="3">
        <v>2</v>
      </c>
      <c r="F1275" s="2">
        <v>1</v>
      </c>
      <c r="G1275" s="4">
        <v>2</v>
      </c>
      <c r="H1275" s="13"/>
      <c r="I1275" s="15"/>
      <c r="J1275" s="19">
        <v>2</v>
      </c>
      <c r="K1275" s="2" t="s">
        <v>2561</v>
      </c>
      <c r="L1275" s="11" t="str">
        <f t="shared" si="20"/>
        <v>Ver Imagen</v>
      </c>
      <c r="M1275" t="s">
        <v>15</v>
      </c>
    </row>
    <row r="1276" spans="1:13" x14ac:dyDescent="0.25">
      <c r="A1276">
        <v>1275</v>
      </c>
      <c r="B1276" t="s">
        <v>2562</v>
      </c>
      <c r="C1276" s="1">
        <v>37.210682353999999</v>
      </c>
      <c r="D1276" s="1">
        <v>-7.04357545473</v>
      </c>
      <c r="E1276" s="3">
        <v>2</v>
      </c>
      <c r="F1276" s="2">
        <v>3</v>
      </c>
      <c r="G1276" s="4">
        <v>2</v>
      </c>
      <c r="H1276" s="13"/>
      <c r="I1276" s="15"/>
      <c r="J1276" s="19">
        <v>2</v>
      </c>
      <c r="K1276" s="2" t="s">
        <v>2563</v>
      </c>
      <c r="L1276" s="11" t="str">
        <f t="shared" si="20"/>
        <v>Ver Imagen</v>
      </c>
      <c r="M1276" t="s">
        <v>15</v>
      </c>
    </row>
    <row r="1277" spans="1:13" x14ac:dyDescent="0.25">
      <c r="A1277">
        <v>1276</v>
      </c>
      <c r="B1277" t="s">
        <v>2564</v>
      </c>
      <c r="C1277" s="1">
        <v>37.210111189899997</v>
      </c>
      <c r="D1277" s="1">
        <v>-7.0420344324100004</v>
      </c>
      <c r="E1277" s="3">
        <v>2</v>
      </c>
      <c r="F1277" s="2">
        <v>3</v>
      </c>
      <c r="G1277" s="4">
        <v>2</v>
      </c>
      <c r="H1277" s="13"/>
      <c r="I1277" s="15"/>
      <c r="J1277" s="19">
        <v>2</v>
      </c>
      <c r="K1277" s="2" t="s">
        <v>2565</v>
      </c>
      <c r="L1277" s="11" t="str">
        <f t="shared" si="20"/>
        <v>Ver Imagen</v>
      </c>
      <c r="M1277" t="s">
        <v>15</v>
      </c>
    </row>
    <row r="1278" spans="1:13" x14ac:dyDescent="0.25">
      <c r="A1278">
        <v>1277</v>
      </c>
      <c r="B1278" t="s">
        <v>2566</v>
      </c>
      <c r="C1278" s="1">
        <v>37.209765633700002</v>
      </c>
      <c r="D1278" s="1">
        <v>-7.0411177549600001</v>
      </c>
      <c r="E1278" s="3">
        <v>2</v>
      </c>
      <c r="F1278" s="2">
        <v>3</v>
      </c>
      <c r="G1278" s="4">
        <v>2</v>
      </c>
      <c r="H1278" s="13"/>
      <c r="I1278" s="15"/>
      <c r="J1278" s="19">
        <v>2</v>
      </c>
      <c r="K1278" s="2" t="s">
        <v>2567</v>
      </c>
      <c r="L1278" s="11" t="str">
        <f t="shared" si="20"/>
        <v>Ver Imagen</v>
      </c>
      <c r="M1278" t="s">
        <v>15</v>
      </c>
    </row>
    <row r="1279" spans="1:13" x14ac:dyDescent="0.25">
      <c r="A1279">
        <v>1278</v>
      </c>
      <c r="B1279" t="s">
        <v>2568</v>
      </c>
      <c r="C1279" s="1">
        <v>37.208814296</v>
      </c>
      <c r="D1279" s="1">
        <v>-7.0386351942100003</v>
      </c>
      <c r="E1279" s="3">
        <v>2</v>
      </c>
      <c r="F1279" s="2">
        <v>3</v>
      </c>
      <c r="G1279" s="4">
        <v>2</v>
      </c>
      <c r="H1279" s="13"/>
      <c r="I1279" s="15"/>
      <c r="J1279" s="19">
        <v>2</v>
      </c>
      <c r="K1279" s="2" t="s">
        <v>2569</v>
      </c>
      <c r="L1279" s="11" t="str">
        <f t="shared" si="20"/>
        <v>Ver Imagen</v>
      </c>
      <c r="M1279" t="s">
        <v>15</v>
      </c>
    </row>
    <row r="1280" spans="1:13" x14ac:dyDescent="0.25">
      <c r="A1280">
        <v>1279</v>
      </c>
      <c r="B1280" t="s">
        <v>2570</v>
      </c>
      <c r="C1280" s="1">
        <v>37.208103942800001</v>
      </c>
      <c r="D1280" s="1">
        <v>-7.0367953868999997</v>
      </c>
      <c r="E1280" s="3">
        <v>2</v>
      </c>
      <c r="F1280" s="2">
        <v>3</v>
      </c>
      <c r="G1280" s="4">
        <v>2</v>
      </c>
      <c r="H1280" s="13"/>
      <c r="I1280" s="15"/>
      <c r="J1280" s="19">
        <v>2</v>
      </c>
      <c r="K1280" s="2" t="s">
        <v>2571</v>
      </c>
      <c r="L1280" s="11" t="str">
        <f t="shared" si="20"/>
        <v>Ver Imagen</v>
      </c>
      <c r="M1280" t="s">
        <v>15</v>
      </c>
    </row>
    <row r="1281" spans="1:13" x14ac:dyDescent="0.25">
      <c r="A1281">
        <v>1280</v>
      </c>
      <c r="B1281" t="s">
        <v>2572</v>
      </c>
      <c r="C1281" s="1">
        <v>37.208014602900001</v>
      </c>
      <c r="D1281" s="1">
        <v>-7.0365656578199998</v>
      </c>
      <c r="E1281" s="3">
        <v>2</v>
      </c>
      <c r="F1281" s="2">
        <v>3</v>
      </c>
      <c r="G1281" s="4">
        <v>2</v>
      </c>
      <c r="H1281" s="13"/>
      <c r="I1281" s="15"/>
      <c r="J1281" s="19">
        <v>2</v>
      </c>
      <c r="K1281" s="2" t="s">
        <v>2573</v>
      </c>
      <c r="L1281" s="11" t="str">
        <f t="shared" si="20"/>
        <v>Ver Imagen</v>
      </c>
      <c r="M1281" t="s">
        <v>15</v>
      </c>
    </row>
    <row r="1282" spans="1:13" x14ac:dyDescent="0.25">
      <c r="A1282">
        <v>1281</v>
      </c>
      <c r="B1282" t="s">
        <v>2574</v>
      </c>
      <c r="C1282" s="1">
        <v>37.207832685200003</v>
      </c>
      <c r="D1282" s="1">
        <v>-7.0360955012900002</v>
      </c>
      <c r="E1282" s="3">
        <v>2</v>
      </c>
      <c r="F1282" s="2">
        <v>3</v>
      </c>
      <c r="G1282" s="4">
        <v>2</v>
      </c>
      <c r="H1282" s="13"/>
      <c r="I1282" s="15"/>
      <c r="J1282" s="19">
        <v>2</v>
      </c>
      <c r="K1282" s="2" t="s">
        <v>2575</v>
      </c>
      <c r="L1282" s="11" t="str">
        <f t="shared" si="20"/>
        <v>Ver Imagen</v>
      </c>
      <c r="M1282" t="s">
        <v>15</v>
      </c>
    </row>
    <row r="1283" spans="1:13" x14ac:dyDescent="0.25">
      <c r="A1283">
        <v>1282</v>
      </c>
      <c r="B1283" t="s">
        <v>2576</v>
      </c>
      <c r="C1283" s="1">
        <v>37.207747600200001</v>
      </c>
      <c r="D1283" s="1">
        <v>-7.0358714583799999</v>
      </c>
      <c r="E1283" s="3">
        <v>2</v>
      </c>
      <c r="F1283" s="2">
        <v>3</v>
      </c>
      <c r="G1283" s="4">
        <v>2</v>
      </c>
      <c r="H1283" s="13"/>
      <c r="I1283" s="15"/>
      <c r="J1283" s="19">
        <v>2</v>
      </c>
      <c r="K1283" s="2" t="s">
        <v>2577</v>
      </c>
      <c r="L1283" s="11" t="str">
        <f t="shared" ref="L1283:L1346" si="21">HYPERLINK("2\1\" &amp; K1283, "Ver Imagen")</f>
        <v>Ver Imagen</v>
      </c>
      <c r="M1283" t="s">
        <v>15</v>
      </c>
    </row>
    <row r="1284" spans="1:13" x14ac:dyDescent="0.25">
      <c r="A1284">
        <v>1283</v>
      </c>
      <c r="B1284" t="s">
        <v>2578</v>
      </c>
      <c r="C1284" s="1">
        <v>37.2075597264</v>
      </c>
      <c r="D1284" s="1">
        <v>-7.0353844257000002</v>
      </c>
      <c r="E1284" s="3">
        <v>2</v>
      </c>
      <c r="F1284" s="2">
        <v>3</v>
      </c>
      <c r="G1284" s="4">
        <v>2</v>
      </c>
      <c r="H1284" s="13"/>
      <c r="I1284" s="15"/>
      <c r="J1284" s="19">
        <v>2</v>
      </c>
      <c r="K1284" s="2" t="s">
        <v>2579</v>
      </c>
      <c r="L1284" s="11" t="str">
        <f t="shared" si="21"/>
        <v>Ver Imagen</v>
      </c>
      <c r="M1284" t="s">
        <v>15</v>
      </c>
    </row>
    <row r="1285" spans="1:13" x14ac:dyDescent="0.25">
      <c r="A1285">
        <v>1284</v>
      </c>
      <c r="B1285" t="s">
        <v>2580</v>
      </c>
      <c r="C1285" s="1">
        <v>37.207195379200002</v>
      </c>
      <c r="D1285" s="1">
        <v>-7.03445179718</v>
      </c>
      <c r="E1285" s="3">
        <v>2</v>
      </c>
      <c r="F1285" s="2">
        <v>3</v>
      </c>
      <c r="G1285" s="4">
        <v>2</v>
      </c>
      <c r="H1285" s="13"/>
      <c r="I1285" s="15"/>
      <c r="J1285" s="19">
        <v>2</v>
      </c>
      <c r="K1285" s="2" t="s">
        <v>2581</v>
      </c>
      <c r="L1285" s="11" t="str">
        <f t="shared" si="21"/>
        <v>Ver Imagen</v>
      </c>
      <c r="M1285" t="s">
        <v>15</v>
      </c>
    </row>
    <row r="1286" spans="1:13" x14ac:dyDescent="0.25">
      <c r="A1286">
        <v>1285</v>
      </c>
      <c r="B1286" t="s">
        <v>2582</v>
      </c>
      <c r="C1286" s="1">
        <v>37.207138327000003</v>
      </c>
      <c r="D1286" s="1">
        <v>-7.0343068528200003</v>
      </c>
      <c r="E1286" s="3">
        <v>2</v>
      </c>
      <c r="F1286" s="2">
        <v>3</v>
      </c>
      <c r="G1286" s="4">
        <v>2</v>
      </c>
      <c r="H1286" s="13"/>
      <c r="I1286" s="15"/>
      <c r="J1286" s="19">
        <v>2</v>
      </c>
      <c r="K1286" s="2" t="s">
        <v>2583</v>
      </c>
      <c r="L1286" s="11" t="str">
        <f t="shared" si="21"/>
        <v>Ver Imagen</v>
      </c>
      <c r="M1286" t="s">
        <v>15</v>
      </c>
    </row>
    <row r="1287" spans="1:13" x14ac:dyDescent="0.25">
      <c r="A1287">
        <v>1286</v>
      </c>
      <c r="B1287" t="s">
        <v>2584</v>
      </c>
      <c r="C1287" s="1">
        <v>37.207034635699998</v>
      </c>
      <c r="D1287" s="1">
        <v>-7.0340408586300001</v>
      </c>
      <c r="E1287" s="3">
        <v>2</v>
      </c>
      <c r="F1287" s="2">
        <v>3</v>
      </c>
      <c r="G1287" s="4">
        <v>2</v>
      </c>
      <c r="H1287" s="13"/>
      <c r="I1287" s="15"/>
      <c r="J1287" s="19">
        <v>2</v>
      </c>
      <c r="K1287" s="2" t="s">
        <v>2585</v>
      </c>
      <c r="L1287" s="11" t="str">
        <f t="shared" si="21"/>
        <v>Ver Imagen</v>
      </c>
      <c r="M1287" t="s">
        <v>15</v>
      </c>
    </row>
    <row r="1288" spans="1:13" x14ac:dyDescent="0.25">
      <c r="A1288">
        <v>1287</v>
      </c>
      <c r="B1288" t="s">
        <v>2586</v>
      </c>
      <c r="C1288" s="1">
        <v>37.206958524500003</v>
      </c>
      <c r="D1288" s="1">
        <v>-7.0338415680499997</v>
      </c>
      <c r="E1288" s="3">
        <v>2</v>
      </c>
      <c r="F1288" s="2">
        <v>3</v>
      </c>
      <c r="G1288" s="4">
        <v>2</v>
      </c>
      <c r="H1288" s="13"/>
      <c r="I1288" s="15"/>
      <c r="J1288" s="19">
        <v>2</v>
      </c>
      <c r="K1288" s="2" t="s">
        <v>2587</v>
      </c>
      <c r="L1288" s="11" t="str">
        <f t="shared" si="21"/>
        <v>Ver Imagen</v>
      </c>
      <c r="M1288" t="s">
        <v>15</v>
      </c>
    </row>
    <row r="1289" spans="1:13" x14ac:dyDescent="0.25">
      <c r="A1289">
        <v>1288</v>
      </c>
      <c r="B1289" t="s">
        <v>2588</v>
      </c>
      <c r="C1289" s="1">
        <v>37.206689034100002</v>
      </c>
      <c r="D1289" s="1">
        <v>-7.03312943229</v>
      </c>
      <c r="E1289" s="3">
        <v>2</v>
      </c>
      <c r="F1289" s="2">
        <v>3</v>
      </c>
      <c r="G1289" s="4">
        <v>2</v>
      </c>
      <c r="H1289" s="13"/>
      <c r="I1289" s="15"/>
      <c r="J1289" s="19">
        <v>2</v>
      </c>
      <c r="K1289" s="2" t="s">
        <v>2589</v>
      </c>
      <c r="L1289" s="11" t="str">
        <f t="shared" si="21"/>
        <v>Ver Imagen</v>
      </c>
      <c r="M1289" t="s">
        <v>15</v>
      </c>
    </row>
    <row r="1290" spans="1:13" x14ac:dyDescent="0.25">
      <c r="A1290">
        <v>1289</v>
      </c>
      <c r="B1290" t="s">
        <v>2590</v>
      </c>
      <c r="C1290" s="1">
        <v>37.206336548499998</v>
      </c>
      <c r="D1290" s="1">
        <v>-7.0322184971299997</v>
      </c>
      <c r="E1290" s="3">
        <v>2</v>
      </c>
      <c r="F1290" s="2">
        <v>3</v>
      </c>
      <c r="G1290" s="4">
        <v>2</v>
      </c>
      <c r="H1290" s="13"/>
      <c r="I1290" s="15"/>
      <c r="J1290" s="19">
        <v>2</v>
      </c>
      <c r="K1290" s="2" t="s">
        <v>2591</v>
      </c>
      <c r="L1290" s="11" t="str">
        <f t="shared" si="21"/>
        <v>Ver Imagen</v>
      </c>
      <c r="M1290" t="s">
        <v>15</v>
      </c>
    </row>
    <row r="1291" spans="1:13" x14ac:dyDescent="0.25">
      <c r="A1291">
        <v>1290</v>
      </c>
      <c r="B1291" t="s">
        <v>2592</v>
      </c>
      <c r="C1291" s="1">
        <v>37.2057129206</v>
      </c>
      <c r="D1291" s="1">
        <v>-7.0305967886499996</v>
      </c>
      <c r="E1291" s="3">
        <v>2</v>
      </c>
      <c r="F1291" s="2">
        <v>3</v>
      </c>
      <c r="G1291" s="4">
        <v>2</v>
      </c>
      <c r="H1291" s="13"/>
      <c r="I1291" s="15"/>
      <c r="J1291" s="19">
        <v>2</v>
      </c>
      <c r="K1291" s="2" t="s">
        <v>2593</v>
      </c>
      <c r="L1291" s="11" t="str">
        <f t="shared" si="21"/>
        <v>Ver Imagen</v>
      </c>
      <c r="M1291" t="s">
        <v>15</v>
      </c>
    </row>
    <row r="1292" spans="1:13" x14ac:dyDescent="0.25">
      <c r="A1292">
        <v>1291</v>
      </c>
      <c r="B1292" t="s">
        <v>2594</v>
      </c>
      <c r="C1292" s="1">
        <v>37.205547230199997</v>
      </c>
      <c r="D1292" s="1">
        <v>-7.03016932285</v>
      </c>
      <c r="E1292" s="3">
        <v>2</v>
      </c>
      <c r="F1292" s="2">
        <v>3</v>
      </c>
      <c r="G1292" s="4">
        <v>2</v>
      </c>
      <c r="H1292" s="13"/>
      <c r="I1292" s="15"/>
      <c r="J1292" s="19">
        <v>2</v>
      </c>
      <c r="K1292" s="2" t="s">
        <v>2595</v>
      </c>
      <c r="L1292" s="11" t="str">
        <f t="shared" si="21"/>
        <v>Ver Imagen</v>
      </c>
      <c r="M1292" t="s">
        <v>15</v>
      </c>
    </row>
    <row r="1293" spans="1:13" x14ac:dyDescent="0.25">
      <c r="A1293">
        <v>1292</v>
      </c>
      <c r="B1293" t="s">
        <v>2596</v>
      </c>
      <c r="C1293" s="1">
        <v>37.203990825299996</v>
      </c>
      <c r="D1293" s="1">
        <v>-7.02608276534</v>
      </c>
      <c r="E1293" s="3">
        <v>3</v>
      </c>
      <c r="F1293" s="2">
        <v>2</v>
      </c>
      <c r="G1293" s="4">
        <v>2</v>
      </c>
      <c r="H1293" s="13"/>
      <c r="I1293" s="15"/>
      <c r="J1293" s="19">
        <v>2</v>
      </c>
      <c r="K1293" s="2" t="s">
        <v>2597</v>
      </c>
      <c r="L1293" s="11" t="str">
        <f t="shared" si="21"/>
        <v>Ver Imagen</v>
      </c>
      <c r="M1293" t="s">
        <v>15</v>
      </c>
    </row>
    <row r="1294" spans="1:13" x14ac:dyDescent="0.25">
      <c r="A1294">
        <v>1293</v>
      </c>
      <c r="B1294" t="s">
        <v>2598</v>
      </c>
      <c r="C1294" s="1">
        <v>37.203463227900002</v>
      </c>
      <c r="D1294" s="1">
        <v>-7.0247100759199999</v>
      </c>
      <c r="E1294" s="3">
        <v>1</v>
      </c>
      <c r="F1294" s="2">
        <v>2</v>
      </c>
      <c r="G1294" s="4">
        <v>2</v>
      </c>
      <c r="H1294" s="13"/>
      <c r="I1294" s="15"/>
      <c r="J1294" s="19">
        <v>2</v>
      </c>
      <c r="K1294" s="2" t="s">
        <v>2599</v>
      </c>
      <c r="L1294" s="11" t="str">
        <f t="shared" si="21"/>
        <v>Ver Imagen</v>
      </c>
      <c r="M1294" t="s">
        <v>15</v>
      </c>
    </row>
    <row r="1295" spans="1:13" x14ac:dyDescent="0.25">
      <c r="A1295">
        <v>1294</v>
      </c>
      <c r="B1295" t="s">
        <v>2600</v>
      </c>
      <c r="C1295" s="1">
        <v>37.201368124799998</v>
      </c>
      <c r="D1295" s="1">
        <v>-7.0192491221599997</v>
      </c>
      <c r="E1295" s="3">
        <v>2</v>
      </c>
      <c r="F1295" s="2">
        <v>3</v>
      </c>
      <c r="G1295" s="4">
        <v>2</v>
      </c>
      <c r="H1295" s="13"/>
      <c r="I1295" s="15"/>
      <c r="J1295" s="19">
        <v>2</v>
      </c>
      <c r="K1295" s="2" t="s">
        <v>2601</v>
      </c>
      <c r="L1295" s="11" t="str">
        <f t="shared" si="21"/>
        <v>Ver Imagen</v>
      </c>
      <c r="M1295" t="s">
        <v>15</v>
      </c>
    </row>
    <row r="1296" spans="1:13" x14ac:dyDescent="0.25">
      <c r="A1296">
        <v>1295</v>
      </c>
      <c r="B1296" t="s">
        <v>2602</v>
      </c>
      <c r="C1296" s="1">
        <v>37.201017203799999</v>
      </c>
      <c r="D1296" s="1">
        <v>-7.0183422331700003</v>
      </c>
      <c r="E1296" s="3">
        <v>2</v>
      </c>
      <c r="F1296" s="2">
        <v>3</v>
      </c>
      <c r="G1296" s="4">
        <v>2</v>
      </c>
      <c r="H1296" s="13"/>
      <c r="I1296" s="15"/>
      <c r="J1296" s="19">
        <v>2</v>
      </c>
      <c r="K1296" s="2" t="s">
        <v>2603</v>
      </c>
      <c r="L1296" s="11" t="str">
        <f t="shared" si="21"/>
        <v>Ver Imagen</v>
      </c>
      <c r="M1296" t="s">
        <v>15</v>
      </c>
    </row>
    <row r="1297" spans="1:13" x14ac:dyDescent="0.25">
      <c r="A1297">
        <v>1296</v>
      </c>
      <c r="B1297" t="s">
        <v>2604</v>
      </c>
      <c r="C1297" s="1">
        <v>37.199072154600003</v>
      </c>
      <c r="D1297" s="1">
        <v>-7.01327015691</v>
      </c>
      <c r="E1297" s="3">
        <v>2</v>
      </c>
      <c r="F1297" s="2">
        <v>3</v>
      </c>
      <c r="G1297" s="4">
        <v>2</v>
      </c>
      <c r="H1297" s="13"/>
      <c r="I1297" s="15"/>
      <c r="J1297" s="19">
        <v>2</v>
      </c>
      <c r="K1297" s="2" t="s">
        <v>2605</v>
      </c>
      <c r="L1297" s="11" t="str">
        <f t="shared" si="21"/>
        <v>Ver Imagen</v>
      </c>
      <c r="M1297" t="s">
        <v>15</v>
      </c>
    </row>
    <row r="1298" spans="1:13" x14ac:dyDescent="0.25">
      <c r="A1298">
        <v>1297</v>
      </c>
      <c r="B1298" t="s">
        <v>2606</v>
      </c>
      <c r="C1298" s="1">
        <v>37.198992966600002</v>
      </c>
      <c r="D1298" s="1">
        <v>-7.0130624799800003</v>
      </c>
      <c r="E1298" s="3">
        <v>2</v>
      </c>
      <c r="F1298" s="2">
        <v>3</v>
      </c>
      <c r="G1298" s="4">
        <v>2</v>
      </c>
      <c r="H1298" s="13"/>
      <c r="I1298" s="15"/>
      <c r="J1298" s="19">
        <v>2</v>
      </c>
      <c r="K1298" s="2" t="s">
        <v>2607</v>
      </c>
      <c r="L1298" s="11" t="str">
        <f t="shared" si="21"/>
        <v>Ver Imagen</v>
      </c>
      <c r="M1298" t="s">
        <v>15</v>
      </c>
    </row>
    <row r="1299" spans="1:13" x14ac:dyDescent="0.25">
      <c r="A1299">
        <v>1298</v>
      </c>
      <c r="B1299" t="s">
        <v>2608</v>
      </c>
      <c r="C1299" s="1">
        <v>37.198296666300003</v>
      </c>
      <c r="D1299" s="1">
        <v>-7.0112692165499997</v>
      </c>
      <c r="E1299" s="3">
        <v>2</v>
      </c>
      <c r="F1299" s="2">
        <v>2</v>
      </c>
      <c r="G1299" s="4">
        <v>3</v>
      </c>
      <c r="H1299" s="13"/>
      <c r="I1299" s="15"/>
      <c r="J1299" s="19">
        <v>2</v>
      </c>
      <c r="K1299" s="2" t="s">
        <v>2609</v>
      </c>
      <c r="L1299" s="11" t="str">
        <f t="shared" si="21"/>
        <v>Ver Imagen</v>
      </c>
      <c r="M1299" t="s">
        <v>15</v>
      </c>
    </row>
    <row r="1300" spans="1:13" x14ac:dyDescent="0.25">
      <c r="A1300">
        <v>1299</v>
      </c>
      <c r="B1300" t="s">
        <v>2610</v>
      </c>
      <c r="C1300" s="1">
        <v>37.198195062000003</v>
      </c>
      <c r="D1300" s="1">
        <v>-7.0110069155900003</v>
      </c>
      <c r="E1300" s="3">
        <v>2</v>
      </c>
      <c r="F1300" s="2">
        <v>2</v>
      </c>
      <c r="G1300" s="4">
        <v>3</v>
      </c>
      <c r="H1300" s="13"/>
      <c r="I1300" s="15"/>
      <c r="J1300" s="19">
        <v>2</v>
      </c>
      <c r="K1300" s="2" t="s">
        <v>2611</v>
      </c>
      <c r="L1300" s="11" t="str">
        <f t="shared" si="21"/>
        <v>Ver Imagen</v>
      </c>
      <c r="M1300" t="s">
        <v>15</v>
      </c>
    </row>
    <row r="1301" spans="1:13" x14ac:dyDescent="0.25">
      <c r="A1301">
        <v>1300</v>
      </c>
      <c r="B1301" t="s">
        <v>2612</v>
      </c>
      <c r="C1301" s="1">
        <v>37.1977624238</v>
      </c>
      <c r="D1301" s="1">
        <v>-7.00989189511</v>
      </c>
      <c r="E1301" s="3">
        <v>2</v>
      </c>
      <c r="F1301" s="2">
        <v>2</v>
      </c>
      <c r="G1301" s="4">
        <v>3</v>
      </c>
      <c r="H1301" s="13"/>
      <c r="I1301" s="15"/>
      <c r="J1301" s="19">
        <v>2</v>
      </c>
      <c r="K1301" s="2" t="s">
        <v>2613</v>
      </c>
      <c r="L1301" s="11" t="str">
        <f t="shared" si="21"/>
        <v>Ver Imagen</v>
      </c>
      <c r="M1301" t="s">
        <v>15</v>
      </c>
    </row>
    <row r="1302" spans="1:13" x14ac:dyDescent="0.25">
      <c r="A1302">
        <v>1301</v>
      </c>
      <c r="B1302" t="s">
        <v>2614</v>
      </c>
      <c r="C1302" s="1">
        <v>37.197350017200002</v>
      </c>
      <c r="D1302" s="1">
        <v>-7.0084760799100003</v>
      </c>
      <c r="E1302" s="3">
        <v>2</v>
      </c>
      <c r="F1302" s="2">
        <v>2</v>
      </c>
      <c r="G1302" s="4">
        <v>1</v>
      </c>
      <c r="H1302" s="13"/>
      <c r="I1302" s="15"/>
      <c r="J1302" s="19">
        <v>2</v>
      </c>
      <c r="K1302" s="2" t="s">
        <v>2615</v>
      </c>
      <c r="L1302" s="11" t="str">
        <f t="shared" si="21"/>
        <v>Ver Imagen</v>
      </c>
      <c r="M1302" t="s">
        <v>15</v>
      </c>
    </row>
    <row r="1303" spans="1:13" x14ac:dyDescent="0.25">
      <c r="A1303">
        <v>1302</v>
      </c>
      <c r="B1303" t="s">
        <v>2616</v>
      </c>
      <c r="C1303" s="1">
        <v>37.1972063754</v>
      </c>
      <c r="D1303" s="1">
        <v>-7.0069559464999998</v>
      </c>
      <c r="E1303" s="3">
        <v>2</v>
      </c>
      <c r="F1303" s="2">
        <v>2</v>
      </c>
      <c r="G1303" s="4">
        <v>3</v>
      </c>
      <c r="H1303" s="13"/>
      <c r="I1303" s="15"/>
      <c r="J1303" s="19">
        <v>2</v>
      </c>
      <c r="K1303" s="2" t="s">
        <v>2617</v>
      </c>
      <c r="L1303" s="11" t="str">
        <f t="shared" si="21"/>
        <v>Ver Imagen</v>
      </c>
      <c r="M1303" t="s">
        <v>15</v>
      </c>
    </row>
    <row r="1304" spans="1:13" x14ac:dyDescent="0.25">
      <c r="A1304">
        <v>1303</v>
      </c>
      <c r="B1304" t="s">
        <v>2618</v>
      </c>
      <c r="C1304" s="1">
        <v>37.197053237399999</v>
      </c>
      <c r="D1304" s="1">
        <v>-7.0059873710499998</v>
      </c>
      <c r="E1304" s="3">
        <v>2</v>
      </c>
      <c r="F1304" s="2">
        <v>1</v>
      </c>
      <c r="G1304" s="4">
        <v>2</v>
      </c>
      <c r="H1304" s="13"/>
      <c r="I1304" s="15"/>
      <c r="J1304" s="19">
        <v>2</v>
      </c>
      <c r="K1304" s="2" t="s">
        <v>2619</v>
      </c>
      <c r="L1304" s="11" t="str">
        <f t="shared" si="21"/>
        <v>Ver Imagen</v>
      </c>
      <c r="M1304" t="s">
        <v>15</v>
      </c>
    </row>
    <row r="1305" spans="1:13" x14ac:dyDescent="0.25">
      <c r="A1305">
        <v>1304</v>
      </c>
      <c r="B1305" t="s">
        <v>2620</v>
      </c>
      <c r="C1305" s="1">
        <v>37.196913415099999</v>
      </c>
      <c r="D1305" s="1">
        <v>-7.0054433886099998</v>
      </c>
      <c r="E1305" s="3">
        <v>2</v>
      </c>
      <c r="F1305" s="2">
        <v>2</v>
      </c>
      <c r="G1305" s="4">
        <v>3</v>
      </c>
      <c r="H1305" s="13"/>
      <c r="I1305" s="15"/>
      <c r="J1305" s="19">
        <v>2</v>
      </c>
      <c r="K1305" s="2" t="s">
        <v>2621</v>
      </c>
      <c r="L1305" s="11" t="str">
        <f t="shared" si="21"/>
        <v>Ver Imagen</v>
      </c>
      <c r="M1305" t="s">
        <v>15</v>
      </c>
    </row>
    <row r="1306" spans="1:13" x14ac:dyDescent="0.25">
      <c r="A1306">
        <v>1305</v>
      </c>
      <c r="B1306" t="s">
        <v>2622</v>
      </c>
      <c r="C1306" s="1">
        <v>37.196794796500001</v>
      </c>
      <c r="D1306" s="1">
        <v>-7.0050362828899999</v>
      </c>
      <c r="E1306" s="3">
        <v>2</v>
      </c>
      <c r="F1306" s="2">
        <v>3</v>
      </c>
      <c r="G1306" s="4">
        <v>2</v>
      </c>
      <c r="H1306" s="13"/>
      <c r="I1306" s="15"/>
      <c r="J1306" s="19">
        <v>2</v>
      </c>
      <c r="K1306" s="2" t="s">
        <v>2623</v>
      </c>
      <c r="L1306" s="11" t="str">
        <f t="shared" si="21"/>
        <v>Ver Imagen</v>
      </c>
      <c r="M1306" t="s">
        <v>15</v>
      </c>
    </row>
    <row r="1307" spans="1:13" x14ac:dyDescent="0.25">
      <c r="A1307">
        <v>1306</v>
      </c>
      <c r="B1307" t="s">
        <v>2624</v>
      </c>
      <c r="C1307" s="1">
        <v>37.287816191799998</v>
      </c>
      <c r="D1307" s="1">
        <v>-7.1413530880499998</v>
      </c>
      <c r="E1307" s="3">
        <v>1</v>
      </c>
      <c r="F1307" s="2">
        <v>2</v>
      </c>
      <c r="G1307" s="4">
        <v>2</v>
      </c>
      <c r="H1307" s="13"/>
      <c r="I1307" s="15"/>
      <c r="J1307" s="19">
        <v>2</v>
      </c>
      <c r="K1307" s="2" t="s">
        <v>2625</v>
      </c>
      <c r="L1307" s="11" t="str">
        <f t="shared" si="21"/>
        <v>Ver Imagen</v>
      </c>
      <c r="M1307" t="s">
        <v>15</v>
      </c>
    </row>
    <row r="1308" spans="1:13" x14ac:dyDescent="0.25">
      <c r="A1308">
        <v>1307</v>
      </c>
      <c r="B1308" t="s">
        <v>2626</v>
      </c>
      <c r="C1308" s="1">
        <v>37.275423956200001</v>
      </c>
      <c r="D1308" s="1">
        <v>-7.1427595935500001</v>
      </c>
      <c r="E1308" s="3">
        <v>2</v>
      </c>
      <c r="F1308" s="2">
        <v>3</v>
      </c>
      <c r="G1308" s="4">
        <v>2</v>
      </c>
      <c r="H1308" s="13"/>
      <c r="I1308" s="15"/>
      <c r="J1308" s="19">
        <v>2</v>
      </c>
      <c r="K1308" s="2" t="s">
        <v>2627</v>
      </c>
      <c r="L1308" s="11" t="str">
        <f t="shared" si="21"/>
        <v>Ver Imagen</v>
      </c>
      <c r="M1308" t="s">
        <v>15</v>
      </c>
    </row>
    <row r="1309" spans="1:13" x14ac:dyDescent="0.25">
      <c r="A1309">
        <v>1308</v>
      </c>
      <c r="B1309" t="s">
        <v>2628</v>
      </c>
      <c r="C1309" s="1">
        <v>37.275236812199999</v>
      </c>
      <c r="D1309" s="1">
        <v>-7.1427118440399999</v>
      </c>
      <c r="E1309" s="3">
        <v>2</v>
      </c>
      <c r="F1309" s="2">
        <v>3</v>
      </c>
      <c r="G1309" s="4">
        <v>2</v>
      </c>
      <c r="H1309" s="13"/>
      <c r="I1309" s="15"/>
      <c r="J1309" s="19">
        <v>2</v>
      </c>
      <c r="K1309" s="2" t="s">
        <v>2629</v>
      </c>
      <c r="L1309" s="11" t="str">
        <f t="shared" si="21"/>
        <v>Ver Imagen</v>
      </c>
      <c r="M1309" t="s">
        <v>15</v>
      </c>
    </row>
    <row r="1310" spans="1:13" x14ac:dyDescent="0.25">
      <c r="A1310">
        <v>1309</v>
      </c>
      <c r="B1310" t="s">
        <v>2630</v>
      </c>
      <c r="C1310" s="1">
        <v>37.274831806999998</v>
      </c>
      <c r="D1310" s="1">
        <v>-7.14258501667</v>
      </c>
      <c r="E1310" s="3">
        <v>2</v>
      </c>
      <c r="F1310" s="2">
        <v>3</v>
      </c>
      <c r="G1310" s="4">
        <v>2</v>
      </c>
      <c r="H1310" s="13"/>
      <c r="I1310" s="15"/>
      <c r="J1310" s="19">
        <v>2</v>
      </c>
      <c r="K1310" s="2" t="s">
        <v>2631</v>
      </c>
      <c r="L1310" s="11" t="str">
        <f t="shared" si="21"/>
        <v>Ver Imagen</v>
      </c>
      <c r="M1310" t="s">
        <v>15</v>
      </c>
    </row>
    <row r="1311" spans="1:13" x14ac:dyDescent="0.25">
      <c r="A1311">
        <v>1310</v>
      </c>
      <c r="B1311" t="s">
        <v>2632</v>
      </c>
      <c r="C1311" s="1">
        <v>37.271888789800002</v>
      </c>
      <c r="D1311" s="1">
        <v>-7.1410594136799999</v>
      </c>
      <c r="E1311" s="3">
        <v>2</v>
      </c>
      <c r="F1311" s="2">
        <v>3</v>
      </c>
      <c r="G1311" s="4">
        <v>2</v>
      </c>
      <c r="H1311" s="13"/>
      <c r="I1311" s="15"/>
      <c r="J1311" s="19">
        <v>2</v>
      </c>
      <c r="K1311" s="2" t="s">
        <v>2633</v>
      </c>
      <c r="L1311" s="11" t="str">
        <f t="shared" si="21"/>
        <v>Ver Imagen</v>
      </c>
      <c r="M1311" t="s">
        <v>15</v>
      </c>
    </row>
    <row r="1312" spans="1:13" x14ac:dyDescent="0.25">
      <c r="A1312">
        <v>1311</v>
      </c>
      <c r="B1312" t="s">
        <v>2634</v>
      </c>
      <c r="C1312" s="1">
        <v>37.271714756800002</v>
      </c>
      <c r="D1312" s="1">
        <v>-7.1409063295699999</v>
      </c>
      <c r="E1312" s="3">
        <v>2</v>
      </c>
      <c r="F1312" s="2">
        <v>3</v>
      </c>
      <c r="G1312" s="4">
        <v>2</v>
      </c>
      <c r="H1312" s="13"/>
      <c r="I1312" s="15"/>
      <c r="J1312" s="19">
        <v>2</v>
      </c>
      <c r="K1312" s="2" t="s">
        <v>2635</v>
      </c>
      <c r="L1312" s="11" t="str">
        <f t="shared" si="21"/>
        <v>Ver Imagen</v>
      </c>
      <c r="M1312" t="s">
        <v>15</v>
      </c>
    </row>
    <row r="1313" spans="1:13" x14ac:dyDescent="0.25">
      <c r="A1313">
        <v>1312</v>
      </c>
      <c r="B1313" t="s">
        <v>2636</v>
      </c>
      <c r="C1313" s="1">
        <v>37.271546625699997</v>
      </c>
      <c r="D1313" s="1">
        <v>-7.1407576732600004</v>
      </c>
      <c r="E1313" s="3">
        <v>2</v>
      </c>
      <c r="F1313" s="2">
        <v>3</v>
      </c>
      <c r="G1313" s="4">
        <v>2</v>
      </c>
      <c r="H1313" s="13"/>
      <c r="I1313" s="15"/>
      <c r="J1313" s="19">
        <v>2</v>
      </c>
      <c r="K1313" s="2" t="s">
        <v>2637</v>
      </c>
      <c r="L1313" s="11" t="str">
        <f t="shared" si="21"/>
        <v>Ver Imagen</v>
      </c>
      <c r="M1313" t="s">
        <v>15</v>
      </c>
    </row>
    <row r="1314" spans="1:13" x14ac:dyDescent="0.25">
      <c r="A1314">
        <v>1313</v>
      </c>
      <c r="B1314" t="s">
        <v>2638</v>
      </c>
      <c r="C1314" s="1">
        <v>37.271372019399998</v>
      </c>
      <c r="D1314" s="1">
        <v>-7.14060742768</v>
      </c>
      <c r="E1314" s="3">
        <v>3</v>
      </c>
      <c r="F1314" s="2">
        <v>2</v>
      </c>
      <c r="G1314" s="4">
        <v>2</v>
      </c>
      <c r="H1314" s="13"/>
      <c r="I1314" s="15"/>
      <c r="J1314" s="19">
        <v>2</v>
      </c>
      <c r="K1314" s="2" t="s">
        <v>2639</v>
      </c>
      <c r="L1314" s="11" t="str">
        <f t="shared" si="21"/>
        <v>Ver Imagen</v>
      </c>
      <c r="M1314" t="s">
        <v>15</v>
      </c>
    </row>
    <row r="1315" spans="1:13" x14ac:dyDescent="0.25">
      <c r="A1315">
        <v>1314</v>
      </c>
      <c r="B1315" t="s">
        <v>2640</v>
      </c>
      <c r="C1315" s="1">
        <v>37.266307200100002</v>
      </c>
      <c r="D1315" s="1">
        <v>-7.1330472070599997</v>
      </c>
      <c r="E1315" s="3">
        <v>3</v>
      </c>
      <c r="F1315" s="2">
        <v>2</v>
      </c>
      <c r="G1315" s="4">
        <v>2</v>
      </c>
      <c r="H1315" s="13"/>
      <c r="I1315" s="15"/>
      <c r="J1315" s="19">
        <v>2</v>
      </c>
      <c r="K1315" s="2" t="s">
        <v>2641</v>
      </c>
      <c r="L1315" s="11" t="str">
        <f t="shared" si="21"/>
        <v>Ver Imagen</v>
      </c>
      <c r="M1315" t="s">
        <v>15</v>
      </c>
    </row>
    <row r="1316" spans="1:13" x14ac:dyDescent="0.25">
      <c r="A1316">
        <v>1315</v>
      </c>
      <c r="B1316" t="s">
        <v>2642</v>
      </c>
      <c r="C1316" s="1">
        <v>37.265556017500003</v>
      </c>
      <c r="D1316" s="1">
        <v>-7.1325687232300004</v>
      </c>
      <c r="E1316" s="3">
        <v>2</v>
      </c>
      <c r="F1316" s="2">
        <v>3</v>
      </c>
      <c r="G1316" s="4">
        <v>2</v>
      </c>
      <c r="H1316" s="13"/>
      <c r="I1316" s="15"/>
      <c r="J1316" s="19">
        <v>2</v>
      </c>
      <c r="K1316" s="2" t="s">
        <v>2643</v>
      </c>
      <c r="L1316" s="11" t="str">
        <f t="shared" si="21"/>
        <v>Ver Imagen</v>
      </c>
      <c r="M1316" t="s">
        <v>15</v>
      </c>
    </row>
    <row r="1317" spans="1:13" x14ac:dyDescent="0.25">
      <c r="A1317">
        <v>1316</v>
      </c>
      <c r="B1317" t="s">
        <v>2644</v>
      </c>
      <c r="C1317" s="1">
        <v>37.259799873799999</v>
      </c>
      <c r="D1317" s="1">
        <v>-7.1289614122199998</v>
      </c>
      <c r="E1317" s="3">
        <v>3</v>
      </c>
      <c r="F1317" s="2">
        <v>2</v>
      </c>
      <c r="G1317" s="4">
        <v>2</v>
      </c>
      <c r="H1317" s="13"/>
      <c r="I1317" s="15"/>
      <c r="J1317" s="19">
        <v>2</v>
      </c>
      <c r="K1317" s="2" t="s">
        <v>2645</v>
      </c>
      <c r="L1317" s="11" t="str">
        <f t="shared" si="21"/>
        <v>Ver Imagen</v>
      </c>
      <c r="M1317" t="s">
        <v>15</v>
      </c>
    </row>
    <row r="1318" spans="1:13" x14ac:dyDescent="0.25">
      <c r="A1318">
        <v>1317</v>
      </c>
      <c r="B1318" t="s">
        <v>2646</v>
      </c>
      <c r="C1318" s="1">
        <v>37.2592555469</v>
      </c>
      <c r="D1318" s="1">
        <v>-7.1286187508500003</v>
      </c>
      <c r="E1318" s="3">
        <v>2</v>
      </c>
      <c r="F1318" s="2">
        <v>3</v>
      </c>
      <c r="G1318" s="4">
        <v>2</v>
      </c>
      <c r="H1318" s="13"/>
      <c r="I1318" s="15"/>
      <c r="J1318" s="19">
        <v>2</v>
      </c>
      <c r="K1318" s="2" t="s">
        <v>2647</v>
      </c>
      <c r="L1318" s="11" t="str">
        <f t="shared" si="21"/>
        <v>Ver Imagen</v>
      </c>
      <c r="M1318" t="s">
        <v>15</v>
      </c>
    </row>
    <row r="1319" spans="1:13" x14ac:dyDescent="0.25">
      <c r="A1319">
        <v>1318</v>
      </c>
      <c r="B1319" t="s">
        <v>2648</v>
      </c>
      <c r="C1319" s="1">
        <v>37.258702472400003</v>
      </c>
      <c r="D1319" s="1">
        <v>-7.1282670440900002</v>
      </c>
      <c r="E1319" s="3">
        <v>2</v>
      </c>
      <c r="F1319" s="2">
        <v>3</v>
      </c>
      <c r="G1319" s="4">
        <v>2</v>
      </c>
      <c r="H1319" s="13"/>
      <c r="I1319" s="15"/>
      <c r="J1319" s="19">
        <v>2</v>
      </c>
      <c r="K1319" s="2" t="s">
        <v>2649</v>
      </c>
      <c r="L1319" s="11" t="str">
        <f t="shared" si="21"/>
        <v>Ver Imagen</v>
      </c>
      <c r="M1319" t="s">
        <v>15</v>
      </c>
    </row>
    <row r="1320" spans="1:13" x14ac:dyDescent="0.25">
      <c r="A1320">
        <v>1319</v>
      </c>
      <c r="B1320" t="s">
        <v>2650</v>
      </c>
      <c r="C1320" s="1">
        <v>37.2580142638</v>
      </c>
      <c r="D1320" s="1">
        <v>-7.1278281543500004</v>
      </c>
      <c r="E1320" s="3">
        <v>3</v>
      </c>
      <c r="F1320" s="2">
        <v>2</v>
      </c>
      <c r="G1320" s="4">
        <v>2</v>
      </c>
      <c r="H1320" s="13"/>
      <c r="I1320" s="15"/>
      <c r="J1320" s="19">
        <v>2</v>
      </c>
      <c r="K1320" s="2" t="s">
        <v>2651</v>
      </c>
      <c r="L1320" s="11" t="str">
        <f t="shared" si="21"/>
        <v>Ver Imagen</v>
      </c>
      <c r="M1320" t="s">
        <v>15</v>
      </c>
    </row>
    <row r="1321" spans="1:13" x14ac:dyDescent="0.25">
      <c r="A1321">
        <v>1320</v>
      </c>
      <c r="B1321" t="s">
        <v>2652</v>
      </c>
      <c r="C1321" s="1">
        <v>37.254322921399996</v>
      </c>
      <c r="D1321" s="1">
        <v>-7.1266309183000001</v>
      </c>
      <c r="E1321" s="3">
        <v>1</v>
      </c>
      <c r="F1321" s="2">
        <v>2</v>
      </c>
      <c r="G1321" s="4">
        <v>2</v>
      </c>
      <c r="H1321" s="13"/>
      <c r="I1321" s="15"/>
      <c r="J1321" s="19">
        <v>2</v>
      </c>
      <c r="K1321" s="2" t="s">
        <v>2653</v>
      </c>
      <c r="L1321" s="11" t="str">
        <f t="shared" si="21"/>
        <v>Ver Imagen</v>
      </c>
      <c r="M1321" t="s">
        <v>15</v>
      </c>
    </row>
    <row r="1322" spans="1:13" x14ac:dyDescent="0.25">
      <c r="A1322">
        <v>1321</v>
      </c>
      <c r="B1322" t="s">
        <v>2654</v>
      </c>
      <c r="C1322" s="1">
        <v>37.250551251799997</v>
      </c>
      <c r="D1322" s="1">
        <v>-7.1271955702199996</v>
      </c>
      <c r="E1322" s="3">
        <v>2</v>
      </c>
      <c r="F1322" s="2">
        <v>3</v>
      </c>
      <c r="G1322" s="4">
        <v>2</v>
      </c>
      <c r="H1322" s="13"/>
      <c r="I1322" s="15"/>
      <c r="J1322" s="19">
        <v>2</v>
      </c>
      <c r="K1322" s="2" t="s">
        <v>2655</v>
      </c>
      <c r="L1322" s="11" t="str">
        <f t="shared" si="21"/>
        <v>Ver Imagen</v>
      </c>
      <c r="M1322" t="s">
        <v>15</v>
      </c>
    </row>
    <row r="1323" spans="1:13" x14ac:dyDescent="0.25">
      <c r="A1323">
        <v>1322</v>
      </c>
      <c r="B1323" t="s">
        <v>2656</v>
      </c>
      <c r="C1323" s="1">
        <v>37.248497372999999</v>
      </c>
      <c r="D1323" s="1">
        <v>-7.1275062634499999</v>
      </c>
      <c r="E1323" s="3">
        <v>2</v>
      </c>
      <c r="F1323" s="2">
        <v>2</v>
      </c>
      <c r="G1323" s="4">
        <v>3</v>
      </c>
      <c r="H1323" s="13"/>
      <c r="I1323" s="15"/>
      <c r="J1323" s="19">
        <v>2</v>
      </c>
      <c r="K1323" s="2" t="s">
        <v>2657</v>
      </c>
      <c r="L1323" s="11" t="str">
        <f t="shared" si="21"/>
        <v>Ver Imagen</v>
      </c>
      <c r="M1323" t="s">
        <v>15</v>
      </c>
    </row>
    <row r="1324" spans="1:13" x14ac:dyDescent="0.25">
      <c r="A1324">
        <v>1323</v>
      </c>
      <c r="B1324" t="s">
        <v>2658</v>
      </c>
      <c r="C1324" s="1">
        <v>37.246690920399999</v>
      </c>
      <c r="D1324" s="1">
        <v>-7.1277718779099999</v>
      </c>
      <c r="E1324" s="3">
        <v>2</v>
      </c>
      <c r="F1324" s="2">
        <v>2</v>
      </c>
      <c r="G1324" s="4">
        <v>3</v>
      </c>
      <c r="H1324" s="13"/>
      <c r="I1324" s="15"/>
      <c r="J1324" s="19">
        <v>2</v>
      </c>
      <c r="K1324" s="2" t="s">
        <v>2659</v>
      </c>
      <c r="L1324" s="11" t="str">
        <f t="shared" si="21"/>
        <v>Ver Imagen</v>
      </c>
      <c r="M1324" t="s">
        <v>15</v>
      </c>
    </row>
    <row r="1325" spans="1:13" x14ac:dyDescent="0.25">
      <c r="A1325">
        <v>1324</v>
      </c>
      <c r="B1325" t="s">
        <v>2660</v>
      </c>
      <c r="C1325" s="1">
        <v>37.246482025399999</v>
      </c>
      <c r="D1325" s="1">
        <v>-7.1278033608499998</v>
      </c>
      <c r="E1325" s="3">
        <v>2</v>
      </c>
      <c r="F1325" s="2">
        <v>2</v>
      </c>
      <c r="G1325" s="4">
        <v>3</v>
      </c>
      <c r="H1325" s="13"/>
      <c r="I1325" s="15"/>
      <c r="J1325" s="19">
        <v>2</v>
      </c>
      <c r="K1325" s="2" t="s">
        <v>2661</v>
      </c>
      <c r="L1325" s="11" t="str">
        <f t="shared" si="21"/>
        <v>Ver Imagen</v>
      </c>
      <c r="M1325" t="s">
        <v>15</v>
      </c>
    </row>
    <row r="1326" spans="1:13" x14ac:dyDescent="0.25">
      <c r="A1326">
        <v>1325</v>
      </c>
      <c r="B1326" t="s">
        <v>2662</v>
      </c>
      <c r="C1326" s="1">
        <v>37.246299254</v>
      </c>
      <c r="D1326" s="1">
        <v>-7.1278308341900001</v>
      </c>
      <c r="E1326" s="3">
        <v>2</v>
      </c>
      <c r="F1326" s="2">
        <v>2</v>
      </c>
      <c r="G1326" s="4">
        <v>3</v>
      </c>
      <c r="H1326" s="13"/>
      <c r="I1326" s="15"/>
      <c r="J1326" s="19">
        <v>2</v>
      </c>
      <c r="K1326" s="2" t="s">
        <v>2663</v>
      </c>
      <c r="L1326" s="11" t="str">
        <f t="shared" si="21"/>
        <v>Ver Imagen</v>
      </c>
      <c r="M1326" t="s">
        <v>15</v>
      </c>
    </row>
    <row r="1327" spans="1:13" x14ac:dyDescent="0.25">
      <c r="A1327">
        <v>1326</v>
      </c>
      <c r="B1327" t="s">
        <v>2664</v>
      </c>
      <c r="C1327" s="1">
        <v>37.245491301599998</v>
      </c>
      <c r="D1327" s="1">
        <v>-7.1279494358599997</v>
      </c>
      <c r="E1327" s="3">
        <v>2</v>
      </c>
      <c r="F1327" s="2">
        <v>2</v>
      </c>
      <c r="G1327" s="4">
        <v>3</v>
      </c>
      <c r="H1327" s="13"/>
      <c r="I1327" s="15"/>
      <c r="J1327" s="19">
        <v>2</v>
      </c>
      <c r="K1327" s="2" t="s">
        <v>2665</v>
      </c>
      <c r="L1327" s="11" t="str">
        <f t="shared" si="21"/>
        <v>Ver Imagen</v>
      </c>
      <c r="M1327" t="s">
        <v>15</v>
      </c>
    </row>
    <row r="1328" spans="1:13" x14ac:dyDescent="0.25">
      <c r="A1328">
        <v>1327</v>
      </c>
      <c r="B1328" t="s">
        <v>2666</v>
      </c>
      <c r="C1328" s="1">
        <v>37.243276469199998</v>
      </c>
      <c r="D1328" s="1">
        <v>-7.1282735692300001</v>
      </c>
      <c r="E1328" s="3">
        <v>2</v>
      </c>
      <c r="F1328" s="2">
        <v>2</v>
      </c>
      <c r="G1328" s="4">
        <v>3</v>
      </c>
      <c r="H1328" s="13"/>
      <c r="I1328" s="15"/>
      <c r="J1328" s="19">
        <v>2</v>
      </c>
      <c r="K1328" s="2" t="s">
        <v>2667</v>
      </c>
      <c r="L1328" s="11" t="str">
        <f t="shared" si="21"/>
        <v>Ver Imagen</v>
      </c>
      <c r="M1328" t="s">
        <v>15</v>
      </c>
    </row>
    <row r="1329" spans="1:13" x14ac:dyDescent="0.25">
      <c r="A1329">
        <v>1328</v>
      </c>
      <c r="B1329" t="s">
        <v>2668</v>
      </c>
      <c r="C1329" s="1">
        <v>37.240654813100001</v>
      </c>
      <c r="D1329" s="1">
        <v>-7.1286041167</v>
      </c>
      <c r="E1329" s="3">
        <v>2</v>
      </c>
      <c r="F1329" s="2">
        <v>2</v>
      </c>
      <c r="G1329" s="4">
        <v>3</v>
      </c>
      <c r="H1329" s="13"/>
      <c r="I1329" s="15"/>
      <c r="J1329" s="19">
        <v>2</v>
      </c>
      <c r="K1329" s="2" t="s">
        <v>2669</v>
      </c>
      <c r="L1329" s="11" t="str">
        <f t="shared" si="21"/>
        <v>Ver Imagen</v>
      </c>
      <c r="M1329" t="s">
        <v>15</v>
      </c>
    </row>
    <row r="1330" spans="1:13" x14ac:dyDescent="0.25">
      <c r="A1330">
        <v>1329</v>
      </c>
      <c r="B1330" t="s">
        <v>2670</v>
      </c>
      <c r="C1330" s="1">
        <v>37.240446498799997</v>
      </c>
      <c r="D1330" s="1">
        <v>-7.1285981417000004</v>
      </c>
      <c r="E1330" s="3">
        <v>2</v>
      </c>
      <c r="F1330" s="2">
        <v>1</v>
      </c>
      <c r="G1330" s="4">
        <v>2</v>
      </c>
      <c r="H1330" s="13"/>
      <c r="I1330" s="15"/>
      <c r="J1330" s="19">
        <v>2</v>
      </c>
      <c r="K1330" s="2" t="s">
        <v>2671</v>
      </c>
      <c r="L1330" s="11" t="str">
        <f t="shared" si="21"/>
        <v>Ver Imagen</v>
      </c>
      <c r="M1330" t="s">
        <v>15</v>
      </c>
    </row>
    <row r="1331" spans="1:13" x14ac:dyDescent="0.25">
      <c r="A1331">
        <v>1330</v>
      </c>
      <c r="B1331" t="s">
        <v>2672</v>
      </c>
      <c r="C1331" s="1">
        <v>37.240269337000001</v>
      </c>
      <c r="D1331" s="1">
        <v>-7.1285871746899998</v>
      </c>
      <c r="E1331" s="3">
        <v>2</v>
      </c>
      <c r="F1331" s="2">
        <v>1</v>
      </c>
      <c r="G1331" s="4">
        <v>2</v>
      </c>
      <c r="H1331" s="13"/>
      <c r="I1331" s="15"/>
      <c r="J1331" s="19">
        <v>2</v>
      </c>
      <c r="K1331" s="2" t="s">
        <v>2673</v>
      </c>
      <c r="L1331" s="11" t="str">
        <f t="shared" si="21"/>
        <v>Ver Imagen</v>
      </c>
      <c r="M1331" t="s">
        <v>15</v>
      </c>
    </row>
    <row r="1332" spans="1:13" x14ac:dyDescent="0.25">
      <c r="A1332">
        <v>1331</v>
      </c>
      <c r="B1332" t="s">
        <v>2674</v>
      </c>
      <c r="C1332" s="1">
        <v>37.238229336499998</v>
      </c>
      <c r="D1332" s="1">
        <v>-7.12839815304</v>
      </c>
      <c r="E1332" s="3">
        <v>2</v>
      </c>
      <c r="F1332" s="2">
        <v>3</v>
      </c>
      <c r="G1332" s="4">
        <v>2</v>
      </c>
      <c r="H1332" s="13"/>
      <c r="I1332" s="15"/>
      <c r="J1332" s="19">
        <v>2</v>
      </c>
      <c r="K1332" s="2" t="s">
        <v>2675</v>
      </c>
      <c r="L1332" s="11" t="str">
        <f t="shared" si="21"/>
        <v>Ver Imagen</v>
      </c>
      <c r="M1332" t="s">
        <v>15</v>
      </c>
    </row>
    <row r="1333" spans="1:13" x14ac:dyDescent="0.25">
      <c r="A1333">
        <v>1332</v>
      </c>
      <c r="B1333" t="s">
        <v>2676</v>
      </c>
      <c r="C1333" s="1">
        <v>37.236593548000002</v>
      </c>
      <c r="D1333" s="1">
        <v>-7.1282417973800003</v>
      </c>
      <c r="E1333" s="3">
        <v>2</v>
      </c>
      <c r="F1333" s="2">
        <v>2</v>
      </c>
      <c r="G1333" s="4">
        <v>3</v>
      </c>
      <c r="H1333" s="13"/>
      <c r="I1333" s="15"/>
      <c r="J1333" s="19">
        <v>2</v>
      </c>
      <c r="K1333" s="2" t="s">
        <v>2677</v>
      </c>
      <c r="L1333" s="11" t="str">
        <f t="shared" si="21"/>
        <v>Ver Imagen</v>
      </c>
      <c r="M1333" t="s">
        <v>15</v>
      </c>
    </row>
    <row r="1334" spans="1:13" x14ac:dyDescent="0.25">
      <c r="A1334">
        <v>1333</v>
      </c>
      <c r="B1334" t="s">
        <v>2678</v>
      </c>
      <c r="C1334" s="1">
        <v>37.236396004600003</v>
      </c>
      <c r="D1334" s="1">
        <v>-7.1282243938700001</v>
      </c>
      <c r="E1334" s="3">
        <v>2</v>
      </c>
      <c r="F1334" s="2">
        <v>2</v>
      </c>
      <c r="G1334" s="4">
        <v>3</v>
      </c>
      <c r="H1334" s="13"/>
      <c r="I1334" s="15"/>
      <c r="J1334" s="19">
        <v>2</v>
      </c>
      <c r="K1334" s="2" t="s">
        <v>2679</v>
      </c>
      <c r="L1334" s="11" t="str">
        <f t="shared" si="21"/>
        <v>Ver Imagen</v>
      </c>
      <c r="M1334" t="s">
        <v>15</v>
      </c>
    </row>
    <row r="1335" spans="1:13" x14ac:dyDescent="0.25">
      <c r="A1335">
        <v>1334</v>
      </c>
      <c r="B1335" t="s">
        <v>2680</v>
      </c>
      <c r="C1335" s="1">
        <v>37.236220794200001</v>
      </c>
      <c r="D1335" s="1">
        <v>-7.1282078211000002</v>
      </c>
      <c r="E1335" s="3">
        <v>2</v>
      </c>
      <c r="F1335" s="2">
        <v>2</v>
      </c>
      <c r="G1335" s="4">
        <v>3</v>
      </c>
      <c r="H1335" s="13"/>
      <c r="I1335" s="15"/>
      <c r="J1335" s="19">
        <v>2</v>
      </c>
      <c r="K1335" s="2" t="s">
        <v>2681</v>
      </c>
      <c r="L1335" s="11" t="str">
        <f t="shared" si="21"/>
        <v>Ver Imagen</v>
      </c>
      <c r="M1335" t="s">
        <v>15</v>
      </c>
    </row>
    <row r="1336" spans="1:13" x14ac:dyDescent="0.25">
      <c r="A1336">
        <v>1335</v>
      </c>
      <c r="B1336" t="s">
        <v>2682</v>
      </c>
      <c r="C1336" s="1">
        <v>37.234630404900003</v>
      </c>
      <c r="D1336" s="1">
        <v>-7.1278015877299996</v>
      </c>
      <c r="E1336" s="3">
        <v>2</v>
      </c>
      <c r="F1336" s="2">
        <v>2</v>
      </c>
      <c r="G1336" s="4">
        <v>3</v>
      </c>
      <c r="H1336" s="13"/>
      <c r="I1336" s="15"/>
      <c r="J1336" s="19">
        <v>2</v>
      </c>
      <c r="K1336" s="2" t="s">
        <v>2683</v>
      </c>
      <c r="L1336" s="11" t="str">
        <f t="shared" si="21"/>
        <v>Ver Imagen</v>
      </c>
      <c r="M1336" t="s">
        <v>15</v>
      </c>
    </row>
    <row r="1337" spans="1:13" x14ac:dyDescent="0.25">
      <c r="A1337">
        <v>1336</v>
      </c>
      <c r="B1337" t="s">
        <v>2684</v>
      </c>
      <c r="C1337" s="1">
        <v>37.232857590099997</v>
      </c>
      <c r="D1337" s="1">
        <v>-7.1272229003299996</v>
      </c>
      <c r="E1337" s="3">
        <v>1</v>
      </c>
      <c r="F1337" s="2">
        <v>2</v>
      </c>
      <c r="G1337" s="4">
        <v>2</v>
      </c>
      <c r="H1337" s="13"/>
      <c r="I1337" s="15"/>
      <c r="J1337" s="19">
        <v>2</v>
      </c>
      <c r="K1337" s="2" t="s">
        <v>2685</v>
      </c>
      <c r="L1337" s="11" t="str">
        <f t="shared" si="21"/>
        <v>Ver Imagen</v>
      </c>
      <c r="M1337" t="s">
        <v>15</v>
      </c>
    </row>
    <row r="1338" spans="1:13" x14ac:dyDescent="0.25">
      <c r="A1338">
        <v>1337</v>
      </c>
      <c r="B1338" t="s">
        <v>2686</v>
      </c>
      <c r="C1338" s="1">
        <v>37.229448869400002</v>
      </c>
      <c r="D1338" s="1">
        <v>-7.1269081240699999</v>
      </c>
      <c r="E1338" s="3">
        <v>2</v>
      </c>
      <c r="F1338" s="2">
        <v>2</v>
      </c>
      <c r="G1338" s="4">
        <v>3</v>
      </c>
      <c r="H1338" s="13"/>
      <c r="I1338" s="15"/>
      <c r="J1338" s="19">
        <v>2</v>
      </c>
      <c r="K1338" s="2" t="s">
        <v>2687</v>
      </c>
      <c r="L1338" s="11" t="str">
        <f t="shared" si="21"/>
        <v>Ver Imagen</v>
      </c>
      <c r="M1338" t="s">
        <v>15</v>
      </c>
    </row>
    <row r="1339" spans="1:13" x14ac:dyDescent="0.25">
      <c r="A1339">
        <v>1338</v>
      </c>
      <c r="B1339" t="s">
        <v>2688</v>
      </c>
      <c r="C1339" s="1">
        <v>37.226098194199999</v>
      </c>
      <c r="D1339" s="1">
        <v>-7.1261101478300004</v>
      </c>
      <c r="E1339" s="3">
        <v>2</v>
      </c>
      <c r="F1339" s="2">
        <v>3</v>
      </c>
      <c r="G1339" s="4">
        <v>2</v>
      </c>
      <c r="H1339" s="13"/>
      <c r="I1339" s="15"/>
      <c r="J1339" s="19">
        <v>2</v>
      </c>
      <c r="K1339" s="2" t="s">
        <v>2689</v>
      </c>
      <c r="L1339" s="11" t="str">
        <f t="shared" si="21"/>
        <v>Ver Imagen</v>
      </c>
      <c r="M1339" t="s">
        <v>15</v>
      </c>
    </row>
    <row r="1340" spans="1:13" x14ac:dyDescent="0.25">
      <c r="A1340">
        <v>1339</v>
      </c>
      <c r="B1340" t="s">
        <v>2690</v>
      </c>
      <c r="C1340" s="1">
        <v>37.224549491600001</v>
      </c>
      <c r="D1340" s="1">
        <v>-7.1255568135000003</v>
      </c>
      <c r="E1340" s="3">
        <v>3</v>
      </c>
      <c r="F1340" s="2">
        <v>2</v>
      </c>
      <c r="G1340" s="4">
        <v>2</v>
      </c>
      <c r="H1340" s="13"/>
      <c r="I1340" s="15"/>
      <c r="J1340" s="19">
        <v>2</v>
      </c>
      <c r="K1340" s="2" t="s">
        <v>2691</v>
      </c>
      <c r="L1340" s="11" t="str">
        <f t="shared" si="21"/>
        <v>Ver Imagen</v>
      </c>
      <c r="M1340" t="s">
        <v>15</v>
      </c>
    </row>
    <row r="1341" spans="1:13" x14ac:dyDescent="0.25">
      <c r="A1341">
        <v>1340</v>
      </c>
      <c r="B1341" t="s">
        <v>2692</v>
      </c>
      <c r="C1341" s="1">
        <v>37.222578789499998</v>
      </c>
      <c r="D1341" s="1">
        <v>-7.1250316526099997</v>
      </c>
      <c r="E1341" s="3">
        <v>2</v>
      </c>
      <c r="F1341" s="2">
        <v>2</v>
      </c>
      <c r="G1341" s="4">
        <v>3</v>
      </c>
      <c r="H1341" s="13"/>
      <c r="I1341" s="15"/>
      <c r="J1341" s="19">
        <v>2</v>
      </c>
      <c r="K1341" s="2" t="s">
        <v>2693</v>
      </c>
      <c r="L1341" s="11" t="str">
        <f t="shared" si="21"/>
        <v>Ver Imagen</v>
      </c>
      <c r="M1341" t="s">
        <v>15</v>
      </c>
    </row>
    <row r="1342" spans="1:13" x14ac:dyDescent="0.25">
      <c r="A1342">
        <v>1341</v>
      </c>
      <c r="B1342" t="s">
        <v>2694</v>
      </c>
      <c r="C1342" s="1">
        <v>37.220334166500002</v>
      </c>
      <c r="D1342" s="1">
        <v>-7.1257885240199998</v>
      </c>
      <c r="E1342" s="3">
        <v>2</v>
      </c>
      <c r="F1342" s="2">
        <v>2</v>
      </c>
      <c r="G1342" s="4">
        <v>3</v>
      </c>
      <c r="H1342" s="13"/>
      <c r="I1342" s="15"/>
      <c r="J1342" s="19">
        <v>2</v>
      </c>
      <c r="K1342" s="2" t="s">
        <v>2695</v>
      </c>
      <c r="L1342" s="11" t="str">
        <f t="shared" si="21"/>
        <v>Ver Imagen</v>
      </c>
      <c r="M1342" t="s">
        <v>15</v>
      </c>
    </row>
    <row r="1343" spans="1:13" x14ac:dyDescent="0.25">
      <c r="A1343">
        <v>1342</v>
      </c>
      <c r="B1343" t="s">
        <v>2696</v>
      </c>
      <c r="C1343" s="1">
        <v>37.220107362900002</v>
      </c>
      <c r="D1343" s="1">
        <v>-7.1258171107099999</v>
      </c>
      <c r="E1343" s="3">
        <v>2</v>
      </c>
      <c r="F1343" s="2">
        <v>2</v>
      </c>
      <c r="G1343" s="4">
        <v>3</v>
      </c>
      <c r="H1343" s="13"/>
      <c r="I1343" s="15"/>
      <c r="J1343" s="19">
        <v>2</v>
      </c>
      <c r="K1343" s="2" t="s">
        <v>2697</v>
      </c>
      <c r="L1343" s="11" t="str">
        <f t="shared" si="21"/>
        <v>Ver Imagen</v>
      </c>
      <c r="M1343" t="s">
        <v>15</v>
      </c>
    </row>
    <row r="1344" spans="1:13" x14ac:dyDescent="0.25">
      <c r="A1344">
        <v>1343</v>
      </c>
      <c r="B1344" t="s">
        <v>2698</v>
      </c>
      <c r="C1344" s="1">
        <v>37.219923795600003</v>
      </c>
      <c r="D1344" s="1">
        <v>-7.1258405084899996</v>
      </c>
      <c r="E1344" s="3">
        <v>2</v>
      </c>
      <c r="F1344" s="2">
        <v>2</v>
      </c>
      <c r="G1344" s="4">
        <v>3</v>
      </c>
      <c r="H1344" s="13"/>
      <c r="I1344" s="15"/>
      <c r="J1344" s="19">
        <v>2</v>
      </c>
      <c r="K1344" s="2" t="s">
        <v>2699</v>
      </c>
      <c r="L1344" s="11" t="str">
        <f t="shared" si="21"/>
        <v>Ver Imagen</v>
      </c>
      <c r="M1344" t="s">
        <v>15</v>
      </c>
    </row>
    <row r="1345" spans="1:13" x14ac:dyDescent="0.25">
      <c r="A1345">
        <v>1344</v>
      </c>
      <c r="B1345" t="s">
        <v>2700</v>
      </c>
      <c r="C1345" s="1">
        <v>37.219730204599998</v>
      </c>
      <c r="D1345" s="1">
        <v>-7.1258656388499997</v>
      </c>
      <c r="E1345" s="3">
        <v>2</v>
      </c>
      <c r="F1345" s="2">
        <v>2</v>
      </c>
      <c r="G1345" s="4">
        <v>3</v>
      </c>
      <c r="H1345" s="13"/>
      <c r="I1345" s="15"/>
      <c r="J1345" s="19">
        <v>2</v>
      </c>
      <c r="K1345" s="2" t="s">
        <v>2701</v>
      </c>
      <c r="L1345" s="11" t="str">
        <f t="shared" si="21"/>
        <v>Ver Imagen</v>
      </c>
      <c r="M1345" t="s">
        <v>15</v>
      </c>
    </row>
    <row r="1346" spans="1:13" x14ac:dyDescent="0.25">
      <c r="A1346">
        <v>1345</v>
      </c>
      <c r="B1346" t="s">
        <v>2702</v>
      </c>
      <c r="C1346" s="1">
        <v>37.219531610099999</v>
      </c>
      <c r="D1346" s="1">
        <v>-7.1258922370600004</v>
      </c>
      <c r="E1346" s="3">
        <v>2</v>
      </c>
      <c r="F1346" s="2">
        <v>2</v>
      </c>
      <c r="G1346" s="4">
        <v>3</v>
      </c>
      <c r="H1346" s="13"/>
      <c r="I1346" s="15"/>
      <c r="J1346" s="19">
        <v>2</v>
      </c>
      <c r="K1346" s="2" t="s">
        <v>2703</v>
      </c>
      <c r="L1346" s="11" t="str">
        <f t="shared" si="21"/>
        <v>Ver Imagen</v>
      </c>
      <c r="M1346" t="s">
        <v>15</v>
      </c>
    </row>
    <row r="1347" spans="1:13" x14ac:dyDescent="0.25">
      <c r="A1347">
        <v>1346</v>
      </c>
      <c r="B1347" t="s">
        <v>2704</v>
      </c>
      <c r="C1347" s="1">
        <v>37.443057675200002</v>
      </c>
      <c r="D1347" s="1">
        <v>-7.0946079797000001</v>
      </c>
      <c r="E1347" s="3">
        <v>3</v>
      </c>
      <c r="F1347" s="2">
        <v>2</v>
      </c>
      <c r="G1347" s="4">
        <v>2</v>
      </c>
      <c r="H1347" s="13"/>
      <c r="I1347" s="15"/>
      <c r="J1347" s="19">
        <v>2</v>
      </c>
      <c r="K1347" s="2" t="s">
        <v>2705</v>
      </c>
      <c r="L1347" s="11" t="str">
        <f t="shared" ref="L1347:L1410" si="22">HYPERLINK("2\1\" &amp; K1347, "Ver Imagen")</f>
        <v>Ver Imagen</v>
      </c>
      <c r="M1347" t="s">
        <v>15</v>
      </c>
    </row>
    <row r="1348" spans="1:13" x14ac:dyDescent="0.25">
      <c r="A1348">
        <v>1347</v>
      </c>
      <c r="B1348" t="s">
        <v>2706</v>
      </c>
      <c r="C1348" s="1">
        <v>37.442972021000003</v>
      </c>
      <c r="D1348" s="1">
        <v>-7.0943835917199998</v>
      </c>
      <c r="E1348" s="3">
        <v>2</v>
      </c>
      <c r="F1348" s="2">
        <v>2</v>
      </c>
      <c r="G1348" s="4">
        <v>1</v>
      </c>
      <c r="H1348" s="13"/>
      <c r="I1348" s="15"/>
      <c r="J1348" s="19">
        <v>2</v>
      </c>
      <c r="K1348" s="2" t="s">
        <v>2707</v>
      </c>
      <c r="L1348" s="11" t="str">
        <f t="shared" si="22"/>
        <v>Ver Imagen</v>
      </c>
      <c r="M1348" t="s">
        <v>15</v>
      </c>
    </row>
    <row r="1349" spans="1:13" x14ac:dyDescent="0.25">
      <c r="A1349">
        <v>1348</v>
      </c>
      <c r="B1349" t="s">
        <v>2708</v>
      </c>
      <c r="C1349" s="1">
        <v>37.442788142399998</v>
      </c>
      <c r="D1349" s="1">
        <v>-7.0939032054000002</v>
      </c>
      <c r="E1349" s="3">
        <v>3</v>
      </c>
      <c r="F1349" s="2">
        <v>2</v>
      </c>
      <c r="G1349" s="4">
        <v>2</v>
      </c>
      <c r="H1349" s="13"/>
      <c r="I1349" s="15"/>
      <c r="J1349" s="19">
        <v>2</v>
      </c>
      <c r="K1349" s="2" t="s">
        <v>2709</v>
      </c>
      <c r="L1349" s="11" t="str">
        <f t="shared" si="22"/>
        <v>Ver Imagen</v>
      </c>
      <c r="M1349" t="s">
        <v>15</v>
      </c>
    </row>
    <row r="1350" spans="1:13" x14ac:dyDescent="0.25">
      <c r="A1350">
        <v>1349</v>
      </c>
      <c r="B1350" t="s">
        <v>2710</v>
      </c>
      <c r="C1350" s="1">
        <v>37.442180223900003</v>
      </c>
      <c r="D1350" s="1">
        <v>-7.0923454652600002</v>
      </c>
      <c r="E1350" s="3">
        <v>3</v>
      </c>
      <c r="F1350" s="2">
        <v>2</v>
      </c>
      <c r="G1350" s="4">
        <v>2</v>
      </c>
      <c r="H1350" s="13"/>
      <c r="I1350" s="15"/>
      <c r="J1350" s="19">
        <v>2</v>
      </c>
      <c r="K1350" s="2" t="s">
        <v>2711</v>
      </c>
      <c r="L1350" s="11" t="str">
        <f t="shared" si="22"/>
        <v>Ver Imagen</v>
      </c>
      <c r="M1350" t="s">
        <v>15</v>
      </c>
    </row>
    <row r="1351" spans="1:13" x14ac:dyDescent="0.25">
      <c r="A1351">
        <v>1350</v>
      </c>
      <c r="B1351" t="s">
        <v>2712</v>
      </c>
      <c r="C1351" s="1">
        <v>37.435450972399998</v>
      </c>
      <c r="D1351" s="1">
        <v>-7.0760760321499996</v>
      </c>
      <c r="E1351" s="3">
        <v>2</v>
      </c>
      <c r="F1351" s="2">
        <v>2</v>
      </c>
      <c r="G1351" s="4">
        <v>1</v>
      </c>
      <c r="H1351" s="13"/>
      <c r="I1351" s="15"/>
      <c r="J1351" s="19">
        <v>2</v>
      </c>
      <c r="K1351" s="2" t="s">
        <v>2713</v>
      </c>
      <c r="L1351" s="11" t="str">
        <f t="shared" si="22"/>
        <v>Ver Imagen</v>
      </c>
      <c r="M1351" t="s">
        <v>15</v>
      </c>
    </row>
    <row r="1352" spans="1:13" x14ac:dyDescent="0.25">
      <c r="A1352">
        <v>1351</v>
      </c>
      <c r="B1352" t="s">
        <v>2714</v>
      </c>
      <c r="C1352" s="1">
        <v>37.221665444800003</v>
      </c>
      <c r="D1352" s="1">
        <v>-7.05474681884</v>
      </c>
      <c r="E1352" s="3">
        <v>3</v>
      </c>
      <c r="F1352" s="2">
        <v>2</v>
      </c>
      <c r="G1352" s="4">
        <v>2</v>
      </c>
      <c r="H1352" s="13"/>
      <c r="I1352" s="15"/>
      <c r="J1352" s="19">
        <v>2</v>
      </c>
      <c r="K1352" s="2" t="s">
        <v>2715</v>
      </c>
      <c r="L1352" s="11" t="str">
        <f t="shared" si="22"/>
        <v>Ver Imagen</v>
      </c>
      <c r="M1352" t="s">
        <v>15</v>
      </c>
    </row>
    <row r="1353" spans="1:13" x14ac:dyDescent="0.25">
      <c r="A1353">
        <v>1352</v>
      </c>
      <c r="B1353" t="s">
        <v>2716</v>
      </c>
      <c r="C1353" s="1">
        <v>37.221943708200001</v>
      </c>
      <c r="D1353" s="1">
        <v>-7.0551166509899996</v>
      </c>
      <c r="E1353" s="3">
        <v>3</v>
      </c>
      <c r="F1353" s="2">
        <v>2</v>
      </c>
      <c r="G1353" s="4">
        <v>2</v>
      </c>
      <c r="H1353" s="13"/>
      <c r="I1353" s="15"/>
      <c r="J1353" s="19">
        <v>2</v>
      </c>
      <c r="K1353" s="2" t="s">
        <v>2717</v>
      </c>
      <c r="L1353" s="11" t="str">
        <f t="shared" si="22"/>
        <v>Ver Imagen</v>
      </c>
      <c r="M1353" t="s">
        <v>15</v>
      </c>
    </row>
    <row r="1354" spans="1:13" x14ac:dyDescent="0.25">
      <c r="A1354">
        <v>1353</v>
      </c>
      <c r="B1354" t="s">
        <v>2718</v>
      </c>
      <c r="C1354" s="1">
        <v>37.222266726299999</v>
      </c>
      <c r="D1354" s="1">
        <v>-7.0554240151199998</v>
      </c>
      <c r="E1354" s="3">
        <v>2</v>
      </c>
      <c r="F1354" s="2">
        <v>3</v>
      </c>
      <c r="G1354" s="4">
        <v>2</v>
      </c>
      <c r="H1354" s="13"/>
      <c r="I1354" s="15"/>
      <c r="J1354" s="19">
        <v>2</v>
      </c>
      <c r="K1354" s="2" t="s">
        <v>2719</v>
      </c>
      <c r="L1354" s="11" t="str">
        <f t="shared" si="22"/>
        <v>Ver Imagen</v>
      </c>
      <c r="M1354" t="s">
        <v>15</v>
      </c>
    </row>
    <row r="1355" spans="1:13" x14ac:dyDescent="0.25">
      <c r="A1355">
        <v>1354</v>
      </c>
      <c r="B1355" t="s">
        <v>2720</v>
      </c>
      <c r="C1355" s="1">
        <v>37.223592357199998</v>
      </c>
      <c r="D1355" s="1">
        <v>-7.0560665011700001</v>
      </c>
      <c r="E1355" s="3">
        <v>3</v>
      </c>
      <c r="F1355" s="2">
        <v>2</v>
      </c>
      <c r="G1355" s="4">
        <v>2</v>
      </c>
      <c r="H1355" s="13"/>
      <c r="I1355" s="15"/>
      <c r="J1355" s="19">
        <v>2</v>
      </c>
      <c r="K1355" s="2" t="s">
        <v>2721</v>
      </c>
      <c r="L1355" s="11" t="str">
        <f t="shared" si="22"/>
        <v>Ver Imagen</v>
      </c>
      <c r="M1355" t="s">
        <v>15</v>
      </c>
    </row>
    <row r="1356" spans="1:13" x14ac:dyDescent="0.25">
      <c r="A1356">
        <v>1355</v>
      </c>
      <c r="B1356" t="s">
        <v>2722</v>
      </c>
      <c r="C1356" s="1">
        <v>37.2239589729</v>
      </c>
      <c r="D1356" s="1">
        <v>-7.0562687124599996</v>
      </c>
      <c r="E1356" s="3">
        <v>3</v>
      </c>
      <c r="F1356" s="2">
        <v>2</v>
      </c>
      <c r="G1356" s="4">
        <v>2</v>
      </c>
      <c r="H1356" s="13"/>
      <c r="I1356" s="15"/>
      <c r="J1356" s="19">
        <v>2</v>
      </c>
      <c r="K1356" s="2" t="s">
        <v>2723</v>
      </c>
      <c r="L1356" s="11" t="str">
        <f t="shared" si="22"/>
        <v>Ver Imagen</v>
      </c>
      <c r="M1356" t="s">
        <v>15</v>
      </c>
    </row>
    <row r="1357" spans="1:13" x14ac:dyDescent="0.25">
      <c r="A1357">
        <v>1356</v>
      </c>
      <c r="B1357" t="s">
        <v>2724</v>
      </c>
      <c r="C1357" s="1">
        <v>37.224408737600001</v>
      </c>
      <c r="D1357" s="1">
        <v>-7.0567346944400002</v>
      </c>
      <c r="E1357" s="3">
        <v>3</v>
      </c>
      <c r="F1357" s="2">
        <v>2</v>
      </c>
      <c r="G1357" s="4">
        <v>2</v>
      </c>
      <c r="H1357" s="13"/>
      <c r="I1357" s="15"/>
      <c r="J1357" s="19">
        <v>2</v>
      </c>
      <c r="K1357" s="2" t="s">
        <v>2725</v>
      </c>
      <c r="L1357" s="11" t="str">
        <f t="shared" si="22"/>
        <v>Ver Imagen</v>
      </c>
      <c r="M1357" t="s">
        <v>15</v>
      </c>
    </row>
    <row r="1358" spans="1:13" x14ac:dyDescent="0.25">
      <c r="A1358">
        <v>1357</v>
      </c>
      <c r="B1358" t="s">
        <v>2726</v>
      </c>
      <c r="C1358" s="1">
        <v>37.224546287999999</v>
      </c>
      <c r="D1358" s="1">
        <v>-7.0569482906900003</v>
      </c>
      <c r="E1358" s="3">
        <v>3</v>
      </c>
      <c r="F1358" s="2">
        <v>2</v>
      </c>
      <c r="G1358" s="4">
        <v>2</v>
      </c>
      <c r="H1358" s="13"/>
      <c r="I1358" s="15"/>
      <c r="J1358" s="19">
        <v>2</v>
      </c>
      <c r="K1358" s="2" t="s">
        <v>2727</v>
      </c>
      <c r="L1358" s="11" t="str">
        <f t="shared" si="22"/>
        <v>Ver Imagen</v>
      </c>
      <c r="M1358" t="s">
        <v>15</v>
      </c>
    </row>
    <row r="1359" spans="1:13" x14ac:dyDescent="0.25">
      <c r="A1359">
        <v>1358</v>
      </c>
      <c r="B1359" t="s">
        <v>2728</v>
      </c>
      <c r="C1359" s="1">
        <v>37.224667842700001</v>
      </c>
      <c r="D1359" s="1">
        <v>-7.0571488658200003</v>
      </c>
      <c r="E1359" s="3">
        <v>3</v>
      </c>
      <c r="F1359" s="2">
        <v>2</v>
      </c>
      <c r="G1359" s="4">
        <v>2</v>
      </c>
      <c r="H1359" s="13"/>
      <c r="I1359" s="15"/>
      <c r="J1359" s="19">
        <v>2</v>
      </c>
      <c r="K1359" s="2" t="s">
        <v>2729</v>
      </c>
      <c r="L1359" s="11" t="str">
        <f t="shared" si="22"/>
        <v>Ver Imagen</v>
      </c>
      <c r="M1359" t="s">
        <v>15</v>
      </c>
    </row>
    <row r="1360" spans="1:13" x14ac:dyDescent="0.25">
      <c r="A1360">
        <v>1359</v>
      </c>
      <c r="B1360" t="s">
        <v>2730</v>
      </c>
      <c r="C1360" s="1">
        <v>37.225275953500002</v>
      </c>
      <c r="D1360" s="1">
        <v>-7.0581731696499999</v>
      </c>
      <c r="E1360" s="3">
        <v>3</v>
      </c>
      <c r="F1360" s="2">
        <v>2</v>
      </c>
      <c r="G1360" s="4">
        <v>2</v>
      </c>
      <c r="H1360" s="13"/>
      <c r="I1360" s="15"/>
      <c r="J1360" s="19">
        <v>2</v>
      </c>
      <c r="K1360" s="2" t="s">
        <v>2731</v>
      </c>
      <c r="L1360" s="11" t="str">
        <f t="shared" si="22"/>
        <v>Ver Imagen</v>
      </c>
      <c r="M1360" t="s">
        <v>15</v>
      </c>
    </row>
    <row r="1361" spans="1:13" x14ac:dyDescent="0.25">
      <c r="A1361">
        <v>1360</v>
      </c>
      <c r="B1361" t="s">
        <v>2732</v>
      </c>
      <c r="C1361" s="1">
        <v>37.225879739500002</v>
      </c>
      <c r="D1361" s="1">
        <v>-7.0591956485300003</v>
      </c>
      <c r="E1361" s="3">
        <v>3</v>
      </c>
      <c r="F1361" s="2">
        <v>2</v>
      </c>
      <c r="G1361" s="4">
        <v>2</v>
      </c>
      <c r="H1361" s="13"/>
      <c r="I1361" s="15"/>
      <c r="J1361" s="19">
        <v>2</v>
      </c>
      <c r="K1361" s="2" t="s">
        <v>2733</v>
      </c>
      <c r="L1361" s="11" t="str">
        <f t="shared" si="22"/>
        <v>Ver Imagen</v>
      </c>
      <c r="M1361" t="s">
        <v>15</v>
      </c>
    </row>
    <row r="1362" spans="1:13" x14ac:dyDescent="0.25">
      <c r="A1362">
        <v>1361</v>
      </c>
      <c r="B1362" t="s">
        <v>2734</v>
      </c>
      <c r="C1362" s="1">
        <v>37.2260093071</v>
      </c>
      <c r="D1362" s="1">
        <v>-7.0594149235800003</v>
      </c>
      <c r="E1362" s="3">
        <v>3</v>
      </c>
      <c r="F1362" s="2">
        <v>2</v>
      </c>
      <c r="G1362" s="4">
        <v>2</v>
      </c>
      <c r="H1362" s="13"/>
      <c r="I1362" s="15"/>
      <c r="J1362" s="19">
        <v>2</v>
      </c>
      <c r="K1362" s="2" t="s">
        <v>2735</v>
      </c>
      <c r="L1362" s="11" t="str">
        <f t="shared" si="22"/>
        <v>Ver Imagen</v>
      </c>
      <c r="M1362" t="s">
        <v>15</v>
      </c>
    </row>
    <row r="1363" spans="1:13" x14ac:dyDescent="0.25">
      <c r="A1363">
        <v>1362</v>
      </c>
      <c r="B1363" t="s">
        <v>2736</v>
      </c>
      <c r="C1363" s="1">
        <v>37.2263609237</v>
      </c>
      <c r="D1363" s="1">
        <v>-7.06001298241</v>
      </c>
      <c r="E1363" s="3">
        <v>3</v>
      </c>
      <c r="F1363" s="2">
        <v>2</v>
      </c>
      <c r="G1363" s="4">
        <v>2</v>
      </c>
      <c r="H1363" s="13"/>
      <c r="I1363" s="15"/>
      <c r="J1363" s="19">
        <v>2</v>
      </c>
      <c r="K1363" s="2" t="s">
        <v>2737</v>
      </c>
      <c r="L1363" s="11" t="str">
        <f t="shared" si="22"/>
        <v>Ver Imagen</v>
      </c>
      <c r="M1363" t="s">
        <v>15</v>
      </c>
    </row>
    <row r="1364" spans="1:13" x14ac:dyDescent="0.25">
      <c r="A1364">
        <v>1363</v>
      </c>
      <c r="B1364" t="s">
        <v>2738</v>
      </c>
      <c r="C1364" s="1">
        <v>37.435030411699998</v>
      </c>
      <c r="D1364" s="1">
        <v>-7.0700298372199999</v>
      </c>
      <c r="E1364" s="3">
        <v>2</v>
      </c>
      <c r="F1364" s="2">
        <v>2</v>
      </c>
      <c r="G1364" s="4">
        <v>1</v>
      </c>
      <c r="H1364" s="13"/>
      <c r="I1364" s="15"/>
      <c r="J1364" s="19">
        <v>2</v>
      </c>
      <c r="K1364" s="2" t="s">
        <v>2739</v>
      </c>
      <c r="L1364" s="11" t="str">
        <f t="shared" si="22"/>
        <v>Ver Imagen</v>
      </c>
      <c r="M1364" t="s">
        <v>15</v>
      </c>
    </row>
    <row r="1365" spans="1:13" x14ac:dyDescent="0.25">
      <c r="A1365">
        <v>1364</v>
      </c>
      <c r="B1365" t="s">
        <v>2740</v>
      </c>
      <c r="C1365" s="1">
        <v>37.226485690700002</v>
      </c>
      <c r="D1365" s="1">
        <v>-7.06020976818</v>
      </c>
      <c r="E1365" s="3">
        <v>3</v>
      </c>
      <c r="F1365" s="2">
        <v>2</v>
      </c>
      <c r="G1365" s="4">
        <v>2</v>
      </c>
      <c r="H1365" s="13"/>
      <c r="I1365" s="15"/>
      <c r="J1365" s="19">
        <v>2</v>
      </c>
      <c r="K1365" s="2" t="s">
        <v>2741</v>
      </c>
      <c r="L1365" s="11" t="str">
        <f t="shared" si="22"/>
        <v>Ver Imagen</v>
      </c>
      <c r="M1365" t="s">
        <v>15</v>
      </c>
    </row>
    <row r="1366" spans="1:13" x14ac:dyDescent="0.25">
      <c r="A1366">
        <v>1365</v>
      </c>
      <c r="B1366" t="s">
        <v>2742</v>
      </c>
      <c r="C1366" s="1">
        <v>37.434822004700003</v>
      </c>
      <c r="D1366" s="1">
        <v>-7.0692395227100002</v>
      </c>
      <c r="E1366" s="3">
        <v>2</v>
      </c>
      <c r="F1366" s="2">
        <v>2</v>
      </c>
      <c r="G1366" s="4">
        <v>1</v>
      </c>
      <c r="H1366" s="13"/>
      <c r="I1366" s="15"/>
      <c r="J1366" s="19">
        <v>2</v>
      </c>
      <c r="K1366" s="2" t="s">
        <v>2743</v>
      </c>
      <c r="L1366" s="11" t="str">
        <f t="shared" si="22"/>
        <v>Ver Imagen</v>
      </c>
      <c r="M1366" t="s">
        <v>15</v>
      </c>
    </row>
    <row r="1367" spans="1:13" x14ac:dyDescent="0.25">
      <c r="A1367">
        <v>1366</v>
      </c>
      <c r="B1367" t="s">
        <v>2744</v>
      </c>
      <c r="C1367" s="1">
        <v>37.226945897199997</v>
      </c>
      <c r="D1367" s="1">
        <v>-7.0606799581099997</v>
      </c>
      <c r="E1367" s="3">
        <v>3</v>
      </c>
      <c r="F1367" s="2">
        <v>2</v>
      </c>
      <c r="G1367" s="4">
        <v>2</v>
      </c>
      <c r="H1367" s="13"/>
      <c r="I1367" s="15"/>
      <c r="J1367" s="19">
        <v>2</v>
      </c>
      <c r="K1367" s="2" t="s">
        <v>2745</v>
      </c>
      <c r="L1367" s="11" t="str">
        <f t="shared" si="22"/>
        <v>Ver Imagen</v>
      </c>
      <c r="M1367" t="s">
        <v>15</v>
      </c>
    </row>
    <row r="1368" spans="1:13" x14ac:dyDescent="0.25">
      <c r="A1368">
        <v>1367</v>
      </c>
      <c r="B1368" t="s">
        <v>2746</v>
      </c>
      <c r="C1368" s="1">
        <v>37.434680125100002</v>
      </c>
      <c r="D1368" s="1">
        <v>-7.0688053004900002</v>
      </c>
      <c r="E1368" s="3">
        <v>2</v>
      </c>
      <c r="F1368" s="2">
        <v>3</v>
      </c>
      <c r="G1368" s="4">
        <v>2</v>
      </c>
      <c r="H1368" s="13"/>
      <c r="I1368" s="15"/>
      <c r="J1368" s="19">
        <v>2</v>
      </c>
      <c r="K1368" s="2" t="s">
        <v>2747</v>
      </c>
      <c r="L1368" s="11" t="str">
        <f t="shared" si="22"/>
        <v>Ver Imagen</v>
      </c>
      <c r="M1368" t="s">
        <v>15</v>
      </c>
    </row>
    <row r="1369" spans="1:13" x14ac:dyDescent="0.25">
      <c r="A1369">
        <v>1368</v>
      </c>
      <c r="B1369" t="s">
        <v>2748</v>
      </c>
      <c r="C1369" s="1">
        <v>37.434596318600001</v>
      </c>
      <c r="D1369" s="1">
        <v>-7.0685782656300002</v>
      </c>
      <c r="E1369" s="3">
        <v>2</v>
      </c>
      <c r="F1369" s="2">
        <v>3</v>
      </c>
      <c r="G1369" s="4">
        <v>2</v>
      </c>
      <c r="H1369" s="13"/>
      <c r="I1369" s="15"/>
      <c r="J1369" s="19">
        <v>2</v>
      </c>
      <c r="K1369" s="2" t="s">
        <v>2749</v>
      </c>
      <c r="L1369" s="11" t="str">
        <f t="shared" si="22"/>
        <v>Ver Imagen</v>
      </c>
      <c r="M1369" t="s">
        <v>15</v>
      </c>
    </row>
    <row r="1370" spans="1:13" x14ac:dyDescent="0.25">
      <c r="A1370">
        <v>1369</v>
      </c>
      <c r="B1370" t="s">
        <v>2750</v>
      </c>
      <c r="C1370" s="1">
        <v>37.228201966900002</v>
      </c>
      <c r="D1370" s="1">
        <v>-7.0614550957600004</v>
      </c>
      <c r="E1370" s="3">
        <v>3</v>
      </c>
      <c r="F1370" s="2">
        <v>2</v>
      </c>
      <c r="G1370" s="4">
        <v>2</v>
      </c>
      <c r="H1370" s="13"/>
      <c r="I1370" s="15"/>
      <c r="J1370" s="19">
        <v>2</v>
      </c>
      <c r="K1370" s="2" t="s">
        <v>2751</v>
      </c>
      <c r="L1370" s="11" t="str">
        <f t="shared" si="22"/>
        <v>Ver Imagen</v>
      </c>
      <c r="M1370" t="s">
        <v>15</v>
      </c>
    </row>
    <row r="1371" spans="1:13" x14ac:dyDescent="0.25">
      <c r="A1371">
        <v>1370</v>
      </c>
      <c r="B1371" t="s">
        <v>2752</v>
      </c>
      <c r="C1371" s="1">
        <v>37.228352336100002</v>
      </c>
      <c r="D1371" s="1">
        <v>-7.0616245992</v>
      </c>
      <c r="E1371" s="3">
        <v>2</v>
      </c>
      <c r="F1371" s="2">
        <v>3</v>
      </c>
      <c r="G1371" s="4">
        <v>2</v>
      </c>
      <c r="H1371" s="13"/>
      <c r="I1371" s="15"/>
      <c r="J1371" s="19">
        <v>2</v>
      </c>
      <c r="K1371" s="2" t="s">
        <v>2753</v>
      </c>
      <c r="L1371" s="11" t="str">
        <f t="shared" si="22"/>
        <v>Ver Imagen</v>
      </c>
      <c r="M1371" t="s">
        <v>15</v>
      </c>
    </row>
    <row r="1372" spans="1:13" x14ac:dyDescent="0.25">
      <c r="A1372">
        <v>1371</v>
      </c>
      <c r="B1372" t="s">
        <v>2754</v>
      </c>
      <c r="C1372" s="1">
        <v>37.228498684199998</v>
      </c>
      <c r="D1372" s="1">
        <v>-7.0618008896099997</v>
      </c>
      <c r="E1372" s="3">
        <v>2</v>
      </c>
      <c r="F1372" s="2">
        <v>3</v>
      </c>
      <c r="G1372" s="4">
        <v>2</v>
      </c>
      <c r="H1372" s="13"/>
      <c r="I1372" s="15"/>
      <c r="J1372" s="19">
        <v>2</v>
      </c>
      <c r="K1372" s="2" t="s">
        <v>2755</v>
      </c>
      <c r="L1372" s="11" t="str">
        <f t="shared" si="22"/>
        <v>Ver Imagen</v>
      </c>
      <c r="M1372" t="s">
        <v>15</v>
      </c>
    </row>
    <row r="1373" spans="1:13" x14ac:dyDescent="0.25">
      <c r="A1373">
        <v>1372</v>
      </c>
      <c r="B1373" t="s">
        <v>2756</v>
      </c>
      <c r="C1373" s="1">
        <v>37.2307104064</v>
      </c>
      <c r="D1373" s="1">
        <v>-7.0633994360600001</v>
      </c>
      <c r="E1373" s="3">
        <v>3</v>
      </c>
      <c r="F1373" s="2">
        <v>2</v>
      </c>
      <c r="G1373" s="4">
        <v>2</v>
      </c>
      <c r="H1373" s="13"/>
      <c r="I1373" s="15"/>
      <c r="J1373" s="19">
        <v>2</v>
      </c>
      <c r="K1373" s="2" t="s">
        <v>2757</v>
      </c>
      <c r="L1373" s="11" t="str">
        <f t="shared" si="22"/>
        <v>Ver Imagen</v>
      </c>
      <c r="M1373" t="s">
        <v>15</v>
      </c>
    </row>
    <row r="1374" spans="1:13" x14ac:dyDescent="0.25">
      <c r="A1374">
        <v>1373</v>
      </c>
      <c r="B1374" t="s">
        <v>2758</v>
      </c>
      <c r="C1374" s="1">
        <v>37.231302969700003</v>
      </c>
      <c r="D1374" s="1">
        <v>-7.06357155254</v>
      </c>
      <c r="E1374" s="3">
        <v>3</v>
      </c>
      <c r="F1374" s="2">
        <v>2</v>
      </c>
      <c r="G1374" s="4">
        <v>2</v>
      </c>
      <c r="H1374" s="13"/>
      <c r="I1374" s="15"/>
      <c r="J1374" s="19">
        <v>2</v>
      </c>
      <c r="K1374" s="2" t="s">
        <v>2759</v>
      </c>
      <c r="L1374" s="11" t="str">
        <f t="shared" si="22"/>
        <v>Ver Imagen</v>
      </c>
      <c r="M1374" t="s">
        <v>15</v>
      </c>
    </row>
    <row r="1375" spans="1:13" x14ac:dyDescent="0.25">
      <c r="A1375">
        <v>1374</v>
      </c>
      <c r="B1375" t="s">
        <v>2760</v>
      </c>
      <c r="C1375" s="1">
        <v>37.232525841899999</v>
      </c>
      <c r="D1375" s="1">
        <v>-7.0648316359200001</v>
      </c>
      <c r="E1375" s="3">
        <v>3</v>
      </c>
      <c r="F1375" s="2">
        <v>2</v>
      </c>
      <c r="G1375" s="4">
        <v>2</v>
      </c>
      <c r="H1375" s="13"/>
      <c r="I1375" s="15"/>
      <c r="J1375" s="19">
        <v>2</v>
      </c>
      <c r="K1375" s="2" t="s">
        <v>2761</v>
      </c>
      <c r="L1375" s="11" t="str">
        <f t="shared" si="22"/>
        <v>Ver Imagen</v>
      </c>
      <c r="M1375" t="s">
        <v>15</v>
      </c>
    </row>
    <row r="1376" spans="1:13" x14ac:dyDescent="0.25">
      <c r="A1376">
        <v>1375</v>
      </c>
      <c r="B1376" t="s">
        <v>2762</v>
      </c>
      <c r="C1376" s="1">
        <v>37.232651187899997</v>
      </c>
      <c r="D1376" s="1">
        <v>-7.0650728211200002</v>
      </c>
      <c r="E1376" s="3">
        <v>3</v>
      </c>
      <c r="F1376" s="2">
        <v>2</v>
      </c>
      <c r="G1376" s="4">
        <v>2</v>
      </c>
      <c r="H1376" s="13"/>
      <c r="I1376" s="15"/>
      <c r="J1376" s="19">
        <v>2</v>
      </c>
      <c r="K1376" s="2" t="s">
        <v>2763</v>
      </c>
      <c r="L1376" s="11" t="str">
        <f t="shared" si="22"/>
        <v>Ver Imagen</v>
      </c>
      <c r="M1376" t="s">
        <v>15</v>
      </c>
    </row>
    <row r="1377" spans="1:13" x14ac:dyDescent="0.25">
      <c r="A1377">
        <v>1376</v>
      </c>
      <c r="B1377" t="s">
        <v>2764</v>
      </c>
      <c r="C1377" s="1">
        <v>37.233429902499999</v>
      </c>
      <c r="D1377" s="1">
        <v>-7.0661545707700002</v>
      </c>
      <c r="E1377" s="3">
        <v>2</v>
      </c>
      <c r="F1377" s="2">
        <v>1</v>
      </c>
      <c r="G1377" s="4">
        <v>2</v>
      </c>
      <c r="H1377" s="13"/>
      <c r="I1377" s="15"/>
      <c r="J1377" s="19">
        <v>2</v>
      </c>
      <c r="K1377" s="2" t="s">
        <v>2765</v>
      </c>
      <c r="L1377" s="11" t="str">
        <f t="shared" si="22"/>
        <v>Ver Imagen</v>
      </c>
      <c r="M1377" t="s">
        <v>15</v>
      </c>
    </row>
    <row r="1378" spans="1:13" x14ac:dyDescent="0.25">
      <c r="A1378">
        <v>1377</v>
      </c>
      <c r="B1378" t="s">
        <v>2766</v>
      </c>
      <c r="C1378" s="1">
        <v>37.225261250800003</v>
      </c>
      <c r="D1378" s="1">
        <v>-7.0280111610800002</v>
      </c>
      <c r="E1378" s="3">
        <v>3</v>
      </c>
      <c r="F1378" s="2">
        <v>2</v>
      </c>
      <c r="G1378" s="4">
        <v>2</v>
      </c>
      <c r="H1378" s="13"/>
      <c r="I1378" s="15"/>
      <c r="J1378" s="19">
        <v>2</v>
      </c>
      <c r="K1378" s="2" t="s">
        <v>2767</v>
      </c>
      <c r="L1378" s="11" t="str">
        <f t="shared" si="22"/>
        <v>Ver Imagen</v>
      </c>
      <c r="M1378" t="s">
        <v>15</v>
      </c>
    </row>
    <row r="1379" spans="1:13" x14ac:dyDescent="0.25">
      <c r="A1379">
        <v>1378</v>
      </c>
      <c r="B1379" t="s">
        <v>2768</v>
      </c>
      <c r="C1379" s="1">
        <v>37.225277564599999</v>
      </c>
      <c r="D1379" s="1">
        <v>-7.0282828686299998</v>
      </c>
      <c r="E1379" s="3">
        <v>2</v>
      </c>
      <c r="F1379" s="2">
        <v>3</v>
      </c>
      <c r="G1379" s="4">
        <v>2</v>
      </c>
      <c r="H1379" s="13"/>
      <c r="I1379" s="15"/>
      <c r="J1379" s="19">
        <v>2</v>
      </c>
      <c r="K1379" s="2" t="s">
        <v>2769</v>
      </c>
      <c r="L1379" s="11" t="str">
        <f t="shared" si="22"/>
        <v>Ver Imagen</v>
      </c>
      <c r="M1379" t="s">
        <v>15</v>
      </c>
    </row>
    <row r="1380" spans="1:13" x14ac:dyDescent="0.25">
      <c r="A1380">
        <v>1379</v>
      </c>
      <c r="B1380" t="s">
        <v>2770</v>
      </c>
      <c r="C1380" s="1">
        <v>37.432322808999999</v>
      </c>
      <c r="D1380" s="1">
        <v>-7.0635568947999996</v>
      </c>
      <c r="E1380" s="3">
        <v>2</v>
      </c>
      <c r="F1380" s="2">
        <v>3</v>
      </c>
      <c r="G1380" s="4">
        <v>2</v>
      </c>
      <c r="H1380" s="13"/>
      <c r="I1380" s="15"/>
      <c r="J1380" s="19">
        <v>2</v>
      </c>
      <c r="K1380" s="2" t="s">
        <v>2771</v>
      </c>
      <c r="L1380" s="11" t="str">
        <f t="shared" si="22"/>
        <v>Ver Imagen</v>
      </c>
      <c r="M1380" t="s">
        <v>15</v>
      </c>
    </row>
    <row r="1381" spans="1:13" x14ac:dyDescent="0.25">
      <c r="A1381">
        <v>1380</v>
      </c>
      <c r="B1381" t="s">
        <v>2772</v>
      </c>
      <c r="C1381" s="1">
        <v>37.2253330518</v>
      </c>
      <c r="D1381" s="1">
        <v>-7.0292856172900002</v>
      </c>
      <c r="E1381" s="3">
        <v>2</v>
      </c>
      <c r="F1381" s="2">
        <v>2</v>
      </c>
      <c r="G1381" s="4">
        <v>3</v>
      </c>
      <c r="H1381" s="13"/>
      <c r="I1381" s="15"/>
      <c r="J1381" s="19">
        <v>2</v>
      </c>
      <c r="K1381" s="2" t="s">
        <v>2773</v>
      </c>
      <c r="L1381" s="11" t="str">
        <f t="shared" si="22"/>
        <v>Ver Imagen</v>
      </c>
      <c r="M1381" t="s">
        <v>15</v>
      </c>
    </row>
    <row r="1382" spans="1:13" x14ac:dyDescent="0.25">
      <c r="A1382">
        <v>1381</v>
      </c>
      <c r="B1382" t="s">
        <v>2774</v>
      </c>
      <c r="C1382" s="1">
        <v>37.2253356262</v>
      </c>
      <c r="D1382" s="1">
        <v>-7.0305647389699999</v>
      </c>
      <c r="E1382" s="3">
        <v>2</v>
      </c>
      <c r="F1382" s="2">
        <v>1</v>
      </c>
      <c r="G1382" s="4">
        <v>2</v>
      </c>
      <c r="H1382" s="13"/>
      <c r="I1382" s="15"/>
      <c r="J1382" s="19">
        <v>2</v>
      </c>
      <c r="K1382" s="2" t="s">
        <v>2775</v>
      </c>
      <c r="L1382" s="11" t="str">
        <f t="shared" si="22"/>
        <v>Ver Imagen</v>
      </c>
      <c r="M1382" t="s">
        <v>15</v>
      </c>
    </row>
    <row r="1383" spans="1:13" x14ac:dyDescent="0.25">
      <c r="A1383">
        <v>1382</v>
      </c>
      <c r="B1383" t="s">
        <v>2776</v>
      </c>
      <c r="C1383" s="1">
        <v>37.432207825200003</v>
      </c>
      <c r="D1383" s="1">
        <v>-7.0633090344599996</v>
      </c>
      <c r="E1383" s="3">
        <v>2</v>
      </c>
      <c r="F1383" s="2">
        <v>3</v>
      </c>
      <c r="G1383" s="4">
        <v>2</v>
      </c>
      <c r="H1383" s="13"/>
      <c r="I1383" s="15"/>
      <c r="J1383" s="19">
        <v>2</v>
      </c>
      <c r="K1383" s="2" t="s">
        <v>2777</v>
      </c>
      <c r="L1383" s="11" t="str">
        <f t="shared" si="22"/>
        <v>Ver Imagen</v>
      </c>
      <c r="M1383" t="s">
        <v>15</v>
      </c>
    </row>
    <row r="1384" spans="1:13" x14ac:dyDescent="0.25">
      <c r="A1384">
        <v>1383</v>
      </c>
      <c r="B1384" t="s">
        <v>2778</v>
      </c>
      <c r="C1384" s="1">
        <v>37.2253189316</v>
      </c>
      <c r="D1384" s="1">
        <v>-7.0308041013300002</v>
      </c>
      <c r="E1384" s="3">
        <v>3</v>
      </c>
      <c r="F1384" s="2">
        <v>2</v>
      </c>
      <c r="G1384" s="4">
        <v>2</v>
      </c>
      <c r="H1384" s="13"/>
      <c r="I1384" s="15"/>
      <c r="J1384" s="19">
        <v>2</v>
      </c>
      <c r="K1384" s="2" t="s">
        <v>2779</v>
      </c>
      <c r="L1384" s="11" t="str">
        <f t="shared" si="22"/>
        <v>Ver Imagen</v>
      </c>
      <c r="M1384" t="s">
        <v>15</v>
      </c>
    </row>
    <row r="1385" spans="1:13" x14ac:dyDescent="0.25">
      <c r="A1385">
        <v>1384</v>
      </c>
      <c r="B1385" t="s">
        <v>2780</v>
      </c>
      <c r="C1385" s="1">
        <v>37.225104674000001</v>
      </c>
      <c r="D1385" s="1">
        <v>-7.03279515955</v>
      </c>
      <c r="E1385" s="3">
        <v>2</v>
      </c>
      <c r="F1385" s="2">
        <v>3</v>
      </c>
      <c r="G1385" s="4">
        <v>2</v>
      </c>
      <c r="H1385" s="13"/>
      <c r="I1385" s="15"/>
      <c r="J1385" s="19">
        <v>2</v>
      </c>
      <c r="K1385" s="2" t="s">
        <v>2781</v>
      </c>
      <c r="L1385" s="11" t="str">
        <f t="shared" si="22"/>
        <v>Ver Imagen</v>
      </c>
      <c r="M1385" t="s">
        <v>15</v>
      </c>
    </row>
    <row r="1386" spans="1:13" x14ac:dyDescent="0.25">
      <c r="A1386">
        <v>1385</v>
      </c>
      <c r="B1386" t="s">
        <v>2782</v>
      </c>
      <c r="C1386" s="1">
        <v>37.4320009793</v>
      </c>
      <c r="D1386" s="1">
        <v>-7.06285799618</v>
      </c>
      <c r="E1386" s="3">
        <v>2</v>
      </c>
      <c r="F1386" s="2">
        <v>2</v>
      </c>
      <c r="G1386" s="4">
        <v>3</v>
      </c>
      <c r="H1386" s="13"/>
      <c r="I1386" s="15"/>
      <c r="J1386" s="19">
        <v>2</v>
      </c>
      <c r="K1386" s="2" t="s">
        <v>2783</v>
      </c>
      <c r="L1386" s="11" t="str">
        <f t="shared" si="22"/>
        <v>Ver Imagen</v>
      </c>
      <c r="M1386" t="s">
        <v>15</v>
      </c>
    </row>
    <row r="1387" spans="1:13" x14ac:dyDescent="0.25">
      <c r="A1387">
        <v>1386</v>
      </c>
      <c r="B1387" t="s">
        <v>2784</v>
      </c>
      <c r="C1387" s="1">
        <v>37.4318020921</v>
      </c>
      <c r="D1387" s="1">
        <v>-7.0624246554600001</v>
      </c>
      <c r="E1387" s="3">
        <v>2</v>
      </c>
      <c r="F1387" s="2">
        <v>3</v>
      </c>
      <c r="G1387" s="4">
        <v>2</v>
      </c>
      <c r="H1387" s="13"/>
      <c r="I1387" s="15"/>
      <c r="J1387" s="19">
        <v>2</v>
      </c>
      <c r="K1387" s="2" t="s">
        <v>2785</v>
      </c>
      <c r="L1387" s="11" t="str">
        <f t="shared" si="22"/>
        <v>Ver Imagen</v>
      </c>
      <c r="M1387" t="s">
        <v>15</v>
      </c>
    </row>
    <row r="1388" spans="1:13" x14ac:dyDescent="0.25">
      <c r="A1388">
        <v>1387</v>
      </c>
      <c r="B1388" t="s">
        <v>2786</v>
      </c>
      <c r="C1388" s="1">
        <v>37.4315916053</v>
      </c>
      <c r="D1388" s="1">
        <v>-7.0619696738100002</v>
      </c>
      <c r="E1388" s="3">
        <v>2</v>
      </c>
      <c r="F1388" s="2">
        <v>2</v>
      </c>
      <c r="G1388" s="4">
        <v>3</v>
      </c>
      <c r="H1388" s="13"/>
      <c r="I1388" s="15"/>
      <c r="J1388" s="19">
        <v>2</v>
      </c>
      <c r="K1388" s="2" t="s">
        <v>2787</v>
      </c>
      <c r="L1388" s="11" t="str">
        <f t="shared" si="22"/>
        <v>Ver Imagen</v>
      </c>
      <c r="M1388" t="s">
        <v>15</v>
      </c>
    </row>
    <row r="1389" spans="1:13" x14ac:dyDescent="0.25">
      <c r="A1389">
        <v>1388</v>
      </c>
      <c r="B1389" t="s">
        <v>2788</v>
      </c>
      <c r="C1389" s="1">
        <v>37.224649484799997</v>
      </c>
      <c r="D1389" s="1">
        <v>-7.0379978317200003</v>
      </c>
      <c r="E1389" s="3">
        <v>2</v>
      </c>
      <c r="F1389" s="2">
        <v>3</v>
      </c>
      <c r="G1389" s="4">
        <v>2</v>
      </c>
      <c r="H1389" s="13"/>
      <c r="I1389" s="15"/>
      <c r="J1389" s="19">
        <v>2</v>
      </c>
      <c r="K1389" s="2" t="s">
        <v>2789</v>
      </c>
      <c r="L1389" s="11" t="str">
        <f t="shared" si="22"/>
        <v>Ver Imagen</v>
      </c>
      <c r="M1389" t="s">
        <v>15</v>
      </c>
    </row>
    <row r="1390" spans="1:13" x14ac:dyDescent="0.25">
      <c r="A1390">
        <v>1389</v>
      </c>
      <c r="B1390" t="s">
        <v>2790</v>
      </c>
      <c r="C1390" s="1">
        <v>37.224800946800002</v>
      </c>
      <c r="D1390" s="1">
        <v>-7.0392674196199998</v>
      </c>
      <c r="E1390" s="3">
        <v>2</v>
      </c>
      <c r="F1390" s="2">
        <v>3</v>
      </c>
      <c r="G1390" s="4">
        <v>2</v>
      </c>
      <c r="H1390" s="13"/>
      <c r="I1390" s="15"/>
      <c r="J1390" s="19">
        <v>2</v>
      </c>
      <c r="K1390" s="2" t="s">
        <v>2791</v>
      </c>
      <c r="L1390" s="11" t="str">
        <f t="shared" si="22"/>
        <v>Ver Imagen</v>
      </c>
      <c r="M1390" t="s">
        <v>15</v>
      </c>
    </row>
    <row r="1391" spans="1:13" x14ac:dyDescent="0.25">
      <c r="A1391">
        <v>1390</v>
      </c>
      <c r="B1391" t="s">
        <v>2792</v>
      </c>
      <c r="C1391" s="1">
        <v>37.224853658699999</v>
      </c>
      <c r="D1391" s="1">
        <v>-7.0395192382399996</v>
      </c>
      <c r="E1391" s="3">
        <v>2</v>
      </c>
      <c r="F1391" s="2">
        <v>3</v>
      </c>
      <c r="G1391" s="4">
        <v>2</v>
      </c>
      <c r="H1391" s="13"/>
      <c r="I1391" s="15"/>
      <c r="J1391" s="19">
        <v>2</v>
      </c>
      <c r="K1391" s="2" t="s">
        <v>2793</v>
      </c>
      <c r="L1391" s="11" t="str">
        <f t="shared" si="22"/>
        <v>Ver Imagen</v>
      </c>
      <c r="M1391" t="s">
        <v>15</v>
      </c>
    </row>
    <row r="1392" spans="1:13" x14ac:dyDescent="0.25">
      <c r="A1392">
        <v>1391</v>
      </c>
      <c r="B1392" t="s">
        <v>2794</v>
      </c>
      <c r="C1392" s="1">
        <v>37.226376881699998</v>
      </c>
      <c r="D1392" s="1">
        <v>-7.0436239219100001</v>
      </c>
      <c r="E1392" s="3">
        <v>2</v>
      </c>
      <c r="F1392" s="2">
        <v>3</v>
      </c>
      <c r="G1392" s="4">
        <v>2</v>
      </c>
      <c r="H1392" s="13"/>
      <c r="I1392" s="15"/>
      <c r="J1392" s="19">
        <v>2</v>
      </c>
      <c r="K1392" s="2" t="s">
        <v>2795</v>
      </c>
      <c r="L1392" s="11" t="str">
        <f t="shared" si="22"/>
        <v>Ver Imagen</v>
      </c>
      <c r="M1392" t="s">
        <v>15</v>
      </c>
    </row>
    <row r="1393" spans="1:13" x14ac:dyDescent="0.25">
      <c r="A1393">
        <v>1392</v>
      </c>
      <c r="B1393" t="s">
        <v>2796</v>
      </c>
      <c r="C1393" s="1">
        <v>37.226685519900002</v>
      </c>
      <c r="D1393" s="1">
        <v>-7.0442593430700002</v>
      </c>
      <c r="E1393" s="3">
        <v>2</v>
      </c>
      <c r="F1393" s="2">
        <v>1</v>
      </c>
      <c r="G1393" s="4">
        <v>2</v>
      </c>
      <c r="H1393" s="13"/>
      <c r="I1393" s="15"/>
      <c r="J1393" s="19">
        <v>2</v>
      </c>
      <c r="K1393" s="2" t="s">
        <v>2797</v>
      </c>
      <c r="L1393" s="11" t="str">
        <f t="shared" si="22"/>
        <v>Ver Imagen</v>
      </c>
      <c r="M1393" t="s">
        <v>15</v>
      </c>
    </row>
    <row r="1394" spans="1:13" x14ac:dyDescent="0.25">
      <c r="A1394">
        <v>1393</v>
      </c>
      <c r="B1394" t="s">
        <v>2798</v>
      </c>
      <c r="C1394" s="1">
        <v>37.226805799499999</v>
      </c>
      <c r="D1394" s="1">
        <v>-7.0444641579100002</v>
      </c>
      <c r="E1394" s="3">
        <v>2</v>
      </c>
      <c r="F1394" s="2">
        <v>3</v>
      </c>
      <c r="G1394" s="4">
        <v>2</v>
      </c>
      <c r="H1394" s="13"/>
      <c r="I1394" s="15"/>
      <c r="J1394" s="19">
        <v>2</v>
      </c>
      <c r="K1394" s="2" t="s">
        <v>2799</v>
      </c>
      <c r="L1394" s="11" t="str">
        <f t="shared" si="22"/>
        <v>Ver Imagen</v>
      </c>
      <c r="M1394" t="s">
        <v>15</v>
      </c>
    </row>
    <row r="1395" spans="1:13" x14ac:dyDescent="0.25">
      <c r="A1395">
        <v>1394</v>
      </c>
      <c r="B1395" t="s">
        <v>2800</v>
      </c>
      <c r="C1395" s="1">
        <v>37.229738924999999</v>
      </c>
      <c r="D1395" s="1">
        <v>-7.0482717458600002</v>
      </c>
      <c r="E1395" s="3">
        <v>2</v>
      </c>
      <c r="F1395" s="2">
        <v>2</v>
      </c>
      <c r="G1395" s="4">
        <v>3</v>
      </c>
      <c r="H1395" s="13"/>
      <c r="I1395" s="15"/>
      <c r="J1395" s="19">
        <v>2</v>
      </c>
      <c r="K1395" s="2" t="s">
        <v>2801</v>
      </c>
      <c r="L1395" s="11" t="str">
        <f t="shared" si="22"/>
        <v>Ver Imagen</v>
      </c>
      <c r="M1395" t="s">
        <v>15</v>
      </c>
    </row>
    <row r="1396" spans="1:13" x14ac:dyDescent="0.25">
      <c r="A1396">
        <v>1395</v>
      </c>
      <c r="B1396" t="s">
        <v>2802</v>
      </c>
      <c r="C1396" s="1">
        <v>37.2302235473</v>
      </c>
      <c r="D1396" s="1">
        <v>-7.0490783594100002</v>
      </c>
      <c r="E1396" s="3">
        <v>2</v>
      </c>
      <c r="F1396" s="2">
        <v>2</v>
      </c>
      <c r="G1396" s="4">
        <v>3</v>
      </c>
      <c r="H1396" s="13"/>
      <c r="I1396" s="15"/>
      <c r="J1396" s="19">
        <v>2</v>
      </c>
      <c r="K1396" s="2" t="s">
        <v>2803</v>
      </c>
      <c r="L1396" s="11" t="str">
        <f t="shared" si="22"/>
        <v>Ver Imagen</v>
      </c>
      <c r="M1396" t="s">
        <v>15</v>
      </c>
    </row>
    <row r="1397" spans="1:13" x14ac:dyDescent="0.25">
      <c r="A1397">
        <v>1396</v>
      </c>
      <c r="B1397" t="s">
        <v>2804</v>
      </c>
      <c r="C1397" s="1">
        <v>37.230721610800003</v>
      </c>
      <c r="D1397" s="1">
        <v>-7.04992142487</v>
      </c>
      <c r="E1397" s="3">
        <v>2</v>
      </c>
      <c r="F1397" s="2">
        <v>2</v>
      </c>
      <c r="G1397" s="4">
        <v>3</v>
      </c>
      <c r="H1397" s="13"/>
      <c r="I1397" s="15"/>
      <c r="J1397" s="19">
        <v>2</v>
      </c>
      <c r="K1397" s="2" t="s">
        <v>2805</v>
      </c>
      <c r="L1397" s="11" t="str">
        <f t="shared" si="22"/>
        <v>Ver Imagen</v>
      </c>
      <c r="M1397" t="s">
        <v>15</v>
      </c>
    </row>
    <row r="1398" spans="1:13" x14ac:dyDescent="0.25">
      <c r="A1398">
        <v>1397</v>
      </c>
      <c r="B1398" t="s">
        <v>2806</v>
      </c>
      <c r="C1398" s="1">
        <v>37.234310626599999</v>
      </c>
      <c r="D1398" s="1">
        <v>-7.0707793963099999</v>
      </c>
      <c r="E1398" s="3">
        <v>2</v>
      </c>
      <c r="F1398" s="2">
        <v>1</v>
      </c>
      <c r="G1398" s="4">
        <v>2</v>
      </c>
      <c r="H1398" s="13"/>
      <c r="I1398" s="15"/>
      <c r="J1398" s="19">
        <v>2</v>
      </c>
      <c r="K1398" s="2" t="s">
        <v>2807</v>
      </c>
      <c r="L1398" s="11" t="str">
        <f t="shared" si="22"/>
        <v>Ver Imagen</v>
      </c>
      <c r="M1398" t="s">
        <v>15</v>
      </c>
    </row>
    <row r="1399" spans="1:13" x14ac:dyDescent="0.25">
      <c r="A1399">
        <v>1398</v>
      </c>
      <c r="B1399" t="s">
        <v>2808</v>
      </c>
      <c r="C1399" s="1">
        <v>37.484610388500002</v>
      </c>
      <c r="D1399" s="1">
        <v>-7.1303936888099999</v>
      </c>
      <c r="E1399" s="3">
        <v>2</v>
      </c>
      <c r="F1399" s="2">
        <v>3</v>
      </c>
      <c r="G1399" s="4">
        <v>2</v>
      </c>
      <c r="H1399" s="13"/>
      <c r="I1399" s="15"/>
      <c r="J1399" s="19">
        <v>2</v>
      </c>
      <c r="K1399" s="2" t="s">
        <v>2809</v>
      </c>
      <c r="L1399" s="11" t="str">
        <f t="shared" si="22"/>
        <v>Ver Imagen</v>
      </c>
      <c r="M1399" t="s">
        <v>15</v>
      </c>
    </row>
    <row r="1400" spans="1:13" x14ac:dyDescent="0.25">
      <c r="A1400">
        <v>1399</v>
      </c>
      <c r="B1400" t="s">
        <v>2810</v>
      </c>
      <c r="C1400" s="1">
        <v>37.483485913599999</v>
      </c>
      <c r="D1400" s="1">
        <v>-7.1293714642400001</v>
      </c>
      <c r="E1400" s="3">
        <v>2</v>
      </c>
      <c r="F1400" s="2">
        <v>3</v>
      </c>
      <c r="G1400" s="4">
        <v>2</v>
      </c>
      <c r="H1400" s="13"/>
      <c r="I1400" s="15"/>
      <c r="J1400" s="19">
        <v>2</v>
      </c>
      <c r="K1400" s="2" t="s">
        <v>2811</v>
      </c>
      <c r="L1400" s="11" t="str">
        <f t="shared" si="22"/>
        <v>Ver Imagen</v>
      </c>
      <c r="M1400" t="s">
        <v>15</v>
      </c>
    </row>
    <row r="1401" spans="1:13" x14ac:dyDescent="0.25">
      <c r="A1401">
        <v>1400</v>
      </c>
      <c r="B1401" t="s">
        <v>2812</v>
      </c>
      <c r="C1401" s="1">
        <v>37.483313144299998</v>
      </c>
      <c r="D1401" s="1">
        <v>-7.1291944521500001</v>
      </c>
      <c r="E1401" s="3">
        <v>2</v>
      </c>
      <c r="F1401" s="2">
        <v>3</v>
      </c>
      <c r="G1401" s="4">
        <v>2</v>
      </c>
      <c r="H1401" s="13"/>
      <c r="I1401" s="15"/>
      <c r="J1401" s="19">
        <v>2</v>
      </c>
      <c r="K1401" s="2" t="s">
        <v>2813</v>
      </c>
      <c r="L1401" s="11" t="str">
        <f t="shared" si="22"/>
        <v>Ver Imagen</v>
      </c>
      <c r="M1401" t="s">
        <v>15</v>
      </c>
    </row>
    <row r="1402" spans="1:13" x14ac:dyDescent="0.25">
      <c r="A1402">
        <v>1401</v>
      </c>
      <c r="B1402" t="s">
        <v>2814</v>
      </c>
      <c r="C1402" s="1">
        <v>37.471130298299997</v>
      </c>
      <c r="D1402" s="1">
        <v>-7.1255106933399999</v>
      </c>
      <c r="E1402" s="3">
        <v>3</v>
      </c>
      <c r="F1402" s="2">
        <v>2</v>
      </c>
      <c r="G1402" s="4">
        <v>2</v>
      </c>
      <c r="H1402" s="13"/>
      <c r="I1402" s="15"/>
      <c r="J1402" s="19">
        <v>2</v>
      </c>
      <c r="K1402" s="2" t="s">
        <v>2815</v>
      </c>
      <c r="L1402" s="11" t="str">
        <f t="shared" si="22"/>
        <v>Ver Imagen</v>
      </c>
      <c r="M1402" t="s">
        <v>15</v>
      </c>
    </row>
    <row r="1403" spans="1:13" x14ac:dyDescent="0.25">
      <c r="A1403">
        <v>1402</v>
      </c>
      <c r="B1403" t="s">
        <v>2816</v>
      </c>
      <c r="C1403" s="1">
        <v>37.470256953499998</v>
      </c>
      <c r="D1403" s="1">
        <v>-7.1248238203699996</v>
      </c>
      <c r="E1403" s="3">
        <v>2</v>
      </c>
      <c r="F1403" s="2">
        <v>3</v>
      </c>
      <c r="G1403" s="4">
        <v>2</v>
      </c>
      <c r="H1403" s="13"/>
      <c r="I1403" s="15"/>
      <c r="J1403" s="19">
        <v>2</v>
      </c>
      <c r="K1403" s="2" t="s">
        <v>2817</v>
      </c>
      <c r="L1403" s="11" t="str">
        <f t="shared" si="22"/>
        <v>Ver Imagen</v>
      </c>
      <c r="M1403" t="s">
        <v>15</v>
      </c>
    </row>
    <row r="1404" spans="1:13" x14ac:dyDescent="0.25">
      <c r="A1404">
        <v>1403</v>
      </c>
      <c r="B1404" t="s">
        <v>2818</v>
      </c>
      <c r="C1404" s="1">
        <v>37.469905056800002</v>
      </c>
      <c r="D1404" s="1">
        <v>-7.12456641136</v>
      </c>
      <c r="E1404" s="3">
        <v>2</v>
      </c>
      <c r="F1404" s="2">
        <v>3</v>
      </c>
      <c r="G1404" s="4">
        <v>2</v>
      </c>
      <c r="H1404" s="13"/>
      <c r="I1404" s="15"/>
      <c r="J1404" s="19">
        <v>2</v>
      </c>
      <c r="K1404" s="2" t="s">
        <v>2819</v>
      </c>
      <c r="L1404" s="11" t="str">
        <f t="shared" si="22"/>
        <v>Ver Imagen</v>
      </c>
      <c r="M1404" t="s">
        <v>15</v>
      </c>
    </row>
    <row r="1405" spans="1:13" x14ac:dyDescent="0.25">
      <c r="A1405">
        <v>1404</v>
      </c>
      <c r="B1405" t="s">
        <v>2820</v>
      </c>
      <c r="C1405" s="1">
        <v>37.466985530000002</v>
      </c>
      <c r="D1405" s="1">
        <v>-7.1227991361200003</v>
      </c>
      <c r="E1405" s="3">
        <v>2</v>
      </c>
      <c r="F1405" s="2">
        <v>3</v>
      </c>
      <c r="G1405" s="4">
        <v>2</v>
      </c>
      <c r="H1405" s="13"/>
      <c r="I1405" s="15"/>
      <c r="J1405" s="19">
        <v>2</v>
      </c>
      <c r="K1405" s="2" t="s">
        <v>2821</v>
      </c>
      <c r="L1405" s="11" t="str">
        <f t="shared" si="22"/>
        <v>Ver Imagen</v>
      </c>
      <c r="M1405" t="s">
        <v>15</v>
      </c>
    </row>
    <row r="1406" spans="1:13" x14ac:dyDescent="0.25">
      <c r="A1406">
        <v>1405</v>
      </c>
      <c r="B1406" t="s">
        <v>2822</v>
      </c>
      <c r="C1406" s="1">
        <v>37.466778433899997</v>
      </c>
      <c r="D1406" s="1">
        <v>-7.1227521786199999</v>
      </c>
      <c r="E1406" s="3">
        <v>2</v>
      </c>
      <c r="F1406" s="2">
        <v>1</v>
      </c>
      <c r="G1406" s="4">
        <v>2</v>
      </c>
      <c r="H1406" s="13"/>
      <c r="I1406" s="15"/>
      <c r="J1406" s="19">
        <v>2</v>
      </c>
      <c r="K1406" s="2" t="s">
        <v>2823</v>
      </c>
      <c r="L1406" s="11" t="str">
        <f t="shared" si="22"/>
        <v>Ver Imagen</v>
      </c>
      <c r="M1406" t="s">
        <v>15</v>
      </c>
    </row>
    <row r="1407" spans="1:13" x14ac:dyDescent="0.25">
      <c r="A1407">
        <v>1406</v>
      </c>
      <c r="B1407" t="s">
        <v>2824</v>
      </c>
      <c r="C1407" s="1">
        <v>37.465616160499998</v>
      </c>
      <c r="D1407" s="1">
        <v>-7.1228731488000001</v>
      </c>
      <c r="E1407" s="3">
        <v>2</v>
      </c>
      <c r="F1407" s="2">
        <v>3</v>
      </c>
      <c r="G1407" s="4">
        <v>2</v>
      </c>
      <c r="H1407" s="13"/>
      <c r="I1407" s="15"/>
      <c r="J1407" s="19">
        <v>2</v>
      </c>
      <c r="K1407" s="2" t="s">
        <v>2825</v>
      </c>
      <c r="L1407" s="11" t="str">
        <f t="shared" si="22"/>
        <v>Ver Imagen</v>
      </c>
      <c r="M1407" t="s">
        <v>15</v>
      </c>
    </row>
    <row r="1408" spans="1:13" x14ac:dyDescent="0.25">
      <c r="A1408">
        <v>1407</v>
      </c>
      <c r="B1408" t="s">
        <v>2826</v>
      </c>
      <c r="C1408" s="1">
        <v>37.464503981999997</v>
      </c>
      <c r="D1408" s="1">
        <v>-7.12355161277</v>
      </c>
      <c r="E1408" s="3">
        <v>2</v>
      </c>
      <c r="F1408" s="2">
        <v>3</v>
      </c>
      <c r="G1408" s="4">
        <v>2</v>
      </c>
      <c r="H1408" s="13"/>
      <c r="I1408" s="15"/>
      <c r="J1408" s="19">
        <v>2</v>
      </c>
      <c r="K1408" s="2" t="s">
        <v>2827</v>
      </c>
      <c r="L1408" s="11" t="str">
        <f t="shared" si="22"/>
        <v>Ver Imagen</v>
      </c>
      <c r="M1408" t="s">
        <v>15</v>
      </c>
    </row>
    <row r="1409" spans="1:13" x14ac:dyDescent="0.25">
      <c r="A1409">
        <v>1408</v>
      </c>
      <c r="B1409" t="s">
        <v>2828</v>
      </c>
      <c r="C1409" s="1">
        <v>37.462774080499997</v>
      </c>
      <c r="D1409" s="1">
        <v>-7.1242066593700004</v>
      </c>
      <c r="E1409" s="3">
        <v>2</v>
      </c>
      <c r="F1409" s="2">
        <v>3</v>
      </c>
      <c r="G1409" s="4">
        <v>2</v>
      </c>
      <c r="H1409" s="13"/>
      <c r="I1409" s="15"/>
      <c r="J1409" s="19">
        <v>2</v>
      </c>
      <c r="K1409" s="2" t="s">
        <v>2829</v>
      </c>
      <c r="L1409" s="11" t="str">
        <f t="shared" si="22"/>
        <v>Ver Imagen</v>
      </c>
      <c r="M1409" t="s">
        <v>15</v>
      </c>
    </row>
    <row r="1410" spans="1:13" x14ac:dyDescent="0.25">
      <c r="A1410">
        <v>1409</v>
      </c>
      <c r="B1410" t="s">
        <v>2830</v>
      </c>
      <c r="C1410" s="1">
        <v>37.4625831846</v>
      </c>
      <c r="D1410" s="1">
        <v>-7.1242377620899999</v>
      </c>
      <c r="E1410" s="3">
        <v>2</v>
      </c>
      <c r="F1410" s="2">
        <v>3</v>
      </c>
      <c r="G1410" s="4">
        <v>2</v>
      </c>
      <c r="H1410" s="13"/>
      <c r="I1410" s="15"/>
      <c r="J1410" s="19">
        <v>2</v>
      </c>
      <c r="K1410" s="2" t="s">
        <v>2831</v>
      </c>
      <c r="L1410" s="11" t="str">
        <f t="shared" si="22"/>
        <v>Ver Imagen</v>
      </c>
      <c r="M1410" t="s">
        <v>15</v>
      </c>
    </row>
    <row r="1411" spans="1:13" x14ac:dyDescent="0.25">
      <c r="A1411">
        <v>1410</v>
      </c>
      <c r="B1411" t="s">
        <v>2832</v>
      </c>
      <c r="C1411" s="1">
        <v>37.461979460400002</v>
      </c>
      <c r="D1411" s="1">
        <v>-7.1243483975500004</v>
      </c>
      <c r="E1411" s="3">
        <v>2</v>
      </c>
      <c r="F1411" s="2">
        <v>3</v>
      </c>
      <c r="G1411" s="4">
        <v>2</v>
      </c>
      <c r="H1411" s="13"/>
      <c r="I1411" s="15"/>
      <c r="J1411" s="19">
        <v>2</v>
      </c>
      <c r="K1411" s="2" t="s">
        <v>2833</v>
      </c>
      <c r="L1411" s="11" t="str">
        <f t="shared" ref="L1411:L1474" si="23">HYPERLINK("2\1\" &amp; K1411, "Ver Imagen")</f>
        <v>Ver Imagen</v>
      </c>
      <c r="M1411" t="s">
        <v>15</v>
      </c>
    </row>
    <row r="1412" spans="1:13" x14ac:dyDescent="0.25">
      <c r="A1412">
        <v>1411</v>
      </c>
      <c r="B1412" t="s">
        <v>2834</v>
      </c>
      <c r="C1412" s="1">
        <v>37.4594262683</v>
      </c>
      <c r="D1412" s="1">
        <v>-7.1251035817600004</v>
      </c>
      <c r="E1412" s="3">
        <v>2</v>
      </c>
      <c r="F1412" s="2">
        <v>3</v>
      </c>
      <c r="G1412" s="4">
        <v>2</v>
      </c>
      <c r="H1412" s="13"/>
      <c r="I1412" s="15"/>
      <c r="J1412" s="19">
        <v>2</v>
      </c>
      <c r="K1412" s="2" t="s">
        <v>2835</v>
      </c>
      <c r="L1412" s="11" t="str">
        <f t="shared" si="23"/>
        <v>Ver Imagen</v>
      </c>
      <c r="M1412" t="s">
        <v>15</v>
      </c>
    </row>
    <row r="1413" spans="1:13" x14ac:dyDescent="0.25">
      <c r="A1413">
        <v>1412</v>
      </c>
      <c r="B1413" t="s">
        <v>2836</v>
      </c>
      <c r="C1413" s="1">
        <v>37.457654773599998</v>
      </c>
      <c r="D1413" s="1">
        <v>-7.1257480584600001</v>
      </c>
      <c r="E1413" s="3">
        <v>2</v>
      </c>
      <c r="F1413" s="2">
        <v>1</v>
      </c>
      <c r="G1413" s="4">
        <v>2</v>
      </c>
      <c r="H1413" s="13"/>
      <c r="I1413" s="15"/>
      <c r="J1413" s="19">
        <v>2</v>
      </c>
      <c r="K1413" s="2" t="s">
        <v>2837</v>
      </c>
      <c r="L1413" s="11" t="str">
        <f t="shared" si="23"/>
        <v>Ver Imagen</v>
      </c>
      <c r="M1413" t="s">
        <v>15</v>
      </c>
    </row>
    <row r="1414" spans="1:13" x14ac:dyDescent="0.25">
      <c r="A1414">
        <v>1413</v>
      </c>
      <c r="B1414" t="s">
        <v>2838</v>
      </c>
      <c r="C1414" s="1">
        <v>37.4571008367</v>
      </c>
      <c r="D1414" s="1">
        <v>-7.1259486805299996</v>
      </c>
      <c r="E1414" s="3">
        <v>2</v>
      </c>
      <c r="F1414" s="2">
        <v>3</v>
      </c>
      <c r="G1414" s="4">
        <v>2</v>
      </c>
      <c r="H1414" s="13"/>
      <c r="I1414" s="15"/>
      <c r="J1414" s="19">
        <v>2</v>
      </c>
      <c r="K1414" s="2" t="s">
        <v>2839</v>
      </c>
      <c r="L1414" s="11" t="str">
        <f t="shared" si="23"/>
        <v>Ver Imagen</v>
      </c>
      <c r="M1414" t="s">
        <v>15</v>
      </c>
    </row>
    <row r="1415" spans="1:13" x14ac:dyDescent="0.25">
      <c r="A1415">
        <v>1414</v>
      </c>
      <c r="B1415" t="s">
        <v>2840</v>
      </c>
      <c r="C1415" s="1">
        <v>37.4567079746</v>
      </c>
      <c r="D1415" s="1">
        <v>-7.1260958139000001</v>
      </c>
      <c r="E1415" s="3">
        <v>2</v>
      </c>
      <c r="F1415" s="2">
        <v>3</v>
      </c>
      <c r="G1415" s="4">
        <v>2</v>
      </c>
      <c r="H1415" s="13"/>
      <c r="I1415" s="15"/>
      <c r="J1415" s="19">
        <v>2</v>
      </c>
      <c r="K1415" s="2" t="s">
        <v>2841</v>
      </c>
      <c r="L1415" s="11" t="str">
        <f t="shared" si="23"/>
        <v>Ver Imagen</v>
      </c>
      <c r="M1415" t="s">
        <v>15</v>
      </c>
    </row>
    <row r="1416" spans="1:13" x14ac:dyDescent="0.25">
      <c r="A1416">
        <v>1415</v>
      </c>
      <c r="B1416" t="s">
        <v>2842</v>
      </c>
      <c r="C1416" s="1">
        <v>37.456239779999997</v>
      </c>
      <c r="D1416" s="1">
        <v>-7.1262711998299997</v>
      </c>
      <c r="E1416" s="3">
        <v>2</v>
      </c>
      <c r="F1416" s="2">
        <v>3</v>
      </c>
      <c r="G1416" s="4">
        <v>2</v>
      </c>
      <c r="H1416" s="13"/>
      <c r="I1416" s="15"/>
      <c r="J1416" s="19">
        <v>2</v>
      </c>
      <c r="K1416" s="2" t="s">
        <v>2843</v>
      </c>
      <c r="L1416" s="11" t="str">
        <f t="shared" si="23"/>
        <v>Ver Imagen</v>
      </c>
      <c r="M1416" t="s">
        <v>15</v>
      </c>
    </row>
    <row r="1417" spans="1:13" x14ac:dyDescent="0.25">
      <c r="A1417">
        <v>1416</v>
      </c>
      <c r="B1417" t="s">
        <v>2844</v>
      </c>
      <c r="C1417" s="1">
        <v>37.455908299199997</v>
      </c>
      <c r="D1417" s="1">
        <v>-7.1263932153100003</v>
      </c>
      <c r="E1417" s="3">
        <v>2</v>
      </c>
      <c r="F1417" s="2">
        <v>3</v>
      </c>
      <c r="G1417" s="4">
        <v>2</v>
      </c>
      <c r="H1417" s="13"/>
      <c r="I1417" s="15"/>
      <c r="J1417" s="19">
        <v>2</v>
      </c>
      <c r="K1417" s="2" t="s">
        <v>2845</v>
      </c>
      <c r="L1417" s="11" t="str">
        <f t="shared" si="23"/>
        <v>Ver Imagen</v>
      </c>
      <c r="M1417" t="s">
        <v>15</v>
      </c>
    </row>
    <row r="1418" spans="1:13" x14ac:dyDescent="0.25">
      <c r="A1418">
        <v>1417</v>
      </c>
      <c r="B1418" t="s">
        <v>2846</v>
      </c>
      <c r="C1418" s="1">
        <v>37.453597633900003</v>
      </c>
      <c r="D1418" s="1">
        <v>-7.1272107153800004</v>
      </c>
      <c r="E1418" s="3">
        <v>1</v>
      </c>
      <c r="F1418" s="2">
        <v>2</v>
      </c>
      <c r="G1418" s="4">
        <v>2</v>
      </c>
      <c r="H1418" s="13"/>
      <c r="I1418" s="15"/>
      <c r="J1418" s="19">
        <v>2</v>
      </c>
      <c r="K1418" s="2" t="s">
        <v>2847</v>
      </c>
      <c r="L1418" s="11" t="str">
        <f t="shared" si="23"/>
        <v>Ver Imagen</v>
      </c>
      <c r="M1418" t="s">
        <v>15</v>
      </c>
    </row>
    <row r="1419" spans="1:13" x14ac:dyDescent="0.25">
      <c r="A1419">
        <v>1418</v>
      </c>
      <c r="B1419" t="s">
        <v>2848</v>
      </c>
      <c r="C1419" s="1">
        <v>37.452731184100003</v>
      </c>
      <c r="D1419" s="1">
        <v>-7.1273981196699996</v>
      </c>
      <c r="E1419" s="3">
        <v>2</v>
      </c>
      <c r="F1419" s="2">
        <v>1</v>
      </c>
      <c r="G1419" s="4">
        <v>2</v>
      </c>
      <c r="H1419" s="13"/>
      <c r="I1419" s="15"/>
      <c r="J1419" s="19">
        <v>2</v>
      </c>
      <c r="K1419" s="2" t="s">
        <v>2849</v>
      </c>
      <c r="L1419" s="11" t="str">
        <f t="shared" si="23"/>
        <v>Ver Imagen</v>
      </c>
      <c r="M1419" t="s">
        <v>15</v>
      </c>
    </row>
    <row r="1420" spans="1:13" x14ac:dyDescent="0.25">
      <c r="A1420">
        <v>1419</v>
      </c>
      <c r="B1420" t="s">
        <v>2850</v>
      </c>
      <c r="C1420" s="1">
        <v>37.487362718200004</v>
      </c>
      <c r="D1420" s="1">
        <v>-7.2799955290699998</v>
      </c>
      <c r="E1420" s="3">
        <v>2</v>
      </c>
      <c r="F1420" s="2">
        <v>1</v>
      </c>
      <c r="G1420" s="4">
        <v>2</v>
      </c>
      <c r="H1420" s="13"/>
      <c r="I1420" s="15"/>
      <c r="J1420" s="19">
        <v>2</v>
      </c>
      <c r="K1420" s="2" t="s">
        <v>2851</v>
      </c>
      <c r="L1420" s="11" t="str">
        <f t="shared" si="23"/>
        <v>Ver Imagen</v>
      </c>
      <c r="M1420" t="s">
        <v>15</v>
      </c>
    </row>
    <row r="1421" spans="1:13" x14ac:dyDescent="0.25">
      <c r="A1421">
        <v>1420</v>
      </c>
      <c r="B1421" t="s">
        <v>2852</v>
      </c>
      <c r="C1421" s="1">
        <v>37.487553939900003</v>
      </c>
      <c r="D1421" s="1">
        <v>-7.2798963888300001</v>
      </c>
      <c r="E1421" s="3">
        <v>2</v>
      </c>
      <c r="F1421" s="2">
        <v>3</v>
      </c>
      <c r="G1421" s="4">
        <v>2</v>
      </c>
      <c r="H1421" s="13"/>
      <c r="I1421" s="15"/>
      <c r="J1421" s="19">
        <v>2</v>
      </c>
      <c r="K1421" s="2" t="s">
        <v>2853</v>
      </c>
      <c r="L1421" s="11" t="str">
        <f t="shared" si="23"/>
        <v>Ver Imagen</v>
      </c>
      <c r="M1421" t="s">
        <v>15</v>
      </c>
    </row>
    <row r="1422" spans="1:13" x14ac:dyDescent="0.25">
      <c r="A1422">
        <v>1421</v>
      </c>
      <c r="B1422" t="s">
        <v>2854</v>
      </c>
      <c r="C1422" s="1">
        <v>37.488112734399998</v>
      </c>
      <c r="D1422" s="1">
        <v>-7.2796058530199996</v>
      </c>
      <c r="E1422" s="3">
        <v>2</v>
      </c>
      <c r="F1422" s="2">
        <v>1</v>
      </c>
      <c r="G1422" s="4">
        <v>2</v>
      </c>
      <c r="H1422" s="13"/>
      <c r="I1422" s="15"/>
      <c r="J1422" s="19">
        <v>2</v>
      </c>
      <c r="K1422" s="2" t="s">
        <v>2855</v>
      </c>
      <c r="L1422" s="11" t="str">
        <f t="shared" si="23"/>
        <v>Ver Imagen</v>
      </c>
      <c r="M1422" t="s">
        <v>15</v>
      </c>
    </row>
    <row r="1423" spans="1:13" x14ac:dyDescent="0.25">
      <c r="A1423">
        <v>1422</v>
      </c>
      <c r="B1423" t="s">
        <v>2856</v>
      </c>
      <c r="C1423" s="1">
        <v>37.488661197799999</v>
      </c>
      <c r="D1423" s="1">
        <v>-7.27931965353</v>
      </c>
      <c r="E1423" s="3">
        <v>2</v>
      </c>
      <c r="F1423" s="2">
        <v>3</v>
      </c>
      <c r="G1423" s="4">
        <v>2</v>
      </c>
      <c r="H1423" s="13"/>
      <c r="I1423" s="15"/>
      <c r="J1423" s="19">
        <v>2</v>
      </c>
      <c r="K1423" s="2" t="s">
        <v>2857</v>
      </c>
      <c r="L1423" s="11" t="str">
        <f t="shared" si="23"/>
        <v>Ver Imagen</v>
      </c>
      <c r="M1423" t="s">
        <v>15</v>
      </c>
    </row>
    <row r="1424" spans="1:13" x14ac:dyDescent="0.25">
      <c r="A1424">
        <v>1423</v>
      </c>
      <c r="B1424" t="s">
        <v>2858</v>
      </c>
      <c r="C1424" s="1">
        <v>37.488835909700001</v>
      </c>
      <c r="D1424" s="1">
        <v>-7.2792291977300003</v>
      </c>
      <c r="E1424" s="3">
        <v>2</v>
      </c>
      <c r="F1424" s="2">
        <v>1</v>
      </c>
      <c r="G1424" s="4">
        <v>2</v>
      </c>
      <c r="H1424" s="13"/>
      <c r="I1424" s="15"/>
      <c r="J1424" s="19">
        <v>2</v>
      </c>
      <c r="K1424" s="2" t="s">
        <v>2859</v>
      </c>
      <c r="L1424" s="11" t="str">
        <f t="shared" si="23"/>
        <v>Ver Imagen</v>
      </c>
      <c r="M1424" t="s">
        <v>15</v>
      </c>
    </row>
    <row r="1425" spans="1:13" x14ac:dyDescent="0.25">
      <c r="A1425">
        <v>1424</v>
      </c>
      <c r="B1425" t="s">
        <v>2860</v>
      </c>
      <c r="C1425" s="1">
        <v>37.489013464199999</v>
      </c>
      <c r="D1425" s="1">
        <v>-7.2791375445700002</v>
      </c>
      <c r="E1425" s="3">
        <v>2</v>
      </c>
      <c r="F1425" s="2">
        <v>3</v>
      </c>
      <c r="G1425" s="4">
        <v>2</v>
      </c>
      <c r="H1425" s="13"/>
      <c r="I1425" s="15"/>
      <c r="J1425" s="19">
        <v>2</v>
      </c>
      <c r="K1425" s="2" t="s">
        <v>2861</v>
      </c>
      <c r="L1425" s="11" t="str">
        <f t="shared" si="23"/>
        <v>Ver Imagen</v>
      </c>
      <c r="M1425" t="s">
        <v>15</v>
      </c>
    </row>
    <row r="1426" spans="1:13" x14ac:dyDescent="0.25">
      <c r="A1426">
        <v>1425</v>
      </c>
      <c r="B1426" t="s">
        <v>2862</v>
      </c>
      <c r="C1426" s="1">
        <v>37.491492599600001</v>
      </c>
      <c r="D1426" s="1">
        <v>-7.2778965752399998</v>
      </c>
      <c r="E1426" s="3">
        <v>2</v>
      </c>
      <c r="F1426" s="2">
        <v>1</v>
      </c>
      <c r="G1426" s="4">
        <v>2</v>
      </c>
      <c r="H1426" s="13"/>
      <c r="I1426" s="15"/>
      <c r="J1426" s="19">
        <v>2</v>
      </c>
      <c r="K1426" s="2" t="s">
        <v>2863</v>
      </c>
      <c r="L1426" s="11" t="str">
        <f t="shared" si="23"/>
        <v>Ver Imagen</v>
      </c>
      <c r="M1426" t="s">
        <v>15</v>
      </c>
    </row>
    <row r="1427" spans="1:13" x14ac:dyDescent="0.25">
      <c r="A1427">
        <v>1426</v>
      </c>
      <c r="B1427" t="s">
        <v>2864</v>
      </c>
      <c r="C1427" s="1">
        <v>37.492039054199999</v>
      </c>
      <c r="D1427" s="1">
        <v>-7.2776660923199996</v>
      </c>
      <c r="E1427" s="3">
        <v>2</v>
      </c>
      <c r="F1427" s="2">
        <v>3</v>
      </c>
      <c r="G1427" s="4">
        <v>2</v>
      </c>
      <c r="H1427" s="13"/>
      <c r="I1427" s="15"/>
      <c r="J1427" s="19">
        <v>2</v>
      </c>
      <c r="K1427" s="2" t="s">
        <v>2865</v>
      </c>
      <c r="L1427" s="11" t="str">
        <f t="shared" si="23"/>
        <v>Ver Imagen</v>
      </c>
      <c r="M1427" t="s">
        <v>15</v>
      </c>
    </row>
    <row r="1428" spans="1:13" x14ac:dyDescent="0.25">
      <c r="A1428">
        <v>1427</v>
      </c>
      <c r="B1428" t="s">
        <v>2866</v>
      </c>
      <c r="C1428" s="1">
        <v>37.493021771800002</v>
      </c>
      <c r="D1428" s="1">
        <v>-7.2773013778399998</v>
      </c>
      <c r="E1428" s="3">
        <v>2</v>
      </c>
      <c r="F1428" s="2">
        <v>3</v>
      </c>
      <c r="G1428" s="4">
        <v>2</v>
      </c>
      <c r="H1428" s="13"/>
      <c r="I1428" s="15"/>
      <c r="J1428" s="19">
        <v>2</v>
      </c>
      <c r="K1428" s="2" t="s">
        <v>2867</v>
      </c>
      <c r="L1428" s="11" t="str">
        <f t="shared" si="23"/>
        <v>Ver Imagen</v>
      </c>
      <c r="M1428" t="s">
        <v>15</v>
      </c>
    </row>
    <row r="1429" spans="1:13" x14ac:dyDescent="0.25">
      <c r="A1429">
        <v>1428</v>
      </c>
      <c r="B1429" t="s">
        <v>2868</v>
      </c>
      <c r="C1429" s="1">
        <v>37.493804111099998</v>
      </c>
      <c r="D1429" s="1">
        <v>-7.2770397290800002</v>
      </c>
      <c r="E1429" s="3">
        <v>2</v>
      </c>
      <c r="F1429" s="2">
        <v>1</v>
      </c>
      <c r="G1429" s="4">
        <v>2</v>
      </c>
      <c r="H1429" s="13"/>
      <c r="I1429" s="15"/>
      <c r="J1429" s="19">
        <v>2</v>
      </c>
      <c r="K1429" s="2" t="s">
        <v>2869</v>
      </c>
      <c r="L1429" s="11" t="str">
        <f t="shared" si="23"/>
        <v>Ver Imagen</v>
      </c>
      <c r="M1429" t="s">
        <v>15</v>
      </c>
    </row>
    <row r="1430" spans="1:13" x14ac:dyDescent="0.25">
      <c r="A1430">
        <v>1429</v>
      </c>
      <c r="B1430" t="s">
        <v>2870</v>
      </c>
      <c r="C1430" s="1">
        <v>37.494391629200003</v>
      </c>
      <c r="D1430" s="1">
        <v>-7.2768460645599999</v>
      </c>
      <c r="E1430" s="3">
        <v>2</v>
      </c>
      <c r="F1430" s="2">
        <v>1</v>
      </c>
      <c r="G1430" s="4">
        <v>2</v>
      </c>
      <c r="H1430" s="13"/>
      <c r="I1430" s="15"/>
      <c r="J1430" s="19">
        <v>2</v>
      </c>
      <c r="K1430" s="2" t="s">
        <v>2871</v>
      </c>
      <c r="L1430" s="11" t="str">
        <f t="shared" si="23"/>
        <v>Ver Imagen</v>
      </c>
      <c r="M1430" t="s">
        <v>15</v>
      </c>
    </row>
    <row r="1431" spans="1:13" x14ac:dyDescent="0.25">
      <c r="A1431">
        <v>1430</v>
      </c>
      <c r="B1431" t="s">
        <v>2872</v>
      </c>
      <c r="C1431" s="1">
        <v>37.494786229399999</v>
      </c>
      <c r="D1431" s="1">
        <v>-7.2767208429899997</v>
      </c>
      <c r="E1431" s="3">
        <v>2</v>
      </c>
      <c r="F1431" s="2">
        <v>1</v>
      </c>
      <c r="G1431" s="4">
        <v>2</v>
      </c>
      <c r="H1431" s="13"/>
      <c r="I1431" s="15"/>
      <c r="J1431" s="19">
        <v>2</v>
      </c>
      <c r="K1431" s="2" t="s">
        <v>2873</v>
      </c>
      <c r="L1431" s="11" t="str">
        <f t="shared" si="23"/>
        <v>Ver Imagen</v>
      </c>
      <c r="M1431" t="s">
        <v>15</v>
      </c>
    </row>
    <row r="1432" spans="1:13" x14ac:dyDescent="0.25">
      <c r="A1432">
        <v>1431</v>
      </c>
      <c r="B1432" t="s">
        <v>2874</v>
      </c>
      <c r="C1432" s="1">
        <v>37.495614636200003</v>
      </c>
      <c r="D1432" s="1">
        <v>-7.2755248436500004</v>
      </c>
      <c r="E1432" s="3">
        <v>2</v>
      </c>
      <c r="F1432" s="2">
        <v>1</v>
      </c>
      <c r="G1432" s="4">
        <v>2</v>
      </c>
      <c r="H1432" s="13"/>
      <c r="I1432" s="15"/>
      <c r="J1432" s="19">
        <v>2</v>
      </c>
      <c r="K1432" s="2" t="s">
        <v>2875</v>
      </c>
      <c r="L1432" s="11" t="str">
        <f t="shared" si="23"/>
        <v>Ver Imagen</v>
      </c>
      <c r="M1432" t="s">
        <v>15</v>
      </c>
    </row>
    <row r="1433" spans="1:13" x14ac:dyDescent="0.25">
      <c r="A1433">
        <v>1432</v>
      </c>
      <c r="B1433" t="s">
        <v>2876</v>
      </c>
      <c r="C1433" s="1">
        <v>37.495645104200001</v>
      </c>
      <c r="D1433" s="1">
        <v>-7.2752567246000002</v>
      </c>
      <c r="E1433" s="3">
        <v>3</v>
      </c>
      <c r="F1433" s="2">
        <v>2</v>
      </c>
      <c r="G1433" s="4">
        <v>2</v>
      </c>
      <c r="H1433" s="13"/>
      <c r="I1433" s="15"/>
      <c r="J1433" s="19">
        <v>2</v>
      </c>
      <c r="K1433" s="2" t="s">
        <v>2877</v>
      </c>
      <c r="L1433" s="11" t="str">
        <f t="shared" si="23"/>
        <v>Ver Imagen</v>
      </c>
      <c r="M1433" t="s">
        <v>15</v>
      </c>
    </row>
    <row r="1434" spans="1:13" x14ac:dyDescent="0.25">
      <c r="A1434">
        <v>1433</v>
      </c>
      <c r="B1434" t="s">
        <v>2878</v>
      </c>
      <c r="C1434" s="1">
        <v>37.495675024299999</v>
      </c>
      <c r="D1434" s="1">
        <v>-7.2749903736199997</v>
      </c>
      <c r="E1434" s="3">
        <v>2</v>
      </c>
      <c r="F1434" s="2">
        <v>1</v>
      </c>
      <c r="G1434" s="4">
        <v>2</v>
      </c>
      <c r="H1434" s="13"/>
      <c r="I1434" s="15"/>
      <c r="J1434" s="19">
        <v>2</v>
      </c>
      <c r="K1434" s="2" t="s">
        <v>2879</v>
      </c>
      <c r="L1434" s="11" t="str">
        <f t="shared" si="23"/>
        <v>Ver Imagen</v>
      </c>
      <c r="M1434" t="s">
        <v>15</v>
      </c>
    </row>
    <row r="1435" spans="1:13" x14ac:dyDescent="0.25">
      <c r="A1435">
        <v>1434</v>
      </c>
      <c r="B1435" t="s">
        <v>2880</v>
      </c>
      <c r="C1435" s="1">
        <v>37.495510949</v>
      </c>
      <c r="D1435" s="1">
        <v>-7.2727682585600002</v>
      </c>
      <c r="E1435" s="3">
        <v>2</v>
      </c>
      <c r="F1435" s="2">
        <v>1</v>
      </c>
      <c r="G1435" s="4">
        <v>2</v>
      </c>
      <c r="H1435" s="13"/>
      <c r="I1435" s="15"/>
      <c r="J1435" s="19">
        <v>2</v>
      </c>
      <c r="K1435" s="2" t="s">
        <v>2881</v>
      </c>
      <c r="L1435" s="11" t="str">
        <f t="shared" si="23"/>
        <v>Ver Imagen</v>
      </c>
      <c r="M1435" t="s">
        <v>15</v>
      </c>
    </row>
    <row r="1436" spans="1:13" x14ac:dyDescent="0.25">
      <c r="A1436">
        <v>1435</v>
      </c>
      <c r="B1436" t="s">
        <v>2882</v>
      </c>
      <c r="C1436" s="1">
        <v>37.495471150299998</v>
      </c>
      <c r="D1436" s="1">
        <v>-7.2725293797599999</v>
      </c>
      <c r="E1436" s="3">
        <v>2</v>
      </c>
      <c r="F1436" s="2">
        <v>3</v>
      </c>
      <c r="G1436" s="4">
        <v>2</v>
      </c>
      <c r="H1436" s="13"/>
      <c r="I1436" s="15"/>
      <c r="J1436" s="19">
        <v>2</v>
      </c>
      <c r="K1436" s="2" t="s">
        <v>2883</v>
      </c>
      <c r="L1436" s="11" t="str">
        <f t="shared" si="23"/>
        <v>Ver Imagen</v>
      </c>
      <c r="M1436" t="s">
        <v>15</v>
      </c>
    </row>
    <row r="1437" spans="1:13" x14ac:dyDescent="0.25">
      <c r="A1437">
        <v>1436</v>
      </c>
      <c r="B1437" t="s">
        <v>2884</v>
      </c>
      <c r="C1437" s="1">
        <v>37.496221455300002</v>
      </c>
      <c r="D1437" s="1">
        <v>-7.2681971720499998</v>
      </c>
      <c r="E1437" s="3">
        <v>2</v>
      </c>
      <c r="F1437" s="2">
        <v>2</v>
      </c>
      <c r="G1437" s="4">
        <v>3</v>
      </c>
      <c r="H1437" s="13"/>
      <c r="I1437" s="15"/>
      <c r="J1437" s="19">
        <v>2</v>
      </c>
      <c r="K1437" s="2" t="s">
        <v>2885</v>
      </c>
      <c r="L1437" s="11" t="str">
        <f t="shared" si="23"/>
        <v>Ver Imagen</v>
      </c>
      <c r="M1437" t="s">
        <v>15</v>
      </c>
    </row>
    <row r="1438" spans="1:13" x14ac:dyDescent="0.25">
      <c r="A1438">
        <v>1437</v>
      </c>
      <c r="B1438" t="s">
        <v>2886</v>
      </c>
      <c r="C1438" s="1">
        <v>37.496434219000001</v>
      </c>
      <c r="D1438" s="1">
        <v>-7.2682038643400002</v>
      </c>
      <c r="E1438" s="3">
        <v>2</v>
      </c>
      <c r="F1438" s="2">
        <v>3</v>
      </c>
      <c r="G1438" s="4">
        <v>2</v>
      </c>
      <c r="H1438" s="13"/>
      <c r="I1438" s="15"/>
      <c r="J1438" s="19">
        <v>2</v>
      </c>
      <c r="K1438" s="2" t="s">
        <v>2887</v>
      </c>
      <c r="L1438" s="11" t="str">
        <f t="shared" si="23"/>
        <v>Ver Imagen</v>
      </c>
      <c r="M1438" t="s">
        <v>15</v>
      </c>
    </row>
    <row r="1439" spans="1:13" x14ac:dyDescent="0.25">
      <c r="A1439">
        <v>1438</v>
      </c>
      <c r="B1439" t="s">
        <v>2888</v>
      </c>
      <c r="C1439" s="1">
        <v>37.496631314600002</v>
      </c>
      <c r="D1439" s="1">
        <v>-7.2681900239299999</v>
      </c>
      <c r="E1439" s="3">
        <v>2</v>
      </c>
      <c r="F1439" s="2">
        <v>1</v>
      </c>
      <c r="G1439" s="4">
        <v>2</v>
      </c>
      <c r="H1439" s="13"/>
      <c r="I1439" s="15"/>
      <c r="J1439" s="19">
        <v>2</v>
      </c>
      <c r="K1439" s="2" t="s">
        <v>2889</v>
      </c>
      <c r="L1439" s="11" t="str">
        <f t="shared" si="23"/>
        <v>Ver Imagen</v>
      </c>
      <c r="M1439" t="s">
        <v>15</v>
      </c>
    </row>
    <row r="1440" spans="1:13" x14ac:dyDescent="0.25">
      <c r="A1440">
        <v>1439</v>
      </c>
      <c r="B1440" t="s">
        <v>2890</v>
      </c>
      <c r="C1440" s="1">
        <v>37.498617987199999</v>
      </c>
      <c r="D1440" s="1">
        <v>-7.2675756041300001</v>
      </c>
      <c r="E1440" s="3">
        <v>2</v>
      </c>
      <c r="F1440" s="2">
        <v>3</v>
      </c>
      <c r="G1440" s="4">
        <v>2</v>
      </c>
      <c r="H1440" s="13"/>
      <c r="I1440" s="15"/>
      <c r="J1440" s="19">
        <v>2</v>
      </c>
      <c r="K1440" s="2" t="s">
        <v>2891</v>
      </c>
      <c r="L1440" s="11" t="str">
        <f t="shared" si="23"/>
        <v>Ver Imagen</v>
      </c>
      <c r="M1440" t="s">
        <v>15</v>
      </c>
    </row>
    <row r="1441" spans="1:13" x14ac:dyDescent="0.25">
      <c r="A1441">
        <v>1440</v>
      </c>
      <c r="B1441" t="s">
        <v>2892</v>
      </c>
      <c r="C1441" s="1">
        <v>37.499002027700001</v>
      </c>
      <c r="D1441" s="1">
        <v>-7.2674420375300004</v>
      </c>
      <c r="E1441" s="3">
        <v>2</v>
      </c>
      <c r="F1441" s="2">
        <v>3</v>
      </c>
      <c r="G1441" s="4">
        <v>2</v>
      </c>
      <c r="H1441" s="13"/>
      <c r="I1441" s="15"/>
      <c r="J1441" s="19">
        <v>2</v>
      </c>
      <c r="K1441" s="2" t="s">
        <v>2893</v>
      </c>
      <c r="L1441" s="11" t="str">
        <f t="shared" si="23"/>
        <v>Ver Imagen</v>
      </c>
      <c r="M1441" t="s">
        <v>15</v>
      </c>
    </row>
    <row r="1442" spans="1:13" x14ac:dyDescent="0.25">
      <c r="A1442">
        <v>1441</v>
      </c>
      <c r="B1442" t="s">
        <v>2894</v>
      </c>
      <c r="C1442" s="1">
        <v>37.499589548099998</v>
      </c>
      <c r="D1442" s="1">
        <v>-7.26724089998</v>
      </c>
      <c r="E1442" s="3">
        <v>2</v>
      </c>
      <c r="F1442" s="2">
        <v>1</v>
      </c>
      <c r="G1442" s="4">
        <v>2</v>
      </c>
      <c r="H1442" s="13"/>
      <c r="I1442" s="15"/>
      <c r="J1442" s="19">
        <v>2</v>
      </c>
      <c r="K1442" s="2" t="s">
        <v>2895</v>
      </c>
      <c r="L1442" s="11" t="str">
        <f t="shared" si="23"/>
        <v>Ver Imagen</v>
      </c>
      <c r="M1442" t="s">
        <v>15</v>
      </c>
    </row>
    <row r="1443" spans="1:13" x14ac:dyDescent="0.25">
      <c r="A1443">
        <v>1442</v>
      </c>
      <c r="B1443" t="s">
        <v>2896</v>
      </c>
      <c r="C1443" s="1">
        <v>37.199620058900003</v>
      </c>
      <c r="D1443" s="1">
        <v>-6.9849437106599996</v>
      </c>
      <c r="E1443" s="3">
        <v>2</v>
      </c>
      <c r="F1443" s="2">
        <v>3</v>
      </c>
      <c r="G1443" s="4">
        <v>2</v>
      </c>
      <c r="H1443" s="13"/>
      <c r="I1443" s="15"/>
      <c r="J1443" s="19">
        <v>2</v>
      </c>
      <c r="K1443" s="2" t="s">
        <v>2897</v>
      </c>
      <c r="L1443" s="11" t="str">
        <f t="shared" si="23"/>
        <v>Ver Imagen</v>
      </c>
      <c r="M1443" t="s">
        <v>15</v>
      </c>
    </row>
    <row r="1444" spans="1:13" x14ac:dyDescent="0.25">
      <c r="A1444">
        <v>1443</v>
      </c>
      <c r="B1444" t="s">
        <v>2898</v>
      </c>
      <c r="C1444" s="1">
        <v>37.192197808300001</v>
      </c>
      <c r="D1444" s="1">
        <v>-6.9776763762999998</v>
      </c>
      <c r="E1444" s="3">
        <v>2</v>
      </c>
      <c r="F1444" s="2">
        <v>2</v>
      </c>
      <c r="G1444" s="4">
        <v>3</v>
      </c>
      <c r="H1444" s="13"/>
      <c r="I1444" s="15"/>
      <c r="J1444" s="19">
        <v>2</v>
      </c>
      <c r="K1444" s="2" t="s">
        <v>2899</v>
      </c>
      <c r="L1444" s="11" t="str">
        <f t="shared" si="23"/>
        <v>Ver Imagen</v>
      </c>
      <c r="M1444" t="s">
        <v>15</v>
      </c>
    </row>
    <row r="1445" spans="1:13" x14ac:dyDescent="0.25">
      <c r="A1445">
        <v>1444</v>
      </c>
      <c r="B1445" t="s">
        <v>2900</v>
      </c>
      <c r="C1445" s="1">
        <v>37.1882747768</v>
      </c>
      <c r="D1445" s="1">
        <v>-6.9787430482000001</v>
      </c>
      <c r="E1445" s="3">
        <v>2</v>
      </c>
      <c r="F1445" s="2">
        <v>3</v>
      </c>
      <c r="G1445" s="4">
        <v>2</v>
      </c>
      <c r="H1445" s="13"/>
      <c r="I1445" s="15"/>
      <c r="J1445" s="19">
        <v>2</v>
      </c>
      <c r="K1445" s="2" t="s">
        <v>2901</v>
      </c>
      <c r="L1445" s="11" t="str">
        <f t="shared" si="23"/>
        <v>Ver Imagen</v>
      </c>
      <c r="M1445" t="s">
        <v>15</v>
      </c>
    </row>
    <row r="1446" spans="1:13" x14ac:dyDescent="0.25">
      <c r="A1446">
        <v>1445</v>
      </c>
      <c r="B1446" t="s">
        <v>2902</v>
      </c>
      <c r="C1446" s="1">
        <v>37.501919967299997</v>
      </c>
      <c r="D1446" s="1">
        <v>-7.2664452990799999</v>
      </c>
      <c r="E1446" s="3">
        <v>2</v>
      </c>
      <c r="F1446" s="2">
        <v>3</v>
      </c>
      <c r="G1446" s="4">
        <v>2</v>
      </c>
      <c r="H1446" s="13"/>
      <c r="I1446" s="15"/>
      <c r="J1446" s="19">
        <v>2</v>
      </c>
      <c r="K1446" s="2" t="s">
        <v>2903</v>
      </c>
      <c r="L1446" s="11" t="str">
        <f t="shared" si="23"/>
        <v>Ver Imagen</v>
      </c>
      <c r="M1446" t="s">
        <v>15</v>
      </c>
    </row>
    <row r="1447" spans="1:13" x14ac:dyDescent="0.25">
      <c r="A1447">
        <v>1446</v>
      </c>
      <c r="B1447" t="s">
        <v>2904</v>
      </c>
      <c r="C1447" s="1">
        <v>37.502301673200002</v>
      </c>
      <c r="D1447" s="1">
        <v>-7.2663127357599997</v>
      </c>
      <c r="E1447" s="3">
        <v>2</v>
      </c>
      <c r="F1447" s="2">
        <v>2</v>
      </c>
      <c r="G1447" s="4">
        <v>3</v>
      </c>
      <c r="H1447" s="13"/>
      <c r="I1447" s="15"/>
      <c r="J1447" s="19">
        <v>2</v>
      </c>
      <c r="K1447" s="2" t="s">
        <v>2905</v>
      </c>
      <c r="L1447" s="11" t="str">
        <f t="shared" si="23"/>
        <v>Ver Imagen</v>
      </c>
      <c r="M1447" t="s">
        <v>15</v>
      </c>
    </row>
    <row r="1448" spans="1:13" x14ac:dyDescent="0.25">
      <c r="A1448">
        <v>1447</v>
      </c>
      <c r="B1448" t="s">
        <v>2906</v>
      </c>
      <c r="C1448" s="1">
        <v>37.502676633900002</v>
      </c>
      <c r="D1448" s="1">
        <v>-7.2661861126199998</v>
      </c>
      <c r="E1448" s="3">
        <v>2</v>
      </c>
      <c r="F1448" s="2">
        <v>2</v>
      </c>
      <c r="G1448" s="4">
        <v>3</v>
      </c>
      <c r="H1448" s="13"/>
      <c r="I1448" s="15"/>
      <c r="J1448" s="19">
        <v>2</v>
      </c>
      <c r="K1448" s="2" t="s">
        <v>2907</v>
      </c>
      <c r="L1448" s="11" t="str">
        <f t="shared" si="23"/>
        <v>Ver Imagen</v>
      </c>
      <c r="M1448" t="s">
        <v>15</v>
      </c>
    </row>
    <row r="1449" spans="1:13" x14ac:dyDescent="0.25">
      <c r="A1449">
        <v>1448</v>
      </c>
      <c r="B1449" t="s">
        <v>2908</v>
      </c>
      <c r="C1449" s="1">
        <v>37.503109877200004</v>
      </c>
      <c r="D1449" s="1">
        <v>-7.2660407427399996</v>
      </c>
      <c r="E1449" s="3">
        <v>2</v>
      </c>
      <c r="F1449" s="2">
        <v>3</v>
      </c>
      <c r="G1449" s="4">
        <v>2</v>
      </c>
      <c r="H1449" s="13"/>
      <c r="I1449" s="15"/>
      <c r="J1449" s="19">
        <v>2</v>
      </c>
      <c r="K1449" s="2" t="s">
        <v>2909</v>
      </c>
      <c r="L1449" s="11" t="str">
        <f t="shared" si="23"/>
        <v>Ver Imagen</v>
      </c>
      <c r="M1449" t="s">
        <v>15</v>
      </c>
    </row>
    <row r="1450" spans="1:13" x14ac:dyDescent="0.25">
      <c r="A1450">
        <v>1449</v>
      </c>
      <c r="B1450" t="s">
        <v>2910</v>
      </c>
      <c r="C1450" s="1">
        <v>37.267357193899997</v>
      </c>
      <c r="D1450" s="1">
        <v>-6.95873299341</v>
      </c>
      <c r="E1450" s="3">
        <v>2</v>
      </c>
      <c r="F1450" s="2">
        <v>3</v>
      </c>
      <c r="G1450" s="4">
        <v>2</v>
      </c>
      <c r="H1450" s="13"/>
      <c r="I1450" s="15"/>
      <c r="J1450" s="19">
        <v>2</v>
      </c>
      <c r="K1450" s="2" t="s">
        <v>2911</v>
      </c>
      <c r="L1450" s="11" t="str">
        <f t="shared" si="23"/>
        <v>Ver Imagen</v>
      </c>
      <c r="M1450" t="s">
        <v>15</v>
      </c>
    </row>
    <row r="1451" spans="1:13" x14ac:dyDescent="0.25">
      <c r="A1451">
        <v>1450</v>
      </c>
      <c r="B1451" t="s">
        <v>2912</v>
      </c>
      <c r="C1451" s="1">
        <v>37.267463452699999</v>
      </c>
      <c r="D1451" s="1">
        <v>-6.9597158915400001</v>
      </c>
      <c r="E1451" s="3">
        <v>2</v>
      </c>
      <c r="F1451" s="2">
        <v>3</v>
      </c>
      <c r="G1451" s="4">
        <v>2</v>
      </c>
      <c r="H1451" s="13"/>
      <c r="I1451" s="15"/>
      <c r="J1451" s="19">
        <v>2</v>
      </c>
      <c r="K1451" s="2" t="s">
        <v>2913</v>
      </c>
      <c r="L1451" s="11" t="str">
        <f t="shared" si="23"/>
        <v>Ver Imagen</v>
      </c>
      <c r="M1451" t="s">
        <v>15</v>
      </c>
    </row>
    <row r="1452" spans="1:13" x14ac:dyDescent="0.25">
      <c r="A1452">
        <v>1451</v>
      </c>
      <c r="B1452" t="s">
        <v>2914</v>
      </c>
      <c r="C1452" s="1">
        <v>37.503281759799997</v>
      </c>
      <c r="D1452" s="1">
        <v>-7.2659815675499999</v>
      </c>
      <c r="E1452" s="3">
        <v>3</v>
      </c>
      <c r="F1452" s="2">
        <v>2</v>
      </c>
      <c r="G1452" s="4">
        <v>2</v>
      </c>
      <c r="H1452" s="13"/>
      <c r="I1452" s="15"/>
      <c r="J1452" s="19">
        <v>2</v>
      </c>
      <c r="K1452" s="2" t="s">
        <v>2915</v>
      </c>
      <c r="L1452" s="11" t="str">
        <f t="shared" si="23"/>
        <v>Ver Imagen</v>
      </c>
      <c r="M1452" t="s">
        <v>15</v>
      </c>
    </row>
    <row r="1453" spans="1:13" x14ac:dyDescent="0.25">
      <c r="A1453">
        <v>1452</v>
      </c>
      <c r="B1453" t="s">
        <v>2916</v>
      </c>
      <c r="C1453" s="1">
        <v>37.504243235200001</v>
      </c>
      <c r="D1453" s="1">
        <v>-7.2656547906900002</v>
      </c>
      <c r="E1453" s="3">
        <v>2</v>
      </c>
      <c r="F1453" s="2">
        <v>2</v>
      </c>
      <c r="G1453" s="4">
        <v>3</v>
      </c>
      <c r="H1453" s="13"/>
      <c r="I1453" s="15"/>
      <c r="J1453" s="19">
        <v>2</v>
      </c>
      <c r="K1453" s="2" t="s">
        <v>2917</v>
      </c>
      <c r="L1453" s="11" t="str">
        <f t="shared" si="23"/>
        <v>Ver Imagen</v>
      </c>
      <c r="M1453" t="s">
        <v>15</v>
      </c>
    </row>
    <row r="1454" spans="1:13" x14ac:dyDescent="0.25">
      <c r="A1454">
        <v>1453</v>
      </c>
      <c r="B1454" t="s">
        <v>2918</v>
      </c>
      <c r="C1454" s="1">
        <v>37.5046385184</v>
      </c>
      <c r="D1454" s="1">
        <v>-7.2655165768199996</v>
      </c>
      <c r="E1454" s="3">
        <v>2</v>
      </c>
      <c r="F1454" s="2">
        <v>1</v>
      </c>
      <c r="G1454" s="4">
        <v>2</v>
      </c>
      <c r="H1454" s="13"/>
      <c r="I1454" s="15"/>
      <c r="J1454" s="19">
        <v>2</v>
      </c>
      <c r="K1454" s="2" t="s">
        <v>2919</v>
      </c>
      <c r="L1454" s="11" t="str">
        <f t="shared" si="23"/>
        <v>Ver Imagen</v>
      </c>
      <c r="M1454" t="s">
        <v>15</v>
      </c>
    </row>
    <row r="1455" spans="1:13" x14ac:dyDescent="0.25">
      <c r="A1455">
        <v>1454</v>
      </c>
      <c r="B1455" t="s">
        <v>2920</v>
      </c>
      <c r="C1455" s="1">
        <v>37.504850923900001</v>
      </c>
      <c r="D1455" s="1">
        <v>-7.2654441467500002</v>
      </c>
      <c r="E1455" s="3">
        <v>2</v>
      </c>
      <c r="F1455" s="2">
        <v>1</v>
      </c>
      <c r="G1455" s="4">
        <v>2</v>
      </c>
      <c r="H1455" s="13"/>
      <c r="I1455" s="15"/>
      <c r="J1455" s="19">
        <v>2</v>
      </c>
      <c r="K1455" s="2" t="s">
        <v>2921</v>
      </c>
      <c r="L1455" s="11" t="str">
        <f t="shared" si="23"/>
        <v>Ver Imagen</v>
      </c>
      <c r="M1455" t="s">
        <v>15</v>
      </c>
    </row>
    <row r="1456" spans="1:13" x14ac:dyDescent="0.25">
      <c r="A1456">
        <v>1455</v>
      </c>
      <c r="B1456" t="s">
        <v>2922</v>
      </c>
      <c r="C1456" s="1">
        <v>37.506042827500004</v>
      </c>
      <c r="D1456" s="1">
        <v>-7.2652653115400003</v>
      </c>
      <c r="E1456" s="3">
        <v>2</v>
      </c>
      <c r="F1456" s="2">
        <v>1</v>
      </c>
      <c r="G1456" s="4">
        <v>2</v>
      </c>
      <c r="H1456" s="13"/>
      <c r="I1456" s="15"/>
      <c r="J1456" s="19">
        <v>2</v>
      </c>
      <c r="K1456" s="2" t="s">
        <v>2923</v>
      </c>
      <c r="L1456" s="11" t="str">
        <f t="shared" si="23"/>
        <v>Ver Imagen</v>
      </c>
      <c r="M1456" t="s">
        <v>15</v>
      </c>
    </row>
    <row r="1457" spans="1:13" x14ac:dyDescent="0.25">
      <c r="A1457">
        <v>1456</v>
      </c>
      <c r="B1457" t="s">
        <v>2924</v>
      </c>
      <c r="C1457" s="1">
        <v>37.507382939599999</v>
      </c>
      <c r="D1457" s="1">
        <v>-7.2658597390999997</v>
      </c>
      <c r="E1457" s="3">
        <v>2</v>
      </c>
      <c r="F1457" s="2">
        <v>2</v>
      </c>
      <c r="G1457" s="4">
        <v>3</v>
      </c>
      <c r="H1457" s="13"/>
      <c r="I1457" s="15"/>
      <c r="J1457" s="19">
        <v>2</v>
      </c>
      <c r="K1457" s="2" t="s">
        <v>2925</v>
      </c>
      <c r="L1457" s="11" t="str">
        <f t="shared" si="23"/>
        <v>Ver Imagen</v>
      </c>
      <c r="M1457" t="s">
        <v>15</v>
      </c>
    </row>
    <row r="1458" spans="1:13" x14ac:dyDescent="0.25">
      <c r="A1458">
        <v>1457</v>
      </c>
      <c r="B1458" t="s">
        <v>2926</v>
      </c>
      <c r="C1458" s="1">
        <v>37.507566025800003</v>
      </c>
      <c r="D1458" s="1">
        <v>-7.26600478718</v>
      </c>
      <c r="E1458" s="3">
        <v>2</v>
      </c>
      <c r="F1458" s="2">
        <v>2</v>
      </c>
      <c r="G1458" s="4">
        <v>3</v>
      </c>
      <c r="H1458" s="13"/>
      <c r="I1458" s="15"/>
      <c r="J1458" s="19">
        <v>2</v>
      </c>
      <c r="K1458" s="2" t="s">
        <v>2927</v>
      </c>
      <c r="L1458" s="11" t="str">
        <f t="shared" si="23"/>
        <v>Ver Imagen</v>
      </c>
      <c r="M1458" t="s">
        <v>15</v>
      </c>
    </row>
    <row r="1459" spans="1:13" x14ac:dyDescent="0.25">
      <c r="A1459">
        <v>1458</v>
      </c>
      <c r="B1459" t="s">
        <v>2928</v>
      </c>
      <c r="C1459" s="1">
        <v>37.5077300863</v>
      </c>
      <c r="D1459" s="1">
        <v>-7.2661382512300001</v>
      </c>
      <c r="E1459" s="3">
        <v>2</v>
      </c>
      <c r="F1459" s="2">
        <v>2</v>
      </c>
      <c r="G1459" s="4">
        <v>3</v>
      </c>
      <c r="H1459" s="13"/>
      <c r="I1459" s="15"/>
      <c r="J1459" s="19">
        <v>2</v>
      </c>
      <c r="K1459" s="2" t="s">
        <v>2929</v>
      </c>
      <c r="L1459" s="11" t="str">
        <f t="shared" si="23"/>
        <v>Ver Imagen</v>
      </c>
      <c r="M1459" t="s">
        <v>15</v>
      </c>
    </row>
    <row r="1460" spans="1:13" x14ac:dyDescent="0.25">
      <c r="A1460">
        <v>1459</v>
      </c>
      <c r="B1460" t="s">
        <v>2930</v>
      </c>
      <c r="C1460" s="1">
        <v>37.507910574100002</v>
      </c>
      <c r="D1460" s="1">
        <v>-7.2662860020200002</v>
      </c>
      <c r="E1460" s="3">
        <v>2</v>
      </c>
      <c r="F1460" s="2">
        <v>2</v>
      </c>
      <c r="G1460" s="4">
        <v>3</v>
      </c>
      <c r="H1460" s="13"/>
      <c r="I1460" s="15"/>
      <c r="J1460" s="19">
        <v>2</v>
      </c>
      <c r="K1460" s="2" t="s">
        <v>2931</v>
      </c>
      <c r="L1460" s="11" t="str">
        <f t="shared" si="23"/>
        <v>Ver Imagen</v>
      </c>
      <c r="M1460" t="s">
        <v>15</v>
      </c>
    </row>
    <row r="1461" spans="1:13" x14ac:dyDescent="0.25">
      <c r="A1461">
        <v>1460</v>
      </c>
      <c r="B1461" t="s">
        <v>2932</v>
      </c>
      <c r="C1461" s="1">
        <v>37.508930440699999</v>
      </c>
      <c r="D1461" s="1">
        <v>-7.2670625436099998</v>
      </c>
      <c r="E1461" s="3">
        <v>2</v>
      </c>
      <c r="F1461" s="2">
        <v>1</v>
      </c>
      <c r="G1461" s="4">
        <v>2</v>
      </c>
      <c r="H1461" s="13"/>
      <c r="I1461" s="15"/>
      <c r="J1461" s="19">
        <v>2</v>
      </c>
      <c r="K1461" s="2" t="s">
        <v>2933</v>
      </c>
      <c r="L1461" s="11" t="str">
        <f t="shared" si="23"/>
        <v>Ver Imagen</v>
      </c>
      <c r="M1461" t="s">
        <v>15</v>
      </c>
    </row>
    <row r="1462" spans="1:13" x14ac:dyDescent="0.25">
      <c r="A1462">
        <v>1461</v>
      </c>
      <c r="B1462" t="s">
        <v>2934</v>
      </c>
      <c r="C1462" s="1">
        <v>37.5090978108</v>
      </c>
      <c r="D1462" s="1">
        <v>-7.2671662431100001</v>
      </c>
      <c r="E1462" s="3">
        <v>2</v>
      </c>
      <c r="F1462" s="2">
        <v>1</v>
      </c>
      <c r="G1462" s="4">
        <v>2</v>
      </c>
      <c r="H1462" s="13"/>
      <c r="I1462" s="15"/>
      <c r="J1462" s="19">
        <v>2</v>
      </c>
      <c r="K1462" s="2" t="s">
        <v>2935</v>
      </c>
      <c r="L1462" s="11" t="str">
        <f t="shared" si="23"/>
        <v>Ver Imagen</v>
      </c>
      <c r="M1462" t="s">
        <v>15</v>
      </c>
    </row>
    <row r="1463" spans="1:13" x14ac:dyDescent="0.25">
      <c r="A1463">
        <v>1462</v>
      </c>
      <c r="B1463" t="s">
        <v>2936</v>
      </c>
      <c r="C1463" s="1">
        <v>37.509287306799997</v>
      </c>
      <c r="D1463" s="1">
        <v>-7.26727338322</v>
      </c>
      <c r="E1463" s="3">
        <v>2</v>
      </c>
      <c r="F1463" s="2">
        <v>1</v>
      </c>
      <c r="G1463" s="4">
        <v>2</v>
      </c>
      <c r="H1463" s="13"/>
      <c r="I1463" s="15"/>
      <c r="J1463" s="19">
        <v>2</v>
      </c>
      <c r="K1463" s="2" t="s">
        <v>2937</v>
      </c>
      <c r="L1463" s="11" t="str">
        <f t="shared" si="23"/>
        <v>Ver Imagen</v>
      </c>
      <c r="M1463" t="s">
        <v>15</v>
      </c>
    </row>
    <row r="1464" spans="1:13" x14ac:dyDescent="0.25">
      <c r="A1464">
        <v>1463</v>
      </c>
      <c r="B1464" t="s">
        <v>2938</v>
      </c>
      <c r="C1464" s="1">
        <v>37.509466245200002</v>
      </c>
      <c r="D1464" s="1">
        <v>-7.2673631927200004</v>
      </c>
      <c r="E1464" s="3">
        <v>2</v>
      </c>
      <c r="F1464" s="2">
        <v>2</v>
      </c>
      <c r="G1464" s="4">
        <v>3</v>
      </c>
      <c r="H1464" s="13"/>
      <c r="I1464" s="15"/>
      <c r="J1464" s="19">
        <v>2</v>
      </c>
      <c r="K1464" s="2" t="s">
        <v>2939</v>
      </c>
      <c r="L1464" s="11" t="str">
        <f t="shared" si="23"/>
        <v>Ver Imagen</v>
      </c>
      <c r="M1464" t="s">
        <v>15</v>
      </c>
    </row>
    <row r="1465" spans="1:13" x14ac:dyDescent="0.25">
      <c r="A1465">
        <v>1464</v>
      </c>
      <c r="B1465" t="s">
        <v>2940</v>
      </c>
      <c r="C1465" s="1">
        <v>37.509851162799997</v>
      </c>
      <c r="D1465" s="1">
        <v>-7.2675274356699999</v>
      </c>
      <c r="E1465" s="3">
        <v>2</v>
      </c>
      <c r="F1465" s="2">
        <v>2</v>
      </c>
      <c r="G1465" s="4">
        <v>3</v>
      </c>
      <c r="H1465" s="13"/>
      <c r="I1465" s="15"/>
      <c r="J1465" s="19">
        <v>2</v>
      </c>
      <c r="K1465" s="2" t="s">
        <v>2941</v>
      </c>
      <c r="L1465" s="11" t="str">
        <f t="shared" si="23"/>
        <v>Ver Imagen</v>
      </c>
      <c r="M1465" t="s">
        <v>15</v>
      </c>
    </row>
    <row r="1466" spans="1:13" x14ac:dyDescent="0.25">
      <c r="A1466">
        <v>1465</v>
      </c>
      <c r="B1466" t="s">
        <v>2942</v>
      </c>
      <c r="C1466" s="1">
        <v>37.510250168200002</v>
      </c>
      <c r="D1466" s="1">
        <v>-7.2676731937800003</v>
      </c>
      <c r="E1466" s="3">
        <v>2</v>
      </c>
      <c r="F1466" s="2">
        <v>3</v>
      </c>
      <c r="G1466" s="4">
        <v>2</v>
      </c>
      <c r="H1466" s="13"/>
      <c r="I1466" s="15"/>
      <c r="J1466" s="19">
        <v>2</v>
      </c>
      <c r="K1466" s="2" t="s">
        <v>2943</v>
      </c>
      <c r="L1466" s="11" t="str">
        <f t="shared" si="23"/>
        <v>Ver Imagen</v>
      </c>
      <c r="M1466" t="s">
        <v>15</v>
      </c>
    </row>
    <row r="1467" spans="1:13" x14ac:dyDescent="0.25">
      <c r="A1467">
        <v>1466</v>
      </c>
      <c r="B1467" t="s">
        <v>2944</v>
      </c>
      <c r="C1467" s="1">
        <v>37.5104298567</v>
      </c>
      <c r="D1467" s="1">
        <v>-7.2677343991500001</v>
      </c>
      <c r="E1467" s="3">
        <v>2</v>
      </c>
      <c r="F1467" s="2">
        <v>2</v>
      </c>
      <c r="G1467" s="4">
        <v>3</v>
      </c>
      <c r="H1467" s="13"/>
      <c r="I1467" s="15"/>
      <c r="J1467" s="19">
        <v>2</v>
      </c>
      <c r="K1467" s="2" t="s">
        <v>2945</v>
      </c>
      <c r="L1467" s="11" t="str">
        <f t="shared" si="23"/>
        <v>Ver Imagen</v>
      </c>
      <c r="M1467" t="s">
        <v>15</v>
      </c>
    </row>
    <row r="1468" spans="1:13" x14ac:dyDescent="0.25">
      <c r="A1468">
        <v>1467</v>
      </c>
      <c r="B1468" t="s">
        <v>2946</v>
      </c>
      <c r="C1468" s="1">
        <v>37.510630663599997</v>
      </c>
      <c r="D1468" s="1">
        <v>-7.2678044957300001</v>
      </c>
      <c r="E1468" s="3">
        <v>2</v>
      </c>
      <c r="F1468" s="2">
        <v>3</v>
      </c>
      <c r="G1468" s="4">
        <v>2</v>
      </c>
      <c r="H1468" s="13"/>
      <c r="I1468" s="15"/>
      <c r="J1468" s="19">
        <v>2</v>
      </c>
      <c r="K1468" s="2" t="s">
        <v>2947</v>
      </c>
      <c r="L1468" s="11" t="str">
        <f t="shared" si="23"/>
        <v>Ver Imagen</v>
      </c>
      <c r="M1468" t="s">
        <v>15</v>
      </c>
    </row>
    <row r="1469" spans="1:13" x14ac:dyDescent="0.25">
      <c r="A1469">
        <v>1468</v>
      </c>
      <c r="B1469" t="s">
        <v>2948</v>
      </c>
      <c r="C1469" s="1">
        <v>37.510822395600002</v>
      </c>
      <c r="D1469" s="1">
        <v>-7.2678771190000004</v>
      </c>
      <c r="E1469" s="3">
        <v>2</v>
      </c>
      <c r="F1469" s="2">
        <v>2</v>
      </c>
      <c r="G1469" s="4">
        <v>3</v>
      </c>
      <c r="H1469" s="13"/>
      <c r="I1469" s="15"/>
      <c r="J1469" s="19">
        <v>2</v>
      </c>
      <c r="K1469" s="2" t="s">
        <v>2949</v>
      </c>
      <c r="L1469" s="11" t="str">
        <f t="shared" si="23"/>
        <v>Ver Imagen</v>
      </c>
      <c r="M1469" t="s">
        <v>15</v>
      </c>
    </row>
    <row r="1470" spans="1:13" x14ac:dyDescent="0.25">
      <c r="A1470">
        <v>1469</v>
      </c>
      <c r="B1470" t="s">
        <v>2950</v>
      </c>
      <c r="C1470" s="1">
        <v>37.511014721400002</v>
      </c>
      <c r="D1470" s="1">
        <v>-7.2679550023199999</v>
      </c>
      <c r="E1470" s="3">
        <v>2</v>
      </c>
      <c r="F1470" s="2">
        <v>2</v>
      </c>
      <c r="G1470" s="4">
        <v>3</v>
      </c>
      <c r="H1470" s="13"/>
      <c r="I1470" s="15"/>
      <c r="J1470" s="19">
        <v>2</v>
      </c>
      <c r="K1470" s="2" t="s">
        <v>2951</v>
      </c>
      <c r="L1470" s="11" t="str">
        <f t="shared" si="23"/>
        <v>Ver Imagen</v>
      </c>
      <c r="M1470" t="s">
        <v>15</v>
      </c>
    </row>
    <row r="1471" spans="1:13" x14ac:dyDescent="0.25">
      <c r="A1471">
        <v>1470</v>
      </c>
      <c r="B1471" t="s">
        <v>2952</v>
      </c>
      <c r="C1471" s="1">
        <v>37.511839179200003</v>
      </c>
      <c r="D1471" s="1">
        <v>-7.2683081774199998</v>
      </c>
      <c r="E1471" s="3">
        <v>2</v>
      </c>
      <c r="F1471" s="2">
        <v>3</v>
      </c>
      <c r="G1471" s="4">
        <v>2</v>
      </c>
      <c r="H1471" s="13"/>
      <c r="I1471" s="15"/>
      <c r="J1471" s="19">
        <v>2</v>
      </c>
      <c r="K1471" s="2" t="s">
        <v>2953</v>
      </c>
      <c r="L1471" s="11" t="str">
        <f t="shared" si="23"/>
        <v>Ver Imagen</v>
      </c>
      <c r="M1471" t="s">
        <v>15</v>
      </c>
    </row>
    <row r="1472" spans="1:13" x14ac:dyDescent="0.25">
      <c r="A1472">
        <v>1471</v>
      </c>
      <c r="B1472" t="s">
        <v>2954</v>
      </c>
      <c r="C1472" s="1">
        <v>37.512960540100003</v>
      </c>
      <c r="D1472" s="1">
        <v>-7.2687616429000004</v>
      </c>
      <c r="E1472" s="3">
        <v>2</v>
      </c>
      <c r="F1472" s="2">
        <v>1</v>
      </c>
      <c r="G1472" s="4">
        <v>2</v>
      </c>
      <c r="H1472" s="13"/>
      <c r="I1472" s="15"/>
      <c r="J1472" s="19">
        <v>2</v>
      </c>
      <c r="K1472" s="2" t="s">
        <v>2955</v>
      </c>
      <c r="L1472" s="11" t="str">
        <f t="shared" si="23"/>
        <v>Ver Imagen</v>
      </c>
      <c r="M1472" t="s">
        <v>15</v>
      </c>
    </row>
    <row r="1473" spans="1:13" x14ac:dyDescent="0.25">
      <c r="A1473">
        <v>1472</v>
      </c>
      <c r="B1473" t="s">
        <v>2956</v>
      </c>
      <c r="C1473" s="1">
        <v>37.5131551606</v>
      </c>
      <c r="D1473" s="1">
        <v>-7.2688334176599998</v>
      </c>
      <c r="E1473" s="3">
        <v>2</v>
      </c>
      <c r="F1473" s="2">
        <v>3</v>
      </c>
      <c r="G1473" s="4">
        <v>2</v>
      </c>
      <c r="H1473" s="13"/>
      <c r="I1473" s="15"/>
      <c r="J1473" s="19">
        <v>2</v>
      </c>
      <c r="K1473" s="2" t="s">
        <v>2957</v>
      </c>
      <c r="L1473" s="11" t="str">
        <f t="shared" si="23"/>
        <v>Ver Imagen</v>
      </c>
      <c r="M1473" t="s">
        <v>15</v>
      </c>
    </row>
    <row r="1474" spans="1:13" x14ac:dyDescent="0.25">
      <c r="A1474">
        <v>1473</v>
      </c>
      <c r="B1474" t="s">
        <v>2958</v>
      </c>
      <c r="C1474" s="1">
        <v>37.513345675899998</v>
      </c>
      <c r="D1474" s="1">
        <v>-7.2688967775500002</v>
      </c>
      <c r="E1474" s="3">
        <v>3</v>
      </c>
      <c r="F1474" s="2">
        <v>2</v>
      </c>
      <c r="G1474" s="4">
        <v>2</v>
      </c>
      <c r="H1474" s="13"/>
      <c r="I1474" s="15"/>
      <c r="J1474" s="19">
        <v>2</v>
      </c>
      <c r="K1474" s="2" t="s">
        <v>2959</v>
      </c>
      <c r="L1474" s="11" t="str">
        <f t="shared" si="23"/>
        <v>Ver Imagen</v>
      </c>
      <c r="M1474" t="s">
        <v>15</v>
      </c>
    </row>
    <row r="1475" spans="1:13" x14ac:dyDescent="0.25">
      <c r="A1475">
        <v>1474</v>
      </c>
      <c r="B1475" t="s">
        <v>2960</v>
      </c>
      <c r="C1475" s="1">
        <v>37.513735863299999</v>
      </c>
      <c r="D1475" s="1">
        <v>-7.2689869494000003</v>
      </c>
      <c r="E1475" s="3">
        <v>2</v>
      </c>
      <c r="F1475" s="2">
        <v>3</v>
      </c>
      <c r="G1475" s="4">
        <v>2</v>
      </c>
      <c r="H1475" s="13"/>
      <c r="I1475" s="15"/>
      <c r="J1475" s="19">
        <v>2</v>
      </c>
      <c r="K1475" s="2" t="s">
        <v>2961</v>
      </c>
      <c r="L1475" s="11" t="str">
        <f t="shared" ref="L1475:L1538" si="24">HYPERLINK("2\1\" &amp; K1475, "Ver Imagen")</f>
        <v>Ver Imagen</v>
      </c>
      <c r="M1475" t="s">
        <v>15</v>
      </c>
    </row>
    <row r="1476" spans="1:13" x14ac:dyDescent="0.25">
      <c r="A1476">
        <v>1475</v>
      </c>
      <c r="B1476" t="s">
        <v>2962</v>
      </c>
      <c r="C1476" s="1">
        <v>37.513939109100001</v>
      </c>
      <c r="D1476" s="1">
        <v>-7.2689996558400001</v>
      </c>
      <c r="E1476" s="3">
        <v>2</v>
      </c>
      <c r="F1476" s="2">
        <v>1</v>
      </c>
      <c r="G1476" s="4">
        <v>2</v>
      </c>
      <c r="H1476" s="13"/>
      <c r="I1476" s="15"/>
      <c r="J1476" s="19">
        <v>2</v>
      </c>
      <c r="K1476" s="2" t="s">
        <v>2963</v>
      </c>
      <c r="L1476" s="11" t="str">
        <f t="shared" si="24"/>
        <v>Ver Imagen</v>
      </c>
      <c r="M1476" t="s">
        <v>15</v>
      </c>
    </row>
    <row r="1477" spans="1:13" x14ac:dyDescent="0.25">
      <c r="A1477">
        <v>1476</v>
      </c>
      <c r="B1477" t="s">
        <v>2964</v>
      </c>
      <c r="C1477" s="1">
        <v>37.5141260487</v>
      </c>
      <c r="D1477" s="1">
        <v>-7.2689897758099997</v>
      </c>
      <c r="E1477" s="3">
        <v>2</v>
      </c>
      <c r="F1477" s="2">
        <v>3</v>
      </c>
      <c r="G1477" s="4">
        <v>2</v>
      </c>
      <c r="H1477" s="13"/>
      <c r="I1477" s="15"/>
      <c r="J1477" s="19">
        <v>2</v>
      </c>
      <c r="K1477" s="2" t="s">
        <v>2965</v>
      </c>
      <c r="L1477" s="11" t="str">
        <f t="shared" si="24"/>
        <v>Ver Imagen</v>
      </c>
      <c r="M1477" t="s">
        <v>15</v>
      </c>
    </row>
    <row r="1478" spans="1:13" x14ac:dyDescent="0.25">
      <c r="A1478">
        <v>1477</v>
      </c>
      <c r="B1478" t="s">
        <v>2966</v>
      </c>
      <c r="C1478" s="1">
        <v>37.514738820300003</v>
      </c>
      <c r="D1478" s="1">
        <v>-7.2688362827999997</v>
      </c>
      <c r="E1478" s="3">
        <v>2</v>
      </c>
      <c r="F1478" s="2">
        <v>1</v>
      </c>
      <c r="G1478" s="4">
        <v>2</v>
      </c>
      <c r="H1478" s="13"/>
      <c r="I1478" s="15"/>
      <c r="J1478" s="19">
        <v>2</v>
      </c>
      <c r="K1478" s="2" t="s">
        <v>2967</v>
      </c>
      <c r="L1478" s="11" t="str">
        <f t="shared" si="24"/>
        <v>Ver Imagen</v>
      </c>
      <c r="M1478" t="s">
        <v>15</v>
      </c>
    </row>
    <row r="1479" spans="1:13" x14ac:dyDescent="0.25">
      <c r="A1479">
        <v>1478</v>
      </c>
      <c r="B1479" t="s">
        <v>2968</v>
      </c>
      <c r="C1479" s="1">
        <v>37.5154281103</v>
      </c>
      <c r="D1479" s="1">
        <v>-7.2684148177700001</v>
      </c>
      <c r="E1479" s="3">
        <v>2</v>
      </c>
      <c r="F1479" s="2">
        <v>1</v>
      </c>
      <c r="G1479" s="4">
        <v>2</v>
      </c>
      <c r="H1479" s="13"/>
      <c r="I1479" s="15"/>
      <c r="J1479" s="19">
        <v>2</v>
      </c>
      <c r="K1479" s="2" t="s">
        <v>2969</v>
      </c>
      <c r="L1479" s="11" t="str">
        <f t="shared" si="24"/>
        <v>Ver Imagen</v>
      </c>
      <c r="M1479" t="s">
        <v>15</v>
      </c>
    </row>
    <row r="1480" spans="1:13" x14ac:dyDescent="0.25">
      <c r="A1480">
        <v>1479</v>
      </c>
      <c r="B1480" t="s">
        <v>2970</v>
      </c>
      <c r="C1480" s="1">
        <v>37.515882843599996</v>
      </c>
      <c r="D1480" s="1">
        <v>-7.2679156739700002</v>
      </c>
      <c r="E1480" s="3">
        <v>2</v>
      </c>
      <c r="F1480" s="2">
        <v>1</v>
      </c>
      <c r="G1480" s="4">
        <v>2</v>
      </c>
      <c r="H1480" s="13"/>
      <c r="I1480" s="15"/>
      <c r="J1480" s="19">
        <v>2</v>
      </c>
      <c r="K1480" s="2" t="s">
        <v>2971</v>
      </c>
      <c r="L1480" s="11" t="str">
        <f t="shared" si="24"/>
        <v>Ver Imagen</v>
      </c>
      <c r="M1480" t="s">
        <v>15</v>
      </c>
    </row>
    <row r="1481" spans="1:13" x14ac:dyDescent="0.25">
      <c r="A1481">
        <v>1480</v>
      </c>
      <c r="B1481" t="s">
        <v>2972</v>
      </c>
      <c r="C1481" s="1">
        <v>37.516030850600004</v>
      </c>
      <c r="D1481" s="1">
        <v>-7.2676990042899998</v>
      </c>
      <c r="E1481" s="3">
        <v>2</v>
      </c>
      <c r="F1481" s="2">
        <v>1</v>
      </c>
      <c r="G1481" s="4">
        <v>2</v>
      </c>
      <c r="H1481" s="13"/>
      <c r="I1481" s="15"/>
      <c r="J1481" s="19">
        <v>2</v>
      </c>
      <c r="K1481" s="2" t="s">
        <v>2973</v>
      </c>
      <c r="L1481" s="11" t="str">
        <f t="shared" si="24"/>
        <v>Ver Imagen</v>
      </c>
      <c r="M1481" t="s">
        <v>15</v>
      </c>
    </row>
    <row r="1482" spans="1:13" x14ac:dyDescent="0.25">
      <c r="A1482">
        <v>1481</v>
      </c>
      <c r="B1482" t="s">
        <v>2974</v>
      </c>
      <c r="C1482" s="1">
        <v>37.516155417500002</v>
      </c>
      <c r="D1482" s="1">
        <v>-7.2674912991899996</v>
      </c>
      <c r="E1482" s="3">
        <v>2</v>
      </c>
      <c r="F1482" s="2">
        <v>1</v>
      </c>
      <c r="G1482" s="4">
        <v>2</v>
      </c>
      <c r="H1482" s="13"/>
      <c r="I1482" s="15"/>
      <c r="J1482" s="19">
        <v>2</v>
      </c>
      <c r="K1482" s="2" t="s">
        <v>2975</v>
      </c>
      <c r="L1482" s="11" t="str">
        <f t="shared" si="24"/>
        <v>Ver Imagen</v>
      </c>
      <c r="M1482" t="s">
        <v>15</v>
      </c>
    </row>
    <row r="1483" spans="1:13" x14ac:dyDescent="0.25">
      <c r="A1483">
        <v>1482</v>
      </c>
      <c r="B1483" t="s">
        <v>2976</v>
      </c>
      <c r="C1483" s="1">
        <v>37.516280141000003</v>
      </c>
      <c r="D1483" s="1">
        <v>-7.26726377497</v>
      </c>
      <c r="E1483" s="3">
        <v>2</v>
      </c>
      <c r="F1483" s="2">
        <v>1</v>
      </c>
      <c r="G1483" s="4">
        <v>2</v>
      </c>
      <c r="H1483" s="13"/>
      <c r="I1483" s="15"/>
      <c r="J1483" s="19">
        <v>2</v>
      </c>
      <c r="K1483" s="2" t="s">
        <v>2977</v>
      </c>
      <c r="L1483" s="11" t="str">
        <f t="shared" si="24"/>
        <v>Ver Imagen</v>
      </c>
      <c r="M1483" t="s">
        <v>15</v>
      </c>
    </row>
    <row r="1484" spans="1:13" x14ac:dyDescent="0.25">
      <c r="A1484">
        <v>1483</v>
      </c>
      <c r="B1484" t="s">
        <v>2978</v>
      </c>
      <c r="C1484" s="1">
        <v>37.517147357299997</v>
      </c>
      <c r="D1484" s="1">
        <v>-7.2655749867399999</v>
      </c>
      <c r="E1484" s="3">
        <v>2</v>
      </c>
      <c r="F1484" s="2">
        <v>1</v>
      </c>
      <c r="G1484" s="4">
        <v>2</v>
      </c>
      <c r="H1484" s="13"/>
      <c r="I1484" s="15"/>
      <c r="J1484" s="19">
        <v>2</v>
      </c>
      <c r="K1484" s="2" t="s">
        <v>2979</v>
      </c>
      <c r="L1484" s="11" t="str">
        <f t="shared" si="24"/>
        <v>Ver Imagen</v>
      </c>
      <c r="M1484" t="s">
        <v>15</v>
      </c>
    </row>
    <row r="1485" spans="1:13" x14ac:dyDescent="0.25">
      <c r="A1485">
        <v>1484</v>
      </c>
      <c r="B1485" t="s">
        <v>2980</v>
      </c>
      <c r="C1485" s="1">
        <v>37.517266150099999</v>
      </c>
      <c r="D1485" s="1">
        <v>-7.26534206004</v>
      </c>
      <c r="E1485" s="3">
        <v>2</v>
      </c>
      <c r="F1485" s="2">
        <v>1</v>
      </c>
      <c r="G1485" s="4">
        <v>2</v>
      </c>
      <c r="H1485" s="13"/>
      <c r="I1485" s="15"/>
      <c r="J1485" s="19">
        <v>2</v>
      </c>
      <c r="K1485" s="2" t="s">
        <v>2981</v>
      </c>
      <c r="L1485" s="11" t="str">
        <f t="shared" si="24"/>
        <v>Ver Imagen</v>
      </c>
      <c r="M1485" t="s">
        <v>15</v>
      </c>
    </row>
    <row r="1486" spans="1:13" x14ac:dyDescent="0.25">
      <c r="A1486">
        <v>1485</v>
      </c>
      <c r="B1486" t="s">
        <v>2982</v>
      </c>
      <c r="C1486" s="1">
        <v>37.5173871975</v>
      </c>
      <c r="D1486" s="1">
        <v>-7.2651045913100001</v>
      </c>
      <c r="E1486" s="3">
        <v>2</v>
      </c>
      <c r="F1486" s="2">
        <v>1</v>
      </c>
      <c r="G1486" s="4">
        <v>2</v>
      </c>
      <c r="H1486" s="13"/>
      <c r="I1486" s="15"/>
      <c r="J1486" s="19">
        <v>2</v>
      </c>
      <c r="K1486" s="2" t="s">
        <v>2983</v>
      </c>
      <c r="L1486" s="11" t="str">
        <f t="shared" si="24"/>
        <v>Ver Imagen</v>
      </c>
      <c r="M1486" t="s">
        <v>15</v>
      </c>
    </row>
    <row r="1487" spans="1:13" x14ac:dyDescent="0.25">
      <c r="A1487">
        <v>1486</v>
      </c>
      <c r="B1487" t="s">
        <v>2984</v>
      </c>
      <c r="C1487" s="1">
        <v>37.517479508800001</v>
      </c>
      <c r="D1487" s="1">
        <v>-7.2649232054699997</v>
      </c>
      <c r="E1487" s="3">
        <v>2</v>
      </c>
      <c r="F1487" s="2">
        <v>3</v>
      </c>
      <c r="G1487" s="4">
        <v>2</v>
      </c>
      <c r="H1487" s="13"/>
      <c r="I1487" s="15"/>
      <c r="J1487" s="19">
        <v>2</v>
      </c>
      <c r="K1487" s="2" t="s">
        <v>2985</v>
      </c>
      <c r="L1487" s="11" t="str">
        <f t="shared" si="24"/>
        <v>Ver Imagen</v>
      </c>
      <c r="M1487" t="s">
        <v>15</v>
      </c>
    </row>
    <row r="1488" spans="1:13" x14ac:dyDescent="0.25">
      <c r="A1488">
        <v>1487</v>
      </c>
      <c r="B1488" t="s">
        <v>2986</v>
      </c>
      <c r="C1488" s="1">
        <v>37.517578241700001</v>
      </c>
      <c r="D1488" s="1">
        <v>-7.2647293184599997</v>
      </c>
      <c r="E1488" s="3">
        <v>2</v>
      </c>
      <c r="F1488" s="2">
        <v>1</v>
      </c>
      <c r="G1488" s="4">
        <v>2</v>
      </c>
      <c r="H1488" s="13"/>
      <c r="I1488" s="15"/>
      <c r="J1488" s="19">
        <v>2</v>
      </c>
      <c r="K1488" s="2" t="s">
        <v>2987</v>
      </c>
      <c r="L1488" s="11" t="str">
        <f t="shared" si="24"/>
        <v>Ver Imagen</v>
      </c>
      <c r="M1488" t="s">
        <v>15</v>
      </c>
    </row>
    <row r="1489" spans="1:13" x14ac:dyDescent="0.25">
      <c r="A1489">
        <v>1488</v>
      </c>
      <c r="B1489" t="s">
        <v>2988</v>
      </c>
      <c r="C1489" s="1">
        <v>37.518455644200003</v>
      </c>
      <c r="D1489" s="1">
        <v>-7.2630141261399999</v>
      </c>
      <c r="E1489" s="3">
        <v>2</v>
      </c>
      <c r="F1489" s="2">
        <v>1</v>
      </c>
      <c r="G1489" s="4">
        <v>2</v>
      </c>
      <c r="H1489" s="13"/>
      <c r="I1489" s="15"/>
      <c r="J1489" s="19">
        <v>2</v>
      </c>
      <c r="K1489" s="2" t="s">
        <v>2989</v>
      </c>
      <c r="L1489" s="11" t="str">
        <f t="shared" si="24"/>
        <v>Ver Imagen</v>
      </c>
      <c r="M1489" t="s">
        <v>15</v>
      </c>
    </row>
    <row r="1490" spans="1:13" x14ac:dyDescent="0.25">
      <c r="A1490">
        <v>1489</v>
      </c>
      <c r="B1490" t="s">
        <v>2990</v>
      </c>
      <c r="C1490" s="1">
        <v>37.518569415899996</v>
      </c>
      <c r="D1490" s="1">
        <v>-7.26281225456</v>
      </c>
      <c r="E1490" s="3">
        <v>2</v>
      </c>
      <c r="F1490" s="2">
        <v>2</v>
      </c>
      <c r="G1490" s="4">
        <v>3</v>
      </c>
      <c r="H1490" s="13"/>
      <c r="I1490" s="15"/>
      <c r="J1490" s="19">
        <v>2</v>
      </c>
      <c r="K1490" s="2" t="s">
        <v>2991</v>
      </c>
      <c r="L1490" s="11" t="str">
        <f t="shared" si="24"/>
        <v>Ver Imagen</v>
      </c>
      <c r="M1490" t="s">
        <v>15</v>
      </c>
    </row>
    <row r="1491" spans="1:13" x14ac:dyDescent="0.25">
      <c r="A1491">
        <v>1490</v>
      </c>
      <c r="B1491" t="s">
        <v>2992</v>
      </c>
      <c r="C1491" s="1">
        <v>37.518827277699998</v>
      </c>
      <c r="D1491" s="1">
        <v>-7.2624298437599997</v>
      </c>
      <c r="E1491" s="3">
        <v>2</v>
      </c>
      <c r="F1491" s="2">
        <v>1</v>
      </c>
      <c r="G1491" s="4">
        <v>2</v>
      </c>
      <c r="H1491" s="13"/>
      <c r="I1491" s="15"/>
      <c r="J1491" s="19">
        <v>2</v>
      </c>
      <c r="K1491" s="2" t="s">
        <v>2993</v>
      </c>
      <c r="L1491" s="11" t="str">
        <f t="shared" si="24"/>
        <v>Ver Imagen</v>
      </c>
      <c r="M1491" t="s">
        <v>15</v>
      </c>
    </row>
    <row r="1492" spans="1:13" x14ac:dyDescent="0.25">
      <c r="A1492">
        <v>1491</v>
      </c>
      <c r="B1492" t="s">
        <v>2994</v>
      </c>
      <c r="C1492" s="1">
        <v>37.519129274699999</v>
      </c>
      <c r="D1492" s="1">
        <v>-7.2620838752000001</v>
      </c>
      <c r="E1492" s="3">
        <v>2</v>
      </c>
      <c r="F1492" s="2">
        <v>1</v>
      </c>
      <c r="G1492" s="4">
        <v>2</v>
      </c>
      <c r="H1492" s="13"/>
      <c r="I1492" s="15"/>
      <c r="J1492" s="19">
        <v>2</v>
      </c>
      <c r="K1492" s="2" t="s">
        <v>2995</v>
      </c>
      <c r="L1492" s="11" t="str">
        <f t="shared" si="24"/>
        <v>Ver Imagen</v>
      </c>
      <c r="M1492" t="s">
        <v>15</v>
      </c>
    </row>
    <row r="1493" spans="1:13" x14ac:dyDescent="0.25">
      <c r="A1493">
        <v>1492</v>
      </c>
      <c r="B1493" t="s">
        <v>2996</v>
      </c>
      <c r="C1493" s="1">
        <v>37.519441934100001</v>
      </c>
      <c r="D1493" s="1">
        <v>-7.26177644757</v>
      </c>
      <c r="E1493" s="3">
        <v>2</v>
      </c>
      <c r="F1493" s="2">
        <v>1</v>
      </c>
      <c r="G1493" s="4">
        <v>2</v>
      </c>
      <c r="H1493" s="13"/>
      <c r="I1493" s="15"/>
      <c r="J1493" s="19">
        <v>2</v>
      </c>
      <c r="K1493" s="2" t="s">
        <v>2997</v>
      </c>
      <c r="L1493" s="11" t="str">
        <f t="shared" si="24"/>
        <v>Ver Imagen</v>
      </c>
      <c r="M1493" t="s">
        <v>15</v>
      </c>
    </row>
    <row r="1494" spans="1:13" x14ac:dyDescent="0.25">
      <c r="A1494">
        <v>1493</v>
      </c>
      <c r="B1494" t="s">
        <v>2998</v>
      </c>
      <c r="C1494" s="1">
        <v>37.520102618800003</v>
      </c>
      <c r="D1494" s="1">
        <v>-7.2611596978200001</v>
      </c>
      <c r="E1494" s="3">
        <v>2</v>
      </c>
      <c r="F1494" s="2">
        <v>2</v>
      </c>
      <c r="G1494" s="4">
        <v>3</v>
      </c>
      <c r="H1494" s="13"/>
      <c r="I1494" s="15"/>
      <c r="J1494" s="19">
        <v>2</v>
      </c>
      <c r="K1494" s="2" t="s">
        <v>2999</v>
      </c>
      <c r="L1494" s="11" t="str">
        <f t="shared" si="24"/>
        <v>Ver Imagen</v>
      </c>
      <c r="M1494" t="s">
        <v>15</v>
      </c>
    </row>
    <row r="1495" spans="1:13" x14ac:dyDescent="0.25">
      <c r="A1495">
        <v>1494</v>
      </c>
      <c r="B1495" t="s">
        <v>3000</v>
      </c>
      <c r="C1495" s="1">
        <v>37.520428840500003</v>
      </c>
      <c r="D1495" s="1">
        <v>-7.2608531847200002</v>
      </c>
      <c r="E1495" s="3">
        <v>2</v>
      </c>
      <c r="F1495" s="2">
        <v>1</v>
      </c>
      <c r="G1495" s="4">
        <v>2</v>
      </c>
      <c r="H1495" s="13"/>
      <c r="I1495" s="15"/>
      <c r="J1495" s="19">
        <v>2</v>
      </c>
      <c r="K1495" s="2" t="s">
        <v>3001</v>
      </c>
      <c r="L1495" s="11" t="str">
        <f t="shared" si="24"/>
        <v>Ver Imagen</v>
      </c>
      <c r="M1495" t="s">
        <v>15</v>
      </c>
    </row>
    <row r="1496" spans="1:13" x14ac:dyDescent="0.25">
      <c r="A1496">
        <v>1495</v>
      </c>
      <c r="B1496" t="s">
        <v>3002</v>
      </c>
      <c r="C1496" s="1">
        <v>37.520730696699999</v>
      </c>
      <c r="D1496" s="1">
        <v>-7.2605687680199997</v>
      </c>
      <c r="E1496" s="3">
        <v>2</v>
      </c>
      <c r="F1496" s="2">
        <v>2</v>
      </c>
      <c r="G1496" s="4">
        <v>3</v>
      </c>
      <c r="H1496" s="13"/>
      <c r="I1496" s="15"/>
      <c r="J1496" s="19">
        <v>2</v>
      </c>
      <c r="K1496" s="2" t="s">
        <v>3003</v>
      </c>
      <c r="L1496" s="11" t="str">
        <f t="shared" si="24"/>
        <v>Ver Imagen</v>
      </c>
      <c r="M1496" t="s">
        <v>15</v>
      </c>
    </row>
    <row r="1497" spans="1:13" x14ac:dyDescent="0.25">
      <c r="A1497">
        <v>1496</v>
      </c>
      <c r="B1497" t="s">
        <v>3004</v>
      </c>
      <c r="C1497" s="1">
        <v>37.267672653699996</v>
      </c>
      <c r="D1497" s="1">
        <v>-6.9650970272899997</v>
      </c>
      <c r="E1497" s="3">
        <v>2</v>
      </c>
      <c r="F1497" s="2">
        <v>2</v>
      </c>
      <c r="G1497" s="4">
        <v>3</v>
      </c>
      <c r="H1497" s="13"/>
      <c r="I1497" s="15"/>
      <c r="J1497" s="19">
        <v>2</v>
      </c>
      <c r="K1497" s="2" t="s">
        <v>3005</v>
      </c>
      <c r="L1497" s="11" t="str">
        <f t="shared" si="24"/>
        <v>Ver Imagen</v>
      </c>
      <c r="M1497" t="s">
        <v>15</v>
      </c>
    </row>
    <row r="1498" spans="1:13" x14ac:dyDescent="0.25">
      <c r="A1498">
        <v>1497</v>
      </c>
      <c r="B1498" t="s">
        <v>3006</v>
      </c>
      <c r="C1498" s="1">
        <v>37.521069168399997</v>
      </c>
      <c r="D1498" s="1">
        <v>-7.2602508394100003</v>
      </c>
      <c r="E1498" s="3">
        <v>2</v>
      </c>
      <c r="F1498" s="2">
        <v>1</v>
      </c>
      <c r="G1498" s="4">
        <v>2</v>
      </c>
      <c r="H1498" s="13"/>
      <c r="I1498" s="15"/>
      <c r="J1498" s="19">
        <v>2</v>
      </c>
      <c r="K1498" s="2" t="s">
        <v>3007</v>
      </c>
      <c r="L1498" s="11" t="str">
        <f t="shared" si="24"/>
        <v>Ver Imagen</v>
      </c>
      <c r="M1498" t="s">
        <v>15</v>
      </c>
    </row>
    <row r="1499" spans="1:13" x14ac:dyDescent="0.25">
      <c r="A1499">
        <v>1498</v>
      </c>
      <c r="B1499" t="s">
        <v>3008</v>
      </c>
      <c r="C1499" s="1">
        <v>37.521232986000001</v>
      </c>
      <c r="D1499" s="1">
        <v>-7.26010158326</v>
      </c>
      <c r="E1499" s="3">
        <v>2</v>
      </c>
      <c r="F1499" s="2">
        <v>1</v>
      </c>
      <c r="G1499" s="4">
        <v>2</v>
      </c>
      <c r="H1499" s="13"/>
      <c r="I1499" s="15"/>
      <c r="J1499" s="19">
        <v>2</v>
      </c>
      <c r="K1499" s="2" t="s">
        <v>3009</v>
      </c>
      <c r="L1499" s="11" t="str">
        <f t="shared" si="24"/>
        <v>Ver Imagen</v>
      </c>
      <c r="M1499" t="s">
        <v>15</v>
      </c>
    </row>
    <row r="1500" spans="1:13" x14ac:dyDescent="0.25">
      <c r="A1500">
        <v>1499</v>
      </c>
      <c r="B1500" t="s">
        <v>3010</v>
      </c>
      <c r="C1500" s="1">
        <v>37.521570966600002</v>
      </c>
      <c r="D1500" s="1">
        <v>-7.2598284955399999</v>
      </c>
      <c r="E1500" s="3">
        <v>2</v>
      </c>
      <c r="F1500" s="2">
        <v>1</v>
      </c>
      <c r="G1500" s="4">
        <v>2</v>
      </c>
      <c r="H1500" s="13"/>
      <c r="I1500" s="15"/>
      <c r="J1500" s="19">
        <v>2</v>
      </c>
      <c r="K1500" s="2" t="s">
        <v>3011</v>
      </c>
      <c r="L1500" s="11" t="str">
        <f t="shared" si="24"/>
        <v>Ver Imagen</v>
      </c>
      <c r="M1500" t="s">
        <v>15</v>
      </c>
    </row>
    <row r="1501" spans="1:13" x14ac:dyDescent="0.25">
      <c r="A1501">
        <v>1500</v>
      </c>
      <c r="B1501" t="s">
        <v>3012</v>
      </c>
      <c r="C1501" s="1">
        <v>37.522311179299997</v>
      </c>
      <c r="D1501" s="1">
        <v>-7.2594165665899997</v>
      </c>
      <c r="E1501" s="3">
        <v>2</v>
      </c>
      <c r="F1501" s="2">
        <v>1</v>
      </c>
      <c r="G1501" s="4">
        <v>2</v>
      </c>
      <c r="H1501" s="13"/>
      <c r="I1501" s="15"/>
      <c r="J1501" s="19">
        <v>2</v>
      </c>
      <c r="K1501" s="2" t="s">
        <v>3013</v>
      </c>
      <c r="L1501" s="11" t="str">
        <f t="shared" si="24"/>
        <v>Ver Imagen</v>
      </c>
      <c r="M1501" t="s">
        <v>15</v>
      </c>
    </row>
    <row r="1502" spans="1:13" x14ac:dyDescent="0.25">
      <c r="A1502">
        <v>1501</v>
      </c>
      <c r="B1502" t="s">
        <v>3014</v>
      </c>
      <c r="C1502" s="1">
        <v>37.522508534899998</v>
      </c>
      <c r="D1502" s="1">
        <v>-7.2593399862799997</v>
      </c>
      <c r="E1502" s="3">
        <v>2</v>
      </c>
      <c r="F1502" s="2">
        <v>2</v>
      </c>
      <c r="G1502" s="4">
        <v>3</v>
      </c>
      <c r="H1502" s="13"/>
      <c r="I1502" s="15"/>
      <c r="J1502" s="19">
        <v>2</v>
      </c>
      <c r="K1502" s="2" t="s">
        <v>3015</v>
      </c>
      <c r="L1502" s="11" t="str">
        <f t="shared" si="24"/>
        <v>Ver Imagen</v>
      </c>
      <c r="M1502" t="s">
        <v>15</v>
      </c>
    </row>
    <row r="1503" spans="1:13" x14ac:dyDescent="0.25">
      <c r="A1503">
        <v>1502</v>
      </c>
      <c r="B1503" t="s">
        <v>3016</v>
      </c>
      <c r="C1503" s="1">
        <v>37.523285361900001</v>
      </c>
      <c r="D1503" s="1">
        <v>-7.2590405420900002</v>
      </c>
      <c r="E1503" s="3">
        <v>2</v>
      </c>
      <c r="F1503" s="2">
        <v>1</v>
      </c>
      <c r="G1503" s="4">
        <v>2</v>
      </c>
      <c r="H1503" s="13"/>
      <c r="I1503" s="15"/>
      <c r="J1503" s="19">
        <v>2</v>
      </c>
      <c r="K1503" s="2" t="s">
        <v>3017</v>
      </c>
      <c r="L1503" s="11" t="str">
        <f t="shared" si="24"/>
        <v>Ver Imagen</v>
      </c>
      <c r="M1503" t="s">
        <v>15</v>
      </c>
    </row>
    <row r="1504" spans="1:13" x14ac:dyDescent="0.25">
      <c r="A1504">
        <v>1503</v>
      </c>
      <c r="B1504" t="s">
        <v>3018</v>
      </c>
      <c r="C1504" s="1">
        <v>37.2680127653</v>
      </c>
      <c r="D1504" s="1">
        <v>-6.9698832785500002</v>
      </c>
      <c r="E1504" s="3">
        <v>2</v>
      </c>
      <c r="F1504" s="2">
        <v>3</v>
      </c>
      <c r="G1504" s="4">
        <v>2</v>
      </c>
      <c r="H1504" s="13"/>
      <c r="I1504" s="15"/>
      <c r="J1504" s="19">
        <v>2</v>
      </c>
      <c r="K1504" s="2" t="s">
        <v>3019</v>
      </c>
      <c r="L1504" s="11" t="str">
        <f t="shared" si="24"/>
        <v>Ver Imagen</v>
      </c>
      <c r="M1504" t="s">
        <v>15</v>
      </c>
    </row>
    <row r="1505" spans="1:13" x14ac:dyDescent="0.25">
      <c r="A1505">
        <v>1504</v>
      </c>
      <c r="B1505" t="s">
        <v>3020</v>
      </c>
      <c r="C1505" s="1">
        <v>37.523827437900003</v>
      </c>
      <c r="D1505" s="1">
        <v>-7.2587000221500002</v>
      </c>
      <c r="E1505" s="3">
        <v>2</v>
      </c>
      <c r="F1505" s="2">
        <v>3</v>
      </c>
      <c r="G1505" s="4">
        <v>2</v>
      </c>
      <c r="H1505" s="13"/>
      <c r="I1505" s="15"/>
      <c r="J1505" s="19">
        <v>2</v>
      </c>
      <c r="K1505" s="2" t="s">
        <v>3021</v>
      </c>
      <c r="L1505" s="11" t="str">
        <f t="shared" si="24"/>
        <v>Ver Imagen</v>
      </c>
      <c r="M1505" t="s">
        <v>15</v>
      </c>
    </row>
    <row r="1506" spans="1:13" x14ac:dyDescent="0.25">
      <c r="A1506">
        <v>1505</v>
      </c>
      <c r="B1506" t="s">
        <v>3022</v>
      </c>
      <c r="C1506" s="1">
        <v>37.524004543700002</v>
      </c>
      <c r="D1506" s="1">
        <v>-7.2585494751199997</v>
      </c>
      <c r="E1506" s="3">
        <v>2</v>
      </c>
      <c r="F1506" s="2">
        <v>3</v>
      </c>
      <c r="G1506" s="4">
        <v>2</v>
      </c>
      <c r="H1506" s="13"/>
      <c r="I1506" s="15"/>
      <c r="J1506" s="19">
        <v>2</v>
      </c>
      <c r="K1506" s="2" t="s">
        <v>3023</v>
      </c>
      <c r="L1506" s="11" t="str">
        <f t="shared" si="24"/>
        <v>Ver Imagen</v>
      </c>
      <c r="M1506" t="s">
        <v>15</v>
      </c>
    </row>
    <row r="1507" spans="1:13" x14ac:dyDescent="0.25">
      <c r="A1507">
        <v>1506</v>
      </c>
      <c r="B1507" t="s">
        <v>3024</v>
      </c>
      <c r="C1507" s="1">
        <v>37.5241411943</v>
      </c>
      <c r="D1507" s="1">
        <v>-7.2584166332100004</v>
      </c>
      <c r="E1507" s="3">
        <v>2</v>
      </c>
      <c r="F1507" s="2">
        <v>1</v>
      </c>
      <c r="G1507" s="4">
        <v>2</v>
      </c>
      <c r="H1507" s="13"/>
      <c r="I1507" s="15"/>
      <c r="J1507" s="19">
        <v>2</v>
      </c>
      <c r="K1507" s="2" t="s">
        <v>3025</v>
      </c>
      <c r="L1507" s="11" t="str">
        <f t="shared" si="24"/>
        <v>Ver Imagen</v>
      </c>
      <c r="M1507" t="s">
        <v>15</v>
      </c>
    </row>
    <row r="1508" spans="1:13" x14ac:dyDescent="0.25">
      <c r="A1508">
        <v>1507</v>
      </c>
      <c r="B1508" t="s">
        <v>3026</v>
      </c>
      <c r="C1508" s="1">
        <v>37.524835510599999</v>
      </c>
      <c r="D1508" s="1">
        <v>-7.2574752329300001</v>
      </c>
      <c r="E1508" s="3">
        <v>2</v>
      </c>
      <c r="F1508" s="2">
        <v>1</v>
      </c>
      <c r="G1508" s="4">
        <v>2</v>
      </c>
      <c r="H1508" s="13"/>
      <c r="I1508" s="15"/>
      <c r="J1508" s="19">
        <v>2</v>
      </c>
      <c r="K1508" s="2" t="s">
        <v>3027</v>
      </c>
      <c r="L1508" s="11" t="str">
        <f t="shared" si="24"/>
        <v>Ver Imagen</v>
      </c>
      <c r="M1508" t="s">
        <v>15</v>
      </c>
    </row>
    <row r="1509" spans="1:13" x14ac:dyDescent="0.25">
      <c r="A1509">
        <v>1508</v>
      </c>
      <c r="B1509" t="s">
        <v>3028</v>
      </c>
      <c r="C1509" s="1">
        <v>37.5257279665</v>
      </c>
      <c r="D1509" s="1">
        <v>-7.2560609606000002</v>
      </c>
      <c r="E1509" s="3">
        <v>2</v>
      </c>
      <c r="F1509" s="2">
        <v>1</v>
      </c>
      <c r="G1509" s="4">
        <v>2</v>
      </c>
      <c r="H1509" s="13"/>
      <c r="I1509" s="15"/>
      <c r="J1509" s="19">
        <v>2</v>
      </c>
      <c r="K1509" s="2" t="s">
        <v>3029</v>
      </c>
      <c r="L1509" s="11" t="str">
        <f t="shared" si="24"/>
        <v>Ver Imagen</v>
      </c>
      <c r="M1509" t="s">
        <v>15</v>
      </c>
    </row>
    <row r="1510" spans="1:13" x14ac:dyDescent="0.25">
      <c r="A1510">
        <v>1509</v>
      </c>
      <c r="B1510" t="s">
        <v>3030</v>
      </c>
      <c r="C1510" s="1">
        <v>37.526002237900002</v>
      </c>
      <c r="D1510" s="1">
        <v>-7.2557023751200003</v>
      </c>
      <c r="E1510" s="3">
        <v>2</v>
      </c>
      <c r="F1510" s="2">
        <v>1</v>
      </c>
      <c r="G1510" s="4">
        <v>2</v>
      </c>
      <c r="H1510" s="13"/>
      <c r="I1510" s="15"/>
      <c r="J1510" s="19">
        <v>2</v>
      </c>
      <c r="K1510" s="2" t="s">
        <v>3031</v>
      </c>
      <c r="L1510" s="11" t="str">
        <f t="shared" si="24"/>
        <v>Ver Imagen</v>
      </c>
      <c r="M1510" t="s">
        <v>15</v>
      </c>
    </row>
    <row r="1511" spans="1:13" x14ac:dyDescent="0.25">
      <c r="A1511">
        <v>1510</v>
      </c>
      <c r="B1511" t="s">
        <v>3032</v>
      </c>
      <c r="C1511" s="1">
        <v>37.270449855599999</v>
      </c>
      <c r="D1511" s="1">
        <v>-6.9806045329200002</v>
      </c>
      <c r="E1511" s="3">
        <v>2</v>
      </c>
      <c r="F1511" s="2">
        <v>3</v>
      </c>
      <c r="G1511" s="4">
        <v>2</v>
      </c>
      <c r="H1511" s="13"/>
      <c r="I1511" s="15"/>
      <c r="J1511" s="19">
        <v>2</v>
      </c>
      <c r="K1511" s="2" t="s">
        <v>3033</v>
      </c>
      <c r="L1511" s="11" t="str">
        <f t="shared" si="24"/>
        <v>Ver Imagen</v>
      </c>
      <c r="M1511" t="s">
        <v>15</v>
      </c>
    </row>
    <row r="1512" spans="1:13" x14ac:dyDescent="0.25">
      <c r="A1512">
        <v>1511</v>
      </c>
      <c r="B1512" t="s">
        <v>3034</v>
      </c>
      <c r="C1512" s="1">
        <v>37.270641142099997</v>
      </c>
      <c r="D1512" s="1">
        <v>-6.9812726782199999</v>
      </c>
      <c r="E1512" s="3">
        <v>2</v>
      </c>
      <c r="F1512" s="2">
        <v>3</v>
      </c>
      <c r="G1512" s="4">
        <v>2</v>
      </c>
      <c r="H1512" s="13"/>
      <c r="I1512" s="15"/>
      <c r="J1512" s="19">
        <v>2</v>
      </c>
      <c r="K1512" s="2" t="s">
        <v>3035</v>
      </c>
      <c r="L1512" s="11" t="str">
        <f t="shared" si="24"/>
        <v>Ver Imagen</v>
      </c>
      <c r="M1512" t="s">
        <v>15</v>
      </c>
    </row>
    <row r="1513" spans="1:13" x14ac:dyDescent="0.25">
      <c r="A1513">
        <v>1512</v>
      </c>
      <c r="B1513" t="s">
        <v>3036</v>
      </c>
      <c r="C1513" s="1">
        <v>37.271603323100003</v>
      </c>
      <c r="D1513" s="1">
        <v>-6.9878917744700004</v>
      </c>
      <c r="E1513" s="3">
        <v>2</v>
      </c>
      <c r="F1513" s="2">
        <v>3</v>
      </c>
      <c r="G1513" s="4">
        <v>2</v>
      </c>
      <c r="H1513" s="13"/>
      <c r="I1513" s="15"/>
      <c r="J1513" s="19">
        <v>2</v>
      </c>
      <c r="K1513" s="2" t="s">
        <v>3037</v>
      </c>
      <c r="L1513" s="11" t="str">
        <f t="shared" si="24"/>
        <v>Ver Imagen</v>
      </c>
      <c r="M1513" t="s">
        <v>15</v>
      </c>
    </row>
    <row r="1514" spans="1:13" x14ac:dyDescent="0.25">
      <c r="A1514">
        <v>1513</v>
      </c>
      <c r="B1514" t="s">
        <v>3038</v>
      </c>
      <c r="C1514" s="1">
        <v>37.271497698799998</v>
      </c>
      <c r="D1514" s="1">
        <v>-6.9881350723400004</v>
      </c>
      <c r="E1514" s="3">
        <v>2</v>
      </c>
      <c r="F1514" s="2">
        <v>1</v>
      </c>
      <c r="G1514" s="4">
        <v>2</v>
      </c>
      <c r="H1514" s="13"/>
      <c r="I1514" s="15"/>
      <c r="J1514" s="19">
        <v>2</v>
      </c>
      <c r="K1514" s="2" t="s">
        <v>3039</v>
      </c>
      <c r="L1514" s="11" t="str">
        <f t="shared" si="24"/>
        <v>Ver Imagen</v>
      </c>
      <c r="M1514" t="s">
        <v>15</v>
      </c>
    </row>
    <row r="1515" spans="1:13" x14ac:dyDescent="0.25">
      <c r="A1515">
        <v>1514</v>
      </c>
      <c r="B1515" t="s">
        <v>3040</v>
      </c>
      <c r="C1515" s="1">
        <v>37.268183078100002</v>
      </c>
      <c r="D1515" s="1">
        <v>-6.9909247994600001</v>
      </c>
      <c r="E1515" s="3">
        <v>2</v>
      </c>
      <c r="F1515" s="2">
        <v>3</v>
      </c>
      <c r="G1515" s="4">
        <v>2</v>
      </c>
      <c r="H1515" s="13"/>
      <c r="I1515" s="15"/>
      <c r="J1515" s="19">
        <v>2</v>
      </c>
      <c r="K1515" s="2" t="s">
        <v>3041</v>
      </c>
      <c r="L1515" s="11" t="str">
        <f t="shared" si="24"/>
        <v>Ver Imagen</v>
      </c>
      <c r="M1515" t="s">
        <v>15</v>
      </c>
    </row>
    <row r="1516" spans="1:13" x14ac:dyDescent="0.25">
      <c r="A1516">
        <v>1515</v>
      </c>
      <c r="B1516" t="s">
        <v>3042</v>
      </c>
      <c r="C1516" s="1">
        <v>37.267473002899997</v>
      </c>
      <c r="D1516" s="1">
        <v>-6.99145427812</v>
      </c>
      <c r="E1516" s="3">
        <v>2</v>
      </c>
      <c r="F1516" s="2">
        <v>3</v>
      </c>
      <c r="G1516" s="4">
        <v>2</v>
      </c>
      <c r="H1516" s="13"/>
      <c r="I1516" s="15"/>
      <c r="J1516" s="19">
        <v>2</v>
      </c>
      <c r="K1516" s="2" t="s">
        <v>3043</v>
      </c>
      <c r="L1516" s="11" t="str">
        <f t="shared" si="24"/>
        <v>Ver Imagen</v>
      </c>
      <c r="M1516" t="s">
        <v>15</v>
      </c>
    </row>
    <row r="1517" spans="1:13" x14ac:dyDescent="0.25">
      <c r="A1517">
        <v>1516</v>
      </c>
      <c r="B1517" t="s">
        <v>3044</v>
      </c>
      <c r="C1517" s="1">
        <v>37.266465398400001</v>
      </c>
      <c r="D1517" s="1">
        <v>-6.9926540891900002</v>
      </c>
      <c r="E1517" s="3">
        <v>2</v>
      </c>
      <c r="F1517" s="2">
        <v>3</v>
      </c>
      <c r="G1517" s="4">
        <v>2</v>
      </c>
      <c r="H1517" s="13"/>
      <c r="I1517" s="15"/>
      <c r="J1517" s="19">
        <v>2</v>
      </c>
      <c r="K1517" s="2" t="s">
        <v>3045</v>
      </c>
      <c r="L1517" s="11" t="str">
        <f t="shared" si="24"/>
        <v>Ver Imagen</v>
      </c>
      <c r="M1517" t="s">
        <v>15</v>
      </c>
    </row>
    <row r="1518" spans="1:13" x14ac:dyDescent="0.25">
      <c r="A1518">
        <v>1517</v>
      </c>
      <c r="B1518" t="s">
        <v>3046</v>
      </c>
      <c r="C1518" s="1">
        <v>37.190145811999997</v>
      </c>
      <c r="D1518" s="1">
        <v>-6.9779192341799998</v>
      </c>
      <c r="E1518" s="3">
        <v>2</v>
      </c>
      <c r="F1518" s="2">
        <v>3</v>
      </c>
      <c r="G1518" s="4">
        <v>2</v>
      </c>
      <c r="H1518" s="13"/>
      <c r="I1518" s="15"/>
      <c r="J1518" s="19">
        <v>2</v>
      </c>
      <c r="K1518" s="2" t="s">
        <v>3047</v>
      </c>
      <c r="L1518" s="11" t="str">
        <f t="shared" si="24"/>
        <v>Ver Imagen</v>
      </c>
      <c r="M1518" t="s">
        <v>15</v>
      </c>
    </row>
    <row r="1519" spans="1:13" x14ac:dyDescent="0.25">
      <c r="A1519">
        <v>1518</v>
      </c>
      <c r="B1519" t="s">
        <v>3048</v>
      </c>
      <c r="C1519" s="1">
        <v>37.190756083099998</v>
      </c>
      <c r="D1519" s="1">
        <v>-6.9777640414700004</v>
      </c>
      <c r="E1519" s="3">
        <v>2</v>
      </c>
      <c r="F1519" s="2">
        <v>3</v>
      </c>
      <c r="G1519" s="4">
        <v>2</v>
      </c>
      <c r="H1519" s="13"/>
      <c r="I1519" s="15"/>
      <c r="J1519" s="19">
        <v>2</v>
      </c>
      <c r="K1519" s="2" t="s">
        <v>3049</v>
      </c>
      <c r="L1519" s="11" t="str">
        <f t="shared" si="24"/>
        <v>Ver Imagen</v>
      </c>
      <c r="M1519" t="s">
        <v>15</v>
      </c>
    </row>
    <row r="1520" spans="1:13" x14ac:dyDescent="0.25">
      <c r="A1520">
        <v>1519</v>
      </c>
      <c r="B1520" t="s">
        <v>3050</v>
      </c>
      <c r="C1520" s="1">
        <v>37.191007658700002</v>
      </c>
      <c r="D1520" s="1">
        <v>-6.9777053376999998</v>
      </c>
      <c r="E1520" s="3">
        <v>2</v>
      </c>
      <c r="F1520" s="2">
        <v>3</v>
      </c>
      <c r="G1520" s="4">
        <v>2</v>
      </c>
      <c r="H1520" s="13"/>
      <c r="I1520" s="15"/>
      <c r="J1520" s="19">
        <v>2</v>
      </c>
      <c r="K1520" s="2" t="s">
        <v>3051</v>
      </c>
      <c r="L1520" s="11" t="str">
        <f t="shared" si="24"/>
        <v>Ver Imagen</v>
      </c>
      <c r="M1520" t="s">
        <v>15</v>
      </c>
    </row>
    <row r="1521" spans="1:13" x14ac:dyDescent="0.25">
      <c r="A1521">
        <v>1520</v>
      </c>
      <c r="B1521" t="s">
        <v>3052</v>
      </c>
      <c r="C1521" s="1">
        <v>37.265608867200001</v>
      </c>
      <c r="D1521" s="1">
        <v>-6.9954643936599998</v>
      </c>
      <c r="E1521" s="3">
        <v>2</v>
      </c>
      <c r="F1521" s="2">
        <v>2</v>
      </c>
      <c r="G1521" s="4">
        <v>1</v>
      </c>
      <c r="H1521" s="13"/>
      <c r="I1521" s="15"/>
      <c r="J1521" s="19">
        <v>2</v>
      </c>
      <c r="K1521" s="2" t="s">
        <v>3053</v>
      </c>
      <c r="L1521" s="11" t="str">
        <f t="shared" si="24"/>
        <v>Ver Imagen</v>
      </c>
      <c r="M1521" t="s">
        <v>15</v>
      </c>
    </row>
    <row r="1522" spans="1:13" x14ac:dyDescent="0.25">
      <c r="A1522">
        <v>1521</v>
      </c>
      <c r="B1522" t="s">
        <v>3054</v>
      </c>
      <c r="C1522" s="1">
        <v>37.197099102000003</v>
      </c>
      <c r="D1522" s="1">
        <v>-6.9793245497000003</v>
      </c>
      <c r="E1522" s="3">
        <v>2</v>
      </c>
      <c r="F1522" s="2">
        <v>3</v>
      </c>
      <c r="G1522" s="4">
        <v>2</v>
      </c>
      <c r="H1522" s="13"/>
      <c r="I1522" s="15"/>
      <c r="J1522" s="19">
        <v>2</v>
      </c>
      <c r="K1522" s="2" t="s">
        <v>3055</v>
      </c>
      <c r="L1522" s="11" t="str">
        <f t="shared" si="24"/>
        <v>Ver Imagen</v>
      </c>
      <c r="M1522" t="s">
        <v>15</v>
      </c>
    </row>
    <row r="1523" spans="1:13" x14ac:dyDescent="0.25">
      <c r="A1523">
        <v>1522</v>
      </c>
      <c r="B1523" t="s">
        <v>3056</v>
      </c>
      <c r="C1523" s="1">
        <v>37.199202559500002</v>
      </c>
      <c r="D1523" s="1">
        <v>-6.9829697037500003</v>
      </c>
      <c r="E1523" s="3">
        <v>2</v>
      </c>
      <c r="F1523" s="2">
        <v>3</v>
      </c>
      <c r="G1523" s="4">
        <v>2</v>
      </c>
      <c r="H1523" s="13"/>
      <c r="I1523" s="15"/>
      <c r="J1523" s="19">
        <v>2</v>
      </c>
      <c r="K1523" s="2" t="s">
        <v>3057</v>
      </c>
      <c r="L1523" s="11" t="str">
        <f t="shared" si="24"/>
        <v>Ver Imagen</v>
      </c>
      <c r="M1523" t="s">
        <v>15</v>
      </c>
    </row>
    <row r="1524" spans="1:13" x14ac:dyDescent="0.25">
      <c r="A1524">
        <v>1523</v>
      </c>
      <c r="B1524" t="s">
        <v>3058</v>
      </c>
      <c r="C1524" s="1">
        <v>37.199683385699998</v>
      </c>
      <c r="D1524" s="1">
        <v>-6.9846050096600001</v>
      </c>
      <c r="E1524" s="3">
        <v>2</v>
      </c>
      <c r="F1524" s="2">
        <v>3</v>
      </c>
      <c r="G1524" s="4">
        <v>2</v>
      </c>
      <c r="H1524" s="13"/>
      <c r="I1524" s="15"/>
      <c r="J1524" s="19">
        <v>2</v>
      </c>
      <c r="K1524" s="2" t="s">
        <v>3059</v>
      </c>
      <c r="L1524" s="11" t="str">
        <f t="shared" si="24"/>
        <v>Ver Imagen</v>
      </c>
      <c r="M1524" t="s">
        <v>15</v>
      </c>
    </row>
    <row r="1525" spans="1:13" x14ac:dyDescent="0.25">
      <c r="A1525">
        <v>1524</v>
      </c>
      <c r="B1525" t="s">
        <v>3060</v>
      </c>
      <c r="C1525" s="1">
        <v>37.261312704700003</v>
      </c>
      <c r="D1525" s="1">
        <v>-7.01086094361</v>
      </c>
      <c r="E1525" s="3">
        <v>2</v>
      </c>
      <c r="F1525" s="2">
        <v>3</v>
      </c>
      <c r="G1525" s="4">
        <v>2</v>
      </c>
      <c r="H1525" s="13"/>
      <c r="I1525" s="15"/>
      <c r="J1525" s="19">
        <v>2</v>
      </c>
      <c r="K1525" s="2" t="s">
        <v>3061</v>
      </c>
      <c r="L1525" s="11" t="str">
        <f t="shared" si="24"/>
        <v>Ver Imagen</v>
      </c>
      <c r="M1525" t="s">
        <v>15</v>
      </c>
    </row>
    <row r="1526" spans="1:13" x14ac:dyDescent="0.25">
      <c r="A1526">
        <v>1525</v>
      </c>
      <c r="B1526" t="s">
        <v>3062</v>
      </c>
      <c r="C1526" s="1">
        <v>37.2608049822</v>
      </c>
      <c r="D1526" s="1">
        <v>-7.0111965198800004</v>
      </c>
      <c r="E1526" s="3">
        <v>2</v>
      </c>
      <c r="F1526" s="2">
        <v>1</v>
      </c>
      <c r="G1526" s="4">
        <v>2</v>
      </c>
      <c r="H1526" s="13"/>
      <c r="I1526" s="15"/>
      <c r="J1526" s="19">
        <v>2</v>
      </c>
      <c r="K1526" s="2" t="s">
        <v>3063</v>
      </c>
      <c r="L1526" s="11" t="str">
        <f t="shared" si="24"/>
        <v>Ver Imagen</v>
      </c>
      <c r="M1526" t="s">
        <v>15</v>
      </c>
    </row>
    <row r="1527" spans="1:13" x14ac:dyDescent="0.25">
      <c r="A1527">
        <v>1526</v>
      </c>
      <c r="B1527" t="s">
        <v>3064</v>
      </c>
      <c r="C1527" s="1">
        <v>37.260426988100001</v>
      </c>
      <c r="D1527" s="1">
        <v>-7.0114368331200003</v>
      </c>
      <c r="E1527" s="3">
        <v>2</v>
      </c>
      <c r="F1527" s="2">
        <v>3</v>
      </c>
      <c r="G1527" s="4">
        <v>2</v>
      </c>
      <c r="H1527" s="13"/>
      <c r="I1527" s="15"/>
      <c r="J1527" s="19">
        <v>2</v>
      </c>
      <c r="K1527" s="2" t="s">
        <v>3065</v>
      </c>
      <c r="L1527" s="11" t="str">
        <f t="shared" si="24"/>
        <v>Ver Imagen</v>
      </c>
      <c r="M1527" t="s">
        <v>15</v>
      </c>
    </row>
    <row r="1528" spans="1:13" x14ac:dyDescent="0.25">
      <c r="A1528">
        <v>1527</v>
      </c>
      <c r="B1528" t="s">
        <v>3066</v>
      </c>
      <c r="C1528" s="1">
        <v>37.2002379973</v>
      </c>
      <c r="D1528" s="1">
        <v>-6.9868141898199996</v>
      </c>
      <c r="E1528" s="3">
        <v>2</v>
      </c>
      <c r="F1528" s="2">
        <v>3</v>
      </c>
      <c r="G1528" s="4">
        <v>2</v>
      </c>
      <c r="H1528" s="13"/>
      <c r="I1528" s="15"/>
      <c r="J1528" s="19">
        <v>2</v>
      </c>
      <c r="K1528" s="2" t="s">
        <v>3067</v>
      </c>
      <c r="L1528" s="11" t="str">
        <f t="shared" si="24"/>
        <v>Ver Imagen</v>
      </c>
      <c r="M1528" t="s">
        <v>15</v>
      </c>
    </row>
    <row r="1529" spans="1:13" x14ac:dyDescent="0.25">
      <c r="A1529">
        <v>1528</v>
      </c>
      <c r="B1529" t="s">
        <v>3068</v>
      </c>
      <c r="C1529" s="1">
        <v>37.258779357599998</v>
      </c>
      <c r="D1529" s="1">
        <v>-7.0124854473599996</v>
      </c>
      <c r="E1529" s="3">
        <v>2</v>
      </c>
      <c r="F1529" s="2">
        <v>3</v>
      </c>
      <c r="G1529" s="4">
        <v>2</v>
      </c>
      <c r="H1529" s="13"/>
      <c r="I1529" s="15"/>
      <c r="J1529" s="19">
        <v>2</v>
      </c>
      <c r="K1529" s="2" t="s">
        <v>3069</v>
      </c>
      <c r="L1529" s="11" t="str">
        <f t="shared" si="24"/>
        <v>Ver Imagen</v>
      </c>
      <c r="M1529" t="s">
        <v>15</v>
      </c>
    </row>
    <row r="1530" spans="1:13" x14ac:dyDescent="0.25">
      <c r="A1530">
        <v>1529</v>
      </c>
      <c r="B1530" t="s">
        <v>3070</v>
      </c>
      <c r="C1530" s="1">
        <v>37.255884079700003</v>
      </c>
      <c r="D1530" s="1">
        <v>-7.0143239745899999</v>
      </c>
      <c r="E1530" s="3">
        <v>2</v>
      </c>
      <c r="F1530" s="2">
        <v>2</v>
      </c>
      <c r="G1530" s="4">
        <v>3</v>
      </c>
      <c r="H1530" s="13"/>
      <c r="I1530" s="15"/>
      <c r="J1530" s="19">
        <v>2</v>
      </c>
      <c r="K1530" s="2" t="s">
        <v>3071</v>
      </c>
      <c r="L1530" s="11" t="str">
        <f t="shared" si="24"/>
        <v>Ver Imagen</v>
      </c>
      <c r="M1530" t="s">
        <v>15</v>
      </c>
    </row>
    <row r="1531" spans="1:13" x14ac:dyDescent="0.25">
      <c r="A1531">
        <v>1530</v>
      </c>
      <c r="B1531" t="s">
        <v>3072</v>
      </c>
      <c r="C1531" s="1">
        <v>37.204366826899999</v>
      </c>
      <c r="D1531" s="1">
        <v>-7.0123707742799999</v>
      </c>
      <c r="E1531" s="3">
        <v>3</v>
      </c>
      <c r="F1531" s="2">
        <v>2</v>
      </c>
      <c r="G1531" s="4">
        <v>2</v>
      </c>
      <c r="H1531" s="13"/>
      <c r="I1531" s="15"/>
      <c r="J1531" s="19">
        <v>2</v>
      </c>
      <c r="K1531" s="2" t="s">
        <v>3073</v>
      </c>
      <c r="L1531" s="11" t="str">
        <f t="shared" si="24"/>
        <v>Ver Imagen</v>
      </c>
      <c r="M1531" t="s">
        <v>15</v>
      </c>
    </row>
    <row r="1532" spans="1:13" x14ac:dyDescent="0.25">
      <c r="A1532">
        <v>1531</v>
      </c>
      <c r="B1532" t="s">
        <v>3074</v>
      </c>
      <c r="C1532" s="1">
        <v>37.248902350199998</v>
      </c>
      <c r="D1532" s="1">
        <v>-7.0183163338299996</v>
      </c>
      <c r="E1532" s="3">
        <v>2</v>
      </c>
      <c r="F1532" s="2">
        <v>3</v>
      </c>
      <c r="G1532" s="4">
        <v>2</v>
      </c>
      <c r="H1532" s="13"/>
      <c r="I1532" s="15"/>
      <c r="J1532" s="19">
        <v>2</v>
      </c>
      <c r="K1532" s="2" t="s">
        <v>3075</v>
      </c>
      <c r="L1532" s="11" t="str">
        <f t="shared" si="24"/>
        <v>Ver Imagen</v>
      </c>
      <c r="M1532" t="s">
        <v>15</v>
      </c>
    </row>
    <row r="1533" spans="1:13" x14ac:dyDescent="0.25">
      <c r="A1533">
        <v>1532</v>
      </c>
      <c r="B1533" t="s">
        <v>3076</v>
      </c>
      <c r="C1533" s="1">
        <v>37.2460862342</v>
      </c>
      <c r="D1533" s="1">
        <v>-7.0184486582499996</v>
      </c>
      <c r="E1533" s="3">
        <v>2</v>
      </c>
      <c r="F1533" s="2">
        <v>3</v>
      </c>
      <c r="G1533" s="4">
        <v>2</v>
      </c>
      <c r="H1533" s="13"/>
      <c r="I1533" s="15"/>
      <c r="J1533" s="19">
        <v>2</v>
      </c>
      <c r="K1533" s="2" t="s">
        <v>3077</v>
      </c>
      <c r="L1533" s="11" t="str">
        <f t="shared" si="24"/>
        <v>Ver Imagen</v>
      </c>
      <c r="M1533" t="s">
        <v>15</v>
      </c>
    </row>
    <row r="1534" spans="1:13" x14ac:dyDescent="0.25">
      <c r="A1534">
        <v>1533</v>
      </c>
      <c r="B1534" t="s">
        <v>3078</v>
      </c>
      <c r="C1534" s="1">
        <v>37.227892165599997</v>
      </c>
      <c r="D1534" s="1">
        <v>-7.0220638217999998</v>
      </c>
      <c r="E1534" s="3">
        <v>2</v>
      </c>
      <c r="F1534" s="2">
        <v>1</v>
      </c>
      <c r="G1534" s="4">
        <v>2</v>
      </c>
      <c r="H1534" s="13"/>
      <c r="I1534" s="15"/>
      <c r="J1534" s="19">
        <v>2</v>
      </c>
      <c r="K1534" s="2" t="s">
        <v>3079</v>
      </c>
      <c r="L1534" s="11" t="str">
        <f t="shared" si="24"/>
        <v>Ver Imagen</v>
      </c>
      <c r="M1534" t="s">
        <v>15</v>
      </c>
    </row>
    <row r="1535" spans="1:13" x14ac:dyDescent="0.25">
      <c r="A1535">
        <v>1534</v>
      </c>
      <c r="B1535" t="s">
        <v>3080</v>
      </c>
      <c r="C1535" s="1">
        <v>37.226129264599997</v>
      </c>
      <c r="D1535" s="1">
        <v>-7.0231504078600002</v>
      </c>
      <c r="E1535" s="3">
        <v>2</v>
      </c>
      <c r="F1535" s="2">
        <v>1</v>
      </c>
      <c r="G1535" s="4">
        <v>2</v>
      </c>
      <c r="H1535" s="13"/>
      <c r="I1535" s="15"/>
      <c r="J1535" s="19">
        <v>2</v>
      </c>
      <c r="K1535" s="2" t="s">
        <v>3081</v>
      </c>
      <c r="L1535" s="11" t="str">
        <f t="shared" si="24"/>
        <v>Ver Imagen</v>
      </c>
      <c r="M1535" t="s">
        <v>15</v>
      </c>
    </row>
    <row r="1536" spans="1:13" x14ac:dyDescent="0.25">
      <c r="A1536">
        <v>1535</v>
      </c>
      <c r="B1536" t="s">
        <v>3082</v>
      </c>
      <c r="C1536" s="1">
        <v>37.225880216</v>
      </c>
      <c r="D1536" s="1">
        <v>-7.0232344235599999</v>
      </c>
      <c r="E1536" s="3">
        <v>2</v>
      </c>
      <c r="F1536" s="2">
        <v>1</v>
      </c>
      <c r="G1536" s="4">
        <v>2</v>
      </c>
      <c r="H1536" s="13"/>
      <c r="I1536" s="15"/>
      <c r="J1536" s="19">
        <v>2</v>
      </c>
      <c r="K1536" s="2" t="s">
        <v>3083</v>
      </c>
      <c r="L1536" s="11" t="str">
        <f t="shared" si="24"/>
        <v>Ver Imagen</v>
      </c>
      <c r="M1536" t="s">
        <v>15</v>
      </c>
    </row>
    <row r="1537" spans="1:13" x14ac:dyDescent="0.25">
      <c r="A1537">
        <v>1536</v>
      </c>
      <c r="B1537" t="s">
        <v>3084</v>
      </c>
      <c r="C1537" s="1">
        <v>37.214583350700003</v>
      </c>
      <c r="D1537" s="1">
        <v>-7.0234866490399996</v>
      </c>
      <c r="E1537" s="3">
        <v>2</v>
      </c>
      <c r="F1537" s="2">
        <v>1</v>
      </c>
      <c r="G1537" s="4">
        <v>2</v>
      </c>
      <c r="H1537" s="13"/>
      <c r="I1537" s="15"/>
      <c r="J1537" s="19">
        <v>2</v>
      </c>
      <c r="K1537" s="2" t="s">
        <v>3085</v>
      </c>
      <c r="L1537" s="11" t="str">
        <f t="shared" si="24"/>
        <v>Ver Imagen</v>
      </c>
      <c r="M1537" t="s">
        <v>15</v>
      </c>
    </row>
    <row r="1538" spans="1:13" x14ac:dyDescent="0.25">
      <c r="A1538">
        <v>1537</v>
      </c>
      <c r="B1538" t="s">
        <v>3086</v>
      </c>
      <c r="C1538" s="1">
        <v>37.214955935799999</v>
      </c>
      <c r="D1538" s="1">
        <v>-7.0234187555499998</v>
      </c>
      <c r="E1538" s="3">
        <v>2</v>
      </c>
      <c r="F1538" s="2">
        <v>3</v>
      </c>
      <c r="G1538" s="4">
        <v>2</v>
      </c>
      <c r="H1538" s="13"/>
      <c r="I1538" s="15"/>
      <c r="J1538" s="19">
        <v>2</v>
      </c>
      <c r="K1538" s="2" t="s">
        <v>3087</v>
      </c>
      <c r="L1538" s="11" t="str">
        <f t="shared" si="24"/>
        <v>Ver Imagen</v>
      </c>
      <c r="M1538" t="s">
        <v>15</v>
      </c>
    </row>
    <row r="1539" spans="1:13" x14ac:dyDescent="0.25">
      <c r="A1539">
        <v>1538</v>
      </c>
      <c r="B1539" t="s">
        <v>3088</v>
      </c>
      <c r="C1539" s="1">
        <v>37.2246506838</v>
      </c>
      <c r="D1539" s="1">
        <v>-7.0233908913700001</v>
      </c>
      <c r="E1539" s="3">
        <v>2</v>
      </c>
      <c r="F1539" s="2">
        <v>3</v>
      </c>
      <c r="G1539" s="4">
        <v>2</v>
      </c>
      <c r="H1539" s="13"/>
      <c r="I1539" s="15"/>
      <c r="J1539" s="19">
        <v>2</v>
      </c>
      <c r="K1539" s="2" t="s">
        <v>3089</v>
      </c>
      <c r="L1539" s="11" t="str">
        <f t="shared" ref="L1539:L1602" si="25">HYPERLINK("2\1\" &amp; K1539, "Ver Imagen")</f>
        <v>Ver Imagen</v>
      </c>
      <c r="M1539" t="s">
        <v>15</v>
      </c>
    </row>
    <row r="1540" spans="1:13" x14ac:dyDescent="0.25">
      <c r="A1540">
        <v>1539</v>
      </c>
      <c r="B1540" t="s">
        <v>3090</v>
      </c>
      <c r="C1540" s="1">
        <v>37.223051280900002</v>
      </c>
      <c r="D1540" s="1">
        <v>-7.0232535840399999</v>
      </c>
      <c r="E1540" s="3">
        <v>2</v>
      </c>
      <c r="F1540" s="2">
        <v>1</v>
      </c>
      <c r="G1540" s="4">
        <v>2</v>
      </c>
      <c r="H1540" s="13"/>
      <c r="I1540" s="15"/>
      <c r="J1540" s="19">
        <v>2</v>
      </c>
      <c r="K1540" s="2" t="s">
        <v>3091</v>
      </c>
      <c r="L1540" s="11" t="str">
        <f t="shared" si="25"/>
        <v>Ver Imagen</v>
      </c>
      <c r="M1540" t="s">
        <v>15</v>
      </c>
    </row>
    <row r="1541" spans="1:13" x14ac:dyDescent="0.25">
      <c r="A1541">
        <v>1540</v>
      </c>
      <c r="B1541" t="s">
        <v>3092</v>
      </c>
      <c r="C1541" s="1">
        <v>37.2181927114</v>
      </c>
      <c r="D1541" s="1">
        <v>-7.0228521406500004</v>
      </c>
      <c r="E1541" s="3">
        <v>2</v>
      </c>
      <c r="F1541" s="2">
        <v>1</v>
      </c>
      <c r="G1541" s="4">
        <v>2</v>
      </c>
      <c r="H1541" s="13"/>
      <c r="I1541" s="15"/>
      <c r="J1541" s="19">
        <v>2</v>
      </c>
      <c r="K1541" s="2" t="s">
        <v>3093</v>
      </c>
      <c r="L1541" s="11" t="str">
        <f t="shared" si="25"/>
        <v>Ver Imagen</v>
      </c>
      <c r="M1541" t="s">
        <v>15</v>
      </c>
    </row>
    <row r="1542" spans="1:13" x14ac:dyDescent="0.25">
      <c r="A1542">
        <v>1541</v>
      </c>
      <c r="B1542" t="s">
        <v>3094</v>
      </c>
      <c r="C1542" s="1">
        <v>37.218939175899997</v>
      </c>
      <c r="D1542" s="1">
        <v>-7.0227791108300002</v>
      </c>
      <c r="E1542" s="3">
        <v>2</v>
      </c>
      <c r="F1542" s="2">
        <v>3</v>
      </c>
      <c r="G1542" s="4">
        <v>2</v>
      </c>
      <c r="H1542" s="13"/>
      <c r="I1542" s="15"/>
      <c r="J1542" s="19">
        <v>2</v>
      </c>
      <c r="K1542" s="2" t="s">
        <v>3095</v>
      </c>
      <c r="L1542" s="11" t="str">
        <f t="shared" si="25"/>
        <v>Ver Imagen</v>
      </c>
      <c r="M1542" t="s">
        <v>15</v>
      </c>
    </row>
    <row r="1543" spans="1:13" x14ac:dyDescent="0.25">
      <c r="A1543">
        <v>1542</v>
      </c>
      <c r="B1543" t="s">
        <v>3096</v>
      </c>
      <c r="C1543" s="1">
        <v>37.219615563700003</v>
      </c>
      <c r="D1543" s="1">
        <v>-7.0227688114999998</v>
      </c>
      <c r="E1543" s="3">
        <v>2</v>
      </c>
      <c r="F1543" s="2">
        <v>1</v>
      </c>
      <c r="G1543" s="4">
        <v>2</v>
      </c>
      <c r="H1543" s="13"/>
      <c r="I1543" s="15"/>
      <c r="J1543" s="19">
        <v>2</v>
      </c>
      <c r="K1543" s="2" t="s">
        <v>3097</v>
      </c>
      <c r="L1543" s="11" t="str">
        <f t="shared" si="25"/>
        <v>Ver Imagen</v>
      </c>
      <c r="M1543" t="s">
        <v>15</v>
      </c>
    </row>
    <row r="1544" spans="1:13" x14ac:dyDescent="0.25">
      <c r="A1544">
        <v>1543</v>
      </c>
      <c r="B1544" t="s">
        <v>3098</v>
      </c>
      <c r="C1544" s="1">
        <v>37.209981799600001</v>
      </c>
      <c r="D1544" s="1">
        <v>-7.0237117664099999</v>
      </c>
      <c r="E1544" s="3">
        <v>2</v>
      </c>
      <c r="F1544" s="2">
        <v>1</v>
      </c>
      <c r="G1544" s="4">
        <v>2</v>
      </c>
      <c r="H1544" s="13"/>
      <c r="I1544" s="15"/>
      <c r="J1544" s="19">
        <v>2</v>
      </c>
      <c r="K1544" s="2" t="s">
        <v>3099</v>
      </c>
      <c r="L1544" s="11" t="str">
        <f t="shared" si="25"/>
        <v>Ver Imagen</v>
      </c>
      <c r="M1544" t="s">
        <v>15</v>
      </c>
    </row>
    <row r="1545" spans="1:13" x14ac:dyDescent="0.25">
      <c r="A1545">
        <v>1544</v>
      </c>
      <c r="B1545" t="s">
        <v>3100</v>
      </c>
      <c r="C1545" s="1">
        <v>37.208512837000001</v>
      </c>
      <c r="D1545" s="1">
        <v>-7.0229202472500001</v>
      </c>
      <c r="E1545" s="3">
        <v>2</v>
      </c>
      <c r="F1545" s="2">
        <v>1</v>
      </c>
      <c r="G1545" s="4">
        <v>2</v>
      </c>
      <c r="H1545" s="13"/>
      <c r="I1545" s="15"/>
      <c r="J1545" s="19">
        <v>2</v>
      </c>
      <c r="K1545" s="2" t="s">
        <v>3101</v>
      </c>
      <c r="L1545" s="11" t="str">
        <f t="shared" si="25"/>
        <v>Ver Imagen</v>
      </c>
      <c r="M1545" t="s">
        <v>15</v>
      </c>
    </row>
    <row r="1546" spans="1:13" x14ac:dyDescent="0.25">
      <c r="A1546">
        <v>1545</v>
      </c>
      <c r="B1546" t="s">
        <v>3102</v>
      </c>
      <c r="C1546" s="1">
        <v>37.208158373499998</v>
      </c>
      <c r="D1546" s="1">
        <v>-7.0226413964500001</v>
      </c>
      <c r="E1546" s="3">
        <v>2</v>
      </c>
      <c r="F1546" s="2">
        <v>3</v>
      </c>
      <c r="G1546" s="4">
        <v>2</v>
      </c>
      <c r="H1546" s="13"/>
      <c r="I1546" s="15"/>
      <c r="J1546" s="19">
        <v>2</v>
      </c>
      <c r="K1546" s="2" t="s">
        <v>3103</v>
      </c>
      <c r="L1546" s="11" t="str">
        <f t="shared" si="25"/>
        <v>Ver Imagen</v>
      </c>
      <c r="M1546" t="s">
        <v>15</v>
      </c>
    </row>
    <row r="1547" spans="1:13" x14ac:dyDescent="0.25">
      <c r="A1547">
        <v>1546</v>
      </c>
      <c r="B1547" t="s">
        <v>3104</v>
      </c>
      <c r="C1547" s="1">
        <v>37.206567417099997</v>
      </c>
      <c r="D1547" s="1">
        <v>-7.0207749802799997</v>
      </c>
      <c r="E1547" s="3">
        <v>2</v>
      </c>
      <c r="F1547" s="2">
        <v>3</v>
      </c>
      <c r="G1547" s="4">
        <v>2</v>
      </c>
      <c r="H1547" s="13"/>
      <c r="I1547" s="15"/>
      <c r="J1547" s="19">
        <v>2</v>
      </c>
      <c r="K1547" s="2" t="s">
        <v>3105</v>
      </c>
      <c r="L1547" s="11" t="str">
        <f t="shared" si="25"/>
        <v>Ver Imagen</v>
      </c>
      <c r="M1547" t="s">
        <v>15</v>
      </c>
    </row>
    <row r="1548" spans="1:13" x14ac:dyDescent="0.25">
      <c r="A1548">
        <v>1547</v>
      </c>
      <c r="B1548" t="s">
        <v>3106</v>
      </c>
      <c r="C1548" s="1">
        <v>37.205977201700001</v>
      </c>
      <c r="D1548" s="1">
        <v>-7.0196257044500001</v>
      </c>
      <c r="E1548" s="3">
        <v>2</v>
      </c>
      <c r="F1548" s="2">
        <v>3</v>
      </c>
      <c r="G1548" s="4">
        <v>2</v>
      </c>
      <c r="H1548" s="13"/>
      <c r="I1548" s="15"/>
      <c r="J1548" s="19">
        <v>2</v>
      </c>
      <c r="K1548" s="2" t="s">
        <v>3107</v>
      </c>
      <c r="L1548" s="11" t="str">
        <f t="shared" si="25"/>
        <v>Ver Imagen</v>
      </c>
      <c r="M1548" t="s">
        <v>15</v>
      </c>
    </row>
    <row r="1549" spans="1:13" x14ac:dyDescent="0.25">
      <c r="A1549">
        <v>1548</v>
      </c>
      <c r="B1549" t="s">
        <v>3108</v>
      </c>
      <c r="C1549" s="1">
        <v>37.203587115600001</v>
      </c>
      <c r="D1549" s="1">
        <v>-7.00856779158</v>
      </c>
      <c r="E1549" s="3">
        <v>2</v>
      </c>
      <c r="F1549" s="2">
        <v>3</v>
      </c>
      <c r="G1549" s="4">
        <v>2</v>
      </c>
      <c r="H1549" s="13"/>
      <c r="I1549" s="15"/>
      <c r="J1549" s="19">
        <v>2</v>
      </c>
      <c r="K1549" s="2" t="s">
        <v>3109</v>
      </c>
      <c r="L1549" s="11" t="str">
        <f t="shared" si="25"/>
        <v>Ver Imagen</v>
      </c>
      <c r="M1549" t="s">
        <v>15</v>
      </c>
    </row>
    <row r="1550" spans="1:13" x14ac:dyDescent="0.25">
      <c r="A1550">
        <v>1549</v>
      </c>
      <c r="B1550" t="s">
        <v>3110</v>
      </c>
      <c r="C1550" s="1">
        <v>37.201855701900001</v>
      </c>
      <c r="D1550" s="1">
        <v>-6.9955762942300002</v>
      </c>
      <c r="E1550" s="3">
        <v>2</v>
      </c>
      <c r="F1550" s="2">
        <v>3</v>
      </c>
      <c r="G1550" s="4">
        <v>2</v>
      </c>
      <c r="H1550" s="13"/>
      <c r="I1550" s="15"/>
      <c r="J1550" s="19">
        <v>2</v>
      </c>
      <c r="K1550" s="2" t="s">
        <v>3111</v>
      </c>
      <c r="L1550" s="11" t="str">
        <f t="shared" si="25"/>
        <v>Ver Imagen</v>
      </c>
      <c r="M1550" t="s">
        <v>15</v>
      </c>
    </row>
    <row r="1551" spans="1:13" x14ac:dyDescent="0.25">
      <c r="A1551">
        <v>1550</v>
      </c>
      <c r="B1551" t="s">
        <v>3112</v>
      </c>
      <c r="C1551" s="1">
        <v>37.201430647499997</v>
      </c>
      <c r="D1551" s="1">
        <v>-6.9931255019599998</v>
      </c>
      <c r="E1551" s="3">
        <v>2</v>
      </c>
      <c r="F1551" s="2">
        <v>1</v>
      </c>
      <c r="G1551" s="4">
        <v>2</v>
      </c>
      <c r="H1551" s="13"/>
      <c r="I1551" s="15"/>
      <c r="J1551" s="19">
        <v>2</v>
      </c>
      <c r="K1551" s="2" t="s">
        <v>3113</v>
      </c>
      <c r="L1551" s="11" t="str">
        <f t="shared" si="25"/>
        <v>Ver Imagen</v>
      </c>
      <c r="M1551" t="s">
        <v>15</v>
      </c>
    </row>
    <row r="1552" spans="1:13" x14ac:dyDescent="0.25">
      <c r="A1552">
        <v>1551</v>
      </c>
      <c r="B1552" t="s">
        <v>3114</v>
      </c>
      <c r="C1552" s="1">
        <v>37.2013385399</v>
      </c>
      <c r="D1552" s="1">
        <v>-6.9926403905300001</v>
      </c>
      <c r="E1552" s="3">
        <v>2</v>
      </c>
      <c r="F1552" s="2">
        <v>3</v>
      </c>
      <c r="G1552" s="4">
        <v>2</v>
      </c>
      <c r="H1552" s="13"/>
      <c r="I1552" s="15"/>
      <c r="J1552" s="19">
        <v>2</v>
      </c>
      <c r="K1552" s="2" t="s">
        <v>3115</v>
      </c>
      <c r="L1552" s="11" t="str">
        <f t="shared" si="25"/>
        <v>Ver Imagen</v>
      </c>
      <c r="M1552" t="s">
        <v>15</v>
      </c>
    </row>
    <row r="1553" spans="1:13" x14ac:dyDescent="0.25">
      <c r="A1553">
        <v>1552</v>
      </c>
      <c r="B1553" t="s">
        <v>3116</v>
      </c>
      <c r="C1553" s="1">
        <v>37.201238321399998</v>
      </c>
      <c r="D1553" s="1">
        <v>-6.9921214813599999</v>
      </c>
      <c r="E1553" s="3">
        <v>2</v>
      </c>
      <c r="F1553" s="2">
        <v>3</v>
      </c>
      <c r="G1553" s="4">
        <v>2</v>
      </c>
      <c r="H1553" s="13"/>
      <c r="I1553" s="15"/>
      <c r="J1553" s="19">
        <v>2</v>
      </c>
      <c r="K1553" s="2" t="s">
        <v>3117</v>
      </c>
      <c r="L1553" s="11" t="str">
        <f t="shared" si="25"/>
        <v>Ver Imagen</v>
      </c>
      <c r="M1553" t="s">
        <v>15</v>
      </c>
    </row>
    <row r="1554" spans="1:13" x14ac:dyDescent="0.25">
      <c r="A1554">
        <v>1553</v>
      </c>
      <c r="B1554" t="s">
        <v>3118</v>
      </c>
      <c r="C1554" s="1">
        <v>37.200943874899998</v>
      </c>
      <c r="D1554" s="1">
        <v>-6.9906279853199997</v>
      </c>
      <c r="E1554" s="3">
        <v>2</v>
      </c>
      <c r="F1554" s="2">
        <v>3</v>
      </c>
      <c r="G1554" s="4">
        <v>2</v>
      </c>
      <c r="H1554" s="13"/>
      <c r="I1554" s="15"/>
      <c r="J1554" s="19">
        <v>2</v>
      </c>
      <c r="K1554" s="2" t="s">
        <v>3119</v>
      </c>
      <c r="L1554" s="11" t="str">
        <f t="shared" si="25"/>
        <v>Ver Imagen</v>
      </c>
      <c r="M1554" t="s">
        <v>15</v>
      </c>
    </row>
    <row r="1555" spans="1:13" x14ac:dyDescent="0.25">
      <c r="A1555">
        <v>1554</v>
      </c>
      <c r="B1555" t="s">
        <v>3120</v>
      </c>
      <c r="C1555" s="1">
        <v>37.200841842000003</v>
      </c>
      <c r="D1555" s="1">
        <v>-6.9901476800299998</v>
      </c>
      <c r="E1555" s="3">
        <v>2</v>
      </c>
      <c r="F1555" s="2">
        <v>3</v>
      </c>
      <c r="G1555" s="4">
        <v>2</v>
      </c>
      <c r="H1555" s="13"/>
      <c r="I1555" s="15"/>
      <c r="J1555" s="19">
        <v>2</v>
      </c>
      <c r="K1555" s="2" t="s">
        <v>3121</v>
      </c>
      <c r="L1555" s="11" t="str">
        <f t="shared" si="25"/>
        <v>Ver Imagen</v>
      </c>
      <c r="M1555" t="s">
        <v>15</v>
      </c>
    </row>
    <row r="1556" spans="1:13" x14ac:dyDescent="0.25">
      <c r="A1556">
        <v>1555</v>
      </c>
      <c r="B1556" t="s">
        <v>3122</v>
      </c>
      <c r="C1556" s="1">
        <v>37.200795221</v>
      </c>
      <c r="D1556" s="1">
        <v>-6.989933336</v>
      </c>
      <c r="E1556" s="3">
        <v>2</v>
      </c>
      <c r="F1556" s="2">
        <v>3</v>
      </c>
      <c r="G1556" s="4">
        <v>2</v>
      </c>
      <c r="H1556" s="13"/>
      <c r="I1556" s="15"/>
      <c r="J1556" s="19">
        <v>2</v>
      </c>
      <c r="K1556" s="2" t="s">
        <v>3123</v>
      </c>
      <c r="L1556" s="11" t="str">
        <f t="shared" si="25"/>
        <v>Ver Imagen</v>
      </c>
      <c r="M1556" t="s">
        <v>15</v>
      </c>
    </row>
    <row r="1557" spans="1:13" x14ac:dyDescent="0.25">
      <c r="A1557">
        <v>1556</v>
      </c>
      <c r="B1557" t="s">
        <v>3124</v>
      </c>
      <c r="C1557" s="1">
        <v>37.200631573400003</v>
      </c>
      <c r="D1557" s="1">
        <v>-6.98918789889</v>
      </c>
      <c r="E1557" s="3">
        <v>2</v>
      </c>
      <c r="F1557" s="2">
        <v>1</v>
      </c>
      <c r="G1557" s="4">
        <v>2</v>
      </c>
      <c r="H1557" s="13"/>
      <c r="I1557" s="15"/>
      <c r="J1557" s="19">
        <v>2</v>
      </c>
      <c r="K1557" s="2" t="s">
        <v>3125</v>
      </c>
      <c r="L1557" s="11" t="str">
        <f t="shared" si="25"/>
        <v>Ver Imagen</v>
      </c>
      <c r="M1557" t="s">
        <v>15</v>
      </c>
    </row>
    <row r="1558" spans="1:13" x14ac:dyDescent="0.25">
      <c r="A1558">
        <v>1557</v>
      </c>
      <c r="B1558" t="s">
        <v>3126</v>
      </c>
      <c r="C1558" s="1">
        <v>37.200305783399997</v>
      </c>
      <c r="D1558" s="1">
        <v>-6.9877451606000003</v>
      </c>
      <c r="E1558" s="3">
        <v>2</v>
      </c>
      <c r="F1558" s="2">
        <v>3</v>
      </c>
      <c r="G1558" s="4">
        <v>2</v>
      </c>
      <c r="H1558" s="13"/>
      <c r="I1558" s="15"/>
      <c r="J1558" s="19">
        <v>2</v>
      </c>
      <c r="K1558" s="2" t="s">
        <v>3127</v>
      </c>
      <c r="L1558" s="11" t="str">
        <f t="shared" si="25"/>
        <v>Ver Imagen</v>
      </c>
      <c r="M1558" t="s">
        <v>15</v>
      </c>
    </row>
    <row r="1559" spans="1:13" x14ac:dyDescent="0.25">
      <c r="A1559">
        <v>1558</v>
      </c>
      <c r="B1559" t="s">
        <v>3128</v>
      </c>
      <c r="C1559" s="1">
        <v>37.200254948500003</v>
      </c>
      <c r="D1559" s="1">
        <v>-6.9875264395199999</v>
      </c>
      <c r="E1559" s="3">
        <v>2</v>
      </c>
      <c r="F1559" s="2">
        <v>3</v>
      </c>
      <c r="G1559" s="4">
        <v>2</v>
      </c>
      <c r="H1559" s="13"/>
      <c r="I1559" s="15"/>
      <c r="J1559" s="19">
        <v>2</v>
      </c>
      <c r="K1559" s="2" t="s">
        <v>3129</v>
      </c>
      <c r="L1559" s="11" t="str">
        <f t="shared" si="25"/>
        <v>Ver Imagen</v>
      </c>
      <c r="M1559" t="s">
        <v>15</v>
      </c>
    </row>
    <row r="1560" spans="1:13" x14ac:dyDescent="0.25">
      <c r="A1560">
        <v>1559</v>
      </c>
      <c r="B1560" t="s">
        <v>3130</v>
      </c>
      <c r="C1560" s="1">
        <v>37.2002017975</v>
      </c>
      <c r="D1560" s="1">
        <v>-6.9872979418399996</v>
      </c>
      <c r="E1560" s="3">
        <v>2</v>
      </c>
      <c r="F1560" s="2">
        <v>3</v>
      </c>
      <c r="G1560" s="4">
        <v>2</v>
      </c>
      <c r="H1560" s="13"/>
      <c r="I1560" s="15"/>
      <c r="J1560" s="19">
        <v>2</v>
      </c>
      <c r="K1560" s="2" t="s">
        <v>3131</v>
      </c>
      <c r="L1560" s="11" t="str">
        <f t="shared" si="25"/>
        <v>Ver Imagen</v>
      </c>
      <c r="M1560" t="s">
        <v>15</v>
      </c>
    </row>
    <row r="1561" spans="1:13" x14ac:dyDescent="0.25">
      <c r="A1561">
        <v>1560</v>
      </c>
      <c r="B1561" t="s">
        <v>3132</v>
      </c>
      <c r="C1561" s="1">
        <v>37.223018074700001</v>
      </c>
      <c r="D1561" s="1">
        <v>-7.0230630001199996</v>
      </c>
      <c r="E1561" s="3">
        <v>2</v>
      </c>
      <c r="F1561" s="2">
        <v>1</v>
      </c>
      <c r="G1561" s="4">
        <v>2</v>
      </c>
      <c r="H1561" s="13"/>
      <c r="I1561" s="15"/>
      <c r="J1561" s="19">
        <v>2</v>
      </c>
      <c r="K1561" s="2" t="s">
        <v>3133</v>
      </c>
      <c r="L1561" s="11" t="str">
        <f t="shared" si="25"/>
        <v>Ver Imagen</v>
      </c>
      <c r="M1561" t="s">
        <v>15</v>
      </c>
    </row>
    <row r="1562" spans="1:13" x14ac:dyDescent="0.25">
      <c r="A1562">
        <v>1561</v>
      </c>
      <c r="B1562" t="s">
        <v>3134</v>
      </c>
      <c r="C1562" s="1">
        <v>37.223830303100002</v>
      </c>
      <c r="D1562" s="1">
        <v>-7.0231421467699997</v>
      </c>
      <c r="E1562" s="3">
        <v>2</v>
      </c>
      <c r="F1562" s="2">
        <v>3</v>
      </c>
      <c r="G1562" s="4">
        <v>2</v>
      </c>
      <c r="H1562" s="13"/>
      <c r="I1562" s="15"/>
      <c r="J1562" s="19">
        <v>2</v>
      </c>
      <c r="K1562" s="2" t="s">
        <v>3135</v>
      </c>
      <c r="L1562" s="11" t="str">
        <f t="shared" si="25"/>
        <v>Ver Imagen</v>
      </c>
      <c r="M1562" t="s">
        <v>15</v>
      </c>
    </row>
    <row r="1563" spans="1:13" x14ac:dyDescent="0.25">
      <c r="A1563">
        <v>1562</v>
      </c>
      <c r="B1563" t="s">
        <v>3136</v>
      </c>
      <c r="C1563" s="1">
        <v>37.224411960399998</v>
      </c>
      <c r="D1563" s="1">
        <v>-7.0231953276499999</v>
      </c>
      <c r="E1563" s="3">
        <v>2</v>
      </c>
      <c r="F1563" s="2">
        <v>1</v>
      </c>
      <c r="G1563" s="4">
        <v>2</v>
      </c>
      <c r="H1563" s="13"/>
      <c r="I1563" s="15"/>
      <c r="J1563" s="19">
        <v>2</v>
      </c>
      <c r="K1563" s="2" t="s">
        <v>3137</v>
      </c>
      <c r="L1563" s="11" t="str">
        <f t="shared" si="25"/>
        <v>Ver Imagen</v>
      </c>
      <c r="M1563" t="s">
        <v>15</v>
      </c>
    </row>
    <row r="1564" spans="1:13" x14ac:dyDescent="0.25">
      <c r="A1564">
        <v>1563</v>
      </c>
      <c r="B1564" t="s">
        <v>3138</v>
      </c>
      <c r="C1564" s="1">
        <v>37.225442589099998</v>
      </c>
      <c r="D1564" s="1">
        <v>-7.0231564077800002</v>
      </c>
      <c r="E1564" s="3">
        <v>2</v>
      </c>
      <c r="F1564" s="2">
        <v>3</v>
      </c>
      <c r="G1564" s="4">
        <v>2</v>
      </c>
      <c r="H1564" s="13"/>
      <c r="I1564" s="15"/>
      <c r="J1564" s="19">
        <v>2</v>
      </c>
      <c r="K1564" s="2" t="s">
        <v>3139</v>
      </c>
      <c r="L1564" s="11" t="str">
        <f t="shared" si="25"/>
        <v>Ver Imagen</v>
      </c>
      <c r="M1564" t="s">
        <v>15</v>
      </c>
    </row>
    <row r="1565" spans="1:13" x14ac:dyDescent="0.25">
      <c r="A1565">
        <v>1564</v>
      </c>
      <c r="B1565" t="s">
        <v>3140</v>
      </c>
      <c r="C1565" s="1">
        <v>37.225838017599997</v>
      </c>
      <c r="D1565" s="1">
        <v>-7.0230678789400001</v>
      </c>
      <c r="E1565" s="3">
        <v>2</v>
      </c>
      <c r="F1565" s="2">
        <v>3</v>
      </c>
      <c r="G1565" s="4">
        <v>2</v>
      </c>
      <c r="H1565" s="13"/>
      <c r="I1565" s="15"/>
      <c r="J1565" s="19">
        <v>2</v>
      </c>
      <c r="K1565" s="2" t="s">
        <v>3141</v>
      </c>
      <c r="L1565" s="11" t="str">
        <f t="shared" si="25"/>
        <v>Ver Imagen</v>
      </c>
      <c r="M1565" t="s">
        <v>15</v>
      </c>
    </row>
    <row r="1566" spans="1:13" x14ac:dyDescent="0.25">
      <c r="A1566">
        <v>1565</v>
      </c>
      <c r="B1566" t="s">
        <v>3142</v>
      </c>
      <c r="C1566" s="1">
        <v>37.226412806399999</v>
      </c>
      <c r="D1566" s="1">
        <v>-7.0228517085300002</v>
      </c>
      <c r="E1566" s="3">
        <v>2</v>
      </c>
      <c r="F1566" s="2">
        <v>3</v>
      </c>
      <c r="G1566" s="4">
        <v>2</v>
      </c>
      <c r="H1566" s="13"/>
      <c r="I1566" s="15"/>
      <c r="J1566" s="19">
        <v>2</v>
      </c>
      <c r="K1566" s="2" t="s">
        <v>3143</v>
      </c>
      <c r="L1566" s="11" t="str">
        <f t="shared" si="25"/>
        <v>Ver Imagen</v>
      </c>
      <c r="M1566" t="s">
        <v>15</v>
      </c>
    </row>
    <row r="1567" spans="1:13" x14ac:dyDescent="0.25">
      <c r="A1567">
        <v>1566</v>
      </c>
      <c r="B1567" t="s">
        <v>3144</v>
      </c>
      <c r="C1567" s="1">
        <v>37.227122838100001</v>
      </c>
      <c r="D1567" s="1">
        <v>-7.0224272976500002</v>
      </c>
      <c r="E1567" s="3">
        <v>2</v>
      </c>
      <c r="F1567" s="2">
        <v>3</v>
      </c>
      <c r="G1567" s="4">
        <v>2</v>
      </c>
      <c r="H1567" s="13"/>
      <c r="I1567" s="15"/>
      <c r="J1567" s="19">
        <v>2</v>
      </c>
      <c r="K1567" s="2" t="s">
        <v>3145</v>
      </c>
      <c r="L1567" s="11" t="str">
        <f t="shared" si="25"/>
        <v>Ver Imagen</v>
      </c>
      <c r="M1567" t="s">
        <v>15</v>
      </c>
    </row>
    <row r="1568" spans="1:13" x14ac:dyDescent="0.25">
      <c r="A1568">
        <v>1567</v>
      </c>
      <c r="B1568" t="s">
        <v>3146</v>
      </c>
      <c r="C1568" s="1">
        <v>37.234080867400003</v>
      </c>
      <c r="D1568" s="1">
        <v>-7.0179957185599999</v>
      </c>
      <c r="E1568" s="3">
        <v>2</v>
      </c>
      <c r="F1568" s="2">
        <v>3</v>
      </c>
      <c r="G1568" s="4">
        <v>2</v>
      </c>
      <c r="H1568" s="13"/>
      <c r="I1568" s="15"/>
      <c r="J1568" s="19">
        <v>2</v>
      </c>
      <c r="K1568" s="2" t="s">
        <v>3147</v>
      </c>
      <c r="L1568" s="11" t="str">
        <f t="shared" si="25"/>
        <v>Ver Imagen</v>
      </c>
      <c r="M1568" t="s">
        <v>15</v>
      </c>
    </row>
    <row r="1569" spans="1:13" x14ac:dyDescent="0.25">
      <c r="A1569">
        <v>1568</v>
      </c>
      <c r="B1569" t="s">
        <v>3148</v>
      </c>
      <c r="C1569" s="1">
        <v>37.235692496799999</v>
      </c>
      <c r="D1569" s="1">
        <v>-7.0182866530099997</v>
      </c>
      <c r="E1569" s="3">
        <v>2</v>
      </c>
      <c r="F1569" s="2">
        <v>3</v>
      </c>
      <c r="G1569" s="4">
        <v>2</v>
      </c>
      <c r="H1569" s="13"/>
      <c r="I1569" s="15"/>
      <c r="J1569" s="19">
        <v>2</v>
      </c>
      <c r="K1569" s="2" t="s">
        <v>3149</v>
      </c>
      <c r="L1569" s="11" t="str">
        <f t="shared" si="25"/>
        <v>Ver Imagen</v>
      </c>
      <c r="M1569" t="s">
        <v>15</v>
      </c>
    </row>
    <row r="1570" spans="1:13" x14ac:dyDescent="0.25">
      <c r="A1570">
        <v>1569</v>
      </c>
      <c r="B1570" t="s">
        <v>3150</v>
      </c>
      <c r="C1570" s="1">
        <v>37.236345098299999</v>
      </c>
      <c r="D1570" s="1">
        <v>-7.0184476246300003</v>
      </c>
      <c r="E1570" s="3">
        <v>2</v>
      </c>
      <c r="F1570" s="2">
        <v>3</v>
      </c>
      <c r="G1570" s="4">
        <v>2</v>
      </c>
      <c r="H1570" s="13"/>
      <c r="I1570" s="15"/>
      <c r="J1570" s="19">
        <v>2</v>
      </c>
      <c r="K1570" s="2" t="s">
        <v>3151</v>
      </c>
      <c r="L1570" s="11" t="str">
        <f t="shared" si="25"/>
        <v>Ver Imagen</v>
      </c>
      <c r="M1570" t="s">
        <v>15</v>
      </c>
    </row>
    <row r="1571" spans="1:13" x14ac:dyDescent="0.25">
      <c r="A1571">
        <v>1570</v>
      </c>
      <c r="B1571" t="s">
        <v>3152</v>
      </c>
      <c r="C1571" s="1">
        <v>37.236907102099998</v>
      </c>
      <c r="D1571" s="1">
        <v>-7.0185305359700001</v>
      </c>
      <c r="E1571" s="3">
        <v>2</v>
      </c>
      <c r="F1571" s="2">
        <v>3</v>
      </c>
      <c r="G1571" s="4">
        <v>2</v>
      </c>
      <c r="H1571" s="13"/>
      <c r="I1571" s="15"/>
      <c r="J1571" s="19">
        <v>2</v>
      </c>
      <c r="K1571" s="2" t="s">
        <v>3153</v>
      </c>
      <c r="L1571" s="11" t="str">
        <f t="shared" si="25"/>
        <v>Ver Imagen</v>
      </c>
      <c r="M1571" t="s">
        <v>15</v>
      </c>
    </row>
    <row r="1572" spans="1:13" x14ac:dyDescent="0.25">
      <c r="A1572">
        <v>1571</v>
      </c>
      <c r="B1572" t="s">
        <v>3154</v>
      </c>
      <c r="C1572" s="1">
        <v>37.237512676900003</v>
      </c>
      <c r="D1572" s="1">
        <v>-7.0185693909299998</v>
      </c>
      <c r="E1572" s="3">
        <v>2</v>
      </c>
      <c r="F1572" s="2">
        <v>3</v>
      </c>
      <c r="G1572" s="4">
        <v>2</v>
      </c>
      <c r="H1572" s="13"/>
      <c r="I1572" s="15"/>
      <c r="J1572" s="19">
        <v>2</v>
      </c>
      <c r="K1572" s="2" t="s">
        <v>3155</v>
      </c>
      <c r="L1572" s="11" t="str">
        <f t="shared" si="25"/>
        <v>Ver Imagen</v>
      </c>
      <c r="M1572" t="s">
        <v>15</v>
      </c>
    </row>
    <row r="1573" spans="1:13" x14ac:dyDescent="0.25">
      <c r="A1573">
        <v>1572</v>
      </c>
      <c r="B1573" t="s">
        <v>3156</v>
      </c>
      <c r="C1573" s="1">
        <v>37.237903855200003</v>
      </c>
      <c r="D1573" s="1">
        <v>-7.0185696047699997</v>
      </c>
      <c r="E1573" s="3">
        <v>2</v>
      </c>
      <c r="F1573" s="2">
        <v>3</v>
      </c>
      <c r="G1573" s="4">
        <v>2</v>
      </c>
      <c r="H1573" s="13"/>
      <c r="I1573" s="15"/>
      <c r="J1573" s="19">
        <v>2</v>
      </c>
      <c r="K1573" s="2" t="s">
        <v>3157</v>
      </c>
      <c r="L1573" s="11" t="str">
        <f t="shared" si="25"/>
        <v>Ver Imagen</v>
      </c>
      <c r="M1573" t="s">
        <v>15</v>
      </c>
    </row>
    <row r="1574" spans="1:13" x14ac:dyDescent="0.25">
      <c r="A1574">
        <v>1573</v>
      </c>
      <c r="B1574" t="s">
        <v>3158</v>
      </c>
      <c r="C1574" s="1">
        <v>37.247822738399996</v>
      </c>
      <c r="D1574" s="1">
        <v>-7.01819273023</v>
      </c>
      <c r="E1574" s="3">
        <v>2</v>
      </c>
      <c r="F1574" s="2">
        <v>3</v>
      </c>
      <c r="G1574" s="4">
        <v>2</v>
      </c>
      <c r="H1574" s="13"/>
      <c r="I1574" s="15"/>
      <c r="J1574" s="19">
        <v>2</v>
      </c>
      <c r="K1574" s="2" t="s">
        <v>3159</v>
      </c>
      <c r="L1574" s="11" t="str">
        <f t="shared" si="25"/>
        <v>Ver Imagen</v>
      </c>
      <c r="M1574" t="s">
        <v>15</v>
      </c>
    </row>
    <row r="1575" spans="1:13" x14ac:dyDescent="0.25">
      <c r="A1575">
        <v>1574</v>
      </c>
      <c r="B1575" t="s">
        <v>3160</v>
      </c>
      <c r="C1575" s="1">
        <v>37.250365223999999</v>
      </c>
      <c r="D1575" s="1">
        <v>-7.0176290462399997</v>
      </c>
      <c r="E1575" s="3">
        <v>2</v>
      </c>
      <c r="F1575" s="2">
        <v>3</v>
      </c>
      <c r="G1575" s="4">
        <v>2</v>
      </c>
      <c r="H1575" s="13"/>
      <c r="I1575" s="15"/>
      <c r="J1575" s="19">
        <v>2</v>
      </c>
      <c r="K1575" s="2" t="s">
        <v>3161</v>
      </c>
      <c r="L1575" s="11" t="str">
        <f t="shared" si="25"/>
        <v>Ver Imagen</v>
      </c>
      <c r="M1575" t="s">
        <v>15</v>
      </c>
    </row>
    <row r="1576" spans="1:13" x14ac:dyDescent="0.25">
      <c r="A1576">
        <v>1575</v>
      </c>
      <c r="B1576" t="s">
        <v>3162</v>
      </c>
      <c r="C1576" s="1">
        <v>37.252780054799999</v>
      </c>
      <c r="D1576" s="1">
        <v>-7.0161087627900001</v>
      </c>
      <c r="E1576" s="3">
        <v>2</v>
      </c>
      <c r="F1576" s="2">
        <v>3</v>
      </c>
      <c r="G1576" s="4">
        <v>2</v>
      </c>
      <c r="H1576" s="13"/>
      <c r="I1576" s="15"/>
      <c r="J1576" s="19">
        <v>2</v>
      </c>
      <c r="K1576" s="2" t="s">
        <v>3163</v>
      </c>
      <c r="L1576" s="11" t="str">
        <f t="shared" si="25"/>
        <v>Ver Imagen</v>
      </c>
      <c r="M1576" t="s">
        <v>15</v>
      </c>
    </row>
    <row r="1577" spans="1:13" x14ac:dyDescent="0.25">
      <c r="A1577">
        <v>1576</v>
      </c>
      <c r="B1577" t="s">
        <v>3164</v>
      </c>
      <c r="C1577" s="1">
        <v>37.253253467299999</v>
      </c>
      <c r="D1577" s="1">
        <v>-7.0158078253999996</v>
      </c>
      <c r="E1577" s="3">
        <v>2</v>
      </c>
      <c r="F1577" s="2">
        <v>3</v>
      </c>
      <c r="G1577" s="4">
        <v>2</v>
      </c>
      <c r="H1577" s="13"/>
      <c r="I1577" s="15"/>
      <c r="J1577" s="19">
        <v>2</v>
      </c>
      <c r="K1577" s="2" t="s">
        <v>3165</v>
      </c>
      <c r="L1577" s="11" t="str">
        <f t="shared" si="25"/>
        <v>Ver Imagen</v>
      </c>
      <c r="M1577" t="s">
        <v>15</v>
      </c>
    </row>
    <row r="1578" spans="1:13" x14ac:dyDescent="0.25">
      <c r="A1578">
        <v>1577</v>
      </c>
      <c r="B1578" t="s">
        <v>3166</v>
      </c>
      <c r="C1578" s="1">
        <v>37.253671195700001</v>
      </c>
      <c r="D1578" s="1">
        <v>-7.0155417746199999</v>
      </c>
      <c r="E1578" s="3">
        <v>2</v>
      </c>
      <c r="F1578" s="2">
        <v>3</v>
      </c>
      <c r="G1578" s="4">
        <v>2</v>
      </c>
      <c r="H1578" s="13"/>
      <c r="I1578" s="15"/>
      <c r="J1578" s="19">
        <v>2</v>
      </c>
      <c r="K1578" s="2" t="s">
        <v>3167</v>
      </c>
      <c r="L1578" s="11" t="str">
        <f t="shared" si="25"/>
        <v>Ver Imagen</v>
      </c>
      <c r="M1578" t="s">
        <v>15</v>
      </c>
    </row>
    <row r="1579" spans="1:13" x14ac:dyDescent="0.25">
      <c r="A1579">
        <v>1578</v>
      </c>
      <c r="B1579" t="s">
        <v>3168</v>
      </c>
      <c r="C1579" s="1">
        <v>37.255072792699998</v>
      </c>
      <c r="D1579" s="1">
        <v>-7.0146442155899997</v>
      </c>
      <c r="E1579" s="3">
        <v>2</v>
      </c>
      <c r="F1579" s="2">
        <v>2</v>
      </c>
      <c r="G1579" s="4">
        <v>3</v>
      </c>
      <c r="H1579" s="13"/>
      <c r="I1579" s="15"/>
      <c r="J1579" s="19">
        <v>2</v>
      </c>
      <c r="K1579" s="2" t="s">
        <v>3169</v>
      </c>
      <c r="L1579" s="11" t="str">
        <f t="shared" si="25"/>
        <v>Ver Imagen</v>
      </c>
      <c r="M1579" t="s">
        <v>15</v>
      </c>
    </row>
    <row r="1580" spans="1:13" x14ac:dyDescent="0.25">
      <c r="A1580">
        <v>1579</v>
      </c>
      <c r="B1580" t="s">
        <v>3170</v>
      </c>
      <c r="C1580" s="1">
        <v>37.264984807499999</v>
      </c>
      <c r="D1580" s="1">
        <v>-6.9983139534700003</v>
      </c>
      <c r="E1580" s="3">
        <v>2</v>
      </c>
      <c r="F1580" s="2">
        <v>3</v>
      </c>
      <c r="G1580" s="4">
        <v>2</v>
      </c>
      <c r="H1580" s="13"/>
      <c r="I1580" s="15"/>
      <c r="J1580" s="19">
        <v>2</v>
      </c>
      <c r="K1580" s="2" t="s">
        <v>3171</v>
      </c>
      <c r="L1580" s="11" t="str">
        <f t="shared" si="25"/>
        <v>Ver Imagen</v>
      </c>
      <c r="M1580" t="s">
        <v>15</v>
      </c>
    </row>
    <row r="1581" spans="1:13" x14ac:dyDescent="0.25">
      <c r="A1581">
        <v>1580</v>
      </c>
      <c r="B1581" t="s">
        <v>3172</v>
      </c>
      <c r="C1581" s="1">
        <v>37.265242316799998</v>
      </c>
      <c r="D1581" s="1">
        <v>-6.99687980693</v>
      </c>
      <c r="E1581" s="3">
        <v>2</v>
      </c>
      <c r="F1581" s="2">
        <v>2</v>
      </c>
      <c r="G1581" s="4">
        <v>1</v>
      </c>
      <c r="H1581" s="13"/>
      <c r="I1581" s="15"/>
      <c r="J1581" s="19">
        <v>2</v>
      </c>
      <c r="K1581" s="2" t="s">
        <v>3173</v>
      </c>
      <c r="L1581" s="11" t="str">
        <f t="shared" si="25"/>
        <v>Ver Imagen</v>
      </c>
      <c r="M1581" t="s">
        <v>15</v>
      </c>
    </row>
    <row r="1582" spans="1:13" x14ac:dyDescent="0.25">
      <c r="A1582">
        <v>1581</v>
      </c>
      <c r="B1582" t="s">
        <v>3174</v>
      </c>
      <c r="C1582" s="1">
        <v>37.2654169236</v>
      </c>
      <c r="D1582" s="1">
        <v>-6.9959100148499997</v>
      </c>
      <c r="E1582" s="3">
        <v>2</v>
      </c>
      <c r="F1582" s="2">
        <v>2</v>
      </c>
      <c r="G1582" s="4">
        <v>1</v>
      </c>
      <c r="H1582" s="13"/>
      <c r="I1582" s="15"/>
      <c r="J1582" s="19">
        <v>2</v>
      </c>
      <c r="K1582" s="2" t="s">
        <v>3175</v>
      </c>
      <c r="L1582" s="11" t="str">
        <f t="shared" si="25"/>
        <v>Ver Imagen</v>
      </c>
      <c r="M1582" t="s">
        <v>15</v>
      </c>
    </row>
    <row r="1583" spans="1:13" x14ac:dyDescent="0.25">
      <c r="A1583">
        <v>1582</v>
      </c>
      <c r="B1583" t="s">
        <v>3176</v>
      </c>
      <c r="C1583" s="1">
        <v>37.265815023099996</v>
      </c>
      <c r="D1583" s="1">
        <v>-6.9939045313200001</v>
      </c>
      <c r="E1583" s="3">
        <v>2</v>
      </c>
      <c r="F1583" s="2">
        <v>3</v>
      </c>
      <c r="G1583" s="4">
        <v>2</v>
      </c>
      <c r="H1583" s="13"/>
      <c r="I1583" s="15"/>
      <c r="J1583" s="19">
        <v>2</v>
      </c>
      <c r="K1583" s="2" t="s">
        <v>3177</v>
      </c>
      <c r="L1583" s="11" t="str">
        <f t="shared" si="25"/>
        <v>Ver Imagen</v>
      </c>
      <c r="M1583" t="s">
        <v>15</v>
      </c>
    </row>
    <row r="1584" spans="1:13" x14ac:dyDescent="0.25">
      <c r="A1584">
        <v>1583</v>
      </c>
      <c r="B1584" t="s">
        <v>3178</v>
      </c>
      <c r="C1584" s="1">
        <v>37.460721809100001</v>
      </c>
      <c r="D1584" s="1">
        <v>-7.1730224598700003</v>
      </c>
      <c r="E1584" s="3">
        <v>2</v>
      </c>
      <c r="F1584" s="2">
        <v>2</v>
      </c>
      <c r="G1584" s="4">
        <v>3</v>
      </c>
      <c r="H1584" s="13"/>
      <c r="I1584" s="15"/>
      <c r="J1584" s="19">
        <v>2</v>
      </c>
      <c r="K1584" s="2" t="s">
        <v>3179</v>
      </c>
      <c r="L1584" s="11" t="str">
        <f t="shared" si="25"/>
        <v>Ver Imagen</v>
      </c>
      <c r="M1584" t="s">
        <v>15</v>
      </c>
    </row>
    <row r="1585" spans="1:13" x14ac:dyDescent="0.25">
      <c r="A1585">
        <v>1584</v>
      </c>
      <c r="B1585" t="s">
        <v>3180</v>
      </c>
      <c r="C1585" s="1">
        <v>37.462685965299997</v>
      </c>
      <c r="D1585" s="1">
        <v>-7.1762510775399999</v>
      </c>
      <c r="E1585" s="3">
        <v>2</v>
      </c>
      <c r="F1585" s="2">
        <v>2</v>
      </c>
      <c r="G1585" s="4">
        <v>3</v>
      </c>
      <c r="H1585" s="13"/>
      <c r="I1585" s="15"/>
      <c r="J1585" s="19">
        <v>2</v>
      </c>
      <c r="K1585" s="2" t="s">
        <v>3181</v>
      </c>
      <c r="L1585" s="11" t="str">
        <f t="shared" si="25"/>
        <v>Ver Imagen</v>
      </c>
      <c r="M1585" t="s">
        <v>15</v>
      </c>
    </row>
    <row r="1586" spans="1:13" x14ac:dyDescent="0.25">
      <c r="A1586">
        <v>1585</v>
      </c>
      <c r="B1586" t="s">
        <v>3182</v>
      </c>
      <c r="C1586" s="1">
        <v>37.463094931400001</v>
      </c>
      <c r="D1586" s="1">
        <v>-7.1769202215299996</v>
      </c>
      <c r="E1586" s="3">
        <v>2</v>
      </c>
      <c r="F1586" s="2">
        <v>2</v>
      </c>
      <c r="G1586" s="4">
        <v>3</v>
      </c>
      <c r="H1586" s="13"/>
      <c r="I1586" s="15"/>
      <c r="J1586" s="19">
        <v>2</v>
      </c>
      <c r="K1586" s="2" t="s">
        <v>3183</v>
      </c>
      <c r="L1586" s="11" t="str">
        <f t="shared" si="25"/>
        <v>Ver Imagen</v>
      </c>
      <c r="M1586" t="s">
        <v>15</v>
      </c>
    </row>
    <row r="1587" spans="1:13" x14ac:dyDescent="0.25">
      <c r="A1587">
        <v>1586</v>
      </c>
      <c r="B1587" t="s">
        <v>3184</v>
      </c>
      <c r="C1587" s="1">
        <v>37.4772647725</v>
      </c>
      <c r="D1587" s="1">
        <v>-7.2040066869699997</v>
      </c>
      <c r="E1587" s="3">
        <v>2</v>
      </c>
      <c r="F1587" s="2">
        <v>2</v>
      </c>
      <c r="G1587" s="4">
        <v>3</v>
      </c>
      <c r="H1587" s="13"/>
      <c r="I1587" s="15"/>
      <c r="J1587" s="19">
        <v>2</v>
      </c>
      <c r="K1587" s="2" t="s">
        <v>3185</v>
      </c>
      <c r="L1587" s="11" t="str">
        <f t="shared" si="25"/>
        <v>Ver Imagen</v>
      </c>
      <c r="M1587" t="s">
        <v>15</v>
      </c>
    </row>
    <row r="1588" spans="1:13" x14ac:dyDescent="0.25">
      <c r="A1588">
        <v>1587</v>
      </c>
      <c r="B1588" t="s">
        <v>3186</v>
      </c>
      <c r="C1588" s="1">
        <v>37.480170178599998</v>
      </c>
      <c r="D1588" s="1">
        <v>-7.2107566033500001</v>
      </c>
      <c r="E1588" s="3">
        <v>2</v>
      </c>
      <c r="F1588" s="2">
        <v>2</v>
      </c>
      <c r="G1588" s="4">
        <v>3</v>
      </c>
      <c r="H1588" s="13"/>
      <c r="I1588" s="15"/>
      <c r="J1588" s="19">
        <v>2</v>
      </c>
      <c r="K1588" s="2" t="s">
        <v>3187</v>
      </c>
      <c r="L1588" s="11" t="str">
        <f t="shared" si="25"/>
        <v>Ver Imagen</v>
      </c>
      <c r="M1588" t="s">
        <v>15</v>
      </c>
    </row>
    <row r="1589" spans="1:13" x14ac:dyDescent="0.25">
      <c r="A1589">
        <v>1588</v>
      </c>
      <c r="B1589" t="s">
        <v>3188</v>
      </c>
      <c r="C1589" s="1">
        <v>37.488488677900001</v>
      </c>
      <c r="D1589" s="1">
        <v>-7.2466492135099996</v>
      </c>
      <c r="E1589" s="3">
        <v>2</v>
      </c>
      <c r="F1589" s="2">
        <v>2</v>
      </c>
      <c r="G1589" s="4">
        <v>3</v>
      </c>
      <c r="H1589" s="13"/>
      <c r="I1589" s="15"/>
      <c r="J1589" s="19">
        <v>2</v>
      </c>
      <c r="K1589" s="2" t="s">
        <v>3189</v>
      </c>
      <c r="L1589" s="11" t="str">
        <f t="shared" si="25"/>
        <v>Ver Imagen</v>
      </c>
      <c r="M1589" t="s">
        <v>15</v>
      </c>
    </row>
    <row r="1590" spans="1:13" x14ac:dyDescent="0.25">
      <c r="A1590">
        <v>1589</v>
      </c>
      <c r="B1590" t="s">
        <v>3190</v>
      </c>
      <c r="C1590" s="1">
        <v>37.489493053799997</v>
      </c>
      <c r="D1590" s="1">
        <v>-7.2482053958100003</v>
      </c>
      <c r="E1590" s="3">
        <v>2</v>
      </c>
      <c r="F1590" s="2">
        <v>2</v>
      </c>
      <c r="G1590" s="4">
        <v>3</v>
      </c>
      <c r="H1590" s="13"/>
      <c r="I1590" s="15"/>
      <c r="J1590" s="19">
        <v>2</v>
      </c>
      <c r="K1590" s="2" t="s">
        <v>3191</v>
      </c>
      <c r="L1590" s="11" t="str">
        <f t="shared" si="25"/>
        <v>Ver Imagen</v>
      </c>
      <c r="M1590" t="s">
        <v>15</v>
      </c>
    </row>
    <row r="1591" spans="1:13" x14ac:dyDescent="0.25">
      <c r="A1591">
        <v>1590</v>
      </c>
      <c r="B1591" t="s">
        <v>3192</v>
      </c>
      <c r="C1591" s="1">
        <v>37.279156192800002</v>
      </c>
      <c r="D1591" s="1">
        <v>-7.00816128555</v>
      </c>
      <c r="E1591" s="3">
        <v>2</v>
      </c>
      <c r="F1591" s="2">
        <v>2</v>
      </c>
      <c r="G1591" s="4">
        <v>3</v>
      </c>
      <c r="H1591" s="13"/>
      <c r="I1591" s="15"/>
      <c r="J1591" s="19">
        <v>2</v>
      </c>
      <c r="K1591" s="2" t="s">
        <v>3193</v>
      </c>
      <c r="L1591" s="11" t="str">
        <f t="shared" si="25"/>
        <v>Ver Imagen</v>
      </c>
      <c r="M1591" t="s">
        <v>15</v>
      </c>
    </row>
    <row r="1592" spans="1:13" x14ac:dyDescent="0.25">
      <c r="A1592">
        <v>1591</v>
      </c>
      <c r="B1592" t="s">
        <v>3194</v>
      </c>
      <c r="C1592" s="1">
        <v>37.275435199699999</v>
      </c>
      <c r="D1592" s="1">
        <v>-7.0160269843699998</v>
      </c>
      <c r="E1592" s="3">
        <v>2</v>
      </c>
      <c r="F1592" s="2">
        <v>2</v>
      </c>
      <c r="G1592" s="4">
        <v>3</v>
      </c>
      <c r="H1592" s="13"/>
      <c r="I1592" s="15"/>
      <c r="J1592" s="19">
        <v>2</v>
      </c>
      <c r="K1592" s="2" t="s">
        <v>3195</v>
      </c>
      <c r="L1592" s="11" t="str">
        <f t="shared" si="25"/>
        <v>Ver Imagen</v>
      </c>
      <c r="M1592" t="s">
        <v>15</v>
      </c>
    </row>
    <row r="1593" spans="1:13" x14ac:dyDescent="0.25">
      <c r="A1593">
        <v>1592</v>
      </c>
      <c r="B1593" t="s">
        <v>3196</v>
      </c>
      <c r="C1593" s="1">
        <v>37.275374868900002</v>
      </c>
      <c r="D1593" s="1">
        <v>-7.0162810453000004</v>
      </c>
      <c r="E1593" s="3">
        <v>2</v>
      </c>
      <c r="F1593" s="2">
        <v>2</v>
      </c>
      <c r="G1593" s="4">
        <v>3</v>
      </c>
      <c r="H1593" s="13"/>
      <c r="I1593" s="15"/>
      <c r="J1593" s="19">
        <v>2</v>
      </c>
      <c r="K1593" s="2" t="s">
        <v>3197</v>
      </c>
      <c r="L1593" s="11" t="str">
        <f t="shared" si="25"/>
        <v>Ver Imagen</v>
      </c>
      <c r="M1593" t="s">
        <v>15</v>
      </c>
    </row>
    <row r="1594" spans="1:13" x14ac:dyDescent="0.25">
      <c r="A1594">
        <v>1593</v>
      </c>
      <c r="B1594" t="s">
        <v>3198</v>
      </c>
      <c r="C1594" s="1">
        <v>37.275353588500003</v>
      </c>
      <c r="D1594" s="1">
        <v>-7.0165256579899999</v>
      </c>
      <c r="E1594" s="3">
        <v>2</v>
      </c>
      <c r="F1594" s="2">
        <v>2</v>
      </c>
      <c r="G1594" s="4">
        <v>3</v>
      </c>
      <c r="H1594" s="13"/>
      <c r="I1594" s="15"/>
      <c r="J1594" s="19">
        <v>2</v>
      </c>
      <c r="K1594" s="2" t="s">
        <v>3199</v>
      </c>
      <c r="L1594" s="11" t="str">
        <f t="shared" si="25"/>
        <v>Ver Imagen</v>
      </c>
      <c r="M1594" t="s">
        <v>15</v>
      </c>
    </row>
    <row r="1595" spans="1:13" x14ac:dyDescent="0.25">
      <c r="A1595">
        <v>1594</v>
      </c>
      <c r="B1595" t="s">
        <v>3200</v>
      </c>
      <c r="C1595" s="1">
        <v>37.276225239399999</v>
      </c>
      <c r="D1595" s="1">
        <v>-7.0232241013700003</v>
      </c>
      <c r="E1595" s="3">
        <v>2</v>
      </c>
      <c r="F1595" s="2">
        <v>2</v>
      </c>
      <c r="G1595" s="4">
        <v>3</v>
      </c>
      <c r="H1595" s="13"/>
      <c r="I1595" s="15"/>
      <c r="J1595" s="19">
        <v>2</v>
      </c>
      <c r="K1595" s="2" t="s">
        <v>3201</v>
      </c>
      <c r="L1595" s="11" t="str">
        <f t="shared" si="25"/>
        <v>Ver Imagen</v>
      </c>
      <c r="M1595" t="s">
        <v>15</v>
      </c>
    </row>
    <row r="1596" spans="1:13" x14ac:dyDescent="0.25">
      <c r="A1596">
        <v>1595</v>
      </c>
      <c r="B1596" t="s">
        <v>3202</v>
      </c>
      <c r="C1596" s="1">
        <v>37.288052070299997</v>
      </c>
      <c r="D1596" s="1">
        <v>-7.0424710802100003</v>
      </c>
      <c r="E1596" s="3">
        <v>2</v>
      </c>
      <c r="F1596" s="2">
        <v>2</v>
      </c>
      <c r="G1596" s="4">
        <v>3</v>
      </c>
      <c r="H1596" s="13"/>
      <c r="I1596" s="15"/>
      <c r="J1596" s="19">
        <v>2</v>
      </c>
      <c r="K1596" s="2" t="s">
        <v>3203</v>
      </c>
      <c r="L1596" s="11" t="str">
        <f t="shared" si="25"/>
        <v>Ver Imagen</v>
      </c>
      <c r="M1596" t="s">
        <v>15</v>
      </c>
    </row>
    <row r="1597" spans="1:13" x14ac:dyDescent="0.25">
      <c r="A1597">
        <v>1596</v>
      </c>
      <c r="B1597" t="s">
        <v>3204</v>
      </c>
      <c r="C1597" s="1">
        <v>37.294094696199998</v>
      </c>
      <c r="D1597" s="1">
        <v>-7.0474123799099999</v>
      </c>
      <c r="E1597" s="3">
        <v>2</v>
      </c>
      <c r="F1597" s="2">
        <v>2</v>
      </c>
      <c r="G1597" s="4">
        <v>3</v>
      </c>
      <c r="H1597" s="13"/>
      <c r="I1597" s="15"/>
      <c r="J1597" s="19">
        <v>2</v>
      </c>
      <c r="K1597" s="2" t="s">
        <v>3205</v>
      </c>
      <c r="L1597" s="11" t="str">
        <f t="shared" si="25"/>
        <v>Ver Imagen</v>
      </c>
      <c r="M1597" t="s">
        <v>15</v>
      </c>
    </row>
    <row r="1598" spans="1:13" x14ac:dyDescent="0.25">
      <c r="A1598">
        <v>1597</v>
      </c>
      <c r="B1598" t="s">
        <v>3206</v>
      </c>
      <c r="C1598" s="1">
        <v>37.294231428499998</v>
      </c>
      <c r="D1598" s="1">
        <v>-7.0476002291600004</v>
      </c>
      <c r="E1598" s="3">
        <v>2</v>
      </c>
      <c r="F1598" s="2">
        <v>2</v>
      </c>
      <c r="G1598" s="4">
        <v>3</v>
      </c>
      <c r="H1598" s="13"/>
      <c r="I1598" s="15"/>
      <c r="J1598" s="19">
        <v>2</v>
      </c>
      <c r="K1598" s="2" t="s">
        <v>3207</v>
      </c>
      <c r="L1598" s="11" t="str">
        <f t="shared" si="25"/>
        <v>Ver Imagen</v>
      </c>
      <c r="M1598" t="s">
        <v>15</v>
      </c>
    </row>
    <row r="1599" spans="1:13" x14ac:dyDescent="0.25">
      <c r="A1599">
        <v>1598</v>
      </c>
      <c r="B1599" t="s">
        <v>3208</v>
      </c>
      <c r="C1599" s="1">
        <v>37.296269025100003</v>
      </c>
      <c r="D1599" s="1">
        <v>-7.0500762458199997</v>
      </c>
      <c r="E1599" s="3">
        <v>2</v>
      </c>
      <c r="F1599" s="2">
        <v>2</v>
      </c>
      <c r="G1599" s="4">
        <v>3</v>
      </c>
      <c r="H1599" s="13"/>
      <c r="I1599" s="15"/>
      <c r="J1599" s="19">
        <v>2</v>
      </c>
      <c r="K1599" s="2" t="s">
        <v>3209</v>
      </c>
      <c r="L1599" s="11" t="str">
        <f t="shared" si="25"/>
        <v>Ver Imagen</v>
      </c>
      <c r="M1599" t="s">
        <v>15</v>
      </c>
    </row>
    <row r="1600" spans="1:13" x14ac:dyDescent="0.25">
      <c r="A1600">
        <v>1599</v>
      </c>
      <c r="B1600" t="s">
        <v>3210</v>
      </c>
      <c r="C1600" s="1">
        <v>37.267183519200003</v>
      </c>
      <c r="D1600" s="1">
        <v>-6.9573102563899996</v>
      </c>
      <c r="E1600" s="3">
        <v>2</v>
      </c>
      <c r="F1600" s="2">
        <v>2</v>
      </c>
      <c r="G1600" s="4">
        <v>3</v>
      </c>
      <c r="H1600" s="13"/>
      <c r="I1600" s="15"/>
      <c r="J1600" s="19">
        <v>2</v>
      </c>
      <c r="K1600" s="2" t="s">
        <v>3211</v>
      </c>
      <c r="L1600" s="11" t="str">
        <f t="shared" si="25"/>
        <v>Ver Imagen</v>
      </c>
      <c r="M1600" t="s">
        <v>15</v>
      </c>
    </row>
    <row r="1601" spans="1:13" x14ac:dyDescent="0.25">
      <c r="A1601">
        <v>1600</v>
      </c>
      <c r="B1601" t="s">
        <v>3212</v>
      </c>
      <c r="C1601" s="1">
        <v>37.190786968200001</v>
      </c>
      <c r="D1601" s="1">
        <v>-6.9905446929400004</v>
      </c>
      <c r="E1601" s="3">
        <v>2</v>
      </c>
      <c r="F1601" s="2">
        <v>2</v>
      </c>
      <c r="G1601" s="4">
        <v>3</v>
      </c>
      <c r="H1601" s="13"/>
      <c r="I1601" s="15"/>
      <c r="J1601" s="19">
        <v>2</v>
      </c>
      <c r="K1601" s="2" t="s">
        <v>3213</v>
      </c>
      <c r="L1601" s="11" t="str">
        <f t="shared" si="25"/>
        <v>Ver Imagen</v>
      </c>
      <c r="M1601" t="s">
        <v>15</v>
      </c>
    </row>
    <row r="1602" spans="1:13" x14ac:dyDescent="0.25">
      <c r="A1602">
        <v>1601</v>
      </c>
      <c r="B1602" t="s">
        <v>3214</v>
      </c>
      <c r="C1602" s="1">
        <v>37.193027789600002</v>
      </c>
      <c r="D1602" s="1">
        <v>-6.9953682096599996</v>
      </c>
      <c r="E1602" s="3">
        <v>2</v>
      </c>
      <c r="F1602" s="2">
        <v>2</v>
      </c>
      <c r="G1602" s="4">
        <v>3</v>
      </c>
      <c r="H1602" s="13"/>
      <c r="I1602" s="15"/>
      <c r="J1602" s="19">
        <v>2</v>
      </c>
      <c r="K1602" s="2" t="s">
        <v>3215</v>
      </c>
      <c r="L1602" s="11" t="str">
        <f t="shared" si="25"/>
        <v>Ver Imagen</v>
      </c>
      <c r="M1602" t="s">
        <v>15</v>
      </c>
    </row>
    <row r="1603" spans="1:13" x14ac:dyDescent="0.25">
      <c r="A1603">
        <v>1602</v>
      </c>
      <c r="B1603" t="s">
        <v>3216</v>
      </c>
      <c r="C1603" s="1">
        <v>37.196759309400001</v>
      </c>
      <c r="D1603" s="1">
        <v>-7.0043377177500004</v>
      </c>
      <c r="E1603" s="3">
        <v>2</v>
      </c>
      <c r="F1603" s="2">
        <v>2</v>
      </c>
      <c r="G1603" s="4">
        <v>3</v>
      </c>
      <c r="H1603" s="13"/>
      <c r="I1603" s="15"/>
      <c r="J1603" s="19">
        <v>2</v>
      </c>
      <c r="K1603" s="2" t="s">
        <v>3217</v>
      </c>
      <c r="L1603" s="11" t="str">
        <f t="shared" ref="L1603:L1666" si="26">HYPERLINK("2\1\" &amp; K1603, "Ver Imagen")</f>
        <v>Ver Imagen</v>
      </c>
      <c r="M1603" t="s">
        <v>15</v>
      </c>
    </row>
    <row r="1604" spans="1:13" x14ac:dyDescent="0.25">
      <c r="A1604">
        <v>1603</v>
      </c>
      <c r="B1604" t="s">
        <v>3218</v>
      </c>
      <c r="C1604" s="1">
        <v>37.197210272900001</v>
      </c>
      <c r="D1604" s="1">
        <v>-7.0054571038300004</v>
      </c>
      <c r="E1604" s="3">
        <v>2</v>
      </c>
      <c r="F1604" s="2">
        <v>2</v>
      </c>
      <c r="G1604" s="4">
        <v>3</v>
      </c>
      <c r="H1604" s="13"/>
      <c r="I1604" s="15"/>
      <c r="J1604" s="19">
        <v>2</v>
      </c>
      <c r="K1604" s="2" t="s">
        <v>3219</v>
      </c>
      <c r="L1604" s="11" t="str">
        <f t="shared" si="26"/>
        <v>Ver Imagen</v>
      </c>
      <c r="M1604" t="s">
        <v>15</v>
      </c>
    </row>
    <row r="1605" spans="1:13" x14ac:dyDescent="0.25">
      <c r="A1605">
        <v>1604</v>
      </c>
      <c r="B1605" t="s">
        <v>3220</v>
      </c>
      <c r="C1605" s="1">
        <v>37.198340198799997</v>
      </c>
      <c r="D1605" s="1">
        <v>-7.00785540597</v>
      </c>
      <c r="E1605" s="3">
        <v>2</v>
      </c>
      <c r="F1605" s="2">
        <v>2</v>
      </c>
      <c r="G1605" s="4">
        <v>3</v>
      </c>
      <c r="H1605" s="13"/>
      <c r="I1605" s="15"/>
      <c r="J1605" s="19">
        <v>2</v>
      </c>
      <c r="K1605" s="2" t="s">
        <v>3221</v>
      </c>
      <c r="L1605" s="11" t="str">
        <f t="shared" si="26"/>
        <v>Ver Imagen</v>
      </c>
      <c r="M1605" t="s">
        <v>15</v>
      </c>
    </row>
    <row r="1606" spans="1:13" x14ac:dyDescent="0.25">
      <c r="A1606">
        <v>1605</v>
      </c>
      <c r="B1606" t="s">
        <v>3222</v>
      </c>
      <c r="C1606" s="1">
        <v>37.216636387500003</v>
      </c>
      <c r="D1606" s="1">
        <v>-7.0954161397500002</v>
      </c>
      <c r="E1606" s="3">
        <v>2</v>
      </c>
      <c r="F1606" s="2">
        <v>2</v>
      </c>
      <c r="G1606" s="4">
        <v>3</v>
      </c>
      <c r="H1606" s="13"/>
      <c r="I1606" s="15"/>
      <c r="J1606" s="19">
        <v>2</v>
      </c>
      <c r="K1606" s="2" t="s">
        <v>3223</v>
      </c>
      <c r="L1606" s="11" t="str">
        <f t="shared" si="26"/>
        <v>Ver Imagen</v>
      </c>
      <c r="M1606" t="s">
        <v>15</v>
      </c>
    </row>
    <row r="1607" spans="1:13" x14ac:dyDescent="0.25">
      <c r="A1607">
        <v>1606</v>
      </c>
      <c r="B1607" t="s">
        <v>3224</v>
      </c>
      <c r="C1607" s="1">
        <v>37.496813433900002</v>
      </c>
      <c r="D1607" s="1">
        <v>-7.2681624127499997</v>
      </c>
      <c r="E1607" s="3">
        <v>3</v>
      </c>
      <c r="F1607" s="2">
        <v>2</v>
      </c>
      <c r="G1607" s="4">
        <v>2</v>
      </c>
      <c r="H1607" s="13"/>
      <c r="I1607" s="15"/>
      <c r="J1607" s="19">
        <v>2</v>
      </c>
      <c r="K1607" s="2" t="s">
        <v>3225</v>
      </c>
      <c r="L1607" s="11" t="str">
        <f t="shared" si="26"/>
        <v>Ver Imagen</v>
      </c>
      <c r="M1607" t="s">
        <v>15</v>
      </c>
    </row>
    <row r="1608" spans="1:13" x14ac:dyDescent="0.25">
      <c r="A1608">
        <v>1607</v>
      </c>
      <c r="B1608" t="s">
        <v>3226</v>
      </c>
      <c r="C1608" s="1">
        <v>37.498026299499998</v>
      </c>
      <c r="D1608" s="1">
        <v>-7.2677778931199999</v>
      </c>
      <c r="E1608" s="3">
        <v>3</v>
      </c>
      <c r="F1608" s="2">
        <v>2</v>
      </c>
      <c r="G1608" s="4">
        <v>2</v>
      </c>
      <c r="H1608" s="13"/>
      <c r="I1608" s="15"/>
      <c r="J1608" s="19">
        <v>2</v>
      </c>
      <c r="K1608" s="2" t="s">
        <v>3227</v>
      </c>
      <c r="L1608" s="11" t="str">
        <f t="shared" si="26"/>
        <v>Ver Imagen</v>
      </c>
      <c r="M1608" t="s">
        <v>15</v>
      </c>
    </row>
    <row r="1609" spans="1:13" x14ac:dyDescent="0.25">
      <c r="A1609">
        <v>1608</v>
      </c>
      <c r="B1609" t="s">
        <v>3228</v>
      </c>
      <c r="C1609" s="1"/>
      <c r="D1609" s="1"/>
      <c r="E1609" s="3">
        <v>2</v>
      </c>
      <c r="F1609" s="2">
        <v>2</v>
      </c>
      <c r="G1609" s="4">
        <v>3</v>
      </c>
      <c r="H1609" s="13"/>
      <c r="I1609" s="15"/>
      <c r="J1609" s="20">
        <v>3</v>
      </c>
      <c r="K1609" s="3" t="s">
        <v>3229</v>
      </c>
      <c r="L1609" s="11" t="str">
        <f t="shared" si="26"/>
        <v>Ver Imagen</v>
      </c>
      <c r="M1609" t="s">
        <v>3230</v>
      </c>
    </row>
    <row r="1610" spans="1:13" x14ac:dyDescent="0.25">
      <c r="A1610">
        <v>1609</v>
      </c>
      <c r="B1610" t="s">
        <v>3231</v>
      </c>
      <c r="C1610" s="1">
        <v>37.479103463599998</v>
      </c>
      <c r="D1610" s="1">
        <v>-7.2082776155800001</v>
      </c>
      <c r="E1610" s="3">
        <v>2</v>
      </c>
      <c r="F1610" s="2">
        <v>2</v>
      </c>
      <c r="G1610" s="4">
        <v>3</v>
      </c>
      <c r="H1610" s="13"/>
      <c r="I1610" s="15"/>
      <c r="J1610" s="19">
        <v>2</v>
      </c>
      <c r="K1610" s="2" t="s">
        <v>3232</v>
      </c>
      <c r="L1610" s="11" t="str">
        <f t="shared" si="26"/>
        <v>Ver Imagen</v>
      </c>
      <c r="M1610" t="s">
        <v>15</v>
      </c>
    </row>
    <row r="1611" spans="1:13" x14ac:dyDescent="0.25">
      <c r="A1611">
        <v>1610</v>
      </c>
      <c r="B1611" t="s">
        <v>3233</v>
      </c>
      <c r="C1611" s="1">
        <v>37.482773909899997</v>
      </c>
      <c r="D1611" s="1">
        <v>-7.21902106822</v>
      </c>
      <c r="E1611" s="3">
        <v>1</v>
      </c>
      <c r="F1611" s="2">
        <v>2</v>
      </c>
      <c r="G1611" s="4">
        <v>2</v>
      </c>
      <c r="H1611" s="13"/>
      <c r="I1611" s="15"/>
      <c r="J1611" s="19">
        <v>2</v>
      </c>
      <c r="K1611" s="2" t="s">
        <v>3234</v>
      </c>
      <c r="L1611" s="11" t="str">
        <f t="shared" si="26"/>
        <v>Ver Imagen</v>
      </c>
      <c r="M1611" t="s">
        <v>15</v>
      </c>
    </row>
    <row r="1612" spans="1:13" x14ac:dyDescent="0.25">
      <c r="A1612">
        <v>1611</v>
      </c>
      <c r="B1612" t="s">
        <v>3235</v>
      </c>
      <c r="C1612" s="1">
        <v>37.482811378999997</v>
      </c>
      <c r="D1612" s="1">
        <v>-7.2192134193599999</v>
      </c>
      <c r="E1612" s="3">
        <v>1</v>
      </c>
      <c r="F1612" s="2">
        <v>2</v>
      </c>
      <c r="G1612" s="4">
        <v>2</v>
      </c>
      <c r="H1612" s="13"/>
      <c r="I1612" s="15"/>
      <c r="J1612" s="19">
        <v>2</v>
      </c>
      <c r="K1612" s="2" t="s">
        <v>3236</v>
      </c>
      <c r="L1612" s="11" t="str">
        <f t="shared" si="26"/>
        <v>Ver Imagen</v>
      </c>
      <c r="M1612" t="s">
        <v>15</v>
      </c>
    </row>
    <row r="1613" spans="1:13" x14ac:dyDescent="0.25">
      <c r="A1613">
        <v>1612</v>
      </c>
      <c r="B1613" t="s">
        <v>3237</v>
      </c>
      <c r="C1613" s="1">
        <v>37.484968586299999</v>
      </c>
      <c r="D1613" s="1">
        <v>-7.2302884478199996</v>
      </c>
      <c r="E1613" s="3">
        <v>1</v>
      </c>
      <c r="F1613" s="2">
        <v>2</v>
      </c>
      <c r="G1613" s="4">
        <v>2</v>
      </c>
      <c r="H1613" s="13"/>
      <c r="I1613" s="15"/>
      <c r="J1613" s="19">
        <v>2</v>
      </c>
      <c r="K1613" s="2" t="s">
        <v>3238</v>
      </c>
      <c r="L1613" s="11" t="str">
        <f t="shared" si="26"/>
        <v>Ver Imagen</v>
      </c>
      <c r="M1613" t="s">
        <v>15</v>
      </c>
    </row>
    <row r="1614" spans="1:13" x14ac:dyDescent="0.25">
      <c r="A1614">
        <v>1613</v>
      </c>
      <c r="B1614" t="s">
        <v>3239</v>
      </c>
      <c r="C1614" s="1">
        <v>37.485460257500002</v>
      </c>
      <c r="D1614" s="1">
        <v>-7.2328505825800002</v>
      </c>
      <c r="E1614" s="3">
        <v>1</v>
      </c>
      <c r="F1614" s="2">
        <v>2</v>
      </c>
      <c r="G1614" s="4">
        <v>2</v>
      </c>
      <c r="H1614" s="13"/>
      <c r="I1614" s="15"/>
      <c r="J1614" s="19">
        <v>2</v>
      </c>
      <c r="K1614" s="2" t="s">
        <v>3240</v>
      </c>
      <c r="L1614" s="11" t="str">
        <f t="shared" si="26"/>
        <v>Ver Imagen</v>
      </c>
      <c r="M1614" t="s">
        <v>15</v>
      </c>
    </row>
    <row r="1615" spans="1:13" x14ac:dyDescent="0.25">
      <c r="A1615">
        <v>1614</v>
      </c>
      <c r="B1615" t="s">
        <v>3241</v>
      </c>
      <c r="C1615" s="1">
        <v>37.485502887700001</v>
      </c>
      <c r="D1615" s="1">
        <v>-7.2330718201700002</v>
      </c>
      <c r="E1615" s="3">
        <v>1</v>
      </c>
      <c r="F1615" s="2">
        <v>2</v>
      </c>
      <c r="G1615" s="4">
        <v>2</v>
      </c>
      <c r="H1615" s="13"/>
      <c r="I1615" s="15"/>
      <c r="J1615" s="19">
        <v>2</v>
      </c>
      <c r="K1615" s="2" t="s">
        <v>3242</v>
      </c>
      <c r="L1615" s="11" t="str">
        <f t="shared" si="26"/>
        <v>Ver Imagen</v>
      </c>
      <c r="M1615" t="s">
        <v>15</v>
      </c>
    </row>
    <row r="1616" spans="1:13" x14ac:dyDescent="0.25">
      <c r="A1616">
        <v>1615</v>
      </c>
      <c r="B1616" t="s">
        <v>3243</v>
      </c>
      <c r="C1616" s="1">
        <v>37.4855448</v>
      </c>
      <c r="D1616" s="1">
        <v>-7.2332923105200004</v>
      </c>
      <c r="E1616" s="3">
        <v>1</v>
      </c>
      <c r="F1616" s="2">
        <v>2</v>
      </c>
      <c r="G1616" s="4">
        <v>2</v>
      </c>
      <c r="H1616" s="13"/>
      <c r="I1616" s="15"/>
      <c r="J1616" s="19">
        <v>2</v>
      </c>
      <c r="K1616" s="2" t="s">
        <v>3244</v>
      </c>
      <c r="L1616" s="11" t="str">
        <f t="shared" si="26"/>
        <v>Ver Imagen</v>
      </c>
      <c r="M1616" t="s">
        <v>15</v>
      </c>
    </row>
    <row r="1617" spans="1:13" x14ac:dyDescent="0.25">
      <c r="A1617">
        <v>1616</v>
      </c>
      <c r="B1617" t="s">
        <v>3245</v>
      </c>
      <c r="C1617" s="1">
        <v>37.485593502599997</v>
      </c>
      <c r="D1617" s="1">
        <v>-7.2335535559900004</v>
      </c>
      <c r="E1617" s="3">
        <v>1</v>
      </c>
      <c r="F1617" s="2">
        <v>2</v>
      </c>
      <c r="G1617" s="4">
        <v>2</v>
      </c>
      <c r="H1617" s="13"/>
      <c r="I1617" s="15"/>
      <c r="J1617" s="19">
        <v>2</v>
      </c>
      <c r="K1617" s="2" t="s">
        <v>3246</v>
      </c>
      <c r="L1617" s="11" t="str">
        <f t="shared" si="26"/>
        <v>Ver Imagen</v>
      </c>
      <c r="M1617" t="s">
        <v>15</v>
      </c>
    </row>
    <row r="1618" spans="1:13" x14ac:dyDescent="0.25">
      <c r="A1618">
        <v>1617</v>
      </c>
      <c r="B1618" t="s">
        <v>3247</v>
      </c>
      <c r="C1618" s="1">
        <v>37.486064377799998</v>
      </c>
      <c r="D1618" s="1">
        <v>-7.2359960518299999</v>
      </c>
      <c r="E1618" s="3">
        <v>1</v>
      </c>
      <c r="F1618" s="2">
        <v>2</v>
      </c>
      <c r="G1618" s="4">
        <v>2</v>
      </c>
      <c r="H1618" s="13"/>
      <c r="I1618" s="15"/>
      <c r="J1618" s="19">
        <v>2</v>
      </c>
      <c r="K1618" s="2" t="s">
        <v>3248</v>
      </c>
      <c r="L1618" s="11" t="str">
        <f t="shared" si="26"/>
        <v>Ver Imagen</v>
      </c>
      <c r="M1618" t="s">
        <v>15</v>
      </c>
    </row>
    <row r="1619" spans="1:13" x14ac:dyDescent="0.25">
      <c r="A1619">
        <v>1618</v>
      </c>
      <c r="B1619" t="s">
        <v>3249</v>
      </c>
      <c r="C1619" s="1">
        <v>37.4862097412</v>
      </c>
      <c r="D1619" s="1">
        <v>-7.2367448545000004</v>
      </c>
      <c r="E1619" s="3">
        <v>1</v>
      </c>
      <c r="F1619" s="2">
        <v>2</v>
      </c>
      <c r="G1619" s="4">
        <v>2</v>
      </c>
      <c r="H1619" s="13"/>
      <c r="I1619" s="15"/>
      <c r="J1619" s="19">
        <v>2</v>
      </c>
      <c r="K1619" s="2" t="s">
        <v>3250</v>
      </c>
      <c r="L1619" s="11" t="str">
        <f t="shared" si="26"/>
        <v>Ver Imagen</v>
      </c>
      <c r="M1619" t="s">
        <v>15</v>
      </c>
    </row>
    <row r="1620" spans="1:13" x14ac:dyDescent="0.25">
      <c r="A1620">
        <v>1619</v>
      </c>
      <c r="B1620" t="s">
        <v>3251</v>
      </c>
      <c r="C1620" s="1">
        <v>37.486299651000003</v>
      </c>
      <c r="D1620" s="1">
        <v>-7.23720923628</v>
      </c>
      <c r="E1620" s="3">
        <v>1</v>
      </c>
      <c r="F1620" s="2">
        <v>2</v>
      </c>
      <c r="G1620" s="4">
        <v>2</v>
      </c>
      <c r="H1620" s="13"/>
      <c r="I1620" s="15"/>
      <c r="J1620" s="19">
        <v>2</v>
      </c>
      <c r="K1620" s="2" t="s">
        <v>3252</v>
      </c>
      <c r="L1620" s="11" t="str">
        <f t="shared" si="26"/>
        <v>Ver Imagen</v>
      </c>
      <c r="M1620" t="s">
        <v>15</v>
      </c>
    </row>
    <row r="1621" spans="1:13" x14ac:dyDescent="0.25">
      <c r="A1621">
        <v>1620</v>
      </c>
      <c r="B1621" t="s">
        <v>3253</v>
      </c>
      <c r="C1621" s="1">
        <v>37.486440765499999</v>
      </c>
      <c r="D1621" s="1">
        <v>-7.2379518539600003</v>
      </c>
      <c r="E1621" s="3">
        <v>1</v>
      </c>
      <c r="F1621" s="2">
        <v>2</v>
      </c>
      <c r="G1621" s="4">
        <v>2</v>
      </c>
      <c r="H1621" s="13"/>
      <c r="I1621" s="15"/>
      <c r="J1621" s="19">
        <v>2</v>
      </c>
      <c r="K1621" s="2" t="s">
        <v>3254</v>
      </c>
      <c r="L1621" s="11" t="str">
        <f t="shared" si="26"/>
        <v>Ver Imagen</v>
      </c>
      <c r="M1621" t="s">
        <v>15</v>
      </c>
    </row>
    <row r="1622" spans="1:13" x14ac:dyDescent="0.25">
      <c r="A1622">
        <v>1621</v>
      </c>
      <c r="B1622" t="s">
        <v>3255</v>
      </c>
      <c r="C1622" s="1">
        <v>37.490618103999999</v>
      </c>
      <c r="D1622" s="1">
        <v>-7.25327979402</v>
      </c>
      <c r="E1622" s="3">
        <v>1</v>
      </c>
      <c r="F1622" s="2">
        <v>2</v>
      </c>
      <c r="G1622" s="4">
        <v>2</v>
      </c>
      <c r="H1622" s="13"/>
      <c r="I1622" s="15"/>
      <c r="J1622" s="19">
        <v>2</v>
      </c>
      <c r="K1622" s="2" t="s">
        <v>3256</v>
      </c>
      <c r="L1622" s="11" t="str">
        <f t="shared" si="26"/>
        <v>Ver Imagen</v>
      </c>
      <c r="M1622" t="s">
        <v>15</v>
      </c>
    </row>
    <row r="1623" spans="1:13" x14ac:dyDescent="0.25">
      <c r="A1623">
        <v>1622</v>
      </c>
      <c r="B1623" t="s">
        <v>3257</v>
      </c>
      <c r="C1623" s="1">
        <v>37.490429130599999</v>
      </c>
      <c r="D1623" s="1">
        <v>-7.25550784097</v>
      </c>
      <c r="E1623" s="3">
        <v>1</v>
      </c>
      <c r="F1623" s="2">
        <v>2</v>
      </c>
      <c r="G1623" s="4">
        <v>2</v>
      </c>
      <c r="H1623" s="13"/>
      <c r="I1623" s="15"/>
      <c r="J1623" s="19">
        <v>2</v>
      </c>
      <c r="K1623" s="2" t="s">
        <v>3258</v>
      </c>
      <c r="L1623" s="11" t="str">
        <f t="shared" si="26"/>
        <v>Ver Imagen</v>
      </c>
      <c r="M1623" t="s">
        <v>15</v>
      </c>
    </row>
    <row r="1624" spans="1:13" x14ac:dyDescent="0.25">
      <c r="A1624">
        <v>1623</v>
      </c>
      <c r="B1624" t="s">
        <v>3259</v>
      </c>
      <c r="C1624" s="1">
        <v>37.4944257609</v>
      </c>
      <c r="D1624" s="1">
        <v>-7.2660361710099997</v>
      </c>
      <c r="E1624" s="3">
        <v>1</v>
      </c>
      <c r="F1624" s="2">
        <v>2</v>
      </c>
      <c r="G1624" s="4">
        <v>2</v>
      </c>
      <c r="H1624" s="13"/>
      <c r="I1624" s="15"/>
      <c r="J1624" s="19">
        <v>2</v>
      </c>
      <c r="K1624" s="2" t="s">
        <v>3260</v>
      </c>
      <c r="L1624" s="11" t="str">
        <f t="shared" si="26"/>
        <v>Ver Imagen</v>
      </c>
      <c r="M1624" t="s">
        <v>15</v>
      </c>
    </row>
    <row r="1625" spans="1:13" x14ac:dyDescent="0.25">
      <c r="A1625">
        <v>1624</v>
      </c>
      <c r="B1625" t="s">
        <v>3261</v>
      </c>
      <c r="C1625" s="1">
        <v>37.279408694399997</v>
      </c>
      <c r="D1625" s="1">
        <v>-6.9960811429699996</v>
      </c>
      <c r="E1625" s="3">
        <v>2</v>
      </c>
      <c r="F1625" s="2">
        <v>2</v>
      </c>
      <c r="G1625" s="4">
        <v>3</v>
      </c>
      <c r="H1625" s="13"/>
      <c r="I1625" s="15"/>
      <c r="J1625" s="19">
        <v>2</v>
      </c>
      <c r="K1625" s="2" t="s">
        <v>3262</v>
      </c>
      <c r="L1625" s="11" t="str">
        <f t="shared" si="26"/>
        <v>Ver Imagen</v>
      </c>
      <c r="M1625" t="s">
        <v>15</v>
      </c>
    </row>
    <row r="1626" spans="1:13" x14ac:dyDescent="0.25">
      <c r="A1626">
        <v>1625</v>
      </c>
      <c r="B1626" t="s">
        <v>3263</v>
      </c>
      <c r="C1626" s="1">
        <v>37.279576167400002</v>
      </c>
      <c r="D1626" s="1">
        <v>-6.9968262905799996</v>
      </c>
      <c r="E1626" s="3">
        <v>2</v>
      </c>
      <c r="F1626" s="2">
        <v>2</v>
      </c>
      <c r="G1626" s="4">
        <v>3</v>
      </c>
      <c r="H1626" s="13"/>
      <c r="I1626" s="15"/>
      <c r="J1626" s="19">
        <v>2</v>
      </c>
      <c r="K1626" s="2" t="s">
        <v>3264</v>
      </c>
      <c r="L1626" s="11" t="str">
        <f t="shared" si="26"/>
        <v>Ver Imagen</v>
      </c>
      <c r="M1626" t="s">
        <v>15</v>
      </c>
    </row>
    <row r="1627" spans="1:13" x14ac:dyDescent="0.25">
      <c r="A1627">
        <v>1626</v>
      </c>
      <c r="B1627" t="s">
        <v>3265</v>
      </c>
      <c r="C1627" s="1">
        <v>37.2796175832</v>
      </c>
      <c r="D1627" s="1">
        <v>-6.9970290020199997</v>
      </c>
      <c r="E1627" s="3">
        <v>2</v>
      </c>
      <c r="F1627" s="2">
        <v>2</v>
      </c>
      <c r="G1627" s="4">
        <v>3</v>
      </c>
      <c r="H1627" s="13"/>
      <c r="I1627" s="15"/>
      <c r="J1627" s="19">
        <v>2</v>
      </c>
      <c r="K1627" s="2" t="s">
        <v>3266</v>
      </c>
      <c r="L1627" s="11" t="str">
        <f t="shared" si="26"/>
        <v>Ver Imagen</v>
      </c>
      <c r="M1627" t="s">
        <v>15</v>
      </c>
    </row>
    <row r="1628" spans="1:13" x14ac:dyDescent="0.25">
      <c r="A1628">
        <v>1627</v>
      </c>
      <c r="B1628" t="s">
        <v>3267</v>
      </c>
      <c r="C1628" s="1">
        <v>37.275445910899997</v>
      </c>
      <c r="D1628" s="1">
        <v>-7.0175266367000004</v>
      </c>
      <c r="E1628" s="3">
        <v>1</v>
      </c>
      <c r="F1628" s="2">
        <v>2</v>
      </c>
      <c r="G1628" s="4">
        <v>2</v>
      </c>
      <c r="H1628" s="13"/>
      <c r="I1628" s="15"/>
      <c r="J1628" s="19">
        <v>2</v>
      </c>
      <c r="K1628" s="2" t="s">
        <v>3268</v>
      </c>
      <c r="L1628" s="11" t="str">
        <f t="shared" si="26"/>
        <v>Ver Imagen</v>
      </c>
      <c r="M1628" t="s">
        <v>15</v>
      </c>
    </row>
    <row r="1629" spans="1:13" x14ac:dyDescent="0.25">
      <c r="A1629">
        <v>1628</v>
      </c>
      <c r="B1629" t="s">
        <v>3269</v>
      </c>
      <c r="C1629" s="1">
        <v>37.285992301100002</v>
      </c>
      <c r="D1629" s="1">
        <v>-7.0413996696199996</v>
      </c>
      <c r="E1629" s="3">
        <v>1</v>
      </c>
      <c r="F1629" s="2">
        <v>2</v>
      </c>
      <c r="G1629" s="4">
        <v>2</v>
      </c>
      <c r="H1629" s="13"/>
      <c r="I1629" s="15"/>
      <c r="J1629" s="19">
        <v>2</v>
      </c>
      <c r="K1629" s="2" t="s">
        <v>3270</v>
      </c>
      <c r="L1629" s="11" t="str">
        <f t="shared" si="26"/>
        <v>Ver Imagen</v>
      </c>
      <c r="M1629" t="s">
        <v>15</v>
      </c>
    </row>
    <row r="1630" spans="1:13" x14ac:dyDescent="0.25">
      <c r="A1630">
        <v>1629</v>
      </c>
      <c r="B1630" t="s">
        <v>3271</v>
      </c>
      <c r="C1630" s="1">
        <v>37.286900164599999</v>
      </c>
      <c r="D1630" s="1">
        <v>-7.0419162537500002</v>
      </c>
      <c r="E1630" s="3">
        <v>1</v>
      </c>
      <c r="F1630" s="2">
        <v>2</v>
      </c>
      <c r="G1630" s="4">
        <v>2</v>
      </c>
      <c r="H1630" s="13"/>
      <c r="I1630" s="15"/>
      <c r="J1630" s="19">
        <v>2</v>
      </c>
      <c r="K1630" s="2" t="s">
        <v>3272</v>
      </c>
      <c r="L1630" s="11" t="str">
        <f t="shared" si="26"/>
        <v>Ver Imagen</v>
      </c>
      <c r="M1630" t="s">
        <v>15</v>
      </c>
    </row>
    <row r="1631" spans="1:13" x14ac:dyDescent="0.25">
      <c r="A1631">
        <v>1630</v>
      </c>
      <c r="B1631" t="s">
        <v>3273</v>
      </c>
      <c r="C1631" s="1">
        <v>37.2873060943</v>
      </c>
      <c r="D1631" s="1">
        <v>-7.0420980249699996</v>
      </c>
      <c r="E1631" s="3">
        <v>1</v>
      </c>
      <c r="F1631" s="2">
        <v>2</v>
      </c>
      <c r="G1631" s="4">
        <v>2</v>
      </c>
      <c r="H1631" s="13"/>
      <c r="I1631" s="15"/>
      <c r="J1631" s="19">
        <v>2</v>
      </c>
      <c r="K1631" s="2" t="s">
        <v>3274</v>
      </c>
      <c r="L1631" s="11" t="str">
        <f t="shared" si="26"/>
        <v>Ver Imagen</v>
      </c>
      <c r="M1631" t="s">
        <v>15</v>
      </c>
    </row>
    <row r="1632" spans="1:13" x14ac:dyDescent="0.25">
      <c r="A1632">
        <v>1631</v>
      </c>
      <c r="B1632" t="s">
        <v>3275</v>
      </c>
      <c r="C1632" s="1">
        <v>37.295664063399997</v>
      </c>
      <c r="D1632" s="1">
        <v>-7.0494017970099998</v>
      </c>
      <c r="E1632" s="3">
        <v>1</v>
      </c>
      <c r="F1632" s="2">
        <v>2</v>
      </c>
      <c r="G1632" s="4">
        <v>2</v>
      </c>
      <c r="H1632" s="13"/>
      <c r="I1632" s="15"/>
      <c r="J1632" s="19">
        <v>2</v>
      </c>
      <c r="K1632" s="2" t="s">
        <v>3276</v>
      </c>
      <c r="L1632" s="11" t="str">
        <f t="shared" si="26"/>
        <v>Ver Imagen</v>
      </c>
      <c r="M1632" t="s">
        <v>15</v>
      </c>
    </row>
    <row r="1633" spans="1:13" x14ac:dyDescent="0.25">
      <c r="A1633">
        <v>1632</v>
      </c>
      <c r="B1633" t="s">
        <v>3277</v>
      </c>
      <c r="C1633" s="1">
        <v>37.297586641700001</v>
      </c>
      <c r="D1633" s="1">
        <v>-7.0529427508199998</v>
      </c>
      <c r="E1633" s="3">
        <v>1</v>
      </c>
      <c r="F1633" s="2">
        <v>2</v>
      </c>
      <c r="G1633" s="4">
        <v>2</v>
      </c>
      <c r="H1633" s="13"/>
      <c r="I1633" s="15"/>
      <c r="J1633" s="19">
        <v>2</v>
      </c>
      <c r="K1633" s="2" t="s">
        <v>3278</v>
      </c>
      <c r="L1633" s="11" t="str">
        <f t="shared" si="26"/>
        <v>Ver Imagen</v>
      </c>
      <c r="M1633" t="s">
        <v>15</v>
      </c>
    </row>
    <row r="1634" spans="1:13" x14ac:dyDescent="0.25">
      <c r="A1634">
        <v>1633</v>
      </c>
      <c r="B1634" t="s">
        <v>3279</v>
      </c>
      <c r="C1634" s="1">
        <v>37.3125339586</v>
      </c>
      <c r="D1634" s="1">
        <v>-7.0610082619899996</v>
      </c>
      <c r="E1634" s="3">
        <v>1</v>
      </c>
      <c r="F1634" s="2">
        <v>2</v>
      </c>
      <c r="G1634" s="4">
        <v>2</v>
      </c>
      <c r="H1634" s="13"/>
      <c r="I1634" s="15"/>
      <c r="J1634" s="19">
        <v>2</v>
      </c>
      <c r="K1634" s="2" t="s">
        <v>3280</v>
      </c>
      <c r="L1634" s="11" t="str">
        <f t="shared" si="26"/>
        <v>Ver Imagen</v>
      </c>
      <c r="M1634" t="s">
        <v>15</v>
      </c>
    </row>
    <row r="1635" spans="1:13" x14ac:dyDescent="0.25">
      <c r="A1635">
        <v>1634</v>
      </c>
      <c r="B1635" t="s">
        <v>3281</v>
      </c>
      <c r="C1635" s="1">
        <v>37.314944988800001</v>
      </c>
      <c r="D1635" s="1">
        <v>-7.06538215545</v>
      </c>
      <c r="E1635" s="3">
        <v>1</v>
      </c>
      <c r="F1635" s="2">
        <v>2</v>
      </c>
      <c r="G1635" s="4">
        <v>2</v>
      </c>
      <c r="H1635" s="13"/>
      <c r="I1635" s="15"/>
      <c r="J1635" s="19">
        <v>2</v>
      </c>
      <c r="K1635" s="2" t="s">
        <v>3282</v>
      </c>
      <c r="L1635" s="11" t="str">
        <f t="shared" si="26"/>
        <v>Ver Imagen</v>
      </c>
      <c r="M1635" t="s">
        <v>15</v>
      </c>
    </row>
    <row r="1636" spans="1:13" x14ac:dyDescent="0.25">
      <c r="A1636">
        <v>1635</v>
      </c>
      <c r="B1636" t="s">
        <v>3283</v>
      </c>
      <c r="C1636" s="1">
        <v>37.318362481900003</v>
      </c>
      <c r="D1636" s="1">
        <v>-7.0713183015299999</v>
      </c>
      <c r="E1636" s="3">
        <v>2</v>
      </c>
      <c r="F1636" s="2">
        <v>2</v>
      </c>
      <c r="G1636" s="4">
        <v>3</v>
      </c>
      <c r="H1636" s="13"/>
      <c r="I1636" s="15"/>
      <c r="J1636" s="19">
        <v>2</v>
      </c>
      <c r="K1636" s="2" t="s">
        <v>3284</v>
      </c>
      <c r="L1636" s="11" t="str">
        <f t="shared" si="26"/>
        <v>Ver Imagen</v>
      </c>
      <c r="M1636" t="s">
        <v>15</v>
      </c>
    </row>
    <row r="1637" spans="1:13" x14ac:dyDescent="0.25">
      <c r="A1637">
        <v>1636</v>
      </c>
      <c r="B1637" t="s">
        <v>3285</v>
      </c>
      <c r="C1637" s="1">
        <v>37.318762663100003</v>
      </c>
      <c r="D1637" s="1">
        <v>-7.0713887377200004</v>
      </c>
      <c r="E1637" s="3">
        <v>2</v>
      </c>
      <c r="F1637" s="2">
        <v>2</v>
      </c>
      <c r="G1637" s="4">
        <v>3</v>
      </c>
      <c r="H1637" s="13"/>
      <c r="I1637" s="15"/>
      <c r="J1637" s="19">
        <v>2</v>
      </c>
      <c r="K1637" s="2" t="s">
        <v>3286</v>
      </c>
      <c r="L1637" s="11" t="str">
        <f t="shared" si="26"/>
        <v>Ver Imagen</v>
      </c>
      <c r="M1637" t="s">
        <v>15</v>
      </c>
    </row>
    <row r="1638" spans="1:13" x14ac:dyDescent="0.25">
      <c r="A1638">
        <v>1637</v>
      </c>
      <c r="B1638" t="s">
        <v>3287</v>
      </c>
      <c r="C1638" s="1">
        <v>37.191516207500001</v>
      </c>
      <c r="D1638" s="1">
        <v>-6.9920555397399999</v>
      </c>
      <c r="E1638" s="3">
        <v>2</v>
      </c>
      <c r="F1638" s="2">
        <v>2</v>
      </c>
      <c r="G1638" s="4">
        <v>3</v>
      </c>
      <c r="H1638" s="13"/>
      <c r="I1638" s="15"/>
      <c r="J1638" s="19">
        <v>2</v>
      </c>
      <c r="K1638" s="2" t="s">
        <v>3288</v>
      </c>
      <c r="L1638" s="11" t="str">
        <f t="shared" si="26"/>
        <v>Ver Imagen</v>
      </c>
      <c r="M1638" t="s">
        <v>15</v>
      </c>
    </row>
    <row r="1639" spans="1:13" x14ac:dyDescent="0.25">
      <c r="A1639">
        <v>1638</v>
      </c>
      <c r="B1639" t="s">
        <v>3289</v>
      </c>
      <c r="C1639" s="1">
        <v>37.191929676800001</v>
      </c>
      <c r="D1639" s="1">
        <v>-6.9929134984800001</v>
      </c>
      <c r="E1639" s="3">
        <v>2</v>
      </c>
      <c r="F1639" s="2">
        <v>2</v>
      </c>
      <c r="G1639" s="4">
        <v>3</v>
      </c>
      <c r="H1639" s="13"/>
      <c r="I1639" s="15"/>
      <c r="J1639" s="19">
        <v>2</v>
      </c>
      <c r="K1639" s="2" t="s">
        <v>3290</v>
      </c>
      <c r="L1639" s="11" t="str">
        <f t="shared" si="26"/>
        <v>Ver Imagen</v>
      </c>
      <c r="M1639" t="s">
        <v>15</v>
      </c>
    </row>
    <row r="1640" spans="1:13" x14ac:dyDescent="0.25">
      <c r="A1640">
        <v>1639</v>
      </c>
      <c r="B1640" t="s">
        <v>3291</v>
      </c>
      <c r="C1640" s="1">
        <v>37.217997164400003</v>
      </c>
      <c r="D1640" s="1">
        <v>-7.1210396790199999</v>
      </c>
      <c r="E1640" s="3">
        <v>3</v>
      </c>
      <c r="F1640" s="2">
        <v>2</v>
      </c>
      <c r="G1640" s="4">
        <v>2</v>
      </c>
      <c r="H1640" s="13"/>
      <c r="I1640" s="15"/>
      <c r="J1640" s="19">
        <v>2</v>
      </c>
      <c r="K1640" s="2" t="s">
        <v>3292</v>
      </c>
      <c r="L1640" s="11" t="str">
        <f t="shared" si="26"/>
        <v>Ver Imagen</v>
      </c>
      <c r="M1640" t="s">
        <v>15</v>
      </c>
    </row>
    <row r="1641" spans="1:13" x14ac:dyDescent="0.25">
      <c r="A1641">
        <v>1640</v>
      </c>
      <c r="B1641" t="s">
        <v>3293</v>
      </c>
      <c r="C1641" s="1">
        <v>37.218016696200003</v>
      </c>
      <c r="D1641" s="1">
        <v>-7.1207897461399998</v>
      </c>
      <c r="E1641" s="3">
        <v>2</v>
      </c>
      <c r="F1641" s="2">
        <v>2</v>
      </c>
      <c r="G1641" s="4">
        <v>3</v>
      </c>
      <c r="H1641" s="13"/>
      <c r="I1641" s="15"/>
      <c r="J1641" s="19">
        <v>2</v>
      </c>
      <c r="K1641" s="2" t="s">
        <v>3294</v>
      </c>
      <c r="L1641" s="11" t="str">
        <f t="shared" si="26"/>
        <v>Ver Imagen</v>
      </c>
      <c r="M1641" t="s">
        <v>15</v>
      </c>
    </row>
    <row r="1642" spans="1:13" x14ac:dyDescent="0.25">
      <c r="A1642">
        <v>1641</v>
      </c>
      <c r="B1642" t="s">
        <v>3295</v>
      </c>
      <c r="C1642" s="1">
        <v>37.218107313200001</v>
      </c>
      <c r="D1642" s="1">
        <v>-7.1195173334700002</v>
      </c>
      <c r="E1642" s="3">
        <v>2</v>
      </c>
      <c r="F1642" s="2">
        <v>2</v>
      </c>
      <c r="G1642" s="4">
        <v>3</v>
      </c>
      <c r="H1642" s="13"/>
      <c r="I1642" s="15"/>
      <c r="J1642" s="19">
        <v>2</v>
      </c>
      <c r="K1642" s="2" t="s">
        <v>3296</v>
      </c>
      <c r="L1642" s="11" t="str">
        <f t="shared" si="26"/>
        <v>Ver Imagen</v>
      </c>
      <c r="M1642" t="s">
        <v>15</v>
      </c>
    </row>
    <row r="1643" spans="1:13" x14ac:dyDescent="0.25">
      <c r="A1643">
        <v>1642</v>
      </c>
      <c r="B1643" t="s">
        <v>3297</v>
      </c>
      <c r="C1643" s="1">
        <v>37.217031388199999</v>
      </c>
      <c r="D1643" s="1">
        <v>-7.09944792779</v>
      </c>
      <c r="E1643" s="3">
        <v>2</v>
      </c>
      <c r="F1643" s="2">
        <v>2</v>
      </c>
      <c r="G1643" s="4">
        <v>3</v>
      </c>
      <c r="H1643" s="13"/>
      <c r="I1643" s="15"/>
      <c r="J1643" s="19">
        <v>2</v>
      </c>
      <c r="K1643" s="2" t="s">
        <v>3298</v>
      </c>
      <c r="L1643" s="11" t="str">
        <f t="shared" si="26"/>
        <v>Ver Imagen</v>
      </c>
      <c r="M1643" t="s">
        <v>15</v>
      </c>
    </row>
    <row r="1644" spans="1:13" x14ac:dyDescent="0.25">
      <c r="A1644">
        <v>1643</v>
      </c>
      <c r="B1644" t="s">
        <v>3299</v>
      </c>
      <c r="C1644" s="1">
        <v>37.216577593899999</v>
      </c>
      <c r="D1644" s="1">
        <v>-7.0931819227900004</v>
      </c>
      <c r="E1644" s="3">
        <v>2</v>
      </c>
      <c r="F1644" s="2">
        <v>2</v>
      </c>
      <c r="G1644" s="4">
        <v>3</v>
      </c>
      <c r="H1644" s="13"/>
      <c r="I1644" s="15"/>
      <c r="J1644" s="19">
        <v>2</v>
      </c>
      <c r="K1644" s="2" t="s">
        <v>3300</v>
      </c>
      <c r="L1644" s="11" t="str">
        <f t="shared" si="26"/>
        <v>Ver Imagen</v>
      </c>
      <c r="M1644" t="s">
        <v>15</v>
      </c>
    </row>
    <row r="1645" spans="1:13" x14ac:dyDescent="0.25">
      <c r="A1645">
        <v>1644</v>
      </c>
      <c r="B1645" t="s">
        <v>3301</v>
      </c>
      <c r="C1645" s="1">
        <v>37.216044963800002</v>
      </c>
      <c r="D1645" s="1">
        <v>-7.0889238754999999</v>
      </c>
      <c r="E1645" s="3">
        <v>2</v>
      </c>
      <c r="F1645" s="2">
        <v>2</v>
      </c>
      <c r="G1645" s="4">
        <v>3</v>
      </c>
      <c r="H1645" s="13"/>
      <c r="I1645" s="15"/>
      <c r="J1645" s="19">
        <v>2</v>
      </c>
      <c r="K1645" s="2" t="s">
        <v>3302</v>
      </c>
      <c r="L1645" s="11" t="str">
        <f t="shared" si="26"/>
        <v>Ver Imagen</v>
      </c>
      <c r="M1645" t="s">
        <v>15</v>
      </c>
    </row>
    <row r="1646" spans="1:13" x14ac:dyDescent="0.25">
      <c r="A1646">
        <v>1645</v>
      </c>
      <c r="B1646" t="s">
        <v>3303</v>
      </c>
      <c r="C1646" s="1">
        <v>37.216150667299999</v>
      </c>
      <c r="D1646" s="1">
        <v>-7.0838726188200001</v>
      </c>
      <c r="E1646" s="3">
        <v>2</v>
      </c>
      <c r="F1646" s="2">
        <v>2</v>
      </c>
      <c r="G1646" s="4">
        <v>3</v>
      </c>
      <c r="H1646" s="13"/>
      <c r="I1646" s="15"/>
      <c r="J1646" s="19">
        <v>2</v>
      </c>
      <c r="K1646" s="2" t="s">
        <v>3304</v>
      </c>
      <c r="L1646" s="11" t="str">
        <f t="shared" si="26"/>
        <v>Ver Imagen</v>
      </c>
      <c r="M1646" t="s">
        <v>15</v>
      </c>
    </row>
    <row r="1647" spans="1:13" x14ac:dyDescent="0.25">
      <c r="A1647">
        <v>1646</v>
      </c>
      <c r="B1647" t="s">
        <v>3305</v>
      </c>
      <c r="C1647" s="1">
        <v>37.2160948609</v>
      </c>
      <c r="D1647" s="1">
        <v>-7.08363317313</v>
      </c>
      <c r="E1647" s="3">
        <v>2</v>
      </c>
      <c r="F1647" s="2">
        <v>2</v>
      </c>
      <c r="G1647" s="4">
        <v>3</v>
      </c>
      <c r="H1647" s="13"/>
      <c r="I1647" s="15"/>
      <c r="J1647" s="19">
        <v>2</v>
      </c>
      <c r="K1647" s="2" t="s">
        <v>3306</v>
      </c>
      <c r="L1647" s="11" t="str">
        <f t="shared" si="26"/>
        <v>Ver Imagen</v>
      </c>
      <c r="M1647" t="s">
        <v>15</v>
      </c>
    </row>
    <row r="1648" spans="1:13" x14ac:dyDescent="0.25">
      <c r="A1648">
        <v>1647</v>
      </c>
      <c r="B1648" t="s">
        <v>3307</v>
      </c>
      <c r="C1648" s="1">
        <v>37.216040841800002</v>
      </c>
      <c r="D1648" s="1">
        <v>-7.0834085719199997</v>
      </c>
      <c r="E1648" s="3">
        <v>2</v>
      </c>
      <c r="F1648" s="2">
        <v>2</v>
      </c>
      <c r="G1648" s="4">
        <v>3</v>
      </c>
      <c r="H1648" s="13"/>
      <c r="I1648" s="15"/>
      <c r="J1648" s="19">
        <v>2</v>
      </c>
      <c r="K1648" s="2" t="s">
        <v>3308</v>
      </c>
      <c r="L1648" s="11" t="str">
        <f t="shared" si="26"/>
        <v>Ver Imagen</v>
      </c>
      <c r="M1648" t="s">
        <v>15</v>
      </c>
    </row>
    <row r="1649" spans="1:13" x14ac:dyDescent="0.25">
      <c r="A1649">
        <v>1648</v>
      </c>
      <c r="B1649" t="s">
        <v>3309</v>
      </c>
      <c r="C1649" s="1">
        <v>37.215972830299997</v>
      </c>
      <c r="D1649" s="1">
        <v>-7.0831367627299997</v>
      </c>
      <c r="E1649" s="3">
        <v>2</v>
      </c>
      <c r="F1649" s="2">
        <v>2</v>
      </c>
      <c r="G1649" s="4">
        <v>3</v>
      </c>
      <c r="H1649" s="13"/>
      <c r="I1649" s="15"/>
      <c r="J1649" s="19">
        <v>2</v>
      </c>
      <c r="K1649" s="2" t="s">
        <v>3310</v>
      </c>
      <c r="L1649" s="11" t="str">
        <f t="shared" si="26"/>
        <v>Ver Imagen</v>
      </c>
      <c r="M1649" t="s">
        <v>15</v>
      </c>
    </row>
    <row r="1650" spans="1:13" x14ac:dyDescent="0.25">
      <c r="A1650">
        <v>1649</v>
      </c>
      <c r="B1650" t="s">
        <v>3311</v>
      </c>
      <c r="C1650" s="1">
        <v>37.213831083899997</v>
      </c>
      <c r="D1650" s="1">
        <v>-7.0731367266299996</v>
      </c>
      <c r="E1650" s="3">
        <v>2</v>
      </c>
      <c r="F1650" s="2">
        <v>2</v>
      </c>
      <c r="G1650" s="4">
        <v>3</v>
      </c>
      <c r="H1650" s="13"/>
      <c r="I1650" s="15"/>
      <c r="J1650" s="19">
        <v>2</v>
      </c>
      <c r="K1650" s="2" t="s">
        <v>3312</v>
      </c>
      <c r="L1650" s="11" t="str">
        <f t="shared" si="26"/>
        <v>Ver Imagen</v>
      </c>
      <c r="M1650" t="s">
        <v>15</v>
      </c>
    </row>
    <row r="1651" spans="1:13" x14ac:dyDescent="0.25">
      <c r="A1651">
        <v>1650</v>
      </c>
      <c r="B1651" t="s">
        <v>3313</v>
      </c>
      <c r="C1651" s="1">
        <v>37.2133261472</v>
      </c>
      <c r="D1651" s="1">
        <v>-7.06609968274</v>
      </c>
      <c r="E1651" s="3">
        <v>2</v>
      </c>
      <c r="F1651" s="2">
        <v>2</v>
      </c>
      <c r="G1651" s="4">
        <v>3</v>
      </c>
      <c r="H1651" s="13"/>
      <c r="I1651" s="15"/>
      <c r="J1651" s="19">
        <v>2</v>
      </c>
      <c r="K1651" s="2" t="s">
        <v>3314</v>
      </c>
      <c r="L1651" s="11" t="str">
        <f t="shared" si="26"/>
        <v>Ver Imagen</v>
      </c>
      <c r="M1651" t="s">
        <v>15</v>
      </c>
    </row>
    <row r="1652" spans="1:13" x14ac:dyDescent="0.25">
      <c r="A1652">
        <v>1651</v>
      </c>
      <c r="B1652" t="s">
        <v>3315</v>
      </c>
      <c r="C1652" s="1">
        <v>37.198911749300002</v>
      </c>
      <c r="D1652" s="1">
        <v>-7.01285020063</v>
      </c>
      <c r="E1652" s="3">
        <v>2</v>
      </c>
      <c r="F1652" s="2">
        <v>2</v>
      </c>
      <c r="G1652" s="4">
        <v>3</v>
      </c>
      <c r="H1652" s="13"/>
      <c r="I1652" s="15"/>
      <c r="J1652" s="19">
        <v>2</v>
      </c>
      <c r="K1652" s="2" t="s">
        <v>3316</v>
      </c>
      <c r="L1652" s="11" t="str">
        <f t="shared" si="26"/>
        <v>Ver Imagen</v>
      </c>
      <c r="M1652" t="s">
        <v>15</v>
      </c>
    </row>
    <row r="1653" spans="1:13" x14ac:dyDescent="0.25">
      <c r="A1653">
        <v>1652</v>
      </c>
      <c r="B1653" t="s">
        <v>3317</v>
      </c>
      <c r="C1653" s="1">
        <v>37.1975917026</v>
      </c>
      <c r="D1653" s="1">
        <v>-7.0094452060799997</v>
      </c>
      <c r="E1653" s="3">
        <v>2</v>
      </c>
      <c r="F1653" s="2">
        <v>2</v>
      </c>
      <c r="G1653" s="4">
        <v>3</v>
      </c>
      <c r="H1653" s="13"/>
      <c r="I1653" s="15"/>
      <c r="J1653" s="19">
        <v>2</v>
      </c>
      <c r="K1653" s="2" t="s">
        <v>3318</v>
      </c>
      <c r="L1653" s="11" t="str">
        <f t="shared" si="26"/>
        <v>Ver Imagen</v>
      </c>
      <c r="M1653" t="s">
        <v>15</v>
      </c>
    </row>
    <row r="1654" spans="1:13" x14ac:dyDescent="0.25">
      <c r="A1654">
        <v>1653</v>
      </c>
      <c r="B1654" t="s">
        <v>3319</v>
      </c>
      <c r="C1654" s="1">
        <v>37.288499323000003</v>
      </c>
      <c r="D1654" s="1">
        <v>-7.1412453246399998</v>
      </c>
      <c r="E1654" s="3">
        <v>2</v>
      </c>
      <c r="F1654" s="2">
        <v>2</v>
      </c>
      <c r="G1654" s="4">
        <v>3</v>
      </c>
      <c r="H1654" s="13"/>
      <c r="I1654" s="15"/>
      <c r="J1654" s="19">
        <v>2</v>
      </c>
      <c r="K1654" s="2" t="s">
        <v>3320</v>
      </c>
      <c r="L1654" s="11" t="str">
        <f t="shared" si="26"/>
        <v>Ver Imagen</v>
      </c>
      <c r="M1654" t="s">
        <v>15</v>
      </c>
    </row>
    <row r="1655" spans="1:13" x14ac:dyDescent="0.25">
      <c r="A1655">
        <v>1654</v>
      </c>
      <c r="B1655" t="s">
        <v>3321</v>
      </c>
      <c r="C1655" s="1">
        <v>37.272042128899997</v>
      </c>
      <c r="D1655" s="1">
        <v>-7.1411867637100004</v>
      </c>
      <c r="E1655" s="3">
        <v>3</v>
      </c>
      <c r="F1655" s="2">
        <v>2</v>
      </c>
      <c r="G1655" s="4">
        <v>2</v>
      </c>
      <c r="H1655" s="13"/>
      <c r="I1655" s="15"/>
      <c r="J1655" s="19">
        <v>2</v>
      </c>
      <c r="K1655" s="2" t="s">
        <v>3322</v>
      </c>
      <c r="L1655" s="11" t="str">
        <f t="shared" si="26"/>
        <v>Ver Imagen</v>
      </c>
      <c r="M1655" t="s">
        <v>15</v>
      </c>
    </row>
    <row r="1656" spans="1:13" x14ac:dyDescent="0.25">
      <c r="A1656">
        <v>1655</v>
      </c>
      <c r="B1656" t="s">
        <v>3323</v>
      </c>
      <c r="C1656" s="1">
        <v>37.262656538999998</v>
      </c>
      <c r="D1656" s="1">
        <v>-7.1307521077500002</v>
      </c>
      <c r="E1656" s="3">
        <v>3</v>
      </c>
      <c r="F1656" s="2">
        <v>2</v>
      </c>
      <c r="G1656" s="4">
        <v>2</v>
      </c>
      <c r="H1656" s="13"/>
      <c r="I1656" s="15"/>
      <c r="J1656" s="19">
        <v>2</v>
      </c>
      <c r="K1656" s="2" t="s">
        <v>3324</v>
      </c>
      <c r="L1656" s="11" t="str">
        <f t="shared" si="26"/>
        <v>Ver Imagen</v>
      </c>
      <c r="M1656" t="s">
        <v>15</v>
      </c>
    </row>
    <row r="1657" spans="1:13" x14ac:dyDescent="0.25">
      <c r="A1657">
        <v>1656</v>
      </c>
      <c r="B1657" t="s">
        <v>3325</v>
      </c>
      <c r="C1657" s="1">
        <v>37.251741448899999</v>
      </c>
      <c r="D1657" s="1">
        <v>-7.1270172685800004</v>
      </c>
      <c r="E1657" s="3">
        <v>3</v>
      </c>
      <c r="F1657" s="2">
        <v>2</v>
      </c>
      <c r="G1657" s="4">
        <v>2</v>
      </c>
      <c r="H1657" s="13"/>
      <c r="I1657" s="15"/>
      <c r="J1657" s="19">
        <v>2</v>
      </c>
      <c r="K1657" s="2" t="s">
        <v>3326</v>
      </c>
      <c r="L1657" s="11" t="str">
        <f t="shared" si="26"/>
        <v>Ver Imagen</v>
      </c>
      <c r="M1657" t="s">
        <v>15</v>
      </c>
    </row>
    <row r="1658" spans="1:13" x14ac:dyDescent="0.25">
      <c r="A1658">
        <v>1657</v>
      </c>
      <c r="B1658" t="s">
        <v>3327</v>
      </c>
      <c r="C1658" s="1">
        <v>37.242864347299999</v>
      </c>
      <c r="D1658" s="1">
        <v>-7.1283356407199996</v>
      </c>
      <c r="E1658" s="3">
        <v>2</v>
      </c>
      <c r="F1658" s="2">
        <v>2</v>
      </c>
      <c r="G1658" s="4">
        <v>3</v>
      </c>
      <c r="H1658" s="13"/>
      <c r="I1658" s="15"/>
      <c r="J1658" s="19">
        <v>2</v>
      </c>
      <c r="K1658" s="2" t="s">
        <v>3328</v>
      </c>
      <c r="L1658" s="11" t="str">
        <f t="shared" si="26"/>
        <v>Ver Imagen</v>
      </c>
      <c r="M1658" t="s">
        <v>15</v>
      </c>
    </row>
    <row r="1659" spans="1:13" x14ac:dyDescent="0.25">
      <c r="A1659">
        <v>1658</v>
      </c>
      <c r="B1659" t="s">
        <v>3329</v>
      </c>
      <c r="C1659" s="1">
        <v>37.237437875300003</v>
      </c>
      <c r="D1659" s="1">
        <v>-7.1283197755799996</v>
      </c>
      <c r="E1659" s="3">
        <v>2</v>
      </c>
      <c r="F1659" s="2">
        <v>2</v>
      </c>
      <c r="G1659" s="4">
        <v>3</v>
      </c>
      <c r="H1659" s="13"/>
      <c r="I1659" s="15"/>
      <c r="J1659" s="19">
        <v>2</v>
      </c>
      <c r="K1659" s="2" t="s">
        <v>3330</v>
      </c>
      <c r="L1659" s="11" t="str">
        <f t="shared" si="26"/>
        <v>Ver Imagen</v>
      </c>
      <c r="M1659" t="s">
        <v>15</v>
      </c>
    </row>
    <row r="1660" spans="1:13" x14ac:dyDescent="0.25">
      <c r="A1660">
        <v>1659</v>
      </c>
      <c r="B1660" t="s">
        <v>3331</v>
      </c>
      <c r="C1660" s="1">
        <v>37.237207841900002</v>
      </c>
      <c r="D1660" s="1">
        <v>-7.1282975713300001</v>
      </c>
      <c r="E1660" s="3">
        <v>2</v>
      </c>
      <c r="F1660" s="2">
        <v>2</v>
      </c>
      <c r="G1660" s="4">
        <v>3</v>
      </c>
      <c r="H1660" s="13"/>
      <c r="I1660" s="15"/>
      <c r="J1660" s="19">
        <v>2</v>
      </c>
      <c r="K1660" s="2" t="s">
        <v>3332</v>
      </c>
      <c r="L1660" s="11" t="str">
        <f t="shared" si="26"/>
        <v>Ver Imagen</v>
      </c>
      <c r="M1660" t="s">
        <v>15</v>
      </c>
    </row>
    <row r="1661" spans="1:13" x14ac:dyDescent="0.25">
      <c r="A1661">
        <v>1660</v>
      </c>
      <c r="B1661" t="s">
        <v>3333</v>
      </c>
      <c r="C1661" s="1">
        <v>37.235414445300002</v>
      </c>
      <c r="D1661" s="1">
        <v>-7.1280953188999998</v>
      </c>
      <c r="E1661" s="3">
        <v>2</v>
      </c>
      <c r="F1661" s="2">
        <v>2</v>
      </c>
      <c r="G1661" s="4">
        <v>3</v>
      </c>
      <c r="H1661" s="13"/>
      <c r="I1661" s="15"/>
      <c r="J1661" s="19">
        <v>2</v>
      </c>
      <c r="K1661" s="2" t="s">
        <v>3334</v>
      </c>
      <c r="L1661" s="11" t="str">
        <f t="shared" si="26"/>
        <v>Ver Imagen</v>
      </c>
      <c r="M1661" t="s">
        <v>15</v>
      </c>
    </row>
    <row r="1662" spans="1:13" x14ac:dyDescent="0.25">
      <c r="A1662">
        <v>1661</v>
      </c>
      <c r="B1662" t="s">
        <v>3335</v>
      </c>
      <c r="C1662" s="1">
        <v>37.234825729000001</v>
      </c>
      <c r="D1662" s="1">
        <v>-7.12789013063</v>
      </c>
      <c r="E1662" s="3">
        <v>2</v>
      </c>
      <c r="F1662" s="2">
        <v>2</v>
      </c>
      <c r="G1662" s="4">
        <v>3</v>
      </c>
      <c r="H1662" s="13"/>
      <c r="I1662" s="15"/>
      <c r="J1662" s="19">
        <v>2</v>
      </c>
      <c r="K1662" s="2" t="s">
        <v>3336</v>
      </c>
      <c r="L1662" s="11" t="str">
        <f t="shared" si="26"/>
        <v>Ver Imagen</v>
      </c>
      <c r="M1662" t="s">
        <v>15</v>
      </c>
    </row>
    <row r="1663" spans="1:13" x14ac:dyDescent="0.25">
      <c r="A1663">
        <v>1662</v>
      </c>
      <c r="B1663" t="s">
        <v>3337</v>
      </c>
      <c r="C1663" s="1">
        <v>37.231456714099998</v>
      </c>
      <c r="D1663" s="1">
        <v>-7.1270950108299997</v>
      </c>
      <c r="E1663" s="3">
        <v>2</v>
      </c>
      <c r="F1663" s="2">
        <v>2</v>
      </c>
      <c r="G1663" s="4">
        <v>3</v>
      </c>
      <c r="H1663" s="13"/>
      <c r="I1663" s="15"/>
      <c r="J1663" s="19">
        <v>2</v>
      </c>
      <c r="K1663" s="2" t="s">
        <v>3338</v>
      </c>
      <c r="L1663" s="11" t="str">
        <f t="shared" si="26"/>
        <v>Ver Imagen</v>
      </c>
      <c r="M1663" t="s">
        <v>15</v>
      </c>
    </row>
    <row r="1664" spans="1:13" x14ac:dyDescent="0.25">
      <c r="A1664">
        <v>1663</v>
      </c>
      <c r="B1664" t="s">
        <v>3339</v>
      </c>
      <c r="C1664" s="1">
        <v>37.229848804900001</v>
      </c>
      <c r="D1664" s="1">
        <v>-7.1269466353400004</v>
      </c>
      <c r="E1664" s="3">
        <v>2</v>
      </c>
      <c r="F1664" s="2">
        <v>2</v>
      </c>
      <c r="G1664" s="4">
        <v>3</v>
      </c>
      <c r="H1664" s="13"/>
      <c r="I1664" s="15"/>
      <c r="J1664" s="19">
        <v>2</v>
      </c>
      <c r="K1664" s="2" t="s">
        <v>3340</v>
      </c>
      <c r="L1664" s="11" t="str">
        <f t="shared" si="26"/>
        <v>Ver Imagen</v>
      </c>
      <c r="M1664" t="s">
        <v>15</v>
      </c>
    </row>
    <row r="1665" spans="1:13" x14ac:dyDescent="0.25">
      <c r="A1665">
        <v>1664</v>
      </c>
      <c r="B1665" t="s">
        <v>3341</v>
      </c>
      <c r="C1665" s="1">
        <v>37.229655871200002</v>
      </c>
      <c r="D1665" s="1">
        <v>-7.1269286066899999</v>
      </c>
      <c r="E1665" s="3">
        <v>2</v>
      </c>
      <c r="F1665" s="2">
        <v>2</v>
      </c>
      <c r="G1665" s="4">
        <v>3</v>
      </c>
      <c r="H1665" s="13"/>
      <c r="I1665" s="15"/>
      <c r="J1665" s="19">
        <v>2</v>
      </c>
      <c r="K1665" s="2" t="s">
        <v>3342</v>
      </c>
      <c r="L1665" s="11" t="str">
        <f t="shared" si="26"/>
        <v>Ver Imagen</v>
      </c>
      <c r="M1665" t="s">
        <v>15</v>
      </c>
    </row>
    <row r="1666" spans="1:13" x14ac:dyDescent="0.25">
      <c r="A1666">
        <v>1665</v>
      </c>
      <c r="B1666" t="s">
        <v>3343</v>
      </c>
      <c r="C1666" s="1">
        <v>37.223181271100003</v>
      </c>
      <c r="D1666" s="1">
        <v>-7.1250361666800002</v>
      </c>
      <c r="E1666" s="3">
        <v>3</v>
      </c>
      <c r="F1666" s="2">
        <v>2</v>
      </c>
      <c r="G1666" s="4">
        <v>2</v>
      </c>
      <c r="H1666" s="13"/>
      <c r="I1666" s="15"/>
      <c r="J1666" s="19">
        <v>2</v>
      </c>
      <c r="K1666" s="2" t="s">
        <v>3344</v>
      </c>
      <c r="L1666" s="11" t="str">
        <f t="shared" si="26"/>
        <v>Ver Imagen</v>
      </c>
      <c r="M1666" t="s">
        <v>15</v>
      </c>
    </row>
    <row r="1667" spans="1:13" x14ac:dyDescent="0.25">
      <c r="A1667">
        <v>1666</v>
      </c>
      <c r="B1667" t="s">
        <v>3345</v>
      </c>
      <c r="C1667" s="1">
        <v>37.222780091200001</v>
      </c>
      <c r="D1667" s="1">
        <v>-7.1250105142600004</v>
      </c>
      <c r="E1667" s="3">
        <v>2</v>
      </c>
      <c r="F1667" s="2">
        <v>2</v>
      </c>
      <c r="G1667" s="4">
        <v>3</v>
      </c>
      <c r="H1667" s="13"/>
      <c r="I1667" s="15"/>
      <c r="J1667" s="19">
        <v>2</v>
      </c>
      <c r="K1667" s="2" t="s">
        <v>3346</v>
      </c>
      <c r="L1667" s="11" t="str">
        <f t="shared" ref="L1667:L1730" si="27">HYPERLINK("2\1\" &amp; K1667, "Ver Imagen")</f>
        <v>Ver Imagen</v>
      </c>
      <c r="M1667" t="s">
        <v>15</v>
      </c>
    </row>
    <row r="1668" spans="1:13" x14ac:dyDescent="0.25">
      <c r="A1668">
        <v>1667</v>
      </c>
      <c r="B1668" t="s">
        <v>3347</v>
      </c>
      <c r="C1668" s="1">
        <v>37.443946532699997</v>
      </c>
      <c r="D1668" s="1">
        <v>-7.0974574989999999</v>
      </c>
      <c r="E1668" s="3">
        <v>3</v>
      </c>
      <c r="F1668" s="2">
        <v>2</v>
      </c>
      <c r="G1668" s="4">
        <v>2</v>
      </c>
      <c r="H1668" s="13"/>
      <c r="I1668" s="15"/>
      <c r="J1668" s="19">
        <v>2</v>
      </c>
      <c r="K1668" s="2" t="s">
        <v>3348</v>
      </c>
      <c r="L1668" s="11" t="str">
        <f t="shared" si="27"/>
        <v>Ver Imagen</v>
      </c>
      <c r="M1668" t="s">
        <v>15</v>
      </c>
    </row>
    <row r="1669" spans="1:13" x14ac:dyDescent="0.25">
      <c r="A1669">
        <v>1668</v>
      </c>
      <c r="B1669" t="s">
        <v>3349</v>
      </c>
      <c r="C1669" s="1">
        <v>37.443752699500003</v>
      </c>
      <c r="D1669" s="1">
        <v>-7.0964572693800001</v>
      </c>
      <c r="E1669" s="3">
        <v>3</v>
      </c>
      <c r="F1669" s="2">
        <v>2</v>
      </c>
      <c r="G1669" s="4">
        <v>2</v>
      </c>
      <c r="H1669" s="13"/>
      <c r="I1669" s="15"/>
      <c r="J1669" s="19">
        <v>2</v>
      </c>
      <c r="K1669" s="2" t="s">
        <v>3350</v>
      </c>
      <c r="L1669" s="11" t="str">
        <f t="shared" si="27"/>
        <v>Ver Imagen</v>
      </c>
      <c r="M1669" t="s">
        <v>15</v>
      </c>
    </row>
    <row r="1670" spans="1:13" x14ac:dyDescent="0.25">
      <c r="A1670">
        <v>1669</v>
      </c>
      <c r="B1670" t="s">
        <v>3351</v>
      </c>
      <c r="C1670" s="1">
        <v>37.443673860200001</v>
      </c>
      <c r="D1670" s="1">
        <v>-7.0962244803000001</v>
      </c>
      <c r="E1670" s="3">
        <v>3</v>
      </c>
      <c r="F1670" s="2">
        <v>2</v>
      </c>
      <c r="G1670" s="4">
        <v>2</v>
      </c>
      <c r="H1670" s="13"/>
      <c r="I1670" s="15"/>
      <c r="J1670" s="19">
        <v>2</v>
      </c>
      <c r="K1670" s="2" t="s">
        <v>3352</v>
      </c>
      <c r="L1670" s="11" t="str">
        <f t="shared" si="27"/>
        <v>Ver Imagen</v>
      </c>
      <c r="M1670" t="s">
        <v>15</v>
      </c>
    </row>
    <row r="1671" spans="1:13" x14ac:dyDescent="0.25">
      <c r="A1671">
        <v>1670</v>
      </c>
      <c r="B1671" t="s">
        <v>3353</v>
      </c>
      <c r="C1671" s="1">
        <v>37.443332168300003</v>
      </c>
      <c r="D1671" s="1">
        <v>-7.0953219554300002</v>
      </c>
      <c r="E1671" s="3">
        <v>3</v>
      </c>
      <c r="F1671" s="2">
        <v>2</v>
      </c>
      <c r="G1671" s="4">
        <v>2</v>
      </c>
      <c r="H1671" s="13"/>
      <c r="I1671" s="15"/>
      <c r="J1671" s="19">
        <v>2</v>
      </c>
      <c r="K1671" s="2" t="s">
        <v>3354</v>
      </c>
      <c r="L1671" s="11" t="str">
        <f t="shared" si="27"/>
        <v>Ver Imagen</v>
      </c>
      <c r="M1671" t="s">
        <v>15</v>
      </c>
    </row>
    <row r="1672" spans="1:13" x14ac:dyDescent="0.25">
      <c r="A1672">
        <v>1671</v>
      </c>
      <c r="B1672" t="s">
        <v>3355</v>
      </c>
      <c r="C1672" s="1">
        <v>37.222822048799998</v>
      </c>
      <c r="D1672" s="1">
        <v>-7.0557208396900002</v>
      </c>
      <c r="E1672" s="3">
        <v>3</v>
      </c>
      <c r="F1672" s="2">
        <v>2</v>
      </c>
      <c r="G1672" s="4">
        <v>2</v>
      </c>
      <c r="H1672" s="13"/>
      <c r="I1672" s="15"/>
      <c r="J1672" s="19">
        <v>2</v>
      </c>
      <c r="K1672" s="2" t="s">
        <v>3356</v>
      </c>
      <c r="L1672" s="11" t="str">
        <f t="shared" si="27"/>
        <v>Ver Imagen</v>
      </c>
      <c r="M1672" t="s">
        <v>15</v>
      </c>
    </row>
    <row r="1673" spans="1:13" x14ac:dyDescent="0.25">
      <c r="A1673">
        <v>1672</v>
      </c>
      <c r="B1673" t="s">
        <v>3357</v>
      </c>
      <c r="C1673" s="1">
        <v>37.223017931800001</v>
      </c>
      <c r="D1673" s="1">
        <v>-7.0558084694599996</v>
      </c>
      <c r="E1673" s="3">
        <v>3</v>
      </c>
      <c r="F1673" s="2">
        <v>2</v>
      </c>
      <c r="G1673" s="4">
        <v>2</v>
      </c>
      <c r="H1673" s="13"/>
      <c r="I1673" s="15"/>
      <c r="J1673" s="19">
        <v>2</v>
      </c>
      <c r="K1673" s="2" t="s">
        <v>3358</v>
      </c>
      <c r="L1673" s="11" t="str">
        <f t="shared" si="27"/>
        <v>Ver Imagen</v>
      </c>
      <c r="M1673" t="s">
        <v>15</v>
      </c>
    </row>
    <row r="1674" spans="1:13" x14ac:dyDescent="0.25">
      <c r="A1674">
        <v>1673</v>
      </c>
      <c r="B1674" t="s">
        <v>3359</v>
      </c>
      <c r="C1674" s="1">
        <v>37.224965660499997</v>
      </c>
      <c r="D1674" s="1">
        <v>-7.0399983944600004</v>
      </c>
      <c r="E1674" s="3">
        <v>2</v>
      </c>
      <c r="F1674" s="2">
        <v>2</v>
      </c>
      <c r="G1674" s="4">
        <v>3</v>
      </c>
      <c r="H1674" s="13"/>
      <c r="I1674" s="15"/>
      <c r="J1674" s="19">
        <v>2</v>
      </c>
      <c r="K1674" s="2" t="s">
        <v>3360</v>
      </c>
      <c r="L1674" s="11" t="str">
        <f t="shared" si="27"/>
        <v>Ver Imagen</v>
      </c>
      <c r="M1674" t="s">
        <v>15</v>
      </c>
    </row>
    <row r="1675" spans="1:13" x14ac:dyDescent="0.25">
      <c r="A1675">
        <v>1674</v>
      </c>
      <c r="B1675" t="s">
        <v>3361</v>
      </c>
      <c r="C1675" s="1">
        <v>37.225302553600002</v>
      </c>
      <c r="D1675" s="1">
        <v>-7.0411797959899998</v>
      </c>
      <c r="E1675" s="3">
        <v>2</v>
      </c>
      <c r="F1675" s="2">
        <v>2</v>
      </c>
      <c r="G1675" s="4">
        <v>3</v>
      </c>
      <c r="H1675" s="13"/>
      <c r="I1675" s="15"/>
      <c r="J1675" s="19">
        <v>2</v>
      </c>
      <c r="K1675" s="2" t="s">
        <v>3362</v>
      </c>
      <c r="L1675" s="11" t="str">
        <f t="shared" si="27"/>
        <v>Ver Imagen</v>
      </c>
      <c r="M1675" t="s">
        <v>15</v>
      </c>
    </row>
    <row r="1676" spans="1:13" x14ac:dyDescent="0.25">
      <c r="A1676">
        <v>1675</v>
      </c>
      <c r="B1676" t="s">
        <v>3363</v>
      </c>
      <c r="C1676" s="1">
        <v>37.225679753800001</v>
      </c>
      <c r="D1676" s="1">
        <v>-7.04209020497</v>
      </c>
      <c r="E1676" s="3">
        <v>2</v>
      </c>
      <c r="F1676" s="2">
        <v>2</v>
      </c>
      <c r="G1676" s="4">
        <v>3</v>
      </c>
      <c r="H1676" s="13"/>
      <c r="I1676" s="15"/>
      <c r="J1676" s="19">
        <v>2</v>
      </c>
      <c r="K1676" s="2" t="s">
        <v>3364</v>
      </c>
      <c r="L1676" s="11" t="str">
        <f t="shared" si="27"/>
        <v>Ver Imagen</v>
      </c>
      <c r="M1676" t="s">
        <v>15</v>
      </c>
    </row>
    <row r="1677" spans="1:13" x14ac:dyDescent="0.25">
      <c r="A1677">
        <v>1676</v>
      </c>
      <c r="B1677" t="s">
        <v>3365</v>
      </c>
      <c r="C1677" s="1">
        <v>37.2260743601</v>
      </c>
      <c r="D1677" s="1">
        <v>-7.04296207274</v>
      </c>
      <c r="E1677" s="3">
        <v>2</v>
      </c>
      <c r="F1677" s="2">
        <v>2</v>
      </c>
      <c r="G1677" s="4">
        <v>3</v>
      </c>
      <c r="H1677" s="13"/>
      <c r="I1677" s="15"/>
      <c r="J1677" s="19">
        <v>2</v>
      </c>
      <c r="K1677" s="2" t="s">
        <v>3366</v>
      </c>
      <c r="L1677" s="11" t="str">
        <f t="shared" si="27"/>
        <v>Ver Imagen</v>
      </c>
      <c r="M1677" t="s">
        <v>15</v>
      </c>
    </row>
    <row r="1678" spans="1:13" x14ac:dyDescent="0.25">
      <c r="A1678">
        <v>1677</v>
      </c>
      <c r="B1678" t="s">
        <v>3367</v>
      </c>
      <c r="C1678" s="1">
        <v>37.226180746499999</v>
      </c>
      <c r="D1678" s="1">
        <v>-7.0431921901800001</v>
      </c>
      <c r="E1678" s="3">
        <v>2</v>
      </c>
      <c r="F1678" s="2">
        <v>2</v>
      </c>
      <c r="G1678" s="4">
        <v>3</v>
      </c>
      <c r="H1678" s="13"/>
      <c r="I1678" s="15"/>
      <c r="J1678" s="19">
        <v>2</v>
      </c>
      <c r="K1678" s="2" t="s">
        <v>3368</v>
      </c>
      <c r="L1678" s="11" t="str">
        <f t="shared" si="27"/>
        <v>Ver Imagen</v>
      </c>
      <c r="M1678" t="s">
        <v>15</v>
      </c>
    </row>
    <row r="1679" spans="1:13" x14ac:dyDescent="0.25">
      <c r="A1679">
        <v>1678</v>
      </c>
      <c r="B1679" t="s">
        <v>3369</v>
      </c>
      <c r="C1679" s="1">
        <v>37.226272187200003</v>
      </c>
      <c r="D1679" s="1">
        <v>-7.0433922969899996</v>
      </c>
      <c r="E1679" s="3">
        <v>2</v>
      </c>
      <c r="F1679" s="2">
        <v>2</v>
      </c>
      <c r="G1679" s="4">
        <v>3</v>
      </c>
      <c r="H1679" s="13"/>
      <c r="I1679" s="15"/>
      <c r="J1679" s="19">
        <v>2</v>
      </c>
      <c r="K1679" s="2" t="s">
        <v>3370</v>
      </c>
      <c r="L1679" s="11" t="str">
        <f t="shared" si="27"/>
        <v>Ver Imagen</v>
      </c>
      <c r="M1679" t="s">
        <v>15</v>
      </c>
    </row>
    <row r="1680" spans="1:13" x14ac:dyDescent="0.25">
      <c r="A1680">
        <v>1679</v>
      </c>
      <c r="B1680" t="s">
        <v>3371</v>
      </c>
      <c r="C1680" s="1">
        <v>37.226488628799999</v>
      </c>
      <c r="D1680" s="1">
        <v>-7.0438660449199997</v>
      </c>
      <c r="E1680" s="3">
        <v>2</v>
      </c>
      <c r="F1680" s="2">
        <v>2</v>
      </c>
      <c r="G1680" s="4">
        <v>3</v>
      </c>
      <c r="H1680" s="13"/>
      <c r="I1680" s="15"/>
      <c r="J1680" s="19">
        <v>2</v>
      </c>
      <c r="K1680" s="2" t="s">
        <v>3372</v>
      </c>
      <c r="L1680" s="11" t="str">
        <f t="shared" si="27"/>
        <v>Ver Imagen</v>
      </c>
      <c r="M1680" t="s">
        <v>15</v>
      </c>
    </row>
    <row r="1681" spans="1:13" x14ac:dyDescent="0.25">
      <c r="A1681">
        <v>1680</v>
      </c>
      <c r="B1681" t="s">
        <v>3373</v>
      </c>
      <c r="C1681" s="1">
        <v>37.226582471299999</v>
      </c>
      <c r="D1681" s="1">
        <v>-7.0440602975199997</v>
      </c>
      <c r="E1681" s="3">
        <v>2</v>
      </c>
      <c r="F1681" s="2">
        <v>2</v>
      </c>
      <c r="G1681" s="4">
        <v>3</v>
      </c>
      <c r="H1681" s="13"/>
      <c r="I1681" s="15"/>
      <c r="J1681" s="19">
        <v>2</v>
      </c>
      <c r="K1681" s="2" t="s">
        <v>3374</v>
      </c>
      <c r="L1681" s="11" t="str">
        <f t="shared" si="27"/>
        <v>Ver Imagen</v>
      </c>
      <c r="M1681" t="s">
        <v>15</v>
      </c>
    </row>
    <row r="1682" spans="1:13" x14ac:dyDescent="0.25">
      <c r="A1682">
        <v>1681</v>
      </c>
      <c r="B1682" t="s">
        <v>3375</v>
      </c>
      <c r="C1682" s="1">
        <v>37.227093563899999</v>
      </c>
      <c r="D1682" s="1">
        <v>-7.0448373112400002</v>
      </c>
      <c r="E1682" s="3">
        <v>2</v>
      </c>
      <c r="F1682" s="2">
        <v>2</v>
      </c>
      <c r="G1682" s="4">
        <v>3</v>
      </c>
      <c r="H1682" s="13"/>
      <c r="I1682" s="15"/>
      <c r="J1682" s="19">
        <v>2</v>
      </c>
      <c r="K1682" s="2" t="s">
        <v>3376</v>
      </c>
      <c r="L1682" s="11" t="str">
        <f t="shared" si="27"/>
        <v>Ver Imagen</v>
      </c>
      <c r="M1682" t="s">
        <v>15</v>
      </c>
    </row>
    <row r="1683" spans="1:13" x14ac:dyDescent="0.25">
      <c r="A1683">
        <v>1682</v>
      </c>
      <c r="B1683" t="s">
        <v>3377</v>
      </c>
      <c r="C1683" s="1">
        <v>37.227401195799999</v>
      </c>
      <c r="D1683" s="1">
        <v>-7.0451463611799996</v>
      </c>
      <c r="E1683" s="3">
        <v>3</v>
      </c>
      <c r="F1683" s="2">
        <v>2</v>
      </c>
      <c r="G1683" s="4">
        <v>2</v>
      </c>
      <c r="H1683" s="13"/>
      <c r="I1683" s="15"/>
      <c r="J1683" s="19">
        <v>2</v>
      </c>
      <c r="K1683" s="2" t="s">
        <v>3378</v>
      </c>
      <c r="L1683" s="11" t="str">
        <f t="shared" si="27"/>
        <v>Ver Imagen</v>
      </c>
      <c r="M1683" t="s">
        <v>15</v>
      </c>
    </row>
    <row r="1684" spans="1:13" x14ac:dyDescent="0.25">
      <c r="A1684">
        <v>1683</v>
      </c>
      <c r="B1684" t="s">
        <v>3379</v>
      </c>
      <c r="C1684" s="1">
        <v>37.227576319199997</v>
      </c>
      <c r="D1684" s="1">
        <v>-7.0453122715500003</v>
      </c>
      <c r="E1684" s="3">
        <v>3</v>
      </c>
      <c r="F1684" s="2">
        <v>2</v>
      </c>
      <c r="G1684" s="4">
        <v>2</v>
      </c>
      <c r="H1684" s="13"/>
      <c r="I1684" s="15"/>
      <c r="J1684" s="19">
        <v>2</v>
      </c>
      <c r="K1684" s="2" t="s">
        <v>3380</v>
      </c>
      <c r="L1684" s="11" t="str">
        <f t="shared" si="27"/>
        <v>Ver Imagen</v>
      </c>
      <c r="M1684" t="s">
        <v>15</v>
      </c>
    </row>
    <row r="1685" spans="1:13" x14ac:dyDescent="0.25">
      <c r="A1685">
        <v>1684</v>
      </c>
      <c r="B1685" t="s">
        <v>3381</v>
      </c>
      <c r="C1685" s="1">
        <v>37.227726945400001</v>
      </c>
      <c r="D1685" s="1">
        <v>-7.0454543092500002</v>
      </c>
      <c r="E1685" s="3">
        <v>2</v>
      </c>
      <c r="F1685" s="2">
        <v>2</v>
      </c>
      <c r="G1685" s="4">
        <v>3</v>
      </c>
      <c r="H1685" s="13"/>
      <c r="I1685" s="15"/>
      <c r="J1685" s="19">
        <v>2</v>
      </c>
      <c r="K1685" s="2" t="s">
        <v>3382</v>
      </c>
      <c r="L1685" s="11" t="str">
        <f t="shared" si="27"/>
        <v>Ver Imagen</v>
      </c>
      <c r="M1685" t="s">
        <v>15</v>
      </c>
    </row>
    <row r="1686" spans="1:13" x14ac:dyDescent="0.25">
      <c r="A1686">
        <v>1685</v>
      </c>
      <c r="B1686" t="s">
        <v>3383</v>
      </c>
      <c r="C1686" s="1">
        <v>37.228342320599999</v>
      </c>
      <c r="D1686" s="1">
        <v>-7.0461000136600003</v>
      </c>
      <c r="E1686" s="3">
        <v>2</v>
      </c>
      <c r="F1686" s="2">
        <v>2</v>
      </c>
      <c r="G1686" s="4">
        <v>3</v>
      </c>
      <c r="H1686" s="13"/>
      <c r="I1686" s="15"/>
      <c r="J1686" s="19">
        <v>2</v>
      </c>
      <c r="K1686" s="2" t="s">
        <v>3384</v>
      </c>
      <c r="L1686" s="11" t="str">
        <f t="shared" si="27"/>
        <v>Ver Imagen</v>
      </c>
      <c r="M1686" t="s">
        <v>15</v>
      </c>
    </row>
    <row r="1687" spans="1:13" x14ac:dyDescent="0.25">
      <c r="A1687">
        <v>1686</v>
      </c>
      <c r="B1687" t="s">
        <v>3385</v>
      </c>
      <c r="C1687" s="1">
        <v>37.228492952099998</v>
      </c>
      <c r="D1687" s="1">
        <v>-7.0462876162599999</v>
      </c>
      <c r="E1687" s="3">
        <v>2</v>
      </c>
      <c r="F1687" s="2">
        <v>2</v>
      </c>
      <c r="G1687" s="4">
        <v>3</v>
      </c>
      <c r="H1687" s="13"/>
      <c r="I1687" s="15"/>
      <c r="J1687" s="19">
        <v>2</v>
      </c>
      <c r="K1687" s="2" t="s">
        <v>3386</v>
      </c>
      <c r="L1687" s="11" t="str">
        <f t="shared" si="27"/>
        <v>Ver Imagen</v>
      </c>
      <c r="M1687" t="s">
        <v>15</v>
      </c>
    </row>
    <row r="1688" spans="1:13" x14ac:dyDescent="0.25">
      <c r="A1688">
        <v>1687</v>
      </c>
      <c r="B1688" t="s">
        <v>3387</v>
      </c>
      <c r="C1688" s="1">
        <v>37.228635918999998</v>
      </c>
      <c r="D1688" s="1">
        <v>-7.0464821751100004</v>
      </c>
      <c r="E1688" s="3">
        <v>2</v>
      </c>
      <c r="F1688" s="2">
        <v>2</v>
      </c>
      <c r="G1688" s="4">
        <v>3</v>
      </c>
      <c r="H1688" s="13"/>
      <c r="I1688" s="15"/>
      <c r="J1688" s="19">
        <v>2</v>
      </c>
      <c r="K1688" s="2" t="s">
        <v>3388</v>
      </c>
      <c r="L1688" s="11" t="str">
        <f t="shared" si="27"/>
        <v>Ver Imagen</v>
      </c>
      <c r="M1688" t="s">
        <v>15</v>
      </c>
    </row>
    <row r="1689" spans="1:13" x14ac:dyDescent="0.25">
      <c r="A1689">
        <v>1688</v>
      </c>
      <c r="B1689" t="s">
        <v>3389</v>
      </c>
      <c r="C1689" s="1">
        <v>37.228762359400001</v>
      </c>
      <c r="D1689" s="1">
        <v>-7.0466675470600002</v>
      </c>
      <c r="E1689" s="3">
        <v>2</v>
      </c>
      <c r="F1689" s="2">
        <v>2</v>
      </c>
      <c r="G1689" s="4">
        <v>3</v>
      </c>
      <c r="H1689" s="13"/>
      <c r="I1689" s="15"/>
      <c r="J1689" s="19">
        <v>2</v>
      </c>
      <c r="K1689" s="2" t="s">
        <v>3390</v>
      </c>
      <c r="L1689" s="11" t="str">
        <f t="shared" si="27"/>
        <v>Ver Imagen</v>
      </c>
      <c r="M1689" t="s">
        <v>15</v>
      </c>
    </row>
    <row r="1690" spans="1:13" x14ac:dyDescent="0.25">
      <c r="A1690">
        <v>1689</v>
      </c>
      <c r="B1690" t="s">
        <v>3391</v>
      </c>
      <c r="C1690" s="1">
        <v>37.229133476299999</v>
      </c>
      <c r="D1690" s="1">
        <v>-7.0472626487500003</v>
      </c>
      <c r="E1690" s="3">
        <v>2</v>
      </c>
      <c r="F1690" s="2">
        <v>2</v>
      </c>
      <c r="G1690" s="4">
        <v>3</v>
      </c>
      <c r="H1690" s="13"/>
      <c r="I1690" s="15"/>
      <c r="J1690" s="19">
        <v>2</v>
      </c>
      <c r="K1690" s="2" t="s">
        <v>3392</v>
      </c>
      <c r="L1690" s="11" t="str">
        <f t="shared" si="27"/>
        <v>Ver Imagen</v>
      </c>
      <c r="M1690" t="s">
        <v>15</v>
      </c>
    </row>
    <row r="1691" spans="1:13" x14ac:dyDescent="0.25">
      <c r="A1691">
        <v>1690</v>
      </c>
      <c r="B1691" t="s">
        <v>3393</v>
      </c>
      <c r="C1691" s="1">
        <v>37.229257533499997</v>
      </c>
      <c r="D1691" s="1">
        <v>-7.0474674542500004</v>
      </c>
      <c r="E1691" s="3">
        <v>2</v>
      </c>
      <c r="F1691" s="2">
        <v>2</v>
      </c>
      <c r="G1691" s="4">
        <v>3</v>
      </c>
      <c r="H1691" s="13"/>
      <c r="I1691" s="15"/>
      <c r="J1691" s="19">
        <v>2</v>
      </c>
      <c r="K1691" s="2" t="s">
        <v>3394</v>
      </c>
      <c r="L1691" s="11" t="str">
        <f t="shared" si="27"/>
        <v>Ver Imagen</v>
      </c>
      <c r="M1691" t="s">
        <v>15</v>
      </c>
    </row>
    <row r="1692" spans="1:13" x14ac:dyDescent="0.25">
      <c r="A1692">
        <v>1691</v>
      </c>
      <c r="B1692" t="s">
        <v>3395</v>
      </c>
      <c r="C1692" s="1">
        <v>37.229376559599999</v>
      </c>
      <c r="D1692" s="1">
        <v>-7.0476646357500004</v>
      </c>
      <c r="E1692" s="3">
        <v>2</v>
      </c>
      <c r="F1692" s="2">
        <v>2</v>
      </c>
      <c r="G1692" s="4">
        <v>3</v>
      </c>
      <c r="H1692" s="13"/>
      <c r="I1692" s="15"/>
      <c r="J1692" s="19">
        <v>2</v>
      </c>
      <c r="K1692" s="2" t="s">
        <v>3396</v>
      </c>
      <c r="L1692" s="11" t="str">
        <f t="shared" si="27"/>
        <v>Ver Imagen</v>
      </c>
      <c r="M1692" t="s">
        <v>15</v>
      </c>
    </row>
    <row r="1693" spans="1:13" x14ac:dyDescent="0.25">
      <c r="A1693">
        <v>1692</v>
      </c>
      <c r="B1693" t="s">
        <v>3397</v>
      </c>
      <c r="C1693" s="1">
        <v>37.229500094700001</v>
      </c>
      <c r="D1693" s="1">
        <v>-7.0478717268100004</v>
      </c>
      <c r="E1693" s="3">
        <v>2</v>
      </c>
      <c r="F1693" s="2">
        <v>2</v>
      </c>
      <c r="G1693" s="4">
        <v>3</v>
      </c>
      <c r="H1693" s="13"/>
      <c r="I1693" s="15"/>
      <c r="J1693" s="19">
        <v>2</v>
      </c>
      <c r="K1693" s="2" t="s">
        <v>3398</v>
      </c>
      <c r="L1693" s="11" t="str">
        <f t="shared" si="27"/>
        <v>Ver Imagen</v>
      </c>
      <c r="M1693" t="s">
        <v>15</v>
      </c>
    </row>
    <row r="1694" spans="1:13" x14ac:dyDescent="0.25">
      <c r="A1694">
        <v>1693</v>
      </c>
      <c r="B1694" t="s">
        <v>3399</v>
      </c>
      <c r="C1694" s="1">
        <v>37.229620822000001</v>
      </c>
      <c r="D1694" s="1">
        <v>-7.0480745983400004</v>
      </c>
      <c r="E1694" s="3">
        <v>2</v>
      </c>
      <c r="F1694" s="2">
        <v>2</v>
      </c>
      <c r="G1694" s="4">
        <v>3</v>
      </c>
      <c r="H1694" s="13"/>
      <c r="I1694" s="15"/>
      <c r="J1694" s="19">
        <v>2</v>
      </c>
      <c r="K1694" s="2" t="s">
        <v>3400</v>
      </c>
      <c r="L1694" s="11" t="str">
        <f t="shared" si="27"/>
        <v>Ver Imagen</v>
      </c>
      <c r="M1694" t="s">
        <v>15</v>
      </c>
    </row>
    <row r="1695" spans="1:13" x14ac:dyDescent="0.25">
      <c r="A1695">
        <v>1694</v>
      </c>
      <c r="B1695" t="s">
        <v>3401</v>
      </c>
      <c r="C1695" s="1">
        <v>37.229871084400003</v>
      </c>
      <c r="D1695" s="1">
        <v>-7.04849331505</v>
      </c>
      <c r="E1695" s="3">
        <v>2</v>
      </c>
      <c r="F1695" s="2">
        <v>2</v>
      </c>
      <c r="G1695" s="4">
        <v>3</v>
      </c>
      <c r="H1695" s="13"/>
      <c r="I1695" s="15"/>
      <c r="J1695" s="19">
        <v>2</v>
      </c>
      <c r="K1695" s="2" t="s">
        <v>3402</v>
      </c>
      <c r="L1695" s="11" t="str">
        <f t="shared" si="27"/>
        <v>Ver Imagen</v>
      </c>
      <c r="M1695" t="s">
        <v>15</v>
      </c>
    </row>
    <row r="1696" spans="1:13" x14ac:dyDescent="0.25">
      <c r="A1696">
        <v>1695</v>
      </c>
      <c r="B1696" t="s">
        <v>3403</v>
      </c>
      <c r="C1696" s="1">
        <v>37.230003415399999</v>
      </c>
      <c r="D1696" s="1">
        <v>-7.04871344828</v>
      </c>
      <c r="E1696" s="3">
        <v>2</v>
      </c>
      <c r="F1696" s="2">
        <v>2</v>
      </c>
      <c r="G1696" s="4">
        <v>3</v>
      </c>
      <c r="H1696" s="13"/>
      <c r="I1696" s="15"/>
      <c r="J1696" s="19">
        <v>2</v>
      </c>
      <c r="K1696" s="2" t="s">
        <v>3404</v>
      </c>
      <c r="L1696" s="11" t="str">
        <f t="shared" si="27"/>
        <v>Ver Imagen</v>
      </c>
      <c r="M1696" t="s">
        <v>15</v>
      </c>
    </row>
    <row r="1697" spans="1:13" x14ac:dyDescent="0.25">
      <c r="A1697">
        <v>1696</v>
      </c>
      <c r="B1697" t="s">
        <v>3405</v>
      </c>
      <c r="C1697" s="1">
        <v>37.230348686699998</v>
      </c>
      <c r="D1697" s="1">
        <v>-7.0492879052299999</v>
      </c>
      <c r="E1697" s="3">
        <v>2</v>
      </c>
      <c r="F1697" s="2">
        <v>2</v>
      </c>
      <c r="G1697" s="4">
        <v>3</v>
      </c>
      <c r="H1697" s="13"/>
      <c r="I1697" s="15"/>
      <c r="J1697" s="19">
        <v>2</v>
      </c>
      <c r="K1697" s="2" t="s">
        <v>3406</v>
      </c>
      <c r="L1697" s="11" t="str">
        <f t="shared" si="27"/>
        <v>Ver Imagen</v>
      </c>
      <c r="M1697" t="s">
        <v>15</v>
      </c>
    </row>
    <row r="1698" spans="1:13" x14ac:dyDescent="0.25">
      <c r="A1698">
        <v>1697</v>
      </c>
      <c r="B1698" t="s">
        <v>3407</v>
      </c>
      <c r="C1698" s="1">
        <v>37.231166223199999</v>
      </c>
      <c r="D1698" s="1">
        <v>-7.0507299189300001</v>
      </c>
      <c r="E1698" s="3">
        <v>2</v>
      </c>
      <c r="F1698" s="2">
        <v>2</v>
      </c>
      <c r="G1698" s="4">
        <v>3</v>
      </c>
      <c r="H1698" s="13"/>
      <c r="I1698" s="15"/>
      <c r="J1698" s="19">
        <v>2</v>
      </c>
      <c r="K1698" s="2" t="s">
        <v>3408</v>
      </c>
      <c r="L1698" s="11" t="str">
        <f t="shared" si="27"/>
        <v>Ver Imagen</v>
      </c>
      <c r="M1698" t="s">
        <v>15</v>
      </c>
    </row>
    <row r="1699" spans="1:13" x14ac:dyDescent="0.25">
      <c r="A1699">
        <v>1698</v>
      </c>
      <c r="B1699" t="s">
        <v>3409</v>
      </c>
      <c r="C1699" s="1">
        <v>37.231506308100002</v>
      </c>
      <c r="D1699" s="1">
        <v>-7.05137998947</v>
      </c>
      <c r="E1699" s="3">
        <v>2</v>
      </c>
      <c r="F1699" s="2">
        <v>2</v>
      </c>
      <c r="G1699" s="4">
        <v>3</v>
      </c>
      <c r="H1699" s="13"/>
      <c r="I1699" s="15"/>
      <c r="J1699" s="19">
        <v>2</v>
      </c>
      <c r="K1699" s="2" t="s">
        <v>3410</v>
      </c>
      <c r="L1699" s="11" t="str">
        <f t="shared" si="27"/>
        <v>Ver Imagen</v>
      </c>
      <c r="M1699" t="s">
        <v>15</v>
      </c>
    </row>
    <row r="1700" spans="1:13" x14ac:dyDescent="0.25">
      <c r="A1700">
        <v>1699</v>
      </c>
      <c r="B1700" t="s">
        <v>3411</v>
      </c>
      <c r="C1700" s="1">
        <v>37.232179471800002</v>
      </c>
      <c r="D1700" s="1">
        <v>-7.0526321518300001</v>
      </c>
      <c r="E1700" s="3">
        <v>2</v>
      </c>
      <c r="F1700" s="2">
        <v>2</v>
      </c>
      <c r="G1700" s="4">
        <v>3</v>
      </c>
      <c r="H1700" s="13"/>
      <c r="I1700" s="15"/>
      <c r="J1700" s="19">
        <v>2</v>
      </c>
      <c r="K1700" s="2" t="s">
        <v>3412</v>
      </c>
      <c r="L1700" s="11" t="str">
        <f t="shared" si="27"/>
        <v>Ver Imagen</v>
      </c>
      <c r="M1700" t="s">
        <v>15</v>
      </c>
    </row>
    <row r="1701" spans="1:13" x14ac:dyDescent="0.25">
      <c r="A1701">
        <v>1700</v>
      </c>
      <c r="B1701" t="s">
        <v>3413</v>
      </c>
      <c r="C1701" s="1">
        <v>37.2325307192</v>
      </c>
      <c r="D1701" s="1">
        <v>-7.0532828433799999</v>
      </c>
      <c r="E1701" s="3">
        <v>2</v>
      </c>
      <c r="F1701" s="2">
        <v>2</v>
      </c>
      <c r="G1701" s="4">
        <v>3</v>
      </c>
      <c r="H1701" s="13"/>
      <c r="I1701" s="15"/>
      <c r="J1701" s="19">
        <v>2</v>
      </c>
      <c r="K1701" s="2" t="s">
        <v>3414</v>
      </c>
      <c r="L1701" s="11" t="str">
        <f t="shared" si="27"/>
        <v>Ver Imagen</v>
      </c>
      <c r="M1701" t="s">
        <v>15</v>
      </c>
    </row>
    <row r="1702" spans="1:13" x14ac:dyDescent="0.25">
      <c r="A1702">
        <v>1701</v>
      </c>
      <c r="B1702" t="s">
        <v>3415</v>
      </c>
      <c r="C1702" s="1">
        <v>37.232738363199999</v>
      </c>
      <c r="D1702" s="1">
        <v>-7.0537091844799997</v>
      </c>
      <c r="E1702" s="3">
        <v>2</v>
      </c>
      <c r="F1702" s="2">
        <v>2</v>
      </c>
      <c r="G1702" s="4">
        <v>3</v>
      </c>
      <c r="H1702" s="13"/>
      <c r="I1702" s="15"/>
      <c r="J1702" s="19">
        <v>2</v>
      </c>
      <c r="K1702" s="2" t="s">
        <v>3416</v>
      </c>
      <c r="L1702" s="11" t="str">
        <f t="shared" si="27"/>
        <v>Ver Imagen</v>
      </c>
      <c r="M1702" t="s">
        <v>15</v>
      </c>
    </row>
    <row r="1703" spans="1:13" x14ac:dyDescent="0.25">
      <c r="A1703">
        <v>1702</v>
      </c>
      <c r="B1703" t="s">
        <v>3417</v>
      </c>
      <c r="C1703" s="1">
        <v>37.232827861399997</v>
      </c>
      <c r="D1703" s="1">
        <v>-7.0539194541099999</v>
      </c>
      <c r="E1703" s="3">
        <v>2</v>
      </c>
      <c r="F1703" s="2">
        <v>2</v>
      </c>
      <c r="G1703" s="4">
        <v>3</v>
      </c>
      <c r="H1703" s="13"/>
      <c r="I1703" s="15"/>
      <c r="J1703" s="19">
        <v>2</v>
      </c>
      <c r="K1703" s="2" t="s">
        <v>3418</v>
      </c>
      <c r="L1703" s="11" t="str">
        <f t="shared" si="27"/>
        <v>Ver Imagen</v>
      </c>
      <c r="M1703" t="s">
        <v>15</v>
      </c>
    </row>
    <row r="1704" spans="1:13" x14ac:dyDescent="0.25">
      <c r="A1704">
        <v>1703</v>
      </c>
      <c r="B1704" t="s">
        <v>3419</v>
      </c>
      <c r="C1704" s="1">
        <v>37.232922433100001</v>
      </c>
      <c r="D1704" s="1">
        <v>-7.0541562665699997</v>
      </c>
      <c r="E1704" s="3">
        <v>2</v>
      </c>
      <c r="F1704" s="2">
        <v>2</v>
      </c>
      <c r="G1704" s="4">
        <v>3</v>
      </c>
      <c r="H1704" s="13"/>
      <c r="I1704" s="15"/>
      <c r="J1704" s="19">
        <v>2</v>
      </c>
      <c r="K1704" s="2" t="s">
        <v>3420</v>
      </c>
      <c r="L1704" s="11" t="str">
        <f t="shared" si="27"/>
        <v>Ver Imagen</v>
      </c>
      <c r="M1704" t="s">
        <v>15</v>
      </c>
    </row>
    <row r="1705" spans="1:13" x14ac:dyDescent="0.25">
      <c r="A1705">
        <v>1704</v>
      </c>
      <c r="B1705" t="s">
        <v>3421</v>
      </c>
      <c r="C1705" s="1">
        <v>37.233005740400003</v>
      </c>
      <c r="D1705" s="1">
        <v>-7.0543836173600001</v>
      </c>
      <c r="E1705" s="3">
        <v>2</v>
      </c>
      <c r="F1705" s="2">
        <v>2</v>
      </c>
      <c r="G1705" s="4">
        <v>3</v>
      </c>
      <c r="H1705" s="13"/>
      <c r="I1705" s="15"/>
      <c r="J1705" s="19">
        <v>2</v>
      </c>
      <c r="K1705" s="2" t="s">
        <v>3422</v>
      </c>
      <c r="L1705" s="11" t="str">
        <f t="shared" si="27"/>
        <v>Ver Imagen</v>
      </c>
      <c r="M1705" t="s">
        <v>15</v>
      </c>
    </row>
    <row r="1706" spans="1:13" x14ac:dyDescent="0.25">
      <c r="A1706">
        <v>1705</v>
      </c>
      <c r="B1706" t="s">
        <v>3423</v>
      </c>
      <c r="C1706" s="1">
        <v>37.233078792299999</v>
      </c>
      <c r="D1706" s="1">
        <v>-7.0546100912699998</v>
      </c>
      <c r="E1706" s="3">
        <v>2</v>
      </c>
      <c r="F1706" s="2">
        <v>2</v>
      </c>
      <c r="G1706" s="4">
        <v>3</v>
      </c>
      <c r="H1706" s="13"/>
      <c r="I1706" s="15"/>
      <c r="J1706" s="19">
        <v>2</v>
      </c>
      <c r="K1706" s="2" t="s">
        <v>3424</v>
      </c>
      <c r="L1706" s="11" t="str">
        <f t="shared" si="27"/>
        <v>Ver Imagen</v>
      </c>
      <c r="M1706" t="s">
        <v>15</v>
      </c>
    </row>
    <row r="1707" spans="1:13" x14ac:dyDescent="0.25">
      <c r="A1707">
        <v>1706</v>
      </c>
      <c r="B1707" t="s">
        <v>3425</v>
      </c>
      <c r="C1707" s="1">
        <v>37.2332098495</v>
      </c>
      <c r="D1707" s="1">
        <v>-7.0550830650199998</v>
      </c>
      <c r="E1707" s="3">
        <v>2</v>
      </c>
      <c r="F1707" s="2">
        <v>2</v>
      </c>
      <c r="G1707" s="4">
        <v>3</v>
      </c>
      <c r="H1707" s="13"/>
      <c r="I1707" s="15"/>
      <c r="J1707" s="19">
        <v>2</v>
      </c>
      <c r="K1707" s="2" t="s">
        <v>3426</v>
      </c>
      <c r="L1707" s="11" t="str">
        <f t="shared" si="27"/>
        <v>Ver Imagen</v>
      </c>
      <c r="M1707" t="s">
        <v>15</v>
      </c>
    </row>
    <row r="1708" spans="1:13" x14ac:dyDescent="0.25">
      <c r="A1708">
        <v>1707</v>
      </c>
      <c r="B1708" t="s">
        <v>3427</v>
      </c>
      <c r="C1708" s="1">
        <v>37.233269308700002</v>
      </c>
      <c r="D1708" s="1">
        <v>-7.05531469651</v>
      </c>
      <c r="E1708" s="3">
        <v>2</v>
      </c>
      <c r="F1708" s="2">
        <v>2</v>
      </c>
      <c r="G1708" s="4">
        <v>3</v>
      </c>
      <c r="H1708" s="13"/>
      <c r="I1708" s="15"/>
      <c r="J1708" s="19">
        <v>2</v>
      </c>
      <c r="K1708" s="2" t="s">
        <v>3428</v>
      </c>
      <c r="L1708" s="11" t="str">
        <f t="shared" si="27"/>
        <v>Ver Imagen</v>
      </c>
      <c r="M1708" t="s">
        <v>15</v>
      </c>
    </row>
    <row r="1709" spans="1:13" x14ac:dyDescent="0.25">
      <c r="A1709">
        <v>1708</v>
      </c>
      <c r="B1709" t="s">
        <v>3429</v>
      </c>
      <c r="C1709" s="1">
        <v>37.233327475599999</v>
      </c>
      <c r="D1709" s="1">
        <v>-7.05554061527</v>
      </c>
      <c r="E1709" s="3">
        <v>2</v>
      </c>
      <c r="F1709" s="2">
        <v>2</v>
      </c>
      <c r="G1709" s="4">
        <v>3</v>
      </c>
      <c r="H1709" s="13"/>
      <c r="I1709" s="15"/>
      <c r="J1709" s="19">
        <v>2</v>
      </c>
      <c r="K1709" s="2" t="s">
        <v>3430</v>
      </c>
      <c r="L1709" s="11" t="str">
        <f t="shared" si="27"/>
        <v>Ver Imagen</v>
      </c>
      <c r="M1709" t="s">
        <v>15</v>
      </c>
    </row>
    <row r="1710" spans="1:13" x14ac:dyDescent="0.25">
      <c r="A1710">
        <v>1709</v>
      </c>
      <c r="B1710" t="s">
        <v>3431</v>
      </c>
      <c r="C1710" s="1">
        <v>37.233463362099997</v>
      </c>
      <c r="D1710" s="1">
        <v>-7.0560640008300002</v>
      </c>
      <c r="E1710" s="3">
        <v>2</v>
      </c>
      <c r="F1710" s="2">
        <v>2</v>
      </c>
      <c r="G1710" s="4">
        <v>3</v>
      </c>
      <c r="H1710" s="13"/>
      <c r="I1710" s="15"/>
      <c r="J1710" s="19">
        <v>2</v>
      </c>
      <c r="K1710" s="2" t="s">
        <v>3432</v>
      </c>
      <c r="L1710" s="11" t="str">
        <f t="shared" si="27"/>
        <v>Ver Imagen</v>
      </c>
      <c r="M1710" t="s">
        <v>15</v>
      </c>
    </row>
    <row r="1711" spans="1:13" x14ac:dyDescent="0.25">
      <c r="A1711">
        <v>1710</v>
      </c>
      <c r="B1711" t="s">
        <v>3433</v>
      </c>
      <c r="C1711" s="1">
        <v>37.2335869789</v>
      </c>
      <c r="D1711" s="1">
        <v>-7.0565314661</v>
      </c>
      <c r="E1711" s="3">
        <v>2</v>
      </c>
      <c r="F1711" s="2">
        <v>2</v>
      </c>
      <c r="G1711" s="4">
        <v>3</v>
      </c>
      <c r="H1711" s="13"/>
      <c r="I1711" s="15"/>
      <c r="J1711" s="19">
        <v>2</v>
      </c>
      <c r="K1711" s="2" t="s">
        <v>3434</v>
      </c>
      <c r="L1711" s="11" t="str">
        <f t="shared" si="27"/>
        <v>Ver Imagen</v>
      </c>
      <c r="M1711" t="s">
        <v>15</v>
      </c>
    </row>
    <row r="1712" spans="1:13" x14ac:dyDescent="0.25">
      <c r="A1712">
        <v>1711</v>
      </c>
      <c r="B1712" t="s">
        <v>3435</v>
      </c>
      <c r="C1712" s="1">
        <v>37.233656557000003</v>
      </c>
      <c r="D1712" s="1">
        <v>-7.05679547031</v>
      </c>
      <c r="E1712" s="3">
        <v>2</v>
      </c>
      <c r="F1712" s="2">
        <v>2</v>
      </c>
      <c r="G1712" s="4">
        <v>3</v>
      </c>
      <c r="H1712" s="13"/>
      <c r="I1712" s="15"/>
      <c r="J1712" s="19">
        <v>2</v>
      </c>
      <c r="K1712" s="2" t="s">
        <v>3436</v>
      </c>
      <c r="L1712" s="11" t="str">
        <f t="shared" si="27"/>
        <v>Ver Imagen</v>
      </c>
      <c r="M1712" t="s">
        <v>15</v>
      </c>
    </row>
    <row r="1713" spans="1:13" x14ac:dyDescent="0.25">
      <c r="A1713">
        <v>1712</v>
      </c>
      <c r="B1713" t="s">
        <v>3437</v>
      </c>
      <c r="C1713" s="1">
        <v>37.233718539599998</v>
      </c>
      <c r="D1713" s="1">
        <v>-7.0570301719800002</v>
      </c>
      <c r="E1713" s="3">
        <v>2</v>
      </c>
      <c r="F1713" s="2">
        <v>2</v>
      </c>
      <c r="G1713" s="4">
        <v>3</v>
      </c>
      <c r="H1713" s="13"/>
      <c r="I1713" s="15"/>
      <c r="J1713" s="19">
        <v>2</v>
      </c>
      <c r="K1713" s="2" t="s">
        <v>3438</v>
      </c>
      <c r="L1713" s="11" t="str">
        <f t="shared" si="27"/>
        <v>Ver Imagen</v>
      </c>
      <c r="M1713" t="s">
        <v>15</v>
      </c>
    </row>
    <row r="1714" spans="1:13" x14ac:dyDescent="0.25">
      <c r="A1714">
        <v>1713</v>
      </c>
      <c r="B1714" t="s">
        <v>3439</v>
      </c>
      <c r="C1714" s="1">
        <v>37.2337777324</v>
      </c>
      <c r="D1714" s="1">
        <v>-7.0572539576400004</v>
      </c>
      <c r="E1714" s="3">
        <v>2</v>
      </c>
      <c r="F1714" s="2">
        <v>2</v>
      </c>
      <c r="G1714" s="4">
        <v>3</v>
      </c>
      <c r="H1714" s="13"/>
      <c r="I1714" s="15"/>
      <c r="J1714" s="19">
        <v>2</v>
      </c>
      <c r="K1714" s="2" t="s">
        <v>3440</v>
      </c>
      <c r="L1714" s="11" t="str">
        <f t="shared" si="27"/>
        <v>Ver Imagen</v>
      </c>
      <c r="M1714" t="s">
        <v>15</v>
      </c>
    </row>
    <row r="1715" spans="1:13" x14ac:dyDescent="0.25">
      <c r="A1715">
        <v>1714</v>
      </c>
      <c r="B1715" t="s">
        <v>3441</v>
      </c>
      <c r="C1715" s="1">
        <v>37.234037535100001</v>
      </c>
      <c r="D1715" s="1">
        <v>-7.0638173965700002</v>
      </c>
      <c r="E1715" s="3">
        <v>2</v>
      </c>
      <c r="F1715" s="2">
        <v>2</v>
      </c>
      <c r="G1715" s="4">
        <v>3</v>
      </c>
      <c r="H1715" s="13"/>
      <c r="I1715" s="15"/>
      <c r="J1715" s="19">
        <v>2</v>
      </c>
      <c r="K1715" s="2" t="s">
        <v>3442</v>
      </c>
      <c r="L1715" s="11" t="str">
        <f t="shared" si="27"/>
        <v>Ver Imagen</v>
      </c>
      <c r="M1715" t="s">
        <v>15</v>
      </c>
    </row>
    <row r="1716" spans="1:13" x14ac:dyDescent="0.25">
      <c r="A1716">
        <v>1715</v>
      </c>
      <c r="B1716" t="s">
        <v>3443</v>
      </c>
      <c r="C1716" s="1">
        <v>37.239499265500001</v>
      </c>
      <c r="D1716" s="1">
        <v>-7.0806414397399999</v>
      </c>
      <c r="E1716" s="3">
        <v>2</v>
      </c>
      <c r="F1716" s="2">
        <v>2</v>
      </c>
      <c r="G1716" s="4">
        <v>3</v>
      </c>
      <c r="H1716" s="13"/>
      <c r="I1716" s="15"/>
      <c r="J1716" s="19">
        <v>2</v>
      </c>
      <c r="K1716" s="2" t="s">
        <v>3444</v>
      </c>
      <c r="L1716" s="11" t="str">
        <f t="shared" si="27"/>
        <v>Ver Imagen</v>
      </c>
      <c r="M1716" t="s">
        <v>15</v>
      </c>
    </row>
    <row r="1717" spans="1:13" x14ac:dyDescent="0.25">
      <c r="A1717">
        <v>1716</v>
      </c>
      <c r="B1717" t="s">
        <v>3445</v>
      </c>
      <c r="C1717" s="1">
        <v>37.250227142100002</v>
      </c>
      <c r="D1717" s="1">
        <v>-7.1029630812300004</v>
      </c>
      <c r="E1717" s="3">
        <v>2</v>
      </c>
      <c r="F1717" s="2">
        <v>2</v>
      </c>
      <c r="G1717" s="4">
        <v>3</v>
      </c>
      <c r="H1717" s="13"/>
      <c r="I1717" s="15"/>
      <c r="J1717" s="19">
        <v>2</v>
      </c>
      <c r="K1717" s="2" t="s">
        <v>3446</v>
      </c>
      <c r="L1717" s="11" t="str">
        <f t="shared" si="27"/>
        <v>Ver Imagen</v>
      </c>
      <c r="M1717" t="s">
        <v>15</v>
      </c>
    </row>
    <row r="1718" spans="1:13" x14ac:dyDescent="0.25">
      <c r="A1718">
        <v>1717</v>
      </c>
      <c r="B1718" t="s">
        <v>3447</v>
      </c>
      <c r="C1718" s="1">
        <v>37.251141344200001</v>
      </c>
      <c r="D1718" s="1">
        <v>-7.1034967514699998</v>
      </c>
      <c r="E1718" s="3">
        <v>2</v>
      </c>
      <c r="F1718" s="2">
        <v>2</v>
      </c>
      <c r="G1718" s="4">
        <v>3</v>
      </c>
      <c r="H1718" s="13"/>
      <c r="I1718" s="15"/>
      <c r="J1718" s="19">
        <v>2</v>
      </c>
      <c r="K1718" s="2" t="s">
        <v>3448</v>
      </c>
      <c r="L1718" s="11" t="str">
        <f t="shared" si="27"/>
        <v>Ver Imagen</v>
      </c>
      <c r="M1718" t="s">
        <v>15</v>
      </c>
    </row>
    <row r="1719" spans="1:13" x14ac:dyDescent="0.25">
      <c r="A1719">
        <v>1718</v>
      </c>
      <c r="B1719" t="s">
        <v>3449</v>
      </c>
      <c r="C1719" s="1">
        <v>37.252781795700002</v>
      </c>
      <c r="D1719" s="1">
        <v>-7.1053225589100002</v>
      </c>
      <c r="E1719" s="3">
        <v>2</v>
      </c>
      <c r="F1719" s="2">
        <v>2</v>
      </c>
      <c r="G1719" s="4">
        <v>3</v>
      </c>
      <c r="H1719" s="13"/>
      <c r="I1719" s="15"/>
      <c r="J1719" s="19">
        <v>2</v>
      </c>
      <c r="K1719" s="2" t="s">
        <v>3450</v>
      </c>
      <c r="L1719" s="11" t="str">
        <f t="shared" si="27"/>
        <v>Ver Imagen</v>
      </c>
      <c r="M1719" t="s">
        <v>15</v>
      </c>
    </row>
    <row r="1720" spans="1:13" x14ac:dyDescent="0.25">
      <c r="A1720">
        <v>1719</v>
      </c>
      <c r="B1720" t="s">
        <v>3451</v>
      </c>
      <c r="C1720" s="1">
        <v>37.2536919036</v>
      </c>
      <c r="D1720" s="1">
        <v>-7.1072746903399997</v>
      </c>
      <c r="E1720" s="3">
        <v>2</v>
      </c>
      <c r="F1720" s="2">
        <v>2</v>
      </c>
      <c r="G1720" s="4">
        <v>3</v>
      </c>
      <c r="H1720" s="13"/>
      <c r="I1720" s="15"/>
      <c r="J1720" s="19">
        <v>2</v>
      </c>
      <c r="K1720" s="2" t="s">
        <v>3452</v>
      </c>
      <c r="L1720" s="11" t="str">
        <f t="shared" si="27"/>
        <v>Ver Imagen</v>
      </c>
      <c r="M1720" t="s">
        <v>15</v>
      </c>
    </row>
    <row r="1721" spans="1:13" x14ac:dyDescent="0.25">
      <c r="A1721">
        <v>1720</v>
      </c>
      <c r="B1721" t="s">
        <v>3453</v>
      </c>
      <c r="C1721" s="1">
        <v>37.253818843600001</v>
      </c>
      <c r="D1721" s="1">
        <v>-7.1074529802799997</v>
      </c>
      <c r="E1721" s="3">
        <v>2</v>
      </c>
      <c r="F1721" s="2">
        <v>2</v>
      </c>
      <c r="G1721" s="4">
        <v>3</v>
      </c>
      <c r="H1721" s="13"/>
      <c r="I1721" s="15"/>
      <c r="J1721" s="19">
        <v>2</v>
      </c>
      <c r="K1721" s="2" t="s">
        <v>3454</v>
      </c>
      <c r="L1721" s="11" t="str">
        <f t="shared" si="27"/>
        <v>Ver Imagen</v>
      </c>
      <c r="M1721" t="s">
        <v>15</v>
      </c>
    </row>
    <row r="1722" spans="1:13" x14ac:dyDescent="0.25">
      <c r="A1722">
        <v>1721</v>
      </c>
      <c r="B1722" t="s">
        <v>3455</v>
      </c>
      <c r="C1722" s="1">
        <v>37.4440457854</v>
      </c>
      <c r="D1722" s="1">
        <v>-7.0991828557499996</v>
      </c>
      <c r="E1722" s="3">
        <v>2</v>
      </c>
      <c r="F1722" s="2">
        <v>2</v>
      </c>
      <c r="G1722" s="4">
        <v>3</v>
      </c>
      <c r="H1722" s="13"/>
      <c r="I1722" s="15"/>
      <c r="J1722" s="19">
        <v>2</v>
      </c>
      <c r="K1722" s="2" t="s">
        <v>3456</v>
      </c>
      <c r="L1722" s="11" t="str">
        <f t="shared" si="27"/>
        <v>Ver Imagen</v>
      </c>
      <c r="M1722" t="s">
        <v>15</v>
      </c>
    </row>
    <row r="1723" spans="1:13" x14ac:dyDescent="0.25">
      <c r="A1723">
        <v>1722</v>
      </c>
      <c r="B1723" t="s">
        <v>3457</v>
      </c>
      <c r="C1723" s="1">
        <v>37.482088940499999</v>
      </c>
      <c r="D1723" s="1">
        <v>-7.1283106867499999</v>
      </c>
      <c r="E1723" s="3">
        <v>2</v>
      </c>
      <c r="F1723" s="2">
        <v>2</v>
      </c>
      <c r="G1723" s="4">
        <v>3</v>
      </c>
      <c r="H1723" s="13"/>
      <c r="I1723" s="15"/>
      <c r="J1723" s="19">
        <v>2</v>
      </c>
      <c r="K1723" s="2" t="s">
        <v>3458</v>
      </c>
      <c r="L1723" s="11" t="str">
        <f t="shared" si="27"/>
        <v>Ver Imagen</v>
      </c>
      <c r="M1723" t="s">
        <v>15</v>
      </c>
    </row>
    <row r="1724" spans="1:13" x14ac:dyDescent="0.25">
      <c r="A1724">
        <v>1723</v>
      </c>
      <c r="B1724" t="s">
        <v>3459</v>
      </c>
      <c r="C1724" s="1">
        <v>37.481747140400003</v>
      </c>
      <c r="D1724" s="1">
        <v>-7.1281014453699996</v>
      </c>
      <c r="E1724" s="3">
        <v>2</v>
      </c>
      <c r="F1724" s="2">
        <v>2</v>
      </c>
      <c r="G1724" s="4">
        <v>3</v>
      </c>
      <c r="H1724" s="13"/>
      <c r="I1724" s="15"/>
      <c r="J1724" s="19">
        <v>2</v>
      </c>
      <c r="K1724" s="2" t="s">
        <v>3460</v>
      </c>
      <c r="L1724" s="11" t="str">
        <f t="shared" si="27"/>
        <v>Ver Imagen</v>
      </c>
      <c r="M1724" t="s">
        <v>15</v>
      </c>
    </row>
    <row r="1725" spans="1:13" x14ac:dyDescent="0.25">
      <c r="A1725">
        <v>1724</v>
      </c>
      <c r="B1725" t="s">
        <v>3461</v>
      </c>
      <c r="C1725" s="1">
        <v>37.481528580099997</v>
      </c>
      <c r="D1725" s="1">
        <v>-7.1279936799700003</v>
      </c>
      <c r="E1725" s="3">
        <v>2</v>
      </c>
      <c r="F1725" s="2">
        <v>2</v>
      </c>
      <c r="G1725" s="4">
        <v>3</v>
      </c>
      <c r="H1725" s="13"/>
      <c r="I1725" s="15"/>
      <c r="J1725" s="19">
        <v>2</v>
      </c>
      <c r="K1725" s="2" t="s">
        <v>3462</v>
      </c>
      <c r="L1725" s="11" t="str">
        <f t="shared" si="27"/>
        <v>Ver Imagen</v>
      </c>
      <c r="M1725" t="s">
        <v>15</v>
      </c>
    </row>
    <row r="1726" spans="1:13" x14ac:dyDescent="0.25">
      <c r="A1726">
        <v>1725</v>
      </c>
      <c r="B1726" t="s">
        <v>3463</v>
      </c>
      <c r="C1726" s="1">
        <v>37.470422704500002</v>
      </c>
      <c r="D1726" s="1">
        <v>-7.1249498476899999</v>
      </c>
      <c r="E1726" s="3">
        <v>3</v>
      </c>
      <c r="F1726" s="2">
        <v>2</v>
      </c>
      <c r="G1726" s="4">
        <v>2</v>
      </c>
      <c r="H1726" s="13"/>
      <c r="I1726" s="15"/>
      <c r="J1726" s="19">
        <v>2</v>
      </c>
      <c r="K1726" s="2" t="s">
        <v>3464</v>
      </c>
      <c r="L1726" s="11" t="str">
        <f t="shared" si="27"/>
        <v>Ver Imagen</v>
      </c>
      <c r="M1726" t="s">
        <v>15</v>
      </c>
    </row>
    <row r="1727" spans="1:13" x14ac:dyDescent="0.25">
      <c r="A1727">
        <v>1726</v>
      </c>
      <c r="B1727" t="s">
        <v>3465</v>
      </c>
      <c r="C1727" s="1">
        <v>37.450980192599999</v>
      </c>
      <c r="D1727" s="1">
        <v>-7.1274199148099999</v>
      </c>
      <c r="E1727" s="3">
        <v>2</v>
      </c>
      <c r="F1727" s="2">
        <v>2</v>
      </c>
      <c r="G1727" s="4">
        <v>3</v>
      </c>
      <c r="H1727" s="13"/>
      <c r="I1727" s="15"/>
      <c r="J1727" s="19">
        <v>2</v>
      </c>
      <c r="K1727" s="2" t="s">
        <v>3466</v>
      </c>
      <c r="L1727" s="11" t="str">
        <f t="shared" si="27"/>
        <v>Ver Imagen</v>
      </c>
      <c r="M1727" t="s">
        <v>15</v>
      </c>
    </row>
    <row r="1728" spans="1:13" x14ac:dyDescent="0.25">
      <c r="A1728">
        <v>1727</v>
      </c>
      <c r="B1728" t="s">
        <v>3467</v>
      </c>
      <c r="C1728" s="1">
        <v>37.492610103300002</v>
      </c>
      <c r="D1728" s="1">
        <v>-7.2774437343100002</v>
      </c>
      <c r="E1728" s="3">
        <v>2</v>
      </c>
      <c r="F1728" s="2">
        <v>2</v>
      </c>
      <c r="G1728" s="4">
        <v>3</v>
      </c>
      <c r="H1728" s="13"/>
      <c r="I1728" s="15"/>
      <c r="J1728" s="19">
        <v>2</v>
      </c>
      <c r="K1728" s="2" t="s">
        <v>3468</v>
      </c>
      <c r="L1728" s="11" t="str">
        <f t="shared" si="27"/>
        <v>Ver Imagen</v>
      </c>
      <c r="M1728" t="s">
        <v>15</v>
      </c>
    </row>
    <row r="1729" spans="1:13" x14ac:dyDescent="0.25">
      <c r="A1729">
        <v>1728</v>
      </c>
      <c r="B1729" t="s">
        <v>3469</v>
      </c>
      <c r="C1729" s="1">
        <v>37.492823373</v>
      </c>
      <c r="D1729" s="1">
        <v>-7.2773682420199997</v>
      </c>
      <c r="E1729" s="3">
        <v>2</v>
      </c>
      <c r="F1729" s="2">
        <v>2</v>
      </c>
      <c r="G1729" s="4">
        <v>3</v>
      </c>
      <c r="H1729" s="13"/>
      <c r="I1729" s="15"/>
      <c r="J1729" s="19">
        <v>2</v>
      </c>
      <c r="K1729" s="2" t="s">
        <v>3470</v>
      </c>
      <c r="L1729" s="11" t="str">
        <f t="shared" si="27"/>
        <v>Ver Imagen</v>
      </c>
      <c r="M1729" t="s">
        <v>15</v>
      </c>
    </row>
    <row r="1730" spans="1:13" x14ac:dyDescent="0.25">
      <c r="A1730">
        <v>1729</v>
      </c>
      <c r="B1730" t="s">
        <v>3471</v>
      </c>
      <c r="C1730" s="1">
        <v>37.495168008999997</v>
      </c>
      <c r="D1730" s="1">
        <v>-7.2765693779099996</v>
      </c>
      <c r="E1730" s="3">
        <v>3</v>
      </c>
      <c r="F1730" s="2">
        <v>2</v>
      </c>
      <c r="G1730" s="4">
        <v>2</v>
      </c>
      <c r="H1730" s="13"/>
      <c r="I1730" s="15"/>
      <c r="J1730" s="19">
        <v>2</v>
      </c>
      <c r="K1730" s="2" t="s">
        <v>3472</v>
      </c>
      <c r="L1730" s="11" t="str">
        <f t="shared" si="27"/>
        <v>Ver Imagen</v>
      </c>
      <c r="M1730" t="s">
        <v>15</v>
      </c>
    </row>
    <row r="1731" spans="1:13" x14ac:dyDescent="0.25">
      <c r="A1731">
        <v>1730</v>
      </c>
      <c r="B1731" t="s">
        <v>3473</v>
      </c>
      <c r="C1731" s="1">
        <v>37.495536256999998</v>
      </c>
      <c r="D1731" s="1">
        <v>-7.27603525411</v>
      </c>
      <c r="E1731" s="3">
        <v>3</v>
      </c>
      <c r="F1731" s="2">
        <v>2</v>
      </c>
      <c r="G1731" s="4">
        <v>2</v>
      </c>
      <c r="H1731" s="13"/>
      <c r="I1731" s="15"/>
      <c r="J1731" s="19">
        <v>2</v>
      </c>
      <c r="K1731" s="2" t="s">
        <v>3474</v>
      </c>
      <c r="L1731" s="11" t="str">
        <f t="shared" ref="L1731:L1789" si="28">HYPERLINK("2\1\" &amp; K1731, "Ver Imagen")</f>
        <v>Ver Imagen</v>
      </c>
      <c r="M1731" t="s">
        <v>15</v>
      </c>
    </row>
    <row r="1732" spans="1:13" x14ac:dyDescent="0.25">
      <c r="A1732">
        <v>1731</v>
      </c>
      <c r="B1732" t="s">
        <v>3475</v>
      </c>
      <c r="C1732" s="1">
        <v>37.495714777899998</v>
      </c>
      <c r="D1732" s="1">
        <v>-7.27452661377</v>
      </c>
      <c r="E1732" s="3">
        <v>2</v>
      </c>
      <c r="F1732" s="2">
        <v>2</v>
      </c>
      <c r="G1732" s="4">
        <v>3</v>
      </c>
      <c r="H1732" s="13"/>
      <c r="I1732" s="15"/>
      <c r="J1732" s="19">
        <v>2</v>
      </c>
      <c r="K1732" s="2" t="s">
        <v>3476</v>
      </c>
      <c r="L1732" s="11" t="str">
        <f t="shared" si="28"/>
        <v>Ver Imagen</v>
      </c>
      <c r="M1732" t="s">
        <v>15</v>
      </c>
    </row>
    <row r="1733" spans="1:13" x14ac:dyDescent="0.25">
      <c r="A1733">
        <v>1732</v>
      </c>
      <c r="B1733" t="s">
        <v>3477</v>
      </c>
      <c r="C1733" s="1">
        <v>37.502122775300002</v>
      </c>
      <c r="D1733" s="1">
        <v>-7.2663747519799999</v>
      </c>
      <c r="E1733" s="3">
        <v>2</v>
      </c>
      <c r="F1733" s="2">
        <v>2</v>
      </c>
      <c r="G1733" s="4">
        <v>3</v>
      </c>
      <c r="H1733" s="13"/>
      <c r="I1733" s="15"/>
      <c r="J1733" s="19">
        <v>2</v>
      </c>
      <c r="K1733" s="2" t="s">
        <v>3478</v>
      </c>
      <c r="L1733" s="11" t="str">
        <f t="shared" si="28"/>
        <v>Ver Imagen</v>
      </c>
      <c r="M1733" t="s">
        <v>15</v>
      </c>
    </row>
    <row r="1734" spans="1:13" x14ac:dyDescent="0.25">
      <c r="A1734">
        <v>1733</v>
      </c>
      <c r="B1734" t="s">
        <v>3479</v>
      </c>
      <c r="C1734" s="1">
        <v>37.271401841200003</v>
      </c>
      <c r="D1734" s="1">
        <v>-6.9883202359499998</v>
      </c>
      <c r="E1734" s="3">
        <v>3</v>
      </c>
      <c r="F1734" s="2">
        <v>2</v>
      </c>
      <c r="G1734" s="4">
        <v>2</v>
      </c>
      <c r="H1734" s="13"/>
      <c r="I1734" s="15"/>
      <c r="J1734" s="19">
        <v>2</v>
      </c>
      <c r="K1734" s="2" t="s">
        <v>3480</v>
      </c>
      <c r="L1734" s="11" t="str">
        <f t="shared" si="28"/>
        <v>Ver Imagen</v>
      </c>
      <c r="M1734" t="s">
        <v>15</v>
      </c>
    </row>
    <row r="1735" spans="1:13" x14ac:dyDescent="0.25">
      <c r="A1735">
        <v>1734</v>
      </c>
      <c r="B1735" t="s">
        <v>3481</v>
      </c>
      <c r="C1735" s="1">
        <v>37.268555078699997</v>
      </c>
      <c r="D1735" s="1">
        <v>-6.99066287621</v>
      </c>
      <c r="E1735" s="3">
        <v>2</v>
      </c>
      <c r="F1735" s="2">
        <v>2</v>
      </c>
      <c r="G1735" s="4">
        <v>3</v>
      </c>
      <c r="H1735" s="13"/>
      <c r="I1735" s="15"/>
      <c r="J1735" s="19">
        <v>2</v>
      </c>
      <c r="K1735" s="2" t="s">
        <v>3482</v>
      </c>
      <c r="L1735" s="11" t="str">
        <f t="shared" si="28"/>
        <v>Ver Imagen</v>
      </c>
      <c r="M1735" t="s">
        <v>15</v>
      </c>
    </row>
    <row r="1736" spans="1:13" x14ac:dyDescent="0.25">
      <c r="A1736">
        <v>1735</v>
      </c>
      <c r="B1736" t="s">
        <v>3483</v>
      </c>
      <c r="C1736" s="1">
        <v>37.263425861599998</v>
      </c>
      <c r="D1736" s="1">
        <v>-7.0075806176500004</v>
      </c>
      <c r="E1736" s="3">
        <v>2</v>
      </c>
      <c r="F1736" s="2">
        <v>2</v>
      </c>
      <c r="G1736" s="4">
        <v>3</v>
      </c>
      <c r="H1736" s="13"/>
      <c r="I1736" s="15"/>
      <c r="J1736" s="19">
        <v>2</v>
      </c>
      <c r="K1736" s="2" t="s">
        <v>3484</v>
      </c>
      <c r="L1736" s="11" t="str">
        <f t="shared" si="28"/>
        <v>Ver Imagen</v>
      </c>
      <c r="M1736" t="s">
        <v>15</v>
      </c>
    </row>
    <row r="1737" spans="1:13" x14ac:dyDescent="0.25">
      <c r="A1737">
        <v>1736</v>
      </c>
      <c r="B1737" t="s">
        <v>3485</v>
      </c>
      <c r="C1737" s="1">
        <v>37.200913779700002</v>
      </c>
      <c r="D1737" s="1">
        <v>-6.98975988812</v>
      </c>
      <c r="E1737" s="3">
        <v>2</v>
      </c>
      <c r="F1737" s="2">
        <v>2</v>
      </c>
      <c r="G1737" s="4">
        <v>3</v>
      </c>
      <c r="H1737" s="13"/>
      <c r="I1737" s="15"/>
      <c r="J1737" s="19">
        <v>2</v>
      </c>
      <c r="K1737" s="2" t="s">
        <v>3486</v>
      </c>
      <c r="L1737" s="11" t="str">
        <f t="shared" si="28"/>
        <v>Ver Imagen</v>
      </c>
      <c r="M1737" t="s">
        <v>15</v>
      </c>
    </row>
    <row r="1738" spans="1:13" x14ac:dyDescent="0.25">
      <c r="A1738">
        <v>1737</v>
      </c>
      <c r="B1738" t="s">
        <v>3487</v>
      </c>
      <c r="C1738" s="1">
        <v>37.249904805100002</v>
      </c>
      <c r="D1738" s="1">
        <v>-7.0180576419199996</v>
      </c>
      <c r="E1738" s="3">
        <v>2</v>
      </c>
      <c r="F1738" s="2">
        <v>2</v>
      </c>
      <c r="G1738" s="4">
        <v>3</v>
      </c>
      <c r="H1738" s="13"/>
      <c r="I1738" s="15"/>
      <c r="J1738" s="19">
        <v>2</v>
      </c>
      <c r="K1738" s="2" t="s">
        <v>3488</v>
      </c>
      <c r="L1738" s="11" t="str">
        <f t="shared" si="28"/>
        <v>Ver Imagen</v>
      </c>
      <c r="M1738" t="s">
        <v>15</v>
      </c>
    </row>
    <row r="1739" spans="1:13" x14ac:dyDescent="0.25">
      <c r="A1739">
        <v>1738</v>
      </c>
      <c r="B1739" t="s">
        <v>3489</v>
      </c>
      <c r="C1739" s="1">
        <v>37.2052417011</v>
      </c>
      <c r="D1739" s="1">
        <v>-7.0167554544400002</v>
      </c>
      <c r="E1739" s="3">
        <v>3</v>
      </c>
      <c r="F1739" s="2">
        <v>2</v>
      </c>
      <c r="G1739" s="4">
        <v>2</v>
      </c>
      <c r="H1739" s="13"/>
      <c r="I1739" s="15"/>
      <c r="J1739" s="19">
        <v>2</v>
      </c>
      <c r="K1739" s="2" t="s">
        <v>3490</v>
      </c>
      <c r="L1739" s="11" t="str">
        <f t="shared" si="28"/>
        <v>Ver Imagen</v>
      </c>
      <c r="M1739" t="s">
        <v>15</v>
      </c>
    </row>
    <row r="1740" spans="1:13" x14ac:dyDescent="0.25">
      <c r="A1740">
        <v>1739</v>
      </c>
      <c r="B1740" t="s">
        <v>3491</v>
      </c>
      <c r="C1740" s="1">
        <v>37.237587032500002</v>
      </c>
      <c r="D1740" s="1">
        <v>-7.0187563778299999</v>
      </c>
      <c r="E1740" s="3">
        <v>2</v>
      </c>
      <c r="F1740" s="2">
        <v>2</v>
      </c>
      <c r="G1740" s="4">
        <v>3</v>
      </c>
      <c r="H1740" s="13"/>
      <c r="I1740" s="15"/>
      <c r="J1740" s="19">
        <v>2</v>
      </c>
      <c r="K1740" s="2" t="s">
        <v>3492</v>
      </c>
      <c r="L1740" s="11" t="str">
        <f t="shared" si="28"/>
        <v>Ver Imagen</v>
      </c>
      <c r="M1740" t="s">
        <v>15</v>
      </c>
    </row>
    <row r="1741" spans="1:13" x14ac:dyDescent="0.25">
      <c r="A1741">
        <v>1740</v>
      </c>
      <c r="B1741" t="s">
        <v>3493</v>
      </c>
      <c r="C1741" s="1">
        <v>37.237387522900001</v>
      </c>
      <c r="D1741" s="1">
        <v>-7.0187507801900004</v>
      </c>
      <c r="E1741" s="3">
        <v>2</v>
      </c>
      <c r="F1741" s="2">
        <v>2</v>
      </c>
      <c r="G1741" s="4">
        <v>3</v>
      </c>
      <c r="H1741" s="13"/>
      <c r="I1741" s="15"/>
      <c r="J1741" s="19">
        <v>2</v>
      </c>
      <c r="K1741" s="2" t="s">
        <v>3494</v>
      </c>
      <c r="L1741" s="11" t="str">
        <f t="shared" si="28"/>
        <v>Ver Imagen</v>
      </c>
      <c r="M1741" t="s">
        <v>15</v>
      </c>
    </row>
    <row r="1742" spans="1:13" x14ac:dyDescent="0.25">
      <c r="A1742">
        <v>1741</v>
      </c>
      <c r="B1742" t="s">
        <v>3495</v>
      </c>
      <c r="C1742" s="1">
        <v>37.234578360199997</v>
      </c>
      <c r="D1742" s="1">
        <v>-7.0181996395599997</v>
      </c>
      <c r="E1742" s="3">
        <v>2</v>
      </c>
      <c r="F1742" s="2">
        <v>2</v>
      </c>
      <c r="G1742" s="4">
        <v>3</v>
      </c>
      <c r="H1742" s="13"/>
      <c r="I1742" s="15"/>
      <c r="J1742" s="19">
        <v>2</v>
      </c>
      <c r="K1742" s="2" t="s">
        <v>3496</v>
      </c>
      <c r="L1742" s="11" t="str">
        <f t="shared" si="28"/>
        <v>Ver Imagen</v>
      </c>
      <c r="M1742" t="s">
        <v>15</v>
      </c>
    </row>
    <row r="1743" spans="1:13" x14ac:dyDescent="0.25">
      <c r="A1743">
        <v>1742</v>
      </c>
      <c r="B1743" t="s">
        <v>3497</v>
      </c>
      <c r="C1743" s="1">
        <v>37.233167335499999</v>
      </c>
      <c r="D1743" s="1">
        <v>-7.0183169246099997</v>
      </c>
      <c r="E1743" s="3">
        <v>2</v>
      </c>
      <c r="F1743" s="2">
        <v>2</v>
      </c>
      <c r="G1743" s="4">
        <v>3</v>
      </c>
      <c r="H1743" s="13"/>
      <c r="I1743" s="15"/>
      <c r="J1743" s="19">
        <v>2</v>
      </c>
      <c r="K1743" s="2" t="s">
        <v>3498</v>
      </c>
      <c r="L1743" s="11" t="str">
        <f t="shared" si="28"/>
        <v>Ver Imagen</v>
      </c>
      <c r="M1743" t="s">
        <v>15</v>
      </c>
    </row>
    <row r="1744" spans="1:13" x14ac:dyDescent="0.25">
      <c r="A1744">
        <v>1743</v>
      </c>
      <c r="B1744" t="s">
        <v>3499</v>
      </c>
      <c r="C1744" s="1">
        <v>37.229079037600002</v>
      </c>
      <c r="D1744" s="1">
        <v>-7.0211618087199996</v>
      </c>
      <c r="E1744" s="3">
        <v>3</v>
      </c>
      <c r="F1744" s="2">
        <v>2</v>
      </c>
      <c r="G1744" s="4">
        <v>2</v>
      </c>
      <c r="H1744" s="13"/>
      <c r="I1744" s="15"/>
      <c r="J1744" s="19">
        <v>2</v>
      </c>
      <c r="K1744" s="2" t="s">
        <v>3500</v>
      </c>
      <c r="L1744" s="11" t="str">
        <f t="shared" si="28"/>
        <v>Ver Imagen</v>
      </c>
      <c r="M1744" t="s">
        <v>15</v>
      </c>
    </row>
    <row r="1745" spans="1:13" x14ac:dyDescent="0.25">
      <c r="A1745">
        <v>1744</v>
      </c>
      <c r="B1745" t="s">
        <v>3501</v>
      </c>
      <c r="C1745" s="1">
        <v>37.228393157900001</v>
      </c>
      <c r="D1745" s="1">
        <v>-7.0216801307900001</v>
      </c>
      <c r="E1745" s="3">
        <v>3</v>
      </c>
      <c r="F1745" s="2">
        <v>2</v>
      </c>
      <c r="G1745" s="4">
        <v>2</v>
      </c>
      <c r="H1745" s="13"/>
      <c r="I1745" s="15"/>
      <c r="J1745" s="19">
        <v>2</v>
      </c>
      <c r="K1745" s="2" t="s">
        <v>3502</v>
      </c>
      <c r="L1745" s="11" t="str">
        <f t="shared" si="28"/>
        <v>Ver Imagen</v>
      </c>
      <c r="M1745" t="s">
        <v>15</v>
      </c>
    </row>
    <row r="1746" spans="1:13" x14ac:dyDescent="0.25">
      <c r="A1746">
        <v>1745</v>
      </c>
      <c r="B1746" t="s">
        <v>3503</v>
      </c>
      <c r="C1746" s="1">
        <v>37.228204762200001</v>
      </c>
      <c r="D1746" s="1">
        <v>-7.0218240109299996</v>
      </c>
      <c r="E1746" s="3">
        <v>3</v>
      </c>
      <c r="F1746" s="2">
        <v>2</v>
      </c>
      <c r="G1746" s="4">
        <v>2</v>
      </c>
      <c r="H1746" s="13"/>
      <c r="I1746" s="15"/>
      <c r="J1746" s="19">
        <v>2</v>
      </c>
      <c r="K1746" s="2" t="s">
        <v>3504</v>
      </c>
      <c r="L1746" s="11" t="str">
        <f t="shared" si="28"/>
        <v>Ver Imagen</v>
      </c>
      <c r="M1746" t="s">
        <v>15</v>
      </c>
    </row>
    <row r="1747" spans="1:13" x14ac:dyDescent="0.25">
      <c r="A1747">
        <v>1746</v>
      </c>
      <c r="B1747" t="s">
        <v>3505</v>
      </c>
      <c r="C1747" s="1">
        <v>37.227574948899999</v>
      </c>
      <c r="D1747" s="1">
        <v>-7.0223045882799999</v>
      </c>
      <c r="E1747" s="3">
        <v>3</v>
      </c>
      <c r="F1747" s="2">
        <v>2</v>
      </c>
      <c r="G1747" s="4">
        <v>2</v>
      </c>
      <c r="H1747" s="13"/>
      <c r="I1747" s="15"/>
      <c r="J1747" s="19">
        <v>2</v>
      </c>
      <c r="K1747" s="2" t="s">
        <v>3506</v>
      </c>
      <c r="L1747" s="11" t="str">
        <f t="shared" si="28"/>
        <v>Ver Imagen</v>
      </c>
      <c r="M1747" t="s">
        <v>15</v>
      </c>
    </row>
    <row r="1748" spans="1:13" x14ac:dyDescent="0.25">
      <c r="A1748">
        <v>1747</v>
      </c>
      <c r="B1748" t="s">
        <v>3507</v>
      </c>
      <c r="C1748" s="1">
        <v>37.215359922799998</v>
      </c>
      <c r="D1748" s="1">
        <v>-7.0233459107099998</v>
      </c>
      <c r="E1748" s="3">
        <v>2</v>
      </c>
      <c r="F1748" s="2">
        <v>2</v>
      </c>
      <c r="G1748" s="4">
        <v>3</v>
      </c>
      <c r="H1748" s="13"/>
      <c r="I1748" s="15"/>
      <c r="J1748" s="19">
        <v>2</v>
      </c>
      <c r="K1748" s="2" t="s">
        <v>3508</v>
      </c>
      <c r="L1748" s="11" t="str">
        <f t="shared" si="28"/>
        <v>Ver Imagen</v>
      </c>
      <c r="M1748" t="s">
        <v>15</v>
      </c>
    </row>
    <row r="1749" spans="1:13" x14ac:dyDescent="0.25">
      <c r="A1749">
        <v>1748</v>
      </c>
      <c r="B1749" t="s">
        <v>3509</v>
      </c>
      <c r="C1749" s="1">
        <v>37.215579652099997</v>
      </c>
      <c r="D1749" s="1">
        <v>-7.0233066015899999</v>
      </c>
      <c r="E1749" s="3">
        <v>2</v>
      </c>
      <c r="F1749" s="2">
        <v>2</v>
      </c>
      <c r="G1749" s="4">
        <v>3</v>
      </c>
      <c r="H1749" s="13"/>
      <c r="I1749" s="15"/>
      <c r="J1749" s="19">
        <v>2</v>
      </c>
      <c r="K1749" s="2" t="s">
        <v>3510</v>
      </c>
      <c r="L1749" s="11" t="str">
        <f t="shared" si="28"/>
        <v>Ver Imagen</v>
      </c>
      <c r="M1749" t="s">
        <v>15</v>
      </c>
    </row>
    <row r="1750" spans="1:13" x14ac:dyDescent="0.25">
      <c r="A1750">
        <v>1749</v>
      </c>
      <c r="B1750" t="s">
        <v>3511</v>
      </c>
      <c r="C1750" s="1">
        <v>37.215949331700003</v>
      </c>
      <c r="D1750" s="1">
        <v>-7.0232395035900002</v>
      </c>
      <c r="E1750" s="3">
        <v>3</v>
      </c>
      <c r="F1750" s="2">
        <v>2</v>
      </c>
      <c r="G1750" s="4">
        <v>2</v>
      </c>
      <c r="H1750" s="13"/>
      <c r="I1750" s="15"/>
      <c r="J1750" s="19">
        <v>2</v>
      </c>
      <c r="K1750" s="2" t="s">
        <v>3512</v>
      </c>
      <c r="L1750" s="11" t="str">
        <f t="shared" si="28"/>
        <v>Ver Imagen</v>
      </c>
      <c r="M1750" t="s">
        <v>15</v>
      </c>
    </row>
    <row r="1751" spans="1:13" x14ac:dyDescent="0.25">
      <c r="A1751">
        <v>1750</v>
      </c>
      <c r="B1751" t="s">
        <v>3513</v>
      </c>
      <c r="C1751" s="1">
        <v>37.216173529999999</v>
      </c>
      <c r="D1751" s="1">
        <v>-7.0231991254099997</v>
      </c>
      <c r="E1751" s="3">
        <v>3</v>
      </c>
      <c r="F1751" s="2">
        <v>2</v>
      </c>
      <c r="G1751" s="4">
        <v>2</v>
      </c>
      <c r="H1751" s="13"/>
      <c r="I1751" s="15"/>
      <c r="J1751" s="19">
        <v>2</v>
      </c>
      <c r="K1751" s="2" t="s">
        <v>3514</v>
      </c>
      <c r="L1751" s="11" t="str">
        <f t="shared" si="28"/>
        <v>Ver Imagen</v>
      </c>
      <c r="M1751" t="s">
        <v>15</v>
      </c>
    </row>
    <row r="1752" spans="1:13" x14ac:dyDescent="0.25">
      <c r="A1752">
        <v>1751</v>
      </c>
      <c r="B1752" t="s">
        <v>3515</v>
      </c>
      <c r="C1752" s="1">
        <v>37.220794933900002</v>
      </c>
      <c r="D1752" s="1">
        <v>-7.0228486163800001</v>
      </c>
      <c r="E1752" s="3">
        <v>2</v>
      </c>
      <c r="F1752" s="2">
        <v>2</v>
      </c>
      <c r="G1752" s="4">
        <v>3</v>
      </c>
      <c r="H1752" s="13"/>
      <c r="I1752" s="15"/>
      <c r="J1752" s="19">
        <v>2</v>
      </c>
      <c r="K1752" s="2" t="s">
        <v>3516</v>
      </c>
      <c r="L1752" s="11" t="str">
        <f t="shared" si="28"/>
        <v>Ver Imagen</v>
      </c>
      <c r="M1752" t="s">
        <v>15</v>
      </c>
    </row>
    <row r="1753" spans="1:13" x14ac:dyDescent="0.25">
      <c r="A1753">
        <v>1752</v>
      </c>
      <c r="B1753" t="s">
        <v>3517</v>
      </c>
      <c r="C1753" s="1">
        <v>37.206779394000002</v>
      </c>
      <c r="D1753" s="1">
        <v>-7.02110686371</v>
      </c>
      <c r="E1753" s="3">
        <v>2</v>
      </c>
      <c r="F1753" s="2">
        <v>2</v>
      </c>
      <c r="G1753" s="4">
        <v>3</v>
      </c>
      <c r="H1753" s="13"/>
      <c r="I1753" s="15"/>
      <c r="J1753" s="19">
        <v>2</v>
      </c>
      <c r="K1753" s="2" t="s">
        <v>3518</v>
      </c>
      <c r="L1753" s="11" t="str">
        <f t="shared" si="28"/>
        <v>Ver Imagen</v>
      </c>
      <c r="M1753" t="s">
        <v>15</v>
      </c>
    </row>
    <row r="1754" spans="1:13" x14ac:dyDescent="0.25">
      <c r="A1754">
        <v>1753</v>
      </c>
      <c r="B1754" t="s">
        <v>3519</v>
      </c>
      <c r="C1754" s="1">
        <v>37.206437809900002</v>
      </c>
      <c r="D1754" s="1">
        <v>-7.0205542531100003</v>
      </c>
      <c r="E1754" s="3">
        <v>2</v>
      </c>
      <c r="F1754" s="2">
        <v>2</v>
      </c>
      <c r="G1754" s="4">
        <v>3</v>
      </c>
      <c r="H1754" s="13"/>
      <c r="I1754" s="15"/>
      <c r="J1754" s="19">
        <v>2</v>
      </c>
      <c r="K1754" s="2" t="s">
        <v>3520</v>
      </c>
      <c r="L1754" s="11" t="str">
        <f t="shared" si="28"/>
        <v>Ver Imagen</v>
      </c>
      <c r="M1754" t="s">
        <v>15</v>
      </c>
    </row>
    <row r="1755" spans="1:13" x14ac:dyDescent="0.25">
      <c r="A1755">
        <v>1754</v>
      </c>
      <c r="B1755" t="s">
        <v>3521</v>
      </c>
      <c r="C1755" s="1">
        <v>37.2063284213</v>
      </c>
      <c r="D1755" s="1">
        <v>-7.02035656278</v>
      </c>
      <c r="E1755" s="3">
        <v>2</v>
      </c>
      <c r="F1755" s="2">
        <v>2</v>
      </c>
      <c r="G1755" s="4">
        <v>3</v>
      </c>
      <c r="H1755" s="13"/>
      <c r="I1755" s="15"/>
      <c r="J1755" s="19">
        <v>2</v>
      </c>
      <c r="K1755" s="2" t="s">
        <v>3522</v>
      </c>
      <c r="L1755" s="11" t="str">
        <f t="shared" si="28"/>
        <v>Ver Imagen</v>
      </c>
      <c r="M1755" t="s">
        <v>15</v>
      </c>
    </row>
    <row r="1756" spans="1:13" x14ac:dyDescent="0.25">
      <c r="A1756">
        <v>1755</v>
      </c>
      <c r="B1756" t="s">
        <v>3523</v>
      </c>
      <c r="C1756" s="1">
        <v>37.205730451800001</v>
      </c>
      <c r="D1756" s="1">
        <v>-7.0189952039000003</v>
      </c>
      <c r="E1756" s="3">
        <v>2</v>
      </c>
      <c r="F1756" s="2">
        <v>2</v>
      </c>
      <c r="G1756" s="4">
        <v>3</v>
      </c>
      <c r="H1756" s="13"/>
      <c r="I1756" s="15"/>
      <c r="J1756" s="19">
        <v>2</v>
      </c>
      <c r="K1756" s="2" t="s">
        <v>3524</v>
      </c>
      <c r="L1756" s="11" t="str">
        <f t="shared" si="28"/>
        <v>Ver Imagen</v>
      </c>
      <c r="M1756" t="s">
        <v>15</v>
      </c>
    </row>
    <row r="1757" spans="1:13" x14ac:dyDescent="0.25">
      <c r="A1757">
        <v>1756</v>
      </c>
      <c r="B1757" t="s">
        <v>3525</v>
      </c>
      <c r="C1757" s="1">
        <v>37.205175005500003</v>
      </c>
      <c r="D1757" s="1">
        <v>-7.0171147527000004</v>
      </c>
      <c r="E1757" s="3">
        <v>3</v>
      </c>
      <c r="F1757" s="2">
        <v>2</v>
      </c>
      <c r="G1757" s="4">
        <v>2</v>
      </c>
      <c r="H1757" s="13"/>
      <c r="I1757" s="15"/>
      <c r="J1757" s="19">
        <v>2</v>
      </c>
      <c r="K1757" s="2" t="s">
        <v>3526</v>
      </c>
      <c r="L1757" s="11" t="str">
        <f t="shared" si="28"/>
        <v>Ver Imagen</v>
      </c>
      <c r="M1757" t="s">
        <v>15</v>
      </c>
    </row>
    <row r="1758" spans="1:13" x14ac:dyDescent="0.25">
      <c r="A1758">
        <v>1757</v>
      </c>
      <c r="B1758" t="s">
        <v>3527</v>
      </c>
      <c r="C1758" s="1">
        <v>37.204251761099997</v>
      </c>
      <c r="D1758" s="1">
        <v>-7.01253973675</v>
      </c>
      <c r="E1758" s="3">
        <v>2</v>
      </c>
      <c r="F1758" s="2">
        <v>2</v>
      </c>
      <c r="G1758" s="4">
        <v>3</v>
      </c>
      <c r="H1758" s="13"/>
      <c r="I1758" s="15"/>
      <c r="J1758" s="19">
        <v>2</v>
      </c>
      <c r="K1758" s="2" t="s">
        <v>3528</v>
      </c>
      <c r="L1758" s="11" t="str">
        <f t="shared" si="28"/>
        <v>Ver Imagen</v>
      </c>
      <c r="M1758" t="s">
        <v>15</v>
      </c>
    </row>
    <row r="1759" spans="1:13" x14ac:dyDescent="0.25">
      <c r="A1759">
        <v>1758</v>
      </c>
      <c r="B1759" t="s">
        <v>3529</v>
      </c>
      <c r="C1759" s="1">
        <v>37.203625057899998</v>
      </c>
      <c r="D1759" s="1">
        <v>-7.0088194817999998</v>
      </c>
      <c r="E1759" s="3">
        <v>2</v>
      </c>
      <c r="F1759" s="2">
        <v>2</v>
      </c>
      <c r="G1759" s="4">
        <v>3</v>
      </c>
      <c r="H1759" s="13"/>
      <c r="I1759" s="15"/>
      <c r="J1759" s="19">
        <v>2</v>
      </c>
      <c r="K1759" s="2" t="s">
        <v>3530</v>
      </c>
      <c r="L1759" s="11" t="str">
        <f t="shared" si="28"/>
        <v>Ver Imagen</v>
      </c>
      <c r="M1759" t="s">
        <v>15</v>
      </c>
    </row>
    <row r="1760" spans="1:13" x14ac:dyDescent="0.25">
      <c r="A1760">
        <v>1759</v>
      </c>
      <c r="B1760" t="s">
        <v>3531</v>
      </c>
      <c r="C1760" s="1">
        <v>37.203520127799997</v>
      </c>
      <c r="D1760" s="1">
        <v>-7.0081210819199997</v>
      </c>
      <c r="E1760" s="3">
        <v>2</v>
      </c>
      <c r="F1760" s="2">
        <v>2</v>
      </c>
      <c r="G1760" s="4">
        <v>3</v>
      </c>
      <c r="H1760" s="13"/>
      <c r="I1760" s="15"/>
      <c r="J1760" s="19">
        <v>2</v>
      </c>
      <c r="K1760" s="2" t="s">
        <v>3532</v>
      </c>
      <c r="L1760" s="11" t="str">
        <f t="shared" si="28"/>
        <v>Ver Imagen</v>
      </c>
      <c r="M1760" t="s">
        <v>15</v>
      </c>
    </row>
    <row r="1761" spans="1:13" x14ac:dyDescent="0.25">
      <c r="A1761">
        <v>1760</v>
      </c>
      <c r="B1761" t="s">
        <v>3533</v>
      </c>
      <c r="C1761" s="1">
        <v>37.228040540499997</v>
      </c>
      <c r="D1761" s="1">
        <v>-7.0217462772200001</v>
      </c>
      <c r="E1761" s="3">
        <v>3</v>
      </c>
      <c r="F1761" s="2">
        <v>2</v>
      </c>
      <c r="G1761" s="4">
        <v>2</v>
      </c>
      <c r="H1761" s="13"/>
      <c r="I1761" s="15"/>
      <c r="J1761" s="19">
        <v>2</v>
      </c>
      <c r="K1761" s="2" t="s">
        <v>3534</v>
      </c>
      <c r="L1761" s="11" t="str">
        <f t="shared" si="28"/>
        <v>Ver Imagen</v>
      </c>
      <c r="M1761" t="s">
        <v>15</v>
      </c>
    </row>
    <row r="1762" spans="1:13" x14ac:dyDescent="0.25">
      <c r="A1762">
        <v>1761</v>
      </c>
      <c r="B1762" t="s">
        <v>3535</v>
      </c>
      <c r="C1762" s="1">
        <v>37.232876218800001</v>
      </c>
      <c r="D1762" s="1">
        <v>-7.0182415897199997</v>
      </c>
      <c r="E1762" s="3">
        <v>2</v>
      </c>
      <c r="F1762" s="2">
        <v>2</v>
      </c>
      <c r="G1762" s="4">
        <v>3</v>
      </c>
      <c r="H1762" s="13"/>
      <c r="I1762" s="15"/>
      <c r="J1762" s="19">
        <v>2</v>
      </c>
      <c r="K1762" s="2" t="s">
        <v>3536</v>
      </c>
      <c r="L1762" s="11" t="str">
        <f t="shared" si="28"/>
        <v>Ver Imagen</v>
      </c>
      <c r="M1762" t="s">
        <v>15</v>
      </c>
    </row>
    <row r="1763" spans="1:13" x14ac:dyDescent="0.25">
      <c r="A1763">
        <v>1762</v>
      </c>
      <c r="B1763" t="s">
        <v>3537</v>
      </c>
      <c r="C1763" s="1">
        <v>37.235106427300003</v>
      </c>
      <c r="D1763" s="1">
        <v>-7.0181342130299997</v>
      </c>
      <c r="E1763" s="3">
        <v>2</v>
      </c>
      <c r="F1763" s="2">
        <v>2</v>
      </c>
      <c r="G1763" s="4">
        <v>3</v>
      </c>
      <c r="H1763" s="13"/>
      <c r="I1763" s="15"/>
      <c r="J1763" s="19">
        <v>2</v>
      </c>
      <c r="K1763" s="2" t="s">
        <v>3538</v>
      </c>
      <c r="L1763" s="11" t="str">
        <f t="shared" si="28"/>
        <v>Ver Imagen</v>
      </c>
      <c r="M1763" t="s">
        <v>15</v>
      </c>
    </row>
    <row r="1764" spans="1:13" x14ac:dyDescent="0.25">
      <c r="A1764">
        <v>1763</v>
      </c>
      <c r="B1764" t="s">
        <v>3539</v>
      </c>
      <c r="C1764" s="1">
        <v>37.236494001200001</v>
      </c>
      <c r="D1764" s="1">
        <v>-7.0184751295799996</v>
      </c>
      <c r="E1764" s="3">
        <v>2</v>
      </c>
      <c r="F1764" s="2">
        <v>2</v>
      </c>
      <c r="G1764" s="4">
        <v>3</v>
      </c>
      <c r="H1764" s="13"/>
      <c r="I1764" s="15"/>
      <c r="J1764" s="19">
        <v>2</v>
      </c>
      <c r="K1764" s="2" t="s">
        <v>3540</v>
      </c>
      <c r="L1764" s="11" t="str">
        <f t="shared" si="28"/>
        <v>Ver Imagen</v>
      </c>
      <c r="M1764" t="s">
        <v>15</v>
      </c>
    </row>
    <row r="1765" spans="1:13" x14ac:dyDescent="0.25">
      <c r="A1765">
        <v>1764</v>
      </c>
      <c r="B1765" t="s">
        <v>3541</v>
      </c>
      <c r="C1765" s="1">
        <v>37.236700808499997</v>
      </c>
      <c r="D1765" s="1">
        <v>-7.0185062202399999</v>
      </c>
      <c r="E1765" s="3">
        <v>2</v>
      </c>
      <c r="F1765" s="2">
        <v>2</v>
      </c>
      <c r="G1765" s="4">
        <v>3</v>
      </c>
      <c r="H1765" s="13"/>
      <c r="I1765" s="15"/>
      <c r="J1765" s="19">
        <v>2</v>
      </c>
      <c r="K1765" s="2" t="s">
        <v>3542</v>
      </c>
      <c r="L1765" s="11" t="str">
        <f t="shared" si="28"/>
        <v>Ver Imagen</v>
      </c>
      <c r="M1765" t="s">
        <v>15</v>
      </c>
    </row>
    <row r="1766" spans="1:13" x14ac:dyDescent="0.25">
      <c r="A1766">
        <v>1765</v>
      </c>
      <c r="B1766" t="s">
        <v>3543</v>
      </c>
      <c r="C1766" s="1">
        <v>37.248039516699997</v>
      </c>
      <c r="D1766" s="1">
        <v>-7.0181822281999997</v>
      </c>
      <c r="E1766" s="3">
        <v>2</v>
      </c>
      <c r="F1766" s="2">
        <v>2</v>
      </c>
      <c r="G1766" s="4">
        <v>3</v>
      </c>
      <c r="H1766" s="13"/>
      <c r="I1766" s="15"/>
      <c r="J1766" s="19">
        <v>2</v>
      </c>
      <c r="K1766" s="2" t="s">
        <v>3544</v>
      </c>
      <c r="L1766" s="11" t="str">
        <f t="shared" si="28"/>
        <v>Ver Imagen</v>
      </c>
      <c r="M1766" t="s">
        <v>15</v>
      </c>
    </row>
    <row r="1767" spans="1:13" x14ac:dyDescent="0.25">
      <c r="A1767">
        <v>1766</v>
      </c>
      <c r="B1767" t="s">
        <v>3545</v>
      </c>
      <c r="C1767" s="1">
        <v>37.253076465600003</v>
      </c>
      <c r="D1767" s="1">
        <v>-7.0159202037900004</v>
      </c>
      <c r="E1767" s="3">
        <v>2</v>
      </c>
      <c r="F1767" s="2">
        <v>2</v>
      </c>
      <c r="G1767" s="4">
        <v>3</v>
      </c>
      <c r="H1767" s="13"/>
      <c r="I1767" s="15"/>
      <c r="J1767" s="19">
        <v>2</v>
      </c>
      <c r="K1767" s="2" t="s">
        <v>3546</v>
      </c>
      <c r="L1767" s="11" t="str">
        <f t="shared" si="28"/>
        <v>Ver Imagen</v>
      </c>
      <c r="M1767" t="s">
        <v>15</v>
      </c>
    </row>
    <row r="1768" spans="1:13" x14ac:dyDescent="0.25">
      <c r="A1768">
        <v>1767</v>
      </c>
      <c r="B1768" t="s">
        <v>3547</v>
      </c>
      <c r="C1768" s="1">
        <v>37.2563404343</v>
      </c>
      <c r="D1768" s="1">
        <v>-7.0138413905299997</v>
      </c>
      <c r="E1768" s="3">
        <v>2</v>
      </c>
      <c r="F1768" s="2">
        <v>2</v>
      </c>
      <c r="G1768" s="4">
        <v>3</v>
      </c>
      <c r="H1768" s="13"/>
      <c r="I1768" s="15"/>
      <c r="J1768" s="19">
        <v>2</v>
      </c>
      <c r="K1768" s="2" t="s">
        <v>3548</v>
      </c>
      <c r="L1768" s="11" t="str">
        <f t="shared" si="28"/>
        <v>Ver Imagen</v>
      </c>
      <c r="M1768" t="s">
        <v>15</v>
      </c>
    </row>
    <row r="1769" spans="1:13" x14ac:dyDescent="0.25">
      <c r="A1769">
        <v>1768</v>
      </c>
      <c r="B1769" t="s">
        <v>3549</v>
      </c>
      <c r="C1769" s="1">
        <v>37.2574184168</v>
      </c>
      <c r="D1769" s="1">
        <v>-7.01315312885</v>
      </c>
      <c r="E1769" s="3">
        <v>2</v>
      </c>
      <c r="F1769" s="2">
        <v>2</v>
      </c>
      <c r="G1769" s="4">
        <v>3</v>
      </c>
      <c r="H1769" s="13"/>
      <c r="I1769" s="15"/>
      <c r="J1769" s="19">
        <v>2</v>
      </c>
      <c r="K1769" s="2" t="s">
        <v>3550</v>
      </c>
      <c r="L1769" s="11" t="str">
        <f t="shared" si="28"/>
        <v>Ver Imagen</v>
      </c>
      <c r="M1769" t="s">
        <v>15</v>
      </c>
    </row>
    <row r="1770" spans="1:13" x14ac:dyDescent="0.25">
      <c r="A1770">
        <v>1769</v>
      </c>
      <c r="B1770" t="s">
        <v>3551</v>
      </c>
      <c r="C1770" s="1">
        <v>37.258677710199997</v>
      </c>
      <c r="D1770" s="1">
        <v>-7.0123520046400003</v>
      </c>
      <c r="E1770" s="3">
        <v>2</v>
      </c>
      <c r="F1770" s="2">
        <v>2</v>
      </c>
      <c r="G1770" s="4">
        <v>3</v>
      </c>
      <c r="H1770" s="13"/>
      <c r="I1770" s="15"/>
      <c r="J1770" s="19">
        <v>2</v>
      </c>
      <c r="K1770" s="2" t="s">
        <v>3552</v>
      </c>
      <c r="L1770" s="11" t="str">
        <f t="shared" si="28"/>
        <v>Ver Imagen</v>
      </c>
      <c r="M1770" t="s">
        <v>15</v>
      </c>
    </row>
    <row r="1771" spans="1:13" x14ac:dyDescent="0.25">
      <c r="A1771">
        <v>1770</v>
      </c>
      <c r="B1771" t="s">
        <v>3553</v>
      </c>
      <c r="C1771" s="1">
        <v>37.259039750699998</v>
      </c>
      <c r="D1771" s="1">
        <v>-7.0121211672800001</v>
      </c>
      <c r="E1771" s="3">
        <v>2</v>
      </c>
      <c r="F1771" s="2">
        <v>2</v>
      </c>
      <c r="G1771" s="4">
        <v>3</v>
      </c>
      <c r="H1771" s="13"/>
      <c r="I1771" s="15"/>
      <c r="J1771" s="19">
        <v>2</v>
      </c>
      <c r="K1771" s="2" t="s">
        <v>3554</v>
      </c>
      <c r="L1771" s="11" t="str">
        <f t="shared" si="28"/>
        <v>Ver Imagen</v>
      </c>
      <c r="M1771" t="s">
        <v>15</v>
      </c>
    </row>
    <row r="1772" spans="1:13" x14ac:dyDescent="0.25">
      <c r="A1772">
        <v>1771</v>
      </c>
      <c r="B1772" t="s">
        <v>3555</v>
      </c>
      <c r="C1772" s="1">
        <v>37.259216120399998</v>
      </c>
      <c r="D1772" s="1">
        <v>-7.0120077584100002</v>
      </c>
      <c r="E1772" s="3">
        <v>2</v>
      </c>
      <c r="F1772" s="2">
        <v>2</v>
      </c>
      <c r="G1772" s="4">
        <v>3</v>
      </c>
      <c r="H1772" s="13"/>
      <c r="I1772" s="15"/>
      <c r="J1772" s="19">
        <v>2</v>
      </c>
      <c r="K1772" s="2" t="s">
        <v>3556</v>
      </c>
      <c r="L1772" s="11" t="str">
        <f t="shared" si="28"/>
        <v>Ver Imagen</v>
      </c>
      <c r="M1772" t="s">
        <v>15</v>
      </c>
    </row>
    <row r="1773" spans="1:13" x14ac:dyDescent="0.25">
      <c r="A1773">
        <v>1772</v>
      </c>
      <c r="B1773" t="s">
        <v>3557</v>
      </c>
      <c r="C1773" s="1">
        <v>37.2593856449</v>
      </c>
      <c r="D1773" s="1">
        <v>-7.0118984123699999</v>
      </c>
      <c r="E1773" s="3">
        <v>2</v>
      </c>
      <c r="F1773" s="2">
        <v>2</v>
      </c>
      <c r="G1773" s="4">
        <v>3</v>
      </c>
      <c r="H1773" s="13"/>
      <c r="I1773" s="15"/>
      <c r="J1773" s="19">
        <v>2</v>
      </c>
      <c r="K1773" s="2" t="s">
        <v>3558</v>
      </c>
      <c r="L1773" s="11" t="str">
        <f t="shared" si="28"/>
        <v>Ver Imagen</v>
      </c>
      <c r="M1773" t="s">
        <v>15</v>
      </c>
    </row>
    <row r="1774" spans="1:13" x14ac:dyDescent="0.25">
      <c r="A1774">
        <v>1773</v>
      </c>
      <c r="B1774" t="s">
        <v>3559</v>
      </c>
      <c r="C1774" s="1">
        <v>37.2612121835</v>
      </c>
      <c r="D1774" s="1">
        <v>-7.0107238899100004</v>
      </c>
      <c r="E1774" s="3">
        <v>2</v>
      </c>
      <c r="F1774" s="2">
        <v>2</v>
      </c>
      <c r="G1774" s="4">
        <v>3</v>
      </c>
      <c r="H1774" s="13"/>
      <c r="I1774" s="15"/>
      <c r="J1774" s="19">
        <v>2</v>
      </c>
      <c r="K1774" s="2" t="s">
        <v>3560</v>
      </c>
      <c r="L1774" s="11" t="str">
        <f t="shared" si="28"/>
        <v>Ver Imagen</v>
      </c>
      <c r="M1774" t="s">
        <v>15</v>
      </c>
    </row>
    <row r="1775" spans="1:13" x14ac:dyDescent="0.25">
      <c r="A1775">
        <v>1774</v>
      </c>
      <c r="B1775" t="s">
        <v>3561</v>
      </c>
      <c r="C1775" s="1">
        <v>37.261705064399997</v>
      </c>
      <c r="D1775" s="1">
        <v>-7.0103311608799999</v>
      </c>
      <c r="E1775" s="3">
        <v>2</v>
      </c>
      <c r="F1775" s="2">
        <v>2</v>
      </c>
      <c r="G1775" s="4">
        <v>3</v>
      </c>
      <c r="H1775" s="13"/>
      <c r="I1775" s="15"/>
      <c r="J1775" s="19">
        <v>2</v>
      </c>
      <c r="K1775" s="2" t="s">
        <v>3562</v>
      </c>
      <c r="L1775" s="11" t="str">
        <f t="shared" si="28"/>
        <v>Ver Imagen</v>
      </c>
      <c r="M1775" t="s">
        <v>15</v>
      </c>
    </row>
    <row r="1776" spans="1:13" x14ac:dyDescent="0.25">
      <c r="A1776">
        <v>1775</v>
      </c>
      <c r="B1776" t="s">
        <v>3563</v>
      </c>
      <c r="C1776" s="1">
        <v>37.263653955199999</v>
      </c>
      <c r="D1776" s="1">
        <v>-7.00580963064</v>
      </c>
      <c r="E1776" s="3">
        <v>2</v>
      </c>
      <c r="F1776" s="2">
        <v>2</v>
      </c>
      <c r="G1776" s="4">
        <v>3</v>
      </c>
      <c r="H1776" s="13"/>
      <c r="I1776" s="15"/>
      <c r="J1776" s="19">
        <v>2</v>
      </c>
      <c r="K1776" s="2" t="s">
        <v>3564</v>
      </c>
      <c r="L1776" s="11" t="str">
        <f t="shared" si="28"/>
        <v>Ver Imagen</v>
      </c>
      <c r="M1776" t="s">
        <v>15</v>
      </c>
    </row>
    <row r="1777" spans="1:13" x14ac:dyDescent="0.25">
      <c r="A1777">
        <v>1776</v>
      </c>
      <c r="B1777" t="s">
        <v>3565</v>
      </c>
      <c r="C1777" s="1">
        <v>37.263694020599999</v>
      </c>
      <c r="D1777" s="1">
        <v>-7.0055820368299999</v>
      </c>
      <c r="E1777" s="3">
        <v>2</v>
      </c>
      <c r="F1777" s="2">
        <v>2</v>
      </c>
      <c r="G1777" s="4">
        <v>3</v>
      </c>
      <c r="H1777" s="13"/>
      <c r="I1777" s="15"/>
      <c r="J1777" s="19">
        <v>2</v>
      </c>
      <c r="K1777" s="2" t="s">
        <v>3566</v>
      </c>
      <c r="L1777" s="11" t="str">
        <f t="shared" si="28"/>
        <v>Ver Imagen</v>
      </c>
      <c r="M1777" t="s">
        <v>15</v>
      </c>
    </row>
    <row r="1778" spans="1:13" x14ac:dyDescent="0.25">
      <c r="A1778">
        <v>1777</v>
      </c>
      <c r="B1778" t="s">
        <v>3567</v>
      </c>
      <c r="C1778" s="1">
        <v>37.263739248699999</v>
      </c>
      <c r="D1778" s="1">
        <v>-7.0053257743600001</v>
      </c>
      <c r="E1778" s="3">
        <v>2</v>
      </c>
      <c r="F1778" s="2">
        <v>2</v>
      </c>
      <c r="G1778" s="4">
        <v>3</v>
      </c>
      <c r="H1778" s="13"/>
      <c r="I1778" s="15"/>
      <c r="J1778" s="19">
        <v>2</v>
      </c>
      <c r="K1778" s="2" t="s">
        <v>3568</v>
      </c>
      <c r="L1778" s="11" t="str">
        <f t="shared" si="28"/>
        <v>Ver Imagen</v>
      </c>
      <c r="M1778" t="s">
        <v>15</v>
      </c>
    </row>
    <row r="1779" spans="1:13" x14ac:dyDescent="0.25">
      <c r="A1779">
        <v>1778</v>
      </c>
      <c r="B1779" t="s">
        <v>3569</v>
      </c>
      <c r="C1779" s="1">
        <v>37.263783166000003</v>
      </c>
      <c r="D1779" s="1">
        <v>-7.0050789451800002</v>
      </c>
      <c r="E1779" s="3">
        <v>2</v>
      </c>
      <c r="F1779" s="2">
        <v>2</v>
      </c>
      <c r="G1779" s="4">
        <v>3</v>
      </c>
      <c r="H1779" s="13"/>
      <c r="I1779" s="15"/>
      <c r="J1779" s="19">
        <v>2</v>
      </c>
      <c r="K1779" s="2" t="s">
        <v>3570</v>
      </c>
      <c r="L1779" s="11" t="str">
        <f t="shared" si="28"/>
        <v>Ver Imagen</v>
      </c>
      <c r="M1779" t="s">
        <v>15</v>
      </c>
    </row>
    <row r="1780" spans="1:13" x14ac:dyDescent="0.25">
      <c r="A1780">
        <v>1779</v>
      </c>
      <c r="B1780" t="s">
        <v>3571</v>
      </c>
      <c r="C1780" s="1">
        <v>37.263882536899999</v>
      </c>
      <c r="D1780" s="1">
        <v>-7.0045316579300003</v>
      </c>
      <c r="E1780" s="3">
        <v>2</v>
      </c>
      <c r="F1780" s="2">
        <v>2</v>
      </c>
      <c r="G1780" s="4">
        <v>3</v>
      </c>
      <c r="H1780" s="13"/>
      <c r="I1780" s="15"/>
      <c r="J1780" s="19">
        <v>2</v>
      </c>
      <c r="K1780" s="2" t="s">
        <v>3572</v>
      </c>
      <c r="L1780" s="11" t="str">
        <f t="shared" si="28"/>
        <v>Ver Imagen</v>
      </c>
      <c r="M1780" t="s">
        <v>15</v>
      </c>
    </row>
    <row r="1781" spans="1:13" x14ac:dyDescent="0.25">
      <c r="A1781">
        <v>1780</v>
      </c>
      <c r="B1781" t="s">
        <v>3573</v>
      </c>
      <c r="C1781" s="1">
        <v>37.2640070522</v>
      </c>
      <c r="D1781" s="1">
        <v>-7.00382252087</v>
      </c>
      <c r="E1781" s="3">
        <v>2</v>
      </c>
      <c r="F1781" s="2">
        <v>2</v>
      </c>
      <c r="G1781" s="4">
        <v>3</v>
      </c>
      <c r="H1781" s="13"/>
      <c r="I1781" s="15"/>
      <c r="J1781" s="19">
        <v>2</v>
      </c>
      <c r="K1781" s="2" t="s">
        <v>3574</v>
      </c>
      <c r="L1781" s="11" t="str">
        <f t="shared" si="28"/>
        <v>Ver Imagen</v>
      </c>
      <c r="M1781" t="s">
        <v>15</v>
      </c>
    </row>
    <row r="1782" spans="1:13" x14ac:dyDescent="0.25">
      <c r="A1782">
        <v>1781</v>
      </c>
      <c r="B1782" t="s">
        <v>3575</v>
      </c>
      <c r="C1782" s="1">
        <v>37.264057765899999</v>
      </c>
      <c r="D1782" s="1">
        <v>-7.0035332746399996</v>
      </c>
      <c r="E1782" s="3">
        <v>2</v>
      </c>
      <c r="F1782" s="2">
        <v>2</v>
      </c>
      <c r="G1782" s="4">
        <v>3</v>
      </c>
      <c r="H1782" s="13"/>
      <c r="I1782" s="15"/>
      <c r="J1782" s="19">
        <v>2</v>
      </c>
      <c r="K1782" s="2" t="s">
        <v>3576</v>
      </c>
      <c r="L1782" s="11" t="str">
        <f t="shared" si="28"/>
        <v>Ver Imagen</v>
      </c>
      <c r="M1782" t="s">
        <v>15</v>
      </c>
    </row>
    <row r="1783" spans="1:13" x14ac:dyDescent="0.25">
      <c r="A1783">
        <v>1782</v>
      </c>
      <c r="B1783" t="s">
        <v>3577</v>
      </c>
      <c r="C1783" s="1">
        <v>37.267045939299997</v>
      </c>
      <c r="D1783" s="1">
        <v>-6.9916662674800003</v>
      </c>
      <c r="E1783" s="3">
        <v>2</v>
      </c>
      <c r="F1783" s="2">
        <v>2</v>
      </c>
      <c r="G1783" s="4">
        <v>3</v>
      </c>
      <c r="H1783" s="13"/>
      <c r="I1783" s="15"/>
      <c r="J1783" s="19">
        <v>2</v>
      </c>
      <c r="K1783" s="2" t="s">
        <v>3578</v>
      </c>
      <c r="L1783" s="11" t="str">
        <f t="shared" si="28"/>
        <v>Ver Imagen</v>
      </c>
      <c r="M1783" t="s">
        <v>15</v>
      </c>
    </row>
    <row r="1784" spans="1:13" x14ac:dyDescent="0.25">
      <c r="A1784">
        <v>1783</v>
      </c>
      <c r="B1784" t="s">
        <v>3579</v>
      </c>
      <c r="C1784" s="1">
        <v>37.270191585600003</v>
      </c>
      <c r="D1784" s="1">
        <v>-6.9893378628300002</v>
      </c>
      <c r="E1784" s="3">
        <v>2</v>
      </c>
      <c r="F1784" s="2">
        <v>2</v>
      </c>
      <c r="G1784" s="4">
        <v>3</v>
      </c>
      <c r="H1784" s="13"/>
      <c r="I1784" s="15"/>
      <c r="J1784" s="19">
        <v>2</v>
      </c>
      <c r="K1784" s="2" t="s">
        <v>3580</v>
      </c>
      <c r="L1784" s="11" t="str">
        <f t="shared" si="28"/>
        <v>Ver Imagen</v>
      </c>
      <c r="M1784" t="s">
        <v>15</v>
      </c>
    </row>
    <row r="1785" spans="1:13" x14ac:dyDescent="0.25">
      <c r="A1785">
        <v>1784</v>
      </c>
      <c r="B1785" t="s">
        <v>3581</v>
      </c>
      <c r="C1785" s="1">
        <v>37.270366555999999</v>
      </c>
      <c r="D1785" s="1">
        <v>-6.9892135157100004</v>
      </c>
      <c r="E1785" s="3">
        <v>2</v>
      </c>
      <c r="F1785" s="2">
        <v>2</v>
      </c>
      <c r="G1785" s="4">
        <v>3</v>
      </c>
      <c r="H1785" s="13"/>
      <c r="I1785" s="15"/>
      <c r="J1785" s="19">
        <v>2</v>
      </c>
      <c r="K1785" s="2" t="s">
        <v>3582</v>
      </c>
      <c r="L1785" s="11" t="str">
        <f t="shared" si="28"/>
        <v>Ver Imagen</v>
      </c>
      <c r="M1785" t="s">
        <v>15</v>
      </c>
    </row>
    <row r="1786" spans="1:13" x14ac:dyDescent="0.25">
      <c r="A1786">
        <v>1785</v>
      </c>
      <c r="B1786" t="s">
        <v>3583</v>
      </c>
      <c r="C1786" s="1">
        <v>37.270555357200003</v>
      </c>
      <c r="D1786" s="1">
        <v>-6.9890745373599996</v>
      </c>
      <c r="E1786" s="3">
        <v>2</v>
      </c>
      <c r="F1786" s="2">
        <v>2</v>
      </c>
      <c r="G1786" s="4">
        <v>3</v>
      </c>
      <c r="H1786" s="13"/>
      <c r="I1786" s="15"/>
      <c r="J1786" s="19">
        <v>2</v>
      </c>
      <c r="K1786" s="2" t="s">
        <v>3584</v>
      </c>
      <c r="L1786" s="11" t="str">
        <f t="shared" si="28"/>
        <v>Ver Imagen</v>
      </c>
      <c r="M1786" t="s">
        <v>15</v>
      </c>
    </row>
    <row r="1787" spans="1:13" x14ac:dyDescent="0.25">
      <c r="A1787">
        <v>1786</v>
      </c>
      <c r="B1787" t="s">
        <v>3585</v>
      </c>
      <c r="C1787" s="1">
        <v>37.270719666700003</v>
      </c>
      <c r="D1787" s="1">
        <v>-6.9889427553900001</v>
      </c>
      <c r="E1787" s="3">
        <v>2</v>
      </c>
      <c r="F1787" s="2">
        <v>2</v>
      </c>
      <c r="G1787" s="4">
        <v>3</v>
      </c>
      <c r="H1787" s="13"/>
      <c r="I1787" s="15"/>
      <c r="J1787" s="19">
        <v>2</v>
      </c>
      <c r="K1787" s="2" t="s">
        <v>3586</v>
      </c>
      <c r="L1787" s="11" t="str">
        <f t="shared" si="28"/>
        <v>Ver Imagen</v>
      </c>
      <c r="M1787" t="s">
        <v>15</v>
      </c>
    </row>
    <row r="1788" spans="1:13" x14ac:dyDescent="0.25">
      <c r="A1788">
        <v>1787</v>
      </c>
      <c r="B1788" t="s">
        <v>3587</v>
      </c>
      <c r="C1788" s="1">
        <v>37.2708865532</v>
      </c>
      <c r="D1788" s="1">
        <v>-6.9887857735400001</v>
      </c>
      <c r="E1788" s="3">
        <v>2</v>
      </c>
      <c r="F1788" s="2">
        <v>2</v>
      </c>
      <c r="G1788" s="4">
        <v>3</v>
      </c>
      <c r="H1788" s="13"/>
      <c r="I1788" s="15"/>
      <c r="J1788" s="19">
        <v>2</v>
      </c>
      <c r="K1788" s="2" t="s">
        <v>3588</v>
      </c>
      <c r="L1788" s="11" t="str">
        <f t="shared" si="28"/>
        <v>Ver Imagen</v>
      </c>
      <c r="M1788" t="s">
        <v>15</v>
      </c>
    </row>
    <row r="1789" spans="1:13" x14ac:dyDescent="0.25">
      <c r="A1789">
        <v>1788</v>
      </c>
      <c r="B1789" t="s">
        <v>3589</v>
      </c>
      <c r="C1789" s="1">
        <v>37.271028276899997</v>
      </c>
      <c r="D1789" s="1">
        <v>-6.9886269823799996</v>
      </c>
      <c r="E1789" s="3">
        <v>2</v>
      </c>
      <c r="F1789" s="2">
        <v>2</v>
      </c>
      <c r="G1789" s="4">
        <v>3</v>
      </c>
      <c r="H1789" s="13"/>
      <c r="I1789" s="15"/>
      <c r="J1789" s="19">
        <v>2</v>
      </c>
      <c r="K1789" s="2" t="s">
        <v>3590</v>
      </c>
      <c r="L1789" s="11" t="str">
        <f t="shared" si="28"/>
        <v>Ver Imagen</v>
      </c>
      <c r="M1789" t="s">
        <v>15</v>
      </c>
    </row>
    <row r="1790" spans="1:13" x14ac:dyDescent="0.25">
      <c r="A1790">
        <v>1789</v>
      </c>
      <c r="B1790" t="s">
        <v>3591</v>
      </c>
      <c r="C1790" s="1">
        <v>37.446578491099999</v>
      </c>
      <c r="D1790" s="1">
        <v>-7.1322381948800002</v>
      </c>
      <c r="E1790" s="3">
        <v>3</v>
      </c>
      <c r="F1790" s="2">
        <v>3</v>
      </c>
      <c r="G1790" s="4">
        <v>3</v>
      </c>
      <c r="H1790" s="13"/>
      <c r="I1790" s="15"/>
      <c r="J1790" s="19">
        <v>3</v>
      </c>
      <c r="K1790" s="2" t="s">
        <v>3592</v>
      </c>
      <c r="L1790" s="11" t="str">
        <f t="shared" ref="L1790:L1853" si="29">HYPERLINK("3\0\" &amp; K1790, "Ver Imagen")</f>
        <v>Ver Imagen</v>
      </c>
      <c r="M1790" t="s">
        <v>15</v>
      </c>
    </row>
    <row r="1791" spans="1:13" x14ac:dyDescent="0.25">
      <c r="A1791">
        <v>1790</v>
      </c>
      <c r="B1791" t="s">
        <v>3593</v>
      </c>
      <c r="C1791" s="1">
        <v>37.446847075599997</v>
      </c>
      <c r="D1791" s="1">
        <v>-7.1307324760400004</v>
      </c>
      <c r="E1791" s="3">
        <v>3</v>
      </c>
      <c r="F1791" s="2">
        <v>3</v>
      </c>
      <c r="G1791" s="4">
        <v>3</v>
      </c>
      <c r="H1791" s="13"/>
      <c r="I1791" s="15"/>
      <c r="J1791" s="19">
        <v>3</v>
      </c>
      <c r="K1791" s="2" t="s">
        <v>3594</v>
      </c>
      <c r="L1791" s="11" t="str">
        <f t="shared" si="29"/>
        <v>Ver Imagen</v>
      </c>
      <c r="M1791" t="s">
        <v>15</v>
      </c>
    </row>
    <row r="1792" spans="1:13" x14ac:dyDescent="0.25">
      <c r="A1792">
        <v>1791</v>
      </c>
      <c r="B1792" t="s">
        <v>3595</v>
      </c>
      <c r="C1792" s="1">
        <v>37.4615719532</v>
      </c>
      <c r="D1792" s="1">
        <v>-7.1744293214899999</v>
      </c>
      <c r="E1792" s="3">
        <v>3</v>
      </c>
      <c r="F1792" s="2">
        <v>3</v>
      </c>
      <c r="G1792" s="4">
        <v>3</v>
      </c>
      <c r="H1792" s="13"/>
      <c r="I1792" s="15"/>
      <c r="J1792" s="19">
        <v>3</v>
      </c>
      <c r="K1792" s="2" t="s">
        <v>3596</v>
      </c>
      <c r="L1792" s="11" t="str">
        <f t="shared" si="29"/>
        <v>Ver Imagen</v>
      </c>
      <c r="M1792" t="s">
        <v>15</v>
      </c>
    </row>
    <row r="1793" spans="1:13" x14ac:dyDescent="0.25">
      <c r="A1793">
        <v>1792</v>
      </c>
      <c r="B1793" t="s">
        <v>3597</v>
      </c>
      <c r="C1793" s="1">
        <v>37.462814909199999</v>
      </c>
      <c r="D1793" s="1">
        <v>-7.1764617900600003</v>
      </c>
      <c r="E1793" s="3">
        <v>3</v>
      </c>
      <c r="F1793" s="2">
        <v>3</v>
      </c>
      <c r="G1793" s="4">
        <v>3</v>
      </c>
      <c r="H1793" s="13"/>
      <c r="I1793" s="15"/>
      <c r="J1793" s="19">
        <v>3</v>
      </c>
      <c r="K1793" s="2" t="s">
        <v>3598</v>
      </c>
      <c r="L1793" s="11" t="str">
        <f t="shared" si="29"/>
        <v>Ver Imagen</v>
      </c>
      <c r="M1793" t="s">
        <v>15</v>
      </c>
    </row>
    <row r="1794" spans="1:13" x14ac:dyDescent="0.25">
      <c r="A1794">
        <v>1793</v>
      </c>
      <c r="B1794" t="s">
        <v>3599</v>
      </c>
      <c r="C1794" s="1">
        <v>37.463642313199998</v>
      </c>
      <c r="D1794" s="1">
        <v>-7.17784589656</v>
      </c>
      <c r="E1794" s="3">
        <v>3</v>
      </c>
      <c r="F1794" s="2">
        <v>3</v>
      </c>
      <c r="G1794" s="4">
        <v>3</v>
      </c>
      <c r="H1794" s="13"/>
      <c r="I1794" s="15"/>
      <c r="J1794" s="19">
        <v>3</v>
      </c>
      <c r="K1794" s="2" t="s">
        <v>3600</v>
      </c>
      <c r="L1794" s="11" t="str">
        <f t="shared" si="29"/>
        <v>Ver Imagen</v>
      </c>
      <c r="M1794" t="s">
        <v>15</v>
      </c>
    </row>
    <row r="1795" spans="1:13" x14ac:dyDescent="0.25">
      <c r="A1795">
        <v>1794</v>
      </c>
      <c r="B1795" t="s">
        <v>3601</v>
      </c>
      <c r="C1795" s="1">
        <v>37.465250630500002</v>
      </c>
      <c r="D1795" s="1">
        <v>-7.1807749225100004</v>
      </c>
      <c r="E1795" s="3">
        <v>3</v>
      </c>
      <c r="F1795" s="2">
        <v>3</v>
      </c>
      <c r="G1795" s="4">
        <v>3</v>
      </c>
      <c r="H1795" s="13"/>
      <c r="I1795" s="15"/>
      <c r="J1795" s="19">
        <v>3</v>
      </c>
      <c r="K1795" s="2" t="s">
        <v>3602</v>
      </c>
      <c r="L1795" s="11" t="str">
        <f t="shared" si="29"/>
        <v>Ver Imagen</v>
      </c>
      <c r="M1795" t="s">
        <v>15</v>
      </c>
    </row>
    <row r="1796" spans="1:13" x14ac:dyDescent="0.25">
      <c r="A1796">
        <v>1795</v>
      </c>
      <c r="B1796" t="s">
        <v>3603</v>
      </c>
      <c r="C1796" s="1">
        <v>37.490171940000003</v>
      </c>
      <c r="D1796" s="1">
        <v>-7.2594655594099997</v>
      </c>
      <c r="E1796" s="3">
        <v>3</v>
      </c>
      <c r="F1796" s="2">
        <v>3</v>
      </c>
      <c r="G1796" s="4">
        <v>3</v>
      </c>
      <c r="H1796" s="13"/>
      <c r="I1796" s="15"/>
      <c r="J1796" s="19">
        <v>3</v>
      </c>
      <c r="K1796" s="2" t="s">
        <v>3604</v>
      </c>
      <c r="L1796" s="11" t="str">
        <f t="shared" si="29"/>
        <v>Ver Imagen</v>
      </c>
      <c r="M1796" t="s">
        <v>15</v>
      </c>
    </row>
    <row r="1797" spans="1:13" x14ac:dyDescent="0.25">
      <c r="A1797">
        <v>1796</v>
      </c>
      <c r="B1797" t="s">
        <v>3605</v>
      </c>
      <c r="C1797" s="1">
        <v>37.280579205999999</v>
      </c>
      <c r="D1797" s="1">
        <v>-7.0022505518799996</v>
      </c>
      <c r="E1797" s="3">
        <v>3</v>
      </c>
      <c r="F1797" s="2">
        <v>3</v>
      </c>
      <c r="G1797" s="4">
        <v>3</v>
      </c>
      <c r="H1797" s="13"/>
      <c r="I1797" s="15"/>
      <c r="J1797" s="19">
        <v>3</v>
      </c>
      <c r="K1797" s="2" t="s">
        <v>3606</v>
      </c>
      <c r="L1797" s="11" t="str">
        <f t="shared" si="29"/>
        <v>Ver Imagen</v>
      </c>
      <c r="M1797" t="s">
        <v>15</v>
      </c>
    </row>
    <row r="1798" spans="1:13" x14ac:dyDescent="0.25">
      <c r="A1798">
        <v>1797</v>
      </c>
      <c r="B1798" t="s">
        <v>3607</v>
      </c>
      <c r="C1798" s="1">
        <v>37.280688001599998</v>
      </c>
      <c r="D1798" s="1">
        <v>-7.0029920334</v>
      </c>
      <c r="E1798" s="3">
        <v>3</v>
      </c>
      <c r="F1798" s="2">
        <v>3</v>
      </c>
      <c r="G1798" s="4">
        <v>3</v>
      </c>
      <c r="H1798" s="13"/>
      <c r="I1798" s="15"/>
      <c r="J1798" s="19">
        <v>3</v>
      </c>
      <c r="K1798" s="2" t="s">
        <v>3608</v>
      </c>
      <c r="L1798" s="11" t="str">
        <f t="shared" si="29"/>
        <v>Ver Imagen</v>
      </c>
      <c r="M1798" t="s">
        <v>15</v>
      </c>
    </row>
    <row r="1799" spans="1:13" x14ac:dyDescent="0.25">
      <c r="A1799">
        <v>1798</v>
      </c>
      <c r="B1799" t="s">
        <v>3609</v>
      </c>
      <c r="C1799" s="1">
        <v>37.280476805900001</v>
      </c>
      <c r="D1799" s="1">
        <v>-7.00475923726</v>
      </c>
      <c r="E1799" s="3">
        <v>3</v>
      </c>
      <c r="F1799" s="2">
        <v>3</v>
      </c>
      <c r="G1799" s="4">
        <v>3</v>
      </c>
      <c r="H1799" s="13"/>
      <c r="I1799" s="15"/>
      <c r="J1799" s="19">
        <v>3</v>
      </c>
      <c r="K1799" s="2" t="s">
        <v>3610</v>
      </c>
      <c r="L1799" s="11" t="str">
        <f t="shared" si="29"/>
        <v>Ver Imagen</v>
      </c>
      <c r="M1799" t="s">
        <v>15</v>
      </c>
    </row>
    <row r="1800" spans="1:13" x14ac:dyDescent="0.25">
      <c r="A1800">
        <v>1799</v>
      </c>
      <c r="B1800" t="s">
        <v>3611</v>
      </c>
      <c r="C1800" s="1">
        <v>37.277946650200001</v>
      </c>
      <c r="D1800" s="1">
        <v>-7.01082500468</v>
      </c>
      <c r="E1800" s="3">
        <v>3</v>
      </c>
      <c r="F1800" s="2">
        <v>3</v>
      </c>
      <c r="G1800" s="4">
        <v>3</v>
      </c>
      <c r="H1800" s="13"/>
      <c r="I1800" s="15"/>
      <c r="J1800" s="19">
        <v>3</v>
      </c>
      <c r="K1800" s="2" t="s">
        <v>3612</v>
      </c>
      <c r="L1800" s="11" t="str">
        <f t="shared" si="29"/>
        <v>Ver Imagen</v>
      </c>
      <c r="M1800" t="s">
        <v>15</v>
      </c>
    </row>
    <row r="1801" spans="1:13" x14ac:dyDescent="0.25">
      <c r="A1801">
        <v>1800</v>
      </c>
      <c r="B1801" t="s">
        <v>3613</v>
      </c>
      <c r="C1801" s="1">
        <v>37.3174097367</v>
      </c>
      <c r="D1801" s="1">
        <v>-7.0709980039999998</v>
      </c>
      <c r="E1801" s="3">
        <v>3</v>
      </c>
      <c r="F1801" s="2">
        <v>3</v>
      </c>
      <c r="G1801" s="4">
        <v>3</v>
      </c>
      <c r="H1801" s="13"/>
      <c r="I1801" s="15"/>
      <c r="J1801" s="19">
        <v>3</v>
      </c>
      <c r="K1801" s="2" t="s">
        <v>3614</v>
      </c>
      <c r="L1801" s="11" t="str">
        <f t="shared" si="29"/>
        <v>Ver Imagen</v>
      </c>
      <c r="M1801" t="s">
        <v>15</v>
      </c>
    </row>
    <row r="1802" spans="1:13" x14ac:dyDescent="0.25">
      <c r="A1802">
        <v>1801</v>
      </c>
      <c r="B1802" t="s">
        <v>3615</v>
      </c>
      <c r="C1802" s="1">
        <v>37.453137810199998</v>
      </c>
      <c r="D1802" s="1">
        <v>-7.1121420396600001</v>
      </c>
      <c r="E1802" s="3">
        <v>3</v>
      </c>
      <c r="F1802" s="2">
        <v>3</v>
      </c>
      <c r="G1802" s="4">
        <v>3</v>
      </c>
      <c r="H1802" s="13"/>
      <c r="I1802" s="15"/>
      <c r="J1802" s="19">
        <v>3</v>
      </c>
      <c r="K1802" s="2" t="s">
        <v>3616</v>
      </c>
      <c r="L1802" s="11" t="str">
        <f t="shared" si="29"/>
        <v>Ver Imagen</v>
      </c>
      <c r="M1802" t="s">
        <v>15</v>
      </c>
    </row>
    <row r="1803" spans="1:13" x14ac:dyDescent="0.25">
      <c r="A1803">
        <v>1802</v>
      </c>
      <c r="B1803" t="s">
        <v>3617</v>
      </c>
      <c r="C1803" s="1">
        <v>37.268324042700002</v>
      </c>
      <c r="D1803" s="1">
        <v>-6.9727879368799996</v>
      </c>
      <c r="E1803" s="3">
        <v>3</v>
      </c>
      <c r="F1803" s="2">
        <v>3</v>
      </c>
      <c r="G1803" s="4">
        <v>3</v>
      </c>
      <c r="H1803" s="13"/>
      <c r="I1803" s="15"/>
      <c r="J1803" s="19">
        <v>3</v>
      </c>
      <c r="K1803" s="2" t="s">
        <v>3618</v>
      </c>
      <c r="L1803" s="11" t="str">
        <f t="shared" si="29"/>
        <v>Ver Imagen</v>
      </c>
      <c r="M1803" t="s">
        <v>15</v>
      </c>
    </row>
    <row r="1804" spans="1:13" x14ac:dyDescent="0.25">
      <c r="A1804">
        <v>1803</v>
      </c>
      <c r="B1804" t="s">
        <v>3619</v>
      </c>
      <c r="C1804" s="1">
        <v>37.268252037499998</v>
      </c>
      <c r="D1804" s="1">
        <v>-6.9723913815299996</v>
      </c>
      <c r="E1804" s="3">
        <v>3</v>
      </c>
      <c r="F1804" s="2">
        <v>3</v>
      </c>
      <c r="G1804" s="4">
        <v>3</v>
      </c>
      <c r="H1804" s="13"/>
      <c r="I1804" s="15"/>
      <c r="J1804" s="19">
        <v>3</v>
      </c>
      <c r="K1804" s="2" t="s">
        <v>3620</v>
      </c>
      <c r="L1804" s="11" t="str">
        <f t="shared" si="29"/>
        <v>Ver Imagen</v>
      </c>
      <c r="M1804" t="s">
        <v>15</v>
      </c>
    </row>
    <row r="1805" spans="1:13" x14ac:dyDescent="0.25">
      <c r="A1805">
        <v>1804</v>
      </c>
      <c r="B1805" t="s">
        <v>3621</v>
      </c>
      <c r="C1805" s="1">
        <v>37.268194241499998</v>
      </c>
      <c r="D1805" s="1">
        <v>-6.9720546071499996</v>
      </c>
      <c r="E1805" s="3">
        <v>3</v>
      </c>
      <c r="F1805" s="2">
        <v>3</v>
      </c>
      <c r="G1805" s="4">
        <v>3</v>
      </c>
      <c r="H1805" s="13"/>
      <c r="I1805" s="15"/>
      <c r="J1805" s="19">
        <v>3</v>
      </c>
      <c r="K1805" s="2" t="s">
        <v>3622</v>
      </c>
      <c r="L1805" s="11" t="str">
        <f t="shared" si="29"/>
        <v>Ver Imagen</v>
      </c>
      <c r="M1805" t="s">
        <v>15</v>
      </c>
    </row>
    <row r="1806" spans="1:13" x14ac:dyDescent="0.25">
      <c r="A1806">
        <v>1805</v>
      </c>
      <c r="B1806" t="s">
        <v>3623</v>
      </c>
      <c r="C1806" s="1">
        <v>37.267710040200001</v>
      </c>
      <c r="D1806" s="1">
        <v>-6.9682686942999998</v>
      </c>
      <c r="E1806" s="3">
        <v>3</v>
      </c>
      <c r="F1806" s="2">
        <v>3</v>
      </c>
      <c r="G1806" s="4">
        <v>3</v>
      </c>
      <c r="H1806" s="13"/>
      <c r="I1806" s="15"/>
      <c r="J1806" s="19">
        <v>3</v>
      </c>
      <c r="K1806" s="2" t="s">
        <v>3624</v>
      </c>
      <c r="L1806" s="11" t="str">
        <f t="shared" si="29"/>
        <v>Ver Imagen</v>
      </c>
      <c r="M1806" t="s">
        <v>15</v>
      </c>
    </row>
    <row r="1807" spans="1:13" x14ac:dyDescent="0.25">
      <c r="A1807">
        <v>1806</v>
      </c>
      <c r="B1807" t="s">
        <v>3625</v>
      </c>
      <c r="C1807" s="1">
        <v>37.267531362100002</v>
      </c>
      <c r="D1807" s="1">
        <v>-6.9645646371499996</v>
      </c>
      <c r="E1807" s="3">
        <v>3</v>
      </c>
      <c r="F1807" s="2">
        <v>3</v>
      </c>
      <c r="G1807" s="4">
        <v>3</v>
      </c>
      <c r="H1807" s="13"/>
      <c r="I1807" s="15"/>
      <c r="J1807" s="19">
        <v>3</v>
      </c>
      <c r="K1807" s="2" t="s">
        <v>3626</v>
      </c>
      <c r="L1807" s="11" t="str">
        <f t="shared" si="29"/>
        <v>Ver Imagen</v>
      </c>
      <c r="M1807" t="s">
        <v>15</v>
      </c>
    </row>
    <row r="1808" spans="1:13" x14ac:dyDescent="0.25">
      <c r="A1808">
        <v>1807</v>
      </c>
      <c r="B1808" t="s">
        <v>3627</v>
      </c>
      <c r="C1808" s="1">
        <v>37.2674826505</v>
      </c>
      <c r="D1808" s="1">
        <v>-6.9622557973300001</v>
      </c>
      <c r="E1808" s="3">
        <v>3</v>
      </c>
      <c r="F1808" s="2">
        <v>3</v>
      </c>
      <c r="G1808" s="4">
        <v>3</v>
      </c>
      <c r="H1808" s="13"/>
      <c r="I1808" s="15"/>
      <c r="J1808" s="19">
        <v>3</v>
      </c>
      <c r="K1808" s="2" t="s">
        <v>3628</v>
      </c>
      <c r="L1808" s="11" t="str">
        <f t="shared" si="29"/>
        <v>Ver Imagen</v>
      </c>
      <c r="M1808" t="s">
        <v>15</v>
      </c>
    </row>
    <row r="1809" spans="1:13" x14ac:dyDescent="0.25">
      <c r="A1809">
        <v>1808</v>
      </c>
      <c r="B1809" t="s">
        <v>3629</v>
      </c>
      <c r="C1809" s="1">
        <v>37.196206886299997</v>
      </c>
      <c r="D1809" s="1">
        <v>-7.00300165156</v>
      </c>
      <c r="E1809" s="3">
        <v>3</v>
      </c>
      <c r="F1809" s="2">
        <v>3</v>
      </c>
      <c r="G1809" s="4">
        <v>3</v>
      </c>
      <c r="H1809" s="13"/>
      <c r="I1809" s="15"/>
      <c r="J1809" s="19">
        <v>3</v>
      </c>
      <c r="K1809" s="2" t="s">
        <v>3630</v>
      </c>
      <c r="L1809" s="11" t="str">
        <f t="shared" si="29"/>
        <v>Ver Imagen</v>
      </c>
      <c r="M1809" t="s">
        <v>15</v>
      </c>
    </row>
    <row r="1810" spans="1:13" x14ac:dyDescent="0.25">
      <c r="A1810">
        <v>1809</v>
      </c>
      <c r="B1810" t="s">
        <v>3631</v>
      </c>
      <c r="C1810" s="1">
        <v>37.196284187099998</v>
      </c>
      <c r="D1810" s="1">
        <v>-7.0031745053599996</v>
      </c>
      <c r="E1810" s="3">
        <v>3</v>
      </c>
      <c r="F1810" s="2">
        <v>3</v>
      </c>
      <c r="G1810" s="4">
        <v>3</v>
      </c>
      <c r="H1810" s="13"/>
      <c r="I1810" s="15"/>
      <c r="J1810" s="19">
        <v>3</v>
      </c>
      <c r="K1810" s="2" t="s">
        <v>3632</v>
      </c>
      <c r="L1810" s="11" t="str">
        <f t="shared" si="29"/>
        <v>Ver Imagen</v>
      </c>
      <c r="M1810" t="s">
        <v>15</v>
      </c>
    </row>
    <row r="1811" spans="1:13" x14ac:dyDescent="0.25">
      <c r="A1811">
        <v>1810</v>
      </c>
      <c r="B1811" t="s">
        <v>3633</v>
      </c>
      <c r="C1811" s="1">
        <v>37.197408191699999</v>
      </c>
      <c r="D1811" s="1">
        <v>-7.0059125250500003</v>
      </c>
      <c r="E1811" s="3">
        <v>3</v>
      </c>
      <c r="F1811" s="2">
        <v>3</v>
      </c>
      <c r="G1811" s="4">
        <v>3</v>
      </c>
      <c r="H1811" s="13"/>
      <c r="I1811" s="15"/>
      <c r="J1811" s="19">
        <v>3</v>
      </c>
      <c r="K1811" s="2" t="s">
        <v>3634</v>
      </c>
      <c r="L1811" s="11" t="str">
        <f t="shared" si="29"/>
        <v>Ver Imagen</v>
      </c>
      <c r="M1811" t="s">
        <v>15</v>
      </c>
    </row>
    <row r="1812" spans="1:13" x14ac:dyDescent="0.25">
      <c r="A1812">
        <v>1811</v>
      </c>
      <c r="B1812" t="s">
        <v>3635</v>
      </c>
      <c r="C1812" s="1">
        <v>37.200122564200001</v>
      </c>
      <c r="D1812" s="1">
        <v>-7.0109442047300004</v>
      </c>
      <c r="E1812" s="3">
        <v>3</v>
      </c>
      <c r="F1812" s="2">
        <v>3</v>
      </c>
      <c r="G1812" s="4">
        <v>3</v>
      </c>
      <c r="H1812" s="13"/>
      <c r="I1812" s="15"/>
      <c r="J1812" s="19">
        <v>3</v>
      </c>
      <c r="K1812" s="2" t="s">
        <v>3636</v>
      </c>
      <c r="L1812" s="11" t="str">
        <f t="shared" si="29"/>
        <v>Ver Imagen</v>
      </c>
      <c r="M1812" t="s">
        <v>15</v>
      </c>
    </row>
    <row r="1813" spans="1:13" x14ac:dyDescent="0.25">
      <c r="A1813">
        <v>1812</v>
      </c>
      <c r="B1813" t="s">
        <v>3637</v>
      </c>
      <c r="C1813" s="1">
        <v>37.200602576599998</v>
      </c>
      <c r="D1813" s="1">
        <v>-7.0116815632699998</v>
      </c>
      <c r="E1813" s="3">
        <v>3</v>
      </c>
      <c r="F1813" s="2">
        <v>3</v>
      </c>
      <c r="G1813" s="4">
        <v>3</v>
      </c>
      <c r="H1813" s="13"/>
      <c r="I1813" s="15"/>
      <c r="J1813" s="19">
        <v>3</v>
      </c>
      <c r="K1813" s="2" t="s">
        <v>3638</v>
      </c>
      <c r="L1813" s="11" t="str">
        <f t="shared" si="29"/>
        <v>Ver Imagen</v>
      </c>
      <c r="M1813" t="s">
        <v>15</v>
      </c>
    </row>
    <row r="1814" spans="1:13" x14ac:dyDescent="0.25">
      <c r="A1814">
        <v>1813</v>
      </c>
      <c r="B1814" t="s">
        <v>3639</v>
      </c>
      <c r="C1814" s="1">
        <v>37.204834260200002</v>
      </c>
      <c r="D1814" s="1">
        <v>-7.0181806830099998</v>
      </c>
      <c r="E1814" s="3">
        <v>3</v>
      </c>
      <c r="F1814" s="2">
        <v>3</v>
      </c>
      <c r="G1814" s="4">
        <v>3</v>
      </c>
      <c r="H1814" s="13"/>
      <c r="I1814" s="15"/>
      <c r="J1814" s="19">
        <v>3</v>
      </c>
      <c r="K1814" s="2" t="s">
        <v>3640</v>
      </c>
      <c r="L1814" s="11" t="str">
        <f t="shared" si="29"/>
        <v>Ver Imagen</v>
      </c>
      <c r="M1814" t="s">
        <v>15</v>
      </c>
    </row>
    <row r="1815" spans="1:13" x14ac:dyDescent="0.25">
      <c r="A1815">
        <v>1814</v>
      </c>
      <c r="B1815" t="s">
        <v>3641</v>
      </c>
      <c r="C1815" s="1">
        <v>37.204979111599997</v>
      </c>
      <c r="D1815" s="1">
        <v>-7.01840459699</v>
      </c>
      <c r="E1815" s="3">
        <v>3</v>
      </c>
      <c r="F1815" s="2">
        <v>3</v>
      </c>
      <c r="G1815" s="4">
        <v>3</v>
      </c>
      <c r="H1815" s="13"/>
      <c r="I1815" s="15"/>
      <c r="J1815" s="19">
        <v>3</v>
      </c>
      <c r="K1815" s="2" t="s">
        <v>3642</v>
      </c>
      <c r="L1815" s="11" t="str">
        <f t="shared" si="29"/>
        <v>Ver Imagen</v>
      </c>
      <c r="M1815" t="s">
        <v>15</v>
      </c>
    </row>
    <row r="1816" spans="1:13" x14ac:dyDescent="0.25">
      <c r="A1816">
        <v>1815</v>
      </c>
      <c r="B1816" t="s">
        <v>3643</v>
      </c>
      <c r="C1816" s="1">
        <v>37.205102672499997</v>
      </c>
      <c r="D1816" s="1">
        <v>-7.0185951801200002</v>
      </c>
      <c r="E1816" s="3">
        <v>3</v>
      </c>
      <c r="F1816" s="2">
        <v>3</v>
      </c>
      <c r="G1816" s="4">
        <v>3</v>
      </c>
      <c r="H1816" s="13"/>
      <c r="I1816" s="15"/>
      <c r="J1816" s="19">
        <v>3</v>
      </c>
      <c r="K1816" s="2" t="s">
        <v>3644</v>
      </c>
      <c r="L1816" s="11" t="str">
        <f t="shared" si="29"/>
        <v>Ver Imagen</v>
      </c>
      <c r="M1816" t="s">
        <v>15</v>
      </c>
    </row>
    <row r="1817" spans="1:13" x14ac:dyDescent="0.25">
      <c r="A1817">
        <v>1816</v>
      </c>
      <c r="B1817" t="s">
        <v>3645</v>
      </c>
      <c r="C1817" s="1">
        <v>37.205360116400001</v>
      </c>
      <c r="D1817" s="1">
        <v>-7.0189907466000001</v>
      </c>
      <c r="E1817" s="3">
        <v>3</v>
      </c>
      <c r="F1817" s="2">
        <v>3</v>
      </c>
      <c r="G1817" s="4">
        <v>3</v>
      </c>
      <c r="H1817" s="13"/>
      <c r="I1817" s="15"/>
      <c r="J1817" s="19">
        <v>3</v>
      </c>
      <c r="K1817" s="2" t="s">
        <v>3646</v>
      </c>
      <c r="L1817" s="11" t="str">
        <f t="shared" si="29"/>
        <v>Ver Imagen</v>
      </c>
      <c r="M1817" t="s">
        <v>15</v>
      </c>
    </row>
    <row r="1818" spans="1:13" x14ac:dyDescent="0.25">
      <c r="A1818">
        <v>1817</v>
      </c>
      <c r="B1818" t="s">
        <v>3647</v>
      </c>
      <c r="C1818" s="1">
        <v>37.205488164099997</v>
      </c>
      <c r="D1818" s="1">
        <v>-7.0191889412300004</v>
      </c>
      <c r="E1818" s="3">
        <v>3</v>
      </c>
      <c r="F1818" s="2">
        <v>3</v>
      </c>
      <c r="G1818" s="4">
        <v>3</v>
      </c>
      <c r="H1818" s="13"/>
      <c r="I1818" s="15"/>
      <c r="J1818" s="19">
        <v>3</v>
      </c>
      <c r="K1818" s="2" t="s">
        <v>3648</v>
      </c>
      <c r="L1818" s="11" t="str">
        <f t="shared" si="29"/>
        <v>Ver Imagen</v>
      </c>
      <c r="M1818" t="s">
        <v>15</v>
      </c>
    </row>
    <row r="1819" spans="1:13" x14ac:dyDescent="0.25">
      <c r="A1819">
        <v>1818</v>
      </c>
      <c r="B1819" t="s">
        <v>3649</v>
      </c>
      <c r="C1819" s="1">
        <v>37.2056244471</v>
      </c>
      <c r="D1819" s="1">
        <v>-7.0194020145399998</v>
      </c>
      <c r="E1819" s="3">
        <v>3</v>
      </c>
      <c r="F1819" s="2">
        <v>3</v>
      </c>
      <c r="G1819" s="4">
        <v>3</v>
      </c>
      <c r="H1819" s="13"/>
      <c r="I1819" s="15"/>
      <c r="J1819" s="19">
        <v>3</v>
      </c>
      <c r="K1819" s="2" t="s">
        <v>3650</v>
      </c>
      <c r="L1819" s="11" t="str">
        <f t="shared" si="29"/>
        <v>Ver Imagen</v>
      </c>
      <c r="M1819" t="s">
        <v>15</v>
      </c>
    </row>
    <row r="1820" spans="1:13" x14ac:dyDescent="0.25">
      <c r="A1820">
        <v>1819</v>
      </c>
      <c r="B1820" t="s">
        <v>3651</v>
      </c>
      <c r="C1820" s="1">
        <v>37.205720554599999</v>
      </c>
      <c r="D1820" s="1">
        <v>-7.0195550834400002</v>
      </c>
      <c r="E1820" s="3">
        <v>3</v>
      </c>
      <c r="F1820" s="2">
        <v>3</v>
      </c>
      <c r="G1820" s="4">
        <v>3</v>
      </c>
      <c r="H1820" s="13"/>
      <c r="I1820" s="15"/>
      <c r="J1820" s="19">
        <v>3</v>
      </c>
      <c r="K1820" s="2" t="s">
        <v>3652</v>
      </c>
      <c r="L1820" s="11" t="str">
        <f t="shared" si="29"/>
        <v>Ver Imagen</v>
      </c>
      <c r="M1820" t="s">
        <v>15</v>
      </c>
    </row>
    <row r="1821" spans="1:13" x14ac:dyDescent="0.25">
      <c r="A1821">
        <v>1820</v>
      </c>
      <c r="B1821" t="s">
        <v>3653</v>
      </c>
      <c r="C1821" s="1">
        <v>37.205973071899997</v>
      </c>
      <c r="D1821" s="1">
        <v>-7.01998889516</v>
      </c>
      <c r="E1821" s="3">
        <v>3</v>
      </c>
      <c r="F1821" s="2">
        <v>3</v>
      </c>
      <c r="G1821" s="4">
        <v>3</v>
      </c>
      <c r="H1821" s="13"/>
      <c r="I1821" s="15"/>
      <c r="J1821" s="19">
        <v>3</v>
      </c>
      <c r="K1821" s="2" t="s">
        <v>3654</v>
      </c>
      <c r="L1821" s="11" t="str">
        <f t="shared" si="29"/>
        <v>Ver Imagen</v>
      </c>
      <c r="M1821" t="s">
        <v>15</v>
      </c>
    </row>
    <row r="1822" spans="1:13" x14ac:dyDescent="0.25">
      <c r="A1822">
        <v>1821</v>
      </c>
      <c r="B1822" t="s">
        <v>3655</v>
      </c>
      <c r="C1822" s="1">
        <v>37.206088239499998</v>
      </c>
      <c r="D1822" s="1">
        <v>-7.0201988133800004</v>
      </c>
      <c r="E1822" s="3">
        <v>3</v>
      </c>
      <c r="F1822" s="2">
        <v>3</v>
      </c>
      <c r="G1822" s="4">
        <v>3</v>
      </c>
      <c r="H1822" s="13"/>
      <c r="I1822" s="15"/>
      <c r="J1822" s="19">
        <v>3</v>
      </c>
      <c r="K1822" s="2" t="s">
        <v>3656</v>
      </c>
      <c r="L1822" s="11" t="str">
        <f t="shared" si="29"/>
        <v>Ver Imagen</v>
      </c>
      <c r="M1822" t="s">
        <v>15</v>
      </c>
    </row>
    <row r="1823" spans="1:13" x14ac:dyDescent="0.25">
      <c r="A1823">
        <v>1822</v>
      </c>
      <c r="B1823" t="s">
        <v>3657</v>
      </c>
      <c r="C1823" s="1">
        <v>37.206201240200002</v>
      </c>
      <c r="D1823" s="1">
        <v>-7.0204035091100003</v>
      </c>
      <c r="E1823" s="3">
        <v>3</v>
      </c>
      <c r="F1823" s="2">
        <v>3</v>
      </c>
      <c r="G1823" s="4">
        <v>3</v>
      </c>
      <c r="H1823" s="13"/>
      <c r="I1823" s="15"/>
      <c r="J1823" s="19">
        <v>3</v>
      </c>
      <c r="K1823" s="2" t="s">
        <v>3658</v>
      </c>
      <c r="L1823" s="11" t="str">
        <f t="shared" si="29"/>
        <v>Ver Imagen</v>
      </c>
      <c r="M1823" t="s">
        <v>15</v>
      </c>
    </row>
    <row r="1824" spans="1:13" x14ac:dyDescent="0.25">
      <c r="A1824">
        <v>1823</v>
      </c>
      <c r="B1824" t="s">
        <v>3659</v>
      </c>
      <c r="C1824" s="1">
        <v>37.206959974</v>
      </c>
      <c r="D1824" s="1">
        <v>-7.0215584396499997</v>
      </c>
      <c r="E1824" s="3">
        <v>3</v>
      </c>
      <c r="F1824" s="2">
        <v>3</v>
      </c>
      <c r="G1824" s="4">
        <v>3</v>
      </c>
      <c r="H1824" s="13"/>
      <c r="I1824" s="15"/>
      <c r="J1824" s="19">
        <v>3</v>
      </c>
      <c r="K1824" s="2" t="s">
        <v>3660</v>
      </c>
      <c r="L1824" s="11" t="str">
        <f t="shared" si="29"/>
        <v>Ver Imagen</v>
      </c>
      <c r="M1824" t="s">
        <v>15</v>
      </c>
    </row>
    <row r="1825" spans="1:13" x14ac:dyDescent="0.25">
      <c r="A1825">
        <v>1824</v>
      </c>
      <c r="B1825" t="s">
        <v>3661</v>
      </c>
      <c r="C1825" s="1">
        <v>37.208265898400001</v>
      </c>
      <c r="D1825" s="1">
        <v>-7.0239720881299998</v>
      </c>
      <c r="E1825" s="3">
        <v>3</v>
      </c>
      <c r="F1825" s="2">
        <v>3</v>
      </c>
      <c r="G1825" s="4">
        <v>3</v>
      </c>
      <c r="H1825" s="13"/>
      <c r="I1825" s="15"/>
      <c r="J1825" s="19">
        <v>3</v>
      </c>
      <c r="K1825" s="2" t="s">
        <v>3662</v>
      </c>
      <c r="L1825" s="11" t="str">
        <f t="shared" si="29"/>
        <v>Ver Imagen</v>
      </c>
      <c r="M1825" t="s">
        <v>15</v>
      </c>
    </row>
    <row r="1826" spans="1:13" x14ac:dyDescent="0.25">
      <c r="A1826">
        <v>1825</v>
      </c>
      <c r="B1826" t="s">
        <v>3663</v>
      </c>
      <c r="C1826" s="1">
        <v>37.2082753181</v>
      </c>
      <c r="D1826" s="1">
        <v>-7.02422227992</v>
      </c>
      <c r="E1826" s="3">
        <v>3</v>
      </c>
      <c r="F1826" s="2">
        <v>3</v>
      </c>
      <c r="G1826" s="4">
        <v>3</v>
      </c>
      <c r="H1826" s="13"/>
      <c r="I1826" s="15"/>
      <c r="J1826" s="19">
        <v>3</v>
      </c>
      <c r="K1826" s="2" t="s">
        <v>3664</v>
      </c>
      <c r="L1826" s="11" t="str">
        <f t="shared" si="29"/>
        <v>Ver Imagen</v>
      </c>
      <c r="M1826" t="s">
        <v>15</v>
      </c>
    </row>
    <row r="1827" spans="1:13" x14ac:dyDescent="0.25">
      <c r="A1827">
        <v>1826</v>
      </c>
      <c r="B1827" t="s">
        <v>3665</v>
      </c>
      <c r="C1827" s="1">
        <v>37.208416011200001</v>
      </c>
      <c r="D1827" s="1">
        <v>-7.0249713042200002</v>
      </c>
      <c r="E1827" s="3">
        <v>3</v>
      </c>
      <c r="F1827" s="2">
        <v>3</v>
      </c>
      <c r="G1827" s="4">
        <v>3</v>
      </c>
      <c r="H1827" s="13"/>
      <c r="I1827" s="15"/>
      <c r="J1827" s="19">
        <v>3</v>
      </c>
      <c r="K1827" s="2" t="s">
        <v>3666</v>
      </c>
      <c r="L1827" s="11" t="str">
        <f t="shared" si="29"/>
        <v>Ver Imagen</v>
      </c>
      <c r="M1827" t="s">
        <v>15</v>
      </c>
    </row>
    <row r="1828" spans="1:13" x14ac:dyDescent="0.25">
      <c r="A1828">
        <v>1827</v>
      </c>
      <c r="B1828" t="s">
        <v>3667</v>
      </c>
      <c r="C1828" s="1">
        <v>37.208833979200001</v>
      </c>
      <c r="D1828" s="1">
        <v>-7.0266340084500003</v>
      </c>
      <c r="E1828" s="3">
        <v>3</v>
      </c>
      <c r="F1828" s="2">
        <v>3</v>
      </c>
      <c r="G1828" s="4">
        <v>3</v>
      </c>
      <c r="H1828" s="13"/>
      <c r="I1828" s="15"/>
      <c r="J1828" s="19">
        <v>3</v>
      </c>
      <c r="K1828" s="2" t="s">
        <v>3668</v>
      </c>
      <c r="L1828" s="11" t="str">
        <f t="shared" si="29"/>
        <v>Ver Imagen</v>
      </c>
      <c r="M1828" t="s">
        <v>15</v>
      </c>
    </row>
    <row r="1829" spans="1:13" x14ac:dyDescent="0.25">
      <c r="A1829">
        <v>1828</v>
      </c>
      <c r="B1829" t="s">
        <v>3669</v>
      </c>
      <c r="C1829" s="1">
        <v>37.218499817400001</v>
      </c>
      <c r="D1829" s="1">
        <v>-7.1251797699599999</v>
      </c>
      <c r="E1829" s="3">
        <v>3</v>
      </c>
      <c r="F1829" s="2">
        <v>3</v>
      </c>
      <c r="G1829" s="4">
        <v>3</v>
      </c>
      <c r="H1829" s="13"/>
      <c r="I1829" s="15"/>
      <c r="J1829" s="19">
        <v>3</v>
      </c>
      <c r="K1829" s="2" t="s">
        <v>3670</v>
      </c>
      <c r="L1829" s="11" t="str">
        <f t="shared" si="29"/>
        <v>Ver Imagen</v>
      </c>
      <c r="M1829" t="s">
        <v>15</v>
      </c>
    </row>
    <row r="1830" spans="1:13" x14ac:dyDescent="0.25">
      <c r="A1830">
        <v>1829</v>
      </c>
      <c r="B1830" t="s">
        <v>3671</v>
      </c>
      <c r="C1830" s="1">
        <v>37.218317697499998</v>
      </c>
      <c r="D1830" s="1">
        <v>-7.1234584489100001</v>
      </c>
      <c r="E1830" s="3">
        <v>3</v>
      </c>
      <c r="F1830" s="2">
        <v>3</v>
      </c>
      <c r="G1830" s="4">
        <v>3</v>
      </c>
      <c r="H1830" s="13"/>
      <c r="I1830" s="15"/>
      <c r="J1830" s="19">
        <v>3</v>
      </c>
      <c r="K1830" s="2" t="s">
        <v>3672</v>
      </c>
      <c r="L1830" s="11" t="str">
        <f t="shared" si="29"/>
        <v>Ver Imagen</v>
      </c>
      <c r="M1830" t="s">
        <v>15</v>
      </c>
    </row>
    <row r="1831" spans="1:13" x14ac:dyDescent="0.25">
      <c r="A1831">
        <v>1830</v>
      </c>
      <c r="B1831" t="s">
        <v>3673</v>
      </c>
      <c r="C1831" s="1">
        <v>37.217536696000003</v>
      </c>
      <c r="D1831" s="1">
        <v>-7.1127330686599999</v>
      </c>
      <c r="E1831" s="3">
        <v>3</v>
      </c>
      <c r="F1831" s="2">
        <v>3</v>
      </c>
      <c r="G1831" s="4">
        <v>3</v>
      </c>
      <c r="H1831" s="13"/>
      <c r="I1831" s="15"/>
      <c r="J1831" s="19">
        <v>3</v>
      </c>
      <c r="K1831" s="2" t="s">
        <v>3674</v>
      </c>
      <c r="L1831" s="11" t="str">
        <f t="shared" si="29"/>
        <v>Ver Imagen</v>
      </c>
      <c r="M1831" t="s">
        <v>15</v>
      </c>
    </row>
    <row r="1832" spans="1:13" x14ac:dyDescent="0.25">
      <c r="A1832">
        <v>1831</v>
      </c>
      <c r="B1832" t="s">
        <v>3675</v>
      </c>
      <c r="C1832" s="1">
        <v>37.2175603767</v>
      </c>
      <c r="D1832" s="1">
        <v>-7.1122366692499996</v>
      </c>
      <c r="E1832" s="3">
        <v>3</v>
      </c>
      <c r="F1832" s="2">
        <v>3</v>
      </c>
      <c r="G1832" s="4">
        <v>3</v>
      </c>
      <c r="H1832" s="13"/>
      <c r="I1832" s="15"/>
      <c r="J1832" s="19">
        <v>3</v>
      </c>
      <c r="K1832" s="2" t="s">
        <v>3676</v>
      </c>
      <c r="L1832" s="11" t="str">
        <f t="shared" si="29"/>
        <v>Ver Imagen</v>
      </c>
      <c r="M1832" t="s">
        <v>15</v>
      </c>
    </row>
    <row r="1833" spans="1:13" x14ac:dyDescent="0.25">
      <c r="A1833">
        <v>1832</v>
      </c>
      <c r="B1833" t="s">
        <v>3677</v>
      </c>
      <c r="C1833" s="1">
        <v>37.217018068000002</v>
      </c>
      <c r="D1833" s="1">
        <v>-7.1001983382800002</v>
      </c>
      <c r="E1833" s="3">
        <v>3</v>
      </c>
      <c r="F1833" s="2">
        <v>3</v>
      </c>
      <c r="G1833" s="4">
        <v>3</v>
      </c>
      <c r="H1833" s="13"/>
      <c r="I1833" s="15"/>
      <c r="J1833" s="19">
        <v>3</v>
      </c>
      <c r="K1833" s="2" t="s">
        <v>3678</v>
      </c>
      <c r="L1833" s="11" t="str">
        <f t="shared" si="29"/>
        <v>Ver Imagen</v>
      </c>
      <c r="M1833" t="s">
        <v>15</v>
      </c>
    </row>
    <row r="1834" spans="1:13" x14ac:dyDescent="0.25">
      <c r="A1834">
        <v>1833</v>
      </c>
      <c r="B1834" t="s">
        <v>3679</v>
      </c>
      <c r="C1834" s="1">
        <v>37.213805142299996</v>
      </c>
      <c r="D1834" s="1">
        <v>-7.0728822823600002</v>
      </c>
      <c r="E1834" s="3">
        <v>3</v>
      </c>
      <c r="F1834" s="2">
        <v>3</v>
      </c>
      <c r="G1834" s="4">
        <v>3</v>
      </c>
      <c r="H1834" s="13"/>
      <c r="I1834" s="15"/>
      <c r="J1834" s="19">
        <v>3</v>
      </c>
      <c r="K1834" s="2" t="s">
        <v>3680</v>
      </c>
      <c r="L1834" s="11" t="str">
        <f t="shared" si="29"/>
        <v>Ver Imagen</v>
      </c>
      <c r="M1834" t="s">
        <v>15</v>
      </c>
    </row>
    <row r="1835" spans="1:13" x14ac:dyDescent="0.25">
      <c r="A1835">
        <v>1834</v>
      </c>
      <c r="B1835" t="s">
        <v>3681</v>
      </c>
      <c r="C1835" s="1">
        <v>37.213228773799997</v>
      </c>
      <c r="D1835" s="1">
        <v>-7.0634101505800002</v>
      </c>
      <c r="E1835" s="3">
        <v>3</v>
      </c>
      <c r="F1835" s="2">
        <v>3</v>
      </c>
      <c r="G1835" s="4">
        <v>3</v>
      </c>
      <c r="H1835" s="13"/>
      <c r="I1835" s="15"/>
      <c r="J1835" s="19">
        <v>3</v>
      </c>
      <c r="K1835" s="2" t="s">
        <v>3682</v>
      </c>
      <c r="L1835" s="11" t="str">
        <f t="shared" si="29"/>
        <v>Ver Imagen</v>
      </c>
      <c r="M1835" t="s">
        <v>15</v>
      </c>
    </row>
    <row r="1836" spans="1:13" x14ac:dyDescent="0.25">
      <c r="A1836">
        <v>1835</v>
      </c>
      <c r="B1836" t="s">
        <v>3683</v>
      </c>
      <c r="C1836" s="1">
        <v>37.213220245400002</v>
      </c>
      <c r="D1836" s="1">
        <v>-7.0631826395199999</v>
      </c>
      <c r="E1836" s="3">
        <v>3</v>
      </c>
      <c r="F1836" s="2">
        <v>3</v>
      </c>
      <c r="G1836" s="4">
        <v>3</v>
      </c>
      <c r="H1836" s="13"/>
      <c r="I1836" s="15"/>
      <c r="J1836" s="19">
        <v>3</v>
      </c>
      <c r="K1836" s="2" t="s">
        <v>3684</v>
      </c>
      <c r="L1836" s="11" t="str">
        <f t="shared" si="29"/>
        <v>Ver Imagen</v>
      </c>
      <c r="M1836" t="s">
        <v>15</v>
      </c>
    </row>
    <row r="1837" spans="1:13" x14ac:dyDescent="0.25">
      <c r="A1837">
        <v>1836</v>
      </c>
      <c r="B1837" t="s">
        <v>3685</v>
      </c>
      <c r="C1837" s="1">
        <v>37.212560779299999</v>
      </c>
      <c r="D1837" s="1">
        <v>-7.0605531189399997</v>
      </c>
      <c r="E1837" s="3">
        <v>3</v>
      </c>
      <c r="F1837" s="2">
        <v>3</v>
      </c>
      <c r="G1837" s="4">
        <v>3</v>
      </c>
      <c r="H1837" s="13"/>
      <c r="I1837" s="15"/>
      <c r="J1837" s="19">
        <v>3</v>
      </c>
      <c r="K1837" s="2" t="s">
        <v>3686</v>
      </c>
      <c r="L1837" s="11" t="str">
        <f t="shared" si="29"/>
        <v>Ver Imagen</v>
      </c>
      <c r="M1837" t="s">
        <v>15</v>
      </c>
    </row>
    <row r="1838" spans="1:13" x14ac:dyDescent="0.25">
      <c r="A1838">
        <v>1837</v>
      </c>
      <c r="B1838" t="s">
        <v>3687</v>
      </c>
      <c r="C1838" s="1">
        <v>37.211539369800001</v>
      </c>
      <c r="D1838" s="1">
        <v>-7.0577536627499997</v>
      </c>
      <c r="E1838" s="3">
        <v>3</v>
      </c>
      <c r="F1838" s="2">
        <v>3</v>
      </c>
      <c r="G1838" s="4">
        <v>3</v>
      </c>
      <c r="H1838" s="13"/>
      <c r="I1838" s="15"/>
      <c r="J1838" s="19">
        <v>3</v>
      </c>
      <c r="K1838" s="2" t="s">
        <v>3688</v>
      </c>
      <c r="L1838" s="11" t="str">
        <f t="shared" si="29"/>
        <v>Ver Imagen</v>
      </c>
      <c r="M1838" t="s">
        <v>15</v>
      </c>
    </row>
    <row r="1839" spans="1:13" x14ac:dyDescent="0.25">
      <c r="A1839">
        <v>1838</v>
      </c>
      <c r="B1839" t="s">
        <v>3689</v>
      </c>
      <c r="C1839" s="1">
        <v>37.211409554900001</v>
      </c>
      <c r="D1839" s="1">
        <v>-7.0572670144599998</v>
      </c>
      <c r="E1839" s="3">
        <v>3</v>
      </c>
      <c r="F1839" s="2">
        <v>3</v>
      </c>
      <c r="G1839" s="4">
        <v>3</v>
      </c>
      <c r="H1839" s="13"/>
      <c r="I1839" s="15"/>
      <c r="J1839" s="19">
        <v>3</v>
      </c>
      <c r="K1839" s="2" t="s">
        <v>3690</v>
      </c>
      <c r="L1839" s="11" t="str">
        <f t="shared" si="29"/>
        <v>Ver Imagen</v>
      </c>
      <c r="M1839" t="s">
        <v>15</v>
      </c>
    </row>
    <row r="1840" spans="1:13" x14ac:dyDescent="0.25">
      <c r="A1840">
        <v>1839</v>
      </c>
      <c r="B1840" t="s">
        <v>3691</v>
      </c>
      <c r="C1840" s="1">
        <v>37.211685868700002</v>
      </c>
      <c r="D1840" s="1">
        <v>-7.0582001187200003</v>
      </c>
      <c r="E1840" s="3">
        <v>3</v>
      </c>
      <c r="F1840" s="2">
        <v>3</v>
      </c>
      <c r="G1840" s="4">
        <v>3</v>
      </c>
      <c r="H1840" s="13"/>
      <c r="I1840" s="15"/>
      <c r="J1840" s="19">
        <v>3</v>
      </c>
      <c r="K1840" s="2" t="s">
        <v>3692</v>
      </c>
      <c r="L1840" s="11" t="str">
        <f t="shared" si="29"/>
        <v>Ver Imagen</v>
      </c>
      <c r="M1840" t="s">
        <v>15</v>
      </c>
    </row>
    <row r="1841" spans="1:13" x14ac:dyDescent="0.25">
      <c r="A1841">
        <v>1840</v>
      </c>
      <c r="B1841" t="s">
        <v>3693</v>
      </c>
      <c r="C1841" s="1">
        <v>37.210792564800002</v>
      </c>
      <c r="D1841" s="1">
        <v>-7.0523099199099999</v>
      </c>
      <c r="E1841" s="3">
        <v>3</v>
      </c>
      <c r="F1841" s="2">
        <v>3</v>
      </c>
      <c r="G1841" s="4">
        <v>3</v>
      </c>
      <c r="H1841" s="13"/>
      <c r="I1841" s="15"/>
      <c r="J1841" s="19">
        <v>3</v>
      </c>
      <c r="K1841" s="2" t="s">
        <v>3694</v>
      </c>
      <c r="L1841" s="11" t="str">
        <f t="shared" si="29"/>
        <v>Ver Imagen</v>
      </c>
      <c r="M1841" t="s">
        <v>15</v>
      </c>
    </row>
    <row r="1842" spans="1:13" x14ac:dyDescent="0.25">
      <c r="A1842">
        <v>1841</v>
      </c>
      <c r="B1842" t="s">
        <v>3695</v>
      </c>
      <c r="C1842" s="1">
        <v>37.210625615700003</v>
      </c>
      <c r="D1842" s="1">
        <v>-7.0434232331400004</v>
      </c>
      <c r="E1842" s="3">
        <v>3</v>
      </c>
      <c r="F1842" s="2">
        <v>3</v>
      </c>
      <c r="G1842" s="4">
        <v>3</v>
      </c>
      <c r="H1842" s="13"/>
      <c r="I1842" s="15"/>
      <c r="J1842" s="19">
        <v>3</v>
      </c>
      <c r="K1842" s="2" t="s">
        <v>3696</v>
      </c>
      <c r="L1842" s="11" t="str">
        <f t="shared" si="29"/>
        <v>Ver Imagen</v>
      </c>
      <c r="M1842" t="s">
        <v>15</v>
      </c>
    </row>
    <row r="1843" spans="1:13" x14ac:dyDescent="0.25">
      <c r="A1843">
        <v>1842</v>
      </c>
      <c r="B1843" t="s">
        <v>3697</v>
      </c>
      <c r="C1843" s="1">
        <v>37.210518975699998</v>
      </c>
      <c r="D1843" s="1">
        <v>-7.0431366350199998</v>
      </c>
      <c r="E1843" s="3">
        <v>3</v>
      </c>
      <c r="F1843" s="2">
        <v>3</v>
      </c>
      <c r="G1843" s="4">
        <v>3</v>
      </c>
      <c r="H1843" s="13"/>
      <c r="I1843" s="15"/>
      <c r="J1843" s="19">
        <v>3</v>
      </c>
      <c r="K1843" s="2" t="s">
        <v>3698</v>
      </c>
      <c r="L1843" s="11" t="str">
        <f t="shared" si="29"/>
        <v>Ver Imagen</v>
      </c>
      <c r="M1843" t="s">
        <v>15</v>
      </c>
    </row>
    <row r="1844" spans="1:13" x14ac:dyDescent="0.25">
      <c r="A1844">
        <v>1843</v>
      </c>
      <c r="B1844" t="s">
        <v>3699</v>
      </c>
      <c r="C1844" s="1">
        <v>37.210284907499997</v>
      </c>
      <c r="D1844" s="1">
        <v>-7.0425114143699998</v>
      </c>
      <c r="E1844" s="3">
        <v>3</v>
      </c>
      <c r="F1844" s="2">
        <v>3</v>
      </c>
      <c r="G1844" s="4">
        <v>3</v>
      </c>
      <c r="H1844" s="13"/>
      <c r="I1844" s="15"/>
      <c r="J1844" s="19">
        <v>3</v>
      </c>
      <c r="K1844" s="2" t="s">
        <v>3700</v>
      </c>
      <c r="L1844" s="11" t="str">
        <f t="shared" si="29"/>
        <v>Ver Imagen</v>
      </c>
      <c r="M1844" t="s">
        <v>15</v>
      </c>
    </row>
    <row r="1845" spans="1:13" x14ac:dyDescent="0.25">
      <c r="A1845">
        <v>1844</v>
      </c>
      <c r="B1845" t="s">
        <v>3701</v>
      </c>
      <c r="C1845" s="1">
        <v>37.209420643400001</v>
      </c>
      <c r="D1845" s="1">
        <v>-7.0401953233099999</v>
      </c>
      <c r="E1845" s="3">
        <v>3</v>
      </c>
      <c r="F1845" s="2">
        <v>3</v>
      </c>
      <c r="G1845" s="4">
        <v>3</v>
      </c>
      <c r="H1845" s="13"/>
      <c r="I1845" s="15"/>
      <c r="J1845" s="19">
        <v>3</v>
      </c>
      <c r="K1845" s="2" t="s">
        <v>3702</v>
      </c>
      <c r="L1845" s="11" t="str">
        <f t="shared" si="29"/>
        <v>Ver Imagen</v>
      </c>
      <c r="M1845" t="s">
        <v>15</v>
      </c>
    </row>
    <row r="1846" spans="1:13" x14ac:dyDescent="0.25">
      <c r="A1846">
        <v>1845</v>
      </c>
      <c r="B1846" t="s">
        <v>3703</v>
      </c>
      <c r="C1846" s="1">
        <v>37.208699203400002</v>
      </c>
      <c r="D1846" s="1">
        <v>-7.03833994873</v>
      </c>
      <c r="E1846" s="3">
        <v>3</v>
      </c>
      <c r="F1846" s="2">
        <v>3</v>
      </c>
      <c r="G1846" s="4">
        <v>3</v>
      </c>
      <c r="H1846" s="13"/>
      <c r="I1846" s="15"/>
      <c r="J1846" s="19">
        <v>3</v>
      </c>
      <c r="K1846" s="2" t="s">
        <v>3704</v>
      </c>
      <c r="L1846" s="11" t="str">
        <f t="shared" si="29"/>
        <v>Ver Imagen</v>
      </c>
      <c r="M1846" t="s">
        <v>15</v>
      </c>
    </row>
    <row r="1847" spans="1:13" x14ac:dyDescent="0.25">
      <c r="A1847">
        <v>1846</v>
      </c>
      <c r="B1847" t="s">
        <v>3705</v>
      </c>
      <c r="C1847" s="1">
        <v>37.208603584099997</v>
      </c>
      <c r="D1847" s="1">
        <v>-7.0380945510000004</v>
      </c>
      <c r="E1847" s="3">
        <v>3</v>
      </c>
      <c r="F1847" s="2">
        <v>3</v>
      </c>
      <c r="G1847" s="4">
        <v>3</v>
      </c>
      <c r="H1847" s="13"/>
      <c r="I1847" s="15"/>
      <c r="J1847" s="19">
        <v>3</v>
      </c>
      <c r="K1847" s="2" t="s">
        <v>3706</v>
      </c>
      <c r="L1847" s="11" t="str">
        <f t="shared" si="29"/>
        <v>Ver Imagen</v>
      </c>
      <c r="M1847" t="s">
        <v>15</v>
      </c>
    </row>
    <row r="1848" spans="1:13" x14ac:dyDescent="0.25">
      <c r="A1848">
        <v>1847</v>
      </c>
      <c r="B1848" t="s">
        <v>3707</v>
      </c>
      <c r="C1848" s="1">
        <v>37.208520395999997</v>
      </c>
      <c r="D1848" s="1">
        <v>-7.0378809820099999</v>
      </c>
      <c r="E1848" s="3">
        <v>3</v>
      </c>
      <c r="F1848" s="2">
        <v>3</v>
      </c>
      <c r="G1848" s="4">
        <v>3</v>
      </c>
      <c r="H1848" s="13"/>
      <c r="I1848" s="15"/>
      <c r="J1848" s="19">
        <v>3</v>
      </c>
      <c r="K1848" s="2" t="s">
        <v>3708</v>
      </c>
      <c r="L1848" s="11" t="str">
        <f t="shared" si="29"/>
        <v>Ver Imagen</v>
      </c>
      <c r="M1848" t="s">
        <v>15</v>
      </c>
    </row>
    <row r="1849" spans="1:13" x14ac:dyDescent="0.25">
      <c r="A1849">
        <v>1848</v>
      </c>
      <c r="B1849" t="s">
        <v>3709</v>
      </c>
      <c r="C1849" s="1">
        <v>37.2084551361</v>
      </c>
      <c r="D1849" s="1">
        <v>-7.0377109941200002</v>
      </c>
      <c r="E1849" s="3">
        <v>3</v>
      </c>
      <c r="F1849" s="2">
        <v>3</v>
      </c>
      <c r="G1849" s="4">
        <v>3</v>
      </c>
      <c r="H1849" s="13"/>
      <c r="I1849" s="15"/>
      <c r="J1849" s="19">
        <v>3</v>
      </c>
      <c r="K1849" s="2" t="s">
        <v>3710</v>
      </c>
      <c r="L1849" s="11" t="str">
        <f t="shared" si="29"/>
        <v>Ver Imagen</v>
      </c>
      <c r="M1849" t="s">
        <v>15</v>
      </c>
    </row>
    <row r="1850" spans="1:13" x14ac:dyDescent="0.25">
      <c r="A1850">
        <v>1849</v>
      </c>
      <c r="B1850" t="s">
        <v>3711</v>
      </c>
      <c r="C1850" s="1">
        <v>37.207477679299998</v>
      </c>
      <c r="D1850" s="1">
        <v>-7.0351751927999997</v>
      </c>
      <c r="E1850" s="3">
        <v>3</v>
      </c>
      <c r="F1850" s="2">
        <v>3</v>
      </c>
      <c r="G1850" s="4">
        <v>3</v>
      </c>
      <c r="H1850" s="13"/>
      <c r="I1850" s="15"/>
      <c r="J1850" s="19">
        <v>3</v>
      </c>
      <c r="K1850" s="2" t="s">
        <v>3712</v>
      </c>
      <c r="L1850" s="11" t="str">
        <f t="shared" si="29"/>
        <v>Ver Imagen</v>
      </c>
      <c r="M1850" t="s">
        <v>15</v>
      </c>
    </row>
    <row r="1851" spans="1:13" x14ac:dyDescent="0.25">
      <c r="A1851">
        <v>1850</v>
      </c>
      <c r="B1851" t="s">
        <v>3713</v>
      </c>
      <c r="C1851" s="1">
        <v>37.206515330000002</v>
      </c>
      <c r="D1851" s="1">
        <v>-7.0326769420300002</v>
      </c>
      <c r="E1851" s="3">
        <v>3</v>
      </c>
      <c r="F1851" s="2">
        <v>3</v>
      </c>
      <c r="G1851" s="4">
        <v>3</v>
      </c>
      <c r="H1851" s="13"/>
      <c r="I1851" s="15"/>
      <c r="J1851" s="19">
        <v>3</v>
      </c>
      <c r="K1851" s="2" t="s">
        <v>3714</v>
      </c>
      <c r="L1851" s="11" t="str">
        <f t="shared" si="29"/>
        <v>Ver Imagen</v>
      </c>
      <c r="M1851" t="s">
        <v>15</v>
      </c>
    </row>
    <row r="1852" spans="1:13" x14ac:dyDescent="0.25">
      <c r="A1852">
        <v>1851</v>
      </c>
      <c r="B1852" t="s">
        <v>3715</v>
      </c>
      <c r="C1852" s="1">
        <v>37.206250733300003</v>
      </c>
      <c r="D1852" s="1">
        <v>-7.0319987419399999</v>
      </c>
      <c r="E1852" s="3">
        <v>3</v>
      </c>
      <c r="F1852" s="2">
        <v>3</v>
      </c>
      <c r="G1852" s="4">
        <v>3</v>
      </c>
      <c r="H1852" s="13"/>
      <c r="I1852" s="15"/>
      <c r="J1852" s="19">
        <v>3</v>
      </c>
      <c r="K1852" s="2" t="s">
        <v>3716</v>
      </c>
      <c r="L1852" s="11" t="str">
        <f t="shared" si="29"/>
        <v>Ver Imagen</v>
      </c>
      <c r="M1852" t="s">
        <v>15</v>
      </c>
    </row>
    <row r="1853" spans="1:13" x14ac:dyDescent="0.25">
      <c r="A1853">
        <v>1852</v>
      </c>
      <c r="B1853" t="s">
        <v>3717</v>
      </c>
      <c r="C1853" s="1">
        <v>37.205629258599998</v>
      </c>
      <c r="D1853" s="1">
        <v>-7.0303817123199996</v>
      </c>
      <c r="E1853" s="3">
        <v>3</v>
      </c>
      <c r="F1853" s="2">
        <v>3</v>
      </c>
      <c r="G1853" s="4">
        <v>3</v>
      </c>
      <c r="H1853" s="13"/>
      <c r="I1853" s="15"/>
      <c r="J1853" s="19">
        <v>3</v>
      </c>
      <c r="K1853" s="2" t="s">
        <v>3718</v>
      </c>
      <c r="L1853" s="11" t="str">
        <f t="shared" si="29"/>
        <v>Ver Imagen</v>
      </c>
      <c r="M1853" t="s">
        <v>15</v>
      </c>
    </row>
    <row r="1854" spans="1:13" x14ac:dyDescent="0.25">
      <c r="A1854">
        <v>1853</v>
      </c>
      <c r="B1854" t="s">
        <v>3719</v>
      </c>
      <c r="C1854" s="1">
        <v>37.205287534199996</v>
      </c>
      <c r="D1854" s="1">
        <v>-7.0294775778299998</v>
      </c>
      <c r="E1854" s="3">
        <v>3</v>
      </c>
      <c r="F1854" s="2">
        <v>3</v>
      </c>
      <c r="G1854" s="4">
        <v>3</v>
      </c>
      <c r="H1854" s="13"/>
      <c r="I1854" s="15"/>
      <c r="J1854" s="19">
        <v>3</v>
      </c>
      <c r="K1854" s="2" t="s">
        <v>3720</v>
      </c>
      <c r="L1854" s="11" t="str">
        <f t="shared" ref="L1854:L1917" si="30">HYPERLINK("3\0\" &amp; K1854, "Ver Imagen")</f>
        <v>Ver Imagen</v>
      </c>
      <c r="M1854" t="s">
        <v>15</v>
      </c>
    </row>
    <row r="1855" spans="1:13" x14ac:dyDescent="0.25">
      <c r="A1855">
        <v>1854</v>
      </c>
      <c r="B1855" t="s">
        <v>3721</v>
      </c>
      <c r="C1855" s="1">
        <v>37.205031251400001</v>
      </c>
      <c r="D1855" s="1">
        <v>-7.0288209905999999</v>
      </c>
      <c r="E1855" s="3">
        <v>3</v>
      </c>
      <c r="F1855" s="2">
        <v>3</v>
      </c>
      <c r="G1855" s="4">
        <v>3</v>
      </c>
      <c r="H1855" s="13"/>
      <c r="I1855" s="15"/>
      <c r="J1855" s="19">
        <v>3</v>
      </c>
      <c r="K1855" s="2" t="s">
        <v>3722</v>
      </c>
      <c r="L1855" s="11" t="str">
        <f t="shared" si="30"/>
        <v>Ver Imagen</v>
      </c>
      <c r="M1855" t="s">
        <v>15</v>
      </c>
    </row>
    <row r="1856" spans="1:13" x14ac:dyDescent="0.25">
      <c r="A1856">
        <v>1855</v>
      </c>
      <c r="B1856" t="s">
        <v>3723</v>
      </c>
      <c r="C1856" s="1">
        <v>37.204926744399998</v>
      </c>
      <c r="D1856" s="1">
        <v>-7.0285868060599999</v>
      </c>
      <c r="E1856" s="3">
        <v>3</v>
      </c>
      <c r="F1856" s="2">
        <v>3</v>
      </c>
      <c r="G1856" s="4">
        <v>3</v>
      </c>
      <c r="H1856" s="13"/>
      <c r="I1856" s="15"/>
      <c r="J1856" s="19">
        <v>3</v>
      </c>
      <c r="K1856" s="2" t="s">
        <v>3724</v>
      </c>
      <c r="L1856" s="11" t="str">
        <f t="shared" si="30"/>
        <v>Ver Imagen</v>
      </c>
      <c r="M1856" t="s">
        <v>15</v>
      </c>
    </row>
    <row r="1857" spans="1:13" x14ac:dyDescent="0.25">
      <c r="A1857">
        <v>1856</v>
      </c>
      <c r="B1857" t="s">
        <v>3725</v>
      </c>
      <c r="C1857" s="1">
        <v>37.204314715499997</v>
      </c>
      <c r="D1857" s="1">
        <v>-7.0272675982299999</v>
      </c>
      <c r="E1857" s="3">
        <v>3</v>
      </c>
      <c r="F1857" s="2">
        <v>3</v>
      </c>
      <c r="G1857" s="4">
        <v>3</v>
      </c>
      <c r="H1857" s="13"/>
      <c r="I1857" s="15"/>
      <c r="J1857" s="19">
        <v>3</v>
      </c>
      <c r="K1857" s="2" t="s">
        <v>3726</v>
      </c>
      <c r="L1857" s="11" t="str">
        <f t="shared" si="30"/>
        <v>Ver Imagen</v>
      </c>
      <c r="M1857" t="s">
        <v>15</v>
      </c>
    </row>
    <row r="1858" spans="1:13" x14ac:dyDescent="0.25">
      <c r="A1858">
        <v>1857</v>
      </c>
      <c r="B1858" t="s">
        <v>3727</v>
      </c>
      <c r="C1858" s="1">
        <v>37.204268064600001</v>
      </c>
      <c r="D1858" s="1">
        <v>-7.0270488588999998</v>
      </c>
      <c r="E1858" s="3">
        <v>3</v>
      </c>
      <c r="F1858" s="2">
        <v>3</v>
      </c>
      <c r="G1858" s="4">
        <v>3</v>
      </c>
      <c r="H1858" s="13"/>
      <c r="I1858" s="15"/>
      <c r="J1858" s="19">
        <v>3</v>
      </c>
      <c r="K1858" s="2" t="s">
        <v>3728</v>
      </c>
      <c r="L1858" s="11" t="str">
        <f t="shared" si="30"/>
        <v>Ver Imagen</v>
      </c>
      <c r="M1858" t="s">
        <v>15</v>
      </c>
    </row>
    <row r="1859" spans="1:13" x14ac:dyDescent="0.25">
      <c r="A1859">
        <v>1858</v>
      </c>
      <c r="B1859" t="s">
        <v>3729</v>
      </c>
      <c r="C1859" s="1">
        <v>37.2796250257</v>
      </c>
      <c r="D1859" s="1">
        <v>-7.1451922426100003</v>
      </c>
      <c r="E1859" s="3">
        <v>3</v>
      </c>
      <c r="F1859" s="2">
        <v>3</v>
      </c>
      <c r="G1859" s="4">
        <v>3</v>
      </c>
      <c r="H1859" s="13"/>
      <c r="I1859" s="15"/>
      <c r="J1859" s="19">
        <v>3</v>
      </c>
      <c r="K1859" s="2" t="s">
        <v>3730</v>
      </c>
      <c r="L1859" s="11" t="str">
        <f t="shared" si="30"/>
        <v>Ver Imagen</v>
      </c>
      <c r="M1859" t="s">
        <v>15</v>
      </c>
    </row>
    <row r="1860" spans="1:13" x14ac:dyDescent="0.25">
      <c r="A1860">
        <v>1859</v>
      </c>
      <c r="B1860" t="s">
        <v>3731</v>
      </c>
      <c r="C1860" s="1">
        <v>37.279301102799998</v>
      </c>
      <c r="D1860" s="1">
        <v>-7.1448532373200004</v>
      </c>
      <c r="E1860" s="3">
        <v>3</v>
      </c>
      <c r="F1860" s="2">
        <v>3</v>
      </c>
      <c r="G1860" s="4">
        <v>3</v>
      </c>
      <c r="H1860" s="13"/>
      <c r="I1860" s="15"/>
      <c r="J1860" s="19">
        <v>3</v>
      </c>
      <c r="K1860" s="2" t="s">
        <v>3732</v>
      </c>
      <c r="L1860" s="11" t="str">
        <f t="shared" si="30"/>
        <v>Ver Imagen</v>
      </c>
      <c r="M1860" t="s">
        <v>15</v>
      </c>
    </row>
    <row r="1861" spans="1:13" x14ac:dyDescent="0.25">
      <c r="A1861">
        <v>1860</v>
      </c>
      <c r="B1861" t="s">
        <v>3733</v>
      </c>
      <c r="C1861" s="1">
        <v>37.279128983500001</v>
      </c>
      <c r="D1861" s="1">
        <v>-7.1447113795200003</v>
      </c>
      <c r="E1861" s="3">
        <v>3</v>
      </c>
      <c r="F1861" s="2">
        <v>3</v>
      </c>
      <c r="G1861" s="4">
        <v>3</v>
      </c>
      <c r="H1861" s="13"/>
      <c r="I1861" s="15"/>
      <c r="J1861" s="19">
        <v>3</v>
      </c>
      <c r="K1861" s="2" t="s">
        <v>3734</v>
      </c>
      <c r="L1861" s="11" t="str">
        <f t="shared" si="30"/>
        <v>Ver Imagen</v>
      </c>
      <c r="M1861" t="s">
        <v>15</v>
      </c>
    </row>
    <row r="1862" spans="1:13" x14ac:dyDescent="0.25">
      <c r="A1862">
        <v>1861</v>
      </c>
      <c r="B1862" t="s">
        <v>3735</v>
      </c>
      <c r="C1862" s="1">
        <v>37.277370772600001</v>
      </c>
      <c r="D1862" s="1">
        <v>-7.1434310851899996</v>
      </c>
      <c r="E1862" s="3">
        <v>3</v>
      </c>
      <c r="F1862" s="2">
        <v>3</v>
      </c>
      <c r="G1862" s="4">
        <v>3</v>
      </c>
      <c r="H1862" s="13"/>
      <c r="I1862" s="15"/>
      <c r="J1862" s="19">
        <v>3</v>
      </c>
      <c r="K1862" s="2" t="s">
        <v>3736</v>
      </c>
      <c r="L1862" s="11" t="str">
        <f t="shared" si="30"/>
        <v>Ver Imagen</v>
      </c>
      <c r="M1862" t="s">
        <v>15</v>
      </c>
    </row>
    <row r="1863" spans="1:13" x14ac:dyDescent="0.25">
      <c r="A1863">
        <v>1862</v>
      </c>
      <c r="B1863" t="s">
        <v>3737</v>
      </c>
      <c r="C1863" s="1">
        <v>37.274645709200001</v>
      </c>
      <c r="D1863" s="1">
        <v>-7.1425089849700001</v>
      </c>
      <c r="E1863" s="3">
        <v>3</v>
      </c>
      <c r="F1863" s="2">
        <v>3</v>
      </c>
      <c r="G1863" s="4">
        <v>3</v>
      </c>
      <c r="H1863" s="13"/>
      <c r="I1863" s="15"/>
      <c r="J1863" s="19">
        <v>3</v>
      </c>
      <c r="K1863" s="2" t="s">
        <v>3738</v>
      </c>
      <c r="L1863" s="11" t="str">
        <f t="shared" si="30"/>
        <v>Ver Imagen</v>
      </c>
      <c r="M1863" t="s">
        <v>15</v>
      </c>
    </row>
    <row r="1864" spans="1:13" x14ac:dyDescent="0.25">
      <c r="A1864">
        <v>1863</v>
      </c>
      <c r="B1864" t="s">
        <v>3739</v>
      </c>
      <c r="C1864" s="1">
        <v>37.274089761299997</v>
      </c>
      <c r="D1864" s="1">
        <v>-7.1422622760200003</v>
      </c>
      <c r="E1864" s="3">
        <v>3</v>
      </c>
      <c r="F1864" s="2">
        <v>3</v>
      </c>
      <c r="G1864" s="4">
        <v>3</v>
      </c>
      <c r="H1864" s="13"/>
      <c r="I1864" s="15"/>
      <c r="J1864" s="19">
        <v>3</v>
      </c>
      <c r="K1864" s="2" t="s">
        <v>3740</v>
      </c>
      <c r="L1864" s="11" t="str">
        <f t="shared" si="30"/>
        <v>Ver Imagen</v>
      </c>
      <c r="M1864" t="s">
        <v>15</v>
      </c>
    </row>
    <row r="1865" spans="1:13" x14ac:dyDescent="0.25">
      <c r="A1865">
        <v>1864</v>
      </c>
      <c r="B1865" t="s">
        <v>3741</v>
      </c>
      <c r="C1865" s="1">
        <v>37.273133466200001</v>
      </c>
      <c r="D1865" s="1">
        <v>-7.1418444651500002</v>
      </c>
      <c r="E1865" s="3">
        <v>3</v>
      </c>
      <c r="F1865" s="2">
        <v>3</v>
      </c>
      <c r="G1865" s="4">
        <v>3</v>
      </c>
      <c r="H1865" s="13"/>
      <c r="I1865" s="15"/>
      <c r="J1865" s="19">
        <v>3</v>
      </c>
      <c r="K1865" s="2" t="s">
        <v>3742</v>
      </c>
      <c r="L1865" s="11" t="str">
        <f t="shared" si="30"/>
        <v>Ver Imagen</v>
      </c>
      <c r="M1865" t="s">
        <v>15</v>
      </c>
    </row>
    <row r="1866" spans="1:13" x14ac:dyDescent="0.25">
      <c r="A1866">
        <v>1865</v>
      </c>
      <c r="B1866" t="s">
        <v>3743</v>
      </c>
      <c r="C1866" s="1">
        <v>37.270696330900002</v>
      </c>
      <c r="D1866" s="1">
        <v>-7.1400740661900004</v>
      </c>
      <c r="E1866" s="3">
        <v>3</v>
      </c>
      <c r="F1866" s="2">
        <v>3</v>
      </c>
      <c r="G1866" s="4">
        <v>3</v>
      </c>
      <c r="H1866" s="13"/>
      <c r="I1866" s="15"/>
      <c r="J1866" s="19">
        <v>3</v>
      </c>
      <c r="K1866" s="2" t="s">
        <v>3744</v>
      </c>
      <c r="L1866" s="11" t="str">
        <f t="shared" si="30"/>
        <v>Ver Imagen</v>
      </c>
      <c r="M1866" t="s">
        <v>15</v>
      </c>
    </row>
    <row r="1867" spans="1:13" x14ac:dyDescent="0.25">
      <c r="A1867">
        <v>1866</v>
      </c>
      <c r="B1867" t="s">
        <v>3745</v>
      </c>
      <c r="C1867" s="1">
        <v>37.270339842200002</v>
      </c>
      <c r="D1867" s="1">
        <v>-7.1398195134</v>
      </c>
      <c r="E1867" s="3">
        <v>3</v>
      </c>
      <c r="F1867" s="2">
        <v>3</v>
      </c>
      <c r="G1867" s="4">
        <v>3</v>
      </c>
      <c r="H1867" s="13"/>
      <c r="I1867" s="15"/>
      <c r="J1867" s="19">
        <v>3</v>
      </c>
      <c r="K1867" s="2" t="s">
        <v>3746</v>
      </c>
      <c r="L1867" s="11" t="str">
        <f t="shared" si="30"/>
        <v>Ver Imagen</v>
      </c>
      <c r="M1867" t="s">
        <v>15</v>
      </c>
    </row>
    <row r="1868" spans="1:13" x14ac:dyDescent="0.25">
      <c r="A1868">
        <v>1867</v>
      </c>
      <c r="B1868" t="s">
        <v>3747</v>
      </c>
      <c r="C1868" s="1">
        <v>37.2690811489</v>
      </c>
      <c r="D1868" s="1">
        <v>-7.1385748445199999</v>
      </c>
      <c r="E1868" s="3">
        <v>3</v>
      </c>
      <c r="F1868" s="2">
        <v>3</v>
      </c>
      <c r="G1868" s="4">
        <v>3</v>
      </c>
      <c r="H1868" s="13"/>
      <c r="I1868" s="15"/>
      <c r="J1868" s="19">
        <v>3</v>
      </c>
      <c r="K1868" s="2" t="s">
        <v>3748</v>
      </c>
      <c r="L1868" s="11" t="str">
        <f t="shared" si="30"/>
        <v>Ver Imagen</v>
      </c>
      <c r="M1868" t="s">
        <v>15</v>
      </c>
    </row>
    <row r="1869" spans="1:13" x14ac:dyDescent="0.25">
      <c r="A1869">
        <v>1868</v>
      </c>
      <c r="B1869" t="s">
        <v>3749</v>
      </c>
      <c r="C1869" s="1">
        <v>37.268879803300003</v>
      </c>
      <c r="D1869" s="1">
        <v>-7.1381698307799999</v>
      </c>
      <c r="E1869" s="3">
        <v>3</v>
      </c>
      <c r="F1869" s="2">
        <v>3</v>
      </c>
      <c r="G1869" s="4">
        <v>3</v>
      </c>
      <c r="H1869" s="13"/>
      <c r="I1869" s="15"/>
      <c r="J1869" s="19">
        <v>3</v>
      </c>
      <c r="K1869" s="2" t="s">
        <v>3750</v>
      </c>
      <c r="L1869" s="11" t="str">
        <f t="shared" si="30"/>
        <v>Ver Imagen</v>
      </c>
      <c r="M1869" t="s">
        <v>15</v>
      </c>
    </row>
    <row r="1870" spans="1:13" x14ac:dyDescent="0.25">
      <c r="A1870">
        <v>1869</v>
      </c>
      <c r="B1870" t="s">
        <v>3751</v>
      </c>
      <c r="C1870" s="1">
        <v>37.267462541999997</v>
      </c>
      <c r="D1870" s="1">
        <v>-7.1339993929499999</v>
      </c>
      <c r="E1870" s="3">
        <v>3</v>
      </c>
      <c r="F1870" s="2">
        <v>3</v>
      </c>
      <c r="G1870" s="4">
        <v>3</v>
      </c>
      <c r="H1870" s="13"/>
      <c r="I1870" s="15"/>
      <c r="J1870" s="19">
        <v>3</v>
      </c>
      <c r="K1870" s="2" t="s">
        <v>3752</v>
      </c>
      <c r="L1870" s="11" t="str">
        <f t="shared" si="30"/>
        <v>Ver Imagen</v>
      </c>
      <c r="M1870" t="s">
        <v>15</v>
      </c>
    </row>
    <row r="1871" spans="1:13" x14ac:dyDescent="0.25">
      <c r="A1871">
        <v>1870</v>
      </c>
      <c r="B1871" t="s">
        <v>3753</v>
      </c>
      <c r="C1871" s="1">
        <v>37.267325683000003</v>
      </c>
      <c r="D1871" s="1">
        <v>-7.13383825868</v>
      </c>
      <c r="E1871" s="3">
        <v>3</v>
      </c>
      <c r="F1871" s="2">
        <v>3</v>
      </c>
      <c r="G1871" s="4">
        <v>3</v>
      </c>
      <c r="H1871" s="13"/>
      <c r="I1871" s="15"/>
      <c r="J1871" s="19">
        <v>3</v>
      </c>
      <c r="K1871" s="2" t="s">
        <v>3754</v>
      </c>
      <c r="L1871" s="11" t="str">
        <f t="shared" si="30"/>
        <v>Ver Imagen</v>
      </c>
      <c r="M1871" t="s">
        <v>15</v>
      </c>
    </row>
    <row r="1872" spans="1:13" x14ac:dyDescent="0.25">
      <c r="A1872">
        <v>1871</v>
      </c>
      <c r="B1872" t="s">
        <v>3755</v>
      </c>
      <c r="C1872" s="1">
        <v>37.266803640100001</v>
      </c>
      <c r="D1872" s="1">
        <v>-7.1333767577499998</v>
      </c>
      <c r="E1872" s="3">
        <v>3</v>
      </c>
      <c r="F1872" s="2">
        <v>3</v>
      </c>
      <c r="G1872" s="4">
        <v>3</v>
      </c>
      <c r="H1872" s="13"/>
      <c r="I1872" s="15"/>
      <c r="J1872" s="19">
        <v>3</v>
      </c>
      <c r="K1872" s="2" t="s">
        <v>3756</v>
      </c>
      <c r="L1872" s="11" t="str">
        <f t="shared" si="30"/>
        <v>Ver Imagen</v>
      </c>
      <c r="M1872" t="s">
        <v>15</v>
      </c>
    </row>
    <row r="1873" spans="1:13" x14ac:dyDescent="0.25">
      <c r="A1873">
        <v>1872</v>
      </c>
      <c r="B1873" t="s">
        <v>3757</v>
      </c>
      <c r="C1873" s="1">
        <v>37.266120987000001</v>
      </c>
      <c r="D1873" s="1">
        <v>-7.1329287527199998</v>
      </c>
      <c r="E1873" s="3">
        <v>3</v>
      </c>
      <c r="F1873" s="2">
        <v>3</v>
      </c>
      <c r="G1873" s="4">
        <v>3</v>
      </c>
      <c r="H1873" s="13"/>
      <c r="I1873" s="15"/>
      <c r="J1873" s="19">
        <v>3</v>
      </c>
      <c r="K1873" s="2" t="s">
        <v>3758</v>
      </c>
      <c r="L1873" s="11" t="str">
        <f t="shared" si="30"/>
        <v>Ver Imagen</v>
      </c>
      <c r="M1873" t="s">
        <v>15</v>
      </c>
    </row>
    <row r="1874" spans="1:13" x14ac:dyDescent="0.25">
      <c r="A1874">
        <v>1873</v>
      </c>
      <c r="B1874" t="s">
        <v>3759</v>
      </c>
      <c r="C1874" s="1">
        <v>37.265186246600003</v>
      </c>
      <c r="D1874" s="1">
        <v>-7.1323377449300001</v>
      </c>
      <c r="E1874" s="3">
        <v>3</v>
      </c>
      <c r="F1874" s="2">
        <v>3</v>
      </c>
      <c r="G1874" s="4">
        <v>3</v>
      </c>
      <c r="H1874" s="13"/>
      <c r="I1874" s="15"/>
      <c r="J1874" s="19">
        <v>3</v>
      </c>
      <c r="K1874" s="2" t="s">
        <v>3760</v>
      </c>
      <c r="L1874" s="11" t="str">
        <f t="shared" si="30"/>
        <v>Ver Imagen</v>
      </c>
      <c r="M1874" t="s">
        <v>15</v>
      </c>
    </row>
    <row r="1875" spans="1:13" x14ac:dyDescent="0.25">
      <c r="A1875">
        <v>1874</v>
      </c>
      <c r="B1875" t="s">
        <v>3761</v>
      </c>
      <c r="C1875" s="1">
        <v>37.265001174399998</v>
      </c>
      <c r="D1875" s="1">
        <v>-7.1322204549599997</v>
      </c>
      <c r="E1875" s="3">
        <v>3</v>
      </c>
      <c r="F1875" s="2">
        <v>3</v>
      </c>
      <c r="G1875" s="4">
        <v>3</v>
      </c>
      <c r="H1875" s="13"/>
      <c r="I1875" s="15"/>
      <c r="J1875" s="19">
        <v>3</v>
      </c>
      <c r="K1875" s="2" t="s">
        <v>3762</v>
      </c>
      <c r="L1875" s="11" t="str">
        <f t="shared" si="30"/>
        <v>Ver Imagen</v>
      </c>
      <c r="M1875" t="s">
        <v>15</v>
      </c>
    </row>
    <row r="1876" spans="1:13" x14ac:dyDescent="0.25">
      <c r="A1876">
        <v>1875</v>
      </c>
      <c r="B1876" t="s">
        <v>3763</v>
      </c>
      <c r="C1876" s="1">
        <v>37.261434309599998</v>
      </c>
      <c r="D1876" s="1">
        <v>-7.1299361442700002</v>
      </c>
      <c r="E1876" s="3">
        <v>3</v>
      </c>
      <c r="F1876" s="2">
        <v>3</v>
      </c>
      <c r="G1876" s="4">
        <v>3</v>
      </c>
      <c r="H1876" s="13"/>
      <c r="I1876" s="15"/>
      <c r="J1876" s="19">
        <v>3</v>
      </c>
      <c r="K1876" s="2" t="s">
        <v>3764</v>
      </c>
      <c r="L1876" s="11" t="str">
        <f t="shared" si="30"/>
        <v>Ver Imagen</v>
      </c>
      <c r="M1876" t="s">
        <v>15</v>
      </c>
    </row>
    <row r="1877" spans="1:13" x14ac:dyDescent="0.25">
      <c r="A1877">
        <v>1876</v>
      </c>
      <c r="B1877" t="s">
        <v>3765</v>
      </c>
      <c r="C1877" s="1">
        <v>37.260345860800001</v>
      </c>
      <c r="D1877" s="1">
        <v>-7.1292473031799997</v>
      </c>
      <c r="E1877" s="3">
        <v>3</v>
      </c>
      <c r="F1877" s="2">
        <v>3</v>
      </c>
      <c r="G1877" s="4">
        <v>3</v>
      </c>
      <c r="H1877" s="13"/>
      <c r="I1877" s="15"/>
      <c r="J1877" s="19">
        <v>3</v>
      </c>
      <c r="K1877" s="2" t="s">
        <v>3766</v>
      </c>
      <c r="L1877" s="11" t="str">
        <f t="shared" si="30"/>
        <v>Ver Imagen</v>
      </c>
      <c r="M1877" t="s">
        <v>15</v>
      </c>
    </row>
    <row r="1878" spans="1:13" x14ac:dyDescent="0.25">
      <c r="A1878">
        <v>1877</v>
      </c>
      <c r="B1878" t="s">
        <v>3767</v>
      </c>
      <c r="C1878" s="1">
        <v>37.259441834100002</v>
      </c>
      <c r="D1878" s="1">
        <v>-7.1287369320199998</v>
      </c>
      <c r="E1878" s="3">
        <v>3</v>
      </c>
      <c r="F1878" s="2">
        <v>3</v>
      </c>
      <c r="G1878" s="4">
        <v>3</v>
      </c>
      <c r="H1878" s="13"/>
      <c r="I1878" s="15"/>
      <c r="J1878" s="19">
        <v>3</v>
      </c>
      <c r="K1878" s="2" t="s">
        <v>3768</v>
      </c>
      <c r="L1878" s="11" t="str">
        <f t="shared" si="30"/>
        <v>Ver Imagen</v>
      </c>
      <c r="M1878" t="s">
        <v>15</v>
      </c>
    </row>
    <row r="1879" spans="1:13" x14ac:dyDescent="0.25">
      <c r="A1879">
        <v>1878</v>
      </c>
      <c r="B1879" t="s">
        <v>3769</v>
      </c>
      <c r="C1879" s="1">
        <v>37.258330603499999</v>
      </c>
      <c r="D1879" s="1">
        <v>-7.1280296780199999</v>
      </c>
      <c r="E1879" s="3">
        <v>3</v>
      </c>
      <c r="F1879" s="2">
        <v>3</v>
      </c>
      <c r="G1879" s="4">
        <v>3</v>
      </c>
      <c r="H1879" s="13"/>
      <c r="I1879" s="15"/>
      <c r="J1879" s="19">
        <v>3</v>
      </c>
      <c r="K1879" s="2" t="s">
        <v>3770</v>
      </c>
      <c r="L1879" s="11" t="str">
        <f t="shared" si="30"/>
        <v>Ver Imagen</v>
      </c>
      <c r="M1879" t="s">
        <v>15</v>
      </c>
    </row>
    <row r="1880" spans="1:13" x14ac:dyDescent="0.25">
      <c r="A1880">
        <v>1879</v>
      </c>
      <c r="B1880" t="s">
        <v>3771</v>
      </c>
      <c r="C1880" s="1">
        <v>37.249506001199997</v>
      </c>
      <c r="D1880" s="1">
        <v>-7.1273555785899996</v>
      </c>
      <c r="E1880" s="3">
        <v>3</v>
      </c>
      <c r="F1880" s="2">
        <v>3</v>
      </c>
      <c r="G1880" s="4">
        <v>3</v>
      </c>
      <c r="H1880" s="13"/>
      <c r="I1880" s="15"/>
      <c r="J1880" s="19">
        <v>3</v>
      </c>
      <c r="K1880" s="2" t="s">
        <v>3772</v>
      </c>
      <c r="L1880" s="11" t="str">
        <f t="shared" si="30"/>
        <v>Ver Imagen</v>
      </c>
      <c r="M1880" t="s">
        <v>15</v>
      </c>
    </row>
    <row r="1881" spans="1:13" x14ac:dyDescent="0.25">
      <c r="A1881">
        <v>1880</v>
      </c>
      <c r="B1881" t="s">
        <v>3773</v>
      </c>
      <c r="C1881" s="1">
        <v>37.248316133700001</v>
      </c>
      <c r="D1881" s="1">
        <v>-7.1275323121599996</v>
      </c>
      <c r="E1881" s="3">
        <v>3</v>
      </c>
      <c r="F1881" s="2">
        <v>3</v>
      </c>
      <c r="G1881" s="4">
        <v>3</v>
      </c>
      <c r="H1881" s="13"/>
      <c r="I1881" s="15"/>
      <c r="J1881" s="19">
        <v>3</v>
      </c>
      <c r="K1881" s="2" t="s">
        <v>3774</v>
      </c>
      <c r="L1881" s="11" t="str">
        <f t="shared" si="30"/>
        <v>Ver Imagen</v>
      </c>
      <c r="M1881" t="s">
        <v>15</v>
      </c>
    </row>
    <row r="1882" spans="1:13" x14ac:dyDescent="0.25">
      <c r="A1882">
        <v>1881</v>
      </c>
      <c r="B1882" t="s">
        <v>3775</v>
      </c>
      <c r="C1882" s="1">
        <v>37.248077977999998</v>
      </c>
      <c r="D1882" s="1">
        <v>-7.1275670058699996</v>
      </c>
      <c r="E1882" s="3">
        <v>3</v>
      </c>
      <c r="F1882" s="2">
        <v>3</v>
      </c>
      <c r="G1882" s="4">
        <v>3</v>
      </c>
      <c r="H1882" s="13"/>
      <c r="I1882" s="15"/>
      <c r="J1882" s="19">
        <v>3</v>
      </c>
      <c r="K1882" s="2" t="s">
        <v>3776</v>
      </c>
      <c r="L1882" s="11" t="str">
        <f t="shared" si="30"/>
        <v>Ver Imagen</v>
      </c>
      <c r="M1882" t="s">
        <v>15</v>
      </c>
    </row>
    <row r="1883" spans="1:13" x14ac:dyDescent="0.25">
      <c r="A1883">
        <v>1882</v>
      </c>
      <c r="B1883" t="s">
        <v>3777</v>
      </c>
      <c r="C1883" s="1">
        <v>37.2479030947</v>
      </c>
      <c r="D1883" s="1">
        <v>-7.1275931691799999</v>
      </c>
      <c r="E1883" s="3">
        <v>3</v>
      </c>
      <c r="F1883" s="2">
        <v>3</v>
      </c>
      <c r="G1883" s="4">
        <v>3</v>
      </c>
      <c r="H1883" s="13"/>
      <c r="I1883" s="15"/>
      <c r="J1883" s="19">
        <v>3</v>
      </c>
      <c r="K1883" s="2" t="s">
        <v>3778</v>
      </c>
      <c r="L1883" s="11" t="str">
        <f t="shared" si="30"/>
        <v>Ver Imagen</v>
      </c>
      <c r="M1883" t="s">
        <v>15</v>
      </c>
    </row>
    <row r="1884" spans="1:13" x14ac:dyDescent="0.25">
      <c r="A1884">
        <v>1883</v>
      </c>
      <c r="B1884" t="s">
        <v>3779</v>
      </c>
      <c r="C1884" s="1">
        <v>37.247697545100003</v>
      </c>
      <c r="D1884" s="1">
        <v>-7.12762437575</v>
      </c>
      <c r="E1884" s="3">
        <v>3</v>
      </c>
      <c r="F1884" s="2">
        <v>3</v>
      </c>
      <c r="G1884" s="4">
        <v>3</v>
      </c>
      <c r="H1884" s="13"/>
      <c r="I1884" s="15"/>
      <c r="J1884" s="19">
        <v>3</v>
      </c>
      <c r="K1884" s="2" t="s">
        <v>3780</v>
      </c>
      <c r="L1884" s="11" t="str">
        <f t="shared" si="30"/>
        <v>Ver Imagen</v>
      </c>
      <c r="M1884" t="s">
        <v>15</v>
      </c>
    </row>
    <row r="1885" spans="1:13" x14ac:dyDescent="0.25">
      <c r="A1885">
        <v>1884</v>
      </c>
      <c r="B1885" t="s">
        <v>3781</v>
      </c>
      <c r="C1885" s="1">
        <v>37.247484554899998</v>
      </c>
      <c r="D1885" s="1">
        <v>-7.1276561890799996</v>
      </c>
      <c r="E1885" s="3">
        <v>3</v>
      </c>
      <c r="F1885" s="2">
        <v>3</v>
      </c>
      <c r="G1885" s="4">
        <v>3</v>
      </c>
      <c r="H1885" s="13"/>
      <c r="I1885" s="15"/>
      <c r="J1885" s="19">
        <v>3</v>
      </c>
      <c r="K1885" s="2" t="s">
        <v>3782</v>
      </c>
      <c r="L1885" s="11" t="str">
        <f t="shared" si="30"/>
        <v>Ver Imagen</v>
      </c>
      <c r="M1885" t="s">
        <v>15</v>
      </c>
    </row>
    <row r="1886" spans="1:13" x14ac:dyDescent="0.25">
      <c r="A1886">
        <v>1885</v>
      </c>
      <c r="B1886" t="s">
        <v>3783</v>
      </c>
      <c r="C1886" s="1">
        <v>37.247112113500002</v>
      </c>
      <c r="D1886" s="1">
        <v>-7.1277096802399997</v>
      </c>
      <c r="E1886" s="3">
        <v>3</v>
      </c>
      <c r="F1886" s="2">
        <v>3</v>
      </c>
      <c r="G1886" s="4">
        <v>3</v>
      </c>
      <c r="H1886" s="13"/>
      <c r="I1886" s="15"/>
      <c r="J1886" s="19">
        <v>3</v>
      </c>
      <c r="K1886" s="2" t="s">
        <v>3784</v>
      </c>
      <c r="L1886" s="11" t="str">
        <f t="shared" si="30"/>
        <v>Ver Imagen</v>
      </c>
      <c r="M1886" t="s">
        <v>15</v>
      </c>
    </row>
    <row r="1887" spans="1:13" x14ac:dyDescent="0.25">
      <c r="A1887">
        <v>1886</v>
      </c>
      <c r="B1887" t="s">
        <v>3785</v>
      </c>
      <c r="C1887" s="1">
        <v>37.246908574300001</v>
      </c>
      <c r="D1887" s="1">
        <v>-7.1277392875199999</v>
      </c>
      <c r="E1887" s="3">
        <v>3</v>
      </c>
      <c r="F1887" s="2">
        <v>3</v>
      </c>
      <c r="G1887" s="4">
        <v>3</v>
      </c>
      <c r="H1887" s="13"/>
      <c r="I1887" s="15"/>
      <c r="J1887" s="19">
        <v>3</v>
      </c>
      <c r="K1887" s="2" t="s">
        <v>3786</v>
      </c>
      <c r="L1887" s="11" t="str">
        <f t="shared" si="30"/>
        <v>Ver Imagen</v>
      </c>
      <c r="M1887" t="s">
        <v>15</v>
      </c>
    </row>
    <row r="1888" spans="1:13" x14ac:dyDescent="0.25">
      <c r="A1888">
        <v>1887</v>
      </c>
      <c r="B1888" t="s">
        <v>3787</v>
      </c>
      <c r="C1888" s="1">
        <v>37.226688356499999</v>
      </c>
      <c r="D1888" s="1">
        <v>-7.1262869725</v>
      </c>
      <c r="E1888" s="3">
        <v>3</v>
      </c>
      <c r="F1888" s="2">
        <v>3</v>
      </c>
      <c r="G1888" s="4">
        <v>3</v>
      </c>
      <c r="H1888" s="13"/>
      <c r="I1888" s="15"/>
      <c r="J1888" s="19">
        <v>3</v>
      </c>
      <c r="K1888" s="2" t="s">
        <v>3788</v>
      </c>
      <c r="L1888" s="11" t="str">
        <f t="shared" si="30"/>
        <v>Ver Imagen</v>
      </c>
      <c r="M1888" t="s">
        <v>15</v>
      </c>
    </row>
    <row r="1889" spans="1:13" x14ac:dyDescent="0.25">
      <c r="A1889">
        <v>1888</v>
      </c>
      <c r="B1889" t="s">
        <v>3789</v>
      </c>
      <c r="C1889" s="1">
        <v>37.226490378999998</v>
      </c>
      <c r="D1889" s="1">
        <v>-7.1262269053900003</v>
      </c>
      <c r="E1889" s="3">
        <v>3</v>
      </c>
      <c r="F1889" s="2">
        <v>3</v>
      </c>
      <c r="G1889" s="4">
        <v>3</v>
      </c>
      <c r="H1889" s="13"/>
      <c r="I1889" s="15"/>
      <c r="J1889" s="19">
        <v>3</v>
      </c>
      <c r="K1889" s="2" t="s">
        <v>3790</v>
      </c>
      <c r="L1889" s="11" t="str">
        <f t="shared" si="30"/>
        <v>Ver Imagen</v>
      </c>
      <c r="M1889" t="s">
        <v>15</v>
      </c>
    </row>
    <row r="1890" spans="1:13" x14ac:dyDescent="0.25">
      <c r="A1890">
        <v>1889</v>
      </c>
      <c r="B1890" t="s">
        <v>3791</v>
      </c>
      <c r="C1890" s="1">
        <v>37.225507917100003</v>
      </c>
      <c r="D1890" s="1">
        <v>-7.1259347049899997</v>
      </c>
      <c r="E1890" s="3">
        <v>3</v>
      </c>
      <c r="F1890" s="2">
        <v>3</v>
      </c>
      <c r="G1890" s="4">
        <v>3</v>
      </c>
      <c r="H1890" s="13"/>
      <c r="I1890" s="15"/>
      <c r="J1890" s="19">
        <v>3</v>
      </c>
      <c r="K1890" s="2" t="s">
        <v>3792</v>
      </c>
      <c r="L1890" s="11" t="str">
        <f t="shared" si="30"/>
        <v>Ver Imagen</v>
      </c>
      <c r="M1890" t="s">
        <v>15</v>
      </c>
    </row>
    <row r="1891" spans="1:13" x14ac:dyDescent="0.25">
      <c r="A1891">
        <v>1890</v>
      </c>
      <c r="B1891" t="s">
        <v>3793</v>
      </c>
      <c r="C1891" s="1">
        <v>37.225304034399997</v>
      </c>
      <c r="D1891" s="1">
        <v>-7.1258718163800001</v>
      </c>
      <c r="E1891" s="3">
        <v>3</v>
      </c>
      <c r="F1891" s="2">
        <v>3</v>
      </c>
      <c r="G1891" s="4">
        <v>3</v>
      </c>
      <c r="H1891" s="13"/>
      <c r="I1891" s="15"/>
      <c r="J1891" s="19">
        <v>3</v>
      </c>
      <c r="K1891" s="2" t="s">
        <v>3794</v>
      </c>
      <c r="L1891" s="11" t="str">
        <f t="shared" si="30"/>
        <v>Ver Imagen</v>
      </c>
      <c r="M1891" t="s">
        <v>15</v>
      </c>
    </row>
    <row r="1892" spans="1:13" x14ac:dyDescent="0.25">
      <c r="A1892">
        <v>1891</v>
      </c>
      <c r="B1892" t="s">
        <v>3795</v>
      </c>
      <c r="C1892" s="1">
        <v>37.225102245899997</v>
      </c>
      <c r="D1892" s="1">
        <v>-7.1258050504500003</v>
      </c>
      <c r="E1892" s="3">
        <v>3</v>
      </c>
      <c r="F1892" s="2">
        <v>3</v>
      </c>
      <c r="G1892" s="4">
        <v>3</v>
      </c>
      <c r="H1892" s="13"/>
      <c r="I1892" s="15"/>
      <c r="J1892" s="19">
        <v>3</v>
      </c>
      <c r="K1892" s="2" t="s">
        <v>3796</v>
      </c>
      <c r="L1892" s="11" t="str">
        <f t="shared" si="30"/>
        <v>Ver Imagen</v>
      </c>
      <c r="M1892" t="s">
        <v>15</v>
      </c>
    </row>
    <row r="1893" spans="1:13" x14ac:dyDescent="0.25">
      <c r="A1893">
        <v>1892</v>
      </c>
      <c r="B1893" t="s">
        <v>3797</v>
      </c>
      <c r="C1893" s="1">
        <v>37.224923690700003</v>
      </c>
      <c r="D1893" s="1">
        <v>-7.12573594787</v>
      </c>
      <c r="E1893" s="3">
        <v>3</v>
      </c>
      <c r="F1893" s="2">
        <v>3</v>
      </c>
      <c r="G1893" s="4">
        <v>3</v>
      </c>
      <c r="H1893" s="13"/>
      <c r="I1893" s="15"/>
      <c r="J1893" s="19">
        <v>3</v>
      </c>
      <c r="K1893" s="2" t="s">
        <v>3798</v>
      </c>
      <c r="L1893" s="11" t="str">
        <f t="shared" si="30"/>
        <v>Ver Imagen</v>
      </c>
      <c r="M1893" t="s">
        <v>15</v>
      </c>
    </row>
    <row r="1894" spans="1:13" x14ac:dyDescent="0.25">
      <c r="A1894">
        <v>1893</v>
      </c>
      <c r="B1894" t="s">
        <v>3799</v>
      </c>
      <c r="C1894" s="1">
        <v>37.2247440959</v>
      </c>
      <c r="D1894" s="1">
        <v>-7.1256552472200001</v>
      </c>
      <c r="E1894" s="3">
        <v>3</v>
      </c>
      <c r="F1894" s="2">
        <v>3</v>
      </c>
      <c r="G1894" s="4">
        <v>3</v>
      </c>
      <c r="H1894" s="13"/>
      <c r="I1894" s="15"/>
      <c r="J1894" s="19">
        <v>3</v>
      </c>
      <c r="K1894" s="2" t="s">
        <v>3800</v>
      </c>
      <c r="L1894" s="11" t="str">
        <f t="shared" si="30"/>
        <v>Ver Imagen</v>
      </c>
      <c r="M1894" t="s">
        <v>15</v>
      </c>
    </row>
    <row r="1895" spans="1:13" x14ac:dyDescent="0.25">
      <c r="A1895">
        <v>1894</v>
      </c>
      <c r="B1895" t="s">
        <v>3801</v>
      </c>
      <c r="C1895" s="1">
        <v>37.224167031999997</v>
      </c>
      <c r="D1895" s="1">
        <v>-7.1253592902199996</v>
      </c>
      <c r="E1895" s="3">
        <v>3</v>
      </c>
      <c r="F1895" s="2">
        <v>3</v>
      </c>
      <c r="G1895" s="4">
        <v>3</v>
      </c>
      <c r="H1895" s="13"/>
      <c r="I1895" s="15"/>
      <c r="J1895" s="19">
        <v>3</v>
      </c>
      <c r="K1895" s="2" t="s">
        <v>3802</v>
      </c>
      <c r="L1895" s="11" t="str">
        <f t="shared" si="30"/>
        <v>Ver Imagen</v>
      </c>
      <c r="M1895" t="s">
        <v>15</v>
      </c>
    </row>
    <row r="1896" spans="1:13" x14ac:dyDescent="0.25">
      <c r="A1896">
        <v>1895</v>
      </c>
      <c r="B1896" t="s">
        <v>3803</v>
      </c>
      <c r="C1896" s="1">
        <v>37.223586388800001</v>
      </c>
      <c r="D1896" s="1">
        <v>-7.1251365058599996</v>
      </c>
      <c r="E1896" s="3">
        <v>3</v>
      </c>
      <c r="F1896" s="2">
        <v>3</v>
      </c>
      <c r="G1896" s="4">
        <v>3</v>
      </c>
      <c r="H1896" s="13"/>
      <c r="I1896" s="15"/>
      <c r="J1896" s="19">
        <v>3</v>
      </c>
      <c r="K1896" s="2" t="s">
        <v>3804</v>
      </c>
      <c r="L1896" s="11" t="str">
        <f t="shared" si="30"/>
        <v>Ver Imagen</v>
      </c>
      <c r="M1896" t="s">
        <v>15</v>
      </c>
    </row>
    <row r="1897" spans="1:13" x14ac:dyDescent="0.25">
      <c r="A1897">
        <v>1896</v>
      </c>
      <c r="B1897" t="s">
        <v>3805</v>
      </c>
      <c r="C1897" s="1">
        <v>37.221438167099997</v>
      </c>
      <c r="D1897" s="1">
        <v>-7.1254542258900004</v>
      </c>
      <c r="E1897" s="3">
        <v>3</v>
      </c>
      <c r="F1897" s="2">
        <v>3</v>
      </c>
      <c r="G1897" s="4">
        <v>3</v>
      </c>
      <c r="H1897" s="13"/>
      <c r="I1897" s="15"/>
      <c r="J1897" s="19">
        <v>3</v>
      </c>
      <c r="K1897" s="2" t="s">
        <v>3806</v>
      </c>
      <c r="L1897" s="11" t="str">
        <f t="shared" si="30"/>
        <v>Ver Imagen</v>
      </c>
      <c r="M1897" t="s">
        <v>15</v>
      </c>
    </row>
    <row r="1898" spans="1:13" x14ac:dyDescent="0.25">
      <c r="A1898">
        <v>1897</v>
      </c>
      <c r="B1898" t="s">
        <v>3807</v>
      </c>
      <c r="C1898" s="1">
        <v>37.220720313699999</v>
      </c>
      <c r="D1898" s="1">
        <v>-7.1257456999600004</v>
      </c>
      <c r="E1898" s="3">
        <v>3</v>
      </c>
      <c r="F1898" s="2">
        <v>3</v>
      </c>
      <c r="G1898" s="4">
        <v>3</v>
      </c>
      <c r="H1898" s="13"/>
      <c r="I1898" s="15"/>
      <c r="J1898" s="19">
        <v>3</v>
      </c>
      <c r="K1898" s="2" t="s">
        <v>3808</v>
      </c>
      <c r="L1898" s="11" t="str">
        <f t="shared" si="30"/>
        <v>Ver Imagen</v>
      </c>
      <c r="M1898" t="s">
        <v>15</v>
      </c>
    </row>
    <row r="1899" spans="1:13" x14ac:dyDescent="0.25">
      <c r="A1899">
        <v>1898</v>
      </c>
      <c r="B1899" t="s">
        <v>3809</v>
      </c>
      <c r="C1899" s="1">
        <v>37.220539735999999</v>
      </c>
      <c r="D1899" s="1">
        <v>-7.1257615308500002</v>
      </c>
      <c r="E1899" s="3">
        <v>3</v>
      </c>
      <c r="F1899" s="2">
        <v>3</v>
      </c>
      <c r="G1899" s="4">
        <v>3</v>
      </c>
      <c r="H1899" s="13"/>
      <c r="I1899" s="15"/>
      <c r="J1899" s="19">
        <v>3</v>
      </c>
      <c r="K1899" s="2" t="s">
        <v>3810</v>
      </c>
      <c r="L1899" s="11" t="str">
        <f t="shared" si="30"/>
        <v>Ver Imagen</v>
      </c>
      <c r="M1899" t="s">
        <v>15</v>
      </c>
    </row>
    <row r="1900" spans="1:13" x14ac:dyDescent="0.25">
      <c r="A1900">
        <v>1899</v>
      </c>
      <c r="B1900" t="s">
        <v>3811</v>
      </c>
      <c r="C1900" s="1">
        <v>37.219346074699999</v>
      </c>
      <c r="D1900" s="1">
        <v>-7.1259213373900003</v>
      </c>
      <c r="E1900" s="3">
        <v>3</v>
      </c>
      <c r="F1900" s="2">
        <v>3</v>
      </c>
      <c r="G1900" s="4">
        <v>3</v>
      </c>
      <c r="H1900" s="13"/>
      <c r="I1900" s="15"/>
      <c r="J1900" s="19">
        <v>3</v>
      </c>
      <c r="K1900" s="2" t="s">
        <v>3812</v>
      </c>
      <c r="L1900" s="11" t="str">
        <f t="shared" si="30"/>
        <v>Ver Imagen</v>
      </c>
      <c r="M1900" t="s">
        <v>15</v>
      </c>
    </row>
    <row r="1901" spans="1:13" x14ac:dyDescent="0.25">
      <c r="A1901">
        <v>1900</v>
      </c>
      <c r="B1901" t="s">
        <v>3813</v>
      </c>
      <c r="C1901" s="1">
        <v>37.219129479899998</v>
      </c>
      <c r="D1901" s="1">
        <v>-7.1259918719200002</v>
      </c>
      <c r="E1901" s="3">
        <v>3</v>
      </c>
      <c r="F1901" s="2">
        <v>3</v>
      </c>
      <c r="G1901" s="4">
        <v>3</v>
      </c>
      <c r="H1901" s="13"/>
      <c r="I1901" s="15"/>
      <c r="J1901" s="19">
        <v>3</v>
      </c>
      <c r="K1901" s="2" t="s">
        <v>3814</v>
      </c>
      <c r="L1901" s="11" t="str">
        <f t="shared" si="30"/>
        <v>Ver Imagen</v>
      </c>
      <c r="M1901" t="s">
        <v>15</v>
      </c>
    </row>
    <row r="1902" spans="1:13" x14ac:dyDescent="0.25">
      <c r="A1902">
        <v>1901</v>
      </c>
      <c r="B1902" t="s">
        <v>3815</v>
      </c>
      <c r="C1902" s="1">
        <v>37.443516652600003</v>
      </c>
      <c r="D1902" s="1">
        <v>-7.0958017661600001</v>
      </c>
      <c r="E1902" s="3">
        <v>3</v>
      </c>
      <c r="F1902" s="2">
        <v>3</v>
      </c>
      <c r="G1902" s="4">
        <v>3</v>
      </c>
      <c r="H1902" s="13"/>
      <c r="I1902" s="15"/>
      <c r="J1902" s="19">
        <v>3</v>
      </c>
      <c r="K1902" s="2" t="s">
        <v>3816</v>
      </c>
      <c r="L1902" s="11" t="str">
        <f t="shared" si="30"/>
        <v>Ver Imagen</v>
      </c>
      <c r="M1902" t="s">
        <v>15</v>
      </c>
    </row>
    <row r="1903" spans="1:13" x14ac:dyDescent="0.25">
      <c r="A1903">
        <v>1902</v>
      </c>
      <c r="B1903" t="s">
        <v>3817</v>
      </c>
      <c r="C1903" s="1">
        <v>37.442352016199997</v>
      </c>
      <c r="D1903" s="1">
        <v>-7.0927704182099998</v>
      </c>
      <c r="E1903" s="3">
        <v>3</v>
      </c>
      <c r="F1903" s="2">
        <v>3</v>
      </c>
      <c r="G1903" s="4">
        <v>3</v>
      </c>
      <c r="H1903" s="13"/>
      <c r="I1903" s="15"/>
      <c r="J1903" s="19">
        <v>3</v>
      </c>
      <c r="K1903" s="2" t="s">
        <v>3818</v>
      </c>
      <c r="L1903" s="11" t="str">
        <f t="shared" si="30"/>
        <v>Ver Imagen</v>
      </c>
      <c r="M1903" t="s">
        <v>15</v>
      </c>
    </row>
    <row r="1904" spans="1:13" x14ac:dyDescent="0.25">
      <c r="A1904">
        <v>1903</v>
      </c>
      <c r="B1904" t="s">
        <v>3819</v>
      </c>
      <c r="C1904" s="1">
        <v>37.442090541299997</v>
      </c>
      <c r="D1904" s="1">
        <v>-7.09212730466</v>
      </c>
      <c r="E1904" s="3">
        <v>3</v>
      </c>
      <c r="F1904" s="2">
        <v>3</v>
      </c>
      <c r="G1904" s="4">
        <v>3</v>
      </c>
      <c r="H1904" s="13"/>
      <c r="I1904" s="15"/>
      <c r="J1904" s="19">
        <v>3</v>
      </c>
      <c r="K1904" s="2" t="s">
        <v>3820</v>
      </c>
      <c r="L1904" s="11" t="str">
        <f t="shared" si="30"/>
        <v>Ver Imagen</v>
      </c>
      <c r="M1904" t="s">
        <v>15</v>
      </c>
    </row>
    <row r="1905" spans="1:13" x14ac:dyDescent="0.25">
      <c r="A1905">
        <v>1904</v>
      </c>
      <c r="B1905" t="s">
        <v>3821</v>
      </c>
      <c r="C1905" s="1">
        <v>37.441981678499999</v>
      </c>
      <c r="D1905" s="1">
        <v>-7.0918680717000004</v>
      </c>
      <c r="E1905" s="3">
        <v>3</v>
      </c>
      <c r="F1905" s="2">
        <v>3</v>
      </c>
      <c r="G1905" s="4">
        <v>3</v>
      </c>
      <c r="H1905" s="13"/>
      <c r="I1905" s="15"/>
      <c r="J1905" s="19">
        <v>3</v>
      </c>
      <c r="K1905" s="2" t="s">
        <v>3822</v>
      </c>
      <c r="L1905" s="11" t="str">
        <f t="shared" si="30"/>
        <v>Ver Imagen</v>
      </c>
      <c r="M1905" t="s">
        <v>15</v>
      </c>
    </row>
    <row r="1906" spans="1:13" x14ac:dyDescent="0.25">
      <c r="A1906">
        <v>1905</v>
      </c>
      <c r="B1906" t="s">
        <v>3823</v>
      </c>
      <c r="C1906" s="1">
        <v>37.441894586300002</v>
      </c>
      <c r="D1906" s="1">
        <v>-7.0916675123199999</v>
      </c>
      <c r="E1906" s="3">
        <v>3</v>
      </c>
      <c r="F1906" s="2">
        <v>3</v>
      </c>
      <c r="G1906" s="4">
        <v>3</v>
      </c>
      <c r="H1906" s="13"/>
      <c r="I1906" s="15"/>
      <c r="J1906" s="19">
        <v>3</v>
      </c>
      <c r="K1906" s="2" t="s">
        <v>3824</v>
      </c>
      <c r="L1906" s="11" t="str">
        <f t="shared" si="30"/>
        <v>Ver Imagen</v>
      </c>
      <c r="M1906" t="s">
        <v>15</v>
      </c>
    </row>
    <row r="1907" spans="1:13" x14ac:dyDescent="0.25">
      <c r="A1907">
        <v>1906</v>
      </c>
      <c r="B1907" t="s">
        <v>3825</v>
      </c>
      <c r="C1907" s="1">
        <v>37.441788928699999</v>
      </c>
      <c r="D1907" s="1">
        <v>-7.0914333023099996</v>
      </c>
      <c r="E1907" s="3">
        <v>3</v>
      </c>
      <c r="F1907" s="2">
        <v>3</v>
      </c>
      <c r="G1907" s="4">
        <v>3</v>
      </c>
      <c r="H1907" s="13"/>
      <c r="I1907" s="15"/>
      <c r="J1907" s="19">
        <v>3</v>
      </c>
      <c r="K1907" s="2" t="s">
        <v>3826</v>
      </c>
      <c r="L1907" s="11" t="str">
        <f t="shared" si="30"/>
        <v>Ver Imagen</v>
      </c>
      <c r="M1907" t="s">
        <v>15</v>
      </c>
    </row>
    <row r="1908" spans="1:13" x14ac:dyDescent="0.25">
      <c r="A1908">
        <v>1907</v>
      </c>
      <c r="B1908" t="s">
        <v>3827</v>
      </c>
      <c r="C1908" s="1">
        <v>37.441690887699998</v>
      </c>
      <c r="D1908" s="1">
        <v>-7.0912234622200003</v>
      </c>
      <c r="E1908" s="3">
        <v>3</v>
      </c>
      <c r="F1908" s="2">
        <v>3</v>
      </c>
      <c r="G1908" s="4">
        <v>3</v>
      </c>
      <c r="H1908" s="13"/>
      <c r="I1908" s="15"/>
      <c r="J1908" s="19">
        <v>3</v>
      </c>
      <c r="K1908" s="2" t="s">
        <v>3828</v>
      </c>
      <c r="L1908" s="11" t="str">
        <f t="shared" si="30"/>
        <v>Ver Imagen</v>
      </c>
      <c r="M1908" t="s">
        <v>15</v>
      </c>
    </row>
    <row r="1909" spans="1:13" x14ac:dyDescent="0.25">
      <c r="A1909">
        <v>1908</v>
      </c>
      <c r="B1909" t="s">
        <v>3829</v>
      </c>
      <c r="C1909" s="1">
        <v>37.441581163099997</v>
      </c>
      <c r="D1909" s="1">
        <v>-7.0909922865299997</v>
      </c>
      <c r="E1909" s="3">
        <v>3</v>
      </c>
      <c r="F1909" s="2">
        <v>3</v>
      </c>
      <c r="G1909" s="4">
        <v>3</v>
      </c>
      <c r="H1909" s="13"/>
      <c r="I1909" s="15"/>
      <c r="J1909" s="19">
        <v>3</v>
      </c>
      <c r="K1909" s="2" t="s">
        <v>3830</v>
      </c>
      <c r="L1909" s="11" t="str">
        <f t="shared" si="30"/>
        <v>Ver Imagen</v>
      </c>
      <c r="M1909" t="s">
        <v>15</v>
      </c>
    </row>
    <row r="1910" spans="1:13" x14ac:dyDescent="0.25">
      <c r="A1910">
        <v>1909</v>
      </c>
      <c r="B1910" t="s">
        <v>3831</v>
      </c>
      <c r="C1910" s="1">
        <v>37.441480242700003</v>
      </c>
      <c r="D1910" s="1">
        <v>-7.0907761950800001</v>
      </c>
      <c r="E1910" s="3">
        <v>3</v>
      </c>
      <c r="F1910" s="2">
        <v>3</v>
      </c>
      <c r="G1910" s="4">
        <v>3</v>
      </c>
      <c r="H1910" s="13"/>
      <c r="I1910" s="15"/>
      <c r="J1910" s="19">
        <v>3</v>
      </c>
      <c r="K1910" s="2" t="s">
        <v>3832</v>
      </c>
      <c r="L1910" s="11" t="str">
        <f t="shared" si="30"/>
        <v>Ver Imagen</v>
      </c>
      <c r="M1910" t="s">
        <v>15</v>
      </c>
    </row>
    <row r="1911" spans="1:13" x14ac:dyDescent="0.25">
      <c r="A1911">
        <v>1910</v>
      </c>
      <c r="B1911" t="s">
        <v>3833</v>
      </c>
      <c r="C1911" s="1">
        <v>37.441171232099997</v>
      </c>
      <c r="D1911" s="1">
        <v>-7.0901157882600003</v>
      </c>
      <c r="E1911" s="3">
        <v>3</v>
      </c>
      <c r="F1911" s="2">
        <v>3</v>
      </c>
      <c r="G1911" s="4">
        <v>3</v>
      </c>
      <c r="H1911" s="13"/>
      <c r="I1911" s="15"/>
      <c r="J1911" s="19">
        <v>3</v>
      </c>
      <c r="K1911" s="2" t="s">
        <v>3834</v>
      </c>
      <c r="L1911" s="11" t="str">
        <f t="shared" si="30"/>
        <v>Ver Imagen</v>
      </c>
      <c r="M1911" t="s">
        <v>15</v>
      </c>
    </row>
    <row r="1912" spans="1:13" x14ac:dyDescent="0.25">
      <c r="A1912">
        <v>1911</v>
      </c>
      <c r="B1912" t="s">
        <v>3835</v>
      </c>
      <c r="C1912" s="1">
        <v>37.441058145699998</v>
      </c>
      <c r="D1912" s="1">
        <v>-7.0898776626400002</v>
      </c>
      <c r="E1912" s="3">
        <v>3</v>
      </c>
      <c r="F1912" s="2">
        <v>3</v>
      </c>
      <c r="G1912" s="4">
        <v>3</v>
      </c>
      <c r="H1912" s="13"/>
      <c r="I1912" s="15"/>
      <c r="J1912" s="19">
        <v>3</v>
      </c>
      <c r="K1912" s="2" t="s">
        <v>3836</v>
      </c>
      <c r="L1912" s="11" t="str">
        <f t="shared" si="30"/>
        <v>Ver Imagen</v>
      </c>
      <c r="M1912" t="s">
        <v>15</v>
      </c>
    </row>
    <row r="1913" spans="1:13" x14ac:dyDescent="0.25">
      <c r="A1913">
        <v>1912</v>
      </c>
      <c r="B1913" t="s">
        <v>3837</v>
      </c>
      <c r="C1913" s="1">
        <v>37.440954112299998</v>
      </c>
      <c r="D1913" s="1">
        <v>-7.0896564210999999</v>
      </c>
      <c r="E1913" s="3">
        <v>3</v>
      </c>
      <c r="F1913" s="2">
        <v>3</v>
      </c>
      <c r="G1913" s="4">
        <v>3</v>
      </c>
      <c r="H1913" s="13"/>
      <c r="I1913" s="15"/>
      <c r="J1913" s="19">
        <v>3</v>
      </c>
      <c r="K1913" s="2" t="s">
        <v>3838</v>
      </c>
      <c r="L1913" s="11" t="str">
        <f t="shared" si="30"/>
        <v>Ver Imagen</v>
      </c>
      <c r="M1913" t="s">
        <v>15</v>
      </c>
    </row>
    <row r="1914" spans="1:13" x14ac:dyDescent="0.25">
      <c r="A1914">
        <v>1913</v>
      </c>
      <c r="B1914" t="s">
        <v>3839</v>
      </c>
      <c r="C1914" s="1">
        <v>37.440864292299999</v>
      </c>
      <c r="D1914" s="1">
        <v>-7.0894610473600004</v>
      </c>
      <c r="E1914" s="3">
        <v>3</v>
      </c>
      <c r="F1914" s="2">
        <v>3</v>
      </c>
      <c r="G1914" s="4">
        <v>3</v>
      </c>
      <c r="H1914" s="13"/>
      <c r="I1914" s="15"/>
      <c r="J1914" s="19">
        <v>3</v>
      </c>
      <c r="K1914" s="2" t="s">
        <v>3840</v>
      </c>
      <c r="L1914" s="11" t="str">
        <f t="shared" si="30"/>
        <v>Ver Imagen</v>
      </c>
      <c r="M1914" t="s">
        <v>15</v>
      </c>
    </row>
    <row r="1915" spans="1:13" x14ac:dyDescent="0.25">
      <c r="A1915">
        <v>1914</v>
      </c>
      <c r="B1915" t="s">
        <v>3841</v>
      </c>
      <c r="C1915" s="1">
        <v>37.440761815800002</v>
      </c>
      <c r="D1915" s="1">
        <v>-7.0892404666399997</v>
      </c>
      <c r="E1915" s="3">
        <v>3</v>
      </c>
      <c r="F1915" s="2">
        <v>3</v>
      </c>
      <c r="G1915" s="4">
        <v>3</v>
      </c>
      <c r="H1915" s="13"/>
      <c r="I1915" s="15"/>
      <c r="J1915" s="19">
        <v>3</v>
      </c>
      <c r="K1915" s="2" t="s">
        <v>3842</v>
      </c>
      <c r="L1915" s="11" t="str">
        <f t="shared" si="30"/>
        <v>Ver Imagen</v>
      </c>
      <c r="M1915" t="s">
        <v>15</v>
      </c>
    </row>
    <row r="1916" spans="1:13" x14ac:dyDescent="0.25">
      <c r="A1916">
        <v>1915</v>
      </c>
      <c r="B1916" t="s">
        <v>3843</v>
      </c>
      <c r="C1916" s="1">
        <v>37.4405684615</v>
      </c>
      <c r="D1916" s="1">
        <v>-7.0888344975899997</v>
      </c>
      <c r="E1916" s="3">
        <v>3</v>
      </c>
      <c r="F1916" s="2">
        <v>3</v>
      </c>
      <c r="G1916" s="4">
        <v>3</v>
      </c>
      <c r="H1916" s="13"/>
      <c r="I1916" s="15"/>
      <c r="J1916" s="19">
        <v>3</v>
      </c>
      <c r="K1916" s="2" t="s">
        <v>3844</v>
      </c>
      <c r="L1916" s="11" t="str">
        <f t="shared" si="30"/>
        <v>Ver Imagen</v>
      </c>
      <c r="M1916" t="s">
        <v>15</v>
      </c>
    </row>
    <row r="1917" spans="1:13" x14ac:dyDescent="0.25">
      <c r="A1917">
        <v>1916</v>
      </c>
      <c r="B1917" t="s">
        <v>3845</v>
      </c>
      <c r="C1917" s="1">
        <v>37.439615689599997</v>
      </c>
      <c r="D1917" s="1">
        <v>-7.0868503807399996</v>
      </c>
      <c r="E1917" s="3">
        <v>3</v>
      </c>
      <c r="F1917" s="2">
        <v>3</v>
      </c>
      <c r="G1917" s="4">
        <v>3</v>
      </c>
      <c r="H1917" s="13"/>
      <c r="I1917" s="15"/>
      <c r="J1917" s="19">
        <v>3</v>
      </c>
      <c r="K1917" s="2" t="s">
        <v>3846</v>
      </c>
      <c r="L1917" s="11" t="str">
        <f t="shared" si="30"/>
        <v>Ver Imagen</v>
      </c>
      <c r="M1917" t="s">
        <v>15</v>
      </c>
    </row>
    <row r="1918" spans="1:13" x14ac:dyDescent="0.25">
      <c r="A1918">
        <v>1917</v>
      </c>
      <c r="B1918" t="s">
        <v>3847</v>
      </c>
      <c r="C1918" s="1">
        <v>37.439522177400001</v>
      </c>
      <c r="D1918" s="1">
        <v>-7.0866505319900002</v>
      </c>
      <c r="E1918" s="3">
        <v>3</v>
      </c>
      <c r="F1918" s="2">
        <v>3</v>
      </c>
      <c r="G1918" s="4">
        <v>3</v>
      </c>
      <c r="H1918" s="13"/>
      <c r="I1918" s="15"/>
      <c r="J1918" s="19">
        <v>3</v>
      </c>
      <c r="K1918" s="2" t="s">
        <v>3848</v>
      </c>
      <c r="L1918" s="11" t="str">
        <f t="shared" ref="L1918:L1981" si="31">HYPERLINK("3\0\" &amp; K1918, "Ver Imagen")</f>
        <v>Ver Imagen</v>
      </c>
      <c r="M1918" t="s">
        <v>15</v>
      </c>
    </row>
    <row r="1919" spans="1:13" x14ac:dyDescent="0.25">
      <c r="A1919">
        <v>1918</v>
      </c>
      <c r="B1919" t="s">
        <v>3849</v>
      </c>
      <c r="C1919" s="1">
        <v>37.438914690799997</v>
      </c>
      <c r="D1919" s="1">
        <v>-7.0853065706600002</v>
      </c>
      <c r="E1919" s="3">
        <v>3</v>
      </c>
      <c r="F1919" s="2">
        <v>3</v>
      </c>
      <c r="G1919" s="4">
        <v>3</v>
      </c>
      <c r="H1919" s="13"/>
      <c r="I1919" s="15"/>
      <c r="J1919" s="19">
        <v>3</v>
      </c>
      <c r="K1919" s="2" t="s">
        <v>3850</v>
      </c>
      <c r="L1919" s="11" t="str">
        <f t="shared" si="31"/>
        <v>Ver Imagen</v>
      </c>
      <c r="M1919" t="s">
        <v>15</v>
      </c>
    </row>
    <row r="1920" spans="1:13" x14ac:dyDescent="0.25">
      <c r="A1920">
        <v>1919</v>
      </c>
      <c r="B1920" t="s">
        <v>3851</v>
      </c>
      <c r="C1920" s="1">
        <v>37.437860721600003</v>
      </c>
      <c r="D1920" s="1">
        <v>-7.0823105965700002</v>
      </c>
      <c r="E1920" s="3">
        <v>3</v>
      </c>
      <c r="F1920" s="2">
        <v>3</v>
      </c>
      <c r="G1920" s="4">
        <v>3</v>
      </c>
      <c r="H1920" s="13"/>
      <c r="I1920" s="15"/>
      <c r="J1920" s="19">
        <v>3</v>
      </c>
      <c r="K1920" s="2" t="s">
        <v>3852</v>
      </c>
      <c r="L1920" s="11" t="str">
        <f t="shared" si="31"/>
        <v>Ver Imagen</v>
      </c>
      <c r="M1920" t="s">
        <v>15</v>
      </c>
    </row>
    <row r="1921" spans="1:13" x14ac:dyDescent="0.25">
      <c r="A1921">
        <v>1920</v>
      </c>
      <c r="B1921" t="s">
        <v>3853</v>
      </c>
      <c r="C1921" s="1">
        <v>37.436849297800002</v>
      </c>
      <c r="D1921" s="1">
        <v>-7.0794261373399996</v>
      </c>
      <c r="E1921" s="3">
        <v>3</v>
      </c>
      <c r="F1921" s="2">
        <v>3</v>
      </c>
      <c r="G1921" s="4">
        <v>3</v>
      </c>
      <c r="H1921" s="13"/>
      <c r="I1921" s="15"/>
      <c r="J1921" s="19">
        <v>3</v>
      </c>
      <c r="K1921" s="2" t="s">
        <v>3854</v>
      </c>
      <c r="L1921" s="11" t="str">
        <f t="shared" si="31"/>
        <v>Ver Imagen</v>
      </c>
      <c r="M1921" t="s">
        <v>15</v>
      </c>
    </row>
    <row r="1922" spans="1:13" x14ac:dyDescent="0.25">
      <c r="A1922">
        <v>1921</v>
      </c>
      <c r="B1922" t="s">
        <v>3855</v>
      </c>
      <c r="C1922" s="1">
        <v>37.436769644500004</v>
      </c>
      <c r="D1922" s="1">
        <v>-7.0791986151600002</v>
      </c>
      <c r="E1922" s="3">
        <v>3</v>
      </c>
      <c r="F1922" s="2">
        <v>3</v>
      </c>
      <c r="G1922" s="4">
        <v>3</v>
      </c>
      <c r="H1922" s="13"/>
      <c r="I1922" s="15"/>
      <c r="J1922" s="19">
        <v>3</v>
      </c>
      <c r="K1922" s="2" t="s">
        <v>3856</v>
      </c>
      <c r="L1922" s="11" t="str">
        <f t="shared" si="31"/>
        <v>Ver Imagen</v>
      </c>
      <c r="M1922" t="s">
        <v>15</v>
      </c>
    </row>
    <row r="1923" spans="1:13" x14ac:dyDescent="0.25">
      <c r="A1923">
        <v>1922</v>
      </c>
      <c r="B1923" t="s">
        <v>3857</v>
      </c>
      <c r="C1923" s="1">
        <v>37.436030851699996</v>
      </c>
      <c r="D1923" s="1">
        <v>-7.077123705</v>
      </c>
      <c r="E1923" s="3">
        <v>3</v>
      </c>
      <c r="F1923" s="2">
        <v>3</v>
      </c>
      <c r="G1923" s="4">
        <v>3</v>
      </c>
      <c r="H1923" s="13"/>
      <c r="I1923" s="15"/>
      <c r="J1923" s="19">
        <v>3</v>
      </c>
      <c r="K1923" s="2" t="s">
        <v>3858</v>
      </c>
      <c r="L1923" s="11" t="str">
        <f t="shared" si="31"/>
        <v>Ver Imagen</v>
      </c>
      <c r="M1923" t="s">
        <v>15</v>
      </c>
    </row>
    <row r="1924" spans="1:13" x14ac:dyDescent="0.25">
      <c r="A1924">
        <v>1923</v>
      </c>
      <c r="B1924" t="s">
        <v>3859</v>
      </c>
      <c r="C1924" s="1">
        <v>37.435395258699998</v>
      </c>
      <c r="D1924" s="1">
        <v>-7.0765219461899997</v>
      </c>
      <c r="E1924" s="3">
        <v>3</v>
      </c>
      <c r="F1924" s="2">
        <v>3</v>
      </c>
      <c r="G1924" s="4">
        <v>3</v>
      </c>
      <c r="H1924" s="13"/>
      <c r="I1924" s="15"/>
      <c r="J1924" s="19">
        <v>3</v>
      </c>
      <c r="K1924" s="2" t="s">
        <v>3860</v>
      </c>
      <c r="L1924" s="11" t="str">
        <f t="shared" si="31"/>
        <v>Ver Imagen</v>
      </c>
      <c r="M1924" t="s">
        <v>15</v>
      </c>
    </row>
    <row r="1925" spans="1:13" x14ac:dyDescent="0.25">
      <c r="A1925">
        <v>1924</v>
      </c>
      <c r="B1925" t="s">
        <v>3861</v>
      </c>
      <c r="C1925" s="1">
        <v>37.221358073799998</v>
      </c>
      <c r="D1925" s="1">
        <v>-7.0540878887499998</v>
      </c>
      <c r="E1925" s="3">
        <v>3</v>
      </c>
      <c r="F1925" s="2">
        <v>3</v>
      </c>
      <c r="G1925" s="4">
        <v>3</v>
      </c>
      <c r="H1925" s="13"/>
      <c r="I1925" s="15"/>
      <c r="J1925" s="19">
        <v>3</v>
      </c>
      <c r="K1925" s="2" t="s">
        <v>3862</v>
      </c>
      <c r="L1925" s="11" t="str">
        <f t="shared" si="31"/>
        <v>Ver Imagen</v>
      </c>
      <c r="M1925" t="s">
        <v>15</v>
      </c>
    </row>
    <row r="1926" spans="1:13" x14ac:dyDescent="0.25">
      <c r="A1926">
        <v>1925</v>
      </c>
      <c r="B1926" t="s">
        <v>3863</v>
      </c>
      <c r="C1926" s="1">
        <v>37.223401336899997</v>
      </c>
      <c r="D1926" s="1">
        <v>-7.0559805666999997</v>
      </c>
      <c r="E1926" s="3">
        <v>3</v>
      </c>
      <c r="F1926" s="2">
        <v>3</v>
      </c>
      <c r="G1926" s="4">
        <v>3</v>
      </c>
      <c r="H1926" s="13"/>
      <c r="I1926" s="15"/>
      <c r="J1926" s="19">
        <v>3</v>
      </c>
      <c r="K1926" s="2" t="s">
        <v>3864</v>
      </c>
      <c r="L1926" s="11" t="str">
        <f t="shared" si="31"/>
        <v>Ver Imagen</v>
      </c>
      <c r="M1926" t="s">
        <v>15</v>
      </c>
    </row>
    <row r="1927" spans="1:13" x14ac:dyDescent="0.25">
      <c r="A1927">
        <v>1926</v>
      </c>
      <c r="B1927" t="s">
        <v>3865</v>
      </c>
      <c r="C1927" s="1">
        <v>37.224104197000003</v>
      </c>
      <c r="D1927" s="1">
        <v>-7.0563825033100001</v>
      </c>
      <c r="E1927" s="3">
        <v>3</v>
      </c>
      <c r="F1927" s="2">
        <v>3</v>
      </c>
      <c r="G1927" s="4">
        <v>3</v>
      </c>
      <c r="H1927" s="13"/>
      <c r="I1927" s="15"/>
      <c r="J1927" s="19">
        <v>3</v>
      </c>
      <c r="K1927" s="2" t="s">
        <v>3866</v>
      </c>
      <c r="L1927" s="11" t="str">
        <f t="shared" si="31"/>
        <v>Ver Imagen</v>
      </c>
      <c r="M1927" t="s">
        <v>15</v>
      </c>
    </row>
    <row r="1928" spans="1:13" x14ac:dyDescent="0.25">
      <c r="A1928">
        <v>1927</v>
      </c>
      <c r="B1928" t="s">
        <v>3867</v>
      </c>
      <c r="C1928" s="1">
        <v>37.224291280499997</v>
      </c>
      <c r="D1928" s="1">
        <v>-7.0565774372899996</v>
      </c>
      <c r="E1928" s="3">
        <v>3</v>
      </c>
      <c r="F1928" s="2">
        <v>3</v>
      </c>
      <c r="G1928" s="4">
        <v>3</v>
      </c>
      <c r="H1928" s="13"/>
      <c r="I1928" s="15"/>
      <c r="J1928" s="19">
        <v>3</v>
      </c>
      <c r="K1928" s="2" t="s">
        <v>3868</v>
      </c>
      <c r="L1928" s="11" t="str">
        <f t="shared" si="31"/>
        <v>Ver Imagen</v>
      </c>
      <c r="M1928" t="s">
        <v>15</v>
      </c>
    </row>
    <row r="1929" spans="1:13" x14ac:dyDescent="0.25">
      <c r="A1929">
        <v>1928</v>
      </c>
      <c r="B1929" t="s">
        <v>3869</v>
      </c>
      <c r="C1929" s="1">
        <v>37.435134329599997</v>
      </c>
      <c r="D1929" s="1">
        <v>-7.0705233491900001</v>
      </c>
      <c r="E1929" s="3">
        <v>3</v>
      </c>
      <c r="F1929" s="2">
        <v>3</v>
      </c>
      <c r="G1929" s="4">
        <v>3</v>
      </c>
      <c r="H1929" s="13"/>
      <c r="I1929" s="15"/>
      <c r="J1929" s="19">
        <v>3</v>
      </c>
      <c r="K1929" s="2" t="s">
        <v>3870</v>
      </c>
      <c r="L1929" s="11" t="str">
        <f t="shared" si="31"/>
        <v>Ver Imagen</v>
      </c>
      <c r="M1929" t="s">
        <v>15</v>
      </c>
    </row>
    <row r="1930" spans="1:13" x14ac:dyDescent="0.25">
      <c r="A1930">
        <v>1929</v>
      </c>
      <c r="B1930" t="s">
        <v>3871</v>
      </c>
      <c r="C1930" s="1">
        <v>37.227319365600003</v>
      </c>
      <c r="D1930" s="1">
        <v>-7.0608759962600001</v>
      </c>
      <c r="E1930" s="3">
        <v>3</v>
      </c>
      <c r="F1930" s="2">
        <v>3</v>
      </c>
      <c r="G1930" s="4">
        <v>3</v>
      </c>
      <c r="H1930" s="13"/>
      <c r="I1930" s="15"/>
      <c r="J1930" s="19">
        <v>3</v>
      </c>
      <c r="K1930" s="2" t="s">
        <v>3872</v>
      </c>
      <c r="L1930" s="11" t="str">
        <f t="shared" si="31"/>
        <v>Ver Imagen</v>
      </c>
      <c r="M1930" t="s">
        <v>15</v>
      </c>
    </row>
    <row r="1931" spans="1:13" x14ac:dyDescent="0.25">
      <c r="A1931">
        <v>1930</v>
      </c>
      <c r="B1931" t="s">
        <v>3873</v>
      </c>
      <c r="C1931" s="1">
        <v>37.227690576199997</v>
      </c>
      <c r="D1931" s="1">
        <v>-7.06105400585</v>
      </c>
      <c r="E1931" s="3">
        <v>3</v>
      </c>
      <c r="F1931" s="2">
        <v>3</v>
      </c>
      <c r="G1931" s="4">
        <v>3</v>
      </c>
      <c r="H1931" s="13"/>
      <c r="I1931" s="15"/>
      <c r="J1931" s="19">
        <v>3</v>
      </c>
      <c r="K1931" s="2" t="s">
        <v>3874</v>
      </c>
      <c r="L1931" s="11" t="str">
        <f t="shared" si="31"/>
        <v>Ver Imagen</v>
      </c>
      <c r="M1931" t="s">
        <v>15</v>
      </c>
    </row>
    <row r="1932" spans="1:13" x14ac:dyDescent="0.25">
      <c r="A1932">
        <v>1931</v>
      </c>
      <c r="B1932" t="s">
        <v>3875</v>
      </c>
      <c r="C1932" s="1">
        <v>37.228943576399999</v>
      </c>
      <c r="D1932" s="1">
        <v>-7.0623337164800004</v>
      </c>
      <c r="E1932" s="3">
        <v>3</v>
      </c>
      <c r="F1932" s="2">
        <v>3</v>
      </c>
      <c r="G1932" s="4">
        <v>3</v>
      </c>
      <c r="H1932" s="13"/>
      <c r="I1932" s="15"/>
      <c r="J1932" s="19">
        <v>3</v>
      </c>
      <c r="K1932" s="2" t="s">
        <v>3876</v>
      </c>
      <c r="L1932" s="11" t="str">
        <f t="shared" si="31"/>
        <v>Ver Imagen</v>
      </c>
      <c r="M1932" t="s">
        <v>15</v>
      </c>
    </row>
    <row r="1933" spans="1:13" x14ac:dyDescent="0.25">
      <c r="A1933">
        <v>1932</v>
      </c>
      <c r="B1933" t="s">
        <v>3877</v>
      </c>
      <c r="C1933" s="1">
        <v>37.229395754400002</v>
      </c>
      <c r="D1933" s="1">
        <v>-7.0628365230899997</v>
      </c>
      <c r="E1933" s="3">
        <v>3</v>
      </c>
      <c r="F1933" s="2">
        <v>3</v>
      </c>
      <c r="G1933" s="4">
        <v>3</v>
      </c>
      <c r="H1933" s="13"/>
      <c r="I1933" s="15"/>
      <c r="J1933" s="19">
        <v>3</v>
      </c>
      <c r="K1933" s="2" t="s">
        <v>3878</v>
      </c>
      <c r="L1933" s="11" t="str">
        <f t="shared" si="31"/>
        <v>Ver Imagen</v>
      </c>
      <c r="M1933" t="s">
        <v>15</v>
      </c>
    </row>
    <row r="1934" spans="1:13" x14ac:dyDescent="0.25">
      <c r="A1934">
        <v>1933</v>
      </c>
      <c r="B1934" t="s">
        <v>3879</v>
      </c>
      <c r="C1934" s="1">
        <v>37.433920874099996</v>
      </c>
      <c r="D1934" s="1">
        <v>-7.0670320470199997</v>
      </c>
      <c r="E1934" s="3">
        <v>3</v>
      </c>
      <c r="F1934" s="2">
        <v>3</v>
      </c>
      <c r="G1934" s="4">
        <v>3</v>
      </c>
      <c r="H1934" s="13"/>
      <c r="I1934" s="15"/>
      <c r="J1934" s="19">
        <v>3</v>
      </c>
      <c r="K1934" s="2" t="s">
        <v>3880</v>
      </c>
      <c r="L1934" s="11" t="str">
        <f t="shared" si="31"/>
        <v>Ver Imagen</v>
      </c>
      <c r="M1934" t="s">
        <v>15</v>
      </c>
    </row>
    <row r="1935" spans="1:13" x14ac:dyDescent="0.25">
      <c r="A1935">
        <v>1934</v>
      </c>
      <c r="B1935" t="s">
        <v>3881</v>
      </c>
      <c r="C1935" s="1">
        <v>37.229727327699997</v>
      </c>
      <c r="D1935" s="1">
        <v>-7.0631008531899999</v>
      </c>
      <c r="E1935" s="3">
        <v>3</v>
      </c>
      <c r="F1935" s="2">
        <v>3</v>
      </c>
      <c r="G1935" s="4">
        <v>3</v>
      </c>
      <c r="H1935" s="13"/>
      <c r="I1935" s="15"/>
      <c r="J1935" s="19">
        <v>3</v>
      </c>
      <c r="K1935" s="2" t="s">
        <v>3882</v>
      </c>
      <c r="L1935" s="11" t="str">
        <f t="shared" si="31"/>
        <v>Ver Imagen</v>
      </c>
      <c r="M1935" t="s">
        <v>15</v>
      </c>
    </row>
    <row r="1936" spans="1:13" x14ac:dyDescent="0.25">
      <c r="A1936">
        <v>1935</v>
      </c>
      <c r="B1936" t="s">
        <v>3883</v>
      </c>
      <c r="C1936" s="1">
        <v>37.230506396700001</v>
      </c>
      <c r="D1936" s="1">
        <v>-7.0633673250299998</v>
      </c>
      <c r="E1936" s="3">
        <v>3</v>
      </c>
      <c r="F1936" s="2">
        <v>3</v>
      </c>
      <c r="G1936" s="4">
        <v>3</v>
      </c>
      <c r="H1936" s="13"/>
      <c r="I1936" s="15"/>
      <c r="J1936" s="19">
        <v>3</v>
      </c>
      <c r="K1936" s="2" t="s">
        <v>3884</v>
      </c>
      <c r="L1936" s="11" t="str">
        <f t="shared" si="31"/>
        <v>Ver Imagen</v>
      </c>
      <c r="M1936" t="s">
        <v>15</v>
      </c>
    </row>
    <row r="1937" spans="1:13" x14ac:dyDescent="0.25">
      <c r="A1937">
        <v>1936</v>
      </c>
      <c r="B1937" t="s">
        <v>3885</v>
      </c>
      <c r="C1937" s="1">
        <v>37.230907637000001</v>
      </c>
      <c r="D1937" s="1">
        <v>-7.06343129462</v>
      </c>
      <c r="E1937" s="3">
        <v>3</v>
      </c>
      <c r="F1937" s="2">
        <v>3</v>
      </c>
      <c r="G1937" s="4">
        <v>3</v>
      </c>
      <c r="H1937" s="13"/>
      <c r="I1937" s="15"/>
      <c r="J1937" s="19">
        <v>3</v>
      </c>
      <c r="K1937" s="2" t="s">
        <v>3886</v>
      </c>
      <c r="L1937" s="11" t="str">
        <f t="shared" si="31"/>
        <v>Ver Imagen</v>
      </c>
      <c r="M1937" t="s">
        <v>15</v>
      </c>
    </row>
    <row r="1938" spans="1:13" x14ac:dyDescent="0.25">
      <c r="A1938">
        <v>1937</v>
      </c>
      <c r="B1938" t="s">
        <v>3887</v>
      </c>
      <c r="C1938" s="1">
        <v>37.2311021354</v>
      </c>
      <c r="D1938" s="1">
        <v>-7.0634837103199999</v>
      </c>
      <c r="E1938" s="3">
        <v>3</v>
      </c>
      <c r="F1938" s="2">
        <v>3</v>
      </c>
      <c r="G1938" s="4">
        <v>3</v>
      </c>
      <c r="H1938" s="13"/>
      <c r="I1938" s="15"/>
      <c r="J1938" s="19">
        <v>3</v>
      </c>
      <c r="K1938" s="2" t="s">
        <v>3888</v>
      </c>
      <c r="L1938" s="11" t="str">
        <f t="shared" si="31"/>
        <v>Ver Imagen</v>
      </c>
      <c r="M1938" t="s">
        <v>15</v>
      </c>
    </row>
    <row r="1939" spans="1:13" x14ac:dyDescent="0.25">
      <c r="A1939">
        <v>1938</v>
      </c>
      <c r="B1939" t="s">
        <v>3889</v>
      </c>
      <c r="C1939" s="1">
        <v>37.231463289700002</v>
      </c>
      <c r="D1939" s="1">
        <v>-7.0636714007299997</v>
      </c>
      <c r="E1939" s="3">
        <v>3</v>
      </c>
      <c r="F1939" s="2">
        <v>3</v>
      </c>
      <c r="G1939" s="4">
        <v>3</v>
      </c>
      <c r="H1939" s="13"/>
      <c r="I1939" s="15"/>
      <c r="J1939" s="19">
        <v>3</v>
      </c>
      <c r="K1939" s="2" t="s">
        <v>3890</v>
      </c>
      <c r="L1939" s="11" t="str">
        <f t="shared" si="31"/>
        <v>Ver Imagen</v>
      </c>
      <c r="M1939" t="s">
        <v>15</v>
      </c>
    </row>
    <row r="1940" spans="1:13" x14ac:dyDescent="0.25">
      <c r="A1940">
        <v>1939</v>
      </c>
      <c r="B1940" t="s">
        <v>3891</v>
      </c>
      <c r="C1940" s="1">
        <v>37.231973356399997</v>
      </c>
      <c r="D1940" s="1">
        <v>-7.0640982248300004</v>
      </c>
      <c r="E1940" s="3">
        <v>3</v>
      </c>
      <c r="F1940" s="2">
        <v>3</v>
      </c>
      <c r="G1940" s="4">
        <v>3</v>
      </c>
      <c r="H1940" s="13"/>
      <c r="I1940" s="15"/>
      <c r="J1940" s="19">
        <v>3</v>
      </c>
      <c r="K1940" s="2" t="s">
        <v>3892</v>
      </c>
      <c r="L1940" s="11" t="str">
        <f t="shared" si="31"/>
        <v>Ver Imagen</v>
      </c>
      <c r="M1940" t="s">
        <v>15</v>
      </c>
    </row>
    <row r="1941" spans="1:13" x14ac:dyDescent="0.25">
      <c r="A1941">
        <v>1940</v>
      </c>
      <c r="B1941" t="s">
        <v>3893</v>
      </c>
      <c r="C1941" s="1">
        <v>37.232771454599998</v>
      </c>
      <c r="D1941" s="1">
        <v>-7.0653009721400002</v>
      </c>
      <c r="E1941" s="3">
        <v>3</v>
      </c>
      <c r="F1941" s="2">
        <v>3</v>
      </c>
      <c r="G1941" s="4">
        <v>3</v>
      </c>
      <c r="H1941" s="13"/>
      <c r="I1941" s="15"/>
      <c r="J1941" s="19">
        <v>3</v>
      </c>
      <c r="K1941" s="2" t="s">
        <v>3894</v>
      </c>
      <c r="L1941" s="11" t="str">
        <f t="shared" si="31"/>
        <v>Ver Imagen</v>
      </c>
      <c r="M1941" t="s">
        <v>15</v>
      </c>
    </row>
    <row r="1942" spans="1:13" x14ac:dyDescent="0.25">
      <c r="A1942">
        <v>1941</v>
      </c>
      <c r="B1942" t="s">
        <v>3895</v>
      </c>
      <c r="C1942" s="1">
        <v>37.232865803099997</v>
      </c>
      <c r="D1942" s="1">
        <v>-7.0654634964599996</v>
      </c>
      <c r="E1942" s="3">
        <v>3</v>
      </c>
      <c r="F1942" s="2">
        <v>3</v>
      </c>
      <c r="G1942" s="4">
        <v>3</v>
      </c>
      <c r="H1942" s="13"/>
      <c r="I1942" s="15"/>
      <c r="J1942" s="19">
        <v>3</v>
      </c>
      <c r="K1942" s="2" t="s">
        <v>3896</v>
      </c>
      <c r="L1942" s="11" t="str">
        <f t="shared" si="31"/>
        <v>Ver Imagen</v>
      </c>
      <c r="M1942" t="s">
        <v>15</v>
      </c>
    </row>
    <row r="1943" spans="1:13" x14ac:dyDescent="0.25">
      <c r="A1943">
        <v>1942</v>
      </c>
      <c r="B1943" t="s">
        <v>3897</v>
      </c>
      <c r="C1943" s="1">
        <v>37.233279525100002</v>
      </c>
      <c r="D1943" s="1">
        <v>-7.0660011768200004</v>
      </c>
      <c r="E1943" s="3">
        <v>3</v>
      </c>
      <c r="F1943" s="2">
        <v>3</v>
      </c>
      <c r="G1943" s="4">
        <v>3</v>
      </c>
      <c r="H1943" s="13"/>
      <c r="I1943" s="15"/>
      <c r="J1943" s="19">
        <v>3</v>
      </c>
      <c r="K1943" s="2" t="s">
        <v>3898</v>
      </c>
      <c r="L1943" s="11" t="str">
        <f t="shared" si="31"/>
        <v>Ver Imagen</v>
      </c>
      <c r="M1943" t="s">
        <v>15</v>
      </c>
    </row>
    <row r="1944" spans="1:13" x14ac:dyDescent="0.25">
      <c r="A1944">
        <v>1943</v>
      </c>
      <c r="B1944" t="s">
        <v>3899</v>
      </c>
      <c r="C1944" s="1">
        <v>37.432783676699998</v>
      </c>
      <c r="D1944" s="1">
        <v>-7.0645535522299996</v>
      </c>
      <c r="E1944" s="3">
        <v>3</v>
      </c>
      <c r="F1944" s="2">
        <v>3</v>
      </c>
      <c r="G1944" s="4">
        <v>3</v>
      </c>
      <c r="H1944" s="13"/>
      <c r="I1944" s="15"/>
      <c r="J1944" s="19">
        <v>3</v>
      </c>
      <c r="K1944" s="2" t="s">
        <v>3900</v>
      </c>
      <c r="L1944" s="11" t="str">
        <f t="shared" si="31"/>
        <v>Ver Imagen</v>
      </c>
      <c r="M1944" t="s">
        <v>15</v>
      </c>
    </row>
    <row r="1945" spans="1:13" x14ac:dyDescent="0.25">
      <c r="A1945">
        <v>1944</v>
      </c>
      <c r="B1945" t="s">
        <v>3901</v>
      </c>
      <c r="C1945" s="1">
        <v>37.432719212800002</v>
      </c>
      <c r="D1945" s="1">
        <v>-7.0644133700599996</v>
      </c>
      <c r="E1945" s="3">
        <v>3</v>
      </c>
      <c r="F1945" s="2">
        <v>3</v>
      </c>
      <c r="G1945" s="4">
        <v>3</v>
      </c>
      <c r="H1945" s="13"/>
      <c r="I1945" s="15"/>
      <c r="J1945" s="19">
        <v>3</v>
      </c>
      <c r="K1945" s="2" t="s">
        <v>3902</v>
      </c>
      <c r="L1945" s="11" t="str">
        <f t="shared" si="31"/>
        <v>Ver Imagen</v>
      </c>
      <c r="M1945" t="s">
        <v>15</v>
      </c>
    </row>
    <row r="1946" spans="1:13" x14ac:dyDescent="0.25">
      <c r="A1946">
        <v>1945</v>
      </c>
      <c r="B1946" t="s">
        <v>3903</v>
      </c>
      <c r="C1946" s="1">
        <v>37.225342224400002</v>
      </c>
      <c r="D1946" s="1">
        <v>-7.02954531501</v>
      </c>
      <c r="E1946" s="3">
        <v>3</v>
      </c>
      <c r="F1946" s="2">
        <v>3</v>
      </c>
      <c r="G1946" s="4">
        <v>3</v>
      </c>
      <c r="H1946" s="13"/>
      <c r="I1946" s="15"/>
      <c r="J1946" s="19">
        <v>3</v>
      </c>
      <c r="K1946" s="2" t="s">
        <v>3904</v>
      </c>
      <c r="L1946" s="11" t="str">
        <f t="shared" si="31"/>
        <v>Ver Imagen</v>
      </c>
      <c r="M1946" t="s">
        <v>15</v>
      </c>
    </row>
    <row r="1947" spans="1:13" x14ac:dyDescent="0.25">
      <c r="A1947">
        <v>1946</v>
      </c>
      <c r="B1947" t="s">
        <v>3905</v>
      </c>
      <c r="C1947" s="1">
        <v>37.2253513223</v>
      </c>
      <c r="D1947" s="1">
        <v>-7.0300502040700001</v>
      </c>
      <c r="E1947" s="3">
        <v>3</v>
      </c>
      <c r="F1947" s="2">
        <v>3</v>
      </c>
      <c r="G1947" s="4">
        <v>3</v>
      </c>
      <c r="H1947" s="13"/>
      <c r="I1947" s="15"/>
      <c r="J1947" s="19">
        <v>3</v>
      </c>
      <c r="K1947" s="2" t="s">
        <v>3906</v>
      </c>
      <c r="L1947" s="11" t="str">
        <f t="shared" si="31"/>
        <v>Ver Imagen</v>
      </c>
      <c r="M1947" t="s">
        <v>15</v>
      </c>
    </row>
    <row r="1948" spans="1:13" x14ac:dyDescent="0.25">
      <c r="A1948">
        <v>1947</v>
      </c>
      <c r="B1948" t="s">
        <v>3907</v>
      </c>
      <c r="C1948" s="1">
        <v>37.225348266099999</v>
      </c>
      <c r="D1948" s="1">
        <v>-7.0302849456400001</v>
      </c>
      <c r="E1948" s="3">
        <v>3</v>
      </c>
      <c r="F1948" s="2">
        <v>3</v>
      </c>
      <c r="G1948" s="4">
        <v>3</v>
      </c>
      <c r="H1948" s="13"/>
      <c r="I1948" s="15"/>
      <c r="J1948" s="19">
        <v>3</v>
      </c>
      <c r="K1948" s="2" t="s">
        <v>3908</v>
      </c>
      <c r="L1948" s="11" t="str">
        <f t="shared" si="31"/>
        <v>Ver Imagen</v>
      </c>
      <c r="M1948" t="s">
        <v>15</v>
      </c>
    </row>
    <row r="1949" spans="1:13" x14ac:dyDescent="0.25">
      <c r="A1949">
        <v>1948</v>
      </c>
      <c r="B1949" t="s">
        <v>3909</v>
      </c>
      <c r="C1949" s="1">
        <v>37.225279046099999</v>
      </c>
      <c r="D1949" s="1">
        <v>-7.0313062224999996</v>
      </c>
      <c r="E1949" s="3">
        <v>3</v>
      </c>
      <c r="F1949" s="2">
        <v>3</v>
      </c>
      <c r="G1949" s="4">
        <v>3</v>
      </c>
      <c r="H1949" s="13"/>
      <c r="I1949" s="15"/>
      <c r="J1949" s="19">
        <v>3</v>
      </c>
      <c r="K1949" s="2" t="s">
        <v>3910</v>
      </c>
      <c r="L1949" s="11" t="str">
        <f t="shared" si="31"/>
        <v>Ver Imagen</v>
      </c>
      <c r="M1949" t="s">
        <v>15</v>
      </c>
    </row>
    <row r="1950" spans="1:13" x14ac:dyDescent="0.25">
      <c r="A1950">
        <v>1949</v>
      </c>
      <c r="B1950" t="s">
        <v>3911</v>
      </c>
      <c r="C1950" s="1">
        <v>37.225212691400003</v>
      </c>
      <c r="D1950" s="1">
        <v>-7.0320697007300002</v>
      </c>
      <c r="E1950" s="3">
        <v>3</v>
      </c>
      <c r="F1950" s="2">
        <v>3</v>
      </c>
      <c r="G1950" s="4">
        <v>3</v>
      </c>
      <c r="H1950" s="13"/>
      <c r="I1950" s="15"/>
      <c r="J1950" s="19">
        <v>3</v>
      </c>
      <c r="K1950" s="2" t="s">
        <v>3912</v>
      </c>
      <c r="L1950" s="11" t="str">
        <f t="shared" si="31"/>
        <v>Ver Imagen</v>
      </c>
      <c r="M1950" t="s">
        <v>15</v>
      </c>
    </row>
    <row r="1951" spans="1:13" x14ac:dyDescent="0.25">
      <c r="A1951">
        <v>1950</v>
      </c>
      <c r="B1951" t="s">
        <v>3913</v>
      </c>
      <c r="C1951" s="1">
        <v>37.225187366</v>
      </c>
      <c r="D1951" s="1">
        <v>-7.0323015306599999</v>
      </c>
      <c r="E1951" s="3">
        <v>3</v>
      </c>
      <c r="F1951" s="2">
        <v>3</v>
      </c>
      <c r="G1951" s="4">
        <v>3</v>
      </c>
      <c r="H1951" s="13"/>
      <c r="I1951" s="15"/>
      <c r="J1951" s="19">
        <v>3</v>
      </c>
      <c r="K1951" s="2" t="s">
        <v>3914</v>
      </c>
      <c r="L1951" s="11" t="str">
        <f t="shared" si="31"/>
        <v>Ver Imagen</v>
      </c>
      <c r="M1951" t="s">
        <v>15</v>
      </c>
    </row>
    <row r="1952" spans="1:13" x14ac:dyDescent="0.25">
      <c r="A1952">
        <v>1951</v>
      </c>
      <c r="B1952" t="s">
        <v>3915</v>
      </c>
      <c r="C1952" s="1">
        <v>37.2251498117</v>
      </c>
      <c r="D1952" s="1">
        <v>-7.0325611403500004</v>
      </c>
      <c r="E1952" s="3">
        <v>3</v>
      </c>
      <c r="F1952" s="2">
        <v>3</v>
      </c>
      <c r="G1952" s="4">
        <v>3</v>
      </c>
      <c r="H1952" s="13"/>
      <c r="I1952" s="15"/>
      <c r="J1952" s="19">
        <v>3</v>
      </c>
      <c r="K1952" s="2" t="s">
        <v>3916</v>
      </c>
      <c r="L1952" s="11" t="str">
        <f t="shared" si="31"/>
        <v>Ver Imagen</v>
      </c>
      <c r="M1952" t="s">
        <v>15</v>
      </c>
    </row>
    <row r="1953" spans="1:13" x14ac:dyDescent="0.25">
      <c r="A1953">
        <v>1952</v>
      </c>
      <c r="B1953" t="s">
        <v>3917</v>
      </c>
      <c r="C1953" s="1">
        <v>37.225037896000003</v>
      </c>
      <c r="D1953" s="1">
        <v>-7.0330693349800004</v>
      </c>
      <c r="E1953" s="3">
        <v>3</v>
      </c>
      <c r="F1953" s="2">
        <v>3</v>
      </c>
      <c r="G1953" s="4">
        <v>3</v>
      </c>
      <c r="H1953" s="13"/>
      <c r="I1953" s="15"/>
      <c r="J1953" s="19">
        <v>3</v>
      </c>
      <c r="K1953" s="2" t="s">
        <v>3918</v>
      </c>
      <c r="L1953" s="11" t="str">
        <f t="shared" si="31"/>
        <v>Ver Imagen</v>
      </c>
      <c r="M1953" t="s">
        <v>15</v>
      </c>
    </row>
    <row r="1954" spans="1:13" x14ac:dyDescent="0.25">
      <c r="A1954">
        <v>1953</v>
      </c>
      <c r="B1954" t="s">
        <v>3919</v>
      </c>
      <c r="C1954" s="1">
        <v>37.224675766600001</v>
      </c>
      <c r="D1954" s="1">
        <v>-7.0342272151999996</v>
      </c>
      <c r="E1954" s="3">
        <v>3</v>
      </c>
      <c r="F1954" s="2">
        <v>3</v>
      </c>
      <c r="G1954" s="4">
        <v>3</v>
      </c>
      <c r="H1954" s="13"/>
      <c r="I1954" s="15"/>
      <c r="J1954" s="19">
        <v>3</v>
      </c>
      <c r="K1954" s="2" t="s">
        <v>3920</v>
      </c>
      <c r="L1954" s="11" t="str">
        <f t="shared" si="31"/>
        <v>Ver Imagen</v>
      </c>
      <c r="M1954" t="s">
        <v>15</v>
      </c>
    </row>
    <row r="1955" spans="1:13" x14ac:dyDescent="0.25">
      <c r="A1955">
        <v>1954</v>
      </c>
      <c r="B1955" t="s">
        <v>3921</v>
      </c>
      <c r="C1955" s="1">
        <v>37.224564157499998</v>
      </c>
      <c r="D1955" s="1">
        <v>-7.03468739787</v>
      </c>
      <c r="E1955" s="3">
        <v>3</v>
      </c>
      <c r="F1955" s="2">
        <v>3</v>
      </c>
      <c r="G1955" s="4">
        <v>3</v>
      </c>
      <c r="H1955" s="13"/>
      <c r="I1955" s="15"/>
      <c r="J1955" s="19">
        <v>3</v>
      </c>
      <c r="K1955" s="2" t="s">
        <v>3922</v>
      </c>
      <c r="L1955" s="11" t="str">
        <f t="shared" si="31"/>
        <v>Ver Imagen</v>
      </c>
      <c r="M1955" t="s">
        <v>15</v>
      </c>
    </row>
    <row r="1956" spans="1:13" x14ac:dyDescent="0.25">
      <c r="A1956">
        <v>1955</v>
      </c>
      <c r="B1956" t="s">
        <v>3923</v>
      </c>
      <c r="C1956" s="1">
        <v>37.431696626799997</v>
      </c>
      <c r="D1956" s="1">
        <v>-7.06219628807</v>
      </c>
      <c r="E1956" s="3">
        <v>3</v>
      </c>
      <c r="F1956" s="2">
        <v>3</v>
      </c>
      <c r="G1956" s="4">
        <v>3</v>
      </c>
      <c r="H1956" s="13"/>
      <c r="I1956" s="15"/>
      <c r="J1956" s="19">
        <v>3</v>
      </c>
      <c r="K1956" s="2" t="s">
        <v>3924</v>
      </c>
      <c r="L1956" s="11" t="str">
        <f t="shared" si="31"/>
        <v>Ver Imagen</v>
      </c>
      <c r="M1956" t="s">
        <v>15</v>
      </c>
    </row>
    <row r="1957" spans="1:13" x14ac:dyDescent="0.25">
      <c r="A1957">
        <v>1956</v>
      </c>
      <c r="B1957" t="s">
        <v>3925</v>
      </c>
      <c r="C1957" s="1">
        <v>37.224558255700003</v>
      </c>
      <c r="D1957" s="1">
        <v>-7.0359662112499999</v>
      </c>
      <c r="E1957" s="3">
        <v>3</v>
      </c>
      <c r="F1957" s="2">
        <v>3</v>
      </c>
      <c r="G1957" s="4">
        <v>3</v>
      </c>
      <c r="H1957" s="13"/>
      <c r="I1957" s="15"/>
      <c r="J1957" s="19">
        <v>3</v>
      </c>
      <c r="K1957" s="2" t="s">
        <v>3926</v>
      </c>
      <c r="L1957" s="11" t="str">
        <f t="shared" si="31"/>
        <v>Ver Imagen</v>
      </c>
      <c r="M1957" t="s">
        <v>15</v>
      </c>
    </row>
    <row r="1958" spans="1:13" x14ac:dyDescent="0.25">
      <c r="A1958">
        <v>1957</v>
      </c>
      <c r="B1958" t="s">
        <v>3927</v>
      </c>
      <c r="C1958" s="1">
        <v>37.2246116763</v>
      </c>
      <c r="D1958" s="1">
        <v>-7.0372407290999996</v>
      </c>
      <c r="E1958" s="3">
        <v>3</v>
      </c>
      <c r="F1958" s="2">
        <v>3</v>
      </c>
      <c r="G1958" s="4">
        <v>3</v>
      </c>
      <c r="H1958" s="13"/>
      <c r="I1958" s="15"/>
      <c r="J1958" s="19">
        <v>3</v>
      </c>
      <c r="K1958" s="2" t="s">
        <v>3928</v>
      </c>
      <c r="L1958" s="11" t="str">
        <f t="shared" si="31"/>
        <v>Ver Imagen</v>
      </c>
      <c r="M1958" t="s">
        <v>15</v>
      </c>
    </row>
    <row r="1959" spans="1:13" x14ac:dyDescent="0.25">
      <c r="A1959">
        <v>1958</v>
      </c>
      <c r="B1959" t="s">
        <v>3929</v>
      </c>
      <c r="C1959" s="1">
        <v>37.225482470199999</v>
      </c>
      <c r="D1959" s="1">
        <v>-7.0416378537900002</v>
      </c>
      <c r="E1959" s="3">
        <v>3</v>
      </c>
      <c r="F1959" s="2">
        <v>3</v>
      </c>
      <c r="G1959" s="4">
        <v>3</v>
      </c>
      <c r="H1959" s="13"/>
      <c r="I1959" s="15"/>
      <c r="J1959" s="19">
        <v>3</v>
      </c>
      <c r="K1959" s="2" t="s">
        <v>3930</v>
      </c>
      <c r="L1959" s="11" t="str">
        <f t="shared" si="31"/>
        <v>Ver Imagen</v>
      </c>
      <c r="M1959" t="s">
        <v>15</v>
      </c>
    </row>
    <row r="1960" spans="1:13" x14ac:dyDescent="0.25">
      <c r="A1960">
        <v>1959</v>
      </c>
      <c r="B1960" t="s">
        <v>3931</v>
      </c>
      <c r="C1960" s="1">
        <v>37.226933145700002</v>
      </c>
      <c r="D1960" s="1">
        <v>-7.0446464867699996</v>
      </c>
      <c r="E1960" s="3">
        <v>3</v>
      </c>
      <c r="F1960" s="2">
        <v>3</v>
      </c>
      <c r="G1960" s="4">
        <v>3</v>
      </c>
      <c r="H1960" s="13"/>
      <c r="I1960" s="15"/>
      <c r="J1960" s="19">
        <v>3</v>
      </c>
      <c r="K1960" s="2" t="s">
        <v>3932</v>
      </c>
      <c r="L1960" s="11" t="str">
        <f t="shared" si="31"/>
        <v>Ver Imagen</v>
      </c>
      <c r="M1960" t="s">
        <v>15</v>
      </c>
    </row>
    <row r="1961" spans="1:13" x14ac:dyDescent="0.25">
      <c r="A1961">
        <v>1960</v>
      </c>
      <c r="B1961" t="s">
        <v>3933</v>
      </c>
      <c r="C1961" s="1">
        <v>37.2280394386</v>
      </c>
      <c r="D1961" s="1">
        <v>-7.0457634566699996</v>
      </c>
      <c r="E1961" s="3">
        <v>3</v>
      </c>
      <c r="F1961" s="2">
        <v>3</v>
      </c>
      <c r="G1961" s="4">
        <v>3</v>
      </c>
      <c r="H1961" s="13"/>
      <c r="I1961" s="15"/>
      <c r="J1961" s="19">
        <v>3</v>
      </c>
      <c r="K1961" s="2" t="s">
        <v>3934</v>
      </c>
      <c r="L1961" s="11" t="str">
        <f t="shared" si="31"/>
        <v>Ver Imagen</v>
      </c>
      <c r="M1961" t="s">
        <v>15</v>
      </c>
    </row>
    <row r="1962" spans="1:13" x14ac:dyDescent="0.25">
      <c r="A1962">
        <v>1961</v>
      </c>
      <c r="B1962" t="s">
        <v>3935</v>
      </c>
      <c r="C1962" s="1">
        <v>37.228214913800002</v>
      </c>
      <c r="D1962" s="1">
        <v>-7.0459535247899998</v>
      </c>
      <c r="E1962" s="3">
        <v>3</v>
      </c>
      <c r="F1962" s="2">
        <v>3</v>
      </c>
      <c r="G1962" s="4">
        <v>3</v>
      </c>
      <c r="H1962" s="13"/>
      <c r="I1962" s="15"/>
      <c r="J1962" s="19">
        <v>3</v>
      </c>
      <c r="K1962" s="2" t="s">
        <v>3936</v>
      </c>
      <c r="L1962" s="11" t="str">
        <f t="shared" si="31"/>
        <v>Ver Imagen</v>
      </c>
      <c r="M1962" t="s">
        <v>15</v>
      </c>
    </row>
    <row r="1963" spans="1:13" x14ac:dyDescent="0.25">
      <c r="A1963">
        <v>1962</v>
      </c>
      <c r="B1963" t="s">
        <v>3937</v>
      </c>
      <c r="C1963" s="1">
        <v>37.230823191100001</v>
      </c>
      <c r="D1963" s="1">
        <v>-7.0500988442099999</v>
      </c>
      <c r="E1963" s="3">
        <v>3</v>
      </c>
      <c r="F1963" s="2">
        <v>3</v>
      </c>
      <c r="G1963" s="4">
        <v>3</v>
      </c>
      <c r="H1963" s="13"/>
      <c r="I1963" s="15"/>
      <c r="J1963" s="19">
        <v>3</v>
      </c>
      <c r="K1963" s="2" t="s">
        <v>3938</v>
      </c>
      <c r="L1963" s="11" t="str">
        <f t="shared" si="31"/>
        <v>Ver Imagen</v>
      </c>
      <c r="M1963" t="s">
        <v>15</v>
      </c>
    </row>
    <row r="1964" spans="1:13" x14ac:dyDescent="0.25">
      <c r="A1964">
        <v>1963</v>
      </c>
      <c r="B1964" t="s">
        <v>3939</v>
      </c>
      <c r="C1964" s="1">
        <v>37.230940162300001</v>
      </c>
      <c r="D1964" s="1">
        <v>-7.0503092403899998</v>
      </c>
      <c r="E1964" s="3">
        <v>3</v>
      </c>
      <c r="F1964" s="2">
        <v>3</v>
      </c>
      <c r="G1964" s="4">
        <v>3</v>
      </c>
      <c r="H1964" s="13"/>
      <c r="I1964" s="15"/>
      <c r="J1964" s="19">
        <v>3</v>
      </c>
      <c r="K1964" s="2" t="s">
        <v>3940</v>
      </c>
      <c r="L1964" s="11" t="str">
        <f t="shared" si="31"/>
        <v>Ver Imagen</v>
      </c>
      <c r="M1964" t="s">
        <v>15</v>
      </c>
    </row>
    <row r="1965" spans="1:13" x14ac:dyDescent="0.25">
      <c r="A1965">
        <v>1964</v>
      </c>
      <c r="B1965" t="s">
        <v>3941</v>
      </c>
      <c r="C1965" s="1">
        <v>37.231845337499998</v>
      </c>
      <c r="D1965" s="1">
        <v>-7.0520066734600002</v>
      </c>
      <c r="E1965" s="3">
        <v>3</v>
      </c>
      <c r="F1965" s="2">
        <v>3</v>
      </c>
      <c r="G1965" s="4">
        <v>3</v>
      </c>
      <c r="H1965" s="13"/>
      <c r="I1965" s="15"/>
      <c r="J1965" s="19">
        <v>3</v>
      </c>
      <c r="K1965" s="2" t="s">
        <v>3942</v>
      </c>
      <c r="L1965" s="11" t="str">
        <f t="shared" si="31"/>
        <v>Ver Imagen</v>
      </c>
      <c r="M1965" t="s">
        <v>15</v>
      </c>
    </row>
    <row r="1966" spans="1:13" x14ac:dyDescent="0.25">
      <c r="A1966">
        <v>1965</v>
      </c>
      <c r="B1966" t="s">
        <v>3943</v>
      </c>
      <c r="C1966" s="1">
        <v>37.2326332982</v>
      </c>
      <c r="D1966" s="1">
        <v>-7.0534854281600001</v>
      </c>
      <c r="E1966" s="3">
        <v>3</v>
      </c>
      <c r="F1966" s="2">
        <v>3</v>
      </c>
      <c r="G1966" s="4">
        <v>3</v>
      </c>
      <c r="H1966" s="13"/>
      <c r="I1966" s="15"/>
      <c r="J1966" s="19">
        <v>3</v>
      </c>
      <c r="K1966" s="2" t="s">
        <v>3944</v>
      </c>
      <c r="L1966" s="11" t="str">
        <f t="shared" si="31"/>
        <v>Ver Imagen</v>
      </c>
      <c r="M1966" t="s">
        <v>15</v>
      </c>
    </row>
    <row r="1967" spans="1:13" x14ac:dyDescent="0.25">
      <c r="A1967">
        <v>1966</v>
      </c>
      <c r="B1967" t="s">
        <v>3945</v>
      </c>
      <c r="C1967" s="1">
        <v>37.2338364099</v>
      </c>
      <c r="D1967" s="1">
        <v>-7.0574778839699999</v>
      </c>
      <c r="E1967" s="3">
        <v>3</v>
      </c>
      <c r="F1967" s="2">
        <v>3</v>
      </c>
      <c r="G1967" s="4">
        <v>3</v>
      </c>
      <c r="H1967" s="13"/>
      <c r="I1967" s="15"/>
      <c r="J1967" s="19">
        <v>3</v>
      </c>
      <c r="K1967" s="2" t="s">
        <v>3946</v>
      </c>
      <c r="L1967" s="11" t="str">
        <f t="shared" si="31"/>
        <v>Ver Imagen</v>
      </c>
      <c r="M1967" t="s">
        <v>15</v>
      </c>
    </row>
    <row r="1968" spans="1:13" x14ac:dyDescent="0.25">
      <c r="A1968">
        <v>1967</v>
      </c>
      <c r="B1968" t="s">
        <v>3947</v>
      </c>
      <c r="C1968" s="1">
        <v>37.2341199229</v>
      </c>
      <c r="D1968" s="1">
        <v>-7.0590098444600002</v>
      </c>
      <c r="E1968" s="3">
        <v>3</v>
      </c>
      <c r="F1968" s="2">
        <v>3</v>
      </c>
      <c r="G1968" s="4">
        <v>3</v>
      </c>
      <c r="H1968" s="13"/>
      <c r="I1968" s="15"/>
      <c r="J1968" s="19">
        <v>3</v>
      </c>
      <c r="K1968" s="2" t="s">
        <v>3948</v>
      </c>
      <c r="L1968" s="11" t="str">
        <f t="shared" si="31"/>
        <v>Ver Imagen</v>
      </c>
      <c r="M1968" t="s">
        <v>15</v>
      </c>
    </row>
    <row r="1969" spans="1:13" x14ac:dyDescent="0.25">
      <c r="A1969">
        <v>1968</v>
      </c>
      <c r="B1969" t="s">
        <v>3949</v>
      </c>
      <c r="C1969" s="1">
        <v>37.234133830200001</v>
      </c>
      <c r="D1969" s="1">
        <v>-7.05999058037</v>
      </c>
      <c r="E1969" s="3">
        <v>3</v>
      </c>
      <c r="F1969" s="2">
        <v>3</v>
      </c>
      <c r="G1969" s="4">
        <v>3</v>
      </c>
      <c r="H1969" s="13"/>
      <c r="I1969" s="15"/>
      <c r="J1969" s="19">
        <v>3</v>
      </c>
      <c r="K1969" s="2" t="s">
        <v>3950</v>
      </c>
      <c r="L1969" s="11" t="str">
        <f t="shared" si="31"/>
        <v>Ver Imagen</v>
      </c>
      <c r="M1969" t="s">
        <v>15</v>
      </c>
    </row>
    <row r="1970" spans="1:13" x14ac:dyDescent="0.25">
      <c r="A1970">
        <v>1969</v>
      </c>
      <c r="B1970" t="s">
        <v>3951</v>
      </c>
      <c r="C1970" s="1">
        <v>37.234119543600002</v>
      </c>
      <c r="D1970" s="1">
        <v>-7.0610476523600001</v>
      </c>
      <c r="E1970" s="3">
        <v>3</v>
      </c>
      <c r="F1970" s="2">
        <v>3</v>
      </c>
      <c r="G1970" s="4">
        <v>3</v>
      </c>
      <c r="H1970" s="13"/>
      <c r="I1970" s="15"/>
      <c r="J1970" s="19">
        <v>3</v>
      </c>
      <c r="K1970" s="2" t="s">
        <v>3952</v>
      </c>
      <c r="L1970" s="11" t="str">
        <f t="shared" si="31"/>
        <v>Ver Imagen</v>
      </c>
      <c r="M1970" t="s">
        <v>15</v>
      </c>
    </row>
    <row r="1971" spans="1:13" x14ac:dyDescent="0.25">
      <c r="A1971">
        <v>1970</v>
      </c>
      <c r="B1971" t="s">
        <v>3953</v>
      </c>
      <c r="C1971" s="1">
        <v>37.234108370999998</v>
      </c>
      <c r="D1971" s="1">
        <v>-7.0614946634400004</v>
      </c>
      <c r="E1971" s="3">
        <v>3</v>
      </c>
      <c r="F1971" s="2">
        <v>3</v>
      </c>
      <c r="G1971" s="4">
        <v>3</v>
      </c>
      <c r="H1971" s="13"/>
      <c r="I1971" s="15"/>
      <c r="J1971" s="19">
        <v>3</v>
      </c>
      <c r="K1971" s="2" t="s">
        <v>3954</v>
      </c>
      <c r="L1971" s="11" t="str">
        <f t="shared" si="31"/>
        <v>Ver Imagen</v>
      </c>
      <c r="M1971" t="s">
        <v>15</v>
      </c>
    </row>
    <row r="1972" spans="1:13" x14ac:dyDescent="0.25">
      <c r="A1972">
        <v>1971</v>
      </c>
      <c r="B1972" t="s">
        <v>3955</v>
      </c>
      <c r="C1972" s="1">
        <v>37.234097765100003</v>
      </c>
      <c r="D1972" s="1">
        <v>-7.0617777145499998</v>
      </c>
      <c r="E1972" s="3">
        <v>3</v>
      </c>
      <c r="F1972" s="2">
        <v>3</v>
      </c>
      <c r="G1972" s="4">
        <v>3</v>
      </c>
      <c r="H1972" s="13"/>
      <c r="I1972" s="15"/>
      <c r="J1972" s="19">
        <v>3</v>
      </c>
      <c r="K1972" s="2" t="s">
        <v>3956</v>
      </c>
      <c r="L1972" s="11" t="str">
        <f t="shared" si="31"/>
        <v>Ver Imagen</v>
      </c>
      <c r="M1972" t="s">
        <v>15</v>
      </c>
    </row>
    <row r="1973" spans="1:13" x14ac:dyDescent="0.25">
      <c r="A1973">
        <v>1972</v>
      </c>
      <c r="B1973" t="s">
        <v>3957</v>
      </c>
      <c r="C1973" s="1">
        <v>37.234081943100001</v>
      </c>
      <c r="D1973" s="1">
        <v>-7.0622753862799996</v>
      </c>
      <c r="E1973" s="3">
        <v>3</v>
      </c>
      <c r="F1973" s="2">
        <v>3</v>
      </c>
      <c r="G1973" s="4">
        <v>3</v>
      </c>
      <c r="H1973" s="13"/>
      <c r="I1973" s="15"/>
      <c r="J1973" s="19">
        <v>3</v>
      </c>
      <c r="K1973" s="2" t="s">
        <v>3958</v>
      </c>
      <c r="L1973" s="11" t="str">
        <f t="shared" si="31"/>
        <v>Ver Imagen</v>
      </c>
      <c r="M1973" t="s">
        <v>15</v>
      </c>
    </row>
    <row r="1974" spans="1:13" x14ac:dyDescent="0.25">
      <c r="A1974">
        <v>1973</v>
      </c>
      <c r="B1974" t="s">
        <v>3959</v>
      </c>
      <c r="C1974" s="1">
        <v>37.2340616137</v>
      </c>
      <c r="D1974" s="1">
        <v>-7.0630453686700001</v>
      </c>
      <c r="E1974" s="3">
        <v>3</v>
      </c>
      <c r="F1974" s="2">
        <v>3</v>
      </c>
      <c r="G1974" s="4">
        <v>3</v>
      </c>
      <c r="H1974" s="13"/>
      <c r="I1974" s="15"/>
      <c r="J1974" s="19">
        <v>3</v>
      </c>
      <c r="K1974" s="2" t="s">
        <v>3960</v>
      </c>
      <c r="L1974" s="11" t="str">
        <f t="shared" si="31"/>
        <v>Ver Imagen</v>
      </c>
      <c r="M1974" t="s">
        <v>15</v>
      </c>
    </row>
    <row r="1975" spans="1:13" x14ac:dyDescent="0.25">
      <c r="A1975">
        <v>1974</v>
      </c>
      <c r="B1975" t="s">
        <v>3961</v>
      </c>
      <c r="C1975" s="1">
        <v>37.234053375000002</v>
      </c>
      <c r="D1975" s="1">
        <v>-7.0633048005600001</v>
      </c>
      <c r="E1975" s="3">
        <v>3</v>
      </c>
      <c r="F1975" s="2">
        <v>3</v>
      </c>
      <c r="G1975" s="4">
        <v>3</v>
      </c>
      <c r="H1975" s="13"/>
      <c r="I1975" s="15"/>
      <c r="J1975" s="19">
        <v>3</v>
      </c>
      <c r="K1975" s="2" t="s">
        <v>3962</v>
      </c>
      <c r="L1975" s="11" t="str">
        <f t="shared" si="31"/>
        <v>Ver Imagen</v>
      </c>
      <c r="M1975" t="s">
        <v>15</v>
      </c>
    </row>
    <row r="1976" spans="1:13" x14ac:dyDescent="0.25">
      <c r="A1976">
        <v>1975</v>
      </c>
      <c r="B1976" t="s">
        <v>3963</v>
      </c>
      <c r="C1976" s="1">
        <v>37.234045641199998</v>
      </c>
      <c r="D1976" s="1">
        <v>-7.0635552318999997</v>
      </c>
      <c r="E1976" s="3">
        <v>3</v>
      </c>
      <c r="F1976" s="2">
        <v>3</v>
      </c>
      <c r="G1976" s="4">
        <v>3</v>
      </c>
      <c r="H1976" s="13"/>
      <c r="I1976" s="15"/>
      <c r="J1976" s="19">
        <v>3</v>
      </c>
      <c r="K1976" s="2" t="s">
        <v>3964</v>
      </c>
      <c r="L1976" s="11" t="str">
        <f t="shared" si="31"/>
        <v>Ver Imagen</v>
      </c>
      <c r="M1976" t="s">
        <v>15</v>
      </c>
    </row>
    <row r="1977" spans="1:13" x14ac:dyDescent="0.25">
      <c r="A1977">
        <v>1976</v>
      </c>
      <c r="B1977" t="s">
        <v>3965</v>
      </c>
      <c r="C1977" s="1">
        <v>37.234029525399997</v>
      </c>
      <c r="D1977" s="1">
        <v>-7.0640533653700004</v>
      </c>
      <c r="E1977" s="3">
        <v>3</v>
      </c>
      <c r="F1977" s="2">
        <v>3</v>
      </c>
      <c r="G1977" s="4">
        <v>3</v>
      </c>
      <c r="H1977" s="13"/>
      <c r="I1977" s="15"/>
      <c r="J1977" s="19">
        <v>3</v>
      </c>
      <c r="K1977" s="2" t="s">
        <v>3966</v>
      </c>
      <c r="L1977" s="11" t="str">
        <f t="shared" si="31"/>
        <v>Ver Imagen</v>
      </c>
      <c r="M1977" t="s">
        <v>15</v>
      </c>
    </row>
    <row r="1978" spans="1:13" x14ac:dyDescent="0.25">
      <c r="A1978">
        <v>1977</v>
      </c>
      <c r="B1978" t="s">
        <v>3967</v>
      </c>
      <c r="C1978" s="1">
        <v>37.234019043099998</v>
      </c>
      <c r="D1978" s="1">
        <v>-7.0643162421000003</v>
      </c>
      <c r="E1978" s="3">
        <v>3</v>
      </c>
      <c r="F1978" s="2">
        <v>3</v>
      </c>
      <c r="G1978" s="4">
        <v>3</v>
      </c>
      <c r="H1978" s="13"/>
      <c r="I1978" s="15"/>
      <c r="J1978" s="19">
        <v>3</v>
      </c>
      <c r="K1978" s="2" t="s">
        <v>3968</v>
      </c>
      <c r="L1978" s="11" t="str">
        <f t="shared" si="31"/>
        <v>Ver Imagen</v>
      </c>
      <c r="M1978" t="s">
        <v>15</v>
      </c>
    </row>
    <row r="1979" spans="1:13" x14ac:dyDescent="0.25">
      <c r="A1979">
        <v>1978</v>
      </c>
      <c r="B1979" t="s">
        <v>3969</v>
      </c>
      <c r="C1979" s="1">
        <v>37.2339871219</v>
      </c>
      <c r="D1979" s="1">
        <v>-7.0648170330999998</v>
      </c>
      <c r="E1979" s="3">
        <v>3</v>
      </c>
      <c r="F1979" s="2">
        <v>3</v>
      </c>
      <c r="G1979" s="4">
        <v>3</v>
      </c>
      <c r="H1979" s="13"/>
      <c r="I1979" s="15"/>
      <c r="J1979" s="19">
        <v>3</v>
      </c>
      <c r="K1979" s="2" t="s">
        <v>3970</v>
      </c>
      <c r="L1979" s="11" t="str">
        <f t="shared" si="31"/>
        <v>Ver Imagen</v>
      </c>
      <c r="M1979" t="s">
        <v>15</v>
      </c>
    </row>
    <row r="1980" spans="1:13" x14ac:dyDescent="0.25">
      <c r="A1980">
        <v>1979</v>
      </c>
      <c r="B1980" t="s">
        <v>3971</v>
      </c>
      <c r="C1980" s="1">
        <v>37.233908310300002</v>
      </c>
      <c r="D1980" s="1">
        <v>-7.0655478998000003</v>
      </c>
      <c r="E1980" s="3">
        <v>3</v>
      </c>
      <c r="F1980" s="2">
        <v>3</v>
      </c>
      <c r="G1980" s="4">
        <v>3</v>
      </c>
      <c r="H1980" s="13"/>
      <c r="I1980" s="15"/>
      <c r="J1980" s="19">
        <v>3</v>
      </c>
      <c r="K1980" s="2" t="s">
        <v>3972</v>
      </c>
      <c r="L1980" s="11" t="str">
        <f t="shared" si="31"/>
        <v>Ver Imagen</v>
      </c>
      <c r="M1980" t="s">
        <v>15</v>
      </c>
    </row>
    <row r="1981" spans="1:13" x14ac:dyDescent="0.25">
      <c r="A1981">
        <v>1980</v>
      </c>
      <c r="B1981" t="s">
        <v>3973</v>
      </c>
      <c r="C1981" s="1">
        <v>37.233722463500001</v>
      </c>
      <c r="D1981" s="1">
        <v>-7.0668830069600004</v>
      </c>
      <c r="E1981" s="3">
        <v>3</v>
      </c>
      <c r="F1981" s="2">
        <v>3</v>
      </c>
      <c r="G1981" s="4">
        <v>3</v>
      </c>
      <c r="H1981" s="13"/>
      <c r="I1981" s="15"/>
      <c r="J1981" s="19">
        <v>3</v>
      </c>
      <c r="K1981" s="2" t="s">
        <v>3974</v>
      </c>
      <c r="L1981" s="11" t="str">
        <f t="shared" si="31"/>
        <v>Ver Imagen</v>
      </c>
      <c r="M1981" t="s">
        <v>15</v>
      </c>
    </row>
    <row r="1982" spans="1:13" x14ac:dyDescent="0.25">
      <c r="A1982">
        <v>1981</v>
      </c>
      <c r="B1982" t="s">
        <v>3975</v>
      </c>
      <c r="C1982" s="1">
        <v>37.233602126900003</v>
      </c>
      <c r="D1982" s="1">
        <v>-7.0674219927799999</v>
      </c>
      <c r="E1982" s="3">
        <v>3</v>
      </c>
      <c r="F1982" s="2">
        <v>3</v>
      </c>
      <c r="G1982" s="4">
        <v>3</v>
      </c>
      <c r="H1982" s="13"/>
      <c r="I1982" s="15"/>
      <c r="J1982" s="19">
        <v>3</v>
      </c>
      <c r="K1982" s="2" t="s">
        <v>3976</v>
      </c>
      <c r="L1982" s="11" t="str">
        <f t="shared" ref="L1982:L2045" si="32">HYPERLINK("3\0\" &amp; K1982, "Ver Imagen")</f>
        <v>Ver Imagen</v>
      </c>
      <c r="M1982" t="s">
        <v>15</v>
      </c>
    </row>
    <row r="1983" spans="1:13" x14ac:dyDescent="0.25">
      <c r="A1983">
        <v>1982</v>
      </c>
      <c r="B1983" t="s">
        <v>3977</v>
      </c>
      <c r="C1983" s="1">
        <v>37.233574233699997</v>
      </c>
      <c r="D1983" s="1">
        <v>-7.0678808849200001</v>
      </c>
      <c r="E1983" s="3">
        <v>3</v>
      </c>
      <c r="F1983" s="2">
        <v>3</v>
      </c>
      <c r="G1983" s="4">
        <v>3</v>
      </c>
      <c r="H1983" s="13"/>
      <c r="I1983" s="15"/>
      <c r="J1983" s="19">
        <v>3</v>
      </c>
      <c r="K1983" s="2" t="s">
        <v>3978</v>
      </c>
      <c r="L1983" s="11" t="str">
        <f t="shared" si="32"/>
        <v>Ver Imagen</v>
      </c>
      <c r="M1983" t="s">
        <v>15</v>
      </c>
    </row>
    <row r="1984" spans="1:13" x14ac:dyDescent="0.25">
      <c r="A1984">
        <v>1983</v>
      </c>
      <c r="B1984" t="s">
        <v>3979</v>
      </c>
      <c r="C1984" s="1">
        <v>37.233766961100002</v>
      </c>
      <c r="D1984" s="1">
        <v>-7.0688447028499999</v>
      </c>
      <c r="E1984" s="3">
        <v>3</v>
      </c>
      <c r="F1984" s="2">
        <v>3</v>
      </c>
      <c r="G1984" s="4">
        <v>3</v>
      </c>
      <c r="H1984" s="13"/>
      <c r="I1984" s="15"/>
      <c r="J1984" s="19">
        <v>3</v>
      </c>
      <c r="K1984" s="2" t="s">
        <v>3980</v>
      </c>
      <c r="L1984" s="11" t="str">
        <f t="shared" si="32"/>
        <v>Ver Imagen</v>
      </c>
      <c r="M1984" t="s">
        <v>15</v>
      </c>
    </row>
    <row r="1985" spans="1:13" x14ac:dyDescent="0.25">
      <c r="A1985">
        <v>1984</v>
      </c>
      <c r="B1985" t="s">
        <v>3981</v>
      </c>
      <c r="C1985" s="1">
        <v>37.234504870999999</v>
      </c>
      <c r="D1985" s="1">
        <v>-7.0714758291799997</v>
      </c>
      <c r="E1985" s="3">
        <v>3</v>
      </c>
      <c r="F1985" s="2">
        <v>3</v>
      </c>
      <c r="G1985" s="4">
        <v>3</v>
      </c>
      <c r="H1985" s="13"/>
      <c r="I1985" s="15"/>
      <c r="J1985" s="19">
        <v>3</v>
      </c>
      <c r="K1985" s="2" t="s">
        <v>3982</v>
      </c>
      <c r="L1985" s="11" t="str">
        <f t="shared" si="32"/>
        <v>Ver Imagen</v>
      </c>
      <c r="M1985" t="s">
        <v>15</v>
      </c>
    </row>
    <row r="1986" spans="1:13" x14ac:dyDescent="0.25">
      <c r="A1986">
        <v>1985</v>
      </c>
      <c r="B1986" t="s">
        <v>3983</v>
      </c>
      <c r="C1986" s="1">
        <v>37.235402503899998</v>
      </c>
      <c r="D1986" s="1">
        <v>-7.0737413254200003</v>
      </c>
      <c r="E1986" s="3">
        <v>3</v>
      </c>
      <c r="F1986" s="2">
        <v>3</v>
      </c>
      <c r="G1986" s="4">
        <v>3</v>
      </c>
      <c r="H1986" s="13"/>
      <c r="I1986" s="15"/>
      <c r="J1986" s="19">
        <v>3</v>
      </c>
      <c r="K1986" s="2" t="s">
        <v>3984</v>
      </c>
      <c r="L1986" s="11" t="str">
        <f t="shared" si="32"/>
        <v>Ver Imagen</v>
      </c>
      <c r="M1986" t="s">
        <v>15</v>
      </c>
    </row>
    <row r="1987" spans="1:13" x14ac:dyDescent="0.25">
      <c r="A1987">
        <v>1986</v>
      </c>
      <c r="B1987" t="s">
        <v>3985</v>
      </c>
      <c r="C1987" s="1">
        <v>37.238075820399999</v>
      </c>
      <c r="D1987" s="1">
        <v>-7.0784746456600001</v>
      </c>
      <c r="E1987" s="3">
        <v>3</v>
      </c>
      <c r="F1987" s="2">
        <v>3</v>
      </c>
      <c r="G1987" s="4">
        <v>3</v>
      </c>
      <c r="H1987" s="13"/>
      <c r="I1987" s="15"/>
      <c r="J1987" s="19">
        <v>3</v>
      </c>
      <c r="K1987" s="2" t="s">
        <v>3986</v>
      </c>
      <c r="L1987" s="11" t="str">
        <f t="shared" si="32"/>
        <v>Ver Imagen</v>
      </c>
      <c r="M1987" t="s">
        <v>15</v>
      </c>
    </row>
    <row r="1988" spans="1:13" x14ac:dyDescent="0.25">
      <c r="A1988">
        <v>1987</v>
      </c>
      <c r="B1988" t="s">
        <v>3987</v>
      </c>
      <c r="C1988" s="1">
        <v>37.238728792499998</v>
      </c>
      <c r="D1988" s="1">
        <v>-7.0794756017199996</v>
      </c>
      <c r="E1988" s="3">
        <v>3</v>
      </c>
      <c r="F1988" s="2">
        <v>3</v>
      </c>
      <c r="G1988" s="4">
        <v>3</v>
      </c>
      <c r="H1988" s="13"/>
      <c r="I1988" s="15"/>
      <c r="J1988" s="19">
        <v>3</v>
      </c>
      <c r="K1988" s="2" t="s">
        <v>3988</v>
      </c>
      <c r="L1988" s="11" t="str">
        <f t="shared" si="32"/>
        <v>Ver Imagen</v>
      </c>
      <c r="M1988" t="s">
        <v>15</v>
      </c>
    </row>
    <row r="1989" spans="1:13" x14ac:dyDescent="0.25">
      <c r="A1989">
        <v>1988</v>
      </c>
      <c r="B1989" t="s">
        <v>3989</v>
      </c>
      <c r="C1989" s="1">
        <v>37.239098804599998</v>
      </c>
      <c r="D1989" s="1">
        <v>-7.0800288133500002</v>
      </c>
      <c r="E1989" s="3">
        <v>3</v>
      </c>
      <c r="F1989" s="2">
        <v>3</v>
      </c>
      <c r="G1989" s="4">
        <v>3</v>
      </c>
      <c r="H1989" s="13"/>
      <c r="I1989" s="15"/>
      <c r="J1989" s="19">
        <v>3</v>
      </c>
      <c r="K1989" s="2" t="s">
        <v>3990</v>
      </c>
      <c r="L1989" s="11" t="str">
        <f t="shared" si="32"/>
        <v>Ver Imagen</v>
      </c>
      <c r="M1989" t="s">
        <v>15</v>
      </c>
    </row>
    <row r="1990" spans="1:13" x14ac:dyDescent="0.25">
      <c r="A1990">
        <v>1989</v>
      </c>
      <c r="B1990" t="s">
        <v>3991</v>
      </c>
      <c r="C1990" s="1">
        <v>37.239242806999997</v>
      </c>
      <c r="D1990" s="1">
        <v>-7.0802481836500002</v>
      </c>
      <c r="E1990" s="3">
        <v>3</v>
      </c>
      <c r="F1990" s="2">
        <v>3</v>
      </c>
      <c r="G1990" s="4">
        <v>3</v>
      </c>
      <c r="H1990" s="13"/>
      <c r="I1990" s="15"/>
      <c r="J1990" s="19">
        <v>3</v>
      </c>
      <c r="K1990" s="2" t="s">
        <v>3992</v>
      </c>
      <c r="L1990" s="11" t="str">
        <f t="shared" si="32"/>
        <v>Ver Imagen</v>
      </c>
      <c r="M1990" t="s">
        <v>15</v>
      </c>
    </row>
    <row r="1991" spans="1:13" x14ac:dyDescent="0.25">
      <c r="A1991">
        <v>1990</v>
      </c>
      <c r="B1991" t="s">
        <v>3993</v>
      </c>
      <c r="C1991" s="1">
        <v>37.2393683325</v>
      </c>
      <c r="D1991" s="1">
        <v>-7.0804411585200002</v>
      </c>
      <c r="E1991" s="3">
        <v>3</v>
      </c>
      <c r="F1991" s="2">
        <v>3</v>
      </c>
      <c r="G1991" s="4">
        <v>3</v>
      </c>
      <c r="H1991" s="13"/>
      <c r="I1991" s="15"/>
      <c r="J1991" s="19">
        <v>3</v>
      </c>
      <c r="K1991" s="2" t="s">
        <v>3994</v>
      </c>
      <c r="L1991" s="11" t="str">
        <f t="shared" si="32"/>
        <v>Ver Imagen</v>
      </c>
      <c r="M1991" t="s">
        <v>15</v>
      </c>
    </row>
    <row r="1992" spans="1:13" x14ac:dyDescent="0.25">
      <c r="A1992">
        <v>1991</v>
      </c>
      <c r="B1992" t="s">
        <v>3995</v>
      </c>
      <c r="C1992" s="1">
        <v>37.242570236100001</v>
      </c>
      <c r="D1992" s="1">
        <v>-7.0862463040600003</v>
      </c>
      <c r="E1992" s="3">
        <v>3</v>
      </c>
      <c r="F1992" s="2">
        <v>3</v>
      </c>
      <c r="G1992" s="4">
        <v>3</v>
      </c>
      <c r="H1992" s="13"/>
      <c r="I1992" s="15"/>
      <c r="J1992" s="19">
        <v>3</v>
      </c>
      <c r="K1992" s="2" t="s">
        <v>3996</v>
      </c>
      <c r="L1992" s="11" t="str">
        <f t="shared" si="32"/>
        <v>Ver Imagen</v>
      </c>
      <c r="M1992" t="s">
        <v>15</v>
      </c>
    </row>
    <row r="1993" spans="1:13" x14ac:dyDescent="0.25">
      <c r="A1993">
        <v>1992</v>
      </c>
      <c r="B1993" t="s">
        <v>3997</v>
      </c>
      <c r="C1993" s="1">
        <v>37.243030636199997</v>
      </c>
      <c r="D1993" s="1">
        <v>-7.0878837572200002</v>
      </c>
      <c r="E1993" s="3">
        <v>3</v>
      </c>
      <c r="F1993" s="2">
        <v>3</v>
      </c>
      <c r="G1993" s="4">
        <v>3</v>
      </c>
      <c r="H1993" s="13"/>
      <c r="I1993" s="15"/>
      <c r="J1993" s="19">
        <v>3</v>
      </c>
      <c r="K1993" s="2" t="s">
        <v>3998</v>
      </c>
      <c r="L1993" s="11" t="str">
        <f t="shared" si="32"/>
        <v>Ver Imagen</v>
      </c>
      <c r="M1993" t="s">
        <v>15</v>
      </c>
    </row>
    <row r="1994" spans="1:13" x14ac:dyDescent="0.25">
      <c r="A1994">
        <v>1993</v>
      </c>
      <c r="B1994" t="s">
        <v>3999</v>
      </c>
      <c r="C1994" s="1">
        <v>37.243115351199997</v>
      </c>
      <c r="D1994" s="1">
        <v>-7.0881177097799997</v>
      </c>
      <c r="E1994" s="3">
        <v>3</v>
      </c>
      <c r="F1994" s="2">
        <v>3</v>
      </c>
      <c r="G1994" s="4">
        <v>3</v>
      </c>
      <c r="H1994" s="13"/>
      <c r="I1994" s="15"/>
      <c r="J1994" s="19">
        <v>3</v>
      </c>
      <c r="K1994" s="2" t="s">
        <v>4000</v>
      </c>
      <c r="L1994" s="11" t="str">
        <f t="shared" si="32"/>
        <v>Ver Imagen</v>
      </c>
      <c r="M1994" t="s">
        <v>15</v>
      </c>
    </row>
    <row r="1995" spans="1:13" x14ac:dyDescent="0.25">
      <c r="A1995">
        <v>1994</v>
      </c>
      <c r="B1995" t="s">
        <v>4001</v>
      </c>
      <c r="C1995" s="1">
        <v>37.243218845800001</v>
      </c>
      <c r="D1995" s="1">
        <v>-7.0883738996199996</v>
      </c>
      <c r="E1995" s="3">
        <v>3</v>
      </c>
      <c r="F1995" s="2">
        <v>3</v>
      </c>
      <c r="G1995" s="4">
        <v>3</v>
      </c>
      <c r="H1995" s="13"/>
      <c r="I1995" s="15"/>
      <c r="J1995" s="19">
        <v>3</v>
      </c>
      <c r="K1995" s="2" t="s">
        <v>4002</v>
      </c>
      <c r="L1995" s="11" t="str">
        <f t="shared" si="32"/>
        <v>Ver Imagen</v>
      </c>
      <c r="M1995" t="s">
        <v>15</v>
      </c>
    </row>
    <row r="1996" spans="1:13" x14ac:dyDescent="0.25">
      <c r="A1996">
        <v>1995</v>
      </c>
      <c r="B1996" t="s">
        <v>4003</v>
      </c>
      <c r="C1996" s="1">
        <v>37.2435117996</v>
      </c>
      <c r="D1996" s="1">
        <v>-7.0889983275999997</v>
      </c>
      <c r="E1996" s="3">
        <v>3</v>
      </c>
      <c r="F1996" s="2">
        <v>3</v>
      </c>
      <c r="G1996" s="4">
        <v>3</v>
      </c>
      <c r="H1996" s="13"/>
      <c r="I1996" s="15"/>
      <c r="J1996" s="19">
        <v>3</v>
      </c>
      <c r="K1996" s="2" t="s">
        <v>4004</v>
      </c>
      <c r="L1996" s="11" t="str">
        <f t="shared" si="32"/>
        <v>Ver Imagen</v>
      </c>
      <c r="M1996" t="s">
        <v>15</v>
      </c>
    </row>
    <row r="1997" spans="1:13" x14ac:dyDescent="0.25">
      <c r="A1997">
        <v>1996</v>
      </c>
      <c r="B1997" t="s">
        <v>4005</v>
      </c>
      <c r="C1997" s="1">
        <v>37.2437262045</v>
      </c>
      <c r="D1997" s="1">
        <v>-7.0894227484799996</v>
      </c>
      <c r="E1997" s="3">
        <v>3</v>
      </c>
      <c r="F1997" s="2">
        <v>3</v>
      </c>
      <c r="G1997" s="4">
        <v>3</v>
      </c>
      <c r="H1997" s="13"/>
      <c r="I1997" s="15"/>
      <c r="J1997" s="19">
        <v>3</v>
      </c>
      <c r="K1997" s="2" t="s">
        <v>4006</v>
      </c>
      <c r="L1997" s="11" t="str">
        <f t="shared" si="32"/>
        <v>Ver Imagen</v>
      </c>
      <c r="M1997" t="s">
        <v>15</v>
      </c>
    </row>
    <row r="1998" spans="1:13" x14ac:dyDescent="0.25">
      <c r="A1998">
        <v>1997</v>
      </c>
      <c r="B1998" t="s">
        <v>4007</v>
      </c>
      <c r="C1998" s="1">
        <v>37.245103442999998</v>
      </c>
      <c r="D1998" s="1">
        <v>-7.0922347800100001</v>
      </c>
      <c r="E1998" s="3">
        <v>3</v>
      </c>
      <c r="F1998" s="2">
        <v>3</v>
      </c>
      <c r="G1998" s="4">
        <v>3</v>
      </c>
      <c r="H1998" s="13"/>
      <c r="I1998" s="15"/>
      <c r="J1998" s="19">
        <v>3</v>
      </c>
      <c r="K1998" s="2" t="s">
        <v>4008</v>
      </c>
      <c r="L1998" s="11" t="str">
        <f t="shared" si="32"/>
        <v>Ver Imagen</v>
      </c>
      <c r="M1998" t="s">
        <v>15</v>
      </c>
    </row>
    <row r="1999" spans="1:13" x14ac:dyDescent="0.25">
      <c r="A1999">
        <v>1998</v>
      </c>
      <c r="B1999" t="s">
        <v>4009</v>
      </c>
      <c r="C1999" s="1">
        <v>37.2453028766</v>
      </c>
      <c r="D1999" s="1">
        <v>-7.0929360377900004</v>
      </c>
      <c r="E1999" s="3">
        <v>3</v>
      </c>
      <c r="F1999" s="2">
        <v>3</v>
      </c>
      <c r="G1999" s="4">
        <v>3</v>
      </c>
      <c r="H1999" s="13"/>
      <c r="I1999" s="15"/>
      <c r="J1999" s="19">
        <v>3</v>
      </c>
      <c r="K1999" s="2" t="s">
        <v>4010</v>
      </c>
      <c r="L1999" s="11" t="str">
        <f t="shared" si="32"/>
        <v>Ver Imagen</v>
      </c>
      <c r="M1999" t="s">
        <v>15</v>
      </c>
    </row>
    <row r="2000" spans="1:13" x14ac:dyDescent="0.25">
      <c r="A2000">
        <v>1999</v>
      </c>
      <c r="B2000" t="s">
        <v>4011</v>
      </c>
      <c r="C2000" s="1">
        <v>37.245567666100001</v>
      </c>
      <c r="D2000" s="1">
        <v>-7.0957356897499997</v>
      </c>
      <c r="E2000" s="3">
        <v>3</v>
      </c>
      <c r="F2000" s="2">
        <v>3</v>
      </c>
      <c r="G2000" s="4">
        <v>3</v>
      </c>
      <c r="H2000" s="13"/>
      <c r="I2000" s="15"/>
      <c r="J2000" s="19">
        <v>3</v>
      </c>
      <c r="K2000" s="2" t="s">
        <v>4012</v>
      </c>
      <c r="L2000" s="11" t="str">
        <f t="shared" si="32"/>
        <v>Ver Imagen</v>
      </c>
      <c r="M2000" t="s">
        <v>15</v>
      </c>
    </row>
    <row r="2001" spans="1:13" x14ac:dyDescent="0.25">
      <c r="A2001">
        <v>2000</v>
      </c>
      <c r="B2001" t="s">
        <v>4013</v>
      </c>
      <c r="C2001" s="1">
        <v>37.245586709800001</v>
      </c>
      <c r="D2001" s="1">
        <v>-7.09599498542</v>
      </c>
      <c r="E2001" s="3">
        <v>3</v>
      </c>
      <c r="F2001" s="2">
        <v>3</v>
      </c>
      <c r="G2001" s="4">
        <v>3</v>
      </c>
      <c r="H2001" s="13"/>
      <c r="I2001" s="15"/>
      <c r="J2001" s="19">
        <v>3</v>
      </c>
      <c r="K2001" s="2" t="s">
        <v>4014</v>
      </c>
      <c r="L2001" s="11" t="str">
        <f t="shared" si="32"/>
        <v>Ver Imagen</v>
      </c>
      <c r="M2001" t="s">
        <v>15</v>
      </c>
    </row>
    <row r="2002" spans="1:13" x14ac:dyDescent="0.25">
      <c r="A2002">
        <v>2001</v>
      </c>
      <c r="B2002" t="s">
        <v>4015</v>
      </c>
      <c r="C2002" s="1">
        <v>37.245649157999999</v>
      </c>
      <c r="D2002" s="1">
        <v>-7.0967415411400001</v>
      </c>
      <c r="E2002" s="3">
        <v>3</v>
      </c>
      <c r="F2002" s="2">
        <v>3</v>
      </c>
      <c r="G2002" s="4">
        <v>3</v>
      </c>
      <c r="H2002" s="13"/>
      <c r="I2002" s="15"/>
      <c r="J2002" s="19">
        <v>3</v>
      </c>
      <c r="K2002" s="2" t="s">
        <v>4016</v>
      </c>
      <c r="L2002" s="11" t="str">
        <f t="shared" si="32"/>
        <v>Ver Imagen</v>
      </c>
      <c r="M2002" t="s">
        <v>15</v>
      </c>
    </row>
    <row r="2003" spans="1:13" x14ac:dyDescent="0.25">
      <c r="A2003">
        <v>2002</v>
      </c>
      <c r="B2003" t="s">
        <v>4017</v>
      </c>
      <c r="C2003" s="1">
        <v>37.245678083199998</v>
      </c>
      <c r="D2003" s="1">
        <v>-7.0969960725699996</v>
      </c>
      <c r="E2003" s="3">
        <v>3</v>
      </c>
      <c r="F2003" s="2">
        <v>3</v>
      </c>
      <c r="G2003" s="4">
        <v>3</v>
      </c>
      <c r="H2003" s="13"/>
      <c r="I2003" s="15"/>
      <c r="J2003" s="19">
        <v>3</v>
      </c>
      <c r="K2003" s="2" t="s">
        <v>4018</v>
      </c>
      <c r="L2003" s="11" t="str">
        <f t="shared" si="32"/>
        <v>Ver Imagen</v>
      </c>
      <c r="M2003" t="s">
        <v>15</v>
      </c>
    </row>
    <row r="2004" spans="1:13" x14ac:dyDescent="0.25">
      <c r="A2004">
        <v>2003</v>
      </c>
      <c r="B2004" t="s">
        <v>4019</v>
      </c>
      <c r="C2004" s="1">
        <v>37.245753376499998</v>
      </c>
      <c r="D2004" s="1">
        <v>-7.0974832353400004</v>
      </c>
      <c r="E2004" s="3">
        <v>3</v>
      </c>
      <c r="F2004" s="2">
        <v>3</v>
      </c>
      <c r="G2004" s="4">
        <v>3</v>
      </c>
      <c r="H2004" s="13"/>
      <c r="I2004" s="15"/>
      <c r="J2004" s="19">
        <v>3</v>
      </c>
      <c r="K2004" s="2" t="s">
        <v>4020</v>
      </c>
      <c r="L2004" s="11" t="str">
        <f t="shared" si="32"/>
        <v>Ver Imagen</v>
      </c>
      <c r="M2004" t="s">
        <v>15</v>
      </c>
    </row>
    <row r="2005" spans="1:13" x14ac:dyDescent="0.25">
      <c r="A2005">
        <v>2004</v>
      </c>
      <c r="B2005" t="s">
        <v>4021</v>
      </c>
      <c r="C2005" s="1">
        <v>37.247562739499998</v>
      </c>
      <c r="D2005" s="1">
        <v>-7.1007951898300004</v>
      </c>
      <c r="E2005" s="3">
        <v>3</v>
      </c>
      <c r="F2005" s="2">
        <v>3</v>
      </c>
      <c r="G2005" s="4">
        <v>3</v>
      </c>
      <c r="H2005" s="13"/>
      <c r="I2005" s="15"/>
      <c r="J2005" s="19">
        <v>3</v>
      </c>
      <c r="K2005" s="2" t="s">
        <v>4022</v>
      </c>
      <c r="L2005" s="11" t="str">
        <f t="shared" si="32"/>
        <v>Ver Imagen</v>
      </c>
      <c r="M2005" t="s">
        <v>15</v>
      </c>
    </row>
    <row r="2006" spans="1:13" x14ac:dyDescent="0.25">
      <c r="A2006">
        <v>2005</v>
      </c>
      <c r="B2006" t="s">
        <v>4023</v>
      </c>
      <c r="C2006" s="1">
        <v>37.2482443727</v>
      </c>
      <c r="D2006" s="1">
        <v>-7.1017225230600003</v>
      </c>
      <c r="E2006" s="3">
        <v>3</v>
      </c>
      <c r="F2006" s="2">
        <v>3</v>
      </c>
      <c r="G2006" s="4">
        <v>3</v>
      </c>
      <c r="H2006" s="13"/>
      <c r="I2006" s="15"/>
      <c r="J2006" s="19">
        <v>3</v>
      </c>
      <c r="K2006" s="2" t="s">
        <v>4024</v>
      </c>
      <c r="L2006" s="11" t="str">
        <f t="shared" si="32"/>
        <v>Ver Imagen</v>
      </c>
      <c r="M2006" t="s">
        <v>15</v>
      </c>
    </row>
    <row r="2007" spans="1:13" x14ac:dyDescent="0.25">
      <c r="A2007">
        <v>2006</v>
      </c>
      <c r="B2007" t="s">
        <v>4025</v>
      </c>
      <c r="C2007" s="1">
        <v>37.249133442000002</v>
      </c>
      <c r="D2007" s="1">
        <v>-7.1023310028399997</v>
      </c>
      <c r="E2007" s="3">
        <v>3</v>
      </c>
      <c r="F2007" s="2">
        <v>3</v>
      </c>
      <c r="G2007" s="4">
        <v>3</v>
      </c>
      <c r="H2007" s="13"/>
      <c r="I2007" s="15"/>
      <c r="J2007" s="19">
        <v>3</v>
      </c>
      <c r="K2007" s="2" t="s">
        <v>4026</v>
      </c>
      <c r="L2007" s="11" t="str">
        <f t="shared" si="32"/>
        <v>Ver Imagen</v>
      </c>
      <c r="M2007" t="s">
        <v>15</v>
      </c>
    </row>
    <row r="2008" spans="1:13" x14ac:dyDescent="0.25">
      <c r="A2008">
        <v>2007</v>
      </c>
      <c r="B2008" t="s">
        <v>4027</v>
      </c>
      <c r="C2008" s="1">
        <v>37.250033812700003</v>
      </c>
      <c r="D2008" s="1">
        <v>-7.1028524949599996</v>
      </c>
      <c r="E2008" s="3">
        <v>3</v>
      </c>
      <c r="F2008" s="2">
        <v>3</v>
      </c>
      <c r="G2008" s="4">
        <v>3</v>
      </c>
      <c r="H2008" s="13"/>
      <c r="I2008" s="15"/>
      <c r="J2008" s="19">
        <v>3</v>
      </c>
      <c r="K2008" s="2" t="s">
        <v>4028</v>
      </c>
      <c r="L2008" s="11" t="str">
        <f t="shared" si="32"/>
        <v>Ver Imagen</v>
      </c>
      <c r="M2008" t="s">
        <v>15</v>
      </c>
    </row>
    <row r="2009" spans="1:13" x14ac:dyDescent="0.25">
      <c r="A2009">
        <v>2008</v>
      </c>
      <c r="B2009" t="s">
        <v>4029</v>
      </c>
      <c r="C2009" s="1">
        <v>37.254819253400001</v>
      </c>
      <c r="D2009" s="1">
        <v>-7.10865884658</v>
      </c>
      <c r="E2009" s="3">
        <v>3</v>
      </c>
      <c r="F2009" s="2">
        <v>3</v>
      </c>
      <c r="G2009" s="4">
        <v>3</v>
      </c>
      <c r="H2009" s="13"/>
      <c r="I2009" s="15"/>
      <c r="J2009" s="19">
        <v>3</v>
      </c>
      <c r="K2009" s="2" t="s">
        <v>4030</v>
      </c>
      <c r="L2009" s="11" t="str">
        <f t="shared" si="32"/>
        <v>Ver Imagen</v>
      </c>
      <c r="M2009" t="s">
        <v>15</v>
      </c>
    </row>
    <row r="2010" spans="1:13" x14ac:dyDescent="0.25">
      <c r="A2010">
        <v>2009</v>
      </c>
      <c r="B2010" t="s">
        <v>4031</v>
      </c>
      <c r="C2010" s="1">
        <v>37.255313086400001</v>
      </c>
      <c r="D2010" s="1">
        <v>-7.1101730571499999</v>
      </c>
      <c r="E2010" s="3">
        <v>3</v>
      </c>
      <c r="F2010" s="2">
        <v>3</v>
      </c>
      <c r="G2010" s="4">
        <v>3</v>
      </c>
      <c r="H2010" s="13"/>
      <c r="I2010" s="15"/>
      <c r="J2010" s="19">
        <v>3</v>
      </c>
      <c r="K2010" s="2" t="s">
        <v>4032</v>
      </c>
      <c r="L2010" s="11" t="str">
        <f t="shared" si="32"/>
        <v>Ver Imagen</v>
      </c>
      <c r="M2010" t="s">
        <v>15</v>
      </c>
    </row>
    <row r="2011" spans="1:13" x14ac:dyDescent="0.25">
      <c r="A2011">
        <v>2010</v>
      </c>
      <c r="B2011" t="s">
        <v>4033</v>
      </c>
      <c r="C2011" s="1">
        <v>37.255276594100003</v>
      </c>
      <c r="D2011" s="1">
        <v>-7.1119392470999996</v>
      </c>
      <c r="E2011" s="3">
        <v>3</v>
      </c>
      <c r="F2011" s="2">
        <v>3</v>
      </c>
      <c r="G2011" s="4">
        <v>3</v>
      </c>
      <c r="H2011" s="13"/>
      <c r="I2011" s="15"/>
      <c r="J2011" s="19">
        <v>3</v>
      </c>
      <c r="K2011" s="2" t="s">
        <v>4034</v>
      </c>
      <c r="L2011" s="11" t="str">
        <f t="shared" si="32"/>
        <v>Ver Imagen</v>
      </c>
      <c r="M2011" t="s">
        <v>15</v>
      </c>
    </row>
    <row r="2012" spans="1:13" x14ac:dyDescent="0.25">
      <c r="A2012">
        <v>2011</v>
      </c>
      <c r="B2012" t="s">
        <v>4035</v>
      </c>
      <c r="C2012" s="1">
        <v>37.255123707800003</v>
      </c>
      <c r="D2012" s="1">
        <v>-7.1126366360500004</v>
      </c>
      <c r="E2012" s="3">
        <v>3</v>
      </c>
      <c r="F2012" s="2">
        <v>3</v>
      </c>
      <c r="G2012" s="4">
        <v>3</v>
      </c>
      <c r="H2012" s="13"/>
      <c r="I2012" s="15"/>
      <c r="J2012" s="19">
        <v>3</v>
      </c>
      <c r="K2012" s="2" t="s">
        <v>4036</v>
      </c>
      <c r="L2012" s="11" t="str">
        <f t="shared" si="32"/>
        <v>Ver Imagen</v>
      </c>
      <c r="M2012" t="s">
        <v>15</v>
      </c>
    </row>
    <row r="2013" spans="1:13" x14ac:dyDescent="0.25">
      <c r="A2013">
        <v>2012</v>
      </c>
      <c r="B2013" t="s">
        <v>4037</v>
      </c>
      <c r="C2013" s="1">
        <v>37.254938344000003</v>
      </c>
      <c r="D2013" s="1">
        <v>-7.1133811218299998</v>
      </c>
      <c r="E2013" s="3">
        <v>3</v>
      </c>
      <c r="F2013" s="2">
        <v>3</v>
      </c>
      <c r="G2013" s="4">
        <v>3</v>
      </c>
      <c r="H2013" s="13"/>
      <c r="I2013" s="15"/>
      <c r="J2013" s="19">
        <v>3</v>
      </c>
      <c r="K2013" s="2" t="s">
        <v>4038</v>
      </c>
      <c r="L2013" s="11" t="str">
        <f t="shared" si="32"/>
        <v>Ver Imagen</v>
      </c>
      <c r="M2013" t="s">
        <v>15</v>
      </c>
    </row>
    <row r="2014" spans="1:13" x14ac:dyDescent="0.25">
      <c r="A2014">
        <v>2013</v>
      </c>
      <c r="B2014" t="s">
        <v>4039</v>
      </c>
      <c r="C2014" s="1">
        <v>37.254698419299999</v>
      </c>
      <c r="D2014" s="1">
        <v>-7.1143683968699998</v>
      </c>
      <c r="E2014" s="3">
        <v>3</v>
      </c>
      <c r="F2014" s="2">
        <v>3</v>
      </c>
      <c r="G2014" s="4">
        <v>3</v>
      </c>
      <c r="H2014" s="13"/>
      <c r="I2014" s="15"/>
      <c r="J2014" s="19">
        <v>3</v>
      </c>
      <c r="K2014" s="2" t="s">
        <v>4040</v>
      </c>
      <c r="L2014" s="11" t="str">
        <f t="shared" si="32"/>
        <v>Ver Imagen</v>
      </c>
      <c r="M2014" t="s">
        <v>15</v>
      </c>
    </row>
    <row r="2015" spans="1:13" x14ac:dyDescent="0.25">
      <c r="A2015">
        <v>2014</v>
      </c>
      <c r="B2015" t="s">
        <v>4041</v>
      </c>
      <c r="C2015" s="1">
        <v>37.2546221626</v>
      </c>
      <c r="D2015" s="1">
        <v>-7.1160974057199997</v>
      </c>
      <c r="E2015" s="3">
        <v>3</v>
      </c>
      <c r="F2015" s="2">
        <v>3</v>
      </c>
      <c r="G2015" s="4">
        <v>3</v>
      </c>
      <c r="H2015" s="13"/>
      <c r="I2015" s="15"/>
      <c r="J2015" s="19">
        <v>3</v>
      </c>
      <c r="K2015" s="2" t="s">
        <v>4042</v>
      </c>
      <c r="L2015" s="11" t="str">
        <f t="shared" si="32"/>
        <v>Ver Imagen</v>
      </c>
      <c r="M2015" t="s">
        <v>15</v>
      </c>
    </row>
    <row r="2016" spans="1:13" x14ac:dyDescent="0.25">
      <c r="A2016">
        <v>2015</v>
      </c>
      <c r="B2016" t="s">
        <v>4043</v>
      </c>
      <c r="C2016" s="1">
        <v>37.2546666239</v>
      </c>
      <c r="D2016" s="1">
        <v>-7.1163259299100003</v>
      </c>
      <c r="E2016" s="3">
        <v>3</v>
      </c>
      <c r="F2016" s="2">
        <v>3</v>
      </c>
      <c r="G2016" s="4">
        <v>3</v>
      </c>
      <c r="H2016" s="13"/>
      <c r="I2016" s="15"/>
      <c r="J2016" s="19">
        <v>3</v>
      </c>
      <c r="K2016" s="2" t="s">
        <v>4044</v>
      </c>
      <c r="L2016" s="11" t="str">
        <f t="shared" si="32"/>
        <v>Ver Imagen</v>
      </c>
      <c r="M2016" t="s">
        <v>15</v>
      </c>
    </row>
    <row r="2017" spans="1:13" x14ac:dyDescent="0.25">
      <c r="A2017">
        <v>2016</v>
      </c>
      <c r="B2017" t="s">
        <v>4045</v>
      </c>
      <c r="C2017" s="1">
        <v>37.258481018399998</v>
      </c>
      <c r="D2017" s="1">
        <v>-7.1205362335600002</v>
      </c>
      <c r="E2017" s="3">
        <v>3</v>
      </c>
      <c r="F2017" s="2">
        <v>3</v>
      </c>
      <c r="G2017" s="4">
        <v>3</v>
      </c>
      <c r="H2017" s="13"/>
      <c r="I2017" s="15"/>
      <c r="J2017" s="19">
        <v>3</v>
      </c>
      <c r="K2017" s="2" t="s">
        <v>4046</v>
      </c>
      <c r="L2017" s="11" t="str">
        <f t="shared" si="32"/>
        <v>Ver Imagen</v>
      </c>
      <c r="M2017" t="s">
        <v>15</v>
      </c>
    </row>
    <row r="2018" spans="1:13" x14ac:dyDescent="0.25">
      <c r="A2018">
        <v>2017</v>
      </c>
      <c r="B2018" t="s">
        <v>4047</v>
      </c>
      <c r="C2018" s="1">
        <v>37.258833979199999</v>
      </c>
      <c r="D2018" s="1">
        <v>-7.1227858199399998</v>
      </c>
      <c r="E2018" s="3">
        <v>3</v>
      </c>
      <c r="F2018" s="2">
        <v>3</v>
      </c>
      <c r="G2018" s="4">
        <v>3</v>
      </c>
      <c r="H2018" s="13"/>
      <c r="I2018" s="15"/>
      <c r="J2018" s="19">
        <v>3</v>
      </c>
      <c r="K2018" s="2" t="s">
        <v>4048</v>
      </c>
      <c r="L2018" s="11" t="str">
        <f t="shared" si="32"/>
        <v>Ver Imagen</v>
      </c>
      <c r="M2018" t="s">
        <v>15</v>
      </c>
    </row>
    <row r="2019" spans="1:13" x14ac:dyDescent="0.25">
      <c r="A2019">
        <v>2018</v>
      </c>
      <c r="B2019" t="s">
        <v>4049</v>
      </c>
      <c r="C2019" s="1">
        <v>37.258877519800002</v>
      </c>
      <c r="D2019" s="1">
        <v>-7.1233166486400004</v>
      </c>
      <c r="E2019" s="3">
        <v>3</v>
      </c>
      <c r="F2019" s="2">
        <v>3</v>
      </c>
      <c r="G2019" s="4">
        <v>3</v>
      </c>
      <c r="H2019" s="13"/>
      <c r="I2019" s="15"/>
      <c r="J2019" s="19">
        <v>3</v>
      </c>
      <c r="K2019" s="2" t="s">
        <v>4050</v>
      </c>
      <c r="L2019" s="11" t="str">
        <f t="shared" si="32"/>
        <v>Ver Imagen</v>
      </c>
      <c r="M2019" t="s">
        <v>15</v>
      </c>
    </row>
    <row r="2020" spans="1:13" x14ac:dyDescent="0.25">
      <c r="A2020">
        <v>2019</v>
      </c>
      <c r="B2020" t="s">
        <v>4051</v>
      </c>
      <c r="C2020" s="1">
        <v>37.2591451256</v>
      </c>
      <c r="D2020" s="1">
        <v>-7.1252886536300002</v>
      </c>
      <c r="E2020" s="3">
        <v>3</v>
      </c>
      <c r="F2020" s="2">
        <v>3</v>
      </c>
      <c r="G2020" s="4">
        <v>3</v>
      </c>
      <c r="H2020" s="13"/>
      <c r="I2020" s="15"/>
      <c r="J2020" s="19">
        <v>3</v>
      </c>
      <c r="K2020" s="2" t="s">
        <v>4052</v>
      </c>
      <c r="L2020" s="11" t="str">
        <f t="shared" si="32"/>
        <v>Ver Imagen</v>
      </c>
      <c r="M2020" t="s">
        <v>15</v>
      </c>
    </row>
    <row r="2021" spans="1:13" x14ac:dyDescent="0.25">
      <c r="A2021">
        <v>2020</v>
      </c>
      <c r="B2021" t="s">
        <v>4053</v>
      </c>
      <c r="C2021" s="1">
        <v>37.444003557800002</v>
      </c>
      <c r="D2021" s="1">
        <v>-7.0984422947899999</v>
      </c>
      <c r="E2021" s="3">
        <v>3</v>
      </c>
      <c r="F2021" s="2">
        <v>3</v>
      </c>
      <c r="G2021" s="4">
        <v>3</v>
      </c>
      <c r="H2021" s="13"/>
      <c r="I2021" s="15"/>
      <c r="J2021" s="19">
        <v>3</v>
      </c>
      <c r="K2021" s="2" t="s">
        <v>4054</v>
      </c>
      <c r="L2021" s="11" t="str">
        <f t="shared" si="32"/>
        <v>Ver Imagen</v>
      </c>
      <c r="M2021" t="s">
        <v>15</v>
      </c>
    </row>
    <row r="2022" spans="1:13" x14ac:dyDescent="0.25">
      <c r="A2022">
        <v>2021</v>
      </c>
      <c r="B2022" t="s">
        <v>4055</v>
      </c>
      <c r="C2022" s="1">
        <v>37.443994017500003</v>
      </c>
      <c r="D2022" s="1">
        <v>-7.0982272429600002</v>
      </c>
      <c r="E2022" s="3">
        <v>3</v>
      </c>
      <c r="F2022" s="2">
        <v>3</v>
      </c>
      <c r="G2022" s="4">
        <v>3</v>
      </c>
      <c r="H2022" s="13"/>
      <c r="I2022" s="15"/>
      <c r="J2022" s="19">
        <v>3</v>
      </c>
      <c r="K2022" s="2" t="s">
        <v>4056</v>
      </c>
      <c r="L2022" s="11" t="str">
        <f t="shared" si="32"/>
        <v>Ver Imagen</v>
      </c>
      <c r="M2022" t="s">
        <v>15</v>
      </c>
    </row>
    <row r="2023" spans="1:13" x14ac:dyDescent="0.25">
      <c r="A2023">
        <v>2022</v>
      </c>
      <c r="B2023" t="s">
        <v>4057</v>
      </c>
      <c r="C2023" s="1">
        <v>37.484434284599999</v>
      </c>
      <c r="D2023" s="1">
        <v>-7.13029926944</v>
      </c>
      <c r="E2023" s="3">
        <v>3</v>
      </c>
      <c r="F2023" s="2">
        <v>3</v>
      </c>
      <c r="G2023" s="4">
        <v>3</v>
      </c>
      <c r="H2023" s="13"/>
      <c r="I2023" s="15"/>
      <c r="J2023" s="19">
        <v>3</v>
      </c>
      <c r="K2023" s="2" t="s">
        <v>4058</v>
      </c>
      <c r="L2023" s="11" t="str">
        <f t="shared" si="32"/>
        <v>Ver Imagen</v>
      </c>
      <c r="M2023" t="s">
        <v>15</v>
      </c>
    </row>
    <row r="2024" spans="1:13" x14ac:dyDescent="0.25">
      <c r="A2024">
        <v>2023</v>
      </c>
      <c r="B2024" t="s">
        <v>4059</v>
      </c>
      <c r="C2024" s="1">
        <v>37.481905030299998</v>
      </c>
      <c r="D2024" s="1">
        <v>-7.1281936607900001</v>
      </c>
      <c r="E2024" s="3">
        <v>3</v>
      </c>
      <c r="F2024" s="2">
        <v>3</v>
      </c>
      <c r="G2024" s="4">
        <v>3</v>
      </c>
      <c r="H2024" s="13"/>
      <c r="I2024" s="15"/>
      <c r="J2024" s="19">
        <v>3</v>
      </c>
      <c r="K2024" s="2" t="s">
        <v>4060</v>
      </c>
      <c r="L2024" s="11" t="str">
        <f t="shared" si="32"/>
        <v>Ver Imagen</v>
      </c>
      <c r="M2024" t="s">
        <v>15</v>
      </c>
    </row>
    <row r="2025" spans="1:13" x14ac:dyDescent="0.25">
      <c r="A2025">
        <v>2024</v>
      </c>
      <c r="B2025" t="s">
        <v>4061</v>
      </c>
      <c r="C2025" s="1">
        <v>37.479947840500003</v>
      </c>
      <c r="D2025" s="1">
        <v>-7.1278928689300001</v>
      </c>
      <c r="E2025" s="3">
        <v>3</v>
      </c>
      <c r="F2025" s="2">
        <v>3</v>
      </c>
      <c r="G2025" s="4">
        <v>3</v>
      </c>
      <c r="H2025" s="13"/>
      <c r="I2025" s="15"/>
      <c r="J2025" s="19">
        <v>3</v>
      </c>
      <c r="K2025" s="2" t="s">
        <v>4062</v>
      </c>
      <c r="L2025" s="11" t="str">
        <f t="shared" si="32"/>
        <v>Ver Imagen</v>
      </c>
      <c r="M2025" t="s">
        <v>15</v>
      </c>
    </row>
    <row r="2026" spans="1:13" x14ac:dyDescent="0.25">
      <c r="A2026">
        <v>2025</v>
      </c>
      <c r="B2026" t="s">
        <v>4063</v>
      </c>
      <c r="C2026" s="1">
        <v>37.474574664400002</v>
      </c>
      <c r="D2026" s="1">
        <v>-7.1260974740599998</v>
      </c>
      <c r="E2026" s="3">
        <v>3</v>
      </c>
      <c r="F2026" s="2">
        <v>3</v>
      </c>
      <c r="G2026" s="4">
        <v>3</v>
      </c>
      <c r="H2026" s="13"/>
      <c r="I2026" s="15"/>
      <c r="J2026" s="19">
        <v>3</v>
      </c>
      <c r="K2026" s="2" t="s">
        <v>4064</v>
      </c>
      <c r="L2026" s="11" t="str">
        <f t="shared" si="32"/>
        <v>Ver Imagen</v>
      </c>
      <c r="M2026" t="s">
        <v>15</v>
      </c>
    </row>
    <row r="2027" spans="1:13" x14ac:dyDescent="0.25">
      <c r="A2027">
        <v>2026</v>
      </c>
      <c r="B2027" t="s">
        <v>4065</v>
      </c>
      <c r="C2027" s="1">
        <v>37.469547194199997</v>
      </c>
      <c r="D2027" s="1">
        <v>-7.1243166669100004</v>
      </c>
      <c r="E2027" s="3">
        <v>3</v>
      </c>
      <c r="F2027" s="2">
        <v>3</v>
      </c>
      <c r="G2027" s="4">
        <v>3</v>
      </c>
      <c r="H2027" s="13"/>
      <c r="I2027" s="15"/>
      <c r="J2027" s="19">
        <v>3</v>
      </c>
      <c r="K2027" s="2" t="s">
        <v>4066</v>
      </c>
      <c r="L2027" s="11" t="str">
        <f t="shared" si="32"/>
        <v>Ver Imagen</v>
      </c>
      <c r="M2027" t="s">
        <v>15</v>
      </c>
    </row>
    <row r="2028" spans="1:13" x14ac:dyDescent="0.25">
      <c r="A2028">
        <v>2027</v>
      </c>
      <c r="B2028" t="s">
        <v>4067</v>
      </c>
      <c r="C2028" s="1">
        <v>37.467378847299997</v>
      </c>
      <c r="D2028" s="1">
        <v>-7.12294610956</v>
      </c>
      <c r="E2028" s="3">
        <v>3</v>
      </c>
      <c r="F2028" s="2">
        <v>3</v>
      </c>
      <c r="G2028" s="4">
        <v>3</v>
      </c>
      <c r="H2028" s="13"/>
      <c r="I2028" s="15"/>
      <c r="J2028" s="19">
        <v>3</v>
      </c>
      <c r="K2028" s="2" t="s">
        <v>4068</v>
      </c>
      <c r="L2028" s="11" t="str">
        <f t="shared" si="32"/>
        <v>Ver Imagen</v>
      </c>
      <c r="M2028" t="s">
        <v>15</v>
      </c>
    </row>
    <row r="2029" spans="1:13" x14ac:dyDescent="0.25">
      <c r="A2029">
        <v>2028</v>
      </c>
      <c r="B2029" t="s">
        <v>4069</v>
      </c>
      <c r="C2029" s="1">
        <v>37.451168199900003</v>
      </c>
      <c r="D2029" s="1">
        <v>-7.1274400098799999</v>
      </c>
      <c r="E2029" s="3">
        <v>3</v>
      </c>
      <c r="F2029" s="2">
        <v>3</v>
      </c>
      <c r="G2029" s="4">
        <v>3</v>
      </c>
      <c r="H2029" s="13"/>
      <c r="I2029" s="15"/>
      <c r="J2029" s="19">
        <v>3</v>
      </c>
      <c r="K2029" s="2" t="s">
        <v>4070</v>
      </c>
      <c r="L2029" s="11" t="str">
        <f t="shared" si="32"/>
        <v>Ver Imagen</v>
      </c>
      <c r="M2029" t="s">
        <v>15</v>
      </c>
    </row>
    <row r="2030" spans="1:13" x14ac:dyDescent="0.25">
      <c r="A2030">
        <v>2029</v>
      </c>
      <c r="B2030" t="s">
        <v>4071</v>
      </c>
      <c r="C2030" s="1">
        <v>37.450783152</v>
      </c>
      <c r="D2030" s="1">
        <v>-7.12739237137</v>
      </c>
      <c r="E2030" s="3">
        <v>3</v>
      </c>
      <c r="F2030" s="2">
        <v>3</v>
      </c>
      <c r="G2030" s="4">
        <v>3</v>
      </c>
      <c r="H2030" s="13"/>
      <c r="I2030" s="15"/>
      <c r="J2030" s="19">
        <v>3</v>
      </c>
      <c r="K2030" s="2" t="s">
        <v>4072</v>
      </c>
      <c r="L2030" s="11" t="str">
        <f t="shared" si="32"/>
        <v>Ver Imagen</v>
      </c>
      <c r="M2030" t="s">
        <v>15</v>
      </c>
    </row>
    <row r="2031" spans="1:13" x14ac:dyDescent="0.25">
      <c r="A2031">
        <v>2030</v>
      </c>
      <c r="B2031" t="s">
        <v>4073</v>
      </c>
      <c r="C2031" s="1">
        <v>37.449206902100002</v>
      </c>
      <c r="D2031" s="1">
        <v>-7.1270001805899996</v>
      </c>
      <c r="E2031" s="3">
        <v>3</v>
      </c>
      <c r="F2031" s="2">
        <v>3</v>
      </c>
      <c r="G2031" s="4">
        <v>3</v>
      </c>
      <c r="H2031" s="13"/>
      <c r="I2031" s="15"/>
      <c r="J2031" s="19">
        <v>3</v>
      </c>
      <c r="K2031" s="2" t="s">
        <v>4074</v>
      </c>
      <c r="L2031" s="11" t="str">
        <f t="shared" si="32"/>
        <v>Ver Imagen</v>
      </c>
      <c r="M2031" t="s">
        <v>15</v>
      </c>
    </row>
    <row r="2032" spans="1:13" x14ac:dyDescent="0.25">
      <c r="A2032">
        <v>2031</v>
      </c>
      <c r="B2032" t="s">
        <v>4075</v>
      </c>
      <c r="C2032" s="1">
        <v>37.4953413697</v>
      </c>
      <c r="D2032" s="1">
        <v>-7.27153364629</v>
      </c>
      <c r="E2032" s="3">
        <v>3</v>
      </c>
      <c r="F2032" s="2">
        <v>3</v>
      </c>
      <c r="G2032" s="4">
        <v>3</v>
      </c>
      <c r="H2032" s="13"/>
      <c r="I2032" s="15"/>
      <c r="J2032" s="19">
        <v>3</v>
      </c>
      <c r="K2032" s="2" t="s">
        <v>4076</v>
      </c>
      <c r="L2032" s="11" t="str">
        <f t="shared" si="32"/>
        <v>Ver Imagen</v>
      </c>
      <c r="M2032" t="s">
        <v>15</v>
      </c>
    </row>
    <row r="2033" spans="1:13" x14ac:dyDescent="0.25">
      <c r="A2033">
        <v>2032</v>
      </c>
      <c r="B2033" t="s">
        <v>4077</v>
      </c>
      <c r="C2033" s="1">
        <v>37.497037644800002</v>
      </c>
      <c r="D2033" s="1">
        <v>-7.2681095687399999</v>
      </c>
      <c r="E2033" s="3">
        <v>3</v>
      </c>
      <c r="F2033" s="2">
        <v>3</v>
      </c>
      <c r="G2033" s="4">
        <v>3</v>
      </c>
      <c r="H2033" s="13"/>
      <c r="I2033" s="15"/>
      <c r="J2033" s="19">
        <v>3</v>
      </c>
      <c r="K2033" s="2" t="s">
        <v>4078</v>
      </c>
      <c r="L2033" s="11" t="str">
        <f t="shared" si="32"/>
        <v>Ver Imagen</v>
      </c>
      <c r="M2033" t="s">
        <v>15</v>
      </c>
    </row>
    <row r="2034" spans="1:13" x14ac:dyDescent="0.25">
      <c r="A2034">
        <v>2033</v>
      </c>
      <c r="B2034" t="s">
        <v>4079</v>
      </c>
      <c r="C2034" s="1">
        <v>37.198884874999997</v>
      </c>
      <c r="D2034" s="1">
        <v>-6.9825412008200001</v>
      </c>
      <c r="E2034" s="3">
        <v>3</v>
      </c>
      <c r="F2034" s="2">
        <v>3</v>
      </c>
      <c r="G2034" s="4">
        <v>3</v>
      </c>
      <c r="H2034" s="13"/>
      <c r="I2034" s="15"/>
      <c r="J2034" s="19">
        <v>3</v>
      </c>
      <c r="K2034" s="2" t="s">
        <v>4080</v>
      </c>
      <c r="L2034" s="11" t="str">
        <f t="shared" si="32"/>
        <v>Ver Imagen</v>
      </c>
      <c r="M2034" t="s">
        <v>15</v>
      </c>
    </row>
    <row r="2035" spans="1:13" x14ac:dyDescent="0.25">
      <c r="A2035">
        <v>2034</v>
      </c>
      <c r="B2035" t="s">
        <v>4081</v>
      </c>
      <c r="C2035" s="1">
        <v>37.198716752700001</v>
      </c>
      <c r="D2035" s="1">
        <v>-6.9821208460099999</v>
      </c>
      <c r="E2035" s="3">
        <v>3</v>
      </c>
      <c r="F2035" s="2">
        <v>3</v>
      </c>
      <c r="G2035" s="4">
        <v>3</v>
      </c>
      <c r="H2035" s="13"/>
      <c r="I2035" s="15"/>
      <c r="J2035" s="19">
        <v>3</v>
      </c>
      <c r="K2035" s="2" t="s">
        <v>4082</v>
      </c>
      <c r="L2035" s="11" t="str">
        <f t="shared" si="32"/>
        <v>Ver Imagen</v>
      </c>
      <c r="M2035" t="s">
        <v>15</v>
      </c>
    </row>
    <row r="2036" spans="1:13" x14ac:dyDescent="0.25">
      <c r="A2036">
        <v>2035</v>
      </c>
      <c r="B2036" t="s">
        <v>4083</v>
      </c>
      <c r="C2036" s="1">
        <v>37.198416522599999</v>
      </c>
      <c r="D2036" s="1">
        <v>-6.9814621735899998</v>
      </c>
      <c r="E2036" s="3">
        <v>3</v>
      </c>
      <c r="F2036" s="2">
        <v>3</v>
      </c>
      <c r="G2036" s="4">
        <v>3</v>
      </c>
      <c r="H2036" s="13"/>
      <c r="I2036" s="15"/>
      <c r="J2036" s="19">
        <v>3</v>
      </c>
      <c r="K2036" s="2" t="s">
        <v>4084</v>
      </c>
      <c r="L2036" s="11" t="str">
        <f t="shared" si="32"/>
        <v>Ver Imagen</v>
      </c>
      <c r="M2036" t="s">
        <v>15</v>
      </c>
    </row>
    <row r="2037" spans="1:13" x14ac:dyDescent="0.25">
      <c r="A2037">
        <v>2036</v>
      </c>
      <c r="B2037" t="s">
        <v>4085</v>
      </c>
      <c r="C2037" s="1">
        <v>37.198292772800002</v>
      </c>
      <c r="D2037" s="1">
        <v>-6.9812215808099998</v>
      </c>
      <c r="E2037" s="3">
        <v>3</v>
      </c>
      <c r="F2037" s="2">
        <v>3</v>
      </c>
      <c r="G2037" s="4">
        <v>3</v>
      </c>
      <c r="H2037" s="13"/>
      <c r="I2037" s="15"/>
      <c r="J2037" s="19">
        <v>3</v>
      </c>
      <c r="K2037" s="2" t="s">
        <v>4086</v>
      </c>
      <c r="L2037" s="11" t="str">
        <f t="shared" si="32"/>
        <v>Ver Imagen</v>
      </c>
      <c r="M2037" t="s">
        <v>15</v>
      </c>
    </row>
    <row r="2038" spans="1:13" x14ac:dyDescent="0.25">
      <c r="A2038">
        <v>2037</v>
      </c>
      <c r="B2038" t="s">
        <v>4087</v>
      </c>
      <c r="C2038" s="1">
        <v>37.198071333800002</v>
      </c>
      <c r="D2038" s="1">
        <v>-6.9808314025299998</v>
      </c>
      <c r="E2038" s="3">
        <v>3</v>
      </c>
      <c r="F2038" s="2">
        <v>3</v>
      </c>
      <c r="G2038" s="4">
        <v>3</v>
      </c>
      <c r="H2038" s="13"/>
      <c r="I2038" s="15"/>
      <c r="J2038" s="19">
        <v>3</v>
      </c>
      <c r="K2038" s="2" t="s">
        <v>4088</v>
      </c>
      <c r="L2038" s="11" t="str">
        <f t="shared" si="32"/>
        <v>Ver Imagen</v>
      </c>
      <c r="M2038" t="s">
        <v>15</v>
      </c>
    </row>
    <row r="2039" spans="1:13" x14ac:dyDescent="0.25">
      <c r="A2039">
        <v>2038</v>
      </c>
      <c r="B2039" t="s">
        <v>4089</v>
      </c>
      <c r="C2039" s="1">
        <v>37.197552756999997</v>
      </c>
      <c r="D2039" s="1">
        <v>-6.9800861782899997</v>
      </c>
      <c r="E2039" s="3">
        <v>3</v>
      </c>
      <c r="F2039" s="2">
        <v>3</v>
      </c>
      <c r="G2039" s="4">
        <v>3</v>
      </c>
      <c r="H2039" s="13"/>
      <c r="I2039" s="15"/>
      <c r="J2039" s="19">
        <v>3</v>
      </c>
      <c r="K2039" s="2" t="s">
        <v>4090</v>
      </c>
      <c r="L2039" s="11" t="str">
        <f t="shared" si="32"/>
        <v>Ver Imagen</v>
      </c>
      <c r="M2039" t="s">
        <v>15</v>
      </c>
    </row>
    <row r="2040" spans="1:13" x14ac:dyDescent="0.25">
      <c r="A2040">
        <v>2039</v>
      </c>
      <c r="B2040" t="s">
        <v>4091</v>
      </c>
      <c r="C2040" s="1">
        <v>37.197224641799998</v>
      </c>
      <c r="D2040" s="1">
        <v>-6.97969609031</v>
      </c>
      <c r="E2040" s="3">
        <v>3</v>
      </c>
      <c r="F2040" s="2">
        <v>3</v>
      </c>
      <c r="G2040" s="4">
        <v>3</v>
      </c>
      <c r="H2040" s="13"/>
      <c r="I2040" s="15"/>
      <c r="J2040" s="19">
        <v>3</v>
      </c>
      <c r="K2040" s="2" t="s">
        <v>4092</v>
      </c>
      <c r="L2040" s="11" t="str">
        <f t="shared" si="32"/>
        <v>Ver Imagen</v>
      </c>
      <c r="M2040" t="s">
        <v>15</v>
      </c>
    </row>
    <row r="2041" spans="1:13" x14ac:dyDescent="0.25">
      <c r="A2041">
        <v>2040</v>
      </c>
      <c r="B2041" t="s">
        <v>4093</v>
      </c>
      <c r="C2041" s="1">
        <v>37.197089691000002</v>
      </c>
      <c r="D2041" s="1">
        <v>-6.9795507025900001</v>
      </c>
      <c r="E2041" s="3">
        <v>3</v>
      </c>
      <c r="F2041" s="2">
        <v>3</v>
      </c>
      <c r="G2041" s="4">
        <v>3</v>
      </c>
      <c r="H2041" s="13"/>
      <c r="I2041" s="15"/>
      <c r="J2041" s="19">
        <v>3</v>
      </c>
      <c r="K2041" s="2" t="s">
        <v>4094</v>
      </c>
      <c r="L2041" s="11" t="str">
        <f t="shared" si="32"/>
        <v>Ver Imagen</v>
      </c>
      <c r="M2041" t="s">
        <v>15</v>
      </c>
    </row>
    <row r="2042" spans="1:13" x14ac:dyDescent="0.25">
      <c r="A2042">
        <v>2041</v>
      </c>
      <c r="B2042" t="s">
        <v>4095</v>
      </c>
      <c r="C2042" s="1">
        <v>37.196941987899997</v>
      </c>
      <c r="D2042" s="1">
        <v>-6.9794002616700004</v>
      </c>
      <c r="E2042" s="3">
        <v>3</v>
      </c>
      <c r="F2042" s="2">
        <v>3</v>
      </c>
      <c r="G2042" s="4">
        <v>3</v>
      </c>
      <c r="H2042" s="13"/>
      <c r="I2042" s="15"/>
      <c r="J2042" s="19">
        <v>3</v>
      </c>
      <c r="K2042" s="2" t="s">
        <v>4096</v>
      </c>
      <c r="L2042" s="11" t="str">
        <f t="shared" si="32"/>
        <v>Ver Imagen</v>
      </c>
      <c r="M2042" t="s">
        <v>15</v>
      </c>
    </row>
    <row r="2043" spans="1:13" x14ac:dyDescent="0.25">
      <c r="A2043">
        <v>2042</v>
      </c>
      <c r="B2043" t="s">
        <v>4097</v>
      </c>
      <c r="C2043" s="1">
        <v>37.196625771800001</v>
      </c>
      <c r="D2043" s="1">
        <v>-6.9791057436199999</v>
      </c>
      <c r="E2043" s="3">
        <v>3</v>
      </c>
      <c r="F2043" s="2">
        <v>3</v>
      </c>
      <c r="G2043" s="4">
        <v>3</v>
      </c>
      <c r="H2043" s="13"/>
      <c r="I2043" s="15"/>
      <c r="J2043" s="19">
        <v>3</v>
      </c>
      <c r="K2043" s="2" t="s">
        <v>4098</v>
      </c>
      <c r="L2043" s="11" t="str">
        <f t="shared" si="32"/>
        <v>Ver Imagen</v>
      </c>
      <c r="M2043" t="s">
        <v>15</v>
      </c>
    </row>
    <row r="2044" spans="1:13" x14ac:dyDescent="0.25">
      <c r="A2044">
        <v>2043</v>
      </c>
      <c r="B2044" t="s">
        <v>4099</v>
      </c>
      <c r="C2044" s="1">
        <v>37.194622132200003</v>
      </c>
      <c r="D2044" s="1">
        <v>-6.97792953091</v>
      </c>
      <c r="E2044" s="3">
        <v>3</v>
      </c>
      <c r="F2044" s="2">
        <v>3</v>
      </c>
      <c r="G2044" s="4">
        <v>3</v>
      </c>
      <c r="H2044" s="13"/>
      <c r="I2044" s="15"/>
      <c r="J2044" s="19">
        <v>3</v>
      </c>
      <c r="K2044" s="2" t="s">
        <v>4100</v>
      </c>
      <c r="L2044" s="11" t="str">
        <f t="shared" si="32"/>
        <v>Ver Imagen</v>
      </c>
      <c r="M2044" t="s">
        <v>15</v>
      </c>
    </row>
    <row r="2045" spans="1:13" x14ac:dyDescent="0.25">
      <c r="A2045">
        <v>2044</v>
      </c>
      <c r="B2045" t="s">
        <v>4101</v>
      </c>
      <c r="C2045" s="1">
        <v>37.189773740699998</v>
      </c>
      <c r="D2045" s="1">
        <v>-6.9782003067999998</v>
      </c>
      <c r="E2045" s="3">
        <v>3</v>
      </c>
      <c r="F2045" s="2">
        <v>3</v>
      </c>
      <c r="G2045" s="4">
        <v>3</v>
      </c>
      <c r="H2045" s="13"/>
      <c r="I2045" s="15"/>
      <c r="J2045" s="19">
        <v>3</v>
      </c>
      <c r="K2045" s="2" t="s">
        <v>4102</v>
      </c>
      <c r="L2045" s="11" t="str">
        <f t="shared" si="32"/>
        <v>Ver Imagen</v>
      </c>
      <c r="M2045" t="s">
        <v>15</v>
      </c>
    </row>
    <row r="2046" spans="1:13" x14ac:dyDescent="0.25">
      <c r="A2046">
        <v>2045</v>
      </c>
      <c r="B2046" t="s">
        <v>4103</v>
      </c>
      <c r="C2046" s="1">
        <v>37.189414120499997</v>
      </c>
      <c r="D2046" s="1">
        <v>-6.9783053052200001</v>
      </c>
      <c r="E2046" s="3">
        <v>3</v>
      </c>
      <c r="F2046" s="2">
        <v>3</v>
      </c>
      <c r="G2046" s="4">
        <v>3</v>
      </c>
      <c r="H2046" s="13"/>
      <c r="I2046" s="15"/>
      <c r="J2046" s="19">
        <v>3</v>
      </c>
      <c r="K2046" s="2" t="s">
        <v>4104</v>
      </c>
      <c r="L2046" s="11" t="str">
        <f t="shared" ref="L2046:L2109" si="33">HYPERLINK("3\0\" &amp; K2046, "Ver Imagen")</f>
        <v>Ver Imagen</v>
      </c>
      <c r="M2046" t="s">
        <v>15</v>
      </c>
    </row>
    <row r="2047" spans="1:13" x14ac:dyDescent="0.25">
      <c r="A2047">
        <v>2046</v>
      </c>
      <c r="B2047" t="s">
        <v>4105</v>
      </c>
      <c r="C2047" s="1">
        <v>37.1886501432</v>
      </c>
      <c r="D2047" s="1">
        <v>-6.9785267420199997</v>
      </c>
      <c r="E2047" s="3">
        <v>3</v>
      </c>
      <c r="F2047" s="2">
        <v>3</v>
      </c>
      <c r="G2047" s="4">
        <v>3</v>
      </c>
      <c r="H2047" s="13"/>
      <c r="I2047" s="15"/>
      <c r="J2047" s="19">
        <v>3</v>
      </c>
      <c r="K2047" s="2" t="s">
        <v>4106</v>
      </c>
      <c r="L2047" s="11" t="str">
        <f t="shared" si="33"/>
        <v>Ver Imagen</v>
      </c>
      <c r="M2047" t="s">
        <v>15</v>
      </c>
    </row>
    <row r="2048" spans="1:13" x14ac:dyDescent="0.25">
      <c r="A2048">
        <v>2047</v>
      </c>
      <c r="B2048" t="s">
        <v>4107</v>
      </c>
      <c r="C2048" s="1">
        <v>37.188454724800003</v>
      </c>
      <c r="D2048" s="1">
        <v>-6.9786052222999997</v>
      </c>
      <c r="E2048" s="3">
        <v>3</v>
      </c>
      <c r="F2048" s="2">
        <v>3</v>
      </c>
      <c r="G2048" s="4">
        <v>3</v>
      </c>
      <c r="H2048" s="13"/>
      <c r="I2048" s="15"/>
      <c r="J2048" s="19">
        <v>3</v>
      </c>
      <c r="K2048" s="2" t="s">
        <v>4108</v>
      </c>
      <c r="L2048" s="11" t="str">
        <f t="shared" si="33"/>
        <v>Ver Imagen</v>
      </c>
      <c r="M2048" t="s">
        <v>15</v>
      </c>
    </row>
    <row r="2049" spans="1:13" x14ac:dyDescent="0.25">
      <c r="A2049">
        <v>2048</v>
      </c>
      <c r="B2049" t="s">
        <v>4109</v>
      </c>
      <c r="C2049" s="1">
        <v>37.1877733671</v>
      </c>
      <c r="D2049" s="1">
        <v>-6.9790872115999996</v>
      </c>
      <c r="E2049" s="3">
        <v>3</v>
      </c>
      <c r="F2049" s="2">
        <v>3</v>
      </c>
      <c r="G2049" s="4">
        <v>3</v>
      </c>
      <c r="H2049" s="13"/>
      <c r="I2049" s="15"/>
      <c r="J2049" s="19">
        <v>3</v>
      </c>
      <c r="K2049" s="2" t="s">
        <v>4110</v>
      </c>
      <c r="L2049" s="11" t="str">
        <f t="shared" si="33"/>
        <v>Ver Imagen</v>
      </c>
      <c r="M2049" t="s">
        <v>15</v>
      </c>
    </row>
    <row r="2050" spans="1:13" x14ac:dyDescent="0.25">
      <c r="A2050">
        <v>2049</v>
      </c>
      <c r="B2050" t="s">
        <v>4111</v>
      </c>
      <c r="C2050" s="1">
        <v>37.2675150747</v>
      </c>
      <c r="D2050" s="1">
        <v>-6.9575089750199997</v>
      </c>
      <c r="E2050" s="3">
        <v>3</v>
      </c>
      <c r="F2050" s="2">
        <v>3</v>
      </c>
      <c r="G2050" s="4">
        <v>3</v>
      </c>
      <c r="H2050" s="13"/>
      <c r="I2050" s="15"/>
      <c r="J2050" s="19">
        <v>3</v>
      </c>
      <c r="K2050" s="2" t="s">
        <v>4112</v>
      </c>
      <c r="L2050" s="11" t="str">
        <f t="shared" si="33"/>
        <v>Ver Imagen</v>
      </c>
      <c r="M2050" t="s">
        <v>15</v>
      </c>
    </row>
    <row r="2051" spans="1:13" x14ac:dyDescent="0.25">
      <c r="A2051">
        <v>2050</v>
      </c>
      <c r="B2051" t="s">
        <v>4113</v>
      </c>
      <c r="C2051" s="1">
        <v>37.267441155299998</v>
      </c>
      <c r="D2051" s="1">
        <v>-6.9577308371899997</v>
      </c>
      <c r="E2051" s="3">
        <v>3</v>
      </c>
      <c r="F2051" s="2">
        <v>3</v>
      </c>
      <c r="G2051" s="4">
        <v>3</v>
      </c>
      <c r="H2051" s="13"/>
      <c r="I2051" s="15"/>
      <c r="J2051" s="19">
        <v>3</v>
      </c>
      <c r="K2051" s="2" t="s">
        <v>4114</v>
      </c>
      <c r="L2051" s="11" t="str">
        <f t="shared" si="33"/>
        <v>Ver Imagen</v>
      </c>
      <c r="M2051" t="s">
        <v>15</v>
      </c>
    </row>
    <row r="2052" spans="1:13" x14ac:dyDescent="0.25">
      <c r="A2052">
        <v>2051</v>
      </c>
      <c r="B2052" t="s">
        <v>4115</v>
      </c>
      <c r="C2052" s="1">
        <v>37.2676135257</v>
      </c>
      <c r="D2052" s="1">
        <v>-6.9627819224299996</v>
      </c>
      <c r="E2052" s="3">
        <v>3</v>
      </c>
      <c r="F2052" s="2">
        <v>3</v>
      </c>
      <c r="G2052" s="4">
        <v>3</v>
      </c>
      <c r="H2052" s="13"/>
      <c r="I2052" s="15"/>
      <c r="J2052" s="19">
        <v>3</v>
      </c>
      <c r="K2052" s="2" t="s">
        <v>4116</v>
      </c>
      <c r="L2052" s="11" t="str">
        <f t="shared" si="33"/>
        <v>Ver Imagen</v>
      </c>
      <c r="M2052" t="s">
        <v>15</v>
      </c>
    </row>
    <row r="2053" spans="1:13" x14ac:dyDescent="0.25">
      <c r="A2053">
        <v>2052</v>
      </c>
      <c r="B2053" t="s">
        <v>4117</v>
      </c>
      <c r="C2053" s="1">
        <v>37.267637176699999</v>
      </c>
      <c r="D2053" s="1">
        <v>-6.9635710691000003</v>
      </c>
      <c r="E2053" s="3">
        <v>3</v>
      </c>
      <c r="F2053" s="2">
        <v>3</v>
      </c>
      <c r="G2053" s="4">
        <v>3</v>
      </c>
      <c r="H2053" s="13"/>
      <c r="I2053" s="15"/>
      <c r="J2053" s="19">
        <v>3</v>
      </c>
      <c r="K2053" s="2" t="s">
        <v>4118</v>
      </c>
      <c r="L2053" s="11" t="str">
        <f t="shared" si="33"/>
        <v>Ver Imagen</v>
      </c>
      <c r="M2053" t="s">
        <v>15</v>
      </c>
    </row>
    <row r="2054" spans="1:13" x14ac:dyDescent="0.25">
      <c r="A2054">
        <v>2053</v>
      </c>
      <c r="B2054" t="s">
        <v>4119</v>
      </c>
      <c r="C2054" s="1">
        <v>37.268210750000001</v>
      </c>
      <c r="D2054" s="1">
        <v>-6.9713893162999998</v>
      </c>
      <c r="E2054" s="3">
        <v>3</v>
      </c>
      <c r="F2054" s="2">
        <v>3</v>
      </c>
      <c r="G2054" s="4">
        <v>3</v>
      </c>
      <c r="H2054" s="13"/>
      <c r="I2054" s="15"/>
      <c r="J2054" s="19">
        <v>3</v>
      </c>
      <c r="K2054" s="2" t="s">
        <v>4120</v>
      </c>
      <c r="L2054" s="11" t="str">
        <f t="shared" si="33"/>
        <v>Ver Imagen</v>
      </c>
      <c r="M2054" t="s">
        <v>15</v>
      </c>
    </row>
    <row r="2055" spans="1:13" x14ac:dyDescent="0.25">
      <c r="A2055">
        <v>2054</v>
      </c>
      <c r="B2055" t="s">
        <v>4121</v>
      </c>
      <c r="C2055" s="1">
        <v>37.268708795199998</v>
      </c>
      <c r="D2055" s="1">
        <v>-6.9741246954999996</v>
      </c>
      <c r="E2055" s="3">
        <v>3</v>
      </c>
      <c r="F2055" s="2">
        <v>3</v>
      </c>
      <c r="G2055" s="4">
        <v>3</v>
      </c>
      <c r="H2055" s="13"/>
      <c r="I2055" s="15"/>
      <c r="J2055" s="19">
        <v>3</v>
      </c>
      <c r="K2055" s="2" t="s">
        <v>4122</v>
      </c>
      <c r="L2055" s="11" t="str">
        <f t="shared" si="33"/>
        <v>Ver Imagen</v>
      </c>
      <c r="M2055" t="s">
        <v>15</v>
      </c>
    </row>
    <row r="2056" spans="1:13" x14ac:dyDescent="0.25">
      <c r="A2056">
        <v>2055</v>
      </c>
      <c r="B2056" t="s">
        <v>4123</v>
      </c>
      <c r="C2056" s="1">
        <v>37.268806858600001</v>
      </c>
      <c r="D2056" s="1">
        <v>-6.9745771340499996</v>
      </c>
      <c r="E2056" s="3">
        <v>3</v>
      </c>
      <c r="F2056" s="2">
        <v>3</v>
      </c>
      <c r="G2056" s="4">
        <v>3</v>
      </c>
      <c r="H2056" s="13"/>
      <c r="I2056" s="15"/>
      <c r="J2056" s="19">
        <v>3</v>
      </c>
      <c r="K2056" s="2" t="s">
        <v>4124</v>
      </c>
      <c r="L2056" s="11" t="str">
        <f t="shared" si="33"/>
        <v>Ver Imagen</v>
      </c>
      <c r="M2056" t="s">
        <v>15</v>
      </c>
    </row>
    <row r="2057" spans="1:13" x14ac:dyDescent="0.25">
      <c r="A2057">
        <v>2056</v>
      </c>
      <c r="B2057" t="s">
        <v>4125</v>
      </c>
      <c r="C2057" s="1">
        <v>37.268917534800003</v>
      </c>
      <c r="D2057" s="1">
        <v>-6.9750649359599999</v>
      </c>
      <c r="E2057" s="3">
        <v>3</v>
      </c>
      <c r="F2057" s="2">
        <v>3</v>
      </c>
      <c r="G2057" s="4">
        <v>3</v>
      </c>
      <c r="H2057" s="13"/>
      <c r="I2057" s="15"/>
      <c r="J2057" s="19">
        <v>3</v>
      </c>
      <c r="K2057" s="2" t="s">
        <v>4126</v>
      </c>
      <c r="L2057" s="11" t="str">
        <f t="shared" si="33"/>
        <v>Ver Imagen</v>
      </c>
      <c r="M2057" t="s">
        <v>15</v>
      </c>
    </row>
    <row r="2058" spans="1:13" x14ac:dyDescent="0.25">
      <c r="A2058">
        <v>2057</v>
      </c>
      <c r="B2058" t="s">
        <v>4127</v>
      </c>
      <c r="C2058" s="1">
        <v>37.269036531899999</v>
      </c>
      <c r="D2058" s="1">
        <v>-6.9755661413499999</v>
      </c>
      <c r="E2058" s="3">
        <v>3</v>
      </c>
      <c r="F2058" s="2">
        <v>3</v>
      </c>
      <c r="G2058" s="4">
        <v>3</v>
      </c>
      <c r="H2058" s="13"/>
      <c r="I2058" s="15"/>
      <c r="J2058" s="19">
        <v>3</v>
      </c>
      <c r="K2058" s="2" t="s">
        <v>4128</v>
      </c>
      <c r="L2058" s="11" t="str">
        <f t="shared" si="33"/>
        <v>Ver Imagen</v>
      </c>
      <c r="M2058" t="s">
        <v>15</v>
      </c>
    </row>
    <row r="2059" spans="1:13" x14ac:dyDescent="0.25">
      <c r="A2059">
        <v>2058</v>
      </c>
      <c r="B2059" t="s">
        <v>4129</v>
      </c>
      <c r="C2059" s="1">
        <v>37.269546961899998</v>
      </c>
      <c r="D2059" s="1">
        <v>-6.9774575306799997</v>
      </c>
      <c r="E2059" s="3">
        <v>3</v>
      </c>
      <c r="F2059" s="2">
        <v>3</v>
      </c>
      <c r="G2059" s="4">
        <v>3</v>
      </c>
      <c r="H2059" s="13"/>
      <c r="I2059" s="15"/>
      <c r="J2059" s="19">
        <v>3</v>
      </c>
      <c r="K2059" s="2" t="s">
        <v>4130</v>
      </c>
      <c r="L2059" s="11" t="str">
        <f t="shared" si="33"/>
        <v>Ver Imagen</v>
      </c>
      <c r="M2059" t="s">
        <v>15</v>
      </c>
    </row>
    <row r="2060" spans="1:13" x14ac:dyDescent="0.25">
      <c r="A2060">
        <v>2059</v>
      </c>
      <c r="B2060" t="s">
        <v>4131</v>
      </c>
      <c r="C2060" s="1">
        <v>37.2696147817</v>
      </c>
      <c r="D2060" s="1">
        <v>-6.9776941725199997</v>
      </c>
      <c r="E2060" s="3">
        <v>3</v>
      </c>
      <c r="F2060" s="2">
        <v>3</v>
      </c>
      <c r="G2060" s="4">
        <v>3</v>
      </c>
      <c r="H2060" s="13"/>
      <c r="I2060" s="15"/>
      <c r="J2060" s="19">
        <v>3</v>
      </c>
      <c r="K2060" s="2" t="s">
        <v>4132</v>
      </c>
      <c r="L2060" s="11" t="str">
        <f t="shared" si="33"/>
        <v>Ver Imagen</v>
      </c>
      <c r="M2060" t="s">
        <v>15</v>
      </c>
    </row>
    <row r="2061" spans="1:13" x14ac:dyDescent="0.25">
      <c r="A2061">
        <v>2060</v>
      </c>
      <c r="B2061" t="s">
        <v>4133</v>
      </c>
      <c r="C2061" s="1">
        <v>37.269762033399999</v>
      </c>
      <c r="D2061" s="1">
        <v>-6.9782084407399996</v>
      </c>
      <c r="E2061" s="3">
        <v>3</v>
      </c>
      <c r="F2061" s="2">
        <v>3</v>
      </c>
      <c r="G2061" s="4">
        <v>3</v>
      </c>
      <c r="H2061" s="13"/>
      <c r="I2061" s="15"/>
      <c r="J2061" s="19">
        <v>3</v>
      </c>
      <c r="K2061" s="2" t="s">
        <v>4134</v>
      </c>
      <c r="L2061" s="11" t="str">
        <f t="shared" si="33"/>
        <v>Ver Imagen</v>
      </c>
      <c r="M2061" t="s">
        <v>15</v>
      </c>
    </row>
    <row r="2062" spans="1:13" x14ac:dyDescent="0.25">
      <c r="A2062">
        <v>2061</v>
      </c>
      <c r="B2062" t="s">
        <v>4135</v>
      </c>
      <c r="C2062" s="1">
        <v>37.269824792800001</v>
      </c>
      <c r="D2062" s="1">
        <v>-6.9784308105999999</v>
      </c>
      <c r="E2062" s="3">
        <v>3</v>
      </c>
      <c r="F2062" s="2">
        <v>3</v>
      </c>
      <c r="G2062" s="4">
        <v>3</v>
      </c>
      <c r="H2062" s="13"/>
      <c r="I2062" s="15"/>
      <c r="J2062" s="19">
        <v>3</v>
      </c>
      <c r="K2062" s="2" t="s">
        <v>4136</v>
      </c>
      <c r="L2062" s="11" t="str">
        <f t="shared" si="33"/>
        <v>Ver Imagen</v>
      </c>
      <c r="M2062" t="s">
        <v>15</v>
      </c>
    </row>
    <row r="2063" spans="1:13" x14ac:dyDescent="0.25">
      <c r="A2063">
        <v>2062</v>
      </c>
      <c r="B2063" t="s">
        <v>4137</v>
      </c>
      <c r="C2063" s="1">
        <v>37.270514451499999</v>
      </c>
      <c r="D2063" s="1">
        <v>-6.9808274703400004</v>
      </c>
      <c r="E2063" s="3">
        <v>3</v>
      </c>
      <c r="F2063" s="2">
        <v>3</v>
      </c>
      <c r="G2063" s="4">
        <v>3</v>
      </c>
      <c r="H2063" s="13"/>
      <c r="I2063" s="15"/>
      <c r="J2063" s="19">
        <v>3</v>
      </c>
      <c r="K2063" s="2" t="s">
        <v>4138</v>
      </c>
      <c r="L2063" s="11" t="str">
        <f t="shared" si="33"/>
        <v>Ver Imagen</v>
      </c>
      <c r="M2063" t="s">
        <v>15</v>
      </c>
    </row>
    <row r="2064" spans="1:13" x14ac:dyDescent="0.25">
      <c r="A2064">
        <v>2063</v>
      </c>
      <c r="B2064" t="s">
        <v>4139</v>
      </c>
      <c r="C2064" s="1">
        <v>37.270576768200002</v>
      </c>
      <c r="D2064" s="1">
        <v>-6.9810456753599999</v>
      </c>
      <c r="E2064" s="3">
        <v>3</v>
      </c>
      <c r="F2064" s="2">
        <v>3</v>
      </c>
      <c r="G2064" s="4">
        <v>3</v>
      </c>
      <c r="H2064" s="13"/>
      <c r="I2064" s="15"/>
      <c r="J2064" s="19">
        <v>3</v>
      </c>
      <c r="K2064" s="2" t="s">
        <v>4140</v>
      </c>
      <c r="L2064" s="11" t="str">
        <f t="shared" si="33"/>
        <v>Ver Imagen</v>
      </c>
      <c r="M2064" t="s">
        <v>15</v>
      </c>
    </row>
    <row r="2065" spans="1:13" x14ac:dyDescent="0.25">
      <c r="A2065">
        <v>2064</v>
      </c>
      <c r="B2065" t="s">
        <v>4141</v>
      </c>
      <c r="C2065" s="1">
        <v>37.270783987900003</v>
      </c>
      <c r="D2065" s="1">
        <v>-6.9817709373400003</v>
      </c>
      <c r="E2065" s="3">
        <v>3</v>
      </c>
      <c r="F2065" s="2">
        <v>3</v>
      </c>
      <c r="G2065" s="4">
        <v>3</v>
      </c>
      <c r="H2065" s="13"/>
      <c r="I2065" s="15"/>
      <c r="J2065" s="19">
        <v>3</v>
      </c>
      <c r="K2065" s="2" t="s">
        <v>4142</v>
      </c>
      <c r="L2065" s="11" t="str">
        <f t="shared" si="33"/>
        <v>Ver Imagen</v>
      </c>
      <c r="M2065" t="s">
        <v>15</v>
      </c>
    </row>
    <row r="2066" spans="1:13" x14ac:dyDescent="0.25">
      <c r="A2066">
        <v>2065</v>
      </c>
      <c r="B2066" t="s">
        <v>4143</v>
      </c>
      <c r="C2066" s="1">
        <v>37.270990786600002</v>
      </c>
      <c r="D2066" s="1">
        <v>-6.9824837400400002</v>
      </c>
      <c r="E2066" s="3">
        <v>3</v>
      </c>
      <c r="F2066" s="2">
        <v>3</v>
      </c>
      <c r="G2066" s="4">
        <v>3</v>
      </c>
      <c r="H2066" s="13"/>
      <c r="I2066" s="15"/>
      <c r="J2066" s="19">
        <v>3</v>
      </c>
      <c r="K2066" s="2" t="s">
        <v>4144</v>
      </c>
      <c r="L2066" s="11" t="str">
        <f t="shared" si="33"/>
        <v>Ver Imagen</v>
      </c>
      <c r="M2066" t="s">
        <v>15</v>
      </c>
    </row>
    <row r="2067" spans="1:13" x14ac:dyDescent="0.25">
      <c r="A2067">
        <v>2066</v>
      </c>
      <c r="B2067" t="s">
        <v>4145</v>
      </c>
      <c r="C2067" s="1">
        <v>37.271199524499998</v>
      </c>
      <c r="D2067" s="1">
        <v>-6.9832059489700002</v>
      </c>
      <c r="E2067" s="3">
        <v>3</v>
      </c>
      <c r="F2067" s="2">
        <v>3</v>
      </c>
      <c r="G2067" s="4">
        <v>3</v>
      </c>
      <c r="H2067" s="13"/>
      <c r="I2067" s="15"/>
      <c r="J2067" s="19">
        <v>3</v>
      </c>
      <c r="K2067" s="2" t="s">
        <v>4146</v>
      </c>
      <c r="L2067" s="11" t="str">
        <f t="shared" si="33"/>
        <v>Ver Imagen</v>
      </c>
      <c r="M2067" t="s">
        <v>15</v>
      </c>
    </row>
    <row r="2068" spans="1:13" x14ac:dyDescent="0.25">
      <c r="A2068">
        <v>2067</v>
      </c>
      <c r="B2068" t="s">
        <v>4147</v>
      </c>
      <c r="C2068" s="1">
        <v>37.271829160499998</v>
      </c>
      <c r="D2068" s="1">
        <v>-6.9868929944099998</v>
      </c>
      <c r="E2068" s="3">
        <v>3</v>
      </c>
      <c r="F2068" s="2">
        <v>3</v>
      </c>
      <c r="G2068" s="4">
        <v>3</v>
      </c>
      <c r="H2068" s="13"/>
      <c r="I2068" s="15"/>
      <c r="J2068" s="19">
        <v>3</v>
      </c>
      <c r="K2068" s="2" t="s">
        <v>4148</v>
      </c>
      <c r="L2068" s="11" t="str">
        <f t="shared" si="33"/>
        <v>Ver Imagen</v>
      </c>
      <c r="M2068" t="s">
        <v>15</v>
      </c>
    </row>
    <row r="2069" spans="1:13" x14ac:dyDescent="0.25">
      <c r="A2069">
        <v>2068</v>
      </c>
      <c r="B2069" t="s">
        <v>4149</v>
      </c>
      <c r="C2069" s="1">
        <v>37.271798527599998</v>
      </c>
      <c r="D2069" s="1">
        <v>-6.9871236614000001</v>
      </c>
      <c r="E2069" s="3">
        <v>3</v>
      </c>
      <c r="F2069" s="2">
        <v>3</v>
      </c>
      <c r="G2069" s="4">
        <v>3</v>
      </c>
      <c r="H2069" s="13"/>
      <c r="I2069" s="15"/>
      <c r="J2069" s="19">
        <v>3</v>
      </c>
      <c r="K2069" s="2" t="s">
        <v>4150</v>
      </c>
      <c r="L2069" s="11" t="str">
        <f t="shared" si="33"/>
        <v>Ver Imagen</v>
      </c>
      <c r="M2069" t="s">
        <v>15</v>
      </c>
    </row>
    <row r="2070" spans="1:13" x14ac:dyDescent="0.25">
      <c r="A2070">
        <v>2069</v>
      </c>
      <c r="B2070" t="s">
        <v>4151</v>
      </c>
      <c r="C2070" s="1">
        <v>37.269592789900003</v>
      </c>
      <c r="D2070" s="1">
        <v>-6.9899307003400004</v>
      </c>
      <c r="E2070" s="3">
        <v>3</v>
      </c>
      <c r="F2070" s="2">
        <v>3</v>
      </c>
      <c r="G2070" s="4">
        <v>3</v>
      </c>
      <c r="H2070" s="13"/>
      <c r="I2070" s="15"/>
      <c r="J2070" s="19">
        <v>3</v>
      </c>
      <c r="K2070" s="2" t="s">
        <v>4152</v>
      </c>
      <c r="L2070" s="11" t="str">
        <f t="shared" si="33"/>
        <v>Ver Imagen</v>
      </c>
      <c r="M2070" t="s">
        <v>15</v>
      </c>
    </row>
    <row r="2071" spans="1:13" x14ac:dyDescent="0.25">
      <c r="A2071">
        <v>2070</v>
      </c>
      <c r="B2071" t="s">
        <v>4153</v>
      </c>
      <c r="C2071" s="1">
        <v>37.269239253099997</v>
      </c>
      <c r="D2071" s="1">
        <v>-6.9901820186499997</v>
      </c>
      <c r="E2071" s="3">
        <v>3</v>
      </c>
      <c r="F2071" s="2">
        <v>3</v>
      </c>
      <c r="G2071" s="4">
        <v>3</v>
      </c>
      <c r="H2071" s="13"/>
      <c r="I2071" s="15"/>
      <c r="J2071" s="19">
        <v>3</v>
      </c>
      <c r="K2071" s="2" t="s">
        <v>4154</v>
      </c>
      <c r="L2071" s="11" t="str">
        <f t="shared" si="33"/>
        <v>Ver Imagen</v>
      </c>
      <c r="M2071" t="s">
        <v>15</v>
      </c>
    </row>
    <row r="2072" spans="1:13" x14ac:dyDescent="0.25">
      <c r="A2072">
        <v>2071</v>
      </c>
      <c r="B2072" t="s">
        <v>4155</v>
      </c>
      <c r="C2072" s="1">
        <v>37.268883852199998</v>
      </c>
      <c r="D2072" s="1">
        <v>-6.9904341047800003</v>
      </c>
      <c r="E2072" s="3">
        <v>3</v>
      </c>
      <c r="F2072" s="2">
        <v>3</v>
      </c>
      <c r="G2072" s="4">
        <v>3</v>
      </c>
      <c r="H2072" s="13"/>
      <c r="I2072" s="15"/>
      <c r="J2072" s="19">
        <v>3</v>
      </c>
      <c r="K2072" s="2" t="s">
        <v>4156</v>
      </c>
      <c r="L2072" s="11" t="str">
        <f t="shared" si="33"/>
        <v>Ver Imagen</v>
      </c>
      <c r="M2072" t="s">
        <v>15</v>
      </c>
    </row>
    <row r="2073" spans="1:13" x14ac:dyDescent="0.25">
      <c r="A2073">
        <v>2072</v>
      </c>
      <c r="B2073" t="s">
        <v>4157</v>
      </c>
      <c r="C2073" s="1">
        <v>37.267666130599999</v>
      </c>
      <c r="D2073" s="1">
        <v>-6.9912987465500001</v>
      </c>
      <c r="E2073" s="3">
        <v>3</v>
      </c>
      <c r="F2073" s="2">
        <v>3</v>
      </c>
      <c r="G2073" s="4">
        <v>3</v>
      </c>
      <c r="H2073" s="13"/>
      <c r="I2073" s="15"/>
      <c r="J2073" s="19">
        <v>3</v>
      </c>
      <c r="K2073" s="2" t="s">
        <v>4158</v>
      </c>
      <c r="L2073" s="11" t="str">
        <f t="shared" si="33"/>
        <v>Ver Imagen</v>
      </c>
      <c r="M2073" t="s">
        <v>15</v>
      </c>
    </row>
    <row r="2074" spans="1:13" x14ac:dyDescent="0.25">
      <c r="A2074">
        <v>2073</v>
      </c>
      <c r="B2074" t="s">
        <v>4159</v>
      </c>
      <c r="C2074" s="1">
        <v>37.187621751999998</v>
      </c>
      <c r="D2074" s="1">
        <v>-6.9784514465200003</v>
      </c>
      <c r="E2074" s="3">
        <v>3</v>
      </c>
      <c r="F2074" s="2">
        <v>3</v>
      </c>
      <c r="G2074" s="4">
        <v>3</v>
      </c>
      <c r="H2074" s="13"/>
      <c r="I2074" s="15"/>
      <c r="J2074" s="19">
        <v>3</v>
      </c>
      <c r="K2074" s="2" t="s">
        <v>4160</v>
      </c>
      <c r="L2074" s="11" t="str">
        <f t="shared" si="33"/>
        <v>Ver Imagen</v>
      </c>
      <c r="M2074" t="s">
        <v>15</v>
      </c>
    </row>
    <row r="2075" spans="1:13" x14ac:dyDescent="0.25">
      <c r="A2075">
        <v>2074</v>
      </c>
      <c r="B2075" t="s">
        <v>4161</v>
      </c>
      <c r="C2075" s="1">
        <v>37.187782004299997</v>
      </c>
      <c r="D2075" s="1">
        <v>-6.9782981055900004</v>
      </c>
      <c r="E2075" s="3">
        <v>3</v>
      </c>
      <c r="F2075" s="2">
        <v>3</v>
      </c>
      <c r="G2075" s="4">
        <v>3</v>
      </c>
      <c r="H2075" s="13"/>
      <c r="I2075" s="15"/>
      <c r="J2075" s="19">
        <v>3</v>
      </c>
      <c r="K2075" s="2" t="s">
        <v>4162</v>
      </c>
      <c r="L2075" s="11" t="str">
        <f t="shared" si="33"/>
        <v>Ver Imagen</v>
      </c>
      <c r="M2075" t="s">
        <v>15</v>
      </c>
    </row>
    <row r="2076" spans="1:13" x14ac:dyDescent="0.25">
      <c r="A2076">
        <v>2075</v>
      </c>
      <c r="B2076" t="s">
        <v>4163</v>
      </c>
      <c r="C2076" s="1">
        <v>37.267004590799999</v>
      </c>
      <c r="D2076" s="1">
        <v>-6.9919110184699997</v>
      </c>
      <c r="E2076" s="3">
        <v>3</v>
      </c>
      <c r="F2076" s="2">
        <v>3</v>
      </c>
      <c r="G2076" s="4">
        <v>3</v>
      </c>
      <c r="H2076" s="13"/>
      <c r="I2076" s="15"/>
      <c r="J2076" s="19">
        <v>3</v>
      </c>
      <c r="K2076" s="2" t="s">
        <v>4164</v>
      </c>
      <c r="L2076" s="11" t="str">
        <f t="shared" si="33"/>
        <v>Ver Imagen</v>
      </c>
      <c r="M2076" t="s">
        <v>15</v>
      </c>
    </row>
    <row r="2077" spans="1:13" x14ac:dyDescent="0.25">
      <c r="A2077">
        <v>2076</v>
      </c>
      <c r="B2077" t="s">
        <v>4165</v>
      </c>
      <c r="C2077" s="1">
        <v>37.265847048700003</v>
      </c>
      <c r="D2077" s="1">
        <v>-6.9942389048900004</v>
      </c>
      <c r="E2077" s="3">
        <v>3</v>
      </c>
      <c r="F2077" s="2">
        <v>3</v>
      </c>
      <c r="G2077" s="4">
        <v>3</v>
      </c>
      <c r="H2077" s="13"/>
      <c r="I2077" s="15"/>
      <c r="J2077" s="19">
        <v>3</v>
      </c>
      <c r="K2077" s="2" t="s">
        <v>4166</v>
      </c>
      <c r="L2077" s="11" t="str">
        <f t="shared" si="33"/>
        <v>Ver Imagen</v>
      </c>
      <c r="M2077" t="s">
        <v>15</v>
      </c>
    </row>
    <row r="2078" spans="1:13" x14ac:dyDescent="0.25">
      <c r="A2078">
        <v>2077</v>
      </c>
      <c r="B2078" t="s">
        <v>4167</v>
      </c>
      <c r="C2078" s="1">
        <v>37.191948123099998</v>
      </c>
      <c r="D2078" s="1">
        <v>-6.9775376499700004</v>
      </c>
      <c r="E2078" s="3">
        <v>3</v>
      </c>
      <c r="F2078" s="2">
        <v>3</v>
      </c>
      <c r="G2078" s="4">
        <v>3</v>
      </c>
      <c r="H2078" s="13"/>
      <c r="I2078" s="15"/>
      <c r="J2078" s="19">
        <v>3</v>
      </c>
      <c r="K2078" s="2" t="s">
        <v>4168</v>
      </c>
      <c r="L2078" s="11" t="str">
        <f t="shared" si="33"/>
        <v>Ver Imagen</v>
      </c>
      <c r="M2078" t="s">
        <v>15</v>
      </c>
    </row>
    <row r="2079" spans="1:13" x14ac:dyDescent="0.25">
      <c r="A2079">
        <v>2078</v>
      </c>
      <c r="B2079" t="s">
        <v>4169</v>
      </c>
      <c r="C2079" s="1">
        <v>37.192223219500001</v>
      </c>
      <c r="D2079" s="1">
        <v>-6.9775068578799999</v>
      </c>
      <c r="E2079" s="3">
        <v>3</v>
      </c>
      <c r="F2079" s="2">
        <v>3</v>
      </c>
      <c r="G2079" s="4">
        <v>3</v>
      </c>
      <c r="H2079" s="13"/>
      <c r="I2079" s="15"/>
      <c r="J2079" s="19">
        <v>3</v>
      </c>
      <c r="K2079" s="2" t="s">
        <v>4170</v>
      </c>
      <c r="L2079" s="11" t="str">
        <f t="shared" si="33"/>
        <v>Ver Imagen</v>
      </c>
      <c r="M2079" t="s">
        <v>15</v>
      </c>
    </row>
    <row r="2080" spans="1:13" x14ac:dyDescent="0.25">
      <c r="A2080">
        <v>2079</v>
      </c>
      <c r="B2080" t="s">
        <v>4171</v>
      </c>
      <c r="C2080" s="1">
        <v>37.265795113199999</v>
      </c>
      <c r="D2080" s="1">
        <v>-6.9944653973299999</v>
      </c>
      <c r="E2080" s="3">
        <v>3</v>
      </c>
      <c r="F2080" s="2">
        <v>3</v>
      </c>
      <c r="G2080" s="4">
        <v>3</v>
      </c>
      <c r="H2080" s="13"/>
      <c r="I2080" s="15"/>
      <c r="J2080" s="19">
        <v>3</v>
      </c>
      <c r="K2080" s="2" t="s">
        <v>4172</v>
      </c>
      <c r="L2080" s="11" t="str">
        <f t="shared" si="33"/>
        <v>Ver Imagen</v>
      </c>
      <c r="M2080" t="s">
        <v>15</v>
      </c>
    </row>
    <row r="2081" spans="1:13" x14ac:dyDescent="0.25">
      <c r="A2081">
        <v>2080</v>
      </c>
      <c r="B2081" t="s">
        <v>4173</v>
      </c>
      <c r="C2081" s="1">
        <v>37.193392204699997</v>
      </c>
      <c r="D2081" s="1">
        <v>-6.97749305445</v>
      </c>
      <c r="E2081" s="3">
        <v>3</v>
      </c>
      <c r="F2081" s="2">
        <v>3</v>
      </c>
      <c r="G2081" s="4">
        <v>3</v>
      </c>
      <c r="H2081" s="13"/>
      <c r="I2081" s="15"/>
      <c r="J2081" s="19">
        <v>3</v>
      </c>
      <c r="K2081" s="2" t="s">
        <v>4174</v>
      </c>
      <c r="L2081" s="11" t="str">
        <f t="shared" si="33"/>
        <v>Ver Imagen</v>
      </c>
      <c r="M2081" t="s">
        <v>15</v>
      </c>
    </row>
    <row r="2082" spans="1:13" x14ac:dyDescent="0.25">
      <c r="A2082">
        <v>2081</v>
      </c>
      <c r="B2082" t="s">
        <v>4175</v>
      </c>
      <c r="C2082" s="1">
        <v>37.193559108300001</v>
      </c>
      <c r="D2082" s="1">
        <v>-6.9775090411400003</v>
      </c>
      <c r="E2082" s="3">
        <v>3</v>
      </c>
      <c r="F2082" s="2">
        <v>3</v>
      </c>
      <c r="G2082" s="4">
        <v>3</v>
      </c>
      <c r="H2082" s="13"/>
      <c r="I2082" s="15"/>
      <c r="J2082" s="19">
        <v>3</v>
      </c>
      <c r="K2082" s="2" t="s">
        <v>4176</v>
      </c>
      <c r="L2082" s="11" t="str">
        <f t="shared" si="33"/>
        <v>Ver Imagen</v>
      </c>
      <c r="M2082" t="s">
        <v>15</v>
      </c>
    </row>
    <row r="2083" spans="1:13" x14ac:dyDescent="0.25">
      <c r="A2083">
        <v>2082</v>
      </c>
      <c r="B2083" t="s">
        <v>4177</v>
      </c>
      <c r="C2083" s="1">
        <v>37.193763249200003</v>
      </c>
      <c r="D2083" s="1">
        <v>-6.9775368491399998</v>
      </c>
      <c r="E2083" s="3">
        <v>3</v>
      </c>
      <c r="F2083" s="2">
        <v>3</v>
      </c>
      <c r="G2083" s="4">
        <v>3</v>
      </c>
      <c r="H2083" s="13"/>
      <c r="I2083" s="15"/>
      <c r="J2083" s="19">
        <v>3</v>
      </c>
      <c r="K2083" s="2" t="s">
        <v>4178</v>
      </c>
      <c r="L2083" s="11" t="str">
        <f t="shared" si="33"/>
        <v>Ver Imagen</v>
      </c>
      <c r="M2083" t="s">
        <v>15</v>
      </c>
    </row>
    <row r="2084" spans="1:13" x14ac:dyDescent="0.25">
      <c r="A2084">
        <v>2083</v>
      </c>
      <c r="B2084" t="s">
        <v>4179</v>
      </c>
      <c r="C2084" s="1">
        <v>37.2652812344</v>
      </c>
      <c r="D2084" s="1">
        <v>-6.9971865829100004</v>
      </c>
      <c r="E2084" s="3">
        <v>3</v>
      </c>
      <c r="F2084" s="2">
        <v>3</v>
      </c>
      <c r="G2084" s="4">
        <v>3</v>
      </c>
      <c r="H2084" s="13"/>
      <c r="I2084" s="15"/>
      <c r="J2084" s="19">
        <v>3</v>
      </c>
      <c r="K2084" s="2" t="s">
        <v>4180</v>
      </c>
      <c r="L2084" s="11" t="str">
        <f t="shared" si="33"/>
        <v>Ver Imagen</v>
      </c>
      <c r="M2084" t="s">
        <v>15</v>
      </c>
    </row>
    <row r="2085" spans="1:13" x14ac:dyDescent="0.25">
      <c r="A2085">
        <v>2084</v>
      </c>
      <c r="B2085" t="s">
        <v>4181</v>
      </c>
      <c r="C2085" s="1">
        <v>37.265236129000002</v>
      </c>
      <c r="D2085" s="1">
        <v>-6.9974298593200004</v>
      </c>
      <c r="E2085" s="3">
        <v>3</v>
      </c>
      <c r="F2085" s="2">
        <v>3</v>
      </c>
      <c r="G2085" s="4">
        <v>3</v>
      </c>
      <c r="H2085" s="13"/>
      <c r="I2085" s="15"/>
      <c r="J2085" s="19">
        <v>3</v>
      </c>
      <c r="K2085" s="2" t="s">
        <v>4182</v>
      </c>
      <c r="L2085" s="11" t="str">
        <f t="shared" si="33"/>
        <v>Ver Imagen</v>
      </c>
      <c r="M2085" t="s">
        <v>15</v>
      </c>
    </row>
    <row r="2086" spans="1:13" x14ac:dyDescent="0.25">
      <c r="A2086">
        <v>2085</v>
      </c>
      <c r="B2086" t="s">
        <v>4183</v>
      </c>
      <c r="C2086" s="1">
        <v>37.265194854400001</v>
      </c>
      <c r="D2086" s="1">
        <v>-6.9976543110099998</v>
      </c>
      <c r="E2086" s="3">
        <v>3</v>
      </c>
      <c r="F2086" s="2">
        <v>3</v>
      </c>
      <c r="G2086" s="4">
        <v>3</v>
      </c>
      <c r="H2086" s="13"/>
      <c r="I2086" s="15"/>
      <c r="J2086" s="19">
        <v>3</v>
      </c>
      <c r="K2086" s="2" t="s">
        <v>4184</v>
      </c>
      <c r="L2086" s="11" t="str">
        <f t="shared" si="33"/>
        <v>Ver Imagen</v>
      </c>
      <c r="M2086" t="s">
        <v>15</v>
      </c>
    </row>
    <row r="2087" spans="1:13" x14ac:dyDescent="0.25">
      <c r="A2087">
        <v>2086</v>
      </c>
      <c r="B2087" t="s">
        <v>4185</v>
      </c>
      <c r="C2087" s="1">
        <v>37.265100448699997</v>
      </c>
      <c r="D2087" s="1">
        <v>-6.9981916488999998</v>
      </c>
      <c r="E2087" s="3">
        <v>3</v>
      </c>
      <c r="F2087" s="2">
        <v>3</v>
      </c>
      <c r="G2087" s="4">
        <v>3</v>
      </c>
      <c r="H2087" s="13"/>
      <c r="I2087" s="15"/>
      <c r="J2087" s="19">
        <v>3</v>
      </c>
      <c r="K2087" s="2" t="s">
        <v>4186</v>
      </c>
      <c r="L2087" s="11" t="str">
        <f t="shared" si="33"/>
        <v>Ver Imagen</v>
      </c>
      <c r="M2087" t="s">
        <v>15</v>
      </c>
    </row>
    <row r="2088" spans="1:13" x14ac:dyDescent="0.25">
      <c r="A2088">
        <v>2087</v>
      </c>
      <c r="B2088" t="s">
        <v>4187</v>
      </c>
      <c r="C2088" s="1">
        <v>37.1943933433</v>
      </c>
      <c r="D2088" s="1">
        <v>-6.9776828949800001</v>
      </c>
      <c r="E2088" s="3">
        <v>3</v>
      </c>
      <c r="F2088" s="2">
        <v>3</v>
      </c>
      <c r="G2088" s="4">
        <v>3</v>
      </c>
      <c r="H2088" s="13"/>
      <c r="I2088" s="15"/>
      <c r="J2088" s="19">
        <v>3</v>
      </c>
      <c r="K2088" s="2" t="s">
        <v>4188</v>
      </c>
      <c r="L2088" s="11" t="str">
        <f t="shared" si="33"/>
        <v>Ver Imagen</v>
      </c>
      <c r="M2088" t="s">
        <v>15</v>
      </c>
    </row>
    <row r="2089" spans="1:13" x14ac:dyDescent="0.25">
      <c r="A2089">
        <v>2088</v>
      </c>
      <c r="B2089" t="s">
        <v>4189</v>
      </c>
      <c r="C2089" s="1">
        <v>37.265065251800003</v>
      </c>
      <c r="D2089" s="1">
        <v>-6.9984115554599997</v>
      </c>
      <c r="E2089" s="3">
        <v>3</v>
      </c>
      <c r="F2089" s="2">
        <v>3</v>
      </c>
      <c r="G2089" s="4">
        <v>3</v>
      </c>
      <c r="H2089" s="13"/>
      <c r="I2089" s="15"/>
      <c r="J2089" s="19">
        <v>3</v>
      </c>
      <c r="K2089" s="2" t="s">
        <v>4190</v>
      </c>
      <c r="L2089" s="11" t="str">
        <f t="shared" si="33"/>
        <v>Ver Imagen</v>
      </c>
      <c r="M2089" t="s">
        <v>15</v>
      </c>
    </row>
    <row r="2090" spans="1:13" x14ac:dyDescent="0.25">
      <c r="A2090">
        <v>2089</v>
      </c>
      <c r="B2090" t="s">
        <v>4191</v>
      </c>
      <c r="C2090" s="1">
        <v>37.265026646300001</v>
      </c>
      <c r="D2090" s="1">
        <v>-6.9986693715900001</v>
      </c>
      <c r="E2090" s="3">
        <v>3</v>
      </c>
      <c r="F2090" s="2">
        <v>3</v>
      </c>
      <c r="G2090" s="4">
        <v>3</v>
      </c>
      <c r="H2090" s="13"/>
      <c r="I2090" s="15"/>
      <c r="J2090" s="19">
        <v>3</v>
      </c>
      <c r="K2090" s="2" t="s">
        <v>4192</v>
      </c>
      <c r="L2090" s="11" t="str">
        <f t="shared" si="33"/>
        <v>Ver Imagen</v>
      </c>
      <c r="M2090" t="s">
        <v>15</v>
      </c>
    </row>
    <row r="2091" spans="1:13" x14ac:dyDescent="0.25">
      <c r="A2091">
        <v>2090</v>
      </c>
      <c r="B2091" t="s">
        <v>4193</v>
      </c>
      <c r="C2091" s="1">
        <v>37.194792696900002</v>
      </c>
      <c r="D2091" s="1">
        <v>-6.9778128042700001</v>
      </c>
      <c r="E2091" s="3">
        <v>3</v>
      </c>
      <c r="F2091" s="2">
        <v>3</v>
      </c>
      <c r="G2091" s="4">
        <v>3</v>
      </c>
      <c r="H2091" s="13"/>
      <c r="I2091" s="15"/>
      <c r="J2091" s="19">
        <v>3</v>
      </c>
      <c r="K2091" s="2" t="s">
        <v>4194</v>
      </c>
      <c r="L2091" s="11" t="str">
        <f t="shared" si="33"/>
        <v>Ver Imagen</v>
      </c>
      <c r="M2091" t="s">
        <v>15</v>
      </c>
    </row>
    <row r="2092" spans="1:13" x14ac:dyDescent="0.25">
      <c r="A2092">
        <v>2091</v>
      </c>
      <c r="B2092" t="s">
        <v>4195</v>
      </c>
      <c r="C2092" s="1">
        <v>37.264991880499998</v>
      </c>
      <c r="D2092" s="1">
        <v>-6.9989033012600004</v>
      </c>
      <c r="E2092" s="3">
        <v>3</v>
      </c>
      <c r="F2092" s="2">
        <v>3</v>
      </c>
      <c r="G2092" s="4">
        <v>3</v>
      </c>
      <c r="H2092" s="13"/>
      <c r="I2092" s="15"/>
      <c r="J2092" s="19">
        <v>3</v>
      </c>
      <c r="K2092" s="2" t="s">
        <v>4196</v>
      </c>
      <c r="L2092" s="11" t="str">
        <f t="shared" si="33"/>
        <v>Ver Imagen</v>
      </c>
      <c r="M2092" t="s">
        <v>15</v>
      </c>
    </row>
    <row r="2093" spans="1:13" x14ac:dyDescent="0.25">
      <c r="A2093">
        <v>2092</v>
      </c>
      <c r="B2093" t="s">
        <v>4197</v>
      </c>
      <c r="C2093" s="1">
        <v>37.195553473899999</v>
      </c>
      <c r="D2093" s="1">
        <v>-6.9781516462999997</v>
      </c>
      <c r="E2093" s="3">
        <v>3</v>
      </c>
      <c r="F2093" s="2">
        <v>3</v>
      </c>
      <c r="G2093" s="4">
        <v>3</v>
      </c>
      <c r="H2093" s="13"/>
      <c r="I2093" s="15"/>
      <c r="J2093" s="19">
        <v>3</v>
      </c>
      <c r="K2093" s="2" t="s">
        <v>4198</v>
      </c>
      <c r="L2093" s="11" t="str">
        <f t="shared" si="33"/>
        <v>Ver Imagen</v>
      </c>
      <c r="M2093" t="s">
        <v>15</v>
      </c>
    </row>
    <row r="2094" spans="1:13" x14ac:dyDescent="0.25">
      <c r="A2094">
        <v>2093</v>
      </c>
      <c r="B2094" t="s">
        <v>4199</v>
      </c>
      <c r="C2094" s="1">
        <v>37.2647739648</v>
      </c>
      <c r="D2094" s="1">
        <v>-7.0001840237900002</v>
      </c>
      <c r="E2094" s="3">
        <v>3</v>
      </c>
      <c r="F2094" s="2">
        <v>3</v>
      </c>
      <c r="G2094" s="4">
        <v>3</v>
      </c>
      <c r="H2094" s="13"/>
      <c r="I2094" s="15"/>
      <c r="J2094" s="19">
        <v>3</v>
      </c>
      <c r="K2094" s="2" t="s">
        <v>4200</v>
      </c>
      <c r="L2094" s="11" t="str">
        <f t="shared" si="33"/>
        <v>Ver Imagen</v>
      </c>
      <c r="M2094" t="s">
        <v>15</v>
      </c>
    </row>
    <row r="2095" spans="1:13" x14ac:dyDescent="0.25">
      <c r="A2095">
        <v>2094</v>
      </c>
      <c r="B2095" t="s">
        <v>4201</v>
      </c>
      <c r="C2095" s="1">
        <v>37.264687480900001</v>
      </c>
      <c r="D2095" s="1">
        <v>-7.00067744524</v>
      </c>
      <c r="E2095" s="3">
        <v>3</v>
      </c>
      <c r="F2095" s="2">
        <v>3</v>
      </c>
      <c r="G2095" s="4">
        <v>3</v>
      </c>
      <c r="H2095" s="13"/>
      <c r="I2095" s="15"/>
      <c r="J2095" s="19">
        <v>3</v>
      </c>
      <c r="K2095" s="2" t="s">
        <v>4202</v>
      </c>
      <c r="L2095" s="11" t="str">
        <f t="shared" si="33"/>
        <v>Ver Imagen</v>
      </c>
      <c r="M2095" t="s">
        <v>15</v>
      </c>
    </row>
    <row r="2096" spans="1:13" x14ac:dyDescent="0.25">
      <c r="A2096">
        <v>2095</v>
      </c>
      <c r="B2096" t="s">
        <v>4203</v>
      </c>
      <c r="C2096" s="1">
        <v>37.1966038144</v>
      </c>
      <c r="D2096" s="1">
        <v>-6.9788666325299999</v>
      </c>
      <c r="E2096" s="3">
        <v>3</v>
      </c>
      <c r="F2096" s="2">
        <v>3</v>
      </c>
      <c r="G2096" s="4">
        <v>3</v>
      </c>
      <c r="H2096" s="13"/>
      <c r="I2096" s="15"/>
      <c r="J2096" s="19">
        <v>3</v>
      </c>
      <c r="K2096" s="2" t="s">
        <v>4204</v>
      </c>
      <c r="L2096" s="11" t="str">
        <f t="shared" si="33"/>
        <v>Ver Imagen</v>
      </c>
      <c r="M2096" t="s">
        <v>15</v>
      </c>
    </row>
    <row r="2097" spans="1:13" x14ac:dyDescent="0.25">
      <c r="A2097">
        <v>2096</v>
      </c>
      <c r="B2097" t="s">
        <v>4205</v>
      </c>
      <c r="C2097" s="1">
        <v>37.196783099299999</v>
      </c>
      <c r="D2097" s="1">
        <v>-6.9790231669300002</v>
      </c>
      <c r="E2097" s="3">
        <v>3</v>
      </c>
      <c r="F2097" s="2">
        <v>3</v>
      </c>
      <c r="G2097" s="4">
        <v>3</v>
      </c>
      <c r="H2097" s="13"/>
      <c r="I2097" s="15"/>
      <c r="J2097" s="19">
        <v>3</v>
      </c>
      <c r="K2097" s="2" t="s">
        <v>4206</v>
      </c>
      <c r="L2097" s="11" t="str">
        <f t="shared" si="33"/>
        <v>Ver Imagen</v>
      </c>
      <c r="M2097" t="s">
        <v>15</v>
      </c>
    </row>
    <row r="2098" spans="1:13" x14ac:dyDescent="0.25">
      <c r="A2098">
        <v>2097</v>
      </c>
      <c r="B2098" t="s">
        <v>4207</v>
      </c>
      <c r="C2098" s="1">
        <v>37.263584660500001</v>
      </c>
      <c r="D2098" s="1">
        <v>-7.0068513643100001</v>
      </c>
      <c r="E2098" s="3">
        <v>3</v>
      </c>
      <c r="F2098" s="2">
        <v>3</v>
      </c>
      <c r="G2098" s="4">
        <v>3</v>
      </c>
      <c r="H2098" s="13"/>
      <c r="I2098" s="15"/>
      <c r="J2098" s="19">
        <v>3</v>
      </c>
      <c r="K2098" s="2" t="s">
        <v>4208</v>
      </c>
      <c r="L2098" s="11" t="str">
        <f t="shared" si="33"/>
        <v>Ver Imagen</v>
      </c>
      <c r="M2098" t="s">
        <v>15</v>
      </c>
    </row>
    <row r="2099" spans="1:13" x14ac:dyDescent="0.25">
      <c r="A2099">
        <v>2098</v>
      </c>
      <c r="B2099" t="s">
        <v>4209</v>
      </c>
      <c r="C2099" s="1">
        <v>37.263544907099998</v>
      </c>
      <c r="D2099" s="1">
        <v>-7.0070555931999996</v>
      </c>
      <c r="E2099" s="3">
        <v>3</v>
      </c>
      <c r="F2099" s="2">
        <v>3</v>
      </c>
      <c r="G2099" s="4">
        <v>3</v>
      </c>
      <c r="H2099" s="13"/>
      <c r="I2099" s="15"/>
      <c r="J2099" s="19">
        <v>3</v>
      </c>
      <c r="K2099" s="2" t="s">
        <v>4210</v>
      </c>
      <c r="L2099" s="11" t="str">
        <f t="shared" si="33"/>
        <v>Ver Imagen</v>
      </c>
      <c r="M2099" t="s">
        <v>15</v>
      </c>
    </row>
    <row r="2100" spans="1:13" x14ac:dyDescent="0.25">
      <c r="A2100">
        <v>2099</v>
      </c>
      <c r="B2100" t="s">
        <v>4211</v>
      </c>
      <c r="C2100" s="1">
        <v>37.198461440999999</v>
      </c>
      <c r="D2100" s="1">
        <v>-6.9812035351799997</v>
      </c>
      <c r="E2100" s="3">
        <v>3</v>
      </c>
      <c r="F2100" s="2">
        <v>3</v>
      </c>
      <c r="G2100" s="4">
        <v>3</v>
      </c>
      <c r="H2100" s="13"/>
      <c r="I2100" s="15"/>
      <c r="J2100" s="19">
        <v>3</v>
      </c>
      <c r="K2100" s="2" t="s">
        <v>4212</v>
      </c>
      <c r="L2100" s="11" t="str">
        <f t="shared" si="33"/>
        <v>Ver Imagen</v>
      </c>
      <c r="M2100" t="s">
        <v>15</v>
      </c>
    </row>
    <row r="2101" spans="1:13" x14ac:dyDescent="0.25">
      <c r="A2101">
        <v>2100</v>
      </c>
      <c r="B2101" t="s">
        <v>4213</v>
      </c>
      <c r="C2101" s="1">
        <v>37.198658931499999</v>
      </c>
      <c r="D2101" s="1">
        <v>-6.9815939137600003</v>
      </c>
      <c r="E2101" s="3">
        <v>3</v>
      </c>
      <c r="F2101" s="2">
        <v>3</v>
      </c>
      <c r="G2101" s="4">
        <v>3</v>
      </c>
      <c r="H2101" s="13"/>
      <c r="I2101" s="15"/>
      <c r="J2101" s="19">
        <v>3</v>
      </c>
      <c r="K2101" s="2" t="s">
        <v>4214</v>
      </c>
      <c r="L2101" s="11" t="str">
        <f t="shared" si="33"/>
        <v>Ver Imagen</v>
      </c>
      <c r="M2101" t="s">
        <v>15</v>
      </c>
    </row>
    <row r="2102" spans="1:13" x14ac:dyDescent="0.25">
      <c r="A2102">
        <v>2101</v>
      </c>
      <c r="B2102" t="s">
        <v>4215</v>
      </c>
      <c r="C2102" s="1">
        <v>37.262686798099999</v>
      </c>
      <c r="D2102" s="1">
        <v>-7.0093827394800003</v>
      </c>
      <c r="E2102" s="3">
        <v>3</v>
      </c>
      <c r="F2102" s="2">
        <v>3</v>
      </c>
      <c r="G2102" s="4">
        <v>3</v>
      </c>
      <c r="H2102" s="13"/>
      <c r="I2102" s="15"/>
      <c r="J2102" s="19">
        <v>3</v>
      </c>
      <c r="K2102" s="2" t="s">
        <v>4216</v>
      </c>
      <c r="L2102" s="11" t="str">
        <f t="shared" si="33"/>
        <v>Ver Imagen</v>
      </c>
      <c r="M2102" t="s">
        <v>15</v>
      </c>
    </row>
    <row r="2103" spans="1:13" x14ac:dyDescent="0.25">
      <c r="A2103">
        <v>2102</v>
      </c>
      <c r="B2103" t="s">
        <v>4217</v>
      </c>
      <c r="C2103" s="1">
        <v>37.262438872899999</v>
      </c>
      <c r="D2103" s="1">
        <v>-7.0097517793500002</v>
      </c>
      <c r="E2103" s="3">
        <v>3</v>
      </c>
      <c r="F2103" s="2">
        <v>3</v>
      </c>
      <c r="G2103" s="4">
        <v>3</v>
      </c>
      <c r="H2103" s="13"/>
      <c r="I2103" s="15"/>
      <c r="J2103" s="19">
        <v>3</v>
      </c>
      <c r="K2103" s="2" t="s">
        <v>4218</v>
      </c>
      <c r="L2103" s="11" t="str">
        <f t="shared" si="33"/>
        <v>Ver Imagen</v>
      </c>
      <c r="M2103" t="s">
        <v>15</v>
      </c>
    </row>
    <row r="2104" spans="1:13" x14ac:dyDescent="0.25">
      <c r="A2104">
        <v>2103</v>
      </c>
      <c r="B2104" t="s">
        <v>4219</v>
      </c>
      <c r="C2104" s="1">
        <v>37.262318965299997</v>
      </c>
      <c r="D2104" s="1">
        <v>-7.0099075431699998</v>
      </c>
      <c r="E2104" s="3">
        <v>3</v>
      </c>
      <c r="F2104" s="2">
        <v>3</v>
      </c>
      <c r="G2104" s="4">
        <v>3</v>
      </c>
      <c r="H2104" s="13"/>
      <c r="I2104" s="15"/>
      <c r="J2104" s="19">
        <v>3</v>
      </c>
      <c r="K2104" s="2" t="s">
        <v>4220</v>
      </c>
      <c r="L2104" s="11" t="str">
        <f t="shared" si="33"/>
        <v>Ver Imagen</v>
      </c>
      <c r="M2104" t="s">
        <v>15</v>
      </c>
    </row>
    <row r="2105" spans="1:13" x14ac:dyDescent="0.25">
      <c r="A2105">
        <v>2104</v>
      </c>
      <c r="B2105" t="s">
        <v>4221</v>
      </c>
      <c r="C2105" s="1">
        <v>37.262167680899999</v>
      </c>
      <c r="D2105" s="1">
        <v>-7.0100866581699997</v>
      </c>
      <c r="E2105" s="3">
        <v>3</v>
      </c>
      <c r="F2105" s="2">
        <v>3</v>
      </c>
      <c r="G2105" s="4">
        <v>3</v>
      </c>
      <c r="H2105" s="13"/>
      <c r="I2105" s="15"/>
      <c r="J2105" s="19">
        <v>3</v>
      </c>
      <c r="K2105" s="2" t="s">
        <v>4222</v>
      </c>
      <c r="L2105" s="11" t="str">
        <f t="shared" si="33"/>
        <v>Ver Imagen</v>
      </c>
      <c r="M2105" t="s">
        <v>15</v>
      </c>
    </row>
    <row r="2106" spans="1:13" x14ac:dyDescent="0.25">
      <c r="A2106">
        <v>2105</v>
      </c>
      <c r="B2106" t="s">
        <v>4223</v>
      </c>
      <c r="C2106" s="1">
        <v>37.258618697400003</v>
      </c>
      <c r="D2106" s="1">
        <v>-7.0125866599400002</v>
      </c>
      <c r="E2106" s="3">
        <v>3</v>
      </c>
      <c r="F2106" s="2">
        <v>3</v>
      </c>
      <c r="G2106" s="4">
        <v>3</v>
      </c>
      <c r="H2106" s="13"/>
      <c r="I2106" s="15"/>
      <c r="J2106" s="19">
        <v>3</v>
      </c>
      <c r="K2106" s="2" t="s">
        <v>4224</v>
      </c>
      <c r="L2106" s="11" t="str">
        <f t="shared" si="33"/>
        <v>Ver Imagen</v>
      </c>
      <c r="M2106" t="s">
        <v>15</v>
      </c>
    </row>
    <row r="2107" spans="1:13" x14ac:dyDescent="0.25">
      <c r="A2107">
        <v>2106</v>
      </c>
      <c r="B2107" t="s">
        <v>4225</v>
      </c>
      <c r="C2107" s="1">
        <v>37.257853022100001</v>
      </c>
      <c r="D2107" s="1">
        <v>-7.0130725756799999</v>
      </c>
      <c r="E2107" s="3">
        <v>3</v>
      </c>
      <c r="F2107" s="2">
        <v>3</v>
      </c>
      <c r="G2107" s="4">
        <v>3</v>
      </c>
      <c r="H2107" s="13"/>
      <c r="I2107" s="15"/>
      <c r="J2107" s="19">
        <v>3</v>
      </c>
      <c r="K2107" s="2" t="s">
        <v>4226</v>
      </c>
      <c r="L2107" s="11" t="str">
        <f t="shared" si="33"/>
        <v>Ver Imagen</v>
      </c>
      <c r="M2107" t="s">
        <v>15</v>
      </c>
    </row>
    <row r="2108" spans="1:13" x14ac:dyDescent="0.25">
      <c r="A2108">
        <v>2107</v>
      </c>
      <c r="B2108" t="s">
        <v>4227</v>
      </c>
      <c r="C2108" s="1">
        <v>37.257703934600002</v>
      </c>
      <c r="D2108" s="1">
        <v>-7.0131653477700002</v>
      </c>
      <c r="E2108" s="3">
        <v>3</v>
      </c>
      <c r="F2108" s="2">
        <v>3</v>
      </c>
      <c r="G2108" s="4">
        <v>3</v>
      </c>
      <c r="H2108" s="13"/>
      <c r="I2108" s="15"/>
      <c r="J2108" s="19">
        <v>3</v>
      </c>
      <c r="K2108" s="2" t="s">
        <v>4228</v>
      </c>
      <c r="L2108" s="11" t="str">
        <f t="shared" si="33"/>
        <v>Ver Imagen</v>
      </c>
      <c r="M2108" t="s">
        <v>15</v>
      </c>
    </row>
    <row r="2109" spans="1:13" x14ac:dyDescent="0.25">
      <c r="A2109">
        <v>2108</v>
      </c>
      <c r="B2109" t="s">
        <v>4229</v>
      </c>
      <c r="C2109" s="1">
        <v>37.256790958899998</v>
      </c>
      <c r="D2109" s="1">
        <v>-7.0137464133799998</v>
      </c>
      <c r="E2109" s="3">
        <v>3</v>
      </c>
      <c r="F2109" s="2">
        <v>3</v>
      </c>
      <c r="G2109" s="4">
        <v>3</v>
      </c>
      <c r="H2109" s="13"/>
      <c r="I2109" s="15"/>
      <c r="J2109" s="19">
        <v>3</v>
      </c>
      <c r="K2109" s="2" t="s">
        <v>4230</v>
      </c>
      <c r="L2109" s="11" t="str">
        <f t="shared" si="33"/>
        <v>Ver Imagen</v>
      </c>
      <c r="M2109" t="s">
        <v>15</v>
      </c>
    </row>
    <row r="2110" spans="1:13" x14ac:dyDescent="0.25">
      <c r="A2110">
        <v>2109</v>
      </c>
      <c r="B2110" t="s">
        <v>4231</v>
      </c>
      <c r="C2110" s="1">
        <v>37.256627947799998</v>
      </c>
      <c r="D2110" s="1">
        <v>-7.0138502629800001</v>
      </c>
      <c r="E2110" s="3">
        <v>3</v>
      </c>
      <c r="F2110" s="2">
        <v>3</v>
      </c>
      <c r="G2110" s="4">
        <v>3</v>
      </c>
      <c r="H2110" s="13"/>
      <c r="I2110" s="15"/>
      <c r="J2110" s="19">
        <v>3</v>
      </c>
      <c r="K2110" s="2" t="s">
        <v>4232</v>
      </c>
      <c r="L2110" s="11" t="str">
        <f t="shared" ref="L2110:L2173" si="34">HYPERLINK("3\0\" &amp; K2110, "Ver Imagen")</f>
        <v>Ver Imagen</v>
      </c>
      <c r="M2110" t="s">
        <v>15</v>
      </c>
    </row>
    <row r="2111" spans="1:13" x14ac:dyDescent="0.25">
      <c r="A2111">
        <v>2110</v>
      </c>
      <c r="B2111" t="s">
        <v>4233</v>
      </c>
      <c r="C2111" s="1">
        <v>37.201631905600003</v>
      </c>
      <c r="D2111" s="1">
        <v>-6.9934197868399997</v>
      </c>
      <c r="E2111" s="3">
        <v>3</v>
      </c>
      <c r="F2111" s="2">
        <v>3</v>
      </c>
      <c r="G2111" s="4">
        <v>3</v>
      </c>
      <c r="H2111" s="13"/>
      <c r="I2111" s="15"/>
      <c r="J2111" s="19">
        <v>3</v>
      </c>
      <c r="K2111" s="2" t="s">
        <v>4234</v>
      </c>
      <c r="L2111" s="11" t="str">
        <f t="shared" si="34"/>
        <v>Ver Imagen</v>
      </c>
      <c r="M2111" t="s">
        <v>15</v>
      </c>
    </row>
    <row r="2112" spans="1:13" x14ac:dyDescent="0.25">
      <c r="A2112">
        <v>2111</v>
      </c>
      <c r="B2112" t="s">
        <v>4235</v>
      </c>
      <c r="C2112" s="1">
        <v>37.202148417499998</v>
      </c>
      <c r="D2112" s="1">
        <v>-6.9964150927900004</v>
      </c>
      <c r="E2112" s="3">
        <v>3</v>
      </c>
      <c r="F2112" s="2">
        <v>3</v>
      </c>
      <c r="G2112" s="4">
        <v>3</v>
      </c>
      <c r="H2112" s="13"/>
      <c r="I2112" s="15"/>
      <c r="J2112" s="19">
        <v>3</v>
      </c>
      <c r="K2112" s="2" t="s">
        <v>4236</v>
      </c>
      <c r="L2112" s="11" t="str">
        <f t="shared" si="34"/>
        <v>Ver Imagen</v>
      </c>
      <c r="M2112" t="s">
        <v>15</v>
      </c>
    </row>
    <row r="2113" spans="1:13" x14ac:dyDescent="0.25">
      <c r="A2113">
        <v>2112</v>
      </c>
      <c r="B2113" t="s">
        <v>4237</v>
      </c>
      <c r="C2113" s="1">
        <v>37.202185134899999</v>
      </c>
      <c r="D2113" s="1">
        <v>-6.9966480706800001</v>
      </c>
      <c r="E2113" s="3">
        <v>3</v>
      </c>
      <c r="F2113" s="2">
        <v>3</v>
      </c>
      <c r="G2113" s="4">
        <v>3</v>
      </c>
      <c r="H2113" s="13"/>
      <c r="I2113" s="15"/>
      <c r="J2113" s="19">
        <v>3</v>
      </c>
      <c r="K2113" s="2" t="s">
        <v>4238</v>
      </c>
      <c r="L2113" s="11" t="str">
        <f t="shared" si="34"/>
        <v>Ver Imagen</v>
      </c>
      <c r="M2113" t="s">
        <v>15</v>
      </c>
    </row>
    <row r="2114" spans="1:13" x14ac:dyDescent="0.25">
      <c r="A2114">
        <v>2113</v>
      </c>
      <c r="B2114" t="s">
        <v>4239</v>
      </c>
      <c r="C2114" s="1">
        <v>37.2022186353</v>
      </c>
      <c r="D2114" s="1">
        <v>-6.9968611326100003</v>
      </c>
      <c r="E2114" s="3">
        <v>3</v>
      </c>
      <c r="F2114" s="2">
        <v>3</v>
      </c>
      <c r="G2114" s="4">
        <v>3</v>
      </c>
      <c r="H2114" s="13"/>
      <c r="I2114" s="15"/>
      <c r="J2114" s="19">
        <v>3</v>
      </c>
      <c r="K2114" s="2" t="s">
        <v>4240</v>
      </c>
      <c r="L2114" s="11" t="str">
        <f t="shared" si="34"/>
        <v>Ver Imagen</v>
      </c>
      <c r="M2114" t="s">
        <v>15</v>
      </c>
    </row>
    <row r="2115" spans="1:13" x14ac:dyDescent="0.25">
      <c r="A2115">
        <v>2114</v>
      </c>
      <c r="B2115" t="s">
        <v>4241</v>
      </c>
      <c r="C2115" s="1">
        <v>37.202966473700002</v>
      </c>
      <c r="D2115" s="1">
        <v>-7.0026308358499998</v>
      </c>
      <c r="E2115" s="3">
        <v>3</v>
      </c>
      <c r="F2115" s="2">
        <v>3</v>
      </c>
      <c r="G2115" s="4">
        <v>3</v>
      </c>
      <c r="H2115" s="13"/>
      <c r="I2115" s="15"/>
      <c r="J2115" s="19">
        <v>3</v>
      </c>
      <c r="K2115" s="2" t="s">
        <v>4242</v>
      </c>
      <c r="L2115" s="11" t="str">
        <f t="shared" si="34"/>
        <v>Ver Imagen</v>
      </c>
      <c r="M2115" t="s">
        <v>15</v>
      </c>
    </row>
    <row r="2116" spans="1:13" x14ac:dyDescent="0.25">
      <c r="A2116">
        <v>2115</v>
      </c>
      <c r="B2116" t="s">
        <v>4243</v>
      </c>
      <c r="C2116" s="1">
        <v>37.203018248600003</v>
      </c>
      <c r="D2116" s="1">
        <v>-7.0031282886200001</v>
      </c>
      <c r="E2116" s="3">
        <v>3</v>
      </c>
      <c r="F2116" s="2">
        <v>3</v>
      </c>
      <c r="G2116" s="4">
        <v>3</v>
      </c>
      <c r="H2116" s="13"/>
      <c r="I2116" s="15"/>
      <c r="J2116" s="19">
        <v>3</v>
      </c>
      <c r="K2116" s="2" t="s">
        <v>4244</v>
      </c>
      <c r="L2116" s="11" t="str">
        <f t="shared" si="34"/>
        <v>Ver Imagen</v>
      </c>
      <c r="M2116" t="s">
        <v>15</v>
      </c>
    </row>
    <row r="2117" spans="1:13" x14ac:dyDescent="0.25">
      <c r="A2117">
        <v>2116</v>
      </c>
      <c r="B2117" t="s">
        <v>4245</v>
      </c>
      <c r="C2117" s="1">
        <v>37.255151180200002</v>
      </c>
      <c r="D2117" s="1">
        <v>-7.0147953491799999</v>
      </c>
      <c r="E2117" s="3">
        <v>3</v>
      </c>
      <c r="F2117" s="2">
        <v>3</v>
      </c>
      <c r="G2117" s="4">
        <v>3</v>
      </c>
      <c r="H2117" s="13"/>
      <c r="I2117" s="15"/>
      <c r="J2117" s="19">
        <v>3</v>
      </c>
      <c r="K2117" s="2" t="s">
        <v>4246</v>
      </c>
      <c r="L2117" s="11" t="str">
        <f t="shared" si="34"/>
        <v>Ver Imagen</v>
      </c>
      <c r="M2117" t="s">
        <v>15</v>
      </c>
    </row>
    <row r="2118" spans="1:13" x14ac:dyDescent="0.25">
      <c r="A2118">
        <v>2117</v>
      </c>
      <c r="B2118" t="s">
        <v>4247</v>
      </c>
      <c r="C2118" s="1">
        <v>37.2549941065</v>
      </c>
      <c r="D2118" s="1">
        <v>-7.0148966050899997</v>
      </c>
      <c r="E2118" s="3">
        <v>3</v>
      </c>
      <c r="F2118" s="2">
        <v>3</v>
      </c>
      <c r="G2118" s="4">
        <v>3</v>
      </c>
      <c r="H2118" s="13"/>
      <c r="I2118" s="15"/>
      <c r="J2118" s="19">
        <v>3</v>
      </c>
      <c r="K2118" s="2" t="s">
        <v>4248</v>
      </c>
      <c r="L2118" s="11" t="str">
        <f t="shared" si="34"/>
        <v>Ver Imagen</v>
      </c>
      <c r="M2118" t="s">
        <v>15</v>
      </c>
    </row>
    <row r="2119" spans="1:13" x14ac:dyDescent="0.25">
      <c r="A2119">
        <v>2118</v>
      </c>
      <c r="B2119" t="s">
        <v>4249</v>
      </c>
      <c r="C2119" s="1">
        <v>37.253735968800001</v>
      </c>
      <c r="D2119" s="1">
        <v>-7.0157038714800004</v>
      </c>
      <c r="E2119" s="3">
        <v>3</v>
      </c>
      <c r="F2119" s="2">
        <v>3</v>
      </c>
      <c r="G2119" s="4">
        <v>3</v>
      </c>
      <c r="H2119" s="13"/>
      <c r="I2119" s="15"/>
      <c r="J2119" s="19">
        <v>3</v>
      </c>
      <c r="K2119" s="2" t="s">
        <v>4250</v>
      </c>
      <c r="L2119" s="11" t="str">
        <f t="shared" si="34"/>
        <v>Ver Imagen</v>
      </c>
      <c r="M2119" t="s">
        <v>15</v>
      </c>
    </row>
    <row r="2120" spans="1:13" x14ac:dyDescent="0.25">
      <c r="A2120">
        <v>2119</v>
      </c>
      <c r="B2120" t="s">
        <v>4251</v>
      </c>
      <c r="C2120" s="1">
        <v>37.253572087499997</v>
      </c>
      <c r="D2120" s="1">
        <v>-7.0158097595599997</v>
      </c>
      <c r="E2120" s="3">
        <v>3</v>
      </c>
      <c r="F2120" s="2">
        <v>3</v>
      </c>
      <c r="G2120" s="4">
        <v>3</v>
      </c>
      <c r="H2120" s="13"/>
      <c r="I2120" s="15"/>
      <c r="J2120" s="19">
        <v>3</v>
      </c>
      <c r="K2120" s="2" t="s">
        <v>4252</v>
      </c>
      <c r="L2120" s="11" t="str">
        <f t="shared" si="34"/>
        <v>Ver Imagen</v>
      </c>
      <c r="M2120" t="s">
        <v>15</v>
      </c>
    </row>
    <row r="2121" spans="1:13" x14ac:dyDescent="0.25">
      <c r="A2121">
        <v>2120</v>
      </c>
      <c r="B2121" t="s">
        <v>4253</v>
      </c>
      <c r="C2121" s="1">
        <v>37.253384629400003</v>
      </c>
      <c r="D2121" s="1">
        <v>-7.0159301549000004</v>
      </c>
      <c r="E2121" s="3">
        <v>3</v>
      </c>
      <c r="F2121" s="2">
        <v>3</v>
      </c>
      <c r="G2121" s="4">
        <v>3</v>
      </c>
      <c r="H2121" s="13"/>
      <c r="I2121" s="15"/>
      <c r="J2121" s="19">
        <v>3</v>
      </c>
      <c r="K2121" s="2" t="s">
        <v>4254</v>
      </c>
      <c r="L2121" s="11" t="str">
        <f t="shared" si="34"/>
        <v>Ver Imagen</v>
      </c>
      <c r="M2121" t="s">
        <v>15</v>
      </c>
    </row>
    <row r="2122" spans="1:13" x14ac:dyDescent="0.25">
      <c r="A2122">
        <v>2121</v>
      </c>
      <c r="B2122" t="s">
        <v>4255</v>
      </c>
      <c r="C2122" s="1">
        <v>37.253183033100001</v>
      </c>
      <c r="D2122" s="1">
        <v>-7.0160589596999996</v>
      </c>
      <c r="E2122" s="3">
        <v>3</v>
      </c>
      <c r="F2122" s="2">
        <v>3</v>
      </c>
      <c r="G2122" s="4">
        <v>3</v>
      </c>
      <c r="H2122" s="13"/>
      <c r="I2122" s="15"/>
      <c r="J2122" s="19">
        <v>3</v>
      </c>
      <c r="K2122" s="2" t="s">
        <v>4256</v>
      </c>
      <c r="L2122" s="11" t="str">
        <f t="shared" si="34"/>
        <v>Ver Imagen</v>
      </c>
      <c r="M2122" t="s">
        <v>15</v>
      </c>
    </row>
    <row r="2123" spans="1:13" x14ac:dyDescent="0.25">
      <c r="A2123">
        <v>2122</v>
      </c>
      <c r="B2123" t="s">
        <v>4257</v>
      </c>
      <c r="C2123" s="1">
        <v>37.2530235093</v>
      </c>
      <c r="D2123" s="1">
        <v>-7.0161607570499998</v>
      </c>
      <c r="E2123" s="3">
        <v>3</v>
      </c>
      <c r="F2123" s="2">
        <v>3</v>
      </c>
      <c r="G2123" s="4">
        <v>3</v>
      </c>
      <c r="H2123" s="13"/>
      <c r="I2123" s="15"/>
      <c r="J2123" s="19">
        <v>3</v>
      </c>
      <c r="K2123" s="2" t="s">
        <v>4258</v>
      </c>
      <c r="L2123" s="11" t="str">
        <f t="shared" si="34"/>
        <v>Ver Imagen</v>
      </c>
      <c r="M2123" t="s">
        <v>15</v>
      </c>
    </row>
    <row r="2124" spans="1:13" x14ac:dyDescent="0.25">
      <c r="A2124">
        <v>2123</v>
      </c>
      <c r="B2124" t="s">
        <v>4259</v>
      </c>
      <c r="C2124" s="1">
        <v>37.252284152000001</v>
      </c>
      <c r="D2124" s="1">
        <v>-7.0166340913300003</v>
      </c>
      <c r="E2124" s="3">
        <v>3</v>
      </c>
      <c r="F2124" s="2">
        <v>3</v>
      </c>
      <c r="G2124" s="4">
        <v>3</v>
      </c>
      <c r="H2124" s="13"/>
      <c r="I2124" s="15"/>
      <c r="J2124" s="19">
        <v>3</v>
      </c>
      <c r="K2124" s="2" t="s">
        <v>4260</v>
      </c>
      <c r="L2124" s="11" t="str">
        <f t="shared" si="34"/>
        <v>Ver Imagen</v>
      </c>
      <c r="M2124" t="s">
        <v>15</v>
      </c>
    </row>
    <row r="2125" spans="1:13" x14ac:dyDescent="0.25">
      <c r="A2125">
        <v>2124</v>
      </c>
      <c r="B2125" t="s">
        <v>4261</v>
      </c>
      <c r="C2125" s="1">
        <v>37.251919013299997</v>
      </c>
      <c r="D2125" s="1">
        <v>-7.0168664402800003</v>
      </c>
      <c r="E2125" s="3">
        <v>3</v>
      </c>
      <c r="F2125" s="2">
        <v>3</v>
      </c>
      <c r="G2125" s="4">
        <v>3</v>
      </c>
      <c r="H2125" s="13"/>
      <c r="I2125" s="15"/>
      <c r="J2125" s="19">
        <v>3</v>
      </c>
      <c r="K2125" s="2" t="s">
        <v>4262</v>
      </c>
      <c r="L2125" s="11" t="str">
        <f t="shared" si="34"/>
        <v>Ver Imagen</v>
      </c>
      <c r="M2125" t="s">
        <v>15</v>
      </c>
    </row>
    <row r="2126" spans="1:13" x14ac:dyDescent="0.25">
      <c r="A2126">
        <v>2125</v>
      </c>
      <c r="B2126" t="s">
        <v>4263</v>
      </c>
      <c r="C2126" s="1">
        <v>37.251755666199998</v>
      </c>
      <c r="D2126" s="1">
        <v>-7.0169714608399998</v>
      </c>
      <c r="E2126" s="3">
        <v>3</v>
      </c>
      <c r="F2126" s="2">
        <v>3</v>
      </c>
      <c r="G2126" s="4">
        <v>3</v>
      </c>
      <c r="H2126" s="13"/>
      <c r="I2126" s="15"/>
      <c r="J2126" s="19">
        <v>3</v>
      </c>
      <c r="K2126" s="2" t="s">
        <v>4264</v>
      </c>
      <c r="L2126" s="11" t="str">
        <f t="shared" si="34"/>
        <v>Ver Imagen</v>
      </c>
      <c r="M2126" t="s">
        <v>15</v>
      </c>
    </row>
    <row r="2127" spans="1:13" x14ac:dyDescent="0.25">
      <c r="A2127">
        <v>2126</v>
      </c>
      <c r="B2127" t="s">
        <v>4265</v>
      </c>
      <c r="C2127" s="1">
        <v>37.203857371700003</v>
      </c>
      <c r="D2127" s="1">
        <v>-7.0093635334600002</v>
      </c>
      <c r="E2127" s="3">
        <v>3</v>
      </c>
      <c r="F2127" s="2">
        <v>3</v>
      </c>
      <c r="G2127" s="4">
        <v>3</v>
      </c>
      <c r="H2127" s="13"/>
      <c r="I2127" s="15"/>
      <c r="J2127" s="19">
        <v>3</v>
      </c>
      <c r="K2127" s="2" t="s">
        <v>4266</v>
      </c>
      <c r="L2127" s="11" t="str">
        <f t="shared" si="34"/>
        <v>Ver Imagen</v>
      </c>
      <c r="M2127" t="s">
        <v>15</v>
      </c>
    </row>
    <row r="2128" spans="1:13" x14ac:dyDescent="0.25">
      <c r="A2128">
        <v>2127</v>
      </c>
      <c r="B2128" t="s">
        <v>4267</v>
      </c>
      <c r="C2128" s="1">
        <v>37.204108574700001</v>
      </c>
      <c r="D2128" s="1">
        <v>-7.0108890055900002</v>
      </c>
      <c r="E2128" s="3">
        <v>3</v>
      </c>
      <c r="F2128" s="2">
        <v>3</v>
      </c>
      <c r="G2128" s="4">
        <v>3</v>
      </c>
      <c r="H2128" s="13"/>
      <c r="I2128" s="15"/>
      <c r="J2128" s="19">
        <v>3</v>
      </c>
      <c r="K2128" s="2" t="s">
        <v>4268</v>
      </c>
      <c r="L2128" s="11" t="str">
        <f t="shared" si="34"/>
        <v>Ver Imagen</v>
      </c>
      <c r="M2128" t="s">
        <v>15</v>
      </c>
    </row>
    <row r="2129" spans="1:13" x14ac:dyDescent="0.25">
      <c r="A2129">
        <v>2128</v>
      </c>
      <c r="B2129" t="s">
        <v>4269</v>
      </c>
      <c r="C2129" s="1">
        <v>37.204410751399998</v>
      </c>
      <c r="D2129" s="1">
        <v>-7.0126141648100004</v>
      </c>
      <c r="E2129" s="3">
        <v>3</v>
      </c>
      <c r="F2129" s="2">
        <v>3</v>
      </c>
      <c r="G2129" s="4">
        <v>3</v>
      </c>
      <c r="H2129" s="13"/>
      <c r="I2129" s="15"/>
      <c r="J2129" s="19">
        <v>3</v>
      </c>
      <c r="K2129" s="2" t="s">
        <v>4270</v>
      </c>
      <c r="L2129" s="11" t="str">
        <f t="shared" si="34"/>
        <v>Ver Imagen</v>
      </c>
      <c r="M2129" t="s">
        <v>15</v>
      </c>
    </row>
    <row r="2130" spans="1:13" x14ac:dyDescent="0.25">
      <c r="A2130">
        <v>2129</v>
      </c>
      <c r="B2130" t="s">
        <v>4271</v>
      </c>
      <c r="C2130" s="1">
        <v>37.246524761300002</v>
      </c>
      <c r="D2130" s="1">
        <v>-7.0184327445900001</v>
      </c>
      <c r="E2130" s="3">
        <v>3</v>
      </c>
      <c r="F2130" s="2">
        <v>3</v>
      </c>
      <c r="G2130" s="4">
        <v>3</v>
      </c>
      <c r="H2130" s="13"/>
      <c r="I2130" s="15"/>
      <c r="J2130" s="19">
        <v>3</v>
      </c>
      <c r="K2130" s="2" t="s">
        <v>4272</v>
      </c>
      <c r="L2130" s="11" t="str">
        <f t="shared" si="34"/>
        <v>Ver Imagen</v>
      </c>
      <c r="M2130" t="s">
        <v>15</v>
      </c>
    </row>
    <row r="2131" spans="1:13" x14ac:dyDescent="0.25">
      <c r="A2131">
        <v>2130</v>
      </c>
      <c r="B2131" t="s">
        <v>4273</v>
      </c>
      <c r="C2131" s="1">
        <v>37.245903357499998</v>
      </c>
      <c r="D2131" s="1">
        <v>-7.01845487784</v>
      </c>
      <c r="E2131" s="3">
        <v>3</v>
      </c>
      <c r="F2131" s="2">
        <v>3</v>
      </c>
      <c r="G2131" s="4">
        <v>3</v>
      </c>
      <c r="H2131" s="13"/>
      <c r="I2131" s="15"/>
      <c r="J2131" s="19">
        <v>3</v>
      </c>
      <c r="K2131" s="2" t="s">
        <v>4274</v>
      </c>
      <c r="L2131" s="11" t="str">
        <f t="shared" si="34"/>
        <v>Ver Imagen</v>
      </c>
      <c r="M2131" t="s">
        <v>15</v>
      </c>
    </row>
    <row r="2132" spans="1:13" x14ac:dyDescent="0.25">
      <c r="A2132">
        <v>2131</v>
      </c>
      <c r="B2132" t="s">
        <v>4275</v>
      </c>
      <c r="C2132" s="1">
        <v>37.245502926900002</v>
      </c>
      <c r="D2132" s="1">
        <v>-7.0184681893500001</v>
      </c>
      <c r="E2132" s="3">
        <v>3</v>
      </c>
      <c r="F2132" s="2">
        <v>3</v>
      </c>
      <c r="G2132" s="4">
        <v>3</v>
      </c>
      <c r="H2132" s="13"/>
      <c r="I2132" s="15"/>
      <c r="J2132" s="19">
        <v>3</v>
      </c>
      <c r="K2132" s="2" t="s">
        <v>4276</v>
      </c>
      <c r="L2132" s="11" t="str">
        <f t="shared" si="34"/>
        <v>Ver Imagen</v>
      </c>
      <c r="M2132" t="s">
        <v>15</v>
      </c>
    </row>
    <row r="2133" spans="1:13" x14ac:dyDescent="0.25">
      <c r="A2133">
        <v>2132</v>
      </c>
      <c r="B2133" t="s">
        <v>4277</v>
      </c>
      <c r="C2133" s="1">
        <v>37.244865363499997</v>
      </c>
      <c r="D2133" s="1">
        <v>-7.0184893955099996</v>
      </c>
      <c r="E2133" s="3">
        <v>3</v>
      </c>
      <c r="F2133" s="2">
        <v>3</v>
      </c>
      <c r="G2133" s="4">
        <v>3</v>
      </c>
      <c r="H2133" s="13"/>
      <c r="I2133" s="15"/>
      <c r="J2133" s="19">
        <v>3</v>
      </c>
      <c r="K2133" s="2" t="s">
        <v>4278</v>
      </c>
      <c r="L2133" s="11" t="str">
        <f t="shared" si="34"/>
        <v>Ver Imagen</v>
      </c>
      <c r="M2133" t="s">
        <v>15</v>
      </c>
    </row>
    <row r="2134" spans="1:13" x14ac:dyDescent="0.25">
      <c r="A2134">
        <v>2133</v>
      </c>
      <c r="B2134" t="s">
        <v>4279</v>
      </c>
      <c r="C2134" s="1">
        <v>37.243877327</v>
      </c>
      <c r="D2134" s="1">
        <v>-7.0185307432000004</v>
      </c>
      <c r="E2134" s="3">
        <v>3</v>
      </c>
      <c r="F2134" s="2">
        <v>3</v>
      </c>
      <c r="G2134" s="4">
        <v>3</v>
      </c>
      <c r="H2134" s="13"/>
      <c r="I2134" s="15"/>
      <c r="J2134" s="19">
        <v>3</v>
      </c>
      <c r="K2134" s="2" t="s">
        <v>4280</v>
      </c>
      <c r="L2134" s="11" t="str">
        <f t="shared" si="34"/>
        <v>Ver Imagen</v>
      </c>
      <c r="M2134" t="s">
        <v>15</v>
      </c>
    </row>
    <row r="2135" spans="1:13" x14ac:dyDescent="0.25">
      <c r="A2135">
        <v>2134</v>
      </c>
      <c r="B2135" t="s">
        <v>4281</v>
      </c>
      <c r="C2135" s="1">
        <v>37.242618589499997</v>
      </c>
      <c r="D2135" s="1">
        <v>-7.0185776797599999</v>
      </c>
      <c r="E2135" s="3">
        <v>3</v>
      </c>
      <c r="F2135" s="2">
        <v>3</v>
      </c>
      <c r="G2135" s="4">
        <v>3</v>
      </c>
      <c r="H2135" s="13"/>
      <c r="I2135" s="15"/>
      <c r="J2135" s="19">
        <v>3</v>
      </c>
      <c r="K2135" s="2" t="s">
        <v>4282</v>
      </c>
      <c r="L2135" s="11" t="str">
        <f t="shared" si="34"/>
        <v>Ver Imagen</v>
      </c>
      <c r="M2135" t="s">
        <v>15</v>
      </c>
    </row>
    <row r="2136" spans="1:13" x14ac:dyDescent="0.25">
      <c r="A2136">
        <v>2135</v>
      </c>
      <c r="B2136" t="s">
        <v>4283</v>
      </c>
      <c r="C2136" s="1">
        <v>37.2416203115</v>
      </c>
      <c r="D2136" s="1">
        <v>-7.0186106450599999</v>
      </c>
      <c r="E2136" s="3">
        <v>3</v>
      </c>
      <c r="F2136" s="2">
        <v>3</v>
      </c>
      <c r="G2136" s="4">
        <v>3</v>
      </c>
      <c r="H2136" s="13"/>
      <c r="I2136" s="15"/>
      <c r="J2136" s="19">
        <v>3</v>
      </c>
      <c r="K2136" s="2" t="s">
        <v>4284</v>
      </c>
      <c r="L2136" s="11" t="str">
        <f t="shared" si="34"/>
        <v>Ver Imagen</v>
      </c>
      <c r="M2136" t="s">
        <v>15</v>
      </c>
    </row>
    <row r="2137" spans="1:13" x14ac:dyDescent="0.25">
      <c r="A2137">
        <v>2136</v>
      </c>
      <c r="B2137" t="s">
        <v>4285</v>
      </c>
      <c r="C2137" s="1">
        <v>37.241225414500001</v>
      </c>
      <c r="D2137" s="1">
        <v>-7.0186281922899996</v>
      </c>
      <c r="E2137" s="3">
        <v>3</v>
      </c>
      <c r="F2137" s="2">
        <v>3</v>
      </c>
      <c r="G2137" s="4">
        <v>3</v>
      </c>
      <c r="H2137" s="13"/>
      <c r="I2137" s="15"/>
      <c r="J2137" s="19">
        <v>3</v>
      </c>
      <c r="K2137" s="2" t="s">
        <v>4286</v>
      </c>
      <c r="L2137" s="11" t="str">
        <f t="shared" si="34"/>
        <v>Ver Imagen</v>
      </c>
      <c r="M2137" t="s">
        <v>15</v>
      </c>
    </row>
    <row r="2138" spans="1:13" x14ac:dyDescent="0.25">
      <c r="A2138">
        <v>2137</v>
      </c>
      <c r="B2138" t="s">
        <v>4287</v>
      </c>
      <c r="C2138" s="1">
        <v>37.241026811200001</v>
      </c>
      <c r="D2138" s="1">
        <v>-7.0186365090300002</v>
      </c>
      <c r="E2138" s="3">
        <v>3</v>
      </c>
      <c r="F2138" s="2">
        <v>3</v>
      </c>
      <c r="G2138" s="4">
        <v>3</v>
      </c>
      <c r="H2138" s="13"/>
      <c r="I2138" s="15"/>
      <c r="J2138" s="19">
        <v>3</v>
      </c>
      <c r="K2138" s="2" t="s">
        <v>4288</v>
      </c>
      <c r="L2138" s="11" t="str">
        <f t="shared" si="34"/>
        <v>Ver Imagen</v>
      </c>
      <c r="M2138" t="s">
        <v>15</v>
      </c>
    </row>
    <row r="2139" spans="1:13" x14ac:dyDescent="0.25">
      <c r="A2139">
        <v>2138</v>
      </c>
      <c r="B2139" t="s">
        <v>4289</v>
      </c>
      <c r="C2139" s="1">
        <v>37.240234858500003</v>
      </c>
      <c r="D2139" s="1">
        <v>-7.0186673332299998</v>
      </c>
      <c r="E2139" s="3">
        <v>3</v>
      </c>
      <c r="F2139" s="2">
        <v>3</v>
      </c>
      <c r="G2139" s="4">
        <v>3</v>
      </c>
      <c r="H2139" s="13"/>
      <c r="I2139" s="15"/>
      <c r="J2139" s="19">
        <v>3</v>
      </c>
      <c r="K2139" s="2" t="s">
        <v>4290</v>
      </c>
      <c r="L2139" s="11" t="str">
        <f t="shared" si="34"/>
        <v>Ver Imagen</v>
      </c>
      <c r="M2139" t="s">
        <v>15</v>
      </c>
    </row>
    <row r="2140" spans="1:13" x14ac:dyDescent="0.25">
      <c r="A2140">
        <v>2139</v>
      </c>
      <c r="B2140" t="s">
        <v>4291</v>
      </c>
      <c r="C2140" s="1">
        <v>37.206152442700002</v>
      </c>
      <c r="D2140" s="1">
        <v>-7.0196151568599996</v>
      </c>
      <c r="E2140" s="3">
        <v>3</v>
      </c>
      <c r="F2140" s="2">
        <v>3</v>
      </c>
      <c r="G2140" s="4">
        <v>3</v>
      </c>
      <c r="H2140" s="13"/>
      <c r="I2140" s="15"/>
      <c r="J2140" s="19">
        <v>3</v>
      </c>
      <c r="K2140" s="2" t="s">
        <v>4292</v>
      </c>
      <c r="L2140" s="11" t="str">
        <f t="shared" si="34"/>
        <v>Ver Imagen</v>
      </c>
      <c r="M2140" t="s">
        <v>15</v>
      </c>
    </row>
    <row r="2141" spans="1:13" x14ac:dyDescent="0.25">
      <c r="A2141">
        <v>2140</v>
      </c>
      <c r="B2141" t="s">
        <v>4293</v>
      </c>
      <c r="C2141" s="1">
        <v>37.239196054300002</v>
      </c>
      <c r="D2141" s="1">
        <v>-7.0187103655599996</v>
      </c>
      <c r="E2141" s="3">
        <v>3</v>
      </c>
      <c r="F2141" s="2">
        <v>3</v>
      </c>
      <c r="G2141" s="4">
        <v>3</v>
      </c>
      <c r="H2141" s="13"/>
      <c r="I2141" s="15"/>
      <c r="J2141" s="19">
        <v>3</v>
      </c>
      <c r="K2141" s="2" t="s">
        <v>4294</v>
      </c>
      <c r="L2141" s="11" t="str">
        <f t="shared" si="34"/>
        <v>Ver Imagen</v>
      </c>
      <c r="M2141" t="s">
        <v>15</v>
      </c>
    </row>
    <row r="2142" spans="1:13" x14ac:dyDescent="0.25">
      <c r="A2142">
        <v>2141</v>
      </c>
      <c r="B2142" t="s">
        <v>4295</v>
      </c>
      <c r="C2142" s="1">
        <v>37.238825897300003</v>
      </c>
      <c r="D2142" s="1">
        <v>-7.0187266534899999</v>
      </c>
      <c r="E2142" s="3">
        <v>3</v>
      </c>
      <c r="F2142" s="2">
        <v>3</v>
      </c>
      <c r="G2142" s="4">
        <v>3</v>
      </c>
      <c r="H2142" s="13"/>
      <c r="I2142" s="15"/>
      <c r="J2142" s="19">
        <v>3</v>
      </c>
      <c r="K2142" s="2" t="s">
        <v>4296</v>
      </c>
      <c r="L2142" s="11" t="str">
        <f t="shared" si="34"/>
        <v>Ver Imagen</v>
      </c>
      <c r="M2142" t="s">
        <v>15</v>
      </c>
    </row>
    <row r="2143" spans="1:13" x14ac:dyDescent="0.25">
      <c r="A2143">
        <v>2142</v>
      </c>
      <c r="B2143" t="s">
        <v>4297</v>
      </c>
      <c r="C2143" s="1">
        <v>37.23842355</v>
      </c>
      <c r="D2143" s="1">
        <v>-7.0187424706100003</v>
      </c>
      <c r="E2143" s="3">
        <v>3</v>
      </c>
      <c r="F2143" s="2">
        <v>3</v>
      </c>
      <c r="G2143" s="4">
        <v>3</v>
      </c>
      <c r="H2143" s="13"/>
      <c r="I2143" s="15"/>
      <c r="J2143" s="19">
        <v>3</v>
      </c>
      <c r="K2143" s="2" t="s">
        <v>4298</v>
      </c>
      <c r="L2143" s="11" t="str">
        <f t="shared" si="34"/>
        <v>Ver Imagen</v>
      </c>
      <c r="M2143" t="s">
        <v>15</v>
      </c>
    </row>
    <row r="2144" spans="1:13" x14ac:dyDescent="0.25">
      <c r="A2144">
        <v>2143</v>
      </c>
      <c r="B2144" t="s">
        <v>4299</v>
      </c>
      <c r="C2144" s="1">
        <v>37.238160950699999</v>
      </c>
      <c r="D2144" s="1">
        <v>-7.0187506335499998</v>
      </c>
      <c r="E2144" s="3">
        <v>3</v>
      </c>
      <c r="F2144" s="2">
        <v>3</v>
      </c>
      <c r="G2144" s="4">
        <v>3</v>
      </c>
      <c r="H2144" s="13"/>
      <c r="I2144" s="15"/>
      <c r="J2144" s="19">
        <v>3</v>
      </c>
      <c r="K2144" s="2" t="s">
        <v>4300</v>
      </c>
      <c r="L2144" s="11" t="str">
        <f t="shared" si="34"/>
        <v>Ver Imagen</v>
      </c>
      <c r="M2144" t="s">
        <v>15</v>
      </c>
    </row>
    <row r="2145" spans="1:13" x14ac:dyDescent="0.25">
      <c r="A2145">
        <v>2144</v>
      </c>
      <c r="B2145" t="s">
        <v>4301</v>
      </c>
      <c r="C2145" s="1">
        <v>37.237960845700002</v>
      </c>
      <c r="D2145" s="1">
        <v>-7.0187556133199998</v>
      </c>
      <c r="E2145" s="3">
        <v>3</v>
      </c>
      <c r="F2145" s="2">
        <v>3</v>
      </c>
      <c r="G2145" s="4">
        <v>3</v>
      </c>
      <c r="H2145" s="13"/>
      <c r="I2145" s="15"/>
      <c r="J2145" s="19">
        <v>3</v>
      </c>
      <c r="K2145" s="2" t="s">
        <v>4302</v>
      </c>
      <c r="L2145" s="11" t="str">
        <f t="shared" si="34"/>
        <v>Ver Imagen</v>
      </c>
      <c r="M2145" t="s">
        <v>15</v>
      </c>
    </row>
    <row r="2146" spans="1:13" x14ac:dyDescent="0.25">
      <c r="A2146">
        <v>2145</v>
      </c>
      <c r="B2146" t="s">
        <v>4303</v>
      </c>
      <c r="C2146" s="1">
        <v>37.237784982999997</v>
      </c>
      <c r="D2146" s="1">
        <v>-7.0187577317400001</v>
      </c>
      <c r="E2146" s="3">
        <v>3</v>
      </c>
      <c r="F2146" s="2">
        <v>3</v>
      </c>
      <c r="G2146" s="4">
        <v>3</v>
      </c>
      <c r="H2146" s="13"/>
      <c r="I2146" s="15"/>
      <c r="J2146" s="19">
        <v>3</v>
      </c>
      <c r="K2146" s="2" t="s">
        <v>4304</v>
      </c>
      <c r="L2146" s="11" t="str">
        <f t="shared" si="34"/>
        <v>Ver Imagen</v>
      </c>
      <c r="M2146" t="s">
        <v>15</v>
      </c>
    </row>
    <row r="2147" spans="1:13" x14ac:dyDescent="0.25">
      <c r="A2147">
        <v>2146</v>
      </c>
      <c r="B2147" t="s">
        <v>4305</v>
      </c>
      <c r="C2147" s="1">
        <v>37.207210178799997</v>
      </c>
      <c r="D2147" s="1">
        <v>-7.0214054900000002</v>
      </c>
      <c r="E2147" s="3">
        <v>3</v>
      </c>
      <c r="F2147" s="2">
        <v>3</v>
      </c>
      <c r="G2147" s="4">
        <v>3</v>
      </c>
      <c r="H2147" s="13"/>
      <c r="I2147" s="15"/>
      <c r="J2147" s="19">
        <v>3</v>
      </c>
      <c r="K2147" s="2" t="s">
        <v>4306</v>
      </c>
      <c r="L2147" s="11" t="str">
        <f t="shared" si="34"/>
        <v>Ver Imagen</v>
      </c>
      <c r="M2147" t="s">
        <v>15</v>
      </c>
    </row>
    <row r="2148" spans="1:13" x14ac:dyDescent="0.25">
      <c r="A2148">
        <v>2147</v>
      </c>
      <c r="B2148" t="s">
        <v>4307</v>
      </c>
      <c r="C2148" s="1">
        <v>37.208155274100001</v>
      </c>
      <c r="D2148" s="1">
        <v>-7.0223995479800001</v>
      </c>
      <c r="E2148" s="3">
        <v>3</v>
      </c>
      <c r="F2148" s="2">
        <v>3</v>
      </c>
      <c r="G2148" s="4">
        <v>3</v>
      </c>
      <c r="H2148" s="13"/>
      <c r="I2148" s="15"/>
      <c r="J2148" s="19">
        <v>3</v>
      </c>
      <c r="K2148" s="2" t="s">
        <v>4308</v>
      </c>
      <c r="L2148" s="11" t="str">
        <f t="shared" si="34"/>
        <v>Ver Imagen</v>
      </c>
      <c r="M2148" t="s">
        <v>15</v>
      </c>
    </row>
    <row r="2149" spans="1:13" x14ac:dyDescent="0.25">
      <c r="A2149">
        <v>2148</v>
      </c>
      <c r="B2149" t="s">
        <v>4309</v>
      </c>
      <c r="C2149" s="1">
        <v>37.232780898800002</v>
      </c>
      <c r="D2149" s="1">
        <v>-7.0184688416299998</v>
      </c>
      <c r="E2149" s="3">
        <v>3</v>
      </c>
      <c r="F2149" s="2">
        <v>3</v>
      </c>
      <c r="G2149" s="4">
        <v>3</v>
      </c>
      <c r="H2149" s="13"/>
      <c r="I2149" s="15"/>
      <c r="J2149" s="19">
        <v>3</v>
      </c>
      <c r="K2149" s="2" t="s">
        <v>4310</v>
      </c>
      <c r="L2149" s="11" t="str">
        <f t="shared" si="34"/>
        <v>Ver Imagen</v>
      </c>
      <c r="M2149" t="s">
        <v>15</v>
      </c>
    </row>
    <row r="2150" spans="1:13" x14ac:dyDescent="0.25">
      <c r="A2150">
        <v>2149</v>
      </c>
      <c r="B2150" t="s">
        <v>4311</v>
      </c>
      <c r="C2150" s="1">
        <v>37.232597944399998</v>
      </c>
      <c r="D2150" s="1">
        <v>-7.0185616809500004</v>
      </c>
      <c r="E2150" s="3">
        <v>3</v>
      </c>
      <c r="F2150" s="2">
        <v>3</v>
      </c>
      <c r="G2150" s="4">
        <v>3</v>
      </c>
      <c r="H2150" s="13"/>
      <c r="I2150" s="15"/>
      <c r="J2150" s="19">
        <v>3</v>
      </c>
      <c r="K2150" s="2" t="s">
        <v>4312</v>
      </c>
      <c r="L2150" s="11" t="str">
        <f t="shared" si="34"/>
        <v>Ver Imagen</v>
      </c>
      <c r="M2150" t="s">
        <v>15</v>
      </c>
    </row>
    <row r="2151" spans="1:13" x14ac:dyDescent="0.25">
      <c r="A2151">
        <v>2150</v>
      </c>
      <c r="B2151" t="s">
        <v>4313</v>
      </c>
      <c r="C2151" s="1">
        <v>37.232416684699999</v>
      </c>
      <c r="D2151" s="1">
        <v>-7.0186666492500001</v>
      </c>
      <c r="E2151" s="3">
        <v>3</v>
      </c>
      <c r="F2151" s="2">
        <v>3</v>
      </c>
      <c r="G2151" s="4">
        <v>3</v>
      </c>
      <c r="H2151" s="13"/>
      <c r="I2151" s="15"/>
      <c r="J2151" s="19">
        <v>3</v>
      </c>
      <c r="K2151" s="2" t="s">
        <v>4314</v>
      </c>
      <c r="L2151" s="11" t="str">
        <f t="shared" si="34"/>
        <v>Ver Imagen</v>
      </c>
      <c r="M2151" t="s">
        <v>15</v>
      </c>
    </row>
    <row r="2152" spans="1:13" x14ac:dyDescent="0.25">
      <c r="A2152">
        <v>2151</v>
      </c>
      <c r="B2152" t="s">
        <v>4315</v>
      </c>
      <c r="C2152" s="1">
        <v>37.232243329699998</v>
      </c>
      <c r="D2152" s="1">
        <v>-7.0187778495900002</v>
      </c>
      <c r="E2152" s="3">
        <v>3</v>
      </c>
      <c r="F2152" s="2">
        <v>3</v>
      </c>
      <c r="G2152" s="4">
        <v>3</v>
      </c>
      <c r="H2152" s="13"/>
      <c r="I2152" s="15"/>
      <c r="J2152" s="19">
        <v>3</v>
      </c>
      <c r="K2152" s="2" t="s">
        <v>4316</v>
      </c>
      <c r="L2152" s="11" t="str">
        <f t="shared" si="34"/>
        <v>Ver Imagen</v>
      </c>
      <c r="M2152" t="s">
        <v>15</v>
      </c>
    </row>
    <row r="2153" spans="1:13" x14ac:dyDescent="0.25">
      <c r="A2153">
        <v>2152</v>
      </c>
      <c r="B2153" t="s">
        <v>4317</v>
      </c>
      <c r="C2153" s="1">
        <v>37.232081883900001</v>
      </c>
      <c r="D2153" s="1">
        <v>-7.0188891631099999</v>
      </c>
      <c r="E2153" s="3">
        <v>3</v>
      </c>
      <c r="F2153" s="2">
        <v>3</v>
      </c>
      <c r="G2153" s="4">
        <v>3</v>
      </c>
      <c r="H2153" s="13"/>
      <c r="I2153" s="15"/>
      <c r="J2153" s="19">
        <v>3</v>
      </c>
      <c r="K2153" s="2" t="s">
        <v>4318</v>
      </c>
      <c r="L2153" s="11" t="str">
        <f t="shared" si="34"/>
        <v>Ver Imagen</v>
      </c>
      <c r="M2153" t="s">
        <v>15</v>
      </c>
    </row>
    <row r="2154" spans="1:13" x14ac:dyDescent="0.25">
      <c r="A2154">
        <v>2153</v>
      </c>
      <c r="B2154" t="s">
        <v>4319</v>
      </c>
      <c r="C2154" s="1">
        <v>37.231912000800001</v>
      </c>
      <c r="D2154" s="1">
        <v>-7.0190114907099996</v>
      </c>
      <c r="E2154" s="3">
        <v>3</v>
      </c>
      <c r="F2154" s="2">
        <v>3</v>
      </c>
      <c r="G2154" s="4">
        <v>3</v>
      </c>
      <c r="H2154" s="13"/>
      <c r="I2154" s="15"/>
      <c r="J2154" s="19">
        <v>3</v>
      </c>
      <c r="K2154" s="2" t="s">
        <v>4320</v>
      </c>
      <c r="L2154" s="11" t="str">
        <f t="shared" si="34"/>
        <v>Ver Imagen</v>
      </c>
      <c r="M2154" t="s">
        <v>15</v>
      </c>
    </row>
    <row r="2155" spans="1:13" x14ac:dyDescent="0.25">
      <c r="A2155">
        <v>2154</v>
      </c>
      <c r="B2155" t="s">
        <v>4321</v>
      </c>
      <c r="C2155" s="1">
        <v>37.231521525799998</v>
      </c>
      <c r="D2155" s="1">
        <v>-7.0193017726800004</v>
      </c>
      <c r="E2155" s="3">
        <v>3</v>
      </c>
      <c r="F2155" s="2">
        <v>3</v>
      </c>
      <c r="G2155" s="4">
        <v>3</v>
      </c>
      <c r="H2155" s="13"/>
      <c r="I2155" s="15"/>
      <c r="J2155" s="19">
        <v>3</v>
      </c>
      <c r="K2155" s="2" t="s">
        <v>4322</v>
      </c>
      <c r="L2155" s="11" t="str">
        <f t="shared" si="34"/>
        <v>Ver Imagen</v>
      </c>
      <c r="M2155" t="s">
        <v>15</v>
      </c>
    </row>
    <row r="2156" spans="1:13" x14ac:dyDescent="0.25">
      <c r="A2156">
        <v>2155</v>
      </c>
      <c r="B2156" t="s">
        <v>4323</v>
      </c>
      <c r="C2156" s="1">
        <v>37.231363537599997</v>
      </c>
      <c r="D2156" s="1">
        <v>-7.0194221262700003</v>
      </c>
      <c r="E2156" s="3">
        <v>3</v>
      </c>
      <c r="F2156" s="2">
        <v>3</v>
      </c>
      <c r="G2156" s="4">
        <v>3</v>
      </c>
      <c r="H2156" s="13"/>
      <c r="I2156" s="15"/>
      <c r="J2156" s="19">
        <v>3</v>
      </c>
      <c r="K2156" s="2" t="s">
        <v>4324</v>
      </c>
      <c r="L2156" s="11" t="str">
        <f t="shared" si="34"/>
        <v>Ver Imagen</v>
      </c>
      <c r="M2156" t="s">
        <v>15</v>
      </c>
    </row>
    <row r="2157" spans="1:13" x14ac:dyDescent="0.25">
      <c r="A2157">
        <v>2156</v>
      </c>
      <c r="B2157" t="s">
        <v>4325</v>
      </c>
      <c r="C2157" s="1">
        <v>37.209554830199998</v>
      </c>
      <c r="D2157" s="1">
        <v>-7.0233207871200003</v>
      </c>
      <c r="E2157" s="3">
        <v>3</v>
      </c>
      <c r="F2157" s="2">
        <v>3</v>
      </c>
      <c r="G2157" s="4">
        <v>3</v>
      </c>
      <c r="H2157" s="13"/>
      <c r="I2157" s="15"/>
      <c r="J2157" s="19">
        <v>3</v>
      </c>
      <c r="K2157" s="2" t="s">
        <v>4326</v>
      </c>
      <c r="L2157" s="11" t="str">
        <f t="shared" si="34"/>
        <v>Ver Imagen</v>
      </c>
      <c r="M2157" t="s">
        <v>15</v>
      </c>
    </row>
    <row r="2158" spans="1:13" x14ac:dyDescent="0.25">
      <c r="A2158">
        <v>2157</v>
      </c>
      <c r="B2158" t="s">
        <v>4327</v>
      </c>
      <c r="C2158" s="1">
        <v>37.2103478051</v>
      </c>
      <c r="D2158" s="1">
        <v>-7.0236290170900002</v>
      </c>
      <c r="E2158" s="3">
        <v>3</v>
      </c>
      <c r="F2158" s="2">
        <v>3</v>
      </c>
      <c r="G2158" s="4">
        <v>3</v>
      </c>
      <c r="H2158" s="13"/>
      <c r="I2158" s="15"/>
      <c r="J2158" s="19">
        <v>3</v>
      </c>
      <c r="K2158" s="2" t="s">
        <v>4328</v>
      </c>
      <c r="L2158" s="11" t="str">
        <f t="shared" si="34"/>
        <v>Ver Imagen</v>
      </c>
      <c r="M2158" t="s">
        <v>15</v>
      </c>
    </row>
    <row r="2159" spans="1:13" x14ac:dyDescent="0.25">
      <c r="A2159">
        <v>2158</v>
      </c>
      <c r="B2159" t="s">
        <v>4329</v>
      </c>
      <c r="C2159" s="1">
        <v>37.210908981199999</v>
      </c>
      <c r="D2159" s="1">
        <v>-7.0237678485000004</v>
      </c>
      <c r="E2159" s="3">
        <v>3</v>
      </c>
      <c r="F2159" s="2">
        <v>3</v>
      </c>
      <c r="G2159" s="4">
        <v>3</v>
      </c>
      <c r="H2159" s="13"/>
      <c r="I2159" s="15"/>
      <c r="J2159" s="19">
        <v>3</v>
      </c>
      <c r="K2159" s="2" t="s">
        <v>4330</v>
      </c>
      <c r="L2159" s="11" t="str">
        <f t="shared" si="34"/>
        <v>Ver Imagen</v>
      </c>
      <c r="M2159" t="s">
        <v>15</v>
      </c>
    </row>
    <row r="2160" spans="1:13" x14ac:dyDescent="0.25">
      <c r="A2160">
        <v>2159</v>
      </c>
      <c r="B2160" t="s">
        <v>4331</v>
      </c>
      <c r="C2160" s="1">
        <v>37.211360957499998</v>
      </c>
      <c r="D2160" s="1">
        <v>-7.02383423709</v>
      </c>
      <c r="E2160" s="3">
        <v>3</v>
      </c>
      <c r="F2160" s="2">
        <v>3</v>
      </c>
      <c r="G2160" s="4">
        <v>3</v>
      </c>
      <c r="H2160" s="13"/>
      <c r="I2160" s="15"/>
      <c r="J2160" s="19">
        <v>3</v>
      </c>
      <c r="K2160" s="2" t="s">
        <v>4332</v>
      </c>
      <c r="L2160" s="11" t="str">
        <f t="shared" si="34"/>
        <v>Ver Imagen</v>
      </c>
      <c r="M2160" t="s">
        <v>15</v>
      </c>
    </row>
    <row r="2161" spans="1:13" x14ac:dyDescent="0.25">
      <c r="A2161">
        <v>2160</v>
      </c>
      <c r="B2161" t="s">
        <v>4333</v>
      </c>
      <c r="C2161" s="1">
        <v>37.211763181000002</v>
      </c>
      <c r="D2161" s="1">
        <v>-7.0238577453</v>
      </c>
      <c r="E2161" s="3">
        <v>3</v>
      </c>
      <c r="F2161" s="2">
        <v>3</v>
      </c>
      <c r="G2161" s="4">
        <v>3</v>
      </c>
      <c r="H2161" s="13"/>
      <c r="I2161" s="15"/>
      <c r="J2161" s="19">
        <v>3</v>
      </c>
      <c r="K2161" s="2" t="s">
        <v>4334</v>
      </c>
      <c r="L2161" s="11" t="str">
        <f t="shared" si="34"/>
        <v>Ver Imagen</v>
      </c>
      <c r="M2161" t="s">
        <v>15</v>
      </c>
    </row>
    <row r="2162" spans="1:13" x14ac:dyDescent="0.25">
      <c r="A2162">
        <v>2161</v>
      </c>
      <c r="B2162" t="s">
        <v>4335</v>
      </c>
      <c r="C2162" s="1">
        <v>37.219391348400002</v>
      </c>
      <c r="D2162" s="1">
        <v>-7.0229497569400001</v>
      </c>
      <c r="E2162" s="3">
        <v>3</v>
      </c>
      <c r="F2162" s="2">
        <v>3</v>
      </c>
      <c r="G2162" s="4">
        <v>3</v>
      </c>
      <c r="H2162" s="13"/>
      <c r="I2162" s="15"/>
      <c r="J2162" s="19">
        <v>3</v>
      </c>
      <c r="K2162" s="2" t="s">
        <v>4336</v>
      </c>
      <c r="L2162" s="11" t="str">
        <f t="shared" si="34"/>
        <v>Ver Imagen</v>
      </c>
      <c r="M2162" t="s">
        <v>15</v>
      </c>
    </row>
    <row r="2163" spans="1:13" x14ac:dyDescent="0.25">
      <c r="A2163">
        <v>2162</v>
      </c>
      <c r="B2163" t="s">
        <v>4337</v>
      </c>
      <c r="C2163" s="1">
        <v>37.219244272899999</v>
      </c>
      <c r="D2163" s="1">
        <v>-7.0229532851399998</v>
      </c>
      <c r="E2163" s="3">
        <v>3</v>
      </c>
      <c r="F2163" s="2">
        <v>3</v>
      </c>
      <c r="G2163" s="4">
        <v>3</v>
      </c>
      <c r="H2163" s="13"/>
      <c r="I2163" s="15"/>
      <c r="J2163" s="19">
        <v>3</v>
      </c>
      <c r="K2163" s="2" t="s">
        <v>4338</v>
      </c>
      <c r="L2163" s="11" t="str">
        <f t="shared" si="34"/>
        <v>Ver Imagen</v>
      </c>
      <c r="M2163" t="s">
        <v>15</v>
      </c>
    </row>
    <row r="2164" spans="1:13" x14ac:dyDescent="0.25">
      <c r="A2164">
        <v>2163</v>
      </c>
      <c r="B2164" t="s">
        <v>4339</v>
      </c>
      <c r="C2164" s="1">
        <v>37.219020950000001</v>
      </c>
      <c r="D2164" s="1">
        <v>-7.0229633014799999</v>
      </c>
      <c r="E2164" s="3">
        <v>3</v>
      </c>
      <c r="F2164" s="2">
        <v>3</v>
      </c>
      <c r="G2164" s="4">
        <v>3</v>
      </c>
      <c r="H2164" s="13"/>
      <c r="I2164" s="15"/>
      <c r="J2164" s="19">
        <v>3</v>
      </c>
      <c r="K2164" s="2" t="s">
        <v>4340</v>
      </c>
      <c r="L2164" s="11" t="str">
        <f t="shared" si="34"/>
        <v>Ver Imagen</v>
      </c>
      <c r="M2164" t="s">
        <v>15</v>
      </c>
    </row>
    <row r="2165" spans="1:13" x14ac:dyDescent="0.25">
      <c r="A2165">
        <v>2164</v>
      </c>
      <c r="B2165" t="s">
        <v>4341</v>
      </c>
      <c r="C2165" s="1">
        <v>37.217827166200003</v>
      </c>
      <c r="D2165" s="1">
        <v>-7.02309512224</v>
      </c>
      <c r="E2165" s="3">
        <v>3</v>
      </c>
      <c r="F2165" s="2">
        <v>3</v>
      </c>
      <c r="G2165" s="4">
        <v>3</v>
      </c>
      <c r="H2165" s="13"/>
      <c r="I2165" s="15"/>
      <c r="J2165" s="19">
        <v>3</v>
      </c>
      <c r="K2165" s="2" t="s">
        <v>4342</v>
      </c>
      <c r="L2165" s="11" t="str">
        <f t="shared" si="34"/>
        <v>Ver Imagen</v>
      </c>
      <c r="M2165" t="s">
        <v>15</v>
      </c>
    </row>
    <row r="2166" spans="1:13" x14ac:dyDescent="0.25">
      <c r="A2166">
        <v>2165</v>
      </c>
      <c r="B2166" t="s">
        <v>4343</v>
      </c>
      <c r="C2166" s="1">
        <v>37.2170025912</v>
      </c>
      <c r="D2166" s="1">
        <v>-7.0232376571500001</v>
      </c>
      <c r="E2166" s="3">
        <v>3</v>
      </c>
      <c r="F2166" s="2">
        <v>3</v>
      </c>
      <c r="G2166" s="4">
        <v>3</v>
      </c>
      <c r="H2166" s="13"/>
      <c r="I2166" s="15"/>
      <c r="J2166" s="19">
        <v>3</v>
      </c>
      <c r="K2166" s="2" t="s">
        <v>4344</v>
      </c>
      <c r="L2166" s="11" t="str">
        <f t="shared" si="34"/>
        <v>Ver Imagen</v>
      </c>
      <c r="M2166" t="s">
        <v>15</v>
      </c>
    </row>
    <row r="2167" spans="1:13" x14ac:dyDescent="0.25">
      <c r="A2167">
        <v>2166</v>
      </c>
      <c r="B2167" t="s">
        <v>4345</v>
      </c>
      <c r="C2167" s="1">
        <v>37.216412132000002</v>
      </c>
      <c r="D2167" s="1">
        <v>-7.0233436758899996</v>
      </c>
      <c r="E2167" s="3">
        <v>3</v>
      </c>
      <c r="F2167" s="2">
        <v>3</v>
      </c>
      <c r="G2167" s="4">
        <v>3</v>
      </c>
      <c r="H2167" s="13"/>
      <c r="I2167" s="15"/>
      <c r="J2167" s="19">
        <v>3</v>
      </c>
      <c r="K2167" s="2" t="s">
        <v>4346</v>
      </c>
      <c r="L2167" s="11" t="str">
        <f t="shared" si="34"/>
        <v>Ver Imagen</v>
      </c>
      <c r="M2167" t="s">
        <v>15</v>
      </c>
    </row>
    <row r="2168" spans="1:13" x14ac:dyDescent="0.25">
      <c r="A2168">
        <v>2167</v>
      </c>
      <c r="B2168" t="s">
        <v>4347</v>
      </c>
      <c r="C2168" s="1">
        <v>37.2155825703</v>
      </c>
      <c r="D2168" s="1">
        <v>-7.02348590198</v>
      </c>
      <c r="E2168" s="3">
        <v>3</v>
      </c>
      <c r="F2168" s="2">
        <v>3</v>
      </c>
      <c r="G2168" s="4">
        <v>3</v>
      </c>
      <c r="H2168" s="13"/>
      <c r="I2168" s="15"/>
      <c r="J2168" s="19">
        <v>3</v>
      </c>
      <c r="K2168" s="2" t="s">
        <v>4348</v>
      </c>
      <c r="L2168" s="11" t="str">
        <f t="shared" si="34"/>
        <v>Ver Imagen</v>
      </c>
      <c r="M2168" t="s">
        <v>15</v>
      </c>
    </row>
    <row r="2169" spans="1:13" x14ac:dyDescent="0.25">
      <c r="A2169">
        <v>2168</v>
      </c>
      <c r="B2169" t="s">
        <v>4349</v>
      </c>
      <c r="C2169" s="1">
        <v>37.215010542000002</v>
      </c>
      <c r="D2169" s="1">
        <v>-7.0235828703400003</v>
      </c>
      <c r="E2169" s="3">
        <v>3</v>
      </c>
      <c r="F2169" s="2">
        <v>3</v>
      </c>
      <c r="G2169" s="4">
        <v>3</v>
      </c>
      <c r="H2169" s="13"/>
      <c r="I2169" s="15"/>
      <c r="J2169" s="19">
        <v>3</v>
      </c>
      <c r="K2169" s="2" t="s">
        <v>4350</v>
      </c>
      <c r="L2169" s="11" t="str">
        <f t="shared" si="34"/>
        <v>Ver Imagen</v>
      </c>
      <c r="M2169" t="s">
        <v>15</v>
      </c>
    </row>
    <row r="2170" spans="1:13" x14ac:dyDescent="0.25">
      <c r="A2170">
        <v>2169</v>
      </c>
      <c r="B2170" t="s">
        <v>4351</v>
      </c>
      <c r="C2170" s="1">
        <v>37.213970077500001</v>
      </c>
      <c r="D2170" s="1">
        <v>-7.0237772466399999</v>
      </c>
      <c r="E2170" s="3">
        <v>3</v>
      </c>
      <c r="F2170" s="2">
        <v>3</v>
      </c>
      <c r="G2170" s="4">
        <v>3</v>
      </c>
      <c r="H2170" s="13"/>
      <c r="I2170" s="15"/>
      <c r="J2170" s="19">
        <v>3</v>
      </c>
      <c r="K2170" s="2" t="s">
        <v>4352</v>
      </c>
      <c r="L2170" s="11" t="str">
        <f t="shared" si="34"/>
        <v>Ver Imagen</v>
      </c>
      <c r="M2170" t="s">
        <v>15</v>
      </c>
    </row>
    <row r="2171" spans="1:13" x14ac:dyDescent="0.25">
      <c r="A2171">
        <v>2170</v>
      </c>
      <c r="B2171" t="s">
        <v>4353</v>
      </c>
      <c r="C2171" s="1">
        <v>37.213799418199997</v>
      </c>
      <c r="D2171" s="1">
        <v>-7.0238079345899997</v>
      </c>
      <c r="E2171" s="3">
        <v>3</v>
      </c>
      <c r="F2171" s="2">
        <v>3</v>
      </c>
      <c r="G2171" s="4">
        <v>3</v>
      </c>
      <c r="H2171" s="13"/>
      <c r="I2171" s="15"/>
      <c r="J2171" s="19">
        <v>3</v>
      </c>
      <c r="K2171" s="2" t="s">
        <v>4354</v>
      </c>
      <c r="L2171" s="11" t="str">
        <f t="shared" si="34"/>
        <v>Ver Imagen</v>
      </c>
      <c r="M2171" t="s">
        <v>15</v>
      </c>
    </row>
    <row r="2172" spans="1:13" x14ac:dyDescent="0.25">
      <c r="A2172">
        <v>2171</v>
      </c>
      <c r="B2172" t="s">
        <v>4355</v>
      </c>
      <c r="C2172" s="1">
        <v>37.2136046659</v>
      </c>
      <c r="D2172" s="1">
        <v>-7.0238421042099999</v>
      </c>
      <c r="E2172" s="3">
        <v>3</v>
      </c>
      <c r="F2172" s="2">
        <v>3</v>
      </c>
      <c r="G2172" s="4">
        <v>3</v>
      </c>
      <c r="H2172" s="13"/>
      <c r="I2172" s="15"/>
      <c r="J2172" s="19">
        <v>3</v>
      </c>
      <c r="K2172" s="2" t="s">
        <v>4356</v>
      </c>
      <c r="L2172" s="11" t="str">
        <f t="shared" si="34"/>
        <v>Ver Imagen</v>
      </c>
      <c r="M2172" t="s">
        <v>15</v>
      </c>
    </row>
    <row r="2173" spans="1:13" x14ac:dyDescent="0.25">
      <c r="A2173">
        <v>2172</v>
      </c>
      <c r="B2173" t="s">
        <v>4357</v>
      </c>
      <c r="C2173" s="1">
        <v>37.212971574999997</v>
      </c>
      <c r="D2173" s="1">
        <v>-7.0239462311800001</v>
      </c>
      <c r="E2173" s="3">
        <v>3</v>
      </c>
      <c r="F2173" s="2">
        <v>3</v>
      </c>
      <c r="G2173" s="4">
        <v>3</v>
      </c>
      <c r="H2173" s="13"/>
      <c r="I2173" s="15"/>
      <c r="J2173" s="19">
        <v>3</v>
      </c>
      <c r="K2173" s="2" t="s">
        <v>4358</v>
      </c>
      <c r="L2173" s="11" t="str">
        <f t="shared" si="34"/>
        <v>Ver Imagen</v>
      </c>
      <c r="M2173" t="s">
        <v>15</v>
      </c>
    </row>
    <row r="2174" spans="1:13" x14ac:dyDescent="0.25">
      <c r="A2174">
        <v>2173</v>
      </c>
      <c r="B2174" t="s">
        <v>4359</v>
      </c>
      <c r="C2174" s="1">
        <v>37.205054679699998</v>
      </c>
      <c r="D2174" s="1">
        <v>-7.0165941200399997</v>
      </c>
      <c r="E2174" s="3">
        <v>3</v>
      </c>
      <c r="F2174" s="2">
        <v>3</v>
      </c>
      <c r="G2174" s="4">
        <v>3</v>
      </c>
      <c r="H2174" s="13"/>
      <c r="I2174" s="15"/>
      <c r="J2174" s="19">
        <v>3</v>
      </c>
      <c r="K2174" s="2" t="s">
        <v>4360</v>
      </c>
      <c r="L2174" s="11" t="str">
        <f t="shared" ref="L2174:L2237" si="35">HYPERLINK("3\0\" &amp; K2174, "Ver Imagen")</f>
        <v>Ver Imagen</v>
      </c>
      <c r="M2174" t="s">
        <v>15</v>
      </c>
    </row>
    <row r="2175" spans="1:13" x14ac:dyDescent="0.25">
      <c r="A2175">
        <v>2174</v>
      </c>
      <c r="B2175" t="s">
        <v>4361</v>
      </c>
      <c r="C2175" s="1">
        <v>37.204949677400002</v>
      </c>
      <c r="D2175" s="1">
        <v>-7.0161099134400002</v>
      </c>
      <c r="E2175" s="3">
        <v>3</v>
      </c>
      <c r="F2175" s="2">
        <v>3</v>
      </c>
      <c r="G2175" s="4">
        <v>3</v>
      </c>
      <c r="H2175" s="13"/>
      <c r="I2175" s="15"/>
      <c r="J2175" s="19">
        <v>3</v>
      </c>
      <c r="K2175" s="2" t="s">
        <v>4362</v>
      </c>
      <c r="L2175" s="11" t="str">
        <f t="shared" si="35"/>
        <v>Ver Imagen</v>
      </c>
      <c r="M2175" t="s">
        <v>15</v>
      </c>
    </row>
    <row r="2176" spans="1:13" x14ac:dyDescent="0.25">
      <c r="A2176">
        <v>2175</v>
      </c>
      <c r="B2176" t="s">
        <v>4363</v>
      </c>
      <c r="C2176" s="1">
        <v>37.204831897699997</v>
      </c>
      <c r="D2176" s="1">
        <v>-7.0155472674199997</v>
      </c>
      <c r="E2176" s="3">
        <v>3</v>
      </c>
      <c r="F2176" s="2">
        <v>3</v>
      </c>
      <c r="G2176" s="4">
        <v>3</v>
      </c>
      <c r="H2176" s="13"/>
      <c r="I2176" s="15"/>
      <c r="J2176" s="19">
        <v>3</v>
      </c>
      <c r="K2176" s="2" t="s">
        <v>4364</v>
      </c>
      <c r="L2176" s="11" t="str">
        <f t="shared" si="35"/>
        <v>Ver Imagen</v>
      </c>
      <c r="M2176" t="s">
        <v>15</v>
      </c>
    </row>
    <row r="2177" spans="1:13" x14ac:dyDescent="0.25">
      <c r="A2177">
        <v>2176</v>
      </c>
      <c r="B2177" t="s">
        <v>4365</v>
      </c>
      <c r="C2177" s="1">
        <v>37.204774362000002</v>
      </c>
      <c r="D2177" s="1">
        <v>-7.0152665500899998</v>
      </c>
      <c r="E2177" s="3">
        <v>3</v>
      </c>
      <c r="F2177" s="2">
        <v>3</v>
      </c>
      <c r="G2177" s="4">
        <v>3</v>
      </c>
      <c r="H2177" s="13"/>
      <c r="I2177" s="15"/>
      <c r="J2177" s="19">
        <v>3</v>
      </c>
      <c r="K2177" s="2" t="s">
        <v>4366</v>
      </c>
      <c r="L2177" s="11" t="str">
        <f t="shared" si="35"/>
        <v>Ver Imagen</v>
      </c>
      <c r="M2177" t="s">
        <v>15</v>
      </c>
    </row>
    <row r="2178" spans="1:13" x14ac:dyDescent="0.25">
      <c r="A2178">
        <v>2177</v>
      </c>
      <c r="B2178" t="s">
        <v>4367</v>
      </c>
      <c r="C2178" s="1">
        <v>37.204724009000003</v>
      </c>
      <c r="D2178" s="1">
        <v>-7.0150167008200004</v>
      </c>
      <c r="E2178" s="3">
        <v>3</v>
      </c>
      <c r="F2178" s="2">
        <v>3</v>
      </c>
      <c r="G2178" s="4">
        <v>3</v>
      </c>
      <c r="H2178" s="13"/>
      <c r="I2178" s="15"/>
      <c r="J2178" s="19">
        <v>3</v>
      </c>
      <c r="K2178" s="2" t="s">
        <v>4368</v>
      </c>
      <c r="L2178" s="11" t="str">
        <f t="shared" si="35"/>
        <v>Ver Imagen</v>
      </c>
      <c r="M2178" t="s">
        <v>15</v>
      </c>
    </row>
    <row r="2179" spans="1:13" x14ac:dyDescent="0.25">
      <c r="A2179">
        <v>2178</v>
      </c>
      <c r="B2179" t="s">
        <v>4369</v>
      </c>
      <c r="C2179" s="1">
        <v>37.204637704</v>
      </c>
      <c r="D2179" s="1">
        <v>-7.0145781989299998</v>
      </c>
      <c r="E2179" s="3">
        <v>3</v>
      </c>
      <c r="F2179" s="2">
        <v>3</v>
      </c>
      <c r="G2179" s="4">
        <v>3</v>
      </c>
      <c r="H2179" s="13"/>
      <c r="I2179" s="15"/>
      <c r="J2179" s="19">
        <v>3</v>
      </c>
      <c r="K2179" s="2" t="s">
        <v>4370</v>
      </c>
      <c r="L2179" s="11" t="str">
        <f t="shared" si="35"/>
        <v>Ver Imagen</v>
      </c>
      <c r="M2179" t="s">
        <v>15</v>
      </c>
    </row>
    <row r="2180" spans="1:13" x14ac:dyDescent="0.25">
      <c r="A2180">
        <v>2179</v>
      </c>
      <c r="B2180" t="s">
        <v>4371</v>
      </c>
      <c r="C2180" s="1">
        <v>37.2044936084</v>
      </c>
      <c r="D2180" s="1">
        <v>-7.0138410952600001</v>
      </c>
      <c r="E2180" s="3">
        <v>3</v>
      </c>
      <c r="F2180" s="2">
        <v>3</v>
      </c>
      <c r="G2180" s="4">
        <v>3</v>
      </c>
      <c r="H2180" s="13"/>
      <c r="I2180" s="15"/>
      <c r="J2180" s="19">
        <v>3</v>
      </c>
      <c r="K2180" s="2" t="s">
        <v>4372</v>
      </c>
      <c r="L2180" s="11" t="str">
        <f t="shared" si="35"/>
        <v>Ver Imagen</v>
      </c>
      <c r="M2180" t="s">
        <v>15</v>
      </c>
    </row>
    <row r="2181" spans="1:13" x14ac:dyDescent="0.25">
      <c r="A2181">
        <v>2180</v>
      </c>
      <c r="B2181" t="s">
        <v>4373</v>
      </c>
      <c r="C2181" s="1">
        <v>37.204202770899997</v>
      </c>
      <c r="D2181" s="1">
        <v>-7.0122706251600002</v>
      </c>
      <c r="E2181" s="3">
        <v>3</v>
      </c>
      <c r="F2181" s="2">
        <v>3</v>
      </c>
      <c r="G2181" s="4">
        <v>3</v>
      </c>
      <c r="H2181" s="13"/>
      <c r="I2181" s="15"/>
      <c r="J2181" s="19">
        <v>3</v>
      </c>
      <c r="K2181" s="2" t="s">
        <v>4374</v>
      </c>
      <c r="L2181" s="11" t="str">
        <f t="shared" si="35"/>
        <v>Ver Imagen</v>
      </c>
      <c r="M2181" t="s">
        <v>15</v>
      </c>
    </row>
    <row r="2182" spans="1:13" x14ac:dyDescent="0.25">
      <c r="A2182">
        <v>2181</v>
      </c>
      <c r="B2182" t="s">
        <v>4375</v>
      </c>
      <c r="C2182" s="1">
        <v>37.204002276099999</v>
      </c>
      <c r="D2182" s="1">
        <v>-7.0111258568699997</v>
      </c>
      <c r="E2182" s="3">
        <v>3</v>
      </c>
      <c r="F2182" s="2">
        <v>3</v>
      </c>
      <c r="G2182" s="4">
        <v>3</v>
      </c>
      <c r="H2182" s="13"/>
      <c r="I2182" s="15"/>
      <c r="J2182" s="19">
        <v>3</v>
      </c>
      <c r="K2182" s="2" t="s">
        <v>4376</v>
      </c>
      <c r="L2182" s="11" t="str">
        <f t="shared" si="35"/>
        <v>Ver Imagen</v>
      </c>
      <c r="M2182" t="s">
        <v>15</v>
      </c>
    </row>
    <row r="2183" spans="1:13" x14ac:dyDescent="0.25">
      <c r="A2183">
        <v>2182</v>
      </c>
      <c r="B2183" t="s">
        <v>4377</v>
      </c>
      <c r="C2183" s="1">
        <v>37.203862821100003</v>
      </c>
      <c r="D2183" s="1">
        <v>-7.0102980619000004</v>
      </c>
      <c r="E2183" s="3">
        <v>3</v>
      </c>
      <c r="F2183" s="2">
        <v>3</v>
      </c>
      <c r="G2183" s="4">
        <v>3</v>
      </c>
      <c r="H2183" s="13"/>
      <c r="I2183" s="15"/>
      <c r="J2183" s="19">
        <v>3</v>
      </c>
      <c r="K2183" s="2" t="s">
        <v>4378</v>
      </c>
      <c r="L2183" s="11" t="str">
        <f t="shared" si="35"/>
        <v>Ver Imagen</v>
      </c>
      <c r="M2183" t="s">
        <v>15</v>
      </c>
    </row>
    <row r="2184" spans="1:13" x14ac:dyDescent="0.25">
      <c r="A2184">
        <v>2183</v>
      </c>
      <c r="B2184" t="s">
        <v>4379</v>
      </c>
      <c r="C2184" s="1">
        <v>37.203820386499999</v>
      </c>
      <c r="D2184" s="1">
        <v>-7.0100458895099997</v>
      </c>
      <c r="E2184" s="3">
        <v>3</v>
      </c>
      <c r="F2184" s="2">
        <v>3</v>
      </c>
      <c r="G2184" s="4">
        <v>3</v>
      </c>
      <c r="H2184" s="13"/>
      <c r="I2184" s="15"/>
      <c r="J2184" s="19">
        <v>3</v>
      </c>
      <c r="K2184" s="2" t="s">
        <v>4380</v>
      </c>
      <c r="L2184" s="11" t="str">
        <f t="shared" si="35"/>
        <v>Ver Imagen</v>
      </c>
      <c r="M2184" t="s">
        <v>15</v>
      </c>
    </row>
    <row r="2185" spans="1:13" x14ac:dyDescent="0.25">
      <c r="A2185">
        <v>2184</v>
      </c>
      <c r="B2185" t="s">
        <v>4381</v>
      </c>
      <c r="C2185" s="1">
        <v>37.203784822999999</v>
      </c>
      <c r="D2185" s="1">
        <v>-7.0098316147300004</v>
      </c>
      <c r="E2185" s="3">
        <v>3</v>
      </c>
      <c r="F2185" s="2">
        <v>3</v>
      </c>
      <c r="G2185" s="4">
        <v>3</v>
      </c>
      <c r="H2185" s="13"/>
      <c r="I2185" s="15"/>
      <c r="J2185" s="19">
        <v>3</v>
      </c>
      <c r="K2185" s="2" t="s">
        <v>4382</v>
      </c>
      <c r="L2185" s="11" t="str">
        <f t="shared" si="35"/>
        <v>Ver Imagen</v>
      </c>
      <c r="M2185" t="s">
        <v>15</v>
      </c>
    </row>
    <row r="2186" spans="1:13" x14ac:dyDescent="0.25">
      <c r="A2186">
        <v>2185</v>
      </c>
      <c r="B2186" t="s">
        <v>4383</v>
      </c>
      <c r="C2186" s="1">
        <v>37.203706498300001</v>
      </c>
      <c r="D2186" s="1">
        <v>-7.0093476665000001</v>
      </c>
      <c r="E2186" s="3">
        <v>3</v>
      </c>
      <c r="F2186" s="2">
        <v>3</v>
      </c>
      <c r="G2186" s="4">
        <v>3</v>
      </c>
      <c r="H2186" s="13"/>
      <c r="I2186" s="15"/>
      <c r="J2186" s="19">
        <v>3</v>
      </c>
      <c r="K2186" s="2" t="s">
        <v>4384</v>
      </c>
      <c r="L2186" s="11" t="str">
        <f t="shared" si="35"/>
        <v>Ver Imagen</v>
      </c>
      <c r="M2186" t="s">
        <v>15</v>
      </c>
    </row>
    <row r="2187" spans="1:13" x14ac:dyDescent="0.25">
      <c r="A2187">
        <v>2186</v>
      </c>
      <c r="B2187" t="s">
        <v>4385</v>
      </c>
      <c r="C2187" s="1">
        <v>37.203661897000003</v>
      </c>
      <c r="D2187" s="1">
        <v>-7.0090616456300001</v>
      </c>
      <c r="E2187" s="3">
        <v>3</v>
      </c>
      <c r="F2187" s="2">
        <v>3</v>
      </c>
      <c r="G2187" s="4">
        <v>3</v>
      </c>
      <c r="H2187" s="13"/>
      <c r="I2187" s="15"/>
      <c r="J2187" s="19">
        <v>3</v>
      </c>
      <c r="K2187" s="2" t="s">
        <v>4386</v>
      </c>
      <c r="L2187" s="11" t="str">
        <f t="shared" si="35"/>
        <v>Ver Imagen</v>
      </c>
      <c r="M2187" t="s">
        <v>15</v>
      </c>
    </row>
    <row r="2188" spans="1:13" x14ac:dyDescent="0.25">
      <c r="A2188">
        <v>2187</v>
      </c>
      <c r="B2188" t="s">
        <v>4387</v>
      </c>
      <c r="C2188" s="1">
        <v>37.2034084951</v>
      </c>
      <c r="D2188" s="1">
        <v>-7.0073531357799999</v>
      </c>
      <c r="E2188" s="3">
        <v>3</v>
      </c>
      <c r="F2188" s="2">
        <v>3</v>
      </c>
      <c r="G2188" s="4">
        <v>3</v>
      </c>
      <c r="H2188" s="13"/>
      <c r="I2188" s="15"/>
      <c r="J2188" s="19">
        <v>3</v>
      </c>
      <c r="K2188" s="2" t="s">
        <v>4388</v>
      </c>
      <c r="L2188" s="11" t="str">
        <f t="shared" si="35"/>
        <v>Ver Imagen</v>
      </c>
      <c r="M2188" t="s">
        <v>15</v>
      </c>
    </row>
    <row r="2189" spans="1:13" x14ac:dyDescent="0.25">
      <c r="A2189">
        <v>2188</v>
      </c>
      <c r="B2189" t="s">
        <v>4389</v>
      </c>
      <c r="C2189" s="1">
        <v>37.203334809899999</v>
      </c>
      <c r="D2189" s="1">
        <v>-7.0068215173599997</v>
      </c>
      <c r="E2189" s="3">
        <v>3</v>
      </c>
      <c r="F2189" s="2">
        <v>3</v>
      </c>
      <c r="G2189" s="4">
        <v>3</v>
      </c>
      <c r="H2189" s="13"/>
      <c r="I2189" s="15"/>
      <c r="J2189" s="19">
        <v>3</v>
      </c>
      <c r="K2189" s="2" t="s">
        <v>4390</v>
      </c>
      <c r="L2189" s="11" t="str">
        <f t="shared" si="35"/>
        <v>Ver Imagen</v>
      </c>
      <c r="M2189" t="s">
        <v>15</v>
      </c>
    </row>
    <row r="2190" spans="1:13" x14ac:dyDescent="0.25">
      <c r="A2190">
        <v>2189</v>
      </c>
      <c r="B2190" t="s">
        <v>4391</v>
      </c>
      <c r="C2190" s="1">
        <v>37.203304965100003</v>
      </c>
      <c r="D2190" s="1">
        <v>-7.0065959806200002</v>
      </c>
      <c r="E2190" s="3">
        <v>3</v>
      </c>
      <c r="F2190" s="2">
        <v>3</v>
      </c>
      <c r="G2190" s="4">
        <v>3</v>
      </c>
      <c r="H2190" s="13"/>
      <c r="I2190" s="15"/>
      <c r="J2190" s="19">
        <v>3</v>
      </c>
      <c r="K2190" s="2" t="s">
        <v>4392</v>
      </c>
      <c r="L2190" s="11" t="str">
        <f t="shared" si="35"/>
        <v>Ver Imagen</v>
      </c>
      <c r="M2190" t="s">
        <v>15</v>
      </c>
    </row>
    <row r="2191" spans="1:13" x14ac:dyDescent="0.25">
      <c r="A2191">
        <v>2190</v>
      </c>
      <c r="B2191" t="s">
        <v>4393</v>
      </c>
      <c r="C2191" s="1">
        <v>37.203268267200002</v>
      </c>
      <c r="D2191" s="1">
        <v>-7.0063186432100002</v>
      </c>
      <c r="E2191" s="3">
        <v>3</v>
      </c>
      <c r="F2191" s="2">
        <v>3</v>
      </c>
      <c r="G2191" s="4">
        <v>3</v>
      </c>
      <c r="H2191" s="13"/>
      <c r="I2191" s="15"/>
      <c r="J2191" s="19">
        <v>3</v>
      </c>
      <c r="K2191" s="2" t="s">
        <v>4394</v>
      </c>
      <c r="L2191" s="11" t="str">
        <f t="shared" si="35"/>
        <v>Ver Imagen</v>
      </c>
      <c r="M2191" t="s">
        <v>15</v>
      </c>
    </row>
    <row r="2192" spans="1:13" x14ac:dyDescent="0.25">
      <c r="A2192">
        <v>2191</v>
      </c>
      <c r="B2192" t="s">
        <v>4395</v>
      </c>
      <c r="C2192" s="1">
        <v>37.203242091299998</v>
      </c>
      <c r="D2192" s="1">
        <v>-7.0061255267</v>
      </c>
      <c r="E2192" s="3">
        <v>3</v>
      </c>
      <c r="F2192" s="2">
        <v>3</v>
      </c>
      <c r="G2192" s="4">
        <v>3</v>
      </c>
      <c r="H2192" s="13"/>
      <c r="I2192" s="15"/>
      <c r="J2192" s="19">
        <v>3</v>
      </c>
      <c r="K2192" s="2" t="s">
        <v>4396</v>
      </c>
      <c r="L2192" s="11" t="str">
        <f t="shared" si="35"/>
        <v>Ver Imagen</v>
      </c>
      <c r="M2192" t="s">
        <v>15</v>
      </c>
    </row>
    <row r="2193" spans="1:13" x14ac:dyDescent="0.25">
      <c r="A2193">
        <v>2192</v>
      </c>
      <c r="B2193" t="s">
        <v>4397</v>
      </c>
      <c r="C2193" s="1">
        <v>37.203135371599998</v>
      </c>
      <c r="D2193" s="1">
        <v>-7.0053429283900002</v>
      </c>
      <c r="E2193" s="3">
        <v>3</v>
      </c>
      <c r="F2193" s="2">
        <v>3</v>
      </c>
      <c r="G2193" s="4">
        <v>3</v>
      </c>
      <c r="H2193" s="13"/>
      <c r="I2193" s="15"/>
      <c r="J2193" s="19">
        <v>3</v>
      </c>
      <c r="K2193" s="2" t="s">
        <v>4398</v>
      </c>
      <c r="L2193" s="11" t="str">
        <f t="shared" si="35"/>
        <v>Ver Imagen</v>
      </c>
      <c r="M2193" t="s">
        <v>15</v>
      </c>
    </row>
    <row r="2194" spans="1:13" x14ac:dyDescent="0.25">
      <c r="A2194">
        <v>2193</v>
      </c>
      <c r="B2194" t="s">
        <v>4399</v>
      </c>
      <c r="C2194" s="1">
        <v>37.203107306699998</v>
      </c>
      <c r="D2194" s="1">
        <v>-7.0051307236299998</v>
      </c>
      <c r="E2194" s="3">
        <v>3</v>
      </c>
      <c r="F2194" s="2">
        <v>3</v>
      </c>
      <c r="G2194" s="4">
        <v>3</v>
      </c>
      <c r="H2194" s="13"/>
      <c r="I2194" s="15"/>
      <c r="J2194" s="19">
        <v>3</v>
      </c>
      <c r="K2194" s="2" t="s">
        <v>4400</v>
      </c>
      <c r="L2194" s="11" t="str">
        <f t="shared" si="35"/>
        <v>Ver Imagen</v>
      </c>
      <c r="M2194" t="s">
        <v>15</v>
      </c>
    </row>
    <row r="2195" spans="1:13" x14ac:dyDescent="0.25">
      <c r="A2195">
        <v>2194</v>
      </c>
      <c r="B2195" t="s">
        <v>4401</v>
      </c>
      <c r="C2195" s="1">
        <v>37.203043777200001</v>
      </c>
      <c r="D2195" s="1">
        <v>-7.0046265490100001</v>
      </c>
      <c r="E2195" s="3">
        <v>3</v>
      </c>
      <c r="F2195" s="2">
        <v>3</v>
      </c>
      <c r="G2195" s="4">
        <v>3</v>
      </c>
      <c r="H2195" s="13"/>
      <c r="I2195" s="15"/>
      <c r="J2195" s="19">
        <v>3</v>
      </c>
      <c r="K2195" s="2" t="s">
        <v>4402</v>
      </c>
      <c r="L2195" s="11" t="str">
        <f t="shared" si="35"/>
        <v>Ver Imagen</v>
      </c>
      <c r="M2195" t="s">
        <v>15</v>
      </c>
    </row>
    <row r="2196" spans="1:13" x14ac:dyDescent="0.25">
      <c r="A2196">
        <v>2195</v>
      </c>
      <c r="B2196" t="s">
        <v>4403</v>
      </c>
      <c r="C2196" s="1">
        <v>37.203009809999998</v>
      </c>
      <c r="D2196" s="1">
        <v>-7.0043459166700002</v>
      </c>
      <c r="E2196" s="3">
        <v>3</v>
      </c>
      <c r="F2196" s="2">
        <v>3</v>
      </c>
      <c r="G2196" s="4">
        <v>3</v>
      </c>
      <c r="H2196" s="13"/>
      <c r="I2196" s="15"/>
      <c r="J2196" s="19">
        <v>3</v>
      </c>
      <c r="K2196" s="2" t="s">
        <v>4404</v>
      </c>
      <c r="L2196" s="11" t="str">
        <f t="shared" si="35"/>
        <v>Ver Imagen</v>
      </c>
      <c r="M2196" t="s">
        <v>15</v>
      </c>
    </row>
    <row r="2197" spans="1:13" x14ac:dyDescent="0.25">
      <c r="A2197">
        <v>2196</v>
      </c>
      <c r="B2197" t="s">
        <v>4405</v>
      </c>
      <c r="C2197" s="1">
        <v>37.2029290949</v>
      </c>
      <c r="D2197" s="1">
        <v>-7.0036279322099997</v>
      </c>
      <c r="E2197" s="3">
        <v>3</v>
      </c>
      <c r="F2197" s="2">
        <v>3</v>
      </c>
      <c r="G2197" s="4">
        <v>3</v>
      </c>
      <c r="H2197" s="13"/>
      <c r="I2197" s="15"/>
      <c r="J2197" s="19">
        <v>3</v>
      </c>
      <c r="K2197" s="2" t="s">
        <v>4406</v>
      </c>
      <c r="L2197" s="11" t="str">
        <f t="shared" si="35"/>
        <v>Ver Imagen</v>
      </c>
      <c r="M2197" t="s">
        <v>15</v>
      </c>
    </row>
    <row r="2198" spans="1:13" x14ac:dyDescent="0.25">
      <c r="A2198">
        <v>2197</v>
      </c>
      <c r="B2198" t="s">
        <v>4407</v>
      </c>
      <c r="C2198" s="1">
        <v>37.202900967799998</v>
      </c>
      <c r="D2198" s="1">
        <v>-7.0033696822599998</v>
      </c>
      <c r="E2198" s="3">
        <v>3</v>
      </c>
      <c r="F2198" s="2">
        <v>3</v>
      </c>
      <c r="G2198" s="4">
        <v>3</v>
      </c>
      <c r="H2198" s="13"/>
      <c r="I2198" s="15"/>
      <c r="J2198" s="19">
        <v>3</v>
      </c>
      <c r="K2198" s="2" t="s">
        <v>4408</v>
      </c>
      <c r="L2198" s="11" t="str">
        <f t="shared" si="35"/>
        <v>Ver Imagen</v>
      </c>
      <c r="M2198" t="s">
        <v>15</v>
      </c>
    </row>
    <row r="2199" spans="1:13" x14ac:dyDescent="0.25">
      <c r="A2199">
        <v>2198</v>
      </c>
      <c r="B2199" t="s">
        <v>4409</v>
      </c>
      <c r="C2199" s="1">
        <v>37.202840706899998</v>
      </c>
      <c r="D2199" s="1">
        <v>-7.0028206389000003</v>
      </c>
      <c r="E2199" s="3">
        <v>3</v>
      </c>
      <c r="F2199" s="2">
        <v>3</v>
      </c>
      <c r="G2199" s="4">
        <v>3</v>
      </c>
      <c r="H2199" s="13"/>
      <c r="I2199" s="15"/>
      <c r="J2199" s="19">
        <v>3</v>
      </c>
      <c r="K2199" s="2" t="s">
        <v>4410</v>
      </c>
      <c r="L2199" s="11" t="str">
        <f t="shared" si="35"/>
        <v>Ver Imagen</v>
      </c>
      <c r="M2199" t="s">
        <v>15</v>
      </c>
    </row>
    <row r="2200" spans="1:13" x14ac:dyDescent="0.25">
      <c r="A2200">
        <v>2199</v>
      </c>
      <c r="B2200" t="s">
        <v>4411</v>
      </c>
      <c r="C2200" s="1">
        <v>37.202790724899998</v>
      </c>
      <c r="D2200" s="1">
        <v>-7.0023770780100003</v>
      </c>
      <c r="E2200" s="3">
        <v>3</v>
      </c>
      <c r="F2200" s="2">
        <v>3</v>
      </c>
      <c r="G2200" s="4">
        <v>3</v>
      </c>
      <c r="H2200" s="13"/>
      <c r="I2200" s="15"/>
      <c r="J2200" s="19">
        <v>3</v>
      </c>
      <c r="K2200" s="2" t="s">
        <v>4412</v>
      </c>
      <c r="L2200" s="11" t="str">
        <f t="shared" si="35"/>
        <v>Ver Imagen</v>
      </c>
      <c r="M2200" t="s">
        <v>15</v>
      </c>
    </row>
    <row r="2201" spans="1:13" x14ac:dyDescent="0.25">
      <c r="A2201">
        <v>2200</v>
      </c>
      <c r="B2201" t="s">
        <v>4413</v>
      </c>
      <c r="C2201" s="1">
        <v>37.202765262200003</v>
      </c>
      <c r="D2201" s="1">
        <v>-7.0021528046599997</v>
      </c>
      <c r="E2201" s="3">
        <v>3</v>
      </c>
      <c r="F2201" s="2">
        <v>3</v>
      </c>
      <c r="G2201" s="4">
        <v>3</v>
      </c>
      <c r="H2201" s="13"/>
      <c r="I2201" s="15"/>
      <c r="J2201" s="19">
        <v>3</v>
      </c>
      <c r="K2201" s="2" t="s">
        <v>4414</v>
      </c>
      <c r="L2201" s="11" t="str">
        <f t="shared" si="35"/>
        <v>Ver Imagen</v>
      </c>
      <c r="M2201" t="s">
        <v>15</v>
      </c>
    </row>
    <row r="2202" spans="1:13" x14ac:dyDescent="0.25">
      <c r="A2202">
        <v>2201</v>
      </c>
      <c r="B2202" t="s">
        <v>4415</v>
      </c>
      <c r="C2202" s="1">
        <v>37.202641000600003</v>
      </c>
      <c r="D2202" s="1">
        <v>-7.0010713634500004</v>
      </c>
      <c r="E2202" s="3">
        <v>3</v>
      </c>
      <c r="F2202" s="2">
        <v>3</v>
      </c>
      <c r="G2202" s="4">
        <v>3</v>
      </c>
      <c r="H2202" s="13"/>
      <c r="I2202" s="15"/>
      <c r="J2202" s="19">
        <v>3</v>
      </c>
      <c r="K2202" s="2" t="s">
        <v>4416</v>
      </c>
      <c r="L2202" s="11" t="str">
        <f t="shared" si="35"/>
        <v>Ver Imagen</v>
      </c>
      <c r="M2202" t="s">
        <v>15</v>
      </c>
    </row>
    <row r="2203" spans="1:13" x14ac:dyDescent="0.25">
      <c r="A2203">
        <v>2202</v>
      </c>
      <c r="B2203" t="s">
        <v>4417</v>
      </c>
      <c r="C2203" s="1">
        <v>37.202612151499999</v>
      </c>
      <c r="D2203" s="1">
        <v>-7.0008369748100003</v>
      </c>
      <c r="E2203" s="3">
        <v>3</v>
      </c>
      <c r="F2203" s="2">
        <v>3</v>
      </c>
      <c r="G2203" s="4">
        <v>3</v>
      </c>
      <c r="H2203" s="13"/>
      <c r="I2203" s="15"/>
      <c r="J2203" s="19">
        <v>3</v>
      </c>
      <c r="K2203" s="2" t="s">
        <v>4418</v>
      </c>
      <c r="L2203" s="11" t="str">
        <f t="shared" si="35"/>
        <v>Ver Imagen</v>
      </c>
      <c r="M2203" t="s">
        <v>15</v>
      </c>
    </row>
    <row r="2204" spans="1:13" x14ac:dyDescent="0.25">
      <c r="A2204">
        <v>2203</v>
      </c>
      <c r="B2204" t="s">
        <v>4419</v>
      </c>
      <c r="C2204" s="1">
        <v>37.202582056600001</v>
      </c>
      <c r="D2204" s="1">
        <v>-7.0005987322400003</v>
      </c>
      <c r="E2204" s="3">
        <v>3</v>
      </c>
      <c r="F2204" s="2">
        <v>3</v>
      </c>
      <c r="G2204" s="4">
        <v>3</v>
      </c>
      <c r="H2204" s="13"/>
      <c r="I2204" s="15"/>
      <c r="J2204" s="19">
        <v>3</v>
      </c>
      <c r="K2204" s="2" t="s">
        <v>4420</v>
      </c>
      <c r="L2204" s="11" t="str">
        <f t="shared" si="35"/>
        <v>Ver Imagen</v>
      </c>
      <c r="M2204" t="s">
        <v>15</v>
      </c>
    </row>
    <row r="2205" spans="1:13" x14ac:dyDescent="0.25">
      <c r="A2205">
        <v>2204</v>
      </c>
      <c r="B2205" t="s">
        <v>4421</v>
      </c>
      <c r="C2205" s="1">
        <v>37.202513973000002</v>
      </c>
      <c r="D2205" s="1">
        <v>-7.0000701941700001</v>
      </c>
      <c r="E2205" s="3">
        <v>3</v>
      </c>
      <c r="F2205" s="2">
        <v>3</v>
      </c>
      <c r="G2205" s="4">
        <v>3</v>
      </c>
      <c r="H2205" s="13"/>
      <c r="I2205" s="15"/>
      <c r="J2205" s="19">
        <v>3</v>
      </c>
      <c r="K2205" s="2" t="s">
        <v>4422</v>
      </c>
      <c r="L2205" s="11" t="str">
        <f t="shared" si="35"/>
        <v>Ver Imagen</v>
      </c>
      <c r="M2205" t="s">
        <v>15</v>
      </c>
    </row>
    <row r="2206" spans="1:13" x14ac:dyDescent="0.25">
      <c r="A2206">
        <v>2205</v>
      </c>
      <c r="B2206" t="s">
        <v>4423</v>
      </c>
      <c r="C2206" s="1">
        <v>37.202414984800001</v>
      </c>
      <c r="D2206" s="1">
        <v>-6.9992984630799997</v>
      </c>
      <c r="E2206" s="3">
        <v>3</v>
      </c>
      <c r="F2206" s="2">
        <v>3</v>
      </c>
      <c r="G2206" s="4">
        <v>3</v>
      </c>
      <c r="H2206" s="13"/>
      <c r="I2206" s="15"/>
      <c r="J2206" s="19">
        <v>3</v>
      </c>
      <c r="K2206" s="2" t="s">
        <v>4424</v>
      </c>
      <c r="L2206" s="11" t="str">
        <f t="shared" si="35"/>
        <v>Ver Imagen</v>
      </c>
      <c r="M2206" t="s">
        <v>15</v>
      </c>
    </row>
    <row r="2207" spans="1:13" x14ac:dyDescent="0.25">
      <c r="A2207">
        <v>2206</v>
      </c>
      <c r="B2207" t="s">
        <v>4425</v>
      </c>
      <c r="C2207" s="1">
        <v>37.202382825800001</v>
      </c>
      <c r="D2207" s="1">
        <v>-6.9990519814700001</v>
      </c>
      <c r="E2207" s="3">
        <v>3</v>
      </c>
      <c r="F2207" s="2">
        <v>3</v>
      </c>
      <c r="G2207" s="4">
        <v>3</v>
      </c>
      <c r="H2207" s="13"/>
      <c r="I2207" s="15"/>
      <c r="J2207" s="19">
        <v>3</v>
      </c>
      <c r="K2207" s="2" t="s">
        <v>4426</v>
      </c>
      <c r="L2207" s="11" t="str">
        <f t="shared" si="35"/>
        <v>Ver Imagen</v>
      </c>
      <c r="M2207" t="s">
        <v>15</v>
      </c>
    </row>
    <row r="2208" spans="1:13" x14ac:dyDescent="0.25">
      <c r="A2208">
        <v>2207</v>
      </c>
      <c r="B2208" t="s">
        <v>4427</v>
      </c>
      <c r="C2208" s="1">
        <v>37.2023507854</v>
      </c>
      <c r="D2208" s="1">
        <v>-6.9988198536399997</v>
      </c>
      <c r="E2208" s="3">
        <v>3</v>
      </c>
      <c r="F2208" s="2">
        <v>3</v>
      </c>
      <c r="G2208" s="4">
        <v>3</v>
      </c>
      <c r="H2208" s="13"/>
      <c r="I2208" s="15"/>
      <c r="J2208" s="19">
        <v>3</v>
      </c>
      <c r="K2208" s="2" t="s">
        <v>4428</v>
      </c>
      <c r="L2208" s="11" t="str">
        <f t="shared" si="35"/>
        <v>Ver Imagen</v>
      </c>
      <c r="M2208" t="s">
        <v>15</v>
      </c>
    </row>
    <row r="2209" spans="1:13" x14ac:dyDescent="0.25">
      <c r="A2209">
        <v>2208</v>
      </c>
      <c r="B2209" t="s">
        <v>4429</v>
      </c>
      <c r="C2209" s="1">
        <v>37.202310310500003</v>
      </c>
      <c r="D2209" s="1">
        <v>-6.9985379028399999</v>
      </c>
      <c r="E2209" s="3">
        <v>3</v>
      </c>
      <c r="F2209" s="2">
        <v>3</v>
      </c>
      <c r="G2209" s="4">
        <v>3</v>
      </c>
      <c r="H2209" s="13"/>
      <c r="I2209" s="15"/>
      <c r="J2209" s="19">
        <v>3</v>
      </c>
      <c r="K2209" s="2" t="s">
        <v>4430</v>
      </c>
      <c r="L2209" s="11" t="str">
        <f t="shared" si="35"/>
        <v>Ver Imagen</v>
      </c>
      <c r="M2209" t="s">
        <v>15</v>
      </c>
    </row>
    <row r="2210" spans="1:13" x14ac:dyDescent="0.25">
      <c r="A2210">
        <v>2209</v>
      </c>
      <c r="B2210" t="s">
        <v>4431</v>
      </c>
      <c r="C2210" s="1">
        <v>37.202277423600002</v>
      </c>
      <c r="D2210" s="1">
        <v>-6.9983122598199996</v>
      </c>
      <c r="E2210" s="3">
        <v>3</v>
      </c>
      <c r="F2210" s="2">
        <v>3</v>
      </c>
      <c r="G2210" s="4">
        <v>3</v>
      </c>
      <c r="H2210" s="13"/>
      <c r="I2210" s="15"/>
      <c r="J2210" s="19">
        <v>3</v>
      </c>
      <c r="K2210" s="2" t="s">
        <v>4432</v>
      </c>
      <c r="L2210" s="11" t="str">
        <f t="shared" si="35"/>
        <v>Ver Imagen</v>
      </c>
      <c r="M2210" t="s">
        <v>15</v>
      </c>
    </row>
    <row r="2211" spans="1:13" x14ac:dyDescent="0.25">
      <c r="A2211">
        <v>2210</v>
      </c>
      <c r="B2211" t="s">
        <v>4433</v>
      </c>
      <c r="C2211" s="1">
        <v>37.202206518200001</v>
      </c>
      <c r="D2211" s="1">
        <v>-6.9978272802900001</v>
      </c>
      <c r="E2211" s="3">
        <v>3</v>
      </c>
      <c r="F2211" s="2">
        <v>3</v>
      </c>
      <c r="G2211" s="4">
        <v>3</v>
      </c>
      <c r="H2211" s="13"/>
      <c r="I2211" s="15"/>
      <c r="J2211" s="19">
        <v>3</v>
      </c>
      <c r="K2211" s="2" t="s">
        <v>4434</v>
      </c>
      <c r="L2211" s="11" t="str">
        <f t="shared" si="35"/>
        <v>Ver Imagen</v>
      </c>
      <c r="M2211" t="s">
        <v>15</v>
      </c>
    </row>
    <row r="2212" spans="1:13" x14ac:dyDescent="0.25">
      <c r="A2212">
        <v>2211</v>
      </c>
      <c r="B2212" t="s">
        <v>4435</v>
      </c>
      <c r="C2212" s="1">
        <v>37.202133552500001</v>
      </c>
      <c r="D2212" s="1">
        <v>-6.9973306106699997</v>
      </c>
      <c r="E2212" s="3">
        <v>3</v>
      </c>
      <c r="F2212" s="2">
        <v>3</v>
      </c>
      <c r="G2212" s="4">
        <v>3</v>
      </c>
      <c r="H2212" s="13"/>
      <c r="I2212" s="15"/>
      <c r="J2212" s="19">
        <v>3</v>
      </c>
      <c r="K2212" s="2" t="s">
        <v>4436</v>
      </c>
      <c r="L2212" s="11" t="str">
        <f t="shared" si="35"/>
        <v>Ver Imagen</v>
      </c>
      <c r="M2212" t="s">
        <v>15</v>
      </c>
    </row>
    <row r="2213" spans="1:13" x14ac:dyDescent="0.25">
      <c r="A2213">
        <v>2212</v>
      </c>
      <c r="B2213" t="s">
        <v>4437</v>
      </c>
      <c r="C2213" s="1">
        <v>37.202093076799997</v>
      </c>
      <c r="D2213" s="1">
        <v>-6.9970584063199999</v>
      </c>
      <c r="E2213" s="3">
        <v>3</v>
      </c>
      <c r="F2213" s="2">
        <v>3</v>
      </c>
      <c r="G2213" s="4">
        <v>3</v>
      </c>
      <c r="H2213" s="13"/>
      <c r="I2213" s="15"/>
      <c r="J2213" s="19">
        <v>3</v>
      </c>
      <c r="K2213" s="2" t="s">
        <v>4438</v>
      </c>
      <c r="L2213" s="11" t="str">
        <f t="shared" si="35"/>
        <v>Ver Imagen</v>
      </c>
      <c r="M2213" t="s">
        <v>15</v>
      </c>
    </row>
    <row r="2214" spans="1:13" x14ac:dyDescent="0.25">
      <c r="A2214">
        <v>2213</v>
      </c>
      <c r="B2214" t="s">
        <v>4439</v>
      </c>
      <c r="C2214" s="1">
        <v>37.202018187699998</v>
      </c>
      <c r="D2214" s="1">
        <v>-6.9965670268400002</v>
      </c>
      <c r="E2214" s="3">
        <v>3</v>
      </c>
      <c r="F2214" s="2">
        <v>3</v>
      </c>
      <c r="G2214" s="4">
        <v>3</v>
      </c>
      <c r="H2214" s="13"/>
      <c r="I2214" s="15"/>
      <c r="J2214" s="19">
        <v>3</v>
      </c>
      <c r="K2214" s="2" t="s">
        <v>4440</v>
      </c>
      <c r="L2214" s="11" t="str">
        <f t="shared" si="35"/>
        <v>Ver Imagen</v>
      </c>
      <c r="M2214" t="s">
        <v>15</v>
      </c>
    </row>
    <row r="2215" spans="1:13" x14ac:dyDescent="0.25">
      <c r="A2215">
        <v>2214</v>
      </c>
      <c r="B2215" t="s">
        <v>4441</v>
      </c>
      <c r="C2215" s="1">
        <v>37.201979744299997</v>
      </c>
      <c r="D2215" s="1">
        <v>-6.9963245273999997</v>
      </c>
      <c r="E2215" s="3">
        <v>3</v>
      </c>
      <c r="F2215" s="2">
        <v>3</v>
      </c>
      <c r="G2215" s="4">
        <v>3</v>
      </c>
      <c r="H2215" s="13"/>
      <c r="I2215" s="15"/>
      <c r="J2215" s="19">
        <v>3</v>
      </c>
      <c r="K2215" s="2" t="s">
        <v>4442</v>
      </c>
      <c r="L2215" s="11" t="str">
        <f t="shared" si="35"/>
        <v>Ver Imagen</v>
      </c>
      <c r="M2215" t="s">
        <v>15</v>
      </c>
    </row>
    <row r="2216" spans="1:13" x14ac:dyDescent="0.25">
      <c r="A2216">
        <v>2215</v>
      </c>
      <c r="B2216" t="s">
        <v>4443</v>
      </c>
      <c r="C2216" s="1">
        <v>37.229533546500001</v>
      </c>
      <c r="D2216" s="1">
        <v>-7.0206130376600004</v>
      </c>
      <c r="E2216" s="3">
        <v>3</v>
      </c>
      <c r="F2216" s="2">
        <v>3</v>
      </c>
      <c r="G2216" s="4">
        <v>3</v>
      </c>
      <c r="H2216" s="13"/>
      <c r="I2216" s="15"/>
      <c r="J2216" s="19">
        <v>3</v>
      </c>
      <c r="K2216" s="2" t="s">
        <v>4444</v>
      </c>
      <c r="L2216" s="11" t="str">
        <f t="shared" si="35"/>
        <v>Ver Imagen</v>
      </c>
      <c r="M2216" t="s">
        <v>15</v>
      </c>
    </row>
    <row r="2217" spans="1:13" x14ac:dyDescent="0.25">
      <c r="A2217">
        <v>2216</v>
      </c>
      <c r="B2217" t="s">
        <v>4445</v>
      </c>
      <c r="C2217" s="1">
        <v>37.231426945800003</v>
      </c>
      <c r="D2217" s="1">
        <v>-7.0191631107700001</v>
      </c>
      <c r="E2217" s="3">
        <v>3</v>
      </c>
      <c r="F2217" s="2">
        <v>3</v>
      </c>
      <c r="G2217" s="4">
        <v>3</v>
      </c>
      <c r="H2217" s="13"/>
      <c r="I2217" s="15"/>
      <c r="J2217" s="19">
        <v>3</v>
      </c>
      <c r="K2217" s="2" t="s">
        <v>4446</v>
      </c>
      <c r="L2217" s="11" t="str">
        <f t="shared" si="35"/>
        <v>Ver Imagen</v>
      </c>
      <c r="M2217" t="s">
        <v>15</v>
      </c>
    </row>
    <row r="2218" spans="1:13" x14ac:dyDescent="0.25">
      <c r="A2218">
        <v>2217</v>
      </c>
      <c r="B2218" t="s">
        <v>4447</v>
      </c>
      <c r="C2218" s="1">
        <v>37.231990244899997</v>
      </c>
      <c r="D2218" s="1">
        <v>-7.0187449967999997</v>
      </c>
      <c r="E2218" s="3">
        <v>3</v>
      </c>
      <c r="F2218" s="2">
        <v>3</v>
      </c>
      <c r="G2218" s="4">
        <v>3</v>
      </c>
      <c r="H2218" s="13"/>
      <c r="I2218" s="15"/>
      <c r="J2218" s="19">
        <v>3</v>
      </c>
      <c r="K2218" s="2" t="s">
        <v>4448</v>
      </c>
      <c r="L2218" s="11" t="str">
        <f t="shared" si="35"/>
        <v>Ver Imagen</v>
      </c>
      <c r="M2218" t="s">
        <v>15</v>
      </c>
    </row>
    <row r="2219" spans="1:13" x14ac:dyDescent="0.25">
      <c r="A2219">
        <v>2218</v>
      </c>
      <c r="B2219" t="s">
        <v>4449</v>
      </c>
      <c r="C2219" s="1">
        <v>37.232703100099997</v>
      </c>
      <c r="D2219" s="1">
        <v>-7.0183184843599999</v>
      </c>
      <c r="E2219" s="3">
        <v>3</v>
      </c>
      <c r="F2219" s="2">
        <v>3</v>
      </c>
      <c r="G2219" s="4">
        <v>3</v>
      </c>
      <c r="H2219" s="13"/>
      <c r="I2219" s="15"/>
      <c r="J2219" s="19">
        <v>3</v>
      </c>
      <c r="K2219" s="2" t="s">
        <v>4450</v>
      </c>
      <c r="L2219" s="11" t="str">
        <f t="shared" si="35"/>
        <v>Ver Imagen</v>
      </c>
      <c r="M2219" t="s">
        <v>15</v>
      </c>
    </row>
    <row r="2220" spans="1:13" x14ac:dyDescent="0.25">
      <c r="A2220">
        <v>2219</v>
      </c>
      <c r="B2220" t="s">
        <v>4451</v>
      </c>
      <c r="C2220" s="1">
        <v>37.233096107999998</v>
      </c>
      <c r="D2220" s="1">
        <v>-7.0181610118200002</v>
      </c>
      <c r="E2220" s="3">
        <v>3</v>
      </c>
      <c r="F2220" s="2">
        <v>3</v>
      </c>
      <c r="G2220" s="4">
        <v>3</v>
      </c>
      <c r="H2220" s="13"/>
      <c r="I2220" s="15"/>
      <c r="J2220" s="19">
        <v>3</v>
      </c>
      <c r="K2220" s="2" t="s">
        <v>4452</v>
      </c>
      <c r="L2220" s="11" t="str">
        <f t="shared" si="35"/>
        <v>Ver Imagen</v>
      </c>
      <c r="M2220" t="s">
        <v>15</v>
      </c>
    </row>
    <row r="2221" spans="1:13" x14ac:dyDescent="0.25">
      <c r="A2221">
        <v>2220</v>
      </c>
      <c r="B2221" t="s">
        <v>4453</v>
      </c>
      <c r="C2221" s="1">
        <v>37.237712741099998</v>
      </c>
      <c r="D2221" s="1">
        <v>-7.0185717420399998</v>
      </c>
      <c r="E2221" s="3">
        <v>3</v>
      </c>
      <c r="F2221" s="2">
        <v>3</v>
      </c>
      <c r="G2221" s="4">
        <v>3</v>
      </c>
      <c r="H2221" s="13"/>
      <c r="I2221" s="15"/>
      <c r="J2221" s="19">
        <v>3</v>
      </c>
      <c r="K2221" s="2" t="s">
        <v>4454</v>
      </c>
      <c r="L2221" s="11" t="str">
        <f t="shared" si="35"/>
        <v>Ver Imagen</v>
      </c>
      <c r="M2221" t="s">
        <v>15</v>
      </c>
    </row>
    <row r="2222" spans="1:13" x14ac:dyDescent="0.25">
      <c r="A2222">
        <v>2221</v>
      </c>
      <c r="B2222" t="s">
        <v>4455</v>
      </c>
      <c r="C2222" s="1">
        <v>37.242746630699997</v>
      </c>
      <c r="D2222" s="1">
        <v>-7.0183809439999996</v>
      </c>
      <c r="E2222" s="3">
        <v>3</v>
      </c>
      <c r="F2222" s="2">
        <v>3</v>
      </c>
      <c r="G2222" s="4">
        <v>3</v>
      </c>
      <c r="H2222" s="13"/>
      <c r="I2222" s="15"/>
      <c r="J2222" s="19">
        <v>3</v>
      </c>
      <c r="K2222" s="2" t="s">
        <v>4456</v>
      </c>
      <c r="L2222" s="11" t="str">
        <f t="shared" si="35"/>
        <v>Ver Imagen</v>
      </c>
      <c r="M2222" t="s">
        <v>15</v>
      </c>
    </row>
    <row r="2223" spans="1:13" x14ac:dyDescent="0.25">
      <c r="A2223">
        <v>2222</v>
      </c>
      <c r="B2223" t="s">
        <v>4457</v>
      </c>
      <c r="C2223" s="1">
        <v>37.2436100563</v>
      </c>
      <c r="D2223" s="1">
        <v>-7.0183439055400001</v>
      </c>
      <c r="E2223" s="3">
        <v>3</v>
      </c>
      <c r="F2223" s="2">
        <v>3</v>
      </c>
      <c r="G2223" s="4">
        <v>3</v>
      </c>
      <c r="H2223" s="13"/>
      <c r="I2223" s="15"/>
      <c r="J2223" s="19">
        <v>3</v>
      </c>
      <c r="K2223" s="2" t="s">
        <v>4458</v>
      </c>
      <c r="L2223" s="11" t="str">
        <f t="shared" si="35"/>
        <v>Ver Imagen</v>
      </c>
      <c r="M2223" t="s">
        <v>15</v>
      </c>
    </row>
    <row r="2224" spans="1:13" x14ac:dyDescent="0.25">
      <c r="A2224">
        <v>2223</v>
      </c>
      <c r="B2224" t="s">
        <v>4459</v>
      </c>
      <c r="C2224" s="1">
        <v>37.2458013189</v>
      </c>
      <c r="D2224" s="1">
        <v>-7.0182664751799999</v>
      </c>
      <c r="E2224" s="3">
        <v>3</v>
      </c>
      <c r="F2224" s="2">
        <v>3</v>
      </c>
      <c r="G2224" s="4">
        <v>3</v>
      </c>
      <c r="H2224" s="13"/>
      <c r="I2224" s="15"/>
      <c r="J2224" s="19">
        <v>3</v>
      </c>
      <c r="K2224" s="2" t="s">
        <v>4460</v>
      </c>
      <c r="L2224" s="11" t="str">
        <f t="shared" si="35"/>
        <v>Ver Imagen</v>
      </c>
      <c r="M2224" t="s">
        <v>15</v>
      </c>
    </row>
    <row r="2225" spans="1:13" x14ac:dyDescent="0.25">
      <c r="A2225">
        <v>2224</v>
      </c>
      <c r="B2225" t="s">
        <v>4461</v>
      </c>
      <c r="C2225" s="1">
        <v>37.246417161499998</v>
      </c>
      <c r="D2225" s="1">
        <v>-7.0182472743500002</v>
      </c>
      <c r="E2225" s="3">
        <v>3</v>
      </c>
      <c r="F2225" s="2">
        <v>3</v>
      </c>
      <c r="G2225" s="4">
        <v>3</v>
      </c>
      <c r="H2225" s="13"/>
      <c r="I2225" s="15"/>
      <c r="J2225" s="19">
        <v>3</v>
      </c>
      <c r="K2225" s="2" t="s">
        <v>4462</v>
      </c>
      <c r="L2225" s="11" t="str">
        <f t="shared" si="35"/>
        <v>Ver Imagen</v>
      </c>
      <c r="M2225" t="s">
        <v>15</v>
      </c>
    </row>
    <row r="2226" spans="1:13" x14ac:dyDescent="0.25">
      <c r="A2226">
        <v>2225</v>
      </c>
      <c r="B2226" t="s">
        <v>4463</v>
      </c>
      <c r="C2226" s="1">
        <v>37.246803570499999</v>
      </c>
      <c r="D2226" s="1">
        <v>-7.0182331861199998</v>
      </c>
      <c r="E2226" s="3">
        <v>3</v>
      </c>
      <c r="F2226" s="2">
        <v>3</v>
      </c>
      <c r="G2226" s="4">
        <v>3</v>
      </c>
      <c r="H2226" s="13"/>
      <c r="I2226" s="15"/>
      <c r="J2226" s="19">
        <v>3</v>
      </c>
      <c r="K2226" s="2" t="s">
        <v>4464</v>
      </c>
      <c r="L2226" s="11" t="str">
        <f t="shared" si="35"/>
        <v>Ver Imagen</v>
      </c>
      <c r="M2226" t="s">
        <v>15</v>
      </c>
    </row>
    <row r="2227" spans="1:13" x14ac:dyDescent="0.25">
      <c r="A2227">
        <v>2226</v>
      </c>
      <c r="B2227" t="s">
        <v>4465</v>
      </c>
      <c r="C2227" s="1">
        <v>37.2471950929</v>
      </c>
      <c r="D2227" s="1">
        <v>-7.0182186260800004</v>
      </c>
      <c r="E2227" s="3">
        <v>3</v>
      </c>
      <c r="F2227" s="2">
        <v>3</v>
      </c>
      <c r="G2227" s="4">
        <v>3</v>
      </c>
      <c r="H2227" s="13"/>
      <c r="I2227" s="15"/>
      <c r="J2227" s="19">
        <v>3</v>
      </c>
      <c r="K2227" s="2" t="s">
        <v>4466</v>
      </c>
      <c r="L2227" s="11" t="str">
        <f t="shared" si="35"/>
        <v>Ver Imagen</v>
      </c>
      <c r="M2227" t="s">
        <v>15</v>
      </c>
    </row>
    <row r="2228" spans="1:13" x14ac:dyDescent="0.25">
      <c r="A2228">
        <v>2227</v>
      </c>
      <c r="B2228" t="s">
        <v>4467</v>
      </c>
      <c r="C2228" s="1">
        <v>37.2488444321</v>
      </c>
      <c r="D2228" s="1">
        <v>-7.0181276136299999</v>
      </c>
      <c r="E2228" s="3">
        <v>3</v>
      </c>
      <c r="F2228" s="2">
        <v>3</v>
      </c>
      <c r="G2228" s="4">
        <v>3</v>
      </c>
      <c r="H2228" s="13"/>
      <c r="I2228" s="15"/>
      <c r="J2228" s="19">
        <v>3</v>
      </c>
      <c r="K2228" s="2" t="s">
        <v>4468</v>
      </c>
      <c r="L2228" s="11" t="str">
        <f t="shared" si="35"/>
        <v>Ver Imagen</v>
      </c>
      <c r="M2228" t="s">
        <v>15</v>
      </c>
    </row>
    <row r="2229" spans="1:13" x14ac:dyDescent="0.25">
      <c r="A2229">
        <v>2228</v>
      </c>
      <c r="B2229" t="s">
        <v>4469</v>
      </c>
      <c r="C2229" s="1">
        <v>37.249428977900003</v>
      </c>
      <c r="D2229" s="1">
        <v>-7.0180211048199999</v>
      </c>
      <c r="E2229" s="3">
        <v>3</v>
      </c>
      <c r="F2229" s="2">
        <v>3</v>
      </c>
      <c r="G2229" s="4">
        <v>3</v>
      </c>
      <c r="H2229" s="13"/>
      <c r="I2229" s="15"/>
      <c r="J2229" s="19">
        <v>3</v>
      </c>
      <c r="K2229" s="2" t="s">
        <v>4470</v>
      </c>
      <c r="L2229" s="11" t="str">
        <f t="shared" si="35"/>
        <v>Ver Imagen</v>
      </c>
      <c r="M2229" t="s">
        <v>15</v>
      </c>
    </row>
    <row r="2230" spans="1:13" x14ac:dyDescent="0.25">
      <c r="A2230">
        <v>2229</v>
      </c>
      <c r="B2230" t="s">
        <v>4471</v>
      </c>
      <c r="C2230" s="1">
        <v>37.251463883100001</v>
      </c>
      <c r="D2230" s="1">
        <v>-7.0169429716399998</v>
      </c>
      <c r="E2230" s="3">
        <v>3</v>
      </c>
      <c r="F2230" s="2">
        <v>3</v>
      </c>
      <c r="G2230" s="4">
        <v>3</v>
      </c>
      <c r="H2230" s="13"/>
      <c r="I2230" s="15"/>
      <c r="J2230" s="19">
        <v>3</v>
      </c>
      <c r="K2230" s="2" t="s">
        <v>4472</v>
      </c>
      <c r="L2230" s="11" t="str">
        <f t="shared" si="35"/>
        <v>Ver Imagen</v>
      </c>
      <c r="M2230" t="s">
        <v>15</v>
      </c>
    </row>
    <row r="2231" spans="1:13" x14ac:dyDescent="0.25">
      <c r="A2231">
        <v>2230</v>
      </c>
      <c r="B2231" t="s">
        <v>4473</v>
      </c>
      <c r="C2231" s="1">
        <v>37.254392146100002</v>
      </c>
      <c r="D2231" s="1">
        <v>-7.0150801966099996</v>
      </c>
      <c r="E2231" s="3">
        <v>3</v>
      </c>
      <c r="F2231" s="2">
        <v>3</v>
      </c>
      <c r="G2231" s="4">
        <v>3</v>
      </c>
      <c r="H2231" s="13"/>
      <c r="I2231" s="15"/>
      <c r="J2231" s="19">
        <v>3</v>
      </c>
      <c r="K2231" s="2" t="s">
        <v>4474</v>
      </c>
      <c r="L2231" s="11" t="str">
        <f t="shared" si="35"/>
        <v>Ver Imagen</v>
      </c>
      <c r="M2231" t="s">
        <v>15</v>
      </c>
    </row>
    <row r="2232" spans="1:13" x14ac:dyDescent="0.25">
      <c r="A2232">
        <v>2231</v>
      </c>
      <c r="B2232" t="s">
        <v>4475</v>
      </c>
      <c r="C2232" s="1">
        <v>37.256016996299998</v>
      </c>
      <c r="D2232" s="1">
        <v>-7.0140492588100001</v>
      </c>
      <c r="E2232" s="3">
        <v>3</v>
      </c>
      <c r="F2232" s="2">
        <v>3</v>
      </c>
      <c r="G2232" s="4">
        <v>3</v>
      </c>
      <c r="H2232" s="13"/>
      <c r="I2232" s="15"/>
      <c r="J2232" s="19">
        <v>3</v>
      </c>
      <c r="K2232" s="2" t="s">
        <v>4476</v>
      </c>
      <c r="L2232" s="11" t="str">
        <f t="shared" si="35"/>
        <v>Ver Imagen</v>
      </c>
      <c r="M2232" t="s">
        <v>15</v>
      </c>
    </row>
    <row r="2233" spans="1:13" x14ac:dyDescent="0.25">
      <c r="A2233">
        <v>2232</v>
      </c>
      <c r="B2233" t="s">
        <v>4477</v>
      </c>
      <c r="C2233" s="1">
        <v>37.256161616999997</v>
      </c>
      <c r="D2233" s="1">
        <v>-7.0139562975300001</v>
      </c>
      <c r="E2233" s="3">
        <v>3</v>
      </c>
      <c r="F2233" s="2">
        <v>3</v>
      </c>
      <c r="G2233" s="4">
        <v>3</v>
      </c>
      <c r="H2233" s="13"/>
      <c r="I2233" s="15"/>
      <c r="J2233" s="19">
        <v>3</v>
      </c>
      <c r="K2233" s="2" t="s">
        <v>4478</v>
      </c>
      <c r="L2233" s="11" t="str">
        <f t="shared" si="35"/>
        <v>Ver Imagen</v>
      </c>
      <c r="M2233" t="s">
        <v>15</v>
      </c>
    </row>
    <row r="2234" spans="1:13" x14ac:dyDescent="0.25">
      <c r="A2234">
        <v>2233</v>
      </c>
      <c r="B2234" t="s">
        <v>4479</v>
      </c>
      <c r="C2234" s="1">
        <v>37.257054532600002</v>
      </c>
      <c r="D2234" s="1">
        <v>-7.0133849848000001</v>
      </c>
      <c r="E2234" s="3">
        <v>3</v>
      </c>
      <c r="F2234" s="2">
        <v>3</v>
      </c>
      <c r="G2234" s="4">
        <v>3</v>
      </c>
      <c r="H2234" s="13"/>
      <c r="I2234" s="15"/>
      <c r="J2234" s="19">
        <v>3</v>
      </c>
      <c r="K2234" s="2" t="s">
        <v>4480</v>
      </c>
      <c r="L2234" s="11" t="str">
        <f t="shared" si="35"/>
        <v>Ver Imagen</v>
      </c>
      <c r="M2234" t="s">
        <v>15</v>
      </c>
    </row>
    <row r="2235" spans="1:13" x14ac:dyDescent="0.25">
      <c r="A2235">
        <v>2234</v>
      </c>
      <c r="B2235" t="s">
        <v>4481</v>
      </c>
      <c r="C2235" s="1">
        <v>37.260305604800003</v>
      </c>
      <c r="D2235" s="1">
        <v>-7.0113135765000001</v>
      </c>
      <c r="E2235" s="3">
        <v>3</v>
      </c>
      <c r="F2235" s="2">
        <v>3</v>
      </c>
      <c r="G2235" s="4">
        <v>3</v>
      </c>
      <c r="H2235" s="13"/>
      <c r="I2235" s="15"/>
      <c r="J2235" s="19">
        <v>3</v>
      </c>
      <c r="K2235" s="2" t="s">
        <v>4482</v>
      </c>
      <c r="L2235" s="11" t="str">
        <f t="shared" si="35"/>
        <v>Ver Imagen</v>
      </c>
      <c r="M2235" t="s">
        <v>15</v>
      </c>
    </row>
    <row r="2236" spans="1:13" x14ac:dyDescent="0.25">
      <c r="A2236">
        <v>2235</v>
      </c>
      <c r="B2236" t="s">
        <v>4483</v>
      </c>
      <c r="C2236" s="1">
        <v>37.260476003900003</v>
      </c>
      <c r="D2236" s="1">
        <v>-7.0112055357200003</v>
      </c>
      <c r="E2236" s="3">
        <v>3</v>
      </c>
      <c r="F2236" s="2">
        <v>3</v>
      </c>
      <c r="G2236" s="4">
        <v>3</v>
      </c>
      <c r="H2236" s="13"/>
      <c r="I2236" s="15"/>
      <c r="J2236" s="19">
        <v>3</v>
      </c>
      <c r="K2236" s="2" t="s">
        <v>4484</v>
      </c>
      <c r="L2236" s="11" t="str">
        <f t="shared" si="35"/>
        <v>Ver Imagen</v>
      </c>
      <c r="M2236" t="s">
        <v>15</v>
      </c>
    </row>
    <row r="2237" spans="1:13" x14ac:dyDescent="0.25">
      <c r="A2237">
        <v>2236</v>
      </c>
      <c r="B2237" t="s">
        <v>4485</v>
      </c>
      <c r="C2237" s="1">
        <v>37.260866133500002</v>
      </c>
      <c r="D2237" s="1">
        <v>-7.0109559232800001</v>
      </c>
      <c r="E2237" s="3">
        <v>3</v>
      </c>
      <c r="F2237" s="2">
        <v>3</v>
      </c>
      <c r="G2237" s="4">
        <v>3</v>
      </c>
      <c r="H2237" s="13"/>
      <c r="I2237" s="15"/>
      <c r="J2237" s="19">
        <v>3</v>
      </c>
      <c r="K2237" s="2" t="s">
        <v>4486</v>
      </c>
      <c r="L2237" s="11" t="str">
        <f t="shared" si="35"/>
        <v>Ver Imagen</v>
      </c>
      <c r="M2237" t="s">
        <v>15</v>
      </c>
    </row>
    <row r="2238" spans="1:13" x14ac:dyDescent="0.25">
      <c r="A2238">
        <v>2237</v>
      </c>
      <c r="B2238" t="s">
        <v>4487</v>
      </c>
      <c r="C2238" s="1">
        <v>37.261033865900004</v>
      </c>
      <c r="D2238" s="1">
        <v>-7.0108458056799998</v>
      </c>
      <c r="E2238" s="3">
        <v>3</v>
      </c>
      <c r="F2238" s="2">
        <v>3</v>
      </c>
      <c r="G2238" s="4">
        <v>3</v>
      </c>
      <c r="H2238" s="13"/>
      <c r="I2238" s="15"/>
      <c r="J2238" s="19">
        <v>3</v>
      </c>
      <c r="K2238" s="2" t="s">
        <v>4488</v>
      </c>
      <c r="L2238" s="11" t="str">
        <f t="shared" ref="L2238:L2280" si="36">HYPERLINK("3\0\" &amp; K2238, "Ver Imagen")</f>
        <v>Ver Imagen</v>
      </c>
      <c r="M2238" t="s">
        <v>15</v>
      </c>
    </row>
    <row r="2239" spans="1:13" x14ac:dyDescent="0.25">
      <c r="A2239">
        <v>2238</v>
      </c>
      <c r="B2239" t="s">
        <v>4489</v>
      </c>
      <c r="C2239" s="1">
        <v>37.262154708799997</v>
      </c>
      <c r="D2239" s="1">
        <v>-7.0098561900899998</v>
      </c>
      <c r="E2239" s="3">
        <v>3</v>
      </c>
      <c r="F2239" s="2">
        <v>3</v>
      </c>
      <c r="G2239" s="4">
        <v>3</v>
      </c>
      <c r="H2239" s="13"/>
      <c r="I2239" s="15"/>
      <c r="J2239" s="19">
        <v>3</v>
      </c>
      <c r="K2239" s="2" t="s">
        <v>4490</v>
      </c>
      <c r="L2239" s="11" t="str">
        <f t="shared" si="36"/>
        <v>Ver Imagen</v>
      </c>
      <c r="M2239" t="s">
        <v>15</v>
      </c>
    </row>
    <row r="2240" spans="1:13" x14ac:dyDescent="0.25">
      <c r="A2240">
        <v>2239</v>
      </c>
      <c r="B2240" t="s">
        <v>4491</v>
      </c>
      <c r="C2240" s="1">
        <v>37.262301716700001</v>
      </c>
      <c r="D2240" s="1">
        <v>-7.0096708530700003</v>
      </c>
      <c r="E2240" s="3">
        <v>3</v>
      </c>
      <c r="F2240" s="2">
        <v>3</v>
      </c>
      <c r="G2240" s="4">
        <v>3</v>
      </c>
      <c r="H2240" s="13"/>
      <c r="I2240" s="15"/>
      <c r="J2240" s="19">
        <v>3</v>
      </c>
      <c r="K2240" s="2" t="s">
        <v>4492</v>
      </c>
      <c r="L2240" s="11" t="str">
        <f t="shared" si="36"/>
        <v>Ver Imagen</v>
      </c>
      <c r="M2240" t="s">
        <v>15</v>
      </c>
    </row>
    <row r="2241" spans="1:13" x14ac:dyDescent="0.25">
      <c r="A2241">
        <v>2240</v>
      </c>
      <c r="B2241" t="s">
        <v>4493</v>
      </c>
      <c r="C2241" s="1">
        <v>37.262691639700002</v>
      </c>
      <c r="D2241" s="1">
        <v>-7.0090839535100002</v>
      </c>
      <c r="E2241" s="3">
        <v>3</v>
      </c>
      <c r="F2241" s="2">
        <v>3</v>
      </c>
      <c r="G2241" s="4">
        <v>3</v>
      </c>
      <c r="H2241" s="13"/>
      <c r="I2241" s="15"/>
      <c r="J2241" s="19">
        <v>3</v>
      </c>
      <c r="K2241" s="2" t="s">
        <v>4494</v>
      </c>
      <c r="L2241" s="11" t="str">
        <f t="shared" si="36"/>
        <v>Ver Imagen</v>
      </c>
      <c r="M2241" t="s">
        <v>15</v>
      </c>
    </row>
    <row r="2242" spans="1:13" x14ac:dyDescent="0.25">
      <c r="A2242">
        <v>2241</v>
      </c>
      <c r="B2242" t="s">
        <v>4495</v>
      </c>
      <c r="C2242" s="1">
        <v>37.263196354400002</v>
      </c>
      <c r="D2242" s="1">
        <v>-7.00796173095</v>
      </c>
      <c r="E2242" s="3">
        <v>3</v>
      </c>
      <c r="F2242" s="2">
        <v>3</v>
      </c>
      <c r="G2242" s="4">
        <v>3</v>
      </c>
      <c r="H2242" s="13"/>
      <c r="I2242" s="15"/>
      <c r="J2242" s="19">
        <v>3</v>
      </c>
      <c r="K2242" s="2" t="s">
        <v>4496</v>
      </c>
      <c r="L2242" s="11" t="str">
        <f t="shared" si="36"/>
        <v>Ver Imagen</v>
      </c>
      <c r="M2242" t="s">
        <v>15</v>
      </c>
    </row>
    <row r="2243" spans="1:13" x14ac:dyDescent="0.25">
      <c r="A2243">
        <v>2242</v>
      </c>
      <c r="B2243" t="s">
        <v>4497</v>
      </c>
      <c r="C2243" s="1">
        <v>37.263268172099998</v>
      </c>
      <c r="D2243" s="1">
        <v>-7.0077304604300004</v>
      </c>
      <c r="E2243" s="3">
        <v>3</v>
      </c>
      <c r="F2243" s="2">
        <v>3</v>
      </c>
      <c r="G2243" s="4">
        <v>3</v>
      </c>
      <c r="H2243" s="13"/>
      <c r="I2243" s="15"/>
      <c r="J2243" s="19">
        <v>3</v>
      </c>
      <c r="K2243" s="2" t="s">
        <v>4498</v>
      </c>
      <c r="L2243" s="11" t="str">
        <f t="shared" si="36"/>
        <v>Ver Imagen</v>
      </c>
      <c r="M2243" t="s">
        <v>15</v>
      </c>
    </row>
    <row r="2244" spans="1:13" x14ac:dyDescent="0.25">
      <c r="A2244">
        <v>2243</v>
      </c>
      <c r="B2244" t="s">
        <v>4499</v>
      </c>
      <c r="C2244" s="1">
        <v>37.263569398500003</v>
      </c>
      <c r="D2244" s="1">
        <v>-7.0062886072300001</v>
      </c>
      <c r="E2244" s="3">
        <v>3</v>
      </c>
      <c r="F2244" s="2">
        <v>3</v>
      </c>
      <c r="G2244" s="4">
        <v>3</v>
      </c>
      <c r="H2244" s="13"/>
      <c r="I2244" s="15"/>
      <c r="J2244" s="19">
        <v>3</v>
      </c>
      <c r="K2244" s="2" t="s">
        <v>4500</v>
      </c>
      <c r="L2244" s="11" t="str">
        <f t="shared" si="36"/>
        <v>Ver Imagen</v>
      </c>
      <c r="M2244" t="s">
        <v>15</v>
      </c>
    </row>
    <row r="2245" spans="1:13" x14ac:dyDescent="0.25">
      <c r="A2245">
        <v>2244</v>
      </c>
      <c r="B2245" t="s">
        <v>4501</v>
      </c>
      <c r="C2245" s="1">
        <v>37.2636238515</v>
      </c>
      <c r="D2245" s="1">
        <v>-7.0059804658299996</v>
      </c>
      <c r="E2245" s="3">
        <v>3</v>
      </c>
      <c r="F2245" s="2">
        <v>3</v>
      </c>
      <c r="G2245" s="4">
        <v>3</v>
      </c>
      <c r="H2245" s="13"/>
      <c r="I2245" s="15"/>
      <c r="J2245" s="19">
        <v>3</v>
      </c>
      <c r="K2245" s="2" t="s">
        <v>4502</v>
      </c>
      <c r="L2245" s="11" t="str">
        <f t="shared" si="36"/>
        <v>Ver Imagen</v>
      </c>
      <c r="M2245" t="s">
        <v>15</v>
      </c>
    </row>
    <row r="2246" spans="1:13" x14ac:dyDescent="0.25">
      <c r="A2246">
        <v>2245</v>
      </c>
      <c r="B2246" t="s">
        <v>4503</v>
      </c>
      <c r="C2246" s="1">
        <v>37.263925834799998</v>
      </c>
      <c r="D2246" s="1">
        <v>-7.0042874596300004</v>
      </c>
      <c r="E2246" s="3">
        <v>3</v>
      </c>
      <c r="F2246" s="2">
        <v>3</v>
      </c>
      <c r="G2246" s="4">
        <v>3</v>
      </c>
      <c r="H2246" s="13"/>
      <c r="I2246" s="15"/>
      <c r="J2246" s="19">
        <v>3</v>
      </c>
      <c r="K2246" s="2" t="s">
        <v>4504</v>
      </c>
      <c r="L2246" s="11" t="str">
        <f t="shared" si="36"/>
        <v>Ver Imagen</v>
      </c>
      <c r="M2246" t="s">
        <v>15</v>
      </c>
    </row>
    <row r="2247" spans="1:13" x14ac:dyDescent="0.25">
      <c r="A2247">
        <v>2246</v>
      </c>
      <c r="B2247" t="s">
        <v>4505</v>
      </c>
      <c r="C2247" s="1">
        <v>37.263965288599998</v>
      </c>
      <c r="D2247" s="1">
        <v>-7.00406151432</v>
      </c>
      <c r="E2247" s="3">
        <v>3</v>
      </c>
      <c r="F2247" s="2">
        <v>3</v>
      </c>
      <c r="G2247" s="4">
        <v>3</v>
      </c>
      <c r="H2247" s="13"/>
      <c r="I2247" s="15"/>
      <c r="J2247" s="19">
        <v>3</v>
      </c>
      <c r="K2247" s="2" t="s">
        <v>4506</v>
      </c>
      <c r="L2247" s="11" t="str">
        <f t="shared" si="36"/>
        <v>Ver Imagen</v>
      </c>
      <c r="M2247" t="s">
        <v>15</v>
      </c>
    </row>
    <row r="2248" spans="1:13" x14ac:dyDescent="0.25">
      <c r="A2248">
        <v>2247</v>
      </c>
      <c r="B2248" t="s">
        <v>4507</v>
      </c>
      <c r="C2248" s="1">
        <v>37.264274748200002</v>
      </c>
      <c r="D2248" s="1">
        <v>-7.0023050407399996</v>
      </c>
      <c r="E2248" s="3">
        <v>3</v>
      </c>
      <c r="F2248" s="2">
        <v>3</v>
      </c>
      <c r="G2248" s="4">
        <v>3</v>
      </c>
      <c r="H2248" s="13"/>
      <c r="I2248" s="15"/>
      <c r="J2248" s="19">
        <v>3</v>
      </c>
      <c r="K2248" s="2" t="s">
        <v>4508</v>
      </c>
      <c r="L2248" s="11" t="str">
        <f t="shared" si="36"/>
        <v>Ver Imagen</v>
      </c>
      <c r="M2248" t="s">
        <v>15</v>
      </c>
    </row>
    <row r="2249" spans="1:13" x14ac:dyDescent="0.25">
      <c r="A2249">
        <v>2248</v>
      </c>
      <c r="B2249" t="s">
        <v>4509</v>
      </c>
      <c r="C2249" s="1">
        <v>37.264316194599999</v>
      </c>
      <c r="D2249" s="1">
        <v>-7.0020740218700004</v>
      </c>
      <c r="E2249" s="3">
        <v>3</v>
      </c>
      <c r="F2249" s="2">
        <v>3</v>
      </c>
      <c r="G2249" s="4">
        <v>3</v>
      </c>
      <c r="H2249" s="13"/>
      <c r="I2249" s="15"/>
      <c r="J2249" s="19">
        <v>3</v>
      </c>
      <c r="K2249" s="2" t="s">
        <v>4510</v>
      </c>
      <c r="L2249" s="11" t="str">
        <f t="shared" si="36"/>
        <v>Ver Imagen</v>
      </c>
      <c r="M2249" t="s">
        <v>15</v>
      </c>
    </row>
    <row r="2250" spans="1:13" x14ac:dyDescent="0.25">
      <c r="A2250">
        <v>2249</v>
      </c>
      <c r="B2250" t="s">
        <v>4511</v>
      </c>
      <c r="C2250" s="1">
        <v>37.264360312500003</v>
      </c>
      <c r="D2250" s="1">
        <v>-7.00182877621</v>
      </c>
      <c r="E2250" s="3">
        <v>3</v>
      </c>
      <c r="F2250" s="2">
        <v>3</v>
      </c>
      <c r="G2250" s="4">
        <v>3</v>
      </c>
      <c r="H2250" s="13"/>
      <c r="I2250" s="15"/>
      <c r="J2250" s="19">
        <v>3</v>
      </c>
      <c r="K2250" s="2" t="s">
        <v>4512</v>
      </c>
      <c r="L2250" s="11" t="str">
        <f t="shared" si="36"/>
        <v>Ver Imagen</v>
      </c>
      <c r="M2250" t="s">
        <v>15</v>
      </c>
    </row>
    <row r="2251" spans="1:13" x14ac:dyDescent="0.25">
      <c r="A2251">
        <v>2250</v>
      </c>
      <c r="B2251" t="s">
        <v>4513</v>
      </c>
      <c r="C2251" s="1">
        <v>37.264401662099999</v>
      </c>
      <c r="D2251" s="1">
        <v>-7.0015980683899999</v>
      </c>
      <c r="E2251" s="3">
        <v>3</v>
      </c>
      <c r="F2251" s="2">
        <v>3</v>
      </c>
      <c r="G2251" s="4">
        <v>3</v>
      </c>
      <c r="H2251" s="13"/>
      <c r="I2251" s="15"/>
      <c r="J2251" s="19">
        <v>3</v>
      </c>
      <c r="K2251" s="2" t="s">
        <v>4514</v>
      </c>
      <c r="L2251" s="11" t="str">
        <f t="shared" si="36"/>
        <v>Ver Imagen</v>
      </c>
      <c r="M2251" t="s">
        <v>15</v>
      </c>
    </row>
    <row r="2252" spans="1:13" x14ac:dyDescent="0.25">
      <c r="A2252">
        <v>2251</v>
      </c>
      <c r="B2252" t="s">
        <v>4515</v>
      </c>
      <c r="C2252" s="1">
        <v>37.264623636000003</v>
      </c>
      <c r="D2252" s="1">
        <v>-7.0003678150999997</v>
      </c>
      <c r="E2252" s="3">
        <v>3</v>
      </c>
      <c r="F2252" s="2">
        <v>3</v>
      </c>
      <c r="G2252" s="4">
        <v>3</v>
      </c>
      <c r="H2252" s="13"/>
      <c r="I2252" s="15"/>
      <c r="J2252" s="19">
        <v>3</v>
      </c>
      <c r="K2252" s="2" t="s">
        <v>4516</v>
      </c>
      <c r="L2252" s="11" t="str">
        <f t="shared" si="36"/>
        <v>Ver Imagen</v>
      </c>
      <c r="M2252" t="s">
        <v>15</v>
      </c>
    </row>
    <row r="2253" spans="1:13" x14ac:dyDescent="0.25">
      <c r="A2253">
        <v>2252</v>
      </c>
      <c r="B2253" t="s">
        <v>4517</v>
      </c>
      <c r="C2253" s="1">
        <v>37.264760884499999</v>
      </c>
      <c r="D2253" s="1">
        <v>-6.9995984040900003</v>
      </c>
      <c r="E2253" s="3">
        <v>3</v>
      </c>
      <c r="F2253" s="2">
        <v>3</v>
      </c>
      <c r="G2253" s="4">
        <v>3</v>
      </c>
      <c r="H2253" s="13"/>
      <c r="I2253" s="15"/>
      <c r="J2253" s="19">
        <v>3</v>
      </c>
      <c r="K2253" s="2" t="s">
        <v>4518</v>
      </c>
      <c r="L2253" s="11" t="str">
        <f t="shared" si="36"/>
        <v>Ver Imagen</v>
      </c>
      <c r="M2253" t="s">
        <v>15</v>
      </c>
    </row>
    <row r="2254" spans="1:13" x14ac:dyDescent="0.25">
      <c r="A2254">
        <v>2253</v>
      </c>
      <c r="B2254" t="s">
        <v>4519</v>
      </c>
      <c r="C2254" s="1">
        <v>37.264813658599998</v>
      </c>
      <c r="D2254" s="1">
        <v>-6.9992953910100004</v>
      </c>
      <c r="E2254" s="3">
        <v>3</v>
      </c>
      <c r="F2254" s="2">
        <v>3</v>
      </c>
      <c r="G2254" s="4">
        <v>3</v>
      </c>
      <c r="H2254" s="13"/>
      <c r="I2254" s="15"/>
      <c r="J2254" s="19">
        <v>3</v>
      </c>
      <c r="K2254" s="2" t="s">
        <v>4520</v>
      </c>
      <c r="L2254" s="11" t="str">
        <f t="shared" si="36"/>
        <v>Ver Imagen</v>
      </c>
      <c r="M2254" t="s">
        <v>15</v>
      </c>
    </row>
    <row r="2255" spans="1:13" x14ac:dyDescent="0.25">
      <c r="A2255">
        <v>2254</v>
      </c>
      <c r="B2255" t="s">
        <v>4521</v>
      </c>
      <c r="C2255" s="1">
        <v>37.2648486601</v>
      </c>
      <c r="D2255" s="1">
        <v>-6.9990942133400003</v>
      </c>
      <c r="E2255" s="3">
        <v>3</v>
      </c>
      <c r="F2255" s="2">
        <v>3</v>
      </c>
      <c r="G2255" s="4">
        <v>3</v>
      </c>
      <c r="H2255" s="13"/>
      <c r="I2255" s="15"/>
      <c r="J2255" s="19">
        <v>3</v>
      </c>
      <c r="K2255" s="2" t="s">
        <v>4522</v>
      </c>
      <c r="L2255" s="11" t="str">
        <f t="shared" si="36"/>
        <v>Ver Imagen</v>
      </c>
      <c r="M2255" t="s">
        <v>15</v>
      </c>
    </row>
    <row r="2256" spans="1:13" x14ac:dyDescent="0.25">
      <c r="A2256">
        <v>2255</v>
      </c>
      <c r="B2256" t="s">
        <v>4523</v>
      </c>
      <c r="C2256" s="1">
        <v>37.2650604755</v>
      </c>
      <c r="D2256" s="1">
        <v>-6.99788552453</v>
      </c>
      <c r="E2256" s="3">
        <v>3</v>
      </c>
      <c r="F2256" s="2">
        <v>3</v>
      </c>
      <c r="G2256" s="4">
        <v>3</v>
      </c>
      <c r="H2256" s="13"/>
      <c r="I2256" s="15"/>
      <c r="J2256" s="19">
        <v>3</v>
      </c>
      <c r="K2256" s="2" t="s">
        <v>4524</v>
      </c>
      <c r="L2256" s="11" t="str">
        <f t="shared" si="36"/>
        <v>Ver Imagen</v>
      </c>
      <c r="M2256" t="s">
        <v>15</v>
      </c>
    </row>
    <row r="2257" spans="1:13" x14ac:dyDescent="0.25">
      <c r="A2257">
        <v>2256</v>
      </c>
      <c r="B2257" t="s">
        <v>4525</v>
      </c>
      <c r="C2257" s="1">
        <v>37.265544809200001</v>
      </c>
      <c r="D2257" s="1">
        <v>-6.9951668423999998</v>
      </c>
      <c r="E2257" s="3">
        <v>3</v>
      </c>
      <c r="F2257" s="2">
        <v>3</v>
      </c>
      <c r="G2257" s="4">
        <v>3</v>
      </c>
      <c r="H2257" s="13"/>
      <c r="I2257" s="15"/>
      <c r="J2257" s="19">
        <v>3</v>
      </c>
      <c r="K2257" s="2" t="s">
        <v>4526</v>
      </c>
      <c r="L2257" s="11" t="str">
        <f t="shared" si="36"/>
        <v>Ver Imagen</v>
      </c>
      <c r="M2257" t="s">
        <v>15</v>
      </c>
    </row>
    <row r="2258" spans="1:13" x14ac:dyDescent="0.25">
      <c r="A2258">
        <v>2257</v>
      </c>
      <c r="B2258" t="s">
        <v>4527</v>
      </c>
      <c r="C2258" s="1">
        <v>37.265583927900003</v>
      </c>
      <c r="D2258" s="1">
        <v>-6.9949459819599999</v>
      </c>
      <c r="E2258" s="3">
        <v>3</v>
      </c>
      <c r="F2258" s="2">
        <v>3</v>
      </c>
      <c r="G2258" s="4">
        <v>3</v>
      </c>
      <c r="H2258" s="13"/>
      <c r="I2258" s="15"/>
      <c r="J2258" s="19">
        <v>3</v>
      </c>
      <c r="K2258" s="2" t="s">
        <v>4528</v>
      </c>
      <c r="L2258" s="11" t="str">
        <f t="shared" si="36"/>
        <v>Ver Imagen</v>
      </c>
      <c r="M2258" t="s">
        <v>15</v>
      </c>
    </row>
    <row r="2259" spans="1:13" x14ac:dyDescent="0.25">
      <c r="A2259">
        <v>2258</v>
      </c>
      <c r="B2259" t="s">
        <v>4529</v>
      </c>
      <c r="C2259" s="1">
        <v>37.265644721000001</v>
      </c>
      <c r="D2259" s="1">
        <v>-6.9946178927</v>
      </c>
      <c r="E2259" s="3">
        <v>3</v>
      </c>
      <c r="F2259" s="2">
        <v>3</v>
      </c>
      <c r="G2259" s="4">
        <v>3</v>
      </c>
      <c r="H2259" s="13"/>
      <c r="I2259" s="15"/>
      <c r="J2259" s="19">
        <v>3</v>
      </c>
      <c r="K2259" s="2" t="s">
        <v>4530</v>
      </c>
      <c r="L2259" s="11" t="str">
        <f t="shared" si="36"/>
        <v>Ver Imagen</v>
      </c>
      <c r="M2259" t="s">
        <v>15</v>
      </c>
    </row>
    <row r="2260" spans="1:13" x14ac:dyDescent="0.25">
      <c r="A2260">
        <v>2259</v>
      </c>
      <c r="B2260" t="s">
        <v>4531</v>
      </c>
      <c r="C2260" s="1">
        <v>37.265752220400003</v>
      </c>
      <c r="D2260" s="1">
        <v>-6.9941335889999996</v>
      </c>
      <c r="E2260" s="3">
        <v>3</v>
      </c>
      <c r="F2260" s="2">
        <v>3</v>
      </c>
      <c r="G2260" s="4">
        <v>3</v>
      </c>
      <c r="H2260" s="13"/>
      <c r="I2260" s="15"/>
      <c r="J2260" s="19">
        <v>3</v>
      </c>
      <c r="K2260" s="2" t="s">
        <v>4532</v>
      </c>
      <c r="L2260" s="11" t="str">
        <f t="shared" si="36"/>
        <v>Ver Imagen</v>
      </c>
      <c r="M2260" t="s">
        <v>15</v>
      </c>
    </row>
    <row r="2261" spans="1:13" x14ac:dyDescent="0.25">
      <c r="A2261">
        <v>2260</v>
      </c>
      <c r="B2261" t="s">
        <v>4533</v>
      </c>
      <c r="C2261" s="1">
        <v>37.265878924399999</v>
      </c>
      <c r="D2261" s="1">
        <v>-6.9936959312600004</v>
      </c>
      <c r="E2261" s="3">
        <v>3</v>
      </c>
      <c r="F2261" s="2">
        <v>3</v>
      </c>
      <c r="G2261" s="4">
        <v>3</v>
      </c>
      <c r="H2261" s="13"/>
      <c r="I2261" s="15"/>
      <c r="J2261" s="19">
        <v>3</v>
      </c>
      <c r="K2261" s="2" t="s">
        <v>4534</v>
      </c>
      <c r="L2261" s="11" t="str">
        <f t="shared" si="36"/>
        <v>Ver Imagen</v>
      </c>
      <c r="M2261" t="s">
        <v>15</v>
      </c>
    </row>
    <row r="2262" spans="1:13" x14ac:dyDescent="0.25">
      <c r="A2262">
        <v>2261</v>
      </c>
      <c r="B2262" t="s">
        <v>4535</v>
      </c>
      <c r="C2262" s="1">
        <v>37.266367834500002</v>
      </c>
      <c r="D2262" s="1">
        <v>-6.9925797020099996</v>
      </c>
      <c r="E2262" s="3">
        <v>3</v>
      </c>
      <c r="F2262" s="2">
        <v>3</v>
      </c>
      <c r="G2262" s="4">
        <v>3</v>
      </c>
      <c r="H2262" s="13"/>
      <c r="I2262" s="15"/>
      <c r="J2262" s="19">
        <v>3</v>
      </c>
      <c r="K2262" s="2" t="s">
        <v>4536</v>
      </c>
      <c r="L2262" s="11" t="str">
        <f t="shared" si="36"/>
        <v>Ver Imagen</v>
      </c>
      <c r="M2262" t="s">
        <v>15</v>
      </c>
    </row>
    <row r="2263" spans="1:13" x14ac:dyDescent="0.25">
      <c r="A2263">
        <v>2262</v>
      </c>
      <c r="B2263" t="s">
        <v>4537</v>
      </c>
      <c r="C2263" s="1">
        <v>37.266762065400002</v>
      </c>
      <c r="D2263" s="1">
        <v>-6.9919945076800003</v>
      </c>
      <c r="E2263" s="3">
        <v>3</v>
      </c>
      <c r="F2263" s="2">
        <v>3</v>
      </c>
      <c r="G2263" s="4">
        <v>3</v>
      </c>
      <c r="H2263" s="13"/>
      <c r="I2263" s="15"/>
      <c r="J2263" s="19">
        <v>3</v>
      </c>
      <c r="K2263" s="2" t="s">
        <v>4538</v>
      </c>
      <c r="L2263" s="11" t="str">
        <f t="shared" si="36"/>
        <v>Ver Imagen</v>
      </c>
      <c r="M2263" t="s">
        <v>15</v>
      </c>
    </row>
    <row r="2264" spans="1:13" x14ac:dyDescent="0.25">
      <c r="A2264">
        <v>2263</v>
      </c>
      <c r="B2264" t="s">
        <v>4539</v>
      </c>
      <c r="C2264" s="1">
        <v>37.266898962799999</v>
      </c>
      <c r="D2264" s="1">
        <v>-6.9918286781100001</v>
      </c>
      <c r="E2264" s="3">
        <v>3</v>
      </c>
      <c r="F2264" s="2">
        <v>3</v>
      </c>
      <c r="G2264" s="4">
        <v>3</v>
      </c>
      <c r="H2264" s="13"/>
      <c r="I2264" s="15"/>
      <c r="J2264" s="19">
        <v>3</v>
      </c>
      <c r="K2264" s="2" t="s">
        <v>4540</v>
      </c>
      <c r="L2264" s="11" t="str">
        <f t="shared" si="36"/>
        <v>Ver Imagen</v>
      </c>
      <c r="M2264" t="s">
        <v>15</v>
      </c>
    </row>
    <row r="2265" spans="1:13" x14ac:dyDescent="0.25">
      <c r="A2265">
        <v>2264</v>
      </c>
      <c r="B2265" t="s">
        <v>4541</v>
      </c>
      <c r="C2265" s="1">
        <v>37.267205461899998</v>
      </c>
      <c r="D2265" s="1">
        <v>-6.9915069758800001</v>
      </c>
      <c r="E2265" s="3">
        <v>3</v>
      </c>
      <c r="F2265" s="2">
        <v>3</v>
      </c>
      <c r="G2265" s="4">
        <v>3</v>
      </c>
      <c r="H2265" s="13"/>
      <c r="I2265" s="15"/>
      <c r="J2265" s="19">
        <v>3</v>
      </c>
      <c r="K2265" s="2" t="s">
        <v>4542</v>
      </c>
      <c r="L2265" s="11" t="str">
        <f t="shared" si="36"/>
        <v>Ver Imagen</v>
      </c>
      <c r="M2265" t="s">
        <v>15</v>
      </c>
    </row>
    <row r="2266" spans="1:13" x14ac:dyDescent="0.25">
      <c r="A2266">
        <v>2265</v>
      </c>
      <c r="B2266" t="s">
        <v>4543</v>
      </c>
      <c r="C2266" s="1">
        <v>37.268079306499999</v>
      </c>
      <c r="D2266" s="1">
        <v>-6.9908225416600001</v>
      </c>
      <c r="E2266" s="3">
        <v>3</v>
      </c>
      <c r="F2266" s="2">
        <v>3</v>
      </c>
      <c r="G2266" s="4">
        <v>3</v>
      </c>
      <c r="H2266" s="13"/>
      <c r="I2266" s="15"/>
      <c r="J2266" s="19">
        <v>3</v>
      </c>
      <c r="K2266" s="2" t="s">
        <v>4544</v>
      </c>
      <c r="L2266" s="11" t="str">
        <f t="shared" si="36"/>
        <v>Ver Imagen</v>
      </c>
      <c r="M2266" t="s">
        <v>15</v>
      </c>
    </row>
    <row r="2267" spans="1:13" x14ac:dyDescent="0.25">
      <c r="A2267">
        <v>2266</v>
      </c>
      <c r="B2267" t="s">
        <v>4545</v>
      </c>
      <c r="C2267" s="1">
        <v>37.268258453000001</v>
      </c>
      <c r="D2267" s="1">
        <v>-6.9906950501300003</v>
      </c>
      <c r="E2267" s="3">
        <v>3</v>
      </c>
      <c r="F2267" s="2">
        <v>3</v>
      </c>
      <c r="G2267" s="4">
        <v>3</v>
      </c>
      <c r="H2267" s="13"/>
      <c r="I2267" s="15"/>
      <c r="J2267" s="19">
        <v>3</v>
      </c>
      <c r="K2267" s="2" t="s">
        <v>4546</v>
      </c>
      <c r="L2267" s="11" t="str">
        <f t="shared" si="36"/>
        <v>Ver Imagen</v>
      </c>
      <c r="M2267" t="s">
        <v>15</v>
      </c>
    </row>
    <row r="2268" spans="1:13" x14ac:dyDescent="0.25">
      <c r="A2268">
        <v>2267</v>
      </c>
      <c r="B2268" t="s">
        <v>4547</v>
      </c>
      <c r="C2268" s="1">
        <v>37.268425565199998</v>
      </c>
      <c r="D2268" s="1">
        <v>-6.9905764248000004</v>
      </c>
      <c r="E2268" s="3">
        <v>3</v>
      </c>
      <c r="F2268" s="2">
        <v>3</v>
      </c>
      <c r="G2268" s="4">
        <v>3</v>
      </c>
      <c r="H2268" s="13"/>
      <c r="I2268" s="15"/>
      <c r="J2268" s="19">
        <v>3</v>
      </c>
      <c r="K2268" s="2" t="s">
        <v>4548</v>
      </c>
      <c r="L2268" s="11" t="str">
        <f t="shared" si="36"/>
        <v>Ver Imagen</v>
      </c>
      <c r="M2268" t="s">
        <v>15</v>
      </c>
    </row>
    <row r="2269" spans="1:13" x14ac:dyDescent="0.25">
      <c r="A2269">
        <v>2268</v>
      </c>
      <c r="B2269" t="s">
        <v>4549</v>
      </c>
      <c r="C2269" s="1">
        <v>37.271157412000001</v>
      </c>
      <c r="D2269" s="1">
        <v>-6.9884550561700003</v>
      </c>
      <c r="E2269" s="3">
        <v>3</v>
      </c>
      <c r="F2269" s="2">
        <v>3</v>
      </c>
      <c r="G2269" s="4">
        <v>3</v>
      </c>
      <c r="H2269" s="13"/>
      <c r="I2269" s="15"/>
      <c r="J2269" s="19">
        <v>3</v>
      </c>
      <c r="K2269" s="2" t="s">
        <v>4550</v>
      </c>
      <c r="L2269" s="11" t="str">
        <f t="shared" si="36"/>
        <v>Ver Imagen</v>
      </c>
      <c r="M2269" t="s">
        <v>15</v>
      </c>
    </row>
    <row r="2270" spans="1:13" x14ac:dyDescent="0.25">
      <c r="A2270">
        <v>2269</v>
      </c>
      <c r="B2270" t="s">
        <v>4551</v>
      </c>
      <c r="C2270" s="1">
        <v>37.271684367900001</v>
      </c>
      <c r="D2270" s="1">
        <v>-6.9871014453600004</v>
      </c>
      <c r="E2270" s="3">
        <v>3</v>
      </c>
      <c r="F2270" s="2">
        <v>3</v>
      </c>
      <c r="G2270" s="4">
        <v>3</v>
      </c>
      <c r="H2270" s="13"/>
      <c r="I2270" s="15"/>
      <c r="J2270" s="19">
        <v>3</v>
      </c>
      <c r="K2270" s="2" t="s">
        <v>4552</v>
      </c>
      <c r="L2270" s="11" t="str">
        <f t="shared" si="36"/>
        <v>Ver Imagen</v>
      </c>
      <c r="M2270" t="s">
        <v>15</v>
      </c>
    </row>
    <row r="2271" spans="1:13" x14ac:dyDescent="0.25">
      <c r="A2271">
        <v>2270</v>
      </c>
      <c r="B2271" t="s">
        <v>4553</v>
      </c>
      <c r="C2271" s="1">
        <v>37.271714731899998</v>
      </c>
      <c r="D2271" s="1">
        <v>-6.9868679004400001</v>
      </c>
      <c r="E2271" s="3">
        <v>3</v>
      </c>
      <c r="F2271" s="2">
        <v>3</v>
      </c>
      <c r="G2271" s="4">
        <v>3</v>
      </c>
      <c r="H2271" s="13"/>
      <c r="I2271" s="15"/>
      <c r="J2271" s="19">
        <v>3</v>
      </c>
      <c r="K2271" s="2" t="s">
        <v>4554</v>
      </c>
      <c r="L2271" s="11" t="str">
        <f t="shared" si="36"/>
        <v>Ver Imagen</v>
      </c>
      <c r="M2271" t="s">
        <v>15</v>
      </c>
    </row>
    <row r="2272" spans="1:13" x14ac:dyDescent="0.25">
      <c r="A2272">
        <v>2271</v>
      </c>
      <c r="B2272" t="s">
        <v>4555</v>
      </c>
      <c r="C2272" s="1">
        <v>37.271671190900001</v>
      </c>
      <c r="D2272" s="1">
        <v>-6.9855892087799996</v>
      </c>
      <c r="E2272" s="3">
        <v>3</v>
      </c>
      <c r="F2272" s="2">
        <v>3</v>
      </c>
      <c r="G2272" s="4">
        <v>3</v>
      </c>
      <c r="H2272" s="13"/>
      <c r="I2272" s="15"/>
      <c r="J2272" s="19">
        <v>3</v>
      </c>
      <c r="K2272" s="2" t="s">
        <v>4556</v>
      </c>
      <c r="L2272" s="11" t="str">
        <f t="shared" si="36"/>
        <v>Ver Imagen</v>
      </c>
      <c r="M2272" t="s">
        <v>15</v>
      </c>
    </row>
    <row r="2273" spans="1:13" x14ac:dyDescent="0.25">
      <c r="A2273">
        <v>2272</v>
      </c>
      <c r="B2273" t="s">
        <v>4557</v>
      </c>
      <c r="C2273" s="1">
        <v>37.271637519499997</v>
      </c>
      <c r="D2273" s="1">
        <v>-6.9853824099799997</v>
      </c>
      <c r="E2273" s="3">
        <v>3</v>
      </c>
      <c r="F2273" s="2">
        <v>3</v>
      </c>
      <c r="G2273" s="4">
        <v>3</v>
      </c>
      <c r="H2273" s="13"/>
      <c r="I2273" s="15"/>
      <c r="J2273" s="19">
        <v>3</v>
      </c>
      <c r="K2273" s="2" t="s">
        <v>4558</v>
      </c>
      <c r="L2273" s="11" t="str">
        <f t="shared" si="36"/>
        <v>Ver Imagen</v>
      </c>
      <c r="M2273" t="s">
        <v>15</v>
      </c>
    </row>
    <row r="2274" spans="1:13" x14ac:dyDescent="0.25">
      <c r="A2274">
        <v>2273</v>
      </c>
      <c r="B2274" t="s">
        <v>4559</v>
      </c>
      <c r="C2274" s="1">
        <v>37.271475995700001</v>
      </c>
      <c r="D2274" s="1">
        <v>-6.9846493786100003</v>
      </c>
      <c r="E2274" s="3">
        <v>3</v>
      </c>
      <c r="F2274" s="2">
        <v>3</v>
      </c>
      <c r="G2274" s="4">
        <v>3</v>
      </c>
      <c r="H2274" s="13"/>
      <c r="I2274" s="15"/>
      <c r="J2274" s="19">
        <v>3</v>
      </c>
      <c r="K2274" s="2" t="s">
        <v>4560</v>
      </c>
      <c r="L2274" s="11" t="str">
        <f t="shared" si="36"/>
        <v>Ver Imagen</v>
      </c>
      <c r="M2274" t="s">
        <v>15</v>
      </c>
    </row>
    <row r="2275" spans="1:13" x14ac:dyDescent="0.25">
      <c r="A2275">
        <v>2274</v>
      </c>
      <c r="B2275" t="s">
        <v>4561</v>
      </c>
      <c r="C2275" s="1">
        <v>37.270521141400003</v>
      </c>
      <c r="D2275" s="1">
        <v>-6.98127862677</v>
      </c>
      <c r="E2275" s="3">
        <v>3</v>
      </c>
      <c r="F2275" s="2">
        <v>3</v>
      </c>
      <c r="G2275" s="4">
        <v>3</v>
      </c>
      <c r="H2275" s="13"/>
      <c r="I2275" s="15"/>
      <c r="J2275" s="19">
        <v>3</v>
      </c>
      <c r="K2275" s="2" t="s">
        <v>4562</v>
      </c>
      <c r="L2275" s="11" t="str">
        <f t="shared" si="36"/>
        <v>Ver Imagen</v>
      </c>
      <c r="M2275" t="s">
        <v>15</v>
      </c>
    </row>
    <row r="2276" spans="1:13" x14ac:dyDescent="0.25">
      <c r="A2276">
        <v>2275</v>
      </c>
      <c r="B2276" t="s">
        <v>4563</v>
      </c>
      <c r="C2276" s="1">
        <v>37.270461200200003</v>
      </c>
      <c r="D2276" s="1">
        <v>-6.9810749985299996</v>
      </c>
      <c r="E2276" s="3">
        <v>3</v>
      </c>
      <c r="F2276" s="2">
        <v>3</v>
      </c>
      <c r="G2276" s="4">
        <v>3</v>
      </c>
      <c r="H2276" s="13"/>
      <c r="I2276" s="15"/>
      <c r="J2276" s="19">
        <v>3</v>
      </c>
      <c r="K2276" s="2" t="s">
        <v>4564</v>
      </c>
      <c r="L2276" s="11" t="str">
        <f t="shared" si="36"/>
        <v>Ver Imagen</v>
      </c>
      <c r="M2276" t="s">
        <v>15</v>
      </c>
    </row>
    <row r="2277" spans="1:13" x14ac:dyDescent="0.25">
      <c r="A2277">
        <v>2276</v>
      </c>
      <c r="B2277" t="s">
        <v>4565</v>
      </c>
      <c r="C2277" s="1">
        <v>37.270386292200001</v>
      </c>
      <c r="D2277" s="1">
        <v>-6.9808186908399996</v>
      </c>
      <c r="E2277" s="3">
        <v>3</v>
      </c>
      <c r="F2277" s="2">
        <v>3</v>
      </c>
      <c r="G2277" s="4">
        <v>3</v>
      </c>
      <c r="H2277" s="13"/>
      <c r="I2277" s="15"/>
      <c r="J2277" s="19">
        <v>3</v>
      </c>
      <c r="K2277" s="2" t="s">
        <v>4566</v>
      </c>
      <c r="L2277" s="11" t="str">
        <f t="shared" si="36"/>
        <v>Ver Imagen</v>
      </c>
      <c r="M2277" t="s">
        <v>15</v>
      </c>
    </row>
    <row r="2278" spans="1:13" x14ac:dyDescent="0.25">
      <c r="A2278">
        <v>2277</v>
      </c>
      <c r="B2278" t="s">
        <v>4567</v>
      </c>
      <c r="C2278" s="1">
        <v>37.270255354900002</v>
      </c>
      <c r="D2278" s="1">
        <v>-6.9803620952200003</v>
      </c>
      <c r="E2278" s="3">
        <v>3</v>
      </c>
      <c r="F2278" s="2">
        <v>3</v>
      </c>
      <c r="G2278" s="4">
        <v>3</v>
      </c>
      <c r="H2278" s="13"/>
      <c r="I2278" s="15"/>
      <c r="J2278" s="19">
        <v>3</v>
      </c>
      <c r="K2278" s="2" t="s">
        <v>4568</v>
      </c>
      <c r="L2278" s="11" t="str">
        <f t="shared" si="36"/>
        <v>Ver Imagen</v>
      </c>
      <c r="M2278" t="s">
        <v>15</v>
      </c>
    </row>
    <row r="2279" spans="1:13" x14ac:dyDescent="0.25">
      <c r="A2279">
        <v>2278</v>
      </c>
      <c r="B2279" t="s">
        <v>4569</v>
      </c>
      <c r="C2279" s="1">
        <v>37.2701824321</v>
      </c>
      <c r="D2279" s="1">
        <v>-6.9801048465299997</v>
      </c>
      <c r="E2279" s="3">
        <v>3</v>
      </c>
      <c r="F2279" s="2">
        <v>3</v>
      </c>
      <c r="G2279" s="4">
        <v>3</v>
      </c>
      <c r="H2279" s="13"/>
      <c r="I2279" s="15"/>
      <c r="J2279" s="19">
        <v>3</v>
      </c>
      <c r="K2279" s="2" t="s">
        <v>4570</v>
      </c>
      <c r="L2279" s="11" t="str">
        <f t="shared" si="36"/>
        <v>Ver Imagen</v>
      </c>
      <c r="M2279" t="s">
        <v>15</v>
      </c>
    </row>
    <row r="2280" spans="1:13" x14ac:dyDescent="0.25">
      <c r="A2280">
        <v>2279</v>
      </c>
      <c r="B2280" t="s">
        <v>4571</v>
      </c>
      <c r="C2280" s="1">
        <v>37.269978890600001</v>
      </c>
      <c r="D2280" s="1">
        <v>-6.9793901874299999</v>
      </c>
      <c r="E2280" s="3">
        <v>3</v>
      </c>
      <c r="F2280" s="2">
        <v>3</v>
      </c>
      <c r="G2280" s="4">
        <v>3</v>
      </c>
      <c r="H2280" s="13"/>
      <c r="I2280" s="15"/>
      <c r="J2280" s="19">
        <v>3</v>
      </c>
      <c r="K2280" s="2" t="s">
        <v>4572</v>
      </c>
      <c r="L2280" s="11" t="str">
        <f t="shared" si="36"/>
        <v>Ver Imagen</v>
      </c>
      <c r="M2280" t="s">
        <v>15</v>
      </c>
    </row>
    <row r="2281" spans="1:13" x14ac:dyDescent="0.25">
      <c r="A2281">
        <v>2280</v>
      </c>
      <c r="B2281" t="s">
        <v>4573</v>
      </c>
      <c r="C2281" s="1">
        <v>37.446717200400002</v>
      </c>
      <c r="D2281" s="1">
        <v>-7.1383622189300002</v>
      </c>
      <c r="E2281" s="3">
        <v>2</v>
      </c>
      <c r="F2281" s="2">
        <v>3</v>
      </c>
      <c r="G2281" s="4">
        <v>3</v>
      </c>
      <c r="H2281" s="13"/>
      <c r="I2281" s="15"/>
      <c r="J2281" s="19">
        <v>3</v>
      </c>
      <c r="K2281" s="2" t="s">
        <v>4574</v>
      </c>
      <c r="L2281" s="11" t="str">
        <f t="shared" ref="L2281:L2344" si="37">HYPERLINK("3\1\" &amp; K2281, "Ver Imagen")</f>
        <v>Ver Imagen</v>
      </c>
      <c r="M2281" t="s">
        <v>15</v>
      </c>
    </row>
    <row r="2282" spans="1:13" x14ac:dyDescent="0.25">
      <c r="A2282">
        <v>2281</v>
      </c>
      <c r="B2282" t="s">
        <v>4575</v>
      </c>
      <c r="C2282" s="1">
        <v>37.448662208899997</v>
      </c>
      <c r="D2282" s="1">
        <v>-7.1467119721800003</v>
      </c>
      <c r="E2282" s="3">
        <v>2</v>
      </c>
      <c r="F2282" s="2">
        <v>3</v>
      </c>
      <c r="G2282" s="4">
        <v>3</v>
      </c>
      <c r="H2282" s="13"/>
      <c r="I2282" s="15"/>
      <c r="J2282" s="19">
        <v>3</v>
      </c>
      <c r="K2282" s="2" t="s">
        <v>4576</v>
      </c>
      <c r="L2282" s="11" t="str">
        <f t="shared" si="37"/>
        <v>Ver Imagen</v>
      </c>
      <c r="M2282" t="s">
        <v>15</v>
      </c>
    </row>
    <row r="2283" spans="1:13" x14ac:dyDescent="0.25">
      <c r="A2283">
        <v>2282</v>
      </c>
      <c r="B2283" t="s">
        <v>4577</v>
      </c>
      <c r="C2283" s="1">
        <v>37.448482152899999</v>
      </c>
      <c r="D2283" s="1">
        <v>-7.1431602958799996</v>
      </c>
      <c r="E2283" s="3">
        <v>2</v>
      </c>
      <c r="F2283" s="2">
        <v>3</v>
      </c>
      <c r="G2283" s="4">
        <v>3</v>
      </c>
      <c r="H2283" s="13"/>
      <c r="I2283" s="15"/>
      <c r="J2283" s="19">
        <v>3</v>
      </c>
      <c r="K2283" s="2" t="s">
        <v>4578</v>
      </c>
      <c r="L2283" s="11" t="str">
        <f t="shared" si="37"/>
        <v>Ver Imagen</v>
      </c>
      <c r="M2283" t="s">
        <v>15</v>
      </c>
    </row>
    <row r="2284" spans="1:13" x14ac:dyDescent="0.25">
      <c r="A2284">
        <v>2283</v>
      </c>
      <c r="B2284" t="s">
        <v>4579</v>
      </c>
      <c r="C2284" s="1">
        <v>37.448736890100001</v>
      </c>
      <c r="D2284" s="1">
        <v>-7.1482364072099998</v>
      </c>
      <c r="E2284" s="3">
        <v>2</v>
      </c>
      <c r="F2284" s="2">
        <v>3</v>
      </c>
      <c r="G2284" s="4">
        <v>3</v>
      </c>
      <c r="H2284" s="13"/>
      <c r="I2284" s="15"/>
      <c r="J2284" s="19">
        <v>3</v>
      </c>
      <c r="K2284" s="2" t="s">
        <v>4580</v>
      </c>
      <c r="L2284" s="11" t="str">
        <f t="shared" si="37"/>
        <v>Ver Imagen</v>
      </c>
      <c r="M2284" t="s">
        <v>15</v>
      </c>
    </row>
    <row r="2285" spans="1:13" x14ac:dyDescent="0.25">
      <c r="A2285">
        <v>2284</v>
      </c>
      <c r="B2285" t="s">
        <v>4581</v>
      </c>
      <c r="C2285" s="1">
        <v>37.452437275100003</v>
      </c>
      <c r="D2285" s="1">
        <v>-7.16034665848</v>
      </c>
      <c r="E2285" s="3">
        <v>2</v>
      </c>
      <c r="F2285" s="2">
        <v>3</v>
      </c>
      <c r="G2285" s="4">
        <v>3</v>
      </c>
      <c r="H2285" s="13"/>
      <c r="I2285" s="15"/>
      <c r="J2285" s="19">
        <v>3</v>
      </c>
      <c r="K2285" s="2" t="s">
        <v>4582</v>
      </c>
      <c r="L2285" s="11" t="str">
        <f t="shared" si="37"/>
        <v>Ver Imagen</v>
      </c>
      <c r="M2285" t="s">
        <v>15</v>
      </c>
    </row>
    <row r="2286" spans="1:13" x14ac:dyDescent="0.25">
      <c r="A2286">
        <v>2285</v>
      </c>
      <c r="B2286" t="s">
        <v>4583</v>
      </c>
      <c r="C2286" s="1">
        <v>37.280229535300002</v>
      </c>
      <c r="D2286" s="1">
        <v>-7.0054219718899997</v>
      </c>
      <c r="E2286" s="3">
        <v>2</v>
      </c>
      <c r="F2286" s="2">
        <v>3</v>
      </c>
      <c r="G2286" s="4">
        <v>3</v>
      </c>
      <c r="H2286" s="13"/>
      <c r="I2286" s="15"/>
      <c r="J2286" s="19">
        <v>3</v>
      </c>
      <c r="K2286" s="2" t="s">
        <v>4584</v>
      </c>
      <c r="L2286" s="11" t="str">
        <f t="shared" si="37"/>
        <v>Ver Imagen</v>
      </c>
      <c r="M2286" t="s">
        <v>15</v>
      </c>
    </row>
    <row r="2287" spans="1:13" x14ac:dyDescent="0.25">
      <c r="A2287">
        <v>2286</v>
      </c>
      <c r="B2287" t="s">
        <v>4585</v>
      </c>
      <c r="C2287" s="1">
        <v>37.280052246099999</v>
      </c>
      <c r="D2287" s="1">
        <v>-7.0058712734500004</v>
      </c>
      <c r="E2287" s="3">
        <v>2</v>
      </c>
      <c r="F2287" s="2">
        <v>3</v>
      </c>
      <c r="G2287" s="4">
        <v>3</v>
      </c>
      <c r="H2287" s="13"/>
      <c r="I2287" s="15"/>
      <c r="J2287" s="19">
        <v>3</v>
      </c>
      <c r="K2287" s="2" t="s">
        <v>4586</v>
      </c>
      <c r="L2287" s="11" t="str">
        <f t="shared" si="37"/>
        <v>Ver Imagen</v>
      </c>
      <c r="M2287" t="s">
        <v>15</v>
      </c>
    </row>
    <row r="2288" spans="1:13" x14ac:dyDescent="0.25">
      <c r="A2288">
        <v>2287</v>
      </c>
      <c r="B2288" t="s">
        <v>4587</v>
      </c>
      <c r="C2288" s="1">
        <v>37.278976360500003</v>
      </c>
      <c r="D2288" s="1">
        <v>-7.0086193968200003</v>
      </c>
      <c r="E2288" s="3">
        <v>2</v>
      </c>
      <c r="F2288" s="2">
        <v>3</v>
      </c>
      <c r="G2288" s="4">
        <v>3</v>
      </c>
      <c r="H2288" s="13"/>
      <c r="I2288" s="15"/>
      <c r="J2288" s="19">
        <v>3</v>
      </c>
      <c r="K2288" s="2" t="s">
        <v>4588</v>
      </c>
      <c r="L2288" s="11" t="str">
        <f t="shared" si="37"/>
        <v>Ver Imagen</v>
      </c>
      <c r="M2288" t="s">
        <v>15</v>
      </c>
    </row>
    <row r="2289" spans="1:13" x14ac:dyDescent="0.25">
      <c r="A2289">
        <v>2288</v>
      </c>
      <c r="B2289" t="s">
        <v>4589</v>
      </c>
      <c r="C2289" s="1">
        <v>37.276010352900002</v>
      </c>
      <c r="D2289" s="1">
        <v>-7.01461648129</v>
      </c>
      <c r="E2289" s="3">
        <v>3</v>
      </c>
      <c r="F2289" s="2">
        <v>3</v>
      </c>
      <c r="G2289" s="4">
        <v>2</v>
      </c>
      <c r="H2289" s="13"/>
      <c r="I2289" s="15"/>
      <c r="J2289" s="19">
        <v>3</v>
      </c>
      <c r="K2289" s="2" t="s">
        <v>4590</v>
      </c>
      <c r="L2289" s="11" t="str">
        <f t="shared" si="37"/>
        <v>Ver Imagen</v>
      </c>
      <c r="M2289" t="s">
        <v>15</v>
      </c>
    </row>
    <row r="2290" spans="1:13" x14ac:dyDescent="0.25">
      <c r="A2290">
        <v>2289</v>
      </c>
      <c r="B2290" t="s">
        <v>4591</v>
      </c>
      <c r="C2290" s="1">
        <v>37.2759366051</v>
      </c>
      <c r="D2290" s="1">
        <v>-7.0148505490500002</v>
      </c>
      <c r="E2290" s="3">
        <v>2</v>
      </c>
      <c r="F2290" s="2">
        <v>3</v>
      </c>
      <c r="G2290" s="4">
        <v>3</v>
      </c>
      <c r="H2290" s="13"/>
      <c r="I2290" s="15"/>
      <c r="J2290" s="19">
        <v>3</v>
      </c>
      <c r="K2290" s="2" t="s">
        <v>4592</v>
      </c>
      <c r="L2290" s="11" t="str">
        <f t="shared" si="37"/>
        <v>Ver Imagen</v>
      </c>
      <c r="M2290" t="s">
        <v>15</v>
      </c>
    </row>
    <row r="2291" spans="1:13" x14ac:dyDescent="0.25">
      <c r="A2291">
        <v>2290</v>
      </c>
      <c r="B2291" t="s">
        <v>4593</v>
      </c>
      <c r="C2291" s="1">
        <v>37.275985499699999</v>
      </c>
      <c r="D2291" s="1">
        <v>-7.0215216216199998</v>
      </c>
      <c r="E2291" s="3">
        <v>2</v>
      </c>
      <c r="F2291" s="2">
        <v>3</v>
      </c>
      <c r="G2291" s="4">
        <v>3</v>
      </c>
      <c r="H2291" s="13"/>
      <c r="I2291" s="15"/>
      <c r="J2291" s="19">
        <v>3</v>
      </c>
      <c r="K2291" s="2" t="s">
        <v>4594</v>
      </c>
      <c r="L2291" s="11" t="str">
        <f t="shared" si="37"/>
        <v>Ver Imagen</v>
      </c>
      <c r="M2291" t="s">
        <v>15</v>
      </c>
    </row>
    <row r="2292" spans="1:13" x14ac:dyDescent="0.25">
      <c r="A2292">
        <v>2291</v>
      </c>
      <c r="B2292" t="s">
        <v>4595</v>
      </c>
      <c r="C2292" s="1">
        <v>37.276262449500003</v>
      </c>
      <c r="D2292" s="1">
        <v>-7.0234935464100001</v>
      </c>
      <c r="E2292" s="3">
        <v>2</v>
      </c>
      <c r="F2292" s="2">
        <v>3</v>
      </c>
      <c r="G2292" s="4">
        <v>3</v>
      </c>
      <c r="H2292" s="13"/>
      <c r="I2292" s="15"/>
      <c r="J2292" s="19">
        <v>3</v>
      </c>
      <c r="K2292" s="2" t="s">
        <v>4596</v>
      </c>
      <c r="L2292" s="11" t="str">
        <f t="shared" si="37"/>
        <v>Ver Imagen</v>
      </c>
      <c r="M2292" t="s">
        <v>15</v>
      </c>
    </row>
    <row r="2293" spans="1:13" x14ac:dyDescent="0.25">
      <c r="A2293">
        <v>2292</v>
      </c>
      <c r="B2293" t="s">
        <v>4597</v>
      </c>
      <c r="C2293" s="1">
        <v>37.293689005200001</v>
      </c>
      <c r="D2293" s="1">
        <v>-7.0468525891300002</v>
      </c>
      <c r="E2293" s="3">
        <v>2</v>
      </c>
      <c r="F2293" s="2">
        <v>3</v>
      </c>
      <c r="G2293" s="4">
        <v>3</v>
      </c>
      <c r="H2293" s="13"/>
      <c r="I2293" s="15"/>
      <c r="J2293" s="19">
        <v>3</v>
      </c>
      <c r="K2293" s="2" t="s">
        <v>4598</v>
      </c>
      <c r="L2293" s="11" t="str">
        <f t="shared" si="37"/>
        <v>Ver Imagen</v>
      </c>
      <c r="M2293" t="s">
        <v>15</v>
      </c>
    </row>
    <row r="2294" spans="1:13" x14ac:dyDescent="0.25">
      <c r="A2294">
        <v>2293</v>
      </c>
      <c r="B2294" t="s">
        <v>4599</v>
      </c>
      <c r="C2294" s="1">
        <v>37.2939692693</v>
      </c>
      <c r="D2294" s="1">
        <v>-7.0472386257000004</v>
      </c>
      <c r="E2294" s="3">
        <v>2</v>
      </c>
      <c r="F2294" s="2">
        <v>3</v>
      </c>
      <c r="G2294" s="4">
        <v>3</v>
      </c>
      <c r="H2294" s="13"/>
      <c r="I2294" s="15"/>
      <c r="J2294" s="19">
        <v>3</v>
      </c>
      <c r="K2294" s="2" t="s">
        <v>4600</v>
      </c>
      <c r="L2294" s="11" t="str">
        <f t="shared" si="37"/>
        <v>Ver Imagen</v>
      </c>
      <c r="M2294" t="s">
        <v>15</v>
      </c>
    </row>
    <row r="2295" spans="1:13" x14ac:dyDescent="0.25">
      <c r="A2295">
        <v>2294</v>
      </c>
      <c r="B2295" t="s">
        <v>4601</v>
      </c>
      <c r="C2295" s="1">
        <v>37.299496516799998</v>
      </c>
      <c r="D2295" s="1">
        <v>-7.0546630012599998</v>
      </c>
      <c r="E2295" s="3">
        <v>2</v>
      </c>
      <c r="F2295" s="2">
        <v>3</v>
      </c>
      <c r="G2295" s="4">
        <v>3</v>
      </c>
      <c r="H2295" s="13"/>
      <c r="I2295" s="15"/>
      <c r="J2295" s="19">
        <v>3</v>
      </c>
      <c r="K2295" s="2" t="s">
        <v>4602</v>
      </c>
      <c r="L2295" s="11" t="str">
        <f t="shared" si="37"/>
        <v>Ver Imagen</v>
      </c>
      <c r="M2295" t="s">
        <v>15</v>
      </c>
    </row>
    <row r="2296" spans="1:13" x14ac:dyDescent="0.25">
      <c r="A2296">
        <v>2295</v>
      </c>
      <c r="B2296" t="s">
        <v>4603</v>
      </c>
      <c r="C2296" s="1">
        <v>37.308884898999999</v>
      </c>
      <c r="D2296" s="1">
        <v>-7.0574562742899998</v>
      </c>
      <c r="E2296" s="3">
        <v>2</v>
      </c>
      <c r="F2296" s="2">
        <v>3</v>
      </c>
      <c r="G2296" s="4">
        <v>3</v>
      </c>
      <c r="H2296" s="13"/>
      <c r="I2296" s="15"/>
      <c r="J2296" s="19">
        <v>3</v>
      </c>
      <c r="K2296" s="2" t="s">
        <v>4604</v>
      </c>
      <c r="L2296" s="11" t="str">
        <f t="shared" si="37"/>
        <v>Ver Imagen</v>
      </c>
      <c r="M2296" t="s">
        <v>15</v>
      </c>
    </row>
    <row r="2297" spans="1:13" x14ac:dyDescent="0.25">
      <c r="A2297">
        <v>2296</v>
      </c>
      <c r="B2297" t="s">
        <v>4605</v>
      </c>
      <c r="C2297" s="1">
        <v>37.448730918499997</v>
      </c>
      <c r="D2297" s="1">
        <v>-7.1097277156700001</v>
      </c>
      <c r="E2297" s="3">
        <v>2</v>
      </c>
      <c r="F2297" s="2">
        <v>3</v>
      </c>
      <c r="G2297" s="4">
        <v>3</v>
      </c>
      <c r="H2297" s="13"/>
      <c r="I2297" s="15"/>
      <c r="J2297" s="19">
        <v>3</v>
      </c>
      <c r="K2297" s="2" t="s">
        <v>4606</v>
      </c>
      <c r="L2297" s="11" t="str">
        <f t="shared" si="37"/>
        <v>Ver Imagen</v>
      </c>
      <c r="M2297" t="s">
        <v>15</v>
      </c>
    </row>
    <row r="2298" spans="1:13" x14ac:dyDescent="0.25">
      <c r="A2298">
        <v>2297</v>
      </c>
      <c r="B2298" t="s">
        <v>4607</v>
      </c>
      <c r="C2298" s="1">
        <v>37.189971049500002</v>
      </c>
      <c r="D2298" s="1">
        <v>-6.9887687940000003</v>
      </c>
      <c r="E2298" s="3">
        <v>2</v>
      </c>
      <c r="F2298" s="2">
        <v>3</v>
      </c>
      <c r="G2298" s="4">
        <v>3</v>
      </c>
      <c r="H2298" s="13"/>
      <c r="I2298" s="15"/>
      <c r="J2298" s="19">
        <v>3</v>
      </c>
      <c r="K2298" s="2" t="s">
        <v>4608</v>
      </c>
      <c r="L2298" s="11" t="str">
        <f t="shared" si="37"/>
        <v>Ver Imagen</v>
      </c>
      <c r="M2298" t="s">
        <v>15</v>
      </c>
    </row>
    <row r="2299" spans="1:13" x14ac:dyDescent="0.25">
      <c r="A2299">
        <v>2298</v>
      </c>
      <c r="B2299" t="s">
        <v>4609</v>
      </c>
      <c r="C2299" s="1">
        <v>37.193115387500001</v>
      </c>
      <c r="D2299" s="1">
        <v>-6.9955986853400001</v>
      </c>
      <c r="E2299" s="3">
        <v>2</v>
      </c>
      <c r="F2299" s="2">
        <v>3</v>
      </c>
      <c r="G2299" s="4">
        <v>3</v>
      </c>
      <c r="H2299" s="13"/>
      <c r="I2299" s="15"/>
      <c r="J2299" s="19">
        <v>3</v>
      </c>
      <c r="K2299" s="2" t="s">
        <v>4610</v>
      </c>
      <c r="L2299" s="11" t="str">
        <f t="shared" si="37"/>
        <v>Ver Imagen</v>
      </c>
      <c r="M2299" t="s">
        <v>15</v>
      </c>
    </row>
    <row r="2300" spans="1:13" x14ac:dyDescent="0.25">
      <c r="A2300">
        <v>2299</v>
      </c>
      <c r="B2300" t="s">
        <v>4611</v>
      </c>
      <c r="C2300" s="1">
        <v>37.193485568200003</v>
      </c>
      <c r="D2300" s="1">
        <v>-6.9964745948899996</v>
      </c>
      <c r="E2300" s="3">
        <v>2</v>
      </c>
      <c r="F2300" s="2">
        <v>3</v>
      </c>
      <c r="G2300" s="4">
        <v>3</v>
      </c>
      <c r="H2300" s="13"/>
      <c r="I2300" s="15"/>
      <c r="J2300" s="19">
        <v>3</v>
      </c>
      <c r="K2300" s="2" t="s">
        <v>4612</v>
      </c>
      <c r="L2300" s="11" t="str">
        <f t="shared" si="37"/>
        <v>Ver Imagen</v>
      </c>
      <c r="M2300" t="s">
        <v>15</v>
      </c>
    </row>
    <row r="2301" spans="1:13" x14ac:dyDescent="0.25">
      <c r="A2301">
        <v>2300</v>
      </c>
      <c r="B2301" t="s">
        <v>4613</v>
      </c>
      <c r="C2301" s="1">
        <v>37.193771185700001</v>
      </c>
      <c r="D2301" s="1">
        <v>-6.9971567195300004</v>
      </c>
      <c r="E2301" s="3">
        <v>2</v>
      </c>
      <c r="F2301" s="2">
        <v>3</v>
      </c>
      <c r="G2301" s="4">
        <v>3</v>
      </c>
      <c r="H2301" s="13"/>
      <c r="I2301" s="15"/>
      <c r="J2301" s="19">
        <v>3</v>
      </c>
      <c r="K2301" s="2" t="s">
        <v>4614</v>
      </c>
      <c r="L2301" s="11" t="str">
        <f t="shared" si="37"/>
        <v>Ver Imagen</v>
      </c>
      <c r="M2301" t="s">
        <v>15</v>
      </c>
    </row>
    <row r="2302" spans="1:13" x14ac:dyDescent="0.25">
      <c r="A2302">
        <v>2301</v>
      </c>
      <c r="B2302" t="s">
        <v>4615</v>
      </c>
      <c r="C2302" s="1">
        <v>37.195241651700002</v>
      </c>
      <c r="D2302" s="1">
        <v>-7.0007336489599998</v>
      </c>
      <c r="E2302" s="3">
        <v>2</v>
      </c>
      <c r="F2302" s="2">
        <v>3</v>
      </c>
      <c r="G2302" s="4">
        <v>3</v>
      </c>
      <c r="H2302" s="13"/>
      <c r="I2302" s="15"/>
      <c r="J2302" s="19">
        <v>3</v>
      </c>
      <c r="K2302" s="2" t="s">
        <v>4616</v>
      </c>
      <c r="L2302" s="11" t="str">
        <f t="shared" si="37"/>
        <v>Ver Imagen</v>
      </c>
      <c r="M2302" t="s">
        <v>15</v>
      </c>
    </row>
    <row r="2303" spans="1:13" x14ac:dyDescent="0.25">
      <c r="A2303">
        <v>2302</v>
      </c>
      <c r="B2303" t="s">
        <v>4617</v>
      </c>
      <c r="C2303" s="1">
        <v>37.195527312000003</v>
      </c>
      <c r="D2303" s="1">
        <v>-7.0014284151300004</v>
      </c>
      <c r="E2303" s="3">
        <v>2</v>
      </c>
      <c r="F2303" s="2">
        <v>3</v>
      </c>
      <c r="G2303" s="4">
        <v>3</v>
      </c>
      <c r="H2303" s="13"/>
      <c r="I2303" s="15"/>
      <c r="J2303" s="19">
        <v>3</v>
      </c>
      <c r="K2303" s="2" t="s">
        <v>4618</v>
      </c>
      <c r="L2303" s="11" t="str">
        <f t="shared" si="37"/>
        <v>Ver Imagen</v>
      </c>
      <c r="M2303" t="s">
        <v>15</v>
      </c>
    </row>
    <row r="2304" spans="1:13" x14ac:dyDescent="0.25">
      <c r="A2304">
        <v>2303</v>
      </c>
      <c r="B2304" t="s">
        <v>4619</v>
      </c>
      <c r="C2304" s="1">
        <v>37.195626871000002</v>
      </c>
      <c r="D2304" s="1">
        <v>-7.00166955124</v>
      </c>
      <c r="E2304" s="3">
        <v>2</v>
      </c>
      <c r="F2304" s="2">
        <v>3</v>
      </c>
      <c r="G2304" s="4">
        <v>3</v>
      </c>
      <c r="H2304" s="13"/>
      <c r="I2304" s="15"/>
      <c r="J2304" s="19">
        <v>3</v>
      </c>
      <c r="K2304" s="2" t="s">
        <v>4620</v>
      </c>
      <c r="L2304" s="11" t="str">
        <f t="shared" si="37"/>
        <v>Ver Imagen</v>
      </c>
      <c r="M2304" t="s">
        <v>15</v>
      </c>
    </row>
    <row r="2305" spans="1:13" x14ac:dyDescent="0.25">
      <c r="A2305">
        <v>2304</v>
      </c>
      <c r="B2305" t="s">
        <v>4621</v>
      </c>
      <c r="C2305" s="1">
        <v>37.1957044858</v>
      </c>
      <c r="D2305" s="1">
        <v>-7.0018564437000004</v>
      </c>
      <c r="E2305" s="3">
        <v>2</v>
      </c>
      <c r="F2305" s="2">
        <v>3</v>
      </c>
      <c r="G2305" s="4">
        <v>3</v>
      </c>
      <c r="H2305" s="13"/>
      <c r="I2305" s="15"/>
      <c r="J2305" s="19">
        <v>3</v>
      </c>
      <c r="K2305" s="2" t="s">
        <v>4622</v>
      </c>
      <c r="L2305" s="11" t="str">
        <f t="shared" si="37"/>
        <v>Ver Imagen</v>
      </c>
      <c r="M2305" t="s">
        <v>15</v>
      </c>
    </row>
    <row r="2306" spans="1:13" x14ac:dyDescent="0.25">
      <c r="A2306">
        <v>2305</v>
      </c>
      <c r="B2306" t="s">
        <v>4623</v>
      </c>
      <c r="C2306" s="1">
        <v>37.195796022400003</v>
      </c>
      <c r="D2306" s="1">
        <v>-7.0020759141699997</v>
      </c>
      <c r="E2306" s="3">
        <v>2</v>
      </c>
      <c r="F2306" s="2">
        <v>3</v>
      </c>
      <c r="G2306" s="4">
        <v>3</v>
      </c>
      <c r="H2306" s="13"/>
      <c r="I2306" s="15"/>
      <c r="J2306" s="19">
        <v>3</v>
      </c>
      <c r="K2306" s="2" t="s">
        <v>4624</v>
      </c>
      <c r="L2306" s="11" t="str">
        <f t="shared" si="37"/>
        <v>Ver Imagen</v>
      </c>
      <c r="M2306" t="s">
        <v>15</v>
      </c>
    </row>
    <row r="2307" spans="1:13" x14ac:dyDescent="0.25">
      <c r="A2307">
        <v>2306</v>
      </c>
      <c r="B2307" t="s">
        <v>4625</v>
      </c>
      <c r="C2307" s="1">
        <v>37.1960129267</v>
      </c>
      <c r="D2307" s="1">
        <v>-7.0025775224200002</v>
      </c>
      <c r="E2307" s="3">
        <v>2</v>
      </c>
      <c r="F2307" s="2">
        <v>3</v>
      </c>
      <c r="G2307" s="4">
        <v>3</v>
      </c>
      <c r="H2307" s="13"/>
      <c r="I2307" s="15"/>
      <c r="J2307" s="19">
        <v>3</v>
      </c>
      <c r="K2307" s="2" t="s">
        <v>4626</v>
      </c>
      <c r="L2307" s="11" t="str">
        <f t="shared" si="37"/>
        <v>Ver Imagen</v>
      </c>
      <c r="M2307" t="s">
        <v>15</v>
      </c>
    </row>
    <row r="2308" spans="1:13" x14ac:dyDescent="0.25">
      <c r="A2308">
        <v>2307</v>
      </c>
      <c r="B2308" t="s">
        <v>4627</v>
      </c>
      <c r="C2308" s="1">
        <v>37.196104335000001</v>
      </c>
      <c r="D2308" s="1">
        <v>-7.0027789739599999</v>
      </c>
      <c r="E2308" s="3">
        <v>2</v>
      </c>
      <c r="F2308" s="2">
        <v>3</v>
      </c>
      <c r="G2308" s="4">
        <v>3</v>
      </c>
      <c r="H2308" s="13"/>
      <c r="I2308" s="15"/>
      <c r="J2308" s="19">
        <v>3</v>
      </c>
      <c r="K2308" s="2" t="s">
        <v>4628</v>
      </c>
      <c r="L2308" s="11" t="str">
        <f t="shared" si="37"/>
        <v>Ver Imagen</v>
      </c>
      <c r="M2308" t="s">
        <v>15</v>
      </c>
    </row>
    <row r="2309" spans="1:13" x14ac:dyDescent="0.25">
      <c r="A2309">
        <v>2308</v>
      </c>
      <c r="B2309" t="s">
        <v>4629</v>
      </c>
      <c r="C2309" s="1">
        <v>37.196403212699998</v>
      </c>
      <c r="D2309" s="1">
        <v>-7.0034521994999999</v>
      </c>
      <c r="E2309" s="3">
        <v>2</v>
      </c>
      <c r="F2309" s="2">
        <v>3</v>
      </c>
      <c r="G2309" s="4">
        <v>3</v>
      </c>
      <c r="H2309" s="13"/>
      <c r="I2309" s="15"/>
      <c r="J2309" s="19">
        <v>3</v>
      </c>
      <c r="K2309" s="2" t="s">
        <v>4630</v>
      </c>
      <c r="L2309" s="11" t="str">
        <f t="shared" si="37"/>
        <v>Ver Imagen</v>
      </c>
      <c r="M2309" t="s">
        <v>15</v>
      </c>
    </row>
    <row r="2310" spans="1:13" x14ac:dyDescent="0.25">
      <c r="A2310">
        <v>2309</v>
      </c>
      <c r="B2310" t="s">
        <v>4631</v>
      </c>
      <c r="C2310" s="1">
        <v>37.1964859805</v>
      </c>
      <c r="D2310" s="1">
        <v>-7.00365134824</v>
      </c>
      <c r="E2310" s="3">
        <v>2</v>
      </c>
      <c r="F2310" s="2">
        <v>3</v>
      </c>
      <c r="G2310" s="4">
        <v>3</v>
      </c>
      <c r="H2310" s="13"/>
      <c r="I2310" s="15"/>
      <c r="J2310" s="19">
        <v>3</v>
      </c>
      <c r="K2310" s="2" t="s">
        <v>4632</v>
      </c>
      <c r="L2310" s="11" t="str">
        <f t="shared" si="37"/>
        <v>Ver Imagen</v>
      </c>
      <c r="M2310" t="s">
        <v>15</v>
      </c>
    </row>
    <row r="2311" spans="1:13" x14ac:dyDescent="0.25">
      <c r="A2311">
        <v>2310</v>
      </c>
      <c r="B2311" t="s">
        <v>4633</v>
      </c>
      <c r="C2311" s="1">
        <v>37.196583269900003</v>
      </c>
      <c r="D2311" s="1">
        <v>-7.0038902692700002</v>
      </c>
      <c r="E2311" s="3">
        <v>2</v>
      </c>
      <c r="F2311" s="2">
        <v>3</v>
      </c>
      <c r="G2311" s="4">
        <v>3</v>
      </c>
      <c r="H2311" s="13"/>
      <c r="I2311" s="15"/>
      <c r="J2311" s="19">
        <v>3</v>
      </c>
      <c r="K2311" s="2" t="s">
        <v>4634</v>
      </c>
      <c r="L2311" s="11" t="str">
        <f t="shared" si="37"/>
        <v>Ver Imagen</v>
      </c>
      <c r="M2311" t="s">
        <v>15</v>
      </c>
    </row>
    <row r="2312" spans="1:13" x14ac:dyDescent="0.25">
      <c r="A2312">
        <v>2311</v>
      </c>
      <c r="B2312" t="s">
        <v>4635</v>
      </c>
      <c r="C2312" s="1">
        <v>37.196672254900001</v>
      </c>
      <c r="D2312" s="1">
        <v>-7.0041150178700002</v>
      </c>
      <c r="E2312" s="3">
        <v>2</v>
      </c>
      <c r="F2312" s="2">
        <v>3</v>
      </c>
      <c r="G2312" s="4">
        <v>3</v>
      </c>
      <c r="H2312" s="13"/>
      <c r="I2312" s="15"/>
      <c r="J2312" s="19">
        <v>3</v>
      </c>
      <c r="K2312" s="2" t="s">
        <v>4636</v>
      </c>
      <c r="L2312" s="11" t="str">
        <f t="shared" si="37"/>
        <v>Ver Imagen</v>
      </c>
      <c r="M2312" t="s">
        <v>15</v>
      </c>
    </row>
    <row r="2313" spans="1:13" x14ac:dyDescent="0.25">
      <c r="A2313">
        <v>2312</v>
      </c>
      <c r="B2313" t="s">
        <v>4637</v>
      </c>
      <c r="C2313" s="1">
        <v>37.196841898499997</v>
      </c>
      <c r="D2313" s="1">
        <v>-7.0045486910100001</v>
      </c>
      <c r="E2313" s="3">
        <v>2</v>
      </c>
      <c r="F2313" s="2">
        <v>3</v>
      </c>
      <c r="G2313" s="4">
        <v>3</v>
      </c>
      <c r="H2313" s="13"/>
      <c r="I2313" s="15"/>
      <c r="J2313" s="19">
        <v>3</v>
      </c>
      <c r="K2313" s="2" t="s">
        <v>4638</v>
      </c>
      <c r="L2313" s="11" t="str">
        <f t="shared" si="37"/>
        <v>Ver Imagen</v>
      </c>
      <c r="M2313" t="s">
        <v>15</v>
      </c>
    </row>
    <row r="2314" spans="1:13" x14ac:dyDescent="0.25">
      <c r="A2314">
        <v>2313</v>
      </c>
      <c r="B2314" t="s">
        <v>4639</v>
      </c>
      <c r="C2314" s="1">
        <v>37.196947717500002</v>
      </c>
      <c r="D2314" s="1">
        <v>-7.00481426199</v>
      </c>
      <c r="E2314" s="3">
        <v>2</v>
      </c>
      <c r="F2314" s="2">
        <v>3</v>
      </c>
      <c r="G2314" s="4">
        <v>3</v>
      </c>
      <c r="H2314" s="13"/>
      <c r="I2314" s="15"/>
      <c r="J2314" s="19">
        <v>3</v>
      </c>
      <c r="K2314" s="2" t="s">
        <v>4640</v>
      </c>
      <c r="L2314" s="11" t="str">
        <f t="shared" si="37"/>
        <v>Ver Imagen</v>
      </c>
      <c r="M2314" t="s">
        <v>15</v>
      </c>
    </row>
    <row r="2315" spans="1:13" x14ac:dyDescent="0.25">
      <c r="A2315">
        <v>2314</v>
      </c>
      <c r="B2315" t="s">
        <v>4641</v>
      </c>
      <c r="C2315" s="1">
        <v>37.197013668300002</v>
      </c>
      <c r="D2315" s="1">
        <v>-7.0049778921900003</v>
      </c>
      <c r="E2315" s="3">
        <v>2</v>
      </c>
      <c r="F2315" s="2">
        <v>3</v>
      </c>
      <c r="G2315" s="4">
        <v>3</v>
      </c>
      <c r="H2315" s="13"/>
      <c r="I2315" s="15"/>
      <c r="J2315" s="19">
        <v>3</v>
      </c>
      <c r="K2315" s="2" t="s">
        <v>4642</v>
      </c>
      <c r="L2315" s="11" t="str">
        <f t="shared" si="37"/>
        <v>Ver Imagen</v>
      </c>
      <c r="M2315" t="s">
        <v>15</v>
      </c>
    </row>
    <row r="2316" spans="1:13" x14ac:dyDescent="0.25">
      <c r="A2316">
        <v>2315</v>
      </c>
      <c r="B2316" t="s">
        <v>4643</v>
      </c>
      <c r="C2316" s="1">
        <v>37.1975099884</v>
      </c>
      <c r="D2316" s="1">
        <v>-7.0061400130899996</v>
      </c>
      <c r="E2316" s="3">
        <v>2</v>
      </c>
      <c r="F2316" s="2">
        <v>3</v>
      </c>
      <c r="G2316" s="4">
        <v>3</v>
      </c>
      <c r="H2316" s="13"/>
      <c r="I2316" s="15"/>
      <c r="J2316" s="19">
        <v>3</v>
      </c>
      <c r="K2316" s="2" t="s">
        <v>4644</v>
      </c>
      <c r="L2316" s="11" t="str">
        <f t="shared" si="37"/>
        <v>Ver Imagen</v>
      </c>
      <c r="M2316" t="s">
        <v>15</v>
      </c>
    </row>
    <row r="2317" spans="1:13" x14ac:dyDescent="0.25">
      <c r="A2317">
        <v>2316</v>
      </c>
      <c r="B2317" t="s">
        <v>4645</v>
      </c>
      <c r="C2317" s="1">
        <v>37.1978038922</v>
      </c>
      <c r="D2317" s="1">
        <v>-7.0067726128999999</v>
      </c>
      <c r="E2317" s="3">
        <v>2</v>
      </c>
      <c r="F2317" s="2">
        <v>3</v>
      </c>
      <c r="G2317" s="4">
        <v>3</v>
      </c>
      <c r="H2317" s="13"/>
      <c r="I2317" s="15"/>
      <c r="J2317" s="19">
        <v>3</v>
      </c>
      <c r="K2317" s="2" t="s">
        <v>4646</v>
      </c>
      <c r="L2317" s="11" t="str">
        <f t="shared" si="37"/>
        <v>Ver Imagen</v>
      </c>
      <c r="M2317" t="s">
        <v>15</v>
      </c>
    </row>
    <row r="2318" spans="1:13" x14ac:dyDescent="0.25">
      <c r="A2318">
        <v>2317</v>
      </c>
      <c r="B2318" t="s">
        <v>4647</v>
      </c>
      <c r="C2318" s="1">
        <v>37.197909406400001</v>
      </c>
      <c r="D2318" s="1">
        <v>-7.0069904976000004</v>
      </c>
      <c r="E2318" s="3">
        <v>2</v>
      </c>
      <c r="F2318" s="2">
        <v>3</v>
      </c>
      <c r="G2318" s="4">
        <v>3</v>
      </c>
      <c r="H2318" s="13"/>
      <c r="I2318" s="15"/>
      <c r="J2318" s="19">
        <v>3</v>
      </c>
      <c r="K2318" s="2" t="s">
        <v>4648</v>
      </c>
      <c r="L2318" s="11" t="str">
        <f t="shared" si="37"/>
        <v>Ver Imagen</v>
      </c>
      <c r="M2318" t="s">
        <v>15</v>
      </c>
    </row>
    <row r="2319" spans="1:13" x14ac:dyDescent="0.25">
      <c r="A2319">
        <v>2318</v>
      </c>
      <c r="B2319" t="s">
        <v>4649</v>
      </c>
      <c r="C2319" s="1">
        <v>37.1980110497</v>
      </c>
      <c r="D2319" s="1">
        <v>-7.00719728324</v>
      </c>
      <c r="E2319" s="3">
        <v>2</v>
      </c>
      <c r="F2319" s="2">
        <v>3</v>
      </c>
      <c r="G2319" s="4">
        <v>3</v>
      </c>
      <c r="H2319" s="13"/>
      <c r="I2319" s="15"/>
      <c r="J2319" s="19">
        <v>3</v>
      </c>
      <c r="K2319" s="2" t="s">
        <v>4650</v>
      </c>
      <c r="L2319" s="11" t="str">
        <f t="shared" si="37"/>
        <v>Ver Imagen</v>
      </c>
      <c r="M2319" t="s">
        <v>15</v>
      </c>
    </row>
    <row r="2320" spans="1:13" x14ac:dyDescent="0.25">
      <c r="A2320">
        <v>2319</v>
      </c>
      <c r="B2320" t="s">
        <v>4651</v>
      </c>
      <c r="C2320" s="1">
        <v>37.198134524300002</v>
      </c>
      <c r="D2320" s="1">
        <v>-7.0074456205600004</v>
      </c>
      <c r="E2320" s="3">
        <v>2</v>
      </c>
      <c r="F2320" s="2">
        <v>3</v>
      </c>
      <c r="G2320" s="4">
        <v>3</v>
      </c>
      <c r="H2320" s="13"/>
      <c r="I2320" s="15"/>
      <c r="J2320" s="19">
        <v>3</v>
      </c>
      <c r="K2320" s="2" t="s">
        <v>4652</v>
      </c>
      <c r="L2320" s="11" t="str">
        <f t="shared" si="37"/>
        <v>Ver Imagen</v>
      </c>
      <c r="M2320" t="s">
        <v>15</v>
      </c>
    </row>
    <row r="2321" spans="1:13" x14ac:dyDescent="0.25">
      <c r="A2321">
        <v>2320</v>
      </c>
      <c r="B2321" t="s">
        <v>4653</v>
      </c>
      <c r="C2321" s="1">
        <v>37.198226044400002</v>
      </c>
      <c r="D2321" s="1">
        <v>-7.00762892903</v>
      </c>
      <c r="E2321" s="3">
        <v>2</v>
      </c>
      <c r="F2321" s="2">
        <v>3</v>
      </c>
      <c r="G2321" s="4">
        <v>3</v>
      </c>
      <c r="H2321" s="13"/>
      <c r="I2321" s="15"/>
      <c r="J2321" s="19">
        <v>3</v>
      </c>
      <c r="K2321" s="2" t="s">
        <v>4654</v>
      </c>
      <c r="L2321" s="11" t="str">
        <f t="shared" si="37"/>
        <v>Ver Imagen</v>
      </c>
      <c r="M2321" t="s">
        <v>15</v>
      </c>
    </row>
    <row r="2322" spans="1:13" x14ac:dyDescent="0.25">
      <c r="A2322">
        <v>2321</v>
      </c>
      <c r="B2322" t="s">
        <v>4655</v>
      </c>
      <c r="C2322" s="1">
        <v>37.198432807899998</v>
      </c>
      <c r="D2322" s="1">
        <v>-7.0080365092200001</v>
      </c>
      <c r="E2322" s="3">
        <v>2</v>
      </c>
      <c r="F2322" s="2">
        <v>3</v>
      </c>
      <c r="G2322" s="4">
        <v>3</v>
      </c>
      <c r="H2322" s="13"/>
      <c r="I2322" s="15"/>
      <c r="J2322" s="19">
        <v>3</v>
      </c>
      <c r="K2322" s="2" t="s">
        <v>4656</v>
      </c>
      <c r="L2322" s="11" t="str">
        <f t="shared" si="37"/>
        <v>Ver Imagen</v>
      </c>
      <c r="M2322" t="s">
        <v>15</v>
      </c>
    </row>
    <row r="2323" spans="1:13" x14ac:dyDescent="0.25">
      <c r="A2323">
        <v>2322</v>
      </c>
      <c r="B2323" t="s">
        <v>4657</v>
      </c>
      <c r="C2323" s="1">
        <v>37.1985640479</v>
      </c>
      <c r="D2323" s="1">
        <v>-7.00829131292</v>
      </c>
      <c r="E2323" s="3">
        <v>2</v>
      </c>
      <c r="F2323" s="2">
        <v>3</v>
      </c>
      <c r="G2323" s="4">
        <v>3</v>
      </c>
      <c r="H2323" s="13"/>
      <c r="I2323" s="15"/>
      <c r="J2323" s="19">
        <v>3</v>
      </c>
      <c r="K2323" s="2" t="s">
        <v>4658</v>
      </c>
      <c r="L2323" s="11" t="str">
        <f t="shared" si="37"/>
        <v>Ver Imagen</v>
      </c>
      <c r="M2323" t="s">
        <v>15</v>
      </c>
    </row>
    <row r="2324" spans="1:13" x14ac:dyDescent="0.25">
      <c r="A2324">
        <v>2323</v>
      </c>
      <c r="B2324" t="s">
        <v>4659</v>
      </c>
      <c r="C2324" s="1">
        <v>37.198668867800002</v>
      </c>
      <c r="D2324" s="1">
        <v>-7.0084923478299999</v>
      </c>
      <c r="E2324" s="3">
        <v>2</v>
      </c>
      <c r="F2324" s="2">
        <v>3</v>
      </c>
      <c r="G2324" s="4">
        <v>3</v>
      </c>
      <c r="H2324" s="13"/>
      <c r="I2324" s="15"/>
      <c r="J2324" s="19">
        <v>3</v>
      </c>
      <c r="K2324" s="2" t="s">
        <v>4660</v>
      </c>
      <c r="L2324" s="11" t="str">
        <f t="shared" si="37"/>
        <v>Ver Imagen</v>
      </c>
      <c r="M2324" t="s">
        <v>15</v>
      </c>
    </row>
    <row r="2325" spans="1:13" x14ac:dyDescent="0.25">
      <c r="A2325">
        <v>2324</v>
      </c>
      <c r="B2325" t="s">
        <v>4661</v>
      </c>
      <c r="C2325" s="1">
        <v>37.1987758426</v>
      </c>
      <c r="D2325" s="1">
        <v>-7.00869203289</v>
      </c>
      <c r="E2325" s="3">
        <v>2</v>
      </c>
      <c r="F2325" s="2">
        <v>3</v>
      </c>
      <c r="G2325" s="4">
        <v>3</v>
      </c>
      <c r="H2325" s="13"/>
      <c r="I2325" s="15"/>
      <c r="J2325" s="19">
        <v>3</v>
      </c>
      <c r="K2325" s="2" t="s">
        <v>4662</v>
      </c>
      <c r="L2325" s="11" t="str">
        <f t="shared" si="37"/>
        <v>Ver Imagen</v>
      </c>
      <c r="M2325" t="s">
        <v>15</v>
      </c>
    </row>
    <row r="2326" spans="1:13" x14ac:dyDescent="0.25">
      <c r="A2326">
        <v>2325</v>
      </c>
      <c r="B2326" t="s">
        <v>4663</v>
      </c>
      <c r="C2326" s="1">
        <v>37.198886968799997</v>
      </c>
      <c r="D2326" s="1">
        <v>-7.00889329532</v>
      </c>
      <c r="E2326" s="3">
        <v>2</v>
      </c>
      <c r="F2326" s="2">
        <v>3</v>
      </c>
      <c r="G2326" s="4">
        <v>3</v>
      </c>
      <c r="H2326" s="13"/>
      <c r="I2326" s="15"/>
      <c r="J2326" s="19">
        <v>3</v>
      </c>
      <c r="K2326" s="2" t="s">
        <v>4664</v>
      </c>
      <c r="L2326" s="11" t="str">
        <f t="shared" si="37"/>
        <v>Ver Imagen</v>
      </c>
      <c r="M2326" t="s">
        <v>15</v>
      </c>
    </row>
    <row r="2327" spans="1:13" x14ac:dyDescent="0.25">
      <c r="A2327">
        <v>2326</v>
      </c>
      <c r="B2327" t="s">
        <v>4665</v>
      </c>
      <c r="C2327" s="1">
        <v>37.199020124900002</v>
      </c>
      <c r="D2327" s="1">
        <v>-7.0091278741799998</v>
      </c>
      <c r="E2327" s="3">
        <v>2</v>
      </c>
      <c r="F2327" s="2">
        <v>3</v>
      </c>
      <c r="G2327" s="4">
        <v>3</v>
      </c>
      <c r="H2327" s="13"/>
      <c r="I2327" s="15"/>
      <c r="J2327" s="19">
        <v>3</v>
      </c>
      <c r="K2327" s="2" t="s">
        <v>4666</v>
      </c>
      <c r="L2327" s="11" t="str">
        <f t="shared" si="37"/>
        <v>Ver Imagen</v>
      </c>
      <c r="M2327" t="s">
        <v>15</v>
      </c>
    </row>
    <row r="2328" spans="1:13" x14ac:dyDescent="0.25">
      <c r="A2328">
        <v>2327</v>
      </c>
      <c r="B2328" t="s">
        <v>4667</v>
      </c>
      <c r="C2328" s="1">
        <v>37.199368534900003</v>
      </c>
      <c r="D2328" s="1">
        <v>-7.00972052921</v>
      </c>
      <c r="E2328" s="3">
        <v>2</v>
      </c>
      <c r="F2328" s="2">
        <v>3</v>
      </c>
      <c r="G2328" s="4">
        <v>3</v>
      </c>
      <c r="H2328" s="13"/>
      <c r="I2328" s="15"/>
      <c r="J2328" s="19">
        <v>3</v>
      </c>
      <c r="K2328" s="2" t="s">
        <v>4668</v>
      </c>
      <c r="L2328" s="11" t="str">
        <f t="shared" si="37"/>
        <v>Ver Imagen</v>
      </c>
      <c r="M2328" t="s">
        <v>15</v>
      </c>
    </row>
    <row r="2329" spans="1:13" x14ac:dyDescent="0.25">
      <c r="A2329">
        <v>2328</v>
      </c>
      <c r="B2329" t="s">
        <v>4669</v>
      </c>
      <c r="C2329" s="1">
        <v>37.199605785300001</v>
      </c>
      <c r="D2329" s="1">
        <v>-7.0101170482299997</v>
      </c>
      <c r="E2329" s="3">
        <v>2</v>
      </c>
      <c r="F2329" s="2">
        <v>3</v>
      </c>
      <c r="G2329" s="4">
        <v>3</v>
      </c>
      <c r="H2329" s="13"/>
      <c r="I2329" s="15"/>
      <c r="J2329" s="19">
        <v>3</v>
      </c>
      <c r="K2329" s="2" t="s">
        <v>4670</v>
      </c>
      <c r="L2329" s="11" t="str">
        <f t="shared" si="37"/>
        <v>Ver Imagen</v>
      </c>
      <c r="M2329" t="s">
        <v>15</v>
      </c>
    </row>
    <row r="2330" spans="1:13" x14ac:dyDescent="0.25">
      <c r="A2330">
        <v>2329</v>
      </c>
      <c r="B2330" t="s">
        <v>4671</v>
      </c>
      <c r="C2330" s="1">
        <v>37.199764118099999</v>
      </c>
      <c r="D2330" s="1">
        <v>-7.0103768355899998</v>
      </c>
      <c r="E2330" s="3">
        <v>2</v>
      </c>
      <c r="F2330" s="2">
        <v>3</v>
      </c>
      <c r="G2330" s="4">
        <v>3</v>
      </c>
      <c r="H2330" s="13"/>
      <c r="I2330" s="15"/>
      <c r="J2330" s="19">
        <v>3</v>
      </c>
      <c r="K2330" s="2" t="s">
        <v>4672</v>
      </c>
      <c r="L2330" s="11" t="str">
        <f t="shared" si="37"/>
        <v>Ver Imagen</v>
      </c>
      <c r="M2330" t="s">
        <v>15</v>
      </c>
    </row>
    <row r="2331" spans="1:13" x14ac:dyDescent="0.25">
      <c r="A2331">
        <v>2330</v>
      </c>
      <c r="B2331" t="s">
        <v>4673</v>
      </c>
      <c r="C2331" s="1">
        <v>37.200375028899998</v>
      </c>
      <c r="D2331" s="1">
        <v>-7.0113339004000004</v>
      </c>
      <c r="E2331" s="3">
        <v>2</v>
      </c>
      <c r="F2331" s="2">
        <v>3</v>
      </c>
      <c r="G2331" s="4">
        <v>3</v>
      </c>
      <c r="H2331" s="13"/>
      <c r="I2331" s="15"/>
      <c r="J2331" s="19">
        <v>3</v>
      </c>
      <c r="K2331" s="2" t="s">
        <v>4674</v>
      </c>
      <c r="L2331" s="11" t="str">
        <f t="shared" si="37"/>
        <v>Ver Imagen</v>
      </c>
      <c r="M2331" t="s">
        <v>15</v>
      </c>
    </row>
    <row r="2332" spans="1:13" x14ac:dyDescent="0.25">
      <c r="A2332">
        <v>2331</v>
      </c>
      <c r="B2332" t="s">
        <v>4675</v>
      </c>
      <c r="C2332" s="1">
        <v>37.200506019199999</v>
      </c>
      <c r="D2332" s="1">
        <v>-7.01153418079</v>
      </c>
      <c r="E2332" s="3">
        <v>2</v>
      </c>
      <c r="F2332" s="2">
        <v>3</v>
      </c>
      <c r="G2332" s="4">
        <v>3</v>
      </c>
      <c r="H2332" s="13"/>
      <c r="I2332" s="15"/>
      <c r="J2332" s="19">
        <v>3</v>
      </c>
      <c r="K2332" s="2" t="s">
        <v>4676</v>
      </c>
      <c r="L2332" s="11" t="str">
        <f t="shared" si="37"/>
        <v>Ver Imagen</v>
      </c>
      <c r="M2332" t="s">
        <v>15</v>
      </c>
    </row>
    <row r="2333" spans="1:13" x14ac:dyDescent="0.25">
      <c r="A2333">
        <v>2332</v>
      </c>
      <c r="B2333" t="s">
        <v>4677</v>
      </c>
      <c r="C2333" s="1">
        <v>37.2008896217</v>
      </c>
      <c r="D2333" s="1">
        <v>-7.0121176049200002</v>
      </c>
      <c r="E2333" s="3">
        <v>2</v>
      </c>
      <c r="F2333" s="2">
        <v>3</v>
      </c>
      <c r="G2333" s="4">
        <v>3</v>
      </c>
      <c r="H2333" s="13"/>
      <c r="I2333" s="15"/>
      <c r="J2333" s="19">
        <v>3</v>
      </c>
      <c r="K2333" s="2" t="s">
        <v>4678</v>
      </c>
      <c r="L2333" s="11" t="str">
        <f t="shared" si="37"/>
        <v>Ver Imagen</v>
      </c>
      <c r="M2333" t="s">
        <v>15</v>
      </c>
    </row>
    <row r="2334" spans="1:13" x14ac:dyDescent="0.25">
      <c r="A2334">
        <v>2333</v>
      </c>
      <c r="B2334" t="s">
        <v>4679</v>
      </c>
      <c r="C2334" s="1">
        <v>37.201002843300003</v>
      </c>
      <c r="D2334" s="1">
        <v>-7.0122903450500003</v>
      </c>
      <c r="E2334" s="3">
        <v>2</v>
      </c>
      <c r="F2334" s="2">
        <v>3</v>
      </c>
      <c r="G2334" s="4">
        <v>3</v>
      </c>
      <c r="H2334" s="13"/>
      <c r="I2334" s="15"/>
      <c r="J2334" s="19">
        <v>3</v>
      </c>
      <c r="K2334" s="2" t="s">
        <v>4680</v>
      </c>
      <c r="L2334" s="11" t="str">
        <f t="shared" si="37"/>
        <v>Ver Imagen</v>
      </c>
      <c r="M2334" t="s">
        <v>15</v>
      </c>
    </row>
    <row r="2335" spans="1:13" x14ac:dyDescent="0.25">
      <c r="A2335">
        <v>2334</v>
      </c>
      <c r="B2335" t="s">
        <v>4681</v>
      </c>
      <c r="C2335" s="1">
        <v>37.201146004599998</v>
      </c>
      <c r="D2335" s="1">
        <v>-7.0125094781000001</v>
      </c>
      <c r="E2335" s="3">
        <v>2</v>
      </c>
      <c r="F2335" s="2">
        <v>3</v>
      </c>
      <c r="G2335" s="4">
        <v>3</v>
      </c>
      <c r="H2335" s="13"/>
      <c r="I2335" s="15"/>
      <c r="J2335" s="19">
        <v>3</v>
      </c>
      <c r="K2335" s="2" t="s">
        <v>4682</v>
      </c>
      <c r="L2335" s="11" t="str">
        <f t="shared" si="37"/>
        <v>Ver Imagen</v>
      </c>
      <c r="M2335" t="s">
        <v>15</v>
      </c>
    </row>
    <row r="2336" spans="1:13" x14ac:dyDescent="0.25">
      <c r="A2336">
        <v>2335</v>
      </c>
      <c r="B2336" t="s">
        <v>4683</v>
      </c>
      <c r="C2336" s="1">
        <v>37.201301340199997</v>
      </c>
      <c r="D2336" s="1">
        <v>-7.0127475731800004</v>
      </c>
      <c r="E2336" s="3">
        <v>2</v>
      </c>
      <c r="F2336" s="2">
        <v>3</v>
      </c>
      <c r="G2336" s="4">
        <v>3</v>
      </c>
      <c r="H2336" s="13"/>
      <c r="I2336" s="15"/>
      <c r="J2336" s="19">
        <v>3</v>
      </c>
      <c r="K2336" s="2" t="s">
        <v>4684</v>
      </c>
      <c r="L2336" s="11" t="str">
        <f t="shared" si="37"/>
        <v>Ver Imagen</v>
      </c>
      <c r="M2336" t="s">
        <v>15</v>
      </c>
    </row>
    <row r="2337" spans="1:13" x14ac:dyDescent="0.25">
      <c r="A2337">
        <v>2336</v>
      </c>
      <c r="B2337" t="s">
        <v>4685</v>
      </c>
      <c r="C2337" s="1">
        <v>37.201399246900003</v>
      </c>
      <c r="D2337" s="1">
        <v>-7.0128977313999998</v>
      </c>
      <c r="E2337" s="3">
        <v>2</v>
      </c>
      <c r="F2337" s="2">
        <v>3</v>
      </c>
      <c r="G2337" s="4">
        <v>3</v>
      </c>
      <c r="H2337" s="13"/>
      <c r="I2337" s="15"/>
      <c r="J2337" s="19">
        <v>3</v>
      </c>
      <c r="K2337" s="2" t="s">
        <v>4686</v>
      </c>
      <c r="L2337" s="11" t="str">
        <f t="shared" si="37"/>
        <v>Ver Imagen</v>
      </c>
      <c r="M2337" t="s">
        <v>15</v>
      </c>
    </row>
    <row r="2338" spans="1:13" x14ac:dyDescent="0.25">
      <c r="A2338">
        <v>2337</v>
      </c>
      <c r="B2338" t="s">
        <v>4687</v>
      </c>
      <c r="C2338" s="1">
        <v>37.2015245288</v>
      </c>
      <c r="D2338" s="1">
        <v>-7.0130900365600004</v>
      </c>
      <c r="E2338" s="3">
        <v>2</v>
      </c>
      <c r="F2338" s="2">
        <v>3</v>
      </c>
      <c r="G2338" s="4">
        <v>3</v>
      </c>
      <c r="H2338" s="13"/>
      <c r="I2338" s="15"/>
      <c r="J2338" s="19">
        <v>3</v>
      </c>
      <c r="K2338" s="2" t="s">
        <v>4688</v>
      </c>
      <c r="L2338" s="11" t="str">
        <f t="shared" si="37"/>
        <v>Ver Imagen</v>
      </c>
      <c r="M2338" t="s">
        <v>15</v>
      </c>
    </row>
    <row r="2339" spans="1:13" x14ac:dyDescent="0.25">
      <c r="A2339">
        <v>2338</v>
      </c>
      <c r="B2339" t="s">
        <v>4689</v>
      </c>
      <c r="C2339" s="1">
        <v>37.201650826700003</v>
      </c>
      <c r="D2339" s="1">
        <v>-7.0132835876000001</v>
      </c>
      <c r="E2339" s="3">
        <v>2</v>
      </c>
      <c r="F2339" s="2">
        <v>3</v>
      </c>
      <c r="G2339" s="4">
        <v>3</v>
      </c>
      <c r="H2339" s="13"/>
      <c r="I2339" s="15"/>
      <c r="J2339" s="19">
        <v>3</v>
      </c>
      <c r="K2339" s="2" t="s">
        <v>4690</v>
      </c>
      <c r="L2339" s="11" t="str">
        <f t="shared" si="37"/>
        <v>Ver Imagen</v>
      </c>
      <c r="M2339" t="s">
        <v>15</v>
      </c>
    </row>
    <row r="2340" spans="1:13" x14ac:dyDescent="0.25">
      <c r="A2340">
        <v>2339</v>
      </c>
      <c r="B2340" t="s">
        <v>4691</v>
      </c>
      <c r="C2340" s="1">
        <v>37.201764662499997</v>
      </c>
      <c r="D2340" s="1">
        <v>-7.01345793591</v>
      </c>
      <c r="E2340" s="3">
        <v>2</v>
      </c>
      <c r="F2340" s="2">
        <v>3</v>
      </c>
      <c r="G2340" s="4">
        <v>3</v>
      </c>
      <c r="H2340" s="13"/>
      <c r="I2340" s="15"/>
      <c r="J2340" s="19">
        <v>3</v>
      </c>
      <c r="K2340" s="2" t="s">
        <v>4692</v>
      </c>
      <c r="L2340" s="11" t="str">
        <f t="shared" si="37"/>
        <v>Ver Imagen</v>
      </c>
      <c r="M2340" t="s">
        <v>15</v>
      </c>
    </row>
    <row r="2341" spans="1:13" x14ac:dyDescent="0.25">
      <c r="A2341">
        <v>2340</v>
      </c>
      <c r="B2341" t="s">
        <v>4693</v>
      </c>
      <c r="C2341" s="1">
        <v>37.201908224699999</v>
      </c>
      <c r="D2341" s="1">
        <v>-7.0136783857799996</v>
      </c>
      <c r="E2341" s="3">
        <v>2</v>
      </c>
      <c r="F2341" s="2">
        <v>3</v>
      </c>
      <c r="G2341" s="4">
        <v>3</v>
      </c>
      <c r="H2341" s="13"/>
      <c r="I2341" s="15"/>
      <c r="J2341" s="19">
        <v>3</v>
      </c>
      <c r="K2341" s="2" t="s">
        <v>4694</v>
      </c>
      <c r="L2341" s="11" t="str">
        <f t="shared" si="37"/>
        <v>Ver Imagen</v>
      </c>
      <c r="M2341" t="s">
        <v>15</v>
      </c>
    </row>
    <row r="2342" spans="1:13" x14ac:dyDescent="0.25">
      <c r="A2342">
        <v>2341</v>
      </c>
      <c r="B2342" t="s">
        <v>4695</v>
      </c>
      <c r="C2342" s="1">
        <v>37.202160039100001</v>
      </c>
      <c r="D2342" s="1">
        <v>-7.0140656715</v>
      </c>
      <c r="E2342" s="3">
        <v>2</v>
      </c>
      <c r="F2342" s="2">
        <v>3</v>
      </c>
      <c r="G2342" s="4">
        <v>3</v>
      </c>
      <c r="H2342" s="13"/>
      <c r="I2342" s="15"/>
      <c r="J2342" s="19">
        <v>3</v>
      </c>
      <c r="K2342" s="2" t="s">
        <v>4696</v>
      </c>
      <c r="L2342" s="11" t="str">
        <f t="shared" si="37"/>
        <v>Ver Imagen</v>
      </c>
      <c r="M2342" t="s">
        <v>15</v>
      </c>
    </row>
    <row r="2343" spans="1:13" x14ac:dyDescent="0.25">
      <c r="A2343">
        <v>2342</v>
      </c>
      <c r="B2343" t="s">
        <v>4697</v>
      </c>
      <c r="C2343" s="1">
        <v>37.202300316799999</v>
      </c>
      <c r="D2343" s="1">
        <v>-7.0142816285</v>
      </c>
      <c r="E2343" s="3">
        <v>2</v>
      </c>
      <c r="F2343" s="2">
        <v>3</v>
      </c>
      <c r="G2343" s="4">
        <v>3</v>
      </c>
      <c r="H2343" s="13"/>
      <c r="I2343" s="15"/>
      <c r="J2343" s="19">
        <v>3</v>
      </c>
      <c r="K2343" s="2" t="s">
        <v>4698</v>
      </c>
      <c r="L2343" s="11" t="str">
        <f t="shared" si="37"/>
        <v>Ver Imagen</v>
      </c>
      <c r="M2343" t="s">
        <v>15</v>
      </c>
    </row>
    <row r="2344" spans="1:13" x14ac:dyDescent="0.25">
      <c r="A2344">
        <v>2343</v>
      </c>
      <c r="B2344" t="s">
        <v>4699</v>
      </c>
      <c r="C2344" s="1">
        <v>37.202557481900001</v>
      </c>
      <c r="D2344" s="1">
        <v>-7.0146763931100002</v>
      </c>
      <c r="E2344" s="3">
        <v>2</v>
      </c>
      <c r="F2344" s="2">
        <v>3</v>
      </c>
      <c r="G2344" s="4">
        <v>3</v>
      </c>
      <c r="H2344" s="13"/>
      <c r="I2344" s="15"/>
      <c r="J2344" s="19">
        <v>3</v>
      </c>
      <c r="K2344" s="2" t="s">
        <v>4700</v>
      </c>
      <c r="L2344" s="11" t="str">
        <f t="shared" si="37"/>
        <v>Ver Imagen</v>
      </c>
      <c r="M2344" t="s">
        <v>15</v>
      </c>
    </row>
    <row r="2345" spans="1:13" x14ac:dyDescent="0.25">
      <c r="A2345">
        <v>2344</v>
      </c>
      <c r="B2345" t="s">
        <v>4701</v>
      </c>
      <c r="C2345" s="1">
        <v>37.203305360500003</v>
      </c>
      <c r="D2345" s="1">
        <v>-7.0158166162700004</v>
      </c>
      <c r="E2345" s="3">
        <v>2</v>
      </c>
      <c r="F2345" s="2">
        <v>3</v>
      </c>
      <c r="G2345" s="4">
        <v>3</v>
      </c>
      <c r="H2345" s="13"/>
      <c r="I2345" s="15"/>
      <c r="J2345" s="19">
        <v>3</v>
      </c>
      <c r="K2345" s="2" t="s">
        <v>4702</v>
      </c>
      <c r="L2345" s="11" t="str">
        <f t="shared" ref="L2345:L2408" si="38">HYPERLINK("3\1\" &amp; K2345, "Ver Imagen")</f>
        <v>Ver Imagen</v>
      </c>
      <c r="M2345" t="s">
        <v>15</v>
      </c>
    </row>
    <row r="2346" spans="1:13" x14ac:dyDescent="0.25">
      <c r="A2346">
        <v>2345</v>
      </c>
      <c r="B2346" t="s">
        <v>4703</v>
      </c>
      <c r="C2346" s="1">
        <v>37.203698002300001</v>
      </c>
      <c r="D2346" s="1">
        <v>-7.0164234691100003</v>
      </c>
      <c r="E2346" s="3">
        <v>2</v>
      </c>
      <c r="F2346" s="2">
        <v>3</v>
      </c>
      <c r="G2346" s="4">
        <v>3</v>
      </c>
      <c r="H2346" s="13"/>
      <c r="I2346" s="15"/>
      <c r="J2346" s="19">
        <v>3</v>
      </c>
      <c r="K2346" s="2" t="s">
        <v>4704</v>
      </c>
      <c r="L2346" s="11" t="str">
        <f t="shared" si="38"/>
        <v>Ver Imagen</v>
      </c>
      <c r="M2346" t="s">
        <v>15</v>
      </c>
    </row>
    <row r="2347" spans="1:13" x14ac:dyDescent="0.25">
      <c r="A2347">
        <v>2346</v>
      </c>
      <c r="B2347" t="s">
        <v>4705</v>
      </c>
      <c r="C2347" s="1">
        <v>37.203963679899999</v>
      </c>
      <c r="D2347" s="1">
        <v>-7.0168350352999997</v>
      </c>
      <c r="E2347" s="3">
        <v>2</v>
      </c>
      <c r="F2347" s="2">
        <v>3</v>
      </c>
      <c r="G2347" s="4">
        <v>3</v>
      </c>
      <c r="H2347" s="13"/>
      <c r="I2347" s="15"/>
      <c r="J2347" s="19">
        <v>3</v>
      </c>
      <c r="K2347" s="2" t="s">
        <v>4706</v>
      </c>
      <c r="L2347" s="11" t="str">
        <f t="shared" si="38"/>
        <v>Ver Imagen</v>
      </c>
      <c r="M2347" t="s">
        <v>15</v>
      </c>
    </row>
    <row r="2348" spans="1:13" x14ac:dyDescent="0.25">
      <c r="A2348">
        <v>2347</v>
      </c>
      <c r="B2348" t="s">
        <v>4707</v>
      </c>
      <c r="C2348" s="1">
        <v>37.204717879100002</v>
      </c>
      <c r="D2348" s="1">
        <v>-7.0180006432899997</v>
      </c>
      <c r="E2348" s="3">
        <v>2</v>
      </c>
      <c r="F2348" s="2">
        <v>3</v>
      </c>
      <c r="G2348" s="4">
        <v>3</v>
      </c>
      <c r="H2348" s="13"/>
      <c r="I2348" s="15"/>
      <c r="J2348" s="19">
        <v>3</v>
      </c>
      <c r="K2348" s="2" t="s">
        <v>4708</v>
      </c>
      <c r="L2348" s="11" t="str">
        <f t="shared" si="38"/>
        <v>Ver Imagen</v>
      </c>
      <c r="M2348" t="s">
        <v>15</v>
      </c>
    </row>
    <row r="2349" spans="1:13" x14ac:dyDescent="0.25">
      <c r="A2349">
        <v>2348</v>
      </c>
      <c r="B2349" t="s">
        <v>4709</v>
      </c>
      <c r="C2349" s="1">
        <v>37.206442652500002</v>
      </c>
      <c r="D2349" s="1">
        <v>-7.0208177671999996</v>
      </c>
      <c r="E2349" s="3">
        <v>2</v>
      </c>
      <c r="F2349" s="2">
        <v>3</v>
      </c>
      <c r="G2349" s="4">
        <v>3</v>
      </c>
      <c r="H2349" s="13"/>
      <c r="I2349" s="15"/>
      <c r="J2349" s="19">
        <v>3</v>
      </c>
      <c r="K2349" s="2" t="s">
        <v>4710</v>
      </c>
      <c r="L2349" s="11" t="str">
        <f t="shared" si="38"/>
        <v>Ver Imagen</v>
      </c>
      <c r="M2349" t="s">
        <v>15</v>
      </c>
    </row>
    <row r="2350" spans="1:13" x14ac:dyDescent="0.25">
      <c r="A2350">
        <v>2349</v>
      </c>
      <c r="B2350" t="s">
        <v>4711</v>
      </c>
      <c r="C2350" s="1">
        <v>37.2067159968</v>
      </c>
      <c r="D2350" s="1">
        <v>-7.0212297727699999</v>
      </c>
      <c r="E2350" s="3">
        <v>2</v>
      </c>
      <c r="F2350" s="2">
        <v>3</v>
      </c>
      <c r="G2350" s="4">
        <v>3</v>
      </c>
      <c r="H2350" s="13"/>
      <c r="I2350" s="15"/>
      <c r="J2350" s="19">
        <v>3</v>
      </c>
      <c r="K2350" s="2" t="s">
        <v>4712</v>
      </c>
      <c r="L2350" s="11" t="str">
        <f t="shared" si="38"/>
        <v>Ver Imagen</v>
      </c>
      <c r="M2350" t="s">
        <v>15</v>
      </c>
    </row>
    <row r="2351" spans="1:13" x14ac:dyDescent="0.25">
      <c r="A2351">
        <v>2350</v>
      </c>
      <c r="B2351" t="s">
        <v>4713</v>
      </c>
      <c r="C2351" s="1">
        <v>37.206825371699999</v>
      </c>
      <c r="D2351" s="1">
        <v>-7.0213808022500004</v>
      </c>
      <c r="E2351" s="3">
        <v>2</v>
      </c>
      <c r="F2351" s="2">
        <v>3</v>
      </c>
      <c r="G2351" s="4">
        <v>3</v>
      </c>
      <c r="H2351" s="13"/>
      <c r="I2351" s="15"/>
      <c r="J2351" s="19">
        <v>3</v>
      </c>
      <c r="K2351" s="2" t="s">
        <v>4714</v>
      </c>
      <c r="L2351" s="11" t="str">
        <f t="shared" si="38"/>
        <v>Ver Imagen</v>
      </c>
      <c r="M2351" t="s">
        <v>15</v>
      </c>
    </row>
    <row r="2352" spans="1:13" x14ac:dyDescent="0.25">
      <c r="A2352">
        <v>2351</v>
      </c>
      <c r="B2352" t="s">
        <v>4715</v>
      </c>
      <c r="C2352" s="1">
        <v>37.208241035500002</v>
      </c>
      <c r="D2352" s="1">
        <v>-7.02345407451</v>
      </c>
      <c r="E2352" s="3">
        <v>2</v>
      </c>
      <c r="F2352" s="2">
        <v>3</v>
      </c>
      <c r="G2352" s="4">
        <v>3</v>
      </c>
      <c r="H2352" s="13"/>
      <c r="I2352" s="15"/>
      <c r="J2352" s="19">
        <v>3</v>
      </c>
      <c r="K2352" s="2" t="s">
        <v>4716</v>
      </c>
      <c r="L2352" s="11" t="str">
        <f t="shared" si="38"/>
        <v>Ver Imagen</v>
      </c>
      <c r="M2352" t="s">
        <v>15</v>
      </c>
    </row>
    <row r="2353" spans="1:13" x14ac:dyDescent="0.25">
      <c r="A2353">
        <v>2352</v>
      </c>
      <c r="B2353" t="s">
        <v>4717</v>
      </c>
      <c r="C2353" s="1">
        <v>37.208260190899999</v>
      </c>
      <c r="D2353" s="1">
        <v>-7.0237189797099999</v>
      </c>
      <c r="E2353" s="3">
        <v>2</v>
      </c>
      <c r="F2353" s="2">
        <v>3</v>
      </c>
      <c r="G2353" s="4">
        <v>3</v>
      </c>
      <c r="H2353" s="13"/>
      <c r="I2353" s="15"/>
      <c r="J2353" s="19">
        <v>3</v>
      </c>
      <c r="K2353" s="2" t="s">
        <v>4718</v>
      </c>
      <c r="L2353" s="11" t="str">
        <f t="shared" si="38"/>
        <v>Ver Imagen</v>
      </c>
      <c r="M2353" t="s">
        <v>15</v>
      </c>
    </row>
    <row r="2354" spans="1:13" x14ac:dyDescent="0.25">
      <c r="A2354">
        <v>2353</v>
      </c>
      <c r="B2354" t="s">
        <v>4719</v>
      </c>
      <c r="C2354" s="1">
        <v>37.208297108300002</v>
      </c>
      <c r="D2354" s="1">
        <v>-7.02445251309</v>
      </c>
      <c r="E2354" s="3">
        <v>2</v>
      </c>
      <c r="F2354" s="2">
        <v>3</v>
      </c>
      <c r="G2354" s="4">
        <v>3</v>
      </c>
      <c r="H2354" s="13"/>
      <c r="I2354" s="15"/>
      <c r="J2354" s="19">
        <v>3</v>
      </c>
      <c r="K2354" s="2" t="s">
        <v>4720</v>
      </c>
      <c r="L2354" s="11" t="str">
        <f t="shared" si="38"/>
        <v>Ver Imagen</v>
      </c>
      <c r="M2354" t="s">
        <v>15</v>
      </c>
    </row>
    <row r="2355" spans="1:13" x14ac:dyDescent="0.25">
      <c r="A2355">
        <v>2354</v>
      </c>
      <c r="B2355" t="s">
        <v>4721</v>
      </c>
      <c r="C2355" s="1">
        <v>37.208479236999999</v>
      </c>
      <c r="D2355" s="1">
        <v>-7.02516786244</v>
      </c>
      <c r="E2355" s="3">
        <v>2</v>
      </c>
      <c r="F2355" s="2">
        <v>3</v>
      </c>
      <c r="G2355" s="4">
        <v>3</v>
      </c>
      <c r="H2355" s="13"/>
      <c r="I2355" s="15"/>
      <c r="J2355" s="19">
        <v>3</v>
      </c>
      <c r="K2355" s="2" t="s">
        <v>4722</v>
      </c>
      <c r="L2355" s="11" t="str">
        <f t="shared" si="38"/>
        <v>Ver Imagen</v>
      </c>
      <c r="M2355" t="s">
        <v>15</v>
      </c>
    </row>
    <row r="2356" spans="1:13" x14ac:dyDescent="0.25">
      <c r="A2356">
        <v>2355</v>
      </c>
      <c r="B2356" t="s">
        <v>4723</v>
      </c>
      <c r="C2356" s="1">
        <v>37.208567148699998</v>
      </c>
      <c r="D2356" s="1">
        <v>-7.0254393545299996</v>
      </c>
      <c r="E2356" s="3">
        <v>2</v>
      </c>
      <c r="F2356" s="2">
        <v>3</v>
      </c>
      <c r="G2356" s="4">
        <v>3</v>
      </c>
      <c r="H2356" s="13"/>
      <c r="I2356" s="15"/>
      <c r="J2356" s="19">
        <v>3</v>
      </c>
      <c r="K2356" s="2" t="s">
        <v>4724</v>
      </c>
      <c r="L2356" s="11" t="str">
        <f t="shared" si="38"/>
        <v>Ver Imagen</v>
      </c>
      <c r="M2356" t="s">
        <v>15</v>
      </c>
    </row>
    <row r="2357" spans="1:13" x14ac:dyDescent="0.25">
      <c r="A2357">
        <v>2356</v>
      </c>
      <c r="B2357" t="s">
        <v>4725</v>
      </c>
      <c r="C2357" s="1">
        <v>37.2087918211</v>
      </c>
      <c r="D2357" s="1">
        <v>-7.0263676337599996</v>
      </c>
      <c r="E2357" s="3">
        <v>2</v>
      </c>
      <c r="F2357" s="2">
        <v>3</v>
      </c>
      <c r="G2357" s="4">
        <v>3</v>
      </c>
      <c r="H2357" s="13"/>
      <c r="I2357" s="15"/>
      <c r="J2357" s="19">
        <v>3</v>
      </c>
      <c r="K2357" s="2" t="s">
        <v>4726</v>
      </c>
      <c r="L2357" s="11" t="str">
        <f t="shared" si="38"/>
        <v>Ver Imagen</v>
      </c>
      <c r="M2357" t="s">
        <v>15</v>
      </c>
    </row>
    <row r="2358" spans="1:13" x14ac:dyDescent="0.25">
      <c r="A2358">
        <v>2357</v>
      </c>
      <c r="B2358" t="s">
        <v>4727</v>
      </c>
      <c r="C2358" s="1">
        <v>37.208932428700003</v>
      </c>
      <c r="D2358" s="1">
        <v>-7.0270955117199998</v>
      </c>
      <c r="E2358" s="3">
        <v>2</v>
      </c>
      <c r="F2358" s="2">
        <v>3</v>
      </c>
      <c r="G2358" s="4">
        <v>3</v>
      </c>
      <c r="H2358" s="13"/>
      <c r="I2358" s="15"/>
      <c r="J2358" s="19">
        <v>3</v>
      </c>
      <c r="K2358" s="2" t="s">
        <v>4728</v>
      </c>
      <c r="L2358" s="11" t="str">
        <f t="shared" si="38"/>
        <v>Ver Imagen</v>
      </c>
      <c r="M2358" t="s">
        <v>15</v>
      </c>
    </row>
    <row r="2359" spans="1:13" x14ac:dyDescent="0.25">
      <c r="A2359">
        <v>2358</v>
      </c>
      <c r="B2359" t="s">
        <v>4729</v>
      </c>
      <c r="C2359" s="1">
        <v>37.217913030299997</v>
      </c>
      <c r="D2359" s="1">
        <v>-7.1220109848100002</v>
      </c>
      <c r="E2359" s="3">
        <v>2</v>
      </c>
      <c r="F2359" s="2">
        <v>3</v>
      </c>
      <c r="G2359" s="4">
        <v>3</v>
      </c>
      <c r="H2359" s="13"/>
      <c r="I2359" s="15"/>
      <c r="J2359" s="19">
        <v>3</v>
      </c>
      <c r="K2359" s="2" t="s">
        <v>4730</v>
      </c>
      <c r="L2359" s="11" t="str">
        <f t="shared" si="38"/>
        <v>Ver Imagen</v>
      </c>
      <c r="M2359" t="s">
        <v>15</v>
      </c>
    </row>
    <row r="2360" spans="1:13" x14ac:dyDescent="0.25">
      <c r="A2360">
        <v>2359</v>
      </c>
      <c r="B2360" t="s">
        <v>4731</v>
      </c>
      <c r="C2360" s="1">
        <v>37.218049152900001</v>
      </c>
      <c r="D2360" s="1">
        <v>-7.1202889430500003</v>
      </c>
      <c r="E2360" s="3">
        <v>2</v>
      </c>
      <c r="F2360" s="2">
        <v>3</v>
      </c>
      <c r="G2360" s="4">
        <v>3</v>
      </c>
      <c r="H2360" s="13"/>
      <c r="I2360" s="15"/>
      <c r="J2360" s="19">
        <v>3</v>
      </c>
      <c r="K2360" s="2" t="s">
        <v>4732</v>
      </c>
      <c r="L2360" s="11" t="str">
        <f t="shared" si="38"/>
        <v>Ver Imagen</v>
      </c>
      <c r="M2360" t="s">
        <v>15</v>
      </c>
    </row>
    <row r="2361" spans="1:13" x14ac:dyDescent="0.25">
      <c r="A2361">
        <v>2360</v>
      </c>
      <c r="B2361" t="s">
        <v>4733</v>
      </c>
      <c r="C2361" s="1">
        <v>37.2180684279</v>
      </c>
      <c r="D2361" s="1">
        <v>-7.1200239824900002</v>
      </c>
      <c r="E2361" s="3">
        <v>2</v>
      </c>
      <c r="F2361" s="2">
        <v>3</v>
      </c>
      <c r="G2361" s="4">
        <v>3</v>
      </c>
      <c r="H2361" s="13"/>
      <c r="I2361" s="15"/>
      <c r="J2361" s="19">
        <v>3</v>
      </c>
      <c r="K2361" s="2" t="s">
        <v>4734</v>
      </c>
      <c r="L2361" s="11" t="str">
        <f t="shared" si="38"/>
        <v>Ver Imagen</v>
      </c>
      <c r="M2361" t="s">
        <v>15</v>
      </c>
    </row>
    <row r="2362" spans="1:13" x14ac:dyDescent="0.25">
      <c r="A2362">
        <v>2361</v>
      </c>
      <c r="B2362" t="s">
        <v>4735</v>
      </c>
      <c r="C2362" s="1">
        <v>37.218089622599997</v>
      </c>
      <c r="D2362" s="1">
        <v>-7.1197622870300004</v>
      </c>
      <c r="E2362" s="3">
        <v>3</v>
      </c>
      <c r="F2362" s="2">
        <v>3</v>
      </c>
      <c r="G2362" s="4">
        <v>2</v>
      </c>
      <c r="H2362" s="13"/>
      <c r="I2362" s="15"/>
      <c r="J2362" s="19">
        <v>3</v>
      </c>
      <c r="K2362" s="2" t="s">
        <v>4736</v>
      </c>
      <c r="L2362" s="11" t="str">
        <f t="shared" si="38"/>
        <v>Ver Imagen</v>
      </c>
      <c r="M2362" t="s">
        <v>15</v>
      </c>
    </row>
    <row r="2363" spans="1:13" x14ac:dyDescent="0.25">
      <c r="A2363">
        <v>2362</v>
      </c>
      <c r="B2363" t="s">
        <v>4737</v>
      </c>
      <c r="C2363" s="1">
        <v>37.217045483</v>
      </c>
      <c r="D2363" s="1">
        <v>-7.0999430146</v>
      </c>
      <c r="E2363" s="3">
        <v>2</v>
      </c>
      <c r="F2363" s="2">
        <v>3</v>
      </c>
      <c r="G2363" s="4">
        <v>3</v>
      </c>
      <c r="H2363" s="13"/>
      <c r="I2363" s="15"/>
      <c r="J2363" s="19">
        <v>3</v>
      </c>
      <c r="K2363" s="2" t="s">
        <v>4738</v>
      </c>
      <c r="L2363" s="11" t="str">
        <f t="shared" si="38"/>
        <v>Ver Imagen</v>
      </c>
      <c r="M2363" t="s">
        <v>15</v>
      </c>
    </row>
    <row r="2364" spans="1:13" x14ac:dyDescent="0.25">
      <c r="A2364">
        <v>2363</v>
      </c>
      <c r="B2364" t="s">
        <v>4739</v>
      </c>
      <c r="C2364" s="1">
        <v>37.216085141999997</v>
      </c>
      <c r="D2364" s="1">
        <v>-7.0896770261100004</v>
      </c>
      <c r="E2364" s="3">
        <v>2</v>
      </c>
      <c r="F2364" s="2">
        <v>3</v>
      </c>
      <c r="G2364" s="4">
        <v>3</v>
      </c>
      <c r="H2364" s="13"/>
      <c r="I2364" s="15"/>
      <c r="J2364" s="19">
        <v>3</v>
      </c>
      <c r="K2364" s="2" t="s">
        <v>4740</v>
      </c>
      <c r="L2364" s="11" t="str">
        <f t="shared" si="38"/>
        <v>Ver Imagen</v>
      </c>
      <c r="M2364" t="s">
        <v>15</v>
      </c>
    </row>
    <row r="2365" spans="1:13" x14ac:dyDescent="0.25">
      <c r="A2365">
        <v>2364</v>
      </c>
      <c r="B2365" t="s">
        <v>4741</v>
      </c>
      <c r="C2365" s="1">
        <v>37.215911067699999</v>
      </c>
      <c r="D2365" s="1">
        <v>-7.0829151272099997</v>
      </c>
      <c r="E2365" s="3">
        <v>2</v>
      </c>
      <c r="F2365" s="2">
        <v>3</v>
      </c>
      <c r="G2365" s="4">
        <v>3</v>
      </c>
      <c r="H2365" s="13"/>
      <c r="I2365" s="15"/>
      <c r="J2365" s="19">
        <v>3</v>
      </c>
      <c r="K2365" s="2" t="s">
        <v>4742</v>
      </c>
      <c r="L2365" s="11" t="str">
        <f t="shared" si="38"/>
        <v>Ver Imagen</v>
      </c>
      <c r="M2365" t="s">
        <v>15</v>
      </c>
    </row>
    <row r="2366" spans="1:13" x14ac:dyDescent="0.25">
      <c r="A2366">
        <v>2365</v>
      </c>
      <c r="B2366" t="s">
        <v>4743</v>
      </c>
      <c r="C2366" s="1">
        <v>37.215835693599999</v>
      </c>
      <c r="D2366" s="1">
        <v>-7.0826640414000002</v>
      </c>
      <c r="E2366" s="3">
        <v>2</v>
      </c>
      <c r="F2366" s="2">
        <v>3</v>
      </c>
      <c r="G2366" s="4">
        <v>3</v>
      </c>
      <c r="H2366" s="13"/>
      <c r="I2366" s="15"/>
      <c r="J2366" s="19">
        <v>3</v>
      </c>
      <c r="K2366" s="2" t="s">
        <v>4744</v>
      </c>
      <c r="L2366" s="11" t="str">
        <f t="shared" si="38"/>
        <v>Ver Imagen</v>
      </c>
      <c r="M2366" t="s">
        <v>15</v>
      </c>
    </row>
    <row r="2367" spans="1:13" x14ac:dyDescent="0.25">
      <c r="A2367">
        <v>2366</v>
      </c>
      <c r="B2367" t="s">
        <v>4745</v>
      </c>
      <c r="C2367" s="1">
        <v>37.2136954614</v>
      </c>
      <c r="D2367" s="1">
        <v>-7.07187224805</v>
      </c>
      <c r="E2367" s="3">
        <v>2</v>
      </c>
      <c r="F2367" s="2">
        <v>3</v>
      </c>
      <c r="G2367" s="4">
        <v>3</v>
      </c>
      <c r="H2367" s="13"/>
      <c r="I2367" s="15"/>
      <c r="J2367" s="19">
        <v>3</v>
      </c>
      <c r="K2367" s="2" t="s">
        <v>4746</v>
      </c>
      <c r="L2367" s="11" t="str">
        <f t="shared" si="38"/>
        <v>Ver Imagen</v>
      </c>
      <c r="M2367" t="s">
        <v>15</v>
      </c>
    </row>
    <row r="2368" spans="1:13" x14ac:dyDescent="0.25">
      <c r="A2368">
        <v>2367</v>
      </c>
      <c r="B2368" t="s">
        <v>4747</v>
      </c>
      <c r="C2368" s="1">
        <v>37.213088427400002</v>
      </c>
      <c r="D2368" s="1">
        <v>-7.0621746788999999</v>
      </c>
      <c r="E2368" s="3">
        <v>2</v>
      </c>
      <c r="F2368" s="2">
        <v>3</v>
      </c>
      <c r="G2368" s="4">
        <v>3</v>
      </c>
      <c r="H2368" s="13"/>
      <c r="I2368" s="15"/>
      <c r="J2368" s="19">
        <v>3</v>
      </c>
      <c r="K2368" s="2" t="s">
        <v>4748</v>
      </c>
      <c r="L2368" s="11" t="str">
        <f t="shared" si="38"/>
        <v>Ver Imagen</v>
      </c>
      <c r="M2368" t="s">
        <v>15</v>
      </c>
    </row>
    <row r="2369" spans="1:13" x14ac:dyDescent="0.25">
      <c r="A2369">
        <v>2368</v>
      </c>
      <c r="B2369" t="s">
        <v>4749</v>
      </c>
      <c r="C2369" s="1">
        <v>37.211871019599997</v>
      </c>
      <c r="D2369" s="1">
        <v>-7.0587019592900004</v>
      </c>
      <c r="E2369" s="3">
        <v>2</v>
      </c>
      <c r="F2369" s="2">
        <v>3</v>
      </c>
      <c r="G2369" s="4">
        <v>3</v>
      </c>
      <c r="H2369" s="13"/>
      <c r="I2369" s="15"/>
      <c r="J2369" s="19">
        <v>3</v>
      </c>
      <c r="K2369" s="2" t="s">
        <v>4750</v>
      </c>
      <c r="L2369" s="11" t="str">
        <f t="shared" si="38"/>
        <v>Ver Imagen</v>
      </c>
      <c r="M2369" t="s">
        <v>15</v>
      </c>
    </row>
    <row r="2370" spans="1:13" x14ac:dyDescent="0.25">
      <c r="A2370">
        <v>2369</v>
      </c>
      <c r="B2370" t="s">
        <v>4751</v>
      </c>
      <c r="C2370" s="1">
        <v>37.211608810599998</v>
      </c>
      <c r="D2370" s="1">
        <v>-7.0579751630500001</v>
      </c>
      <c r="E2370" s="3">
        <v>2</v>
      </c>
      <c r="F2370" s="2">
        <v>3</v>
      </c>
      <c r="G2370" s="4">
        <v>3</v>
      </c>
      <c r="H2370" s="13"/>
      <c r="I2370" s="15"/>
      <c r="J2370" s="19">
        <v>3</v>
      </c>
      <c r="K2370" s="2" t="s">
        <v>4752</v>
      </c>
      <c r="L2370" s="11" t="str">
        <f t="shared" si="38"/>
        <v>Ver Imagen</v>
      </c>
      <c r="M2370" t="s">
        <v>15</v>
      </c>
    </row>
    <row r="2371" spans="1:13" x14ac:dyDescent="0.25">
      <c r="A2371">
        <v>2370</v>
      </c>
      <c r="B2371" t="s">
        <v>4753</v>
      </c>
      <c r="C2371" s="1">
        <v>37.211480896200001</v>
      </c>
      <c r="D2371" s="1">
        <v>-7.0575488268699997</v>
      </c>
      <c r="E2371" s="3">
        <v>2</v>
      </c>
      <c r="F2371" s="2">
        <v>3</v>
      </c>
      <c r="G2371" s="4">
        <v>3</v>
      </c>
      <c r="H2371" s="13"/>
      <c r="I2371" s="15"/>
      <c r="J2371" s="19">
        <v>3</v>
      </c>
      <c r="K2371" s="2" t="s">
        <v>4754</v>
      </c>
      <c r="L2371" s="11" t="str">
        <f t="shared" si="38"/>
        <v>Ver Imagen</v>
      </c>
      <c r="M2371" t="s">
        <v>15</v>
      </c>
    </row>
    <row r="2372" spans="1:13" x14ac:dyDescent="0.25">
      <c r="A2372">
        <v>2371</v>
      </c>
      <c r="B2372" t="s">
        <v>4755</v>
      </c>
      <c r="C2372" s="1">
        <v>37.2113618355</v>
      </c>
      <c r="D2372" s="1">
        <v>-7.0570334681100002</v>
      </c>
      <c r="E2372" s="3">
        <v>2</v>
      </c>
      <c r="F2372" s="2">
        <v>3</v>
      </c>
      <c r="G2372" s="4">
        <v>3</v>
      </c>
      <c r="H2372" s="13"/>
      <c r="I2372" s="15"/>
      <c r="J2372" s="19">
        <v>3</v>
      </c>
      <c r="K2372" s="2" t="s">
        <v>4756</v>
      </c>
      <c r="L2372" s="11" t="str">
        <f t="shared" si="38"/>
        <v>Ver Imagen</v>
      </c>
      <c r="M2372" t="s">
        <v>15</v>
      </c>
    </row>
    <row r="2373" spans="1:13" x14ac:dyDescent="0.25">
      <c r="A2373">
        <v>2372</v>
      </c>
      <c r="B2373" t="s">
        <v>4757</v>
      </c>
      <c r="C2373" s="1">
        <v>37.211099234000002</v>
      </c>
      <c r="D2373" s="1">
        <v>-7.0550094975200004</v>
      </c>
      <c r="E2373" s="3">
        <v>2</v>
      </c>
      <c r="F2373" s="2">
        <v>3</v>
      </c>
      <c r="G2373" s="4">
        <v>3</v>
      </c>
      <c r="H2373" s="13"/>
      <c r="I2373" s="15"/>
      <c r="J2373" s="19">
        <v>3</v>
      </c>
      <c r="K2373" s="2" t="s">
        <v>4758</v>
      </c>
      <c r="L2373" s="11" t="str">
        <f t="shared" si="38"/>
        <v>Ver Imagen</v>
      </c>
      <c r="M2373" t="s">
        <v>15</v>
      </c>
    </row>
    <row r="2374" spans="1:13" x14ac:dyDescent="0.25">
      <c r="A2374">
        <v>2373</v>
      </c>
      <c r="B2374" t="s">
        <v>4759</v>
      </c>
      <c r="C2374" s="1">
        <v>37.211039875300003</v>
      </c>
      <c r="D2374" s="1">
        <v>-7.0545478703700004</v>
      </c>
      <c r="E2374" s="3">
        <v>2</v>
      </c>
      <c r="F2374" s="2">
        <v>3</v>
      </c>
      <c r="G2374" s="4">
        <v>3</v>
      </c>
      <c r="H2374" s="13"/>
      <c r="I2374" s="15"/>
      <c r="J2374" s="19">
        <v>3</v>
      </c>
      <c r="K2374" s="2" t="s">
        <v>4760</v>
      </c>
      <c r="L2374" s="11" t="str">
        <f t="shared" si="38"/>
        <v>Ver Imagen</v>
      </c>
      <c r="M2374" t="s">
        <v>15</v>
      </c>
    </row>
    <row r="2375" spans="1:13" x14ac:dyDescent="0.25">
      <c r="A2375">
        <v>2374</v>
      </c>
      <c r="B2375" t="s">
        <v>4761</v>
      </c>
      <c r="C2375" s="1">
        <v>37.210787920999998</v>
      </c>
      <c r="D2375" s="1">
        <v>-7.0527967546300001</v>
      </c>
      <c r="E2375" s="3">
        <v>2</v>
      </c>
      <c r="F2375" s="2">
        <v>3</v>
      </c>
      <c r="G2375" s="4">
        <v>3</v>
      </c>
      <c r="H2375" s="13"/>
      <c r="I2375" s="15"/>
      <c r="J2375" s="19">
        <v>3</v>
      </c>
      <c r="K2375" s="2" t="s">
        <v>4762</v>
      </c>
      <c r="L2375" s="11" t="str">
        <f t="shared" si="38"/>
        <v>Ver Imagen</v>
      </c>
      <c r="M2375" t="s">
        <v>15</v>
      </c>
    </row>
    <row r="2376" spans="1:13" x14ac:dyDescent="0.25">
      <c r="A2376">
        <v>2375</v>
      </c>
      <c r="B2376" t="s">
        <v>4763</v>
      </c>
      <c r="C2376" s="1">
        <v>37.211200071999997</v>
      </c>
      <c r="D2376" s="1">
        <v>-7.0503761051599998</v>
      </c>
      <c r="E2376" s="3">
        <v>2</v>
      </c>
      <c r="F2376" s="2">
        <v>3</v>
      </c>
      <c r="G2376" s="4">
        <v>3</v>
      </c>
      <c r="H2376" s="13"/>
      <c r="I2376" s="15"/>
      <c r="J2376" s="19">
        <v>3</v>
      </c>
      <c r="K2376" s="2" t="s">
        <v>4764</v>
      </c>
      <c r="L2376" s="11" t="str">
        <f t="shared" si="38"/>
        <v>Ver Imagen</v>
      </c>
      <c r="M2376" t="s">
        <v>15</v>
      </c>
    </row>
    <row r="2377" spans="1:13" x14ac:dyDescent="0.25">
      <c r="A2377">
        <v>2376</v>
      </c>
      <c r="B2377" t="s">
        <v>4765</v>
      </c>
      <c r="C2377" s="1">
        <v>37.211760231900001</v>
      </c>
      <c r="D2377" s="1">
        <v>-7.0479818164300001</v>
      </c>
      <c r="E2377" s="3">
        <v>2</v>
      </c>
      <c r="F2377" s="2">
        <v>3</v>
      </c>
      <c r="G2377" s="4">
        <v>3</v>
      </c>
      <c r="H2377" s="13"/>
      <c r="I2377" s="15"/>
      <c r="J2377" s="19">
        <v>3</v>
      </c>
      <c r="K2377" s="2" t="s">
        <v>4766</v>
      </c>
      <c r="L2377" s="11" t="str">
        <f t="shared" si="38"/>
        <v>Ver Imagen</v>
      </c>
      <c r="M2377" t="s">
        <v>15</v>
      </c>
    </row>
    <row r="2378" spans="1:13" x14ac:dyDescent="0.25">
      <c r="A2378">
        <v>2377</v>
      </c>
      <c r="B2378" t="s">
        <v>4767</v>
      </c>
      <c r="C2378" s="1">
        <v>37.211733865200003</v>
      </c>
      <c r="D2378" s="1">
        <v>-7.0477027998899997</v>
      </c>
      <c r="E2378" s="3">
        <v>2</v>
      </c>
      <c r="F2378" s="2">
        <v>3</v>
      </c>
      <c r="G2378" s="4">
        <v>3</v>
      </c>
      <c r="H2378" s="13"/>
      <c r="I2378" s="15"/>
      <c r="J2378" s="19">
        <v>3</v>
      </c>
      <c r="K2378" s="2" t="s">
        <v>4768</v>
      </c>
      <c r="L2378" s="11" t="str">
        <f t="shared" si="38"/>
        <v>Ver Imagen</v>
      </c>
      <c r="M2378" t="s">
        <v>15</v>
      </c>
    </row>
    <row r="2379" spans="1:13" x14ac:dyDescent="0.25">
      <c r="A2379">
        <v>2378</v>
      </c>
      <c r="B2379" t="s">
        <v>4769</v>
      </c>
      <c r="C2379" s="1">
        <v>37.211559397999999</v>
      </c>
      <c r="D2379" s="1">
        <v>-7.0467145394899999</v>
      </c>
      <c r="E2379" s="3">
        <v>2</v>
      </c>
      <c r="F2379" s="2">
        <v>3</v>
      </c>
      <c r="G2379" s="4">
        <v>3</v>
      </c>
      <c r="H2379" s="13"/>
      <c r="I2379" s="15"/>
      <c r="J2379" s="19">
        <v>3</v>
      </c>
      <c r="K2379" s="2" t="s">
        <v>4770</v>
      </c>
      <c r="L2379" s="11" t="str">
        <f t="shared" si="38"/>
        <v>Ver Imagen</v>
      </c>
      <c r="M2379" t="s">
        <v>15</v>
      </c>
    </row>
    <row r="2380" spans="1:13" x14ac:dyDescent="0.25">
      <c r="A2380">
        <v>2379</v>
      </c>
      <c r="B2380" t="s">
        <v>4771</v>
      </c>
      <c r="C2380" s="1">
        <v>37.2110275597</v>
      </c>
      <c r="D2380" s="1">
        <v>-7.0445062961699998</v>
      </c>
      <c r="E2380" s="3">
        <v>2</v>
      </c>
      <c r="F2380" s="2">
        <v>3</v>
      </c>
      <c r="G2380" s="4">
        <v>3</v>
      </c>
      <c r="H2380" s="13"/>
      <c r="I2380" s="15"/>
      <c r="J2380" s="19">
        <v>3</v>
      </c>
      <c r="K2380" s="2" t="s">
        <v>4772</v>
      </c>
      <c r="L2380" s="11" t="str">
        <f t="shared" si="38"/>
        <v>Ver Imagen</v>
      </c>
      <c r="M2380" t="s">
        <v>15</v>
      </c>
    </row>
    <row r="2381" spans="1:13" x14ac:dyDescent="0.25">
      <c r="A2381">
        <v>2380</v>
      </c>
      <c r="B2381" t="s">
        <v>4773</v>
      </c>
      <c r="C2381" s="1">
        <v>37.210461176000003</v>
      </c>
      <c r="D2381" s="1">
        <v>-7.04298017171</v>
      </c>
      <c r="E2381" s="3">
        <v>2</v>
      </c>
      <c r="F2381" s="2">
        <v>3</v>
      </c>
      <c r="G2381" s="4">
        <v>3</v>
      </c>
      <c r="H2381" s="13"/>
      <c r="I2381" s="15"/>
      <c r="J2381" s="19">
        <v>3</v>
      </c>
      <c r="K2381" s="2" t="s">
        <v>4774</v>
      </c>
      <c r="L2381" s="11" t="str">
        <f t="shared" si="38"/>
        <v>Ver Imagen</v>
      </c>
      <c r="M2381" t="s">
        <v>15</v>
      </c>
    </row>
    <row r="2382" spans="1:13" x14ac:dyDescent="0.25">
      <c r="A2382">
        <v>2381</v>
      </c>
      <c r="B2382" t="s">
        <v>4775</v>
      </c>
      <c r="C2382" s="1">
        <v>37.209335008799997</v>
      </c>
      <c r="D2382" s="1">
        <v>-7.0399669170900001</v>
      </c>
      <c r="E2382" s="3">
        <v>2</v>
      </c>
      <c r="F2382" s="2">
        <v>3</v>
      </c>
      <c r="G2382" s="4">
        <v>3</v>
      </c>
      <c r="H2382" s="13"/>
      <c r="I2382" s="15"/>
      <c r="J2382" s="19">
        <v>3</v>
      </c>
      <c r="K2382" s="2" t="s">
        <v>4776</v>
      </c>
      <c r="L2382" s="11" t="str">
        <f t="shared" si="38"/>
        <v>Ver Imagen</v>
      </c>
      <c r="M2382" t="s">
        <v>15</v>
      </c>
    </row>
    <row r="2383" spans="1:13" x14ac:dyDescent="0.25">
      <c r="A2383">
        <v>2382</v>
      </c>
      <c r="B2383" t="s">
        <v>4777</v>
      </c>
      <c r="C2383" s="1">
        <v>37.209236680399997</v>
      </c>
      <c r="D2383" s="1">
        <v>-7.0397107931900003</v>
      </c>
      <c r="E2383" s="3">
        <v>2</v>
      </c>
      <c r="F2383" s="2">
        <v>3</v>
      </c>
      <c r="G2383" s="4">
        <v>3</v>
      </c>
      <c r="H2383" s="13"/>
      <c r="I2383" s="15"/>
      <c r="J2383" s="19">
        <v>3</v>
      </c>
      <c r="K2383" s="2" t="s">
        <v>4778</v>
      </c>
      <c r="L2383" s="11" t="str">
        <f t="shared" si="38"/>
        <v>Ver Imagen</v>
      </c>
      <c r="M2383" t="s">
        <v>15</v>
      </c>
    </row>
    <row r="2384" spans="1:13" x14ac:dyDescent="0.25">
      <c r="A2384">
        <v>2383</v>
      </c>
      <c r="B2384" t="s">
        <v>4779</v>
      </c>
      <c r="C2384" s="1">
        <v>37.209154330700002</v>
      </c>
      <c r="D2384" s="1">
        <v>-7.0395016756300004</v>
      </c>
      <c r="E2384" s="3">
        <v>2</v>
      </c>
      <c r="F2384" s="2">
        <v>3</v>
      </c>
      <c r="G2384" s="4">
        <v>3</v>
      </c>
      <c r="H2384" s="13"/>
      <c r="I2384" s="15"/>
      <c r="J2384" s="19">
        <v>3</v>
      </c>
      <c r="K2384" s="2" t="s">
        <v>4780</v>
      </c>
      <c r="L2384" s="11" t="str">
        <f t="shared" si="38"/>
        <v>Ver Imagen</v>
      </c>
      <c r="M2384" t="s">
        <v>15</v>
      </c>
    </row>
    <row r="2385" spans="1:13" x14ac:dyDescent="0.25">
      <c r="A2385">
        <v>2384</v>
      </c>
      <c r="B2385" t="s">
        <v>4781</v>
      </c>
      <c r="C2385" s="1">
        <v>37.208188092</v>
      </c>
      <c r="D2385" s="1">
        <v>-7.0370134979800003</v>
      </c>
      <c r="E2385" s="3">
        <v>2</v>
      </c>
      <c r="F2385" s="2">
        <v>3</v>
      </c>
      <c r="G2385" s="4">
        <v>3</v>
      </c>
      <c r="H2385" s="13"/>
      <c r="I2385" s="15"/>
      <c r="J2385" s="19">
        <v>3</v>
      </c>
      <c r="K2385" s="2" t="s">
        <v>4782</v>
      </c>
      <c r="L2385" s="11" t="str">
        <f t="shared" si="38"/>
        <v>Ver Imagen</v>
      </c>
      <c r="M2385" t="s">
        <v>15</v>
      </c>
    </row>
    <row r="2386" spans="1:13" x14ac:dyDescent="0.25">
      <c r="A2386">
        <v>2385</v>
      </c>
      <c r="B2386" t="s">
        <v>4783</v>
      </c>
      <c r="C2386" s="1">
        <v>37.207928210399999</v>
      </c>
      <c r="D2386" s="1">
        <v>-7.0363434970499998</v>
      </c>
      <c r="E2386" s="3">
        <v>3</v>
      </c>
      <c r="F2386" s="2">
        <v>3</v>
      </c>
      <c r="G2386" s="4">
        <v>2</v>
      </c>
      <c r="H2386" s="13"/>
      <c r="I2386" s="15"/>
      <c r="J2386" s="19">
        <v>3</v>
      </c>
      <c r="K2386" s="2" t="s">
        <v>4784</v>
      </c>
      <c r="L2386" s="11" t="str">
        <f t="shared" si="38"/>
        <v>Ver Imagen</v>
      </c>
      <c r="M2386" t="s">
        <v>15</v>
      </c>
    </row>
    <row r="2387" spans="1:13" x14ac:dyDescent="0.25">
      <c r="A2387">
        <v>2386</v>
      </c>
      <c r="B2387" t="s">
        <v>4785</v>
      </c>
      <c r="C2387" s="1">
        <v>37.2076529518</v>
      </c>
      <c r="D2387" s="1">
        <v>-7.0356238824800004</v>
      </c>
      <c r="E2387" s="3">
        <v>3</v>
      </c>
      <c r="F2387" s="2">
        <v>3</v>
      </c>
      <c r="G2387" s="4">
        <v>2</v>
      </c>
      <c r="H2387" s="13"/>
      <c r="I2387" s="15"/>
      <c r="J2387" s="19">
        <v>3</v>
      </c>
      <c r="K2387" s="2" t="s">
        <v>4786</v>
      </c>
      <c r="L2387" s="11" t="str">
        <f t="shared" si="38"/>
        <v>Ver Imagen</v>
      </c>
      <c r="M2387" t="s">
        <v>15</v>
      </c>
    </row>
    <row r="2388" spans="1:13" x14ac:dyDescent="0.25">
      <c r="A2388">
        <v>2387</v>
      </c>
      <c r="B2388" t="s">
        <v>4787</v>
      </c>
      <c r="C2388" s="1">
        <v>37.207392838300002</v>
      </c>
      <c r="D2388" s="1">
        <v>-7.0349581994700001</v>
      </c>
      <c r="E2388" s="3">
        <v>2</v>
      </c>
      <c r="F2388" s="2">
        <v>3</v>
      </c>
      <c r="G2388" s="4">
        <v>3</v>
      </c>
      <c r="H2388" s="13"/>
      <c r="I2388" s="15"/>
      <c r="J2388" s="19">
        <v>3</v>
      </c>
      <c r="K2388" s="2" t="s">
        <v>4788</v>
      </c>
      <c r="L2388" s="11" t="str">
        <f t="shared" si="38"/>
        <v>Ver Imagen</v>
      </c>
      <c r="M2388" t="s">
        <v>15</v>
      </c>
    </row>
    <row r="2389" spans="1:13" x14ac:dyDescent="0.25">
      <c r="A2389">
        <v>2388</v>
      </c>
      <c r="B2389" t="s">
        <v>4789</v>
      </c>
      <c r="C2389" s="1">
        <v>37.206429742700003</v>
      </c>
      <c r="D2389" s="1">
        <v>-7.0324567846199999</v>
      </c>
      <c r="E2389" s="3">
        <v>2</v>
      </c>
      <c r="F2389" s="2">
        <v>3</v>
      </c>
      <c r="G2389" s="4">
        <v>3</v>
      </c>
      <c r="H2389" s="13"/>
      <c r="I2389" s="15"/>
      <c r="J2389" s="19">
        <v>3</v>
      </c>
      <c r="K2389" s="2" t="s">
        <v>4790</v>
      </c>
      <c r="L2389" s="11" t="str">
        <f t="shared" si="38"/>
        <v>Ver Imagen</v>
      </c>
      <c r="M2389" t="s">
        <v>15</v>
      </c>
    </row>
    <row r="2390" spans="1:13" x14ac:dyDescent="0.25">
      <c r="A2390">
        <v>2389</v>
      </c>
      <c r="B2390" t="s">
        <v>4791</v>
      </c>
      <c r="C2390" s="1">
        <v>37.2059820411</v>
      </c>
      <c r="D2390" s="1">
        <v>-7.0313025662499999</v>
      </c>
      <c r="E2390" s="3">
        <v>2</v>
      </c>
      <c r="F2390" s="2">
        <v>3</v>
      </c>
      <c r="G2390" s="4">
        <v>3</v>
      </c>
      <c r="H2390" s="13"/>
      <c r="I2390" s="15"/>
      <c r="J2390" s="19">
        <v>3</v>
      </c>
      <c r="K2390" s="2" t="s">
        <v>4792</v>
      </c>
      <c r="L2390" s="11" t="str">
        <f t="shared" si="38"/>
        <v>Ver Imagen</v>
      </c>
      <c r="M2390" t="s">
        <v>15</v>
      </c>
    </row>
    <row r="2391" spans="1:13" x14ac:dyDescent="0.25">
      <c r="A2391">
        <v>2390</v>
      </c>
      <c r="B2391" t="s">
        <v>4793</v>
      </c>
      <c r="C2391" s="1">
        <v>37.205889938200002</v>
      </c>
      <c r="D2391" s="1">
        <v>-7.0310583087099996</v>
      </c>
      <c r="E2391" s="3">
        <v>2</v>
      </c>
      <c r="F2391" s="2">
        <v>3</v>
      </c>
      <c r="G2391" s="4">
        <v>3</v>
      </c>
      <c r="H2391" s="13"/>
      <c r="I2391" s="15"/>
      <c r="J2391" s="19">
        <v>3</v>
      </c>
      <c r="K2391" s="2" t="s">
        <v>4794</v>
      </c>
      <c r="L2391" s="11" t="str">
        <f t="shared" si="38"/>
        <v>Ver Imagen</v>
      </c>
      <c r="M2391" t="s">
        <v>15</v>
      </c>
    </row>
    <row r="2392" spans="1:13" x14ac:dyDescent="0.25">
      <c r="A2392">
        <v>2391</v>
      </c>
      <c r="B2392" t="s">
        <v>4795</v>
      </c>
      <c r="C2392" s="1">
        <v>37.205461956199997</v>
      </c>
      <c r="D2392" s="1">
        <v>-7.0299435074299996</v>
      </c>
      <c r="E2392" s="3">
        <v>2</v>
      </c>
      <c r="F2392" s="2">
        <v>3</v>
      </c>
      <c r="G2392" s="4">
        <v>3</v>
      </c>
      <c r="H2392" s="13"/>
      <c r="I2392" s="15"/>
      <c r="J2392" s="19">
        <v>3</v>
      </c>
      <c r="K2392" s="2" t="s">
        <v>4796</v>
      </c>
      <c r="L2392" s="11" t="str">
        <f t="shared" si="38"/>
        <v>Ver Imagen</v>
      </c>
      <c r="M2392" t="s">
        <v>15</v>
      </c>
    </row>
    <row r="2393" spans="1:13" x14ac:dyDescent="0.25">
      <c r="A2393">
        <v>2392</v>
      </c>
      <c r="B2393" t="s">
        <v>4797</v>
      </c>
      <c r="C2393" s="1">
        <v>37.205203321299997</v>
      </c>
      <c r="D2393" s="1">
        <v>-7.0292546420399997</v>
      </c>
      <c r="E2393" s="3">
        <v>2</v>
      </c>
      <c r="F2393" s="2">
        <v>3</v>
      </c>
      <c r="G2393" s="4">
        <v>3</v>
      </c>
      <c r="H2393" s="13"/>
      <c r="I2393" s="15"/>
      <c r="J2393" s="19">
        <v>3</v>
      </c>
      <c r="K2393" s="2" t="s">
        <v>4798</v>
      </c>
      <c r="L2393" s="11" t="str">
        <f t="shared" si="38"/>
        <v>Ver Imagen</v>
      </c>
      <c r="M2393" t="s">
        <v>15</v>
      </c>
    </row>
    <row r="2394" spans="1:13" x14ac:dyDescent="0.25">
      <c r="A2394">
        <v>2393</v>
      </c>
      <c r="B2394" t="s">
        <v>4799</v>
      </c>
      <c r="C2394" s="1">
        <v>37.205119044699998</v>
      </c>
      <c r="D2394" s="1">
        <v>-7.0290374959899999</v>
      </c>
      <c r="E2394" s="3">
        <v>2</v>
      </c>
      <c r="F2394" s="2">
        <v>3</v>
      </c>
      <c r="G2394" s="4">
        <v>3</v>
      </c>
      <c r="H2394" s="13"/>
      <c r="I2394" s="15"/>
      <c r="J2394" s="19">
        <v>3</v>
      </c>
      <c r="K2394" s="2" t="s">
        <v>4800</v>
      </c>
      <c r="L2394" s="11" t="str">
        <f t="shared" si="38"/>
        <v>Ver Imagen</v>
      </c>
      <c r="M2394" t="s">
        <v>15</v>
      </c>
    </row>
    <row r="2395" spans="1:13" x14ac:dyDescent="0.25">
      <c r="A2395">
        <v>2394</v>
      </c>
      <c r="B2395" t="s">
        <v>4801</v>
      </c>
      <c r="C2395" s="1">
        <v>37.204813897400001</v>
      </c>
      <c r="D2395" s="1">
        <v>-7.0283779540799998</v>
      </c>
      <c r="E2395" s="3">
        <v>2</v>
      </c>
      <c r="F2395" s="2">
        <v>3</v>
      </c>
      <c r="G2395" s="4">
        <v>3</v>
      </c>
      <c r="H2395" s="13"/>
      <c r="I2395" s="15"/>
      <c r="J2395" s="19">
        <v>3</v>
      </c>
      <c r="K2395" s="2" t="s">
        <v>4802</v>
      </c>
      <c r="L2395" s="11" t="str">
        <f t="shared" si="38"/>
        <v>Ver Imagen</v>
      </c>
      <c r="M2395" t="s">
        <v>15</v>
      </c>
    </row>
    <row r="2396" spans="1:13" x14ac:dyDescent="0.25">
      <c r="A2396">
        <v>2395</v>
      </c>
      <c r="B2396" t="s">
        <v>4803</v>
      </c>
      <c r="C2396" s="1">
        <v>37.200923971800002</v>
      </c>
      <c r="D2396" s="1">
        <v>-7.01810042339</v>
      </c>
      <c r="E2396" s="3">
        <v>2</v>
      </c>
      <c r="F2396" s="2">
        <v>3</v>
      </c>
      <c r="G2396" s="4">
        <v>3</v>
      </c>
      <c r="H2396" s="13"/>
      <c r="I2396" s="15"/>
      <c r="J2396" s="19">
        <v>3</v>
      </c>
      <c r="K2396" s="2" t="s">
        <v>4804</v>
      </c>
      <c r="L2396" s="11" t="str">
        <f t="shared" si="38"/>
        <v>Ver Imagen</v>
      </c>
      <c r="M2396" t="s">
        <v>15</v>
      </c>
    </row>
    <row r="2397" spans="1:13" x14ac:dyDescent="0.25">
      <c r="A2397">
        <v>2396</v>
      </c>
      <c r="B2397" t="s">
        <v>4805</v>
      </c>
      <c r="C2397" s="1">
        <v>37.200831379100002</v>
      </c>
      <c r="D2397" s="1">
        <v>-7.0178604389299997</v>
      </c>
      <c r="E2397" s="3">
        <v>2</v>
      </c>
      <c r="F2397" s="2">
        <v>3</v>
      </c>
      <c r="G2397" s="4">
        <v>3</v>
      </c>
      <c r="H2397" s="13"/>
      <c r="I2397" s="15"/>
      <c r="J2397" s="19">
        <v>3</v>
      </c>
      <c r="K2397" s="2" t="s">
        <v>4806</v>
      </c>
      <c r="L2397" s="11" t="str">
        <f t="shared" si="38"/>
        <v>Ver Imagen</v>
      </c>
      <c r="M2397" t="s">
        <v>15</v>
      </c>
    </row>
    <row r="2398" spans="1:13" x14ac:dyDescent="0.25">
      <c r="A2398">
        <v>2397</v>
      </c>
      <c r="B2398" t="s">
        <v>4807</v>
      </c>
      <c r="C2398" s="1">
        <v>37.198380440699999</v>
      </c>
      <c r="D2398" s="1">
        <v>-7.0114875846900002</v>
      </c>
      <c r="E2398" s="3">
        <v>2</v>
      </c>
      <c r="F2398" s="2">
        <v>3</v>
      </c>
      <c r="G2398" s="4">
        <v>3</v>
      </c>
      <c r="H2398" s="13"/>
      <c r="I2398" s="15"/>
      <c r="J2398" s="19">
        <v>3</v>
      </c>
      <c r="K2398" s="2" t="s">
        <v>4808</v>
      </c>
      <c r="L2398" s="11" t="str">
        <f t="shared" si="38"/>
        <v>Ver Imagen</v>
      </c>
      <c r="M2398" t="s">
        <v>15</v>
      </c>
    </row>
    <row r="2399" spans="1:13" x14ac:dyDescent="0.25">
      <c r="A2399">
        <v>2398</v>
      </c>
      <c r="B2399" t="s">
        <v>4809</v>
      </c>
      <c r="C2399" s="1">
        <v>37.197940750000001</v>
      </c>
      <c r="D2399" s="1">
        <v>-7.0103541413799997</v>
      </c>
      <c r="E2399" s="3">
        <v>2</v>
      </c>
      <c r="F2399" s="2">
        <v>3</v>
      </c>
      <c r="G2399" s="4">
        <v>3</v>
      </c>
      <c r="H2399" s="13"/>
      <c r="I2399" s="15"/>
      <c r="J2399" s="19">
        <v>3</v>
      </c>
      <c r="K2399" s="2" t="s">
        <v>4810</v>
      </c>
      <c r="L2399" s="11" t="str">
        <f t="shared" si="38"/>
        <v>Ver Imagen</v>
      </c>
      <c r="M2399" t="s">
        <v>15</v>
      </c>
    </row>
    <row r="2400" spans="1:13" x14ac:dyDescent="0.25">
      <c r="A2400">
        <v>2399</v>
      </c>
      <c r="B2400" t="s">
        <v>4811</v>
      </c>
      <c r="C2400" s="1">
        <v>37.197861522899998</v>
      </c>
      <c r="D2400" s="1">
        <v>-7.0101470293199997</v>
      </c>
      <c r="E2400" s="3">
        <v>2</v>
      </c>
      <c r="F2400" s="2">
        <v>3</v>
      </c>
      <c r="G2400" s="4">
        <v>3</v>
      </c>
      <c r="H2400" s="13"/>
      <c r="I2400" s="15"/>
      <c r="J2400" s="19">
        <v>3</v>
      </c>
      <c r="K2400" s="2" t="s">
        <v>4812</v>
      </c>
      <c r="L2400" s="11" t="str">
        <f t="shared" si="38"/>
        <v>Ver Imagen</v>
      </c>
      <c r="M2400" t="s">
        <v>15</v>
      </c>
    </row>
    <row r="2401" spans="1:13" x14ac:dyDescent="0.25">
      <c r="A2401">
        <v>2400</v>
      </c>
      <c r="B2401" t="s">
        <v>4813</v>
      </c>
      <c r="C2401" s="1">
        <v>37.287950324400001</v>
      </c>
      <c r="D2401" s="1">
        <v>-7.1415840136400002</v>
      </c>
      <c r="E2401" s="3">
        <v>2</v>
      </c>
      <c r="F2401" s="2">
        <v>3</v>
      </c>
      <c r="G2401" s="4">
        <v>3</v>
      </c>
      <c r="H2401" s="13"/>
      <c r="I2401" s="15"/>
      <c r="J2401" s="19">
        <v>3</v>
      </c>
      <c r="K2401" s="2" t="s">
        <v>4814</v>
      </c>
      <c r="L2401" s="11" t="str">
        <f t="shared" si="38"/>
        <v>Ver Imagen</v>
      </c>
      <c r="M2401" t="s">
        <v>15</v>
      </c>
    </row>
    <row r="2402" spans="1:13" x14ac:dyDescent="0.25">
      <c r="A2402">
        <v>2401</v>
      </c>
      <c r="B2402" t="s">
        <v>4815</v>
      </c>
      <c r="C2402" s="1">
        <v>37.285315324400003</v>
      </c>
      <c r="D2402" s="1">
        <v>-7.1424952369600003</v>
      </c>
      <c r="E2402" s="3">
        <v>2</v>
      </c>
      <c r="F2402" s="2">
        <v>3</v>
      </c>
      <c r="G2402" s="4">
        <v>3</v>
      </c>
      <c r="H2402" s="13"/>
      <c r="I2402" s="15"/>
      <c r="J2402" s="19">
        <v>3</v>
      </c>
      <c r="K2402" s="2" t="s">
        <v>4816</v>
      </c>
      <c r="L2402" s="11" t="str">
        <f t="shared" si="38"/>
        <v>Ver Imagen</v>
      </c>
      <c r="M2402" t="s">
        <v>15</v>
      </c>
    </row>
    <row r="2403" spans="1:13" x14ac:dyDescent="0.25">
      <c r="A2403">
        <v>2402</v>
      </c>
      <c r="B2403" t="s">
        <v>4817</v>
      </c>
      <c r="C2403" s="1">
        <v>37.285201300700002</v>
      </c>
      <c r="D2403" s="1">
        <v>-7.1426828854600002</v>
      </c>
      <c r="E2403" s="3">
        <v>2</v>
      </c>
      <c r="F2403" s="2">
        <v>3</v>
      </c>
      <c r="G2403" s="4">
        <v>3</v>
      </c>
      <c r="H2403" s="13"/>
      <c r="I2403" s="15"/>
      <c r="J2403" s="19">
        <v>3</v>
      </c>
      <c r="K2403" s="2" t="s">
        <v>4818</v>
      </c>
      <c r="L2403" s="11" t="str">
        <f t="shared" si="38"/>
        <v>Ver Imagen</v>
      </c>
      <c r="M2403" t="s">
        <v>15</v>
      </c>
    </row>
    <row r="2404" spans="1:13" x14ac:dyDescent="0.25">
      <c r="A2404">
        <v>2403</v>
      </c>
      <c r="B2404" t="s">
        <v>4819</v>
      </c>
      <c r="C2404" s="1">
        <v>37.2849856347</v>
      </c>
      <c r="D2404" s="1">
        <v>-7.1430796339600002</v>
      </c>
      <c r="E2404" s="3">
        <v>2</v>
      </c>
      <c r="F2404" s="2">
        <v>3</v>
      </c>
      <c r="G2404" s="4">
        <v>3</v>
      </c>
      <c r="H2404" s="13"/>
      <c r="I2404" s="15"/>
      <c r="J2404" s="19">
        <v>3</v>
      </c>
      <c r="K2404" s="2" t="s">
        <v>4820</v>
      </c>
      <c r="L2404" s="11" t="str">
        <f t="shared" si="38"/>
        <v>Ver Imagen</v>
      </c>
      <c r="M2404" t="s">
        <v>15</v>
      </c>
    </row>
    <row r="2405" spans="1:13" x14ac:dyDescent="0.25">
      <c r="A2405">
        <v>2404</v>
      </c>
      <c r="B2405" t="s">
        <v>4821</v>
      </c>
      <c r="C2405" s="1">
        <v>37.279735198399997</v>
      </c>
      <c r="D2405" s="1">
        <v>-7.1453779577800001</v>
      </c>
      <c r="E2405" s="3">
        <v>2</v>
      </c>
      <c r="F2405" s="2">
        <v>3</v>
      </c>
      <c r="G2405" s="4">
        <v>3</v>
      </c>
      <c r="H2405" s="13"/>
      <c r="I2405" s="15"/>
      <c r="J2405" s="19">
        <v>3</v>
      </c>
      <c r="K2405" s="2" t="s">
        <v>4822</v>
      </c>
      <c r="L2405" s="11" t="str">
        <f t="shared" si="38"/>
        <v>Ver Imagen</v>
      </c>
      <c r="M2405" t="s">
        <v>15</v>
      </c>
    </row>
    <row r="2406" spans="1:13" x14ac:dyDescent="0.25">
      <c r="A2406">
        <v>2405</v>
      </c>
      <c r="B2406" t="s">
        <v>4823</v>
      </c>
      <c r="C2406" s="1">
        <v>37.277737791</v>
      </c>
      <c r="D2406" s="1">
        <v>-7.14365305917</v>
      </c>
      <c r="E2406" s="3">
        <v>2</v>
      </c>
      <c r="F2406" s="2">
        <v>3</v>
      </c>
      <c r="G2406" s="4">
        <v>3</v>
      </c>
      <c r="H2406" s="13"/>
      <c r="I2406" s="15"/>
      <c r="J2406" s="19">
        <v>3</v>
      </c>
      <c r="K2406" s="2" t="s">
        <v>4824</v>
      </c>
      <c r="L2406" s="11" t="str">
        <f t="shared" si="38"/>
        <v>Ver Imagen</v>
      </c>
      <c r="M2406" t="s">
        <v>15</v>
      </c>
    </row>
    <row r="2407" spans="1:13" x14ac:dyDescent="0.25">
      <c r="A2407">
        <v>2406</v>
      </c>
      <c r="B2407" t="s">
        <v>4825</v>
      </c>
      <c r="C2407" s="1">
        <v>37.277181757800001</v>
      </c>
      <c r="D2407" s="1">
        <v>-7.1433315832000002</v>
      </c>
      <c r="E2407" s="3">
        <v>3</v>
      </c>
      <c r="F2407" s="2">
        <v>3</v>
      </c>
      <c r="G2407" s="4">
        <v>2</v>
      </c>
      <c r="H2407" s="13"/>
      <c r="I2407" s="15"/>
      <c r="J2407" s="19">
        <v>3</v>
      </c>
      <c r="K2407" s="2" t="s">
        <v>4826</v>
      </c>
      <c r="L2407" s="11" t="str">
        <f t="shared" si="38"/>
        <v>Ver Imagen</v>
      </c>
      <c r="M2407" t="s">
        <v>15</v>
      </c>
    </row>
    <row r="2408" spans="1:13" x14ac:dyDescent="0.25">
      <c r="A2408">
        <v>2407</v>
      </c>
      <c r="B2408" t="s">
        <v>4827</v>
      </c>
      <c r="C2408" s="1">
        <v>37.274465653299998</v>
      </c>
      <c r="D2408" s="1">
        <v>-7.1424288552100004</v>
      </c>
      <c r="E2408" s="3">
        <v>2</v>
      </c>
      <c r="F2408" s="2">
        <v>3</v>
      </c>
      <c r="G2408" s="4">
        <v>3</v>
      </c>
      <c r="H2408" s="13"/>
      <c r="I2408" s="15"/>
      <c r="J2408" s="19">
        <v>3</v>
      </c>
      <c r="K2408" s="2" t="s">
        <v>4828</v>
      </c>
      <c r="L2408" s="11" t="str">
        <f t="shared" si="38"/>
        <v>Ver Imagen</v>
      </c>
      <c r="M2408" t="s">
        <v>15</v>
      </c>
    </row>
    <row r="2409" spans="1:13" x14ac:dyDescent="0.25">
      <c r="A2409">
        <v>2408</v>
      </c>
      <c r="B2409" t="s">
        <v>4829</v>
      </c>
      <c r="C2409" s="1">
        <v>37.274293768100002</v>
      </c>
      <c r="D2409" s="1">
        <v>-7.1423518537300001</v>
      </c>
      <c r="E2409" s="3">
        <v>3</v>
      </c>
      <c r="F2409" s="2">
        <v>3</v>
      </c>
      <c r="G2409" s="4">
        <v>2</v>
      </c>
      <c r="H2409" s="13"/>
      <c r="I2409" s="15"/>
      <c r="J2409" s="19">
        <v>3</v>
      </c>
      <c r="K2409" s="2" t="s">
        <v>4830</v>
      </c>
      <c r="L2409" s="11" t="str">
        <f t="shared" ref="L2409:L2472" si="39">HYPERLINK("3\1\" &amp; K2409, "Ver Imagen")</f>
        <v>Ver Imagen</v>
      </c>
      <c r="M2409" t="s">
        <v>15</v>
      </c>
    </row>
    <row r="2410" spans="1:13" x14ac:dyDescent="0.25">
      <c r="A2410">
        <v>2409</v>
      </c>
      <c r="B2410" t="s">
        <v>4831</v>
      </c>
      <c r="C2410" s="1">
        <v>37.2657364915</v>
      </c>
      <c r="D2410" s="1">
        <v>-7.13268324511</v>
      </c>
      <c r="E2410" s="3">
        <v>2</v>
      </c>
      <c r="F2410" s="2">
        <v>3</v>
      </c>
      <c r="G2410" s="4">
        <v>3</v>
      </c>
      <c r="H2410" s="13"/>
      <c r="I2410" s="15"/>
      <c r="J2410" s="19">
        <v>3</v>
      </c>
      <c r="K2410" s="2" t="s">
        <v>4832</v>
      </c>
      <c r="L2410" s="11" t="str">
        <f t="shared" si="39"/>
        <v>Ver Imagen</v>
      </c>
      <c r="M2410" t="s">
        <v>15</v>
      </c>
    </row>
    <row r="2411" spans="1:13" x14ac:dyDescent="0.25">
      <c r="A2411">
        <v>2410</v>
      </c>
      <c r="B2411" t="s">
        <v>4833</v>
      </c>
      <c r="C2411" s="1">
        <v>37.2637864768</v>
      </c>
      <c r="D2411" s="1">
        <v>-7.1314640768400004</v>
      </c>
      <c r="E2411" s="3">
        <v>2</v>
      </c>
      <c r="F2411" s="2">
        <v>3</v>
      </c>
      <c r="G2411" s="4">
        <v>3</v>
      </c>
      <c r="H2411" s="13"/>
      <c r="I2411" s="15"/>
      <c r="J2411" s="19">
        <v>3</v>
      </c>
      <c r="K2411" s="2" t="s">
        <v>4834</v>
      </c>
      <c r="L2411" s="11" t="str">
        <f t="shared" si="39"/>
        <v>Ver Imagen</v>
      </c>
      <c r="M2411" t="s">
        <v>15</v>
      </c>
    </row>
    <row r="2412" spans="1:13" x14ac:dyDescent="0.25">
      <c r="A2412">
        <v>2411</v>
      </c>
      <c r="B2412" t="s">
        <v>4835</v>
      </c>
      <c r="C2412" s="1">
        <v>37.263394061100001</v>
      </c>
      <c r="D2412" s="1">
        <v>-7.1312114904500001</v>
      </c>
      <c r="E2412" s="3">
        <v>3</v>
      </c>
      <c r="F2412" s="2">
        <v>3</v>
      </c>
      <c r="G2412" s="4">
        <v>2</v>
      </c>
      <c r="H2412" s="13"/>
      <c r="I2412" s="15"/>
      <c r="J2412" s="19">
        <v>3</v>
      </c>
      <c r="K2412" s="2" t="s">
        <v>4836</v>
      </c>
      <c r="L2412" s="11" t="str">
        <f t="shared" si="39"/>
        <v>Ver Imagen</v>
      </c>
      <c r="M2412" t="s">
        <v>15</v>
      </c>
    </row>
    <row r="2413" spans="1:13" x14ac:dyDescent="0.25">
      <c r="A2413">
        <v>2412</v>
      </c>
      <c r="B2413" t="s">
        <v>4837</v>
      </c>
      <c r="C2413" s="1">
        <v>37.259618879199998</v>
      </c>
      <c r="D2413" s="1">
        <v>-7.1288490309899997</v>
      </c>
      <c r="E2413" s="3">
        <v>2</v>
      </c>
      <c r="F2413" s="2">
        <v>3</v>
      </c>
      <c r="G2413" s="4">
        <v>3</v>
      </c>
      <c r="H2413" s="13"/>
      <c r="I2413" s="15"/>
      <c r="J2413" s="19">
        <v>3</v>
      </c>
      <c r="K2413" s="2" t="s">
        <v>4838</v>
      </c>
      <c r="L2413" s="11" t="str">
        <f t="shared" si="39"/>
        <v>Ver Imagen</v>
      </c>
      <c r="M2413" t="s">
        <v>15</v>
      </c>
    </row>
    <row r="2414" spans="1:13" x14ac:dyDescent="0.25">
      <c r="A2414">
        <v>2413</v>
      </c>
      <c r="B2414" t="s">
        <v>4839</v>
      </c>
      <c r="C2414" s="1">
        <v>37.249104656699998</v>
      </c>
      <c r="D2414" s="1">
        <v>-7.1274165304399997</v>
      </c>
      <c r="E2414" s="3">
        <v>2</v>
      </c>
      <c r="F2414" s="2">
        <v>3</v>
      </c>
      <c r="G2414" s="4">
        <v>3</v>
      </c>
      <c r="H2414" s="13"/>
      <c r="I2414" s="15"/>
      <c r="J2414" s="19">
        <v>3</v>
      </c>
      <c r="K2414" s="2" t="s">
        <v>4840</v>
      </c>
      <c r="L2414" s="11" t="str">
        <f t="shared" si="39"/>
        <v>Ver Imagen</v>
      </c>
      <c r="M2414" t="s">
        <v>15</v>
      </c>
    </row>
    <row r="2415" spans="1:13" x14ac:dyDescent="0.25">
      <c r="A2415">
        <v>2414</v>
      </c>
      <c r="B2415" t="s">
        <v>4841</v>
      </c>
      <c r="C2415" s="1">
        <v>37.247297403499999</v>
      </c>
      <c r="D2415" s="1">
        <v>-7.1276832144500002</v>
      </c>
      <c r="E2415" s="3">
        <v>2</v>
      </c>
      <c r="F2415" s="2">
        <v>3</v>
      </c>
      <c r="G2415" s="4">
        <v>3</v>
      </c>
      <c r="H2415" s="13"/>
      <c r="I2415" s="15"/>
      <c r="J2415" s="19">
        <v>3</v>
      </c>
      <c r="K2415" s="2" t="s">
        <v>4842</v>
      </c>
      <c r="L2415" s="11" t="str">
        <f t="shared" si="39"/>
        <v>Ver Imagen</v>
      </c>
      <c r="M2415" t="s">
        <v>15</v>
      </c>
    </row>
    <row r="2416" spans="1:13" x14ac:dyDescent="0.25">
      <c r="A2416">
        <v>2415</v>
      </c>
      <c r="B2416" t="s">
        <v>4843</v>
      </c>
      <c r="C2416" s="1">
        <v>37.238649444300002</v>
      </c>
      <c r="D2416" s="1">
        <v>-7.1284388117199997</v>
      </c>
      <c r="E2416" s="3">
        <v>2</v>
      </c>
      <c r="F2416" s="2">
        <v>3</v>
      </c>
      <c r="G2416" s="4">
        <v>3</v>
      </c>
      <c r="H2416" s="13"/>
      <c r="I2416" s="15"/>
      <c r="J2416" s="19">
        <v>3</v>
      </c>
      <c r="K2416" s="2" t="s">
        <v>4844</v>
      </c>
      <c r="L2416" s="11" t="str">
        <f t="shared" si="39"/>
        <v>Ver Imagen</v>
      </c>
      <c r="M2416" t="s">
        <v>15</v>
      </c>
    </row>
    <row r="2417" spans="1:13" x14ac:dyDescent="0.25">
      <c r="A2417">
        <v>2416</v>
      </c>
      <c r="B2417" t="s">
        <v>4845</v>
      </c>
      <c r="C2417" s="1">
        <v>37.237633762100003</v>
      </c>
      <c r="D2417" s="1">
        <v>-7.1283394487000002</v>
      </c>
      <c r="E2417" s="3">
        <v>2</v>
      </c>
      <c r="F2417" s="2">
        <v>3</v>
      </c>
      <c r="G2417" s="4">
        <v>3</v>
      </c>
      <c r="H2417" s="13"/>
      <c r="I2417" s="15"/>
      <c r="J2417" s="19">
        <v>3</v>
      </c>
      <c r="K2417" s="2" t="s">
        <v>4846</v>
      </c>
      <c r="L2417" s="11" t="str">
        <f t="shared" si="39"/>
        <v>Ver Imagen</v>
      </c>
      <c r="M2417" t="s">
        <v>15</v>
      </c>
    </row>
    <row r="2418" spans="1:13" x14ac:dyDescent="0.25">
      <c r="A2418">
        <v>2417</v>
      </c>
      <c r="B2418" t="s">
        <v>4847</v>
      </c>
      <c r="C2418" s="1">
        <v>37.226265450500001</v>
      </c>
      <c r="D2418" s="1">
        <v>-7.1261603185700002</v>
      </c>
      <c r="E2418" s="3">
        <v>2</v>
      </c>
      <c r="F2418" s="2">
        <v>3</v>
      </c>
      <c r="G2418" s="4">
        <v>3</v>
      </c>
      <c r="H2418" s="13"/>
      <c r="I2418" s="15"/>
      <c r="J2418" s="19">
        <v>3</v>
      </c>
      <c r="K2418" s="2" t="s">
        <v>4848</v>
      </c>
      <c r="L2418" s="11" t="str">
        <f t="shared" si="39"/>
        <v>Ver Imagen</v>
      </c>
      <c r="M2418" t="s">
        <v>15</v>
      </c>
    </row>
    <row r="2419" spans="1:13" x14ac:dyDescent="0.25">
      <c r="A2419">
        <v>2418</v>
      </c>
      <c r="B2419" t="s">
        <v>4849</v>
      </c>
      <c r="C2419" s="1">
        <v>37.225913233500002</v>
      </c>
      <c r="D2419" s="1">
        <v>-7.1260543632599997</v>
      </c>
      <c r="E2419" s="3">
        <v>2</v>
      </c>
      <c r="F2419" s="2">
        <v>3</v>
      </c>
      <c r="G2419" s="4">
        <v>3</v>
      </c>
      <c r="H2419" s="13"/>
      <c r="I2419" s="15"/>
      <c r="J2419" s="19">
        <v>3</v>
      </c>
      <c r="K2419" s="2" t="s">
        <v>4850</v>
      </c>
      <c r="L2419" s="11" t="str">
        <f t="shared" si="39"/>
        <v>Ver Imagen</v>
      </c>
      <c r="M2419" t="s">
        <v>15</v>
      </c>
    </row>
    <row r="2420" spans="1:13" x14ac:dyDescent="0.25">
      <c r="A2420">
        <v>2419</v>
      </c>
      <c r="B2420" t="s">
        <v>4851</v>
      </c>
      <c r="C2420" s="1">
        <v>37.225705098600002</v>
      </c>
      <c r="D2420" s="1">
        <v>-7.1259929204699999</v>
      </c>
      <c r="E2420" s="3">
        <v>3</v>
      </c>
      <c r="F2420" s="2">
        <v>3</v>
      </c>
      <c r="G2420" s="4">
        <v>2</v>
      </c>
      <c r="H2420" s="13"/>
      <c r="I2420" s="15"/>
      <c r="J2420" s="19">
        <v>3</v>
      </c>
      <c r="K2420" s="2" t="s">
        <v>4852</v>
      </c>
      <c r="L2420" s="11" t="str">
        <f t="shared" si="39"/>
        <v>Ver Imagen</v>
      </c>
      <c r="M2420" t="s">
        <v>15</v>
      </c>
    </row>
    <row r="2421" spans="1:13" x14ac:dyDescent="0.25">
      <c r="A2421">
        <v>2420</v>
      </c>
      <c r="B2421" t="s">
        <v>4853</v>
      </c>
      <c r="C2421" s="1">
        <v>37.224377804699998</v>
      </c>
      <c r="D2421" s="1">
        <v>-7.1254629409100003</v>
      </c>
      <c r="E2421" s="3">
        <v>3</v>
      </c>
      <c r="F2421" s="2">
        <v>3</v>
      </c>
      <c r="G2421" s="4">
        <v>2</v>
      </c>
      <c r="H2421" s="13"/>
      <c r="I2421" s="15"/>
      <c r="J2421" s="19">
        <v>3</v>
      </c>
      <c r="K2421" s="2" t="s">
        <v>4854</v>
      </c>
      <c r="L2421" s="11" t="str">
        <f t="shared" si="39"/>
        <v>Ver Imagen</v>
      </c>
      <c r="M2421" t="s">
        <v>15</v>
      </c>
    </row>
    <row r="2422" spans="1:13" x14ac:dyDescent="0.25">
      <c r="A2422">
        <v>2421</v>
      </c>
      <c r="B2422" t="s">
        <v>4855</v>
      </c>
      <c r="C2422" s="1">
        <v>37.442884683400003</v>
      </c>
      <c r="D2422" s="1">
        <v>-7.0941544904900002</v>
      </c>
      <c r="E2422" s="3">
        <v>3</v>
      </c>
      <c r="F2422" s="2">
        <v>3</v>
      </c>
      <c r="G2422" s="4">
        <v>2</v>
      </c>
      <c r="H2422" s="13"/>
      <c r="I2422" s="15"/>
      <c r="J2422" s="19">
        <v>3</v>
      </c>
      <c r="K2422" s="2" t="s">
        <v>4856</v>
      </c>
      <c r="L2422" s="11" t="str">
        <f t="shared" si="39"/>
        <v>Ver Imagen</v>
      </c>
      <c r="M2422" t="s">
        <v>15</v>
      </c>
    </row>
    <row r="2423" spans="1:13" x14ac:dyDescent="0.25">
      <c r="A2423">
        <v>2422</v>
      </c>
      <c r="B2423" t="s">
        <v>4857</v>
      </c>
      <c r="C2423" s="1">
        <v>37.440657278899998</v>
      </c>
      <c r="D2423" s="1">
        <v>-7.0890205377699997</v>
      </c>
      <c r="E2423" s="3">
        <v>3</v>
      </c>
      <c r="F2423" s="2">
        <v>3</v>
      </c>
      <c r="G2423" s="4">
        <v>2</v>
      </c>
      <c r="H2423" s="13"/>
      <c r="I2423" s="15"/>
      <c r="J2423" s="19">
        <v>3</v>
      </c>
      <c r="K2423" s="2" t="s">
        <v>4858</v>
      </c>
      <c r="L2423" s="11" t="str">
        <f t="shared" si="39"/>
        <v>Ver Imagen</v>
      </c>
      <c r="M2423" t="s">
        <v>15</v>
      </c>
    </row>
    <row r="2424" spans="1:13" x14ac:dyDescent="0.25">
      <c r="A2424">
        <v>2423</v>
      </c>
      <c r="B2424" t="s">
        <v>4859</v>
      </c>
      <c r="C2424" s="1">
        <v>37.440351504200002</v>
      </c>
      <c r="D2424" s="1">
        <v>-7.0883799331599997</v>
      </c>
      <c r="E2424" s="3">
        <v>3</v>
      </c>
      <c r="F2424" s="2">
        <v>3</v>
      </c>
      <c r="G2424" s="4">
        <v>2</v>
      </c>
      <c r="H2424" s="13"/>
      <c r="I2424" s="15"/>
      <c r="J2424" s="19">
        <v>3</v>
      </c>
      <c r="K2424" s="2" t="s">
        <v>4860</v>
      </c>
      <c r="L2424" s="11" t="str">
        <f t="shared" si="39"/>
        <v>Ver Imagen</v>
      </c>
      <c r="M2424" t="s">
        <v>15</v>
      </c>
    </row>
    <row r="2425" spans="1:13" x14ac:dyDescent="0.25">
      <c r="A2425">
        <v>2424</v>
      </c>
      <c r="B2425" t="s">
        <v>4861</v>
      </c>
      <c r="C2425" s="1">
        <v>37.439198896400001</v>
      </c>
      <c r="D2425" s="1">
        <v>-7.0859565040800003</v>
      </c>
      <c r="E2425" s="3">
        <v>3</v>
      </c>
      <c r="F2425" s="2">
        <v>3</v>
      </c>
      <c r="G2425" s="4">
        <v>2</v>
      </c>
      <c r="H2425" s="13"/>
      <c r="I2425" s="15"/>
      <c r="J2425" s="19">
        <v>3</v>
      </c>
      <c r="K2425" s="2" t="s">
        <v>4862</v>
      </c>
      <c r="L2425" s="11" t="str">
        <f t="shared" si="39"/>
        <v>Ver Imagen</v>
      </c>
      <c r="M2425" t="s">
        <v>15</v>
      </c>
    </row>
    <row r="2426" spans="1:13" x14ac:dyDescent="0.25">
      <c r="A2426">
        <v>2425</v>
      </c>
      <c r="B2426" t="s">
        <v>4863</v>
      </c>
      <c r="C2426" s="1">
        <v>37.437614224699999</v>
      </c>
      <c r="D2426" s="1">
        <v>-7.0816027455199997</v>
      </c>
      <c r="E2426" s="3">
        <v>2</v>
      </c>
      <c r="F2426" s="2">
        <v>3</v>
      </c>
      <c r="G2426" s="4">
        <v>3</v>
      </c>
      <c r="H2426" s="13"/>
      <c r="I2426" s="15"/>
      <c r="J2426" s="19">
        <v>3</v>
      </c>
      <c r="K2426" s="2" t="s">
        <v>4864</v>
      </c>
      <c r="L2426" s="11" t="str">
        <f t="shared" si="39"/>
        <v>Ver Imagen</v>
      </c>
      <c r="M2426" t="s">
        <v>15</v>
      </c>
    </row>
    <row r="2427" spans="1:13" x14ac:dyDescent="0.25">
      <c r="A2427">
        <v>2426</v>
      </c>
      <c r="B2427" t="s">
        <v>4865</v>
      </c>
      <c r="C2427" s="1">
        <v>37.436689250000001</v>
      </c>
      <c r="D2427" s="1">
        <v>-7.0789667123399997</v>
      </c>
      <c r="E2427" s="3">
        <v>3</v>
      </c>
      <c r="F2427" s="2">
        <v>3</v>
      </c>
      <c r="G2427" s="4">
        <v>2</v>
      </c>
      <c r="H2427" s="13"/>
      <c r="I2427" s="15"/>
      <c r="J2427" s="19">
        <v>3</v>
      </c>
      <c r="K2427" s="2" t="s">
        <v>4866</v>
      </c>
      <c r="L2427" s="11" t="str">
        <f t="shared" si="39"/>
        <v>Ver Imagen</v>
      </c>
      <c r="M2427" t="s">
        <v>15</v>
      </c>
    </row>
    <row r="2428" spans="1:13" x14ac:dyDescent="0.25">
      <c r="A2428">
        <v>2427</v>
      </c>
      <c r="B2428" t="s">
        <v>4867</v>
      </c>
      <c r="C2428" s="1">
        <v>37.436521036499997</v>
      </c>
      <c r="D2428" s="1">
        <v>-7.0784810127200002</v>
      </c>
      <c r="E2428" s="3">
        <v>3</v>
      </c>
      <c r="F2428" s="2">
        <v>3</v>
      </c>
      <c r="G2428" s="4">
        <v>2</v>
      </c>
      <c r="H2428" s="13"/>
      <c r="I2428" s="15"/>
      <c r="J2428" s="19">
        <v>3</v>
      </c>
      <c r="K2428" s="2" t="s">
        <v>4868</v>
      </c>
      <c r="L2428" s="11" t="str">
        <f t="shared" si="39"/>
        <v>Ver Imagen</v>
      </c>
      <c r="M2428" t="s">
        <v>15</v>
      </c>
    </row>
    <row r="2429" spans="1:13" x14ac:dyDescent="0.25">
      <c r="A2429">
        <v>2428</v>
      </c>
      <c r="B2429" t="s">
        <v>4869</v>
      </c>
      <c r="C2429" s="1">
        <v>37.436123762599998</v>
      </c>
      <c r="D2429" s="1">
        <v>-7.0773463024999996</v>
      </c>
      <c r="E2429" s="3">
        <v>3</v>
      </c>
      <c r="F2429" s="2">
        <v>3</v>
      </c>
      <c r="G2429" s="4">
        <v>2</v>
      </c>
      <c r="H2429" s="13"/>
      <c r="I2429" s="15"/>
      <c r="J2429" s="19">
        <v>3</v>
      </c>
      <c r="K2429" s="2" t="s">
        <v>4870</v>
      </c>
      <c r="L2429" s="11" t="str">
        <f t="shared" si="39"/>
        <v>Ver Imagen</v>
      </c>
      <c r="M2429" t="s">
        <v>15</v>
      </c>
    </row>
    <row r="2430" spans="1:13" x14ac:dyDescent="0.25">
      <c r="A2430">
        <v>2429</v>
      </c>
      <c r="B2430" t="s">
        <v>4871</v>
      </c>
      <c r="C2430" s="1">
        <v>37.222645232399998</v>
      </c>
      <c r="D2430" s="1">
        <v>-7.0556412034499996</v>
      </c>
      <c r="E2430" s="3">
        <v>3</v>
      </c>
      <c r="F2430" s="2">
        <v>3</v>
      </c>
      <c r="G2430" s="4">
        <v>2</v>
      </c>
      <c r="H2430" s="13"/>
      <c r="I2430" s="15"/>
      <c r="J2430" s="19">
        <v>3</v>
      </c>
      <c r="K2430" s="2" t="s">
        <v>4872</v>
      </c>
      <c r="L2430" s="11" t="str">
        <f t="shared" si="39"/>
        <v>Ver Imagen</v>
      </c>
      <c r="M2430" t="s">
        <v>15</v>
      </c>
    </row>
    <row r="2431" spans="1:13" x14ac:dyDescent="0.25">
      <c r="A2431">
        <v>2430</v>
      </c>
      <c r="B2431" t="s">
        <v>4873</v>
      </c>
      <c r="C2431" s="1">
        <v>37.225019612899999</v>
      </c>
      <c r="D2431" s="1">
        <v>-7.0577393544199998</v>
      </c>
      <c r="E2431" s="3">
        <v>3</v>
      </c>
      <c r="F2431" s="2">
        <v>3</v>
      </c>
      <c r="G2431" s="4">
        <v>2</v>
      </c>
      <c r="H2431" s="13"/>
      <c r="I2431" s="15"/>
      <c r="J2431" s="19">
        <v>3</v>
      </c>
      <c r="K2431" s="2" t="s">
        <v>4874</v>
      </c>
      <c r="L2431" s="11" t="str">
        <f t="shared" si="39"/>
        <v>Ver Imagen</v>
      </c>
      <c r="M2431" t="s">
        <v>15</v>
      </c>
    </row>
    <row r="2432" spans="1:13" x14ac:dyDescent="0.25">
      <c r="A2432">
        <v>2431</v>
      </c>
      <c r="B2432" t="s">
        <v>4875</v>
      </c>
      <c r="C2432" s="1">
        <v>37.225159651299997</v>
      </c>
      <c r="D2432" s="1">
        <v>-7.0579757777800003</v>
      </c>
      <c r="E2432" s="3">
        <v>3</v>
      </c>
      <c r="F2432" s="2">
        <v>3</v>
      </c>
      <c r="G2432" s="4">
        <v>2</v>
      </c>
      <c r="H2432" s="13"/>
      <c r="I2432" s="15"/>
      <c r="J2432" s="19">
        <v>3</v>
      </c>
      <c r="K2432" s="2" t="s">
        <v>4876</v>
      </c>
      <c r="L2432" s="11" t="str">
        <f t="shared" si="39"/>
        <v>Ver Imagen</v>
      </c>
      <c r="M2432" t="s">
        <v>15</v>
      </c>
    </row>
    <row r="2433" spans="1:13" x14ac:dyDescent="0.25">
      <c r="A2433">
        <v>2432</v>
      </c>
      <c r="B2433" t="s">
        <v>4877</v>
      </c>
      <c r="C2433" s="1">
        <v>37.435089818599998</v>
      </c>
      <c r="D2433" s="1">
        <v>-7.0702987203000003</v>
      </c>
      <c r="E2433" s="3">
        <v>3</v>
      </c>
      <c r="F2433" s="2">
        <v>3</v>
      </c>
      <c r="G2433" s="4">
        <v>2</v>
      </c>
      <c r="H2433" s="13"/>
      <c r="I2433" s="15"/>
      <c r="J2433" s="19">
        <v>3</v>
      </c>
      <c r="K2433" s="2" t="s">
        <v>4878</v>
      </c>
      <c r="L2433" s="11" t="str">
        <f t="shared" si="39"/>
        <v>Ver Imagen</v>
      </c>
      <c r="M2433" t="s">
        <v>15</v>
      </c>
    </row>
    <row r="2434" spans="1:13" x14ac:dyDescent="0.25">
      <c r="A2434">
        <v>2433</v>
      </c>
      <c r="B2434" t="s">
        <v>4879</v>
      </c>
      <c r="C2434" s="1">
        <v>37.434737203799997</v>
      </c>
      <c r="D2434" s="1">
        <v>-7.0689719651500003</v>
      </c>
      <c r="E2434" s="3">
        <v>3</v>
      </c>
      <c r="F2434" s="2">
        <v>3</v>
      </c>
      <c r="G2434" s="4">
        <v>2</v>
      </c>
      <c r="H2434" s="13"/>
      <c r="I2434" s="15"/>
      <c r="J2434" s="19">
        <v>3</v>
      </c>
      <c r="K2434" s="2" t="s">
        <v>4880</v>
      </c>
      <c r="L2434" s="11" t="str">
        <f t="shared" si="39"/>
        <v>Ver Imagen</v>
      </c>
      <c r="M2434" t="s">
        <v>15</v>
      </c>
    </row>
    <row r="2435" spans="1:13" x14ac:dyDescent="0.25">
      <c r="A2435">
        <v>2434</v>
      </c>
      <c r="B2435" t="s">
        <v>4881</v>
      </c>
      <c r="C2435" s="1">
        <v>37.434414546200003</v>
      </c>
      <c r="D2435" s="1">
        <v>-7.0681295065800001</v>
      </c>
      <c r="E2435" s="3">
        <v>2</v>
      </c>
      <c r="F2435" s="2">
        <v>3</v>
      </c>
      <c r="G2435" s="4">
        <v>3</v>
      </c>
      <c r="H2435" s="13"/>
      <c r="I2435" s="15"/>
      <c r="J2435" s="19">
        <v>3</v>
      </c>
      <c r="K2435" s="2" t="s">
        <v>4882</v>
      </c>
      <c r="L2435" s="11" t="str">
        <f t="shared" si="39"/>
        <v>Ver Imagen</v>
      </c>
      <c r="M2435" t="s">
        <v>15</v>
      </c>
    </row>
    <row r="2436" spans="1:13" x14ac:dyDescent="0.25">
      <c r="A2436">
        <v>2435</v>
      </c>
      <c r="B2436" t="s">
        <v>4883</v>
      </c>
      <c r="C2436" s="1">
        <v>37.434299918299999</v>
      </c>
      <c r="D2436" s="1">
        <v>-7.0678640703099997</v>
      </c>
      <c r="E2436" s="3">
        <v>2</v>
      </c>
      <c r="F2436" s="2">
        <v>3</v>
      </c>
      <c r="G2436" s="4">
        <v>3</v>
      </c>
      <c r="H2436" s="13"/>
      <c r="I2436" s="15"/>
      <c r="J2436" s="19">
        <v>3</v>
      </c>
      <c r="K2436" s="2" t="s">
        <v>4884</v>
      </c>
      <c r="L2436" s="11" t="str">
        <f t="shared" si="39"/>
        <v>Ver Imagen</v>
      </c>
      <c r="M2436" t="s">
        <v>15</v>
      </c>
    </row>
    <row r="2437" spans="1:13" x14ac:dyDescent="0.25">
      <c r="A2437">
        <v>2436</v>
      </c>
      <c r="B2437" t="s">
        <v>4885</v>
      </c>
      <c r="C2437" s="1">
        <v>37.434226156100003</v>
      </c>
      <c r="D2437" s="1">
        <v>-7.0676985030899999</v>
      </c>
      <c r="E2437" s="3">
        <v>2</v>
      </c>
      <c r="F2437" s="2">
        <v>3</v>
      </c>
      <c r="G2437" s="4">
        <v>3</v>
      </c>
      <c r="H2437" s="13"/>
      <c r="I2437" s="15"/>
      <c r="J2437" s="19">
        <v>3</v>
      </c>
      <c r="K2437" s="2" t="s">
        <v>4886</v>
      </c>
      <c r="L2437" s="11" t="str">
        <f t="shared" si="39"/>
        <v>Ver Imagen</v>
      </c>
      <c r="M2437" t="s">
        <v>15</v>
      </c>
    </row>
    <row r="2438" spans="1:13" x14ac:dyDescent="0.25">
      <c r="A2438">
        <v>2437</v>
      </c>
      <c r="B2438" t="s">
        <v>4887</v>
      </c>
      <c r="C2438" s="1">
        <v>37.434124646599997</v>
      </c>
      <c r="D2438" s="1">
        <v>-7.06747448557</v>
      </c>
      <c r="E2438" s="3">
        <v>2</v>
      </c>
      <c r="F2438" s="2">
        <v>3</v>
      </c>
      <c r="G2438" s="4">
        <v>3</v>
      </c>
      <c r="H2438" s="13"/>
      <c r="I2438" s="15"/>
      <c r="J2438" s="19">
        <v>3</v>
      </c>
      <c r="K2438" s="2" t="s">
        <v>4888</v>
      </c>
      <c r="L2438" s="11" t="str">
        <f t="shared" si="39"/>
        <v>Ver Imagen</v>
      </c>
      <c r="M2438" t="s">
        <v>15</v>
      </c>
    </row>
    <row r="2439" spans="1:13" x14ac:dyDescent="0.25">
      <c r="A2439">
        <v>2438</v>
      </c>
      <c r="B2439" t="s">
        <v>4889</v>
      </c>
      <c r="C2439" s="1">
        <v>37.433591469900001</v>
      </c>
      <c r="D2439" s="1">
        <v>-7.0663119868999997</v>
      </c>
      <c r="E2439" s="3">
        <v>3</v>
      </c>
      <c r="F2439" s="2">
        <v>3</v>
      </c>
      <c r="G2439" s="4">
        <v>2</v>
      </c>
      <c r="H2439" s="13"/>
      <c r="I2439" s="15"/>
      <c r="J2439" s="19">
        <v>3</v>
      </c>
      <c r="K2439" s="2" t="s">
        <v>4890</v>
      </c>
      <c r="L2439" s="11" t="str">
        <f t="shared" si="39"/>
        <v>Ver Imagen</v>
      </c>
      <c r="M2439" t="s">
        <v>15</v>
      </c>
    </row>
    <row r="2440" spans="1:13" x14ac:dyDescent="0.25">
      <c r="A2440">
        <v>2439</v>
      </c>
      <c r="B2440" t="s">
        <v>4891</v>
      </c>
      <c r="C2440" s="1">
        <v>37.4335063025</v>
      </c>
      <c r="D2440" s="1">
        <v>-7.0661244727500003</v>
      </c>
      <c r="E2440" s="3">
        <v>3</v>
      </c>
      <c r="F2440" s="2">
        <v>3</v>
      </c>
      <c r="G2440" s="4">
        <v>2</v>
      </c>
      <c r="H2440" s="13"/>
      <c r="I2440" s="15"/>
      <c r="J2440" s="19">
        <v>3</v>
      </c>
      <c r="K2440" s="2" t="s">
        <v>4892</v>
      </c>
      <c r="L2440" s="11" t="str">
        <f t="shared" si="39"/>
        <v>Ver Imagen</v>
      </c>
      <c r="M2440" t="s">
        <v>15</v>
      </c>
    </row>
    <row r="2441" spans="1:13" x14ac:dyDescent="0.25">
      <c r="A2441">
        <v>2440</v>
      </c>
      <c r="B2441" t="s">
        <v>4893</v>
      </c>
      <c r="C2441" s="1">
        <v>37.4334219546</v>
      </c>
      <c r="D2441" s="1">
        <v>-7.0659393671600004</v>
      </c>
      <c r="E2441" s="3">
        <v>3</v>
      </c>
      <c r="F2441" s="2">
        <v>3</v>
      </c>
      <c r="G2441" s="4">
        <v>2</v>
      </c>
      <c r="H2441" s="13"/>
      <c r="I2441" s="15"/>
      <c r="J2441" s="19">
        <v>3</v>
      </c>
      <c r="K2441" s="2" t="s">
        <v>4894</v>
      </c>
      <c r="L2441" s="11" t="str">
        <f t="shared" si="39"/>
        <v>Ver Imagen</v>
      </c>
      <c r="M2441" t="s">
        <v>15</v>
      </c>
    </row>
    <row r="2442" spans="1:13" x14ac:dyDescent="0.25">
      <c r="A2442">
        <v>2441</v>
      </c>
      <c r="B2442" t="s">
        <v>4895</v>
      </c>
      <c r="C2442" s="1">
        <v>37.232127153</v>
      </c>
      <c r="D2442" s="1">
        <v>-7.0642571174000004</v>
      </c>
      <c r="E2442" s="3">
        <v>3</v>
      </c>
      <c r="F2442" s="2">
        <v>3</v>
      </c>
      <c r="G2442" s="4">
        <v>2</v>
      </c>
      <c r="H2442" s="13"/>
      <c r="I2442" s="15"/>
      <c r="J2442" s="19">
        <v>3</v>
      </c>
      <c r="K2442" s="2" t="s">
        <v>4896</v>
      </c>
      <c r="L2442" s="11" t="str">
        <f t="shared" si="39"/>
        <v>Ver Imagen</v>
      </c>
      <c r="M2442" t="s">
        <v>15</v>
      </c>
    </row>
    <row r="2443" spans="1:13" x14ac:dyDescent="0.25">
      <c r="A2443">
        <v>2442</v>
      </c>
      <c r="B2443" t="s">
        <v>4897</v>
      </c>
      <c r="C2443" s="1">
        <v>37.232286036600001</v>
      </c>
      <c r="D2443" s="1">
        <v>-7.0644491452700002</v>
      </c>
      <c r="E2443" s="3">
        <v>3</v>
      </c>
      <c r="F2443" s="2">
        <v>3</v>
      </c>
      <c r="G2443" s="4">
        <v>2</v>
      </c>
      <c r="H2443" s="13"/>
      <c r="I2443" s="15"/>
      <c r="J2443" s="19">
        <v>3</v>
      </c>
      <c r="K2443" s="2" t="s">
        <v>4898</v>
      </c>
      <c r="L2443" s="11" t="str">
        <f t="shared" si="39"/>
        <v>Ver Imagen</v>
      </c>
      <c r="M2443" t="s">
        <v>15</v>
      </c>
    </row>
    <row r="2444" spans="1:13" x14ac:dyDescent="0.25">
      <c r="A2444">
        <v>2443</v>
      </c>
      <c r="B2444" t="s">
        <v>4899</v>
      </c>
      <c r="C2444" s="1">
        <v>37.433015175000001</v>
      </c>
      <c r="D2444" s="1">
        <v>-7.0650547427700001</v>
      </c>
      <c r="E2444" s="3">
        <v>3</v>
      </c>
      <c r="F2444" s="2">
        <v>3</v>
      </c>
      <c r="G2444" s="4">
        <v>2</v>
      </c>
      <c r="H2444" s="13"/>
      <c r="I2444" s="15"/>
      <c r="J2444" s="19">
        <v>3</v>
      </c>
      <c r="K2444" s="2" t="s">
        <v>4900</v>
      </c>
      <c r="L2444" s="11" t="str">
        <f t="shared" si="39"/>
        <v>Ver Imagen</v>
      </c>
      <c r="M2444" t="s">
        <v>15</v>
      </c>
    </row>
    <row r="2445" spans="1:13" x14ac:dyDescent="0.25">
      <c r="A2445">
        <v>2444</v>
      </c>
      <c r="B2445" t="s">
        <v>4901</v>
      </c>
      <c r="C2445" s="1">
        <v>37.225237720099997</v>
      </c>
      <c r="D2445" s="1">
        <v>-7.0275018708900001</v>
      </c>
      <c r="E2445" s="3">
        <v>3</v>
      </c>
      <c r="F2445" s="2">
        <v>3</v>
      </c>
      <c r="G2445" s="4">
        <v>2</v>
      </c>
      <c r="H2445" s="13"/>
      <c r="I2445" s="15"/>
      <c r="J2445" s="19">
        <v>3</v>
      </c>
      <c r="K2445" s="2" t="s">
        <v>4902</v>
      </c>
      <c r="L2445" s="11" t="str">
        <f t="shared" si="39"/>
        <v>Ver Imagen</v>
      </c>
      <c r="M2445" t="s">
        <v>15</v>
      </c>
    </row>
    <row r="2446" spans="1:13" x14ac:dyDescent="0.25">
      <c r="A2446">
        <v>2445</v>
      </c>
      <c r="B2446" t="s">
        <v>4903</v>
      </c>
      <c r="C2446" s="1">
        <v>37.432607992000001</v>
      </c>
      <c r="D2446" s="1">
        <v>-7.0641716381600004</v>
      </c>
      <c r="E2446" s="3">
        <v>2</v>
      </c>
      <c r="F2446" s="2">
        <v>3</v>
      </c>
      <c r="G2446" s="4">
        <v>3</v>
      </c>
      <c r="H2446" s="13"/>
      <c r="I2446" s="15"/>
      <c r="J2446" s="19">
        <v>3</v>
      </c>
      <c r="K2446" s="2" t="s">
        <v>4904</v>
      </c>
      <c r="L2446" s="11" t="str">
        <f t="shared" si="39"/>
        <v>Ver Imagen</v>
      </c>
      <c r="M2446" t="s">
        <v>15</v>
      </c>
    </row>
    <row r="2447" spans="1:13" x14ac:dyDescent="0.25">
      <c r="A2447">
        <v>2446</v>
      </c>
      <c r="B2447" t="s">
        <v>4905</v>
      </c>
      <c r="C2447" s="1">
        <v>37.225347874800001</v>
      </c>
      <c r="D2447" s="1">
        <v>-7.0297660295300002</v>
      </c>
      <c r="E2447" s="3">
        <v>3</v>
      </c>
      <c r="F2447" s="2">
        <v>3</v>
      </c>
      <c r="G2447" s="4">
        <v>2</v>
      </c>
      <c r="H2447" s="13"/>
      <c r="I2447" s="15"/>
      <c r="J2447" s="19">
        <v>3</v>
      </c>
      <c r="K2447" s="2" t="s">
        <v>4906</v>
      </c>
      <c r="L2447" s="11" t="str">
        <f t="shared" si="39"/>
        <v>Ver Imagen</v>
      </c>
      <c r="M2447" t="s">
        <v>15</v>
      </c>
    </row>
    <row r="2448" spans="1:13" x14ac:dyDescent="0.25">
      <c r="A2448">
        <v>2447</v>
      </c>
      <c r="B2448" t="s">
        <v>4907</v>
      </c>
      <c r="C2448" s="1">
        <v>37.2252572059</v>
      </c>
      <c r="D2448" s="1">
        <v>-7.0315662504900001</v>
      </c>
      <c r="E2448" s="3">
        <v>2</v>
      </c>
      <c r="F2448" s="2">
        <v>3</v>
      </c>
      <c r="G2448" s="4">
        <v>3</v>
      </c>
      <c r="H2448" s="13"/>
      <c r="I2448" s="15"/>
      <c r="J2448" s="19">
        <v>3</v>
      </c>
      <c r="K2448" s="2" t="s">
        <v>4908</v>
      </c>
      <c r="L2448" s="11" t="str">
        <f t="shared" si="39"/>
        <v>Ver Imagen</v>
      </c>
      <c r="M2448" t="s">
        <v>15</v>
      </c>
    </row>
    <row r="2449" spans="1:13" x14ac:dyDescent="0.25">
      <c r="A2449">
        <v>2448</v>
      </c>
      <c r="B2449" t="s">
        <v>4909</v>
      </c>
      <c r="C2449" s="1">
        <v>37.225236221499998</v>
      </c>
      <c r="D2449" s="1">
        <v>-7.0318133287500002</v>
      </c>
      <c r="E2449" s="3">
        <v>2</v>
      </c>
      <c r="F2449" s="2">
        <v>3</v>
      </c>
      <c r="G2449" s="4">
        <v>3</v>
      </c>
      <c r="H2449" s="13"/>
      <c r="I2449" s="15"/>
      <c r="J2449" s="19">
        <v>3</v>
      </c>
      <c r="K2449" s="2" t="s">
        <v>4910</v>
      </c>
      <c r="L2449" s="11" t="str">
        <f t="shared" si="39"/>
        <v>Ver Imagen</v>
      </c>
      <c r="M2449" t="s">
        <v>15</v>
      </c>
    </row>
    <row r="2450" spans="1:13" x14ac:dyDescent="0.25">
      <c r="A2450">
        <v>2449</v>
      </c>
      <c r="B2450" t="s">
        <v>4911</v>
      </c>
      <c r="C2450" s="1">
        <v>37.224745156700003</v>
      </c>
      <c r="D2450" s="1">
        <v>-7.0340000293199996</v>
      </c>
      <c r="E2450" s="3">
        <v>2</v>
      </c>
      <c r="F2450" s="2">
        <v>3</v>
      </c>
      <c r="G2450" s="4">
        <v>3</v>
      </c>
      <c r="H2450" s="13"/>
      <c r="I2450" s="15"/>
      <c r="J2450" s="19">
        <v>3</v>
      </c>
      <c r="K2450" s="2" t="s">
        <v>4912</v>
      </c>
      <c r="L2450" s="11" t="str">
        <f t="shared" si="39"/>
        <v>Ver Imagen</v>
      </c>
      <c r="M2450" t="s">
        <v>15</v>
      </c>
    </row>
    <row r="2451" spans="1:13" x14ac:dyDescent="0.25">
      <c r="A2451">
        <v>2450</v>
      </c>
      <c r="B2451" t="s">
        <v>4913</v>
      </c>
      <c r="C2451" s="1">
        <v>37.225395261999999</v>
      </c>
      <c r="D2451" s="1">
        <v>-7.0414252881800001</v>
      </c>
      <c r="E2451" s="3">
        <v>2</v>
      </c>
      <c r="F2451" s="2">
        <v>3</v>
      </c>
      <c r="G2451" s="4">
        <v>3</v>
      </c>
      <c r="H2451" s="13"/>
      <c r="I2451" s="15"/>
      <c r="J2451" s="19">
        <v>3</v>
      </c>
      <c r="K2451" s="2" t="s">
        <v>4914</v>
      </c>
      <c r="L2451" s="11" t="str">
        <f t="shared" si="39"/>
        <v>Ver Imagen</v>
      </c>
      <c r="M2451" t="s">
        <v>15</v>
      </c>
    </row>
    <row r="2452" spans="1:13" x14ac:dyDescent="0.25">
      <c r="A2452">
        <v>2451</v>
      </c>
      <c r="B2452" t="s">
        <v>4915</v>
      </c>
      <c r="C2452" s="1">
        <v>37.225872528300002</v>
      </c>
      <c r="D2452" s="1">
        <v>-7.0425220849199999</v>
      </c>
      <c r="E2452" s="3">
        <v>2</v>
      </c>
      <c r="F2452" s="2">
        <v>3</v>
      </c>
      <c r="G2452" s="4">
        <v>3</v>
      </c>
      <c r="H2452" s="13"/>
      <c r="I2452" s="15"/>
      <c r="J2452" s="19">
        <v>3</v>
      </c>
      <c r="K2452" s="2" t="s">
        <v>4916</v>
      </c>
      <c r="L2452" s="11" t="str">
        <f t="shared" si="39"/>
        <v>Ver Imagen</v>
      </c>
      <c r="M2452" t="s">
        <v>15</v>
      </c>
    </row>
    <row r="2453" spans="1:13" x14ac:dyDescent="0.25">
      <c r="A2453">
        <v>2452</v>
      </c>
      <c r="B2453" t="s">
        <v>4917</v>
      </c>
      <c r="C2453" s="1">
        <v>37.225970537099997</v>
      </c>
      <c r="D2453" s="1">
        <v>-7.0427361684700003</v>
      </c>
      <c r="E2453" s="3">
        <v>2</v>
      </c>
      <c r="F2453" s="2">
        <v>3</v>
      </c>
      <c r="G2453" s="4">
        <v>3</v>
      </c>
      <c r="H2453" s="13"/>
      <c r="I2453" s="15"/>
      <c r="J2453" s="19">
        <v>3</v>
      </c>
      <c r="K2453" s="2" t="s">
        <v>4918</v>
      </c>
      <c r="L2453" s="11" t="str">
        <f t="shared" si="39"/>
        <v>Ver Imagen</v>
      </c>
      <c r="M2453" t="s">
        <v>15</v>
      </c>
    </row>
    <row r="2454" spans="1:13" x14ac:dyDescent="0.25">
      <c r="A2454">
        <v>2453</v>
      </c>
      <c r="B2454" t="s">
        <v>4919</v>
      </c>
      <c r="C2454" s="1">
        <v>37.229014693800003</v>
      </c>
      <c r="D2454" s="1">
        <v>-7.0470686879900004</v>
      </c>
      <c r="E2454" s="3">
        <v>2</v>
      </c>
      <c r="F2454" s="2">
        <v>3</v>
      </c>
      <c r="G2454" s="4">
        <v>3</v>
      </c>
      <c r="H2454" s="13"/>
      <c r="I2454" s="15"/>
      <c r="J2454" s="19">
        <v>3</v>
      </c>
      <c r="K2454" s="2" t="s">
        <v>4920</v>
      </c>
      <c r="L2454" s="11" t="str">
        <f t="shared" si="39"/>
        <v>Ver Imagen</v>
      </c>
      <c r="M2454" t="s">
        <v>15</v>
      </c>
    </row>
    <row r="2455" spans="1:13" x14ac:dyDescent="0.25">
      <c r="A2455">
        <v>2454</v>
      </c>
      <c r="B2455" t="s">
        <v>4921</v>
      </c>
      <c r="C2455" s="1">
        <v>37.232294404999998</v>
      </c>
      <c r="D2455" s="1">
        <v>-7.0528423733299999</v>
      </c>
      <c r="E2455" s="3">
        <v>2</v>
      </c>
      <c r="F2455" s="2">
        <v>3</v>
      </c>
      <c r="G2455" s="4">
        <v>3</v>
      </c>
      <c r="H2455" s="13"/>
      <c r="I2455" s="15"/>
      <c r="J2455" s="19">
        <v>3</v>
      </c>
      <c r="K2455" s="2" t="s">
        <v>4922</v>
      </c>
      <c r="L2455" s="11" t="str">
        <f t="shared" si="39"/>
        <v>Ver Imagen</v>
      </c>
      <c r="M2455" t="s">
        <v>15</v>
      </c>
    </row>
    <row r="2456" spans="1:13" x14ac:dyDescent="0.25">
      <c r="A2456">
        <v>2455</v>
      </c>
      <c r="B2456" t="s">
        <v>4923</v>
      </c>
      <c r="C2456" s="1">
        <v>37.475783230600001</v>
      </c>
      <c r="D2456" s="1">
        <v>-7.1258362476099997</v>
      </c>
      <c r="E2456" s="3">
        <v>3</v>
      </c>
      <c r="F2456" s="2">
        <v>3</v>
      </c>
      <c r="G2456" s="4">
        <v>2</v>
      </c>
      <c r="H2456" s="13"/>
      <c r="I2456" s="15"/>
      <c r="J2456" s="19">
        <v>3</v>
      </c>
      <c r="K2456" s="2" t="s">
        <v>4924</v>
      </c>
      <c r="L2456" s="11" t="str">
        <f t="shared" si="39"/>
        <v>Ver Imagen</v>
      </c>
      <c r="M2456" t="s">
        <v>15</v>
      </c>
    </row>
    <row r="2457" spans="1:13" x14ac:dyDescent="0.25">
      <c r="A2457">
        <v>2456</v>
      </c>
      <c r="B2457" t="s">
        <v>4925</v>
      </c>
      <c r="C2457" s="1">
        <v>37.475143019699999</v>
      </c>
      <c r="D2457" s="1">
        <v>-7.1259741027799999</v>
      </c>
      <c r="E2457" s="3">
        <v>3</v>
      </c>
      <c r="F2457" s="2">
        <v>3</v>
      </c>
      <c r="G2457" s="4">
        <v>2</v>
      </c>
      <c r="H2457" s="13"/>
      <c r="I2457" s="15"/>
      <c r="J2457" s="19">
        <v>3</v>
      </c>
      <c r="K2457" s="2" t="s">
        <v>4926</v>
      </c>
      <c r="L2457" s="11" t="str">
        <f t="shared" si="39"/>
        <v>Ver Imagen</v>
      </c>
      <c r="M2457" t="s">
        <v>15</v>
      </c>
    </row>
    <row r="2458" spans="1:13" x14ac:dyDescent="0.25">
      <c r="A2458">
        <v>2457</v>
      </c>
      <c r="B2458" t="s">
        <v>4927</v>
      </c>
      <c r="C2458" s="1">
        <v>37.474957051099999</v>
      </c>
      <c r="D2458" s="1">
        <v>-7.1260153652199998</v>
      </c>
      <c r="E2458" s="3">
        <v>3</v>
      </c>
      <c r="F2458" s="2">
        <v>3</v>
      </c>
      <c r="G2458" s="4">
        <v>2</v>
      </c>
      <c r="H2458" s="13"/>
      <c r="I2458" s="15"/>
      <c r="J2458" s="19">
        <v>3</v>
      </c>
      <c r="K2458" s="2" t="s">
        <v>4928</v>
      </c>
      <c r="L2458" s="11" t="str">
        <f t="shared" si="39"/>
        <v>Ver Imagen</v>
      </c>
      <c r="M2458" t="s">
        <v>15</v>
      </c>
    </row>
    <row r="2459" spans="1:13" x14ac:dyDescent="0.25">
      <c r="A2459">
        <v>2458</v>
      </c>
      <c r="B2459" t="s">
        <v>4929</v>
      </c>
      <c r="C2459" s="1">
        <v>37.469742924999998</v>
      </c>
      <c r="D2459" s="1">
        <v>-7.1244520738699997</v>
      </c>
      <c r="E2459" s="3">
        <v>3</v>
      </c>
      <c r="F2459" s="2">
        <v>3</v>
      </c>
      <c r="G2459" s="4">
        <v>2</v>
      </c>
      <c r="H2459" s="13"/>
      <c r="I2459" s="15"/>
      <c r="J2459" s="19">
        <v>3</v>
      </c>
      <c r="K2459" s="2" t="s">
        <v>4930</v>
      </c>
      <c r="L2459" s="11" t="str">
        <f t="shared" si="39"/>
        <v>Ver Imagen</v>
      </c>
      <c r="M2459" t="s">
        <v>15</v>
      </c>
    </row>
    <row r="2460" spans="1:13" x14ac:dyDescent="0.25">
      <c r="A2460">
        <v>2459</v>
      </c>
      <c r="B2460" t="s">
        <v>4931</v>
      </c>
      <c r="C2460" s="1">
        <v>37.467540077400002</v>
      </c>
      <c r="D2460" s="1">
        <v>-7.1230247536600002</v>
      </c>
      <c r="E2460" s="3">
        <v>3</v>
      </c>
      <c r="F2460" s="2">
        <v>3</v>
      </c>
      <c r="G2460" s="4">
        <v>2</v>
      </c>
      <c r="H2460" s="13"/>
      <c r="I2460" s="15"/>
      <c r="J2460" s="19">
        <v>3</v>
      </c>
      <c r="K2460" s="2" t="s">
        <v>4932</v>
      </c>
      <c r="L2460" s="11" t="str">
        <f t="shared" si="39"/>
        <v>Ver Imagen</v>
      </c>
      <c r="M2460" t="s">
        <v>15</v>
      </c>
    </row>
    <row r="2461" spans="1:13" x14ac:dyDescent="0.25">
      <c r="A2461">
        <v>2460</v>
      </c>
      <c r="B2461" t="s">
        <v>4933</v>
      </c>
      <c r="C2461" s="1">
        <v>37.451989920099997</v>
      </c>
      <c r="D2461" s="1">
        <v>-7.1274645613000001</v>
      </c>
      <c r="E2461" s="3">
        <v>3</v>
      </c>
      <c r="F2461" s="2">
        <v>3</v>
      </c>
      <c r="G2461" s="4">
        <v>2</v>
      </c>
      <c r="H2461" s="13"/>
      <c r="I2461" s="15"/>
      <c r="J2461" s="19">
        <v>3</v>
      </c>
      <c r="K2461" s="2" t="s">
        <v>4934</v>
      </c>
      <c r="L2461" s="11" t="str">
        <f t="shared" si="39"/>
        <v>Ver Imagen</v>
      </c>
      <c r="M2461" t="s">
        <v>15</v>
      </c>
    </row>
    <row r="2462" spans="1:13" x14ac:dyDescent="0.25">
      <c r="A2462">
        <v>2461</v>
      </c>
      <c r="B2462" t="s">
        <v>4935</v>
      </c>
      <c r="C2462" s="1">
        <v>37.495415258000001</v>
      </c>
      <c r="D2462" s="1">
        <v>-7.2762850383100002</v>
      </c>
      <c r="E2462" s="3">
        <v>3</v>
      </c>
      <c r="F2462" s="2">
        <v>3</v>
      </c>
      <c r="G2462" s="4">
        <v>2</v>
      </c>
      <c r="H2462" s="13"/>
      <c r="I2462" s="15"/>
      <c r="J2462" s="19">
        <v>3</v>
      </c>
      <c r="K2462" s="2" t="s">
        <v>4936</v>
      </c>
      <c r="L2462" s="11" t="str">
        <f t="shared" si="39"/>
        <v>Ver Imagen</v>
      </c>
      <c r="M2462" t="s">
        <v>15</v>
      </c>
    </row>
    <row r="2463" spans="1:13" x14ac:dyDescent="0.25">
      <c r="A2463">
        <v>2462</v>
      </c>
      <c r="B2463" t="s">
        <v>4937</v>
      </c>
      <c r="C2463" s="1">
        <v>37.495672130199999</v>
      </c>
      <c r="D2463" s="1">
        <v>-7.27377371648</v>
      </c>
      <c r="E2463" s="3">
        <v>3</v>
      </c>
      <c r="F2463" s="2">
        <v>3</v>
      </c>
      <c r="G2463" s="4">
        <v>2</v>
      </c>
      <c r="H2463" s="13"/>
      <c r="I2463" s="15"/>
      <c r="J2463" s="19">
        <v>3</v>
      </c>
      <c r="K2463" s="2" t="s">
        <v>4938</v>
      </c>
      <c r="L2463" s="11" t="str">
        <f t="shared" si="39"/>
        <v>Ver Imagen</v>
      </c>
      <c r="M2463" t="s">
        <v>15</v>
      </c>
    </row>
    <row r="2464" spans="1:13" x14ac:dyDescent="0.25">
      <c r="A2464">
        <v>2463</v>
      </c>
      <c r="B2464" t="s">
        <v>4939</v>
      </c>
      <c r="C2464" s="1">
        <v>37.495836259599997</v>
      </c>
      <c r="D2464" s="1">
        <v>-7.2681155829400002</v>
      </c>
      <c r="E2464" s="3">
        <v>2</v>
      </c>
      <c r="F2464" s="2">
        <v>3</v>
      </c>
      <c r="G2464" s="4">
        <v>3</v>
      </c>
      <c r="H2464" s="13"/>
      <c r="I2464" s="15"/>
      <c r="J2464" s="19">
        <v>3</v>
      </c>
      <c r="K2464" s="2" t="s">
        <v>4940</v>
      </c>
      <c r="L2464" s="11" t="str">
        <f t="shared" si="39"/>
        <v>Ver Imagen</v>
      </c>
      <c r="M2464" t="s">
        <v>15</v>
      </c>
    </row>
    <row r="2465" spans="1:13" x14ac:dyDescent="0.25">
      <c r="A2465">
        <v>2464</v>
      </c>
      <c r="B2465" t="s">
        <v>4941</v>
      </c>
      <c r="C2465" s="1">
        <v>37.4972238318</v>
      </c>
      <c r="D2465" s="1">
        <v>-7.2680524097200001</v>
      </c>
      <c r="E2465" s="3">
        <v>2</v>
      </c>
      <c r="F2465" s="2">
        <v>3</v>
      </c>
      <c r="G2465" s="4">
        <v>3</v>
      </c>
      <c r="H2465" s="13"/>
      <c r="I2465" s="15"/>
      <c r="J2465" s="19">
        <v>3</v>
      </c>
      <c r="K2465" s="2" t="s">
        <v>4942</v>
      </c>
      <c r="L2465" s="11" t="str">
        <f t="shared" si="39"/>
        <v>Ver Imagen</v>
      </c>
      <c r="M2465" t="s">
        <v>15</v>
      </c>
    </row>
    <row r="2466" spans="1:13" x14ac:dyDescent="0.25">
      <c r="A2466">
        <v>2465</v>
      </c>
      <c r="B2466" t="s">
        <v>4943</v>
      </c>
      <c r="C2466" s="1">
        <v>37.191187990000003</v>
      </c>
      <c r="D2466" s="1">
        <v>-6.97784052019</v>
      </c>
      <c r="E2466" s="3">
        <v>2</v>
      </c>
      <c r="F2466" s="2">
        <v>3</v>
      </c>
      <c r="G2466" s="4">
        <v>3</v>
      </c>
      <c r="H2466" s="13"/>
      <c r="I2466" s="15"/>
      <c r="J2466" s="19">
        <v>3</v>
      </c>
      <c r="K2466" s="2" t="s">
        <v>4944</v>
      </c>
      <c r="L2466" s="11" t="str">
        <f t="shared" si="39"/>
        <v>Ver Imagen</v>
      </c>
      <c r="M2466" t="s">
        <v>15</v>
      </c>
    </row>
    <row r="2467" spans="1:13" x14ac:dyDescent="0.25">
      <c r="A2467">
        <v>2466</v>
      </c>
      <c r="B2467" t="s">
        <v>4945</v>
      </c>
      <c r="C2467" s="1">
        <v>37.501340797899999</v>
      </c>
      <c r="D2467" s="1">
        <v>-7.2666439265299996</v>
      </c>
      <c r="E2467" s="3">
        <v>2</v>
      </c>
      <c r="F2467" s="2">
        <v>3</v>
      </c>
      <c r="G2467" s="4">
        <v>3</v>
      </c>
      <c r="H2467" s="13"/>
      <c r="I2467" s="15"/>
      <c r="J2467" s="19">
        <v>3</v>
      </c>
      <c r="K2467" s="2" t="s">
        <v>4946</v>
      </c>
      <c r="L2467" s="11" t="str">
        <f t="shared" si="39"/>
        <v>Ver Imagen</v>
      </c>
      <c r="M2467" t="s">
        <v>15</v>
      </c>
    </row>
    <row r="2468" spans="1:13" x14ac:dyDescent="0.25">
      <c r="A2468">
        <v>2467</v>
      </c>
      <c r="B2468" t="s">
        <v>4947</v>
      </c>
      <c r="C2468" s="1">
        <v>37.501547986200002</v>
      </c>
      <c r="D2468" s="1">
        <v>-7.2665731719600002</v>
      </c>
      <c r="E2468" s="3">
        <v>3</v>
      </c>
      <c r="F2468" s="2">
        <v>3</v>
      </c>
      <c r="G2468" s="4">
        <v>2</v>
      </c>
      <c r="H2468" s="13"/>
      <c r="I2468" s="15"/>
      <c r="J2468" s="19">
        <v>3</v>
      </c>
      <c r="K2468" s="2" t="s">
        <v>4948</v>
      </c>
      <c r="L2468" s="11" t="str">
        <f t="shared" si="39"/>
        <v>Ver Imagen</v>
      </c>
      <c r="M2468" t="s">
        <v>15</v>
      </c>
    </row>
    <row r="2469" spans="1:13" x14ac:dyDescent="0.25">
      <c r="A2469">
        <v>2468</v>
      </c>
      <c r="B2469" t="s">
        <v>4949</v>
      </c>
      <c r="C2469" s="1">
        <v>37.267393984400002</v>
      </c>
      <c r="D2469" s="1">
        <v>-6.9579634063800002</v>
      </c>
      <c r="E2469" s="3">
        <v>2</v>
      </c>
      <c r="F2469" s="2">
        <v>3</v>
      </c>
      <c r="G2469" s="4">
        <v>3</v>
      </c>
      <c r="H2469" s="13"/>
      <c r="I2469" s="15"/>
      <c r="J2469" s="19">
        <v>3</v>
      </c>
      <c r="K2469" s="2" t="s">
        <v>4950</v>
      </c>
      <c r="L2469" s="11" t="str">
        <f t="shared" si="39"/>
        <v>Ver Imagen</v>
      </c>
      <c r="M2469" t="s">
        <v>15</v>
      </c>
    </row>
    <row r="2470" spans="1:13" x14ac:dyDescent="0.25">
      <c r="A2470">
        <v>2469</v>
      </c>
      <c r="B2470" t="s">
        <v>4951</v>
      </c>
      <c r="C2470" s="1">
        <v>37.506654820100003</v>
      </c>
      <c r="D2470" s="1">
        <v>-7.2654190572099999</v>
      </c>
      <c r="E2470" s="3">
        <v>2</v>
      </c>
      <c r="F2470" s="2">
        <v>3</v>
      </c>
      <c r="G2470" s="4">
        <v>3</v>
      </c>
      <c r="H2470" s="13"/>
      <c r="I2470" s="15"/>
      <c r="J2470" s="19">
        <v>3</v>
      </c>
      <c r="K2470" s="2" t="s">
        <v>4952</v>
      </c>
      <c r="L2470" s="11" t="str">
        <f t="shared" si="39"/>
        <v>Ver Imagen</v>
      </c>
      <c r="M2470" t="s">
        <v>15</v>
      </c>
    </row>
    <row r="2471" spans="1:13" x14ac:dyDescent="0.25">
      <c r="A2471">
        <v>2470</v>
      </c>
      <c r="B2471" t="s">
        <v>4953</v>
      </c>
      <c r="C2471" s="1">
        <v>37.507032009900001</v>
      </c>
      <c r="D2471" s="1">
        <v>-7.2656124791199996</v>
      </c>
      <c r="E2471" s="3">
        <v>2</v>
      </c>
      <c r="F2471" s="2">
        <v>3</v>
      </c>
      <c r="G2471" s="4">
        <v>3</v>
      </c>
      <c r="H2471" s="13"/>
      <c r="I2471" s="15"/>
      <c r="J2471" s="19">
        <v>3</v>
      </c>
      <c r="K2471" s="2" t="s">
        <v>4954</v>
      </c>
      <c r="L2471" s="11" t="str">
        <f t="shared" si="39"/>
        <v>Ver Imagen</v>
      </c>
      <c r="M2471" t="s">
        <v>15</v>
      </c>
    </row>
    <row r="2472" spans="1:13" x14ac:dyDescent="0.25">
      <c r="A2472">
        <v>2471</v>
      </c>
      <c r="B2472" t="s">
        <v>4955</v>
      </c>
      <c r="C2472" s="1">
        <v>37.510041630300002</v>
      </c>
      <c r="D2472" s="1">
        <v>-7.2675994096899998</v>
      </c>
      <c r="E2472" s="3">
        <v>2</v>
      </c>
      <c r="F2472" s="2">
        <v>3</v>
      </c>
      <c r="G2472" s="4">
        <v>3</v>
      </c>
      <c r="H2472" s="13"/>
      <c r="I2472" s="15"/>
      <c r="J2472" s="19">
        <v>3</v>
      </c>
      <c r="K2472" s="2" t="s">
        <v>4956</v>
      </c>
      <c r="L2472" s="11" t="str">
        <f t="shared" si="39"/>
        <v>Ver Imagen</v>
      </c>
      <c r="M2472" t="s">
        <v>15</v>
      </c>
    </row>
    <row r="2473" spans="1:13" x14ac:dyDescent="0.25">
      <c r="A2473">
        <v>2472</v>
      </c>
      <c r="B2473" t="s">
        <v>4957</v>
      </c>
      <c r="C2473" s="1">
        <v>37.5135420318</v>
      </c>
      <c r="D2473" s="1">
        <v>-7.2689516275399999</v>
      </c>
      <c r="E2473" s="3">
        <v>3</v>
      </c>
      <c r="F2473" s="2">
        <v>3</v>
      </c>
      <c r="G2473" s="4">
        <v>2</v>
      </c>
      <c r="H2473" s="13"/>
      <c r="I2473" s="15"/>
      <c r="J2473" s="19">
        <v>3</v>
      </c>
      <c r="K2473" s="2" t="s">
        <v>4958</v>
      </c>
      <c r="L2473" s="11" t="str">
        <f t="shared" ref="L2473:L2536" si="40">HYPERLINK("3\1\" &amp; K2473, "Ver Imagen")</f>
        <v>Ver Imagen</v>
      </c>
      <c r="M2473" t="s">
        <v>15</v>
      </c>
    </row>
    <row r="2474" spans="1:13" x14ac:dyDescent="0.25">
      <c r="A2474">
        <v>2473</v>
      </c>
      <c r="B2474" t="s">
        <v>4959</v>
      </c>
      <c r="C2474" s="1">
        <v>37.523470819099998</v>
      </c>
      <c r="D2474" s="1">
        <v>-7.2589446938600002</v>
      </c>
      <c r="E2474" s="3">
        <v>2</v>
      </c>
      <c r="F2474" s="2">
        <v>3</v>
      </c>
      <c r="G2474" s="4">
        <v>3</v>
      </c>
      <c r="H2474" s="13"/>
      <c r="I2474" s="15"/>
      <c r="J2474" s="19">
        <v>3</v>
      </c>
      <c r="K2474" s="2" t="s">
        <v>4960</v>
      </c>
      <c r="L2474" s="11" t="str">
        <f t="shared" si="40"/>
        <v>Ver Imagen</v>
      </c>
      <c r="M2474" t="s">
        <v>15</v>
      </c>
    </row>
    <row r="2475" spans="1:13" x14ac:dyDescent="0.25">
      <c r="A2475">
        <v>2474</v>
      </c>
      <c r="B2475" t="s">
        <v>4961</v>
      </c>
      <c r="C2475" s="1">
        <v>37.5253416085</v>
      </c>
      <c r="D2475" s="1">
        <v>-7.2566679682000004</v>
      </c>
      <c r="E2475" s="3">
        <v>2</v>
      </c>
      <c r="F2475" s="2">
        <v>3</v>
      </c>
      <c r="G2475" s="4">
        <v>3</v>
      </c>
      <c r="H2475" s="13"/>
      <c r="I2475" s="15"/>
      <c r="J2475" s="19">
        <v>3</v>
      </c>
      <c r="K2475" s="2" t="s">
        <v>4962</v>
      </c>
      <c r="L2475" s="11" t="str">
        <f t="shared" si="40"/>
        <v>Ver Imagen</v>
      </c>
      <c r="M2475" t="s">
        <v>15</v>
      </c>
    </row>
    <row r="2476" spans="1:13" x14ac:dyDescent="0.25">
      <c r="A2476">
        <v>2475</v>
      </c>
      <c r="B2476" t="s">
        <v>4963</v>
      </c>
      <c r="C2476" s="1">
        <v>37.187527211199999</v>
      </c>
      <c r="D2476" s="1">
        <v>-6.9786611564800003</v>
      </c>
      <c r="E2476" s="3">
        <v>2</v>
      </c>
      <c r="F2476" s="2">
        <v>3</v>
      </c>
      <c r="G2476" s="4">
        <v>3</v>
      </c>
      <c r="H2476" s="13"/>
      <c r="I2476" s="15"/>
      <c r="J2476" s="19">
        <v>3</v>
      </c>
      <c r="K2476" s="2" t="s">
        <v>4964</v>
      </c>
      <c r="L2476" s="11" t="str">
        <f t="shared" si="40"/>
        <v>Ver Imagen</v>
      </c>
      <c r="M2476" t="s">
        <v>15</v>
      </c>
    </row>
    <row r="2477" spans="1:13" x14ac:dyDescent="0.25">
      <c r="A2477">
        <v>2476</v>
      </c>
      <c r="B2477" t="s">
        <v>4965</v>
      </c>
      <c r="C2477" s="1">
        <v>37.2660637436</v>
      </c>
      <c r="D2477" s="1">
        <v>-6.9935117059599996</v>
      </c>
      <c r="E2477" s="3">
        <v>2</v>
      </c>
      <c r="F2477" s="2">
        <v>3</v>
      </c>
      <c r="G2477" s="4">
        <v>3</v>
      </c>
      <c r="H2477" s="13"/>
      <c r="I2477" s="15"/>
      <c r="J2477" s="19">
        <v>3</v>
      </c>
      <c r="K2477" s="2" t="s">
        <v>4966</v>
      </c>
      <c r="L2477" s="11" t="str">
        <f t="shared" si="40"/>
        <v>Ver Imagen</v>
      </c>
      <c r="M2477" t="s">
        <v>15</v>
      </c>
    </row>
    <row r="2478" spans="1:13" x14ac:dyDescent="0.25">
      <c r="A2478">
        <v>2477</v>
      </c>
      <c r="B2478" t="s">
        <v>4967</v>
      </c>
      <c r="C2478" s="1">
        <v>37.262920866599998</v>
      </c>
      <c r="D2478" s="1">
        <v>-7.0089561291000004</v>
      </c>
      <c r="E2478" s="3">
        <v>2</v>
      </c>
      <c r="F2478" s="2">
        <v>3</v>
      </c>
      <c r="G2478" s="4">
        <v>3</v>
      </c>
      <c r="H2478" s="13"/>
      <c r="I2478" s="15"/>
      <c r="J2478" s="19">
        <v>3</v>
      </c>
      <c r="K2478" s="2" t="s">
        <v>4968</v>
      </c>
      <c r="L2478" s="11" t="str">
        <f t="shared" si="40"/>
        <v>Ver Imagen</v>
      </c>
      <c r="M2478" t="s">
        <v>15</v>
      </c>
    </row>
    <row r="2479" spans="1:13" x14ac:dyDescent="0.25">
      <c r="A2479">
        <v>2478</v>
      </c>
      <c r="B2479" t="s">
        <v>4969</v>
      </c>
      <c r="C2479" s="1">
        <v>37.262833160900001</v>
      </c>
      <c r="D2479" s="1">
        <v>-7.0091266225700002</v>
      </c>
      <c r="E2479" s="3">
        <v>2</v>
      </c>
      <c r="F2479" s="2">
        <v>3</v>
      </c>
      <c r="G2479" s="4">
        <v>3</v>
      </c>
      <c r="H2479" s="13"/>
      <c r="I2479" s="15"/>
      <c r="J2479" s="19">
        <v>3</v>
      </c>
      <c r="K2479" s="2" t="s">
        <v>4970</v>
      </c>
      <c r="L2479" s="11" t="str">
        <f t="shared" si="40"/>
        <v>Ver Imagen</v>
      </c>
      <c r="M2479" t="s">
        <v>15</v>
      </c>
    </row>
    <row r="2480" spans="1:13" x14ac:dyDescent="0.25">
      <c r="A2480">
        <v>2479</v>
      </c>
      <c r="B2480" t="s">
        <v>4971</v>
      </c>
      <c r="C2480" s="1">
        <v>37.256066453400003</v>
      </c>
      <c r="D2480" s="1">
        <v>-7.0142072715100001</v>
      </c>
      <c r="E2480" s="3">
        <v>2</v>
      </c>
      <c r="F2480" s="2">
        <v>3</v>
      </c>
      <c r="G2480" s="4">
        <v>3</v>
      </c>
      <c r="H2480" s="13"/>
      <c r="I2480" s="15"/>
      <c r="J2480" s="19">
        <v>3</v>
      </c>
      <c r="K2480" s="2" t="s">
        <v>4972</v>
      </c>
      <c r="L2480" s="11" t="str">
        <f t="shared" si="40"/>
        <v>Ver Imagen</v>
      </c>
      <c r="M2480" t="s">
        <v>15</v>
      </c>
    </row>
    <row r="2481" spans="1:13" x14ac:dyDescent="0.25">
      <c r="A2481">
        <v>2480</v>
      </c>
      <c r="B2481" t="s">
        <v>4973</v>
      </c>
      <c r="C2481" s="1">
        <v>37.255706130299998</v>
      </c>
      <c r="D2481" s="1">
        <v>-7.0144391935700003</v>
      </c>
      <c r="E2481" s="3">
        <v>2</v>
      </c>
      <c r="F2481" s="2">
        <v>3</v>
      </c>
      <c r="G2481" s="4">
        <v>3</v>
      </c>
      <c r="H2481" s="13"/>
      <c r="I2481" s="15"/>
      <c r="J2481" s="19">
        <v>3</v>
      </c>
      <c r="K2481" s="2" t="s">
        <v>4974</v>
      </c>
      <c r="L2481" s="11" t="str">
        <f t="shared" si="40"/>
        <v>Ver Imagen</v>
      </c>
      <c r="M2481" t="s">
        <v>15</v>
      </c>
    </row>
    <row r="2482" spans="1:13" x14ac:dyDescent="0.25">
      <c r="A2482">
        <v>2481</v>
      </c>
      <c r="B2482" t="s">
        <v>4975</v>
      </c>
      <c r="C2482" s="1">
        <v>37.255528085199998</v>
      </c>
      <c r="D2482" s="1">
        <v>-7.0145540195300002</v>
      </c>
      <c r="E2482" s="3">
        <v>2</v>
      </c>
      <c r="F2482" s="2">
        <v>3</v>
      </c>
      <c r="G2482" s="4">
        <v>3</v>
      </c>
      <c r="H2482" s="13"/>
      <c r="I2482" s="15"/>
      <c r="J2482" s="19">
        <v>3</v>
      </c>
      <c r="K2482" s="2" t="s">
        <v>4976</v>
      </c>
      <c r="L2482" s="11" t="str">
        <f t="shared" si="40"/>
        <v>Ver Imagen</v>
      </c>
      <c r="M2482" t="s">
        <v>15</v>
      </c>
    </row>
    <row r="2483" spans="1:13" x14ac:dyDescent="0.25">
      <c r="A2483">
        <v>2482</v>
      </c>
      <c r="B2483" t="s">
        <v>4977</v>
      </c>
      <c r="C2483" s="1">
        <v>37.203979214100002</v>
      </c>
      <c r="D2483" s="1">
        <v>-7.0101281187</v>
      </c>
      <c r="E2483" s="3">
        <v>2</v>
      </c>
      <c r="F2483" s="2">
        <v>3</v>
      </c>
      <c r="G2483" s="4">
        <v>3</v>
      </c>
      <c r="H2483" s="13"/>
      <c r="I2483" s="15"/>
      <c r="J2483" s="19">
        <v>3</v>
      </c>
      <c r="K2483" s="2" t="s">
        <v>4978</v>
      </c>
      <c r="L2483" s="11" t="str">
        <f t="shared" si="40"/>
        <v>Ver Imagen</v>
      </c>
      <c r="M2483" t="s">
        <v>15</v>
      </c>
    </row>
    <row r="2484" spans="1:13" x14ac:dyDescent="0.25">
      <c r="A2484">
        <v>2483</v>
      </c>
      <c r="B2484" t="s">
        <v>4979</v>
      </c>
      <c r="C2484" s="1">
        <v>37.252176392400003</v>
      </c>
      <c r="D2484" s="1">
        <v>-7.0164888337700004</v>
      </c>
      <c r="E2484" s="3">
        <v>2</v>
      </c>
      <c r="F2484" s="2">
        <v>3</v>
      </c>
      <c r="G2484" s="4">
        <v>3</v>
      </c>
      <c r="H2484" s="13"/>
      <c r="I2484" s="15"/>
      <c r="J2484" s="19">
        <v>3</v>
      </c>
      <c r="K2484" s="2" t="s">
        <v>4980</v>
      </c>
      <c r="L2484" s="11" t="str">
        <f t="shared" si="40"/>
        <v>Ver Imagen</v>
      </c>
      <c r="M2484" t="s">
        <v>15</v>
      </c>
    </row>
    <row r="2485" spans="1:13" x14ac:dyDescent="0.25">
      <c r="A2485">
        <v>2484</v>
      </c>
      <c r="B2485" t="s">
        <v>4981</v>
      </c>
      <c r="C2485" s="1">
        <v>37.254932647300002</v>
      </c>
      <c r="D2485" s="1">
        <v>-7.0147330569699999</v>
      </c>
      <c r="E2485" s="3">
        <v>2</v>
      </c>
      <c r="F2485" s="2">
        <v>3</v>
      </c>
      <c r="G2485" s="4">
        <v>3</v>
      </c>
      <c r="H2485" s="13"/>
      <c r="I2485" s="15"/>
      <c r="J2485" s="19">
        <v>3</v>
      </c>
      <c r="K2485" s="2" t="s">
        <v>4982</v>
      </c>
      <c r="L2485" s="11" t="str">
        <f t="shared" si="40"/>
        <v>Ver Imagen</v>
      </c>
      <c r="M2485" t="s">
        <v>15</v>
      </c>
    </row>
    <row r="2486" spans="1:13" x14ac:dyDescent="0.25">
      <c r="A2486">
        <v>2485</v>
      </c>
      <c r="B2486" t="s">
        <v>4983</v>
      </c>
      <c r="C2486" s="1">
        <v>37.264146595699998</v>
      </c>
      <c r="D2486" s="1">
        <v>-7.0030271981099999</v>
      </c>
      <c r="E2486" s="3">
        <v>2</v>
      </c>
      <c r="F2486" s="2">
        <v>3</v>
      </c>
      <c r="G2486" s="4">
        <v>3</v>
      </c>
      <c r="H2486" s="13"/>
      <c r="I2486" s="15"/>
      <c r="J2486" s="19">
        <v>3</v>
      </c>
      <c r="K2486" s="2" t="s">
        <v>4984</v>
      </c>
      <c r="L2486" s="11" t="str">
        <f t="shared" si="40"/>
        <v>Ver Imagen</v>
      </c>
      <c r="M2486" t="s">
        <v>15</v>
      </c>
    </row>
    <row r="2487" spans="1:13" x14ac:dyDescent="0.25">
      <c r="A2487">
        <v>2486</v>
      </c>
      <c r="B2487" t="s">
        <v>4985</v>
      </c>
      <c r="C2487" s="1">
        <v>37.2649299363</v>
      </c>
      <c r="D2487" s="1">
        <v>-6.9986274180299999</v>
      </c>
      <c r="E2487" s="3">
        <v>2</v>
      </c>
      <c r="F2487" s="2">
        <v>3</v>
      </c>
      <c r="G2487" s="4">
        <v>3</v>
      </c>
      <c r="H2487" s="13"/>
      <c r="I2487" s="15"/>
      <c r="J2487" s="19">
        <v>3</v>
      </c>
      <c r="K2487" s="2" t="s">
        <v>4986</v>
      </c>
      <c r="L2487" s="11" t="str">
        <f t="shared" si="40"/>
        <v>Ver Imagen</v>
      </c>
      <c r="M2487" t="s">
        <v>15</v>
      </c>
    </row>
    <row r="2488" spans="1:13" x14ac:dyDescent="0.25">
      <c r="A2488">
        <v>2487</v>
      </c>
      <c r="B2488" t="s">
        <v>4987</v>
      </c>
      <c r="C2488" s="1">
        <v>37.271346320100001</v>
      </c>
      <c r="D2488" s="1">
        <v>-6.9841610647500003</v>
      </c>
      <c r="E2488" s="3">
        <v>2</v>
      </c>
      <c r="F2488" s="2">
        <v>3</v>
      </c>
      <c r="G2488" s="4">
        <v>3</v>
      </c>
      <c r="H2488" s="13"/>
      <c r="I2488" s="15"/>
      <c r="J2488" s="19">
        <v>3</v>
      </c>
      <c r="K2488" s="2" t="s">
        <v>4988</v>
      </c>
      <c r="L2488" s="11" t="str">
        <f t="shared" si="40"/>
        <v>Ver Imagen</v>
      </c>
      <c r="M2488" t="s">
        <v>15</v>
      </c>
    </row>
    <row r="2489" spans="1:13" x14ac:dyDescent="0.25">
      <c r="A2489">
        <v>2488</v>
      </c>
      <c r="B2489" t="s">
        <v>4989</v>
      </c>
      <c r="C2489" s="1">
        <v>37.447098555700002</v>
      </c>
      <c r="D2489" s="1">
        <v>-7.1297685986200001</v>
      </c>
      <c r="E2489" s="3">
        <v>3</v>
      </c>
      <c r="F2489" s="2">
        <v>4</v>
      </c>
      <c r="G2489" s="4">
        <v>3</v>
      </c>
      <c r="H2489" s="13"/>
      <c r="I2489" s="15"/>
      <c r="J2489" s="19">
        <v>3</v>
      </c>
      <c r="K2489" s="2" t="s">
        <v>4990</v>
      </c>
      <c r="L2489" s="11" t="str">
        <f t="shared" si="40"/>
        <v>Ver Imagen</v>
      </c>
      <c r="M2489" t="s">
        <v>15</v>
      </c>
    </row>
    <row r="2490" spans="1:13" x14ac:dyDescent="0.25">
      <c r="A2490">
        <v>2489</v>
      </c>
      <c r="B2490" t="s">
        <v>4991</v>
      </c>
      <c r="C2490" s="1">
        <v>37.446314006999998</v>
      </c>
      <c r="D2490" s="1">
        <v>-7.1340164367699996</v>
      </c>
      <c r="E2490" s="3">
        <v>2</v>
      </c>
      <c r="F2490" s="2">
        <v>3</v>
      </c>
      <c r="G2490" s="4">
        <v>3</v>
      </c>
      <c r="H2490" s="13"/>
      <c r="I2490" s="15"/>
      <c r="J2490" s="19">
        <v>3</v>
      </c>
      <c r="K2490" s="2" t="s">
        <v>4992</v>
      </c>
      <c r="L2490" s="11" t="str">
        <f t="shared" si="40"/>
        <v>Ver Imagen</v>
      </c>
      <c r="M2490" t="s">
        <v>15</v>
      </c>
    </row>
    <row r="2491" spans="1:13" x14ac:dyDescent="0.25">
      <c r="A2491">
        <v>2490</v>
      </c>
      <c r="B2491" t="s">
        <v>4993</v>
      </c>
      <c r="C2491" s="1">
        <v>37.447140566599998</v>
      </c>
      <c r="D2491" s="1">
        <v>-7.1287802784999998</v>
      </c>
      <c r="E2491" s="3">
        <v>2</v>
      </c>
      <c r="F2491" s="2">
        <v>3</v>
      </c>
      <c r="G2491" s="4">
        <v>3</v>
      </c>
      <c r="H2491" s="13"/>
      <c r="I2491" s="15"/>
      <c r="J2491" s="19">
        <v>3</v>
      </c>
      <c r="K2491" s="2" t="s">
        <v>4994</v>
      </c>
      <c r="L2491" s="11" t="str">
        <f t="shared" si="40"/>
        <v>Ver Imagen</v>
      </c>
      <c r="M2491" t="s">
        <v>15</v>
      </c>
    </row>
    <row r="2492" spans="1:13" x14ac:dyDescent="0.25">
      <c r="A2492">
        <v>2491</v>
      </c>
      <c r="B2492" t="s">
        <v>4995</v>
      </c>
      <c r="C2492" s="1">
        <v>37.4471486646</v>
      </c>
      <c r="D2492" s="1">
        <v>-7.1292189502100003</v>
      </c>
      <c r="E2492" s="3">
        <v>3</v>
      </c>
      <c r="F2492" s="2">
        <v>4</v>
      </c>
      <c r="G2492" s="4">
        <v>3</v>
      </c>
      <c r="H2492" s="13"/>
      <c r="I2492" s="15"/>
      <c r="J2492" s="19">
        <v>3</v>
      </c>
      <c r="K2492" s="2" t="s">
        <v>4996</v>
      </c>
      <c r="L2492" s="11" t="str">
        <f t="shared" si="40"/>
        <v>Ver Imagen</v>
      </c>
      <c r="M2492" t="s">
        <v>15</v>
      </c>
    </row>
    <row r="2493" spans="1:13" x14ac:dyDescent="0.25">
      <c r="A2493">
        <v>2492</v>
      </c>
      <c r="B2493" t="s">
        <v>4997</v>
      </c>
      <c r="C2493" s="1">
        <v>37.447135338300001</v>
      </c>
      <c r="D2493" s="1">
        <v>-7.1295157687900002</v>
      </c>
      <c r="E2493" s="3">
        <v>3</v>
      </c>
      <c r="F2493" s="2">
        <v>4</v>
      </c>
      <c r="G2493" s="4">
        <v>3</v>
      </c>
      <c r="H2493" s="13"/>
      <c r="I2493" s="15"/>
      <c r="J2493" s="19">
        <v>3</v>
      </c>
      <c r="K2493" s="2" t="s">
        <v>4998</v>
      </c>
      <c r="L2493" s="11" t="str">
        <f t="shared" si="40"/>
        <v>Ver Imagen</v>
      </c>
      <c r="M2493" t="s">
        <v>15</v>
      </c>
    </row>
    <row r="2494" spans="1:13" x14ac:dyDescent="0.25">
      <c r="A2494">
        <v>2493</v>
      </c>
      <c r="B2494" t="s">
        <v>4999</v>
      </c>
      <c r="C2494" s="1">
        <v>37.446544813999999</v>
      </c>
      <c r="D2494" s="1">
        <v>-7.1324477159799997</v>
      </c>
      <c r="E2494" s="3">
        <v>3</v>
      </c>
      <c r="F2494" s="2">
        <v>4</v>
      </c>
      <c r="G2494" s="4">
        <v>3</v>
      </c>
      <c r="H2494" s="13"/>
      <c r="I2494" s="15"/>
      <c r="J2494" s="19">
        <v>3</v>
      </c>
      <c r="K2494" s="2" t="s">
        <v>5000</v>
      </c>
      <c r="L2494" s="11" t="str">
        <f t="shared" si="40"/>
        <v>Ver Imagen</v>
      </c>
      <c r="M2494" t="s">
        <v>15</v>
      </c>
    </row>
    <row r="2495" spans="1:13" x14ac:dyDescent="0.25">
      <c r="A2495">
        <v>2494</v>
      </c>
      <c r="B2495" t="s">
        <v>5001</v>
      </c>
      <c r="C2495" s="1">
        <v>37.446303667499997</v>
      </c>
      <c r="D2495" s="1">
        <v>-7.13694729829</v>
      </c>
      <c r="E2495" s="3">
        <v>2</v>
      </c>
      <c r="F2495" s="2">
        <v>3</v>
      </c>
      <c r="G2495" s="4">
        <v>3</v>
      </c>
      <c r="H2495" s="13"/>
      <c r="I2495" s="15"/>
      <c r="J2495" s="19">
        <v>3</v>
      </c>
      <c r="K2495" s="2" t="s">
        <v>5002</v>
      </c>
      <c r="L2495" s="11" t="str">
        <f t="shared" si="40"/>
        <v>Ver Imagen</v>
      </c>
      <c r="M2495" t="s">
        <v>15</v>
      </c>
    </row>
    <row r="2496" spans="1:13" x14ac:dyDescent="0.25">
      <c r="A2496">
        <v>2495</v>
      </c>
      <c r="B2496" t="s">
        <v>5003</v>
      </c>
      <c r="C2496" s="1">
        <v>37.446379677400003</v>
      </c>
      <c r="D2496" s="1">
        <v>-7.1372080971500003</v>
      </c>
      <c r="E2496" s="3">
        <v>3</v>
      </c>
      <c r="F2496" s="2">
        <v>4</v>
      </c>
      <c r="G2496" s="4">
        <v>3</v>
      </c>
      <c r="H2496" s="13"/>
      <c r="I2496" s="15"/>
      <c r="J2496" s="19">
        <v>3</v>
      </c>
      <c r="K2496" s="2" t="s">
        <v>5004</v>
      </c>
      <c r="L2496" s="11" t="str">
        <f t="shared" si="40"/>
        <v>Ver Imagen</v>
      </c>
      <c r="M2496" t="s">
        <v>15</v>
      </c>
    </row>
    <row r="2497" spans="1:13" x14ac:dyDescent="0.25">
      <c r="A2497">
        <v>2496</v>
      </c>
      <c r="B2497" t="s">
        <v>5005</v>
      </c>
      <c r="C2497" s="1">
        <v>37.446441489900003</v>
      </c>
      <c r="D2497" s="1">
        <v>-7.1374133287300001</v>
      </c>
      <c r="E2497" s="3">
        <v>2</v>
      </c>
      <c r="F2497" s="2">
        <v>3</v>
      </c>
      <c r="G2497" s="4">
        <v>3</v>
      </c>
      <c r="H2497" s="13"/>
      <c r="I2497" s="15"/>
      <c r="J2497" s="19">
        <v>3</v>
      </c>
      <c r="K2497" s="2" t="s">
        <v>5006</v>
      </c>
      <c r="L2497" s="11" t="str">
        <f t="shared" si="40"/>
        <v>Ver Imagen</v>
      </c>
      <c r="M2497" t="s">
        <v>15</v>
      </c>
    </row>
    <row r="2498" spans="1:13" x14ac:dyDescent="0.25">
      <c r="A2498">
        <v>2497</v>
      </c>
      <c r="B2498" t="s">
        <v>5007</v>
      </c>
      <c r="C2498" s="1">
        <v>37.446524997399997</v>
      </c>
      <c r="D2498" s="1">
        <v>-7.1376953976299999</v>
      </c>
      <c r="E2498" s="3">
        <v>2</v>
      </c>
      <c r="F2498" s="2">
        <v>3</v>
      </c>
      <c r="G2498" s="4">
        <v>3</v>
      </c>
      <c r="H2498" s="13"/>
      <c r="I2498" s="15"/>
      <c r="J2498" s="19">
        <v>3</v>
      </c>
      <c r="K2498" s="2" t="s">
        <v>5008</v>
      </c>
      <c r="L2498" s="11" t="str">
        <f t="shared" si="40"/>
        <v>Ver Imagen</v>
      </c>
      <c r="M2498" t="s">
        <v>15</v>
      </c>
    </row>
    <row r="2499" spans="1:13" x14ac:dyDescent="0.25">
      <c r="A2499">
        <v>2498</v>
      </c>
      <c r="B2499" t="s">
        <v>5009</v>
      </c>
      <c r="C2499" s="1">
        <v>37.448548519600003</v>
      </c>
      <c r="D2499" s="1">
        <v>-7.1444460418700002</v>
      </c>
      <c r="E2499" s="3">
        <v>2</v>
      </c>
      <c r="F2499" s="2">
        <v>3</v>
      </c>
      <c r="G2499" s="4">
        <v>3</v>
      </c>
      <c r="H2499" s="13"/>
      <c r="I2499" s="15"/>
      <c r="J2499" s="19">
        <v>3</v>
      </c>
      <c r="K2499" s="2" t="s">
        <v>5010</v>
      </c>
      <c r="L2499" s="11" t="str">
        <f t="shared" si="40"/>
        <v>Ver Imagen</v>
      </c>
      <c r="M2499" t="s">
        <v>15</v>
      </c>
    </row>
    <row r="2500" spans="1:13" x14ac:dyDescent="0.25">
      <c r="A2500">
        <v>2499</v>
      </c>
      <c r="B2500" t="s">
        <v>5011</v>
      </c>
      <c r="C2500" s="1">
        <v>37.448674989099999</v>
      </c>
      <c r="D2500" s="1">
        <v>-7.1469808129099999</v>
      </c>
      <c r="E2500" s="3">
        <v>3</v>
      </c>
      <c r="F2500" s="2">
        <v>3</v>
      </c>
      <c r="G2500" s="4">
        <v>4</v>
      </c>
      <c r="H2500" s="13"/>
      <c r="I2500" s="15"/>
      <c r="J2500" s="19">
        <v>3</v>
      </c>
      <c r="K2500" s="2" t="s">
        <v>5012</v>
      </c>
      <c r="L2500" s="11" t="str">
        <f t="shared" si="40"/>
        <v>Ver Imagen</v>
      </c>
      <c r="M2500" t="s">
        <v>15</v>
      </c>
    </row>
    <row r="2501" spans="1:13" x14ac:dyDescent="0.25">
      <c r="A2501">
        <v>2500</v>
      </c>
      <c r="B2501" t="s">
        <v>5013</v>
      </c>
      <c r="C2501" s="1">
        <v>37.448769001400002</v>
      </c>
      <c r="D2501" s="1">
        <v>-7.1487472950299997</v>
      </c>
      <c r="E2501" s="3">
        <v>2</v>
      </c>
      <c r="F2501" s="2">
        <v>3</v>
      </c>
      <c r="G2501" s="4">
        <v>3</v>
      </c>
      <c r="H2501" s="13"/>
      <c r="I2501" s="15"/>
      <c r="J2501" s="19">
        <v>3</v>
      </c>
      <c r="K2501" s="2" t="s">
        <v>5014</v>
      </c>
      <c r="L2501" s="11" t="str">
        <f t="shared" si="40"/>
        <v>Ver Imagen</v>
      </c>
      <c r="M2501" t="s">
        <v>15</v>
      </c>
    </row>
    <row r="2502" spans="1:13" x14ac:dyDescent="0.25">
      <c r="A2502">
        <v>2501</v>
      </c>
      <c r="B2502" t="s">
        <v>5015</v>
      </c>
      <c r="C2502" s="1">
        <v>37.449966505500001</v>
      </c>
      <c r="D2502" s="1">
        <v>-7.1522066419500003</v>
      </c>
      <c r="E2502" s="3">
        <v>2</v>
      </c>
      <c r="F2502" s="2">
        <v>3</v>
      </c>
      <c r="G2502" s="4">
        <v>3</v>
      </c>
      <c r="H2502" s="13"/>
      <c r="I2502" s="15"/>
      <c r="J2502" s="19">
        <v>3</v>
      </c>
      <c r="K2502" s="2" t="s">
        <v>5016</v>
      </c>
      <c r="L2502" s="11" t="str">
        <f t="shared" si="40"/>
        <v>Ver Imagen</v>
      </c>
      <c r="M2502" t="s">
        <v>15</v>
      </c>
    </row>
    <row r="2503" spans="1:13" x14ac:dyDescent="0.25">
      <c r="A2503">
        <v>2502</v>
      </c>
      <c r="B2503" t="s">
        <v>5017</v>
      </c>
      <c r="C2503" s="1">
        <v>37.450059712200002</v>
      </c>
      <c r="D2503" s="1">
        <v>-7.1523584359500001</v>
      </c>
      <c r="E2503" s="3">
        <v>2</v>
      </c>
      <c r="F2503" s="2">
        <v>3</v>
      </c>
      <c r="G2503" s="4">
        <v>3</v>
      </c>
      <c r="H2503" s="13"/>
      <c r="I2503" s="15"/>
      <c r="J2503" s="19">
        <v>3</v>
      </c>
      <c r="K2503" s="2" t="s">
        <v>5018</v>
      </c>
      <c r="L2503" s="11" t="str">
        <f t="shared" si="40"/>
        <v>Ver Imagen</v>
      </c>
      <c r="M2503" t="s">
        <v>15</v>
      </c>
    </row>
    <row r="2504" spans="1:13" x14ac:dyDescent="0.25">
      <c r="A2504">
        <v>2503</v>
      </c>
      <c r="B2504" t="s">
        <v>5019</v>
      </c>
      <c r="C2504" s="1">
        <v>37.452085726699998</v>
      </c>
      <c r="D2504" s="1">
        <v>-7.1586900349800002</v>
      </c>
      <c r="E2504" s="3">
        <v>2</v>
      </c>
      <c r="F2504" s="2">
        <v>3</v>
      </c>
      <c r="G2504" s="4">
        <v>3</v>
      </c>
      <c r="H2504" s="13"/>
      <c r="I2504" s="15"/>
      <c r="J2504" s="19">
        <v>3</v>
      </c>
      <c r="K2504" s="2" t="s">
        <v>5020</v>
      </c>
      <c r="L2504" s="11" t="str">
        <f t="shared" si="40"/>
        <v>Ver Imagen</v>
      </c>
      <c r="M2504" t="s">
        <v>15</v>
      </c>
    </row>
    <row r="2505" spans="1:13" x14ac:dyDescent="0.25">
      <c r="A2505">
        <v>2504</v>
      </c>
      <c r="B2505" t="s">
        <v>5021</v>
      </c>
      <c r="C2505" s="1">
        <v>37.453385342600001</v>
      </c>
      <c r="D2505" s="1">
        <v>-7.16255661864</v>
      </c>
      <c r="E2505" s="3">
        <v>2</v>
      </c>
      <c r="F2505" s="2">
        <v>3</v>
      </c>
      <c r="G2505" s="4">
        <v>3</v>
      </c>
      <c r="H2505" s="13"/>
      <c r="I2505" s="15"/>
      <c r="J2505" s="19">
        <v>3</v>
      </c>
      <c r="K2505" s="2" t="s">
        <v>5022</v>
      </c>
      <c r="L2505" s="11" t="str">
        <f t="shared" si="40"/>
        <v>Ver Imagen</v>
      </c>
      <c r="M2505" t="s">
        <v>15</v>
      </c>
    </row>
    <row r="2506" spans="1:13" x14ac:dyDescent="0.25">
      <c r="A2506">
        <v>2505</v>
      </c>
      <c r="B2506" t="s">
        <v>5023</v>
      </c>
      <c r="C2506" s="1">
        <v>37.4536132331</v>
      </c>
      <c r="D2506" s="1">
        <v>-7.1630079386999999</v>
      </c>
      <c r="E2506" s="3">
        <v>2</v>
      </c>
      <c r="F2506" s="2">
        <v>3</v>
      </c>
      <c r="G2506" s="4">
        <v>3</v>
      </c>
      <c r="H2506" s="13"/>
      <c r="I2506" s="15"/>
      <c r="J2506" s="19">
        <v>3</v>
      </c>
      <c r="K2506" s="2" t="s">
        <v>5024</v>
      </c>
      <c r="L2506" s="11" t="str">
        <f t="shared" si="40"/>
        <v>Ver Imagen</v>
      </c>
      <c r="M2506" t="s">
        <v>15</v>
      </c>
    </row>
    <row r="2507" spans="1:13" x14ac:dyDescent="0.25">
      <c r="A2507">
        <v>2506</v>
      </c>
      <c r="B2507" t="s">
        <v>5025</v>
      </c>
      <c r="C2507" s="1">
        <v>37.453746182000003</v>
      </c>
      <c r="D2507" s="1">
        <v>-7.1632649099499996</v>
      </c>
      <c r="E2507" s="3">
        <v>2</v>
      </c>
      <c r="F2507" s="2">
        <v>3</v>
      </c>
      <c r="G2507" s="4">
        <v>3</v>
      </c>
      <c r="H2507" s="13"/>
      <c r="I2507" s="15"/>
      <c r="J2507" s="19">
        <v>3</v>
      </c>
      <c r="K2507" s="2" t="s">
        <v>5026</v>
      </c>
      <c r="L2507" s="11" t="str">
        <f t="shared" si="40"/>
        <v>Ver Imagen</v>
      </c>
      <c r="M2507" t="s">
        <v>15</v>
      </c>
    </row>
    <row r="2508" spans="1:13" x14ac:dyDescent="0.25">
      <c r="A2508">
        <v>2507</v>
      </c>
      <c r="B2508" t="s">
        <v>5027</v>
      </c>
      <c r="C2508" s="1">
        <v>37.455131069799997</v>
      </c>
      <c r="D2508" s="1">
        <v>-7.1657361797799997</v>
      </c>
      <c r="E2508" s="3">
        <v>2</v>
      </c>
      <c r="F2508" s="2">
        <v>3</v>
      </c>
      <c r="G2508" s="4">
        <v>3</v>
      </c>
      <c r="H2508" s="13"/>
      <c r="I2508" s="15"/>
      <c r="J2508" s="19">
        <v>3</v>
      </c>
      <c r="K2508" s="2" t="s">
        <v>5028</v>
      </c>
      <c r="L2508" s="11" t="str">
        <f t="shared" si="40"/>
        <v>Ver Imagen</v>
      </c>
      <c r="M2508" t="s">
        <v>15</v>
      </c>
    </row>
    <row r="2509" spans="1:13" x14ac:dyDescent="0.25">
      <c r="A2509">
        <v>2508</v>
      </c>
      <c r="B2509" t="s">
        <v>5029</v>
      </c>
      <c r="C2509" s="1">
        <v>37.455825958699997</v>
      </c>
      <c r="D2509" s="1">
        <v>-7.1665849027900004</v>
      </c>
      <c r="E2509" s="3">
        <v>2</v>
      </c>
      <c r="F2509" s="2">
        <v>3</v>
      </c>
      <c r="G2509" s="4">
        <v>3</v>
      </c>
      <c r="H2509" s="13"/>
      <c r="I2509" s="15"/>
      <c r="J2509" s="19">
        <v>3</v>
      </c>
      <c r="K2509" s="2" t="s">
        <v>5030</v>
      </c>
      <c r="L2509" s="11" t="str">
        <f t="shared" si="40"/>
        <v>Ver Imagen</v>
      </c>
      <c r="M2509" t="s">
        <v>15</v>
      </c>
    </row>
    <row r="2510" spans="1:13" x14ac:dyDescent="0.25">
      <c r="A2510">
        <v>2509</v>
      </c>
      <c r="B2510" t="s">
        <v>5031</v>
      </c>
      <c r="C2510" s="1">
        <v>37.456417500199997</v>
      </c>
      <c r="D2510" s="1">
        <v>-7.1673114300199998</v>
      </c>
      <c r="E2510" s="3">
        <v>2</v>
      </c>
      <c r="F2510" s="2">
        <v>3</v>
      </c>
      <c r="G2510" s="4">
        <v>3</v>
      </c>
      <c r="H2510" s="13"/>
      <c r="I2510" s="15"/>
      <c r="J2510" s="19">
        <v>3</v>
      </c>
      <c r="K2510" s="2" t="s">
        <v>5032</v>
      </c>
      <c r="L2510" s="11" t="str">
        <f t="shared" si="40"/>
        <v>Ver Imagen</v>
      </c>
      <c r="M2510" t="s">
        <v>15</v>
      </c>
    </row>
    <row r="2511" spans="1:13" x14ac:dyDescent="0.25">
      <c r="A2511">
        <v>2510</v>
      </c>
      <c r="B2511" t="s">
        <v>5033</v>
      </c>
      <c r="C2511" s="1">
        <v>37.456664031599999</v>
      </c>
      <c r="D2511" s="1">
        <v>-7.1676188410800004</v>
      </c>
      <c r="E2511" s="3">
        <v>2</v>
      </c>
      <c r="F2511" s="2">
        <v>3</v>
      </c>
      <c r="G2511" s="4">
        <v>3</v>
      </c>
      <c r="H2511" s="13"/>
      <c r="I2511" s="15"/>
      <c r="J2511" s="19">
        <v>3</v>
      </c>
      <c r="K2511" s="2" t="s">
        <v>5034</v>
      </c>
      <c r="L2511" s="11" t="str">
        <f t="shared" si="40"/>
        <v>Ver Imagen</v>
      </c>
      <c r="M2511" t="s">
        <v>15</v>
      </c>
    </row>
    <row r="2512" spans="1:13" x14ac:dyDescent="0.25">
      <c r="A2512">
        <v>2511</v>
      </c>
      <c r="B2512" t="s">
        <v>5035</v>
      </c>
      <c r="C2512" s="1">
        <v>37.4572703121</v>
      </c>
      <c r="D2512" s="1">
        <v>-7.1683713722100002</v>
      </c>
      <c r="E2512" s="3">
        <v>2</v>
      </c>
      <c r="F2512" s="2">
        <v>3</v>
      </c>
      <c r="G2512" s="4">
        <v>3</v>
      </c>
      <c r="H2512" s="13"/>
      <c r="I2512" s="15"/>
      <c r="J2512" s="19">
        <v>3</v>
      </c>
      <c r="K2512" s="2" t="s">
        <v>5036</v>
      </c>
      <c r="L2512" s="11" t="str">
        <f t="shared" si="40"/>
        <v>Ver Imagen</v>
      </c>
      <c r="M2512" t="s">
        <v>15</v>
      </c>
    </row>
    <row r="2513" spans="1:13" x14ac:dyDescent="0.25">
      <c r="A2513">
        <v>2512</v>
      </c>
      <c r="B2513" t="s">
        <v>5037</v>
      </c>
      <c r="C2513" s="1">
        <v>37.457708320800002</v>
      </c>
      <c r="D2513" s="1">
        <v>-7.1689069820800002</v>
      </c>
      <c r="E2513" s="3">
        <v>2</v>
      </c>
      <c r="F2513" s="2">
        <v>3</v>
      </c>
      <c r="G2513" s="4">
        <v>3</v>
      </c>
      <c r="H2513" s="13"/>
      <c r="I2513" s="15"/>
      <c r="J2513" s="19">
        <v>3</v>
      </c>
      <c r="K2513" s="2" t="s">
        <v>5038</v>
      </c>
      <c r="L2513" s="11" t="str">
        <f t="shared" si="40"/>
        <v>Ver Imagen</v>
      </c>
      <c r="M2513" t="s">
        <v>15</v>
      </c>
    </row>
    <row r="2514" spans="1:13" x14ac:dyDescent="0.25">
      <c r="A2514">
        <v>2513</v>
      </c>
      <c r="B2514" t="s">
        <v>5039</v>
      </c>
      <c r="C2514" s="1">
        <v>37.458145890099999</v>
      </c>
      <c r="D2514" s="1">
        <v>-7.1694447661899998</v>
      </c>
      <c r="E2514" s="3">
        <v>2</v>
      </c>
      <c r="F2514" s="2">
        <v>3</v>
      </c>
      <c r="G2514" s="4">
        <v>3</v>
      </c>
      <c r="H2514" s="13"/>
      <c r="I2514" s="15"/>
      <c r="J2514" s="19">
        <v>3</v>
      </c>
      <c r="K2514" s="2" t="s">
        <v>5040</v>
      </c>
      <c r="L2514" s="11" t="str">
        <f t="shared" si="40"/>
        <v>Ver Imagen</v>
      </c>
      <c r="M2514" t="s">
        <v>15</v>
      </c>
    </row>
    <row r="2515" spans="1:13" x14ac:dyDescent="0.25">
      <c r="A2515">
        <v>2514</v>
      </c>
      <c r="B2515" t="s">
        <v>5041</v>
      </c>
      <c r="C2515" s="1">
        <v>37.459455172399998</v>
      </c>
      <c r="D2515" s="1">
        <v>-7.1710509679200003</v>
      </c>
      <c r="E2515" s="3">
        <v>2</v>
      </c>
      <c r="F2515" s="2">
        <v>3</v>
      </c>
      <c r="G2515" s="4">
        <v>3</v>
      </c>
      <c r="H2515" s="13"/>
      <c r="I2515" s="15"/>
      <c r="J2515" s="19">
        <v>3</v>
      </c>
      <c r="K2515" s="2" t="s">
        <v>5042</v>
      </c>
      <c r="L2515" s="11" t="str">
        <f t="shared" si="40"/>
        <v>Ver Imagen</v>
      </c>
      <c r="M2515" t="s">
        <v>15</v>
      </c>
    </row>
    <row r="2516" spans="1:13" x14ac:dyDescent="0.25">
      <c r="A2516">
        <v>2515</v>
      </c>
      <c r="B2516" t="s">
        <v>5043</v>
      </c>
      <c r="C2516" s="1">
        <v>37.460339043600001</v>
      </c>
      <c r="D2516" s="1">
        <v>-7.1723939771099996</v>
      </c>
      <c r="E2516" s="3">
        <v>2</v>
      </c>
      <c r="F2516" s="2">
        <v>3</v>
      </c>
      <c r="G2516" s="4">
        <v>3</v>
      </c>
      <c r="H2516" s="13"/>
      <c r="I2516" s="15"/>
      <c r="J2516" s="19">
        <v>3</v>
      </c>
      <c r="K2516" s="2" t="s">
        <v>5044</v>
      </c>
      <c r="L2516" s="11" t="str">
        <f t="shared" si="40"/>
        <v>Ver Imagen</v>
      </c>
      <c r="M2516" t="s">
        <v>15</v>
      </c>
    </row>
    <row r="2517" spans="1:13" x14ac:dyDescent="0.25">
      <c r="A2517">
        <v>2516</v>
      </c>
      <c r="B2517" t="s">
        <v>5045</v>
      </c>
      <c r="C2517" s="1">
        <v>37.461122650999997</v>
      </c>
      <c r="D2517" s="1">
        <v>-7.1736840646399997</v>
      </c>
      <c r="E2517" s="3">
        <v>2</v>
      </c>
      <c r="F2517" s="2">
        <v>3</v>
      </c>
      <c r="G2517" s="4">
        <v>3</v>
      </c>
      <c r="H2517" s="13"/>
      <c r="I2517" s="15"/>
      <c r="J2517" s="19">
        <v>3</v>
      </c>
      <c r="K2517" s="2" t="s">
        <v>5046</v>
      </c>
      <c r="L2517" s="11" t="str">
        <f t="shared" si="40"/>
        <v>Ver Imagen</v>
      </c>
      <c r="M2517" t="s">
        <v>15</v>
      </c>
    </row>
    <row r="2518" spans="1:13" x14ac:dyDescent="0.25">
      <c r="A2518">
        <v>2517</v>
      </c>
      <c r="B2518" t="s">
        <v>5047</v>
      </c>
      <c r="C2518" s="1">
        <v>37.461217787700001</v>
      </c>
      <c r="D2518" s="1">
        <v>-7.1738417978499998</v>
      </c>
      <c r="E2518" s="3">
        <v>2</v>
      </c>
      <c r="F2518" s="2">
        <v>3</v>
      </c>
      <c r="G2518" s="4">
        <v>3</v>
      </c>
      <c r="H2518" s="13"/>
      <c r="I2518" s="15"/>
      <c r="J2518" s="19">
        <v>3</v>
      </c>
      <c r="K2518" s="2" t="s">
        <v>5048</v>
      </c>
      <c r="L2518" s="11" t="str">
        <f t="shared" si="40"/>
        <v>Ver Imagen</v>
      </c>
      <c r="M2518" t="s">
        <v>15</v>
      </c>
    </row>
    <row r="2519" spans="1:13" x14ac:dyDescent="0.25">
      <c r="A2519">
        <v>2518</v>
      </c>
      <c r="B2519" t="s">
        <v>5049</v>
      </c>
      <c r="C2519" s="1">
        <v>37.461325625000001</v>
      </c>
      <c r="D2519" s="1">
        <v>-7.1740209120599996</v>
      </c>
      <c r="E2519" s="3">
        <v>2</v>
      </c>
      <c r="F2519" s="2">
        <v>3</v>
      </c>
      <c r="G2519" s="4">
        <v>3</v>
      </c>
      <c r="H2519" s="13"/>
      <c r="I2519" s="15"/>
      <c r="J2519" s="19">
        <v>3</v>
      </c>
      <c r="K2519" s="2" t="s">
        <v>5050</v>
      </c>
      <c r="L2519" s="11" t="str">
        <f t="shared" si="40"/>
        <v>Ver Imagen</v>
      </c>
      <c r="M2519" t="s">
        <v>15</v>
      </c>
    </row>
    <row r="2520" spans="1:13" x14ac:dyDescent="0.25">
      <c r="A2520">
        <v>2519</v>
      </c>
      <c r="B2520" t="s">
        <v>5051</v>
      </c>
      <c r="C2520" s="1">
        <v>37.462225692600001</v>
      </c>
      <c r="D2520" s="1">
        <v>-7.1755012468699997</v>
      </c>
      <c r="E2520" s="3">
        <v>2</v>
      </c>
      <c r="F2520" s="2">
        <v>3</v>
      </c>
      <c r="G2520" s="4">
        <v>3</v>
      </c>
      <c r="H2520" s="13"/>
      <c r="I2520" s="15"/>
      <c r="J2520" s="19">
        <v>3</v>
      </c>
      <c r="K2520" s="2" t="s">
        <v>5052</v>
      </c>
      <c r="L2520" s="11" t="str">
        <f t="shared" si="40"/>
        <v>Ver Imagen</v>
      </c>
      <c r="M2520" t="s">
        <v>15</v>
      </c>
    </row>
    <row r="2521" spans="1:13" x14ac:dyDescent="0.25">
      <c r="A2521">
        <v>2520</v>
      </c>
      <c r="B2521" t="s">
        <v>5053</v>
      </c>
      <c r="C2521" s="1">
        <v>37.463759775600003</v>
      </c>
      <c r="D2521" s="1">
        <v>-7.1780625986900004</v>
      </c>
      <c r="E2521" s="3">
        <v>2</v>
      </c>
      <c r="F2521" s="2">
        <v>3</v>
      </c>
      <c r="G2521" s="4">
        <v>3</v>
      </c>
      <c r="H2521" s="13"/>
      <c r="I2521" s="15"/>
      <c r="J2521" s="19">
        <v>3</v>
      </c>
      <c r="K2521" s="2" t="s">
        <v>5054</v>
      </c>
      <c r="L2521" s="11" t="str">
        <f t="shared" si="40"/>
        <v>Ver Imagen</v>
      </c>
      <c r="M2521" t="s">
        <v>15</v>
      </c>
    </row>
    <row r="2522" spans="1:13" x14ac:dyDescent="0.25">
      <c r="A2522">
        <v>2521</v>
      </c>
      <c r="B2522" t="s">
        <v>5055</v>
      </c>
      <c r="C2522" s="1">
        <v>37.464043823899999</v>
      </c>
      <c r="D2522" s="1">
        <v>-7.1785972843800003</v>
      </c>
      <c r="E2522" s="3">
        <v>2</v>
      </c>
      <c r="F2522" s="2">
        <v>3</v>
      </c>
      <c r="G2522" s="4">
        <v>3</v>
      </c>
      <c r="H2522" s="13"/>
      <c r="I2522" s="15"/>
      <c r="J2522" s="19">
        <v>3</v>
      </c>
      <c r="K2522" s="2" t="s">
        <v>5056</v>
      </c>
      <c r="L2522" s="11" t="str">
        <f t="shared" si="40"/>
        <v>Ver Imagen</v>
      </c>
      <c r="M2522" t="s">
        <v>15</v>
      </c>
    </row>
    <row r="2523" spans="1:13" x14ac:dyDescent="0.25">
      <c r="A2523">
        <v>2522</v>
      </c>
      <c r="B2523" t="s">
        <v>5057</v>
      </c>
      <c r="C2523" s="1">
        <v>37.465168393500001</v>
      </c>
      <c r="D2523" s="1">
        <v>-7.18062079121</v>
      </c>
      <c r="E2523" s="3">
        <v>2</v>
      </c>
      <c r="F2523" s="2">
        <v>3</v>
      </c>
      <c r="G2523" s="4">
        <v>3</v>
      </c>
      <c r="H2523" s="13"/>
      <c r="I2523" s="15"/>
      <c r="J2523" s="19">
        <v>3</v>
      </c>
      <c r="K2523" s="2" t="s">
        <v>5058</v>
      </c>
      <c r="L2523" s="11" t="str">
        <f t="shared" si="40"/>
        <v>Ver Imagen</v>
      </c>
      <c r="M2523" t="s">
        <v>15</v>
      </c>
    </row>
    <row r="2524" spans="1:13" x14ac:dyDescent="0.25">
      <c r="A2524">
        <v>2523</v>
      </c>
      <c r="B2524" t="s">
        <v>5059</v>
      </c>
      <c r="C2524" s="1">
        <v>37.466416206399998</v>
      </c>
      <c r="D2524" s="1">
        <v>-7.1829473485199999</v>
      </c>
      <c r="E2524" s="3">
        <v>2</v>
      </c>
      <c r="F2524" s="2">
        <v>3</v>
      </c>
      <c r="G2524" s="4">
        <v>3</v>
      </c>
      <c r="H2524" s="13"/>
      <c r="I2524" s="15"/>
      <c r="J2524" s="19">
        <v>3</v>
      </c>
      <c r="K2524" s="2" t="s">
        <v>5060</v>
      </c>
      <c r="L2524" s="11" t="str">
        <f t="shared" si="40"/>
        <v>Ver Imagen</v>
      </c>
      <c r="M2524" t="s">
        <v>15</v>
      </c>
    </row>
    <row r="2525" spans="1:13" x14ac:dyDescent="0.25">
      <c r="A2525">
        <v>2524</v>
      </c>
      <c r="B2525" t="s">
        <v>5061</v>
      </c>
      <c r="C2525" s="1">
        <v>37.448881102500003</v>
      </c>
      <c r="D2525" s="1">
        <v>-7.1494814950199999</v>
      </c>
      <c r="E2525" s="3">
        <v>4</v>
      </c>
      <c r="F2525" s="2">
        <v>3</v>
      </c>
      <c r="G2525" s="4">
        <v>3</v>
      </c>
      <c r="H2525" s="13"/>
      <c r="I2525" s="15"/>
      <c r="J2525" s="19">
        <v>3</v>
      </c>
      <c r="K2525" s="2" t="s">
        <v>5062</v>
      </c>
      <c r="L2525" s="11" t="str">
        <f t="shared" si="40"/>
        <v>Ver Imagen</v>
      </c>
      <c r="M2525" t="s">
        <v>15</v>
      </c>
    </row>
    <row r="2526" spans="1:13" x14ac:dyDescent="0.25">
      <c r="A2526">
        <v>2525</v>
      </c>
      <c r="B2526" t="s">
        <v>5063</v>
      </c>
      <c r="C2526" s="1">
        <v>37.477656687100001</v>
      </c>
      <c r="D2526" s="1">
        <v>-7.2049056085599998</v>
      </c>
      <c r="E2526" s="3">
        <v>2</v>
      </c>
      <c r="F2526" s="2">
        <v>3</v>
      </c>
      <c r="G2526" s="4">
        <v>3</v>
      </c>
      <c r="H2526" s="13"/>
      <c r="I2526" s="15"/>
      <c r="J2526" s="19">
        <v>3</v>
      </c>
      <c r="K2526" s="2" t="s">
        <v>5064</v>
      </c>
      <c r="L2526" s="11" t="str">
        <f t="shared" si="40"/>
        <v>Ver Imagen</v>
      </c>
      <c r="M2526" t="s">
        <v>15</v>
      </c>
    </row>
    <row r="2527" spans="1:13" x14ac:dyDescent="0.25">
      <c r="A2527">
        <v>2526</v>
      </c>
      <c r="B2527" t="s">
        <v>5065</v>
      </c>
      <c r="C2527" s="1">
        <v>37.4785016935</v>
      </c>
      <c r="D2527" s="1">
        <v>-7.2068797057099996</v>
      </c>
      <c r="E2527" s="3">
        <v>2</v>
      </c>
      <c r="F2527" s="2">
        <v>3</v>
      </c>
      <c r="G2527" s="4">
        <v>3</v>
      </c>
      <c r="H2527" s="13"/>
      <c r="I2527" s="15"/>
      <c r="J2527" s="19">
        <v>3</v>
      </c>
      <c r="K2527" s="2" t="s">
        <v>5066</v>
      </c>
      <c r="L2527" s="11" t="str">
        <f t="shared" si="40"/>
        <v>Ver Imagen</v>
      </c>
      <c r="M2527" t="s">
        <v>15</v>
      </c>
    </row>
    <row r="2528" spans="1:13" x14ac:dyDescent="0.25">
      <c r="A2528">
        <v>2527</v>
      </c>
      <c r="B2528" t="s">
        <v>5067</v>
      </c>
      <c r="C2528" s="1">
        <v>37.478735200800003</v>
      </c>
      <c r="D2528" s="1">
        <v>-7.2074188424900001</v>
      </c>
      <c r="E2528" s="3">
        <v>2</v>
      </c>
      <c r="F2528" s="2">
        <v>3</v>
      </c>
      <c r="G2528" s="4">
        <v>3</v>
      </c>
      <c r="H2528" s="13"/>
      <c r="I2528" s="15"/>
      <c r="J2528" s="19">
        <v>3</v>
      </c>
      <c r="K2528" s="2" t="s">
        <v>5068</v>
      </c>
      <c r="L2528" s="11" t="str">
        <f t="shared" si="40"/>
        <v>Ver Imagen</v>
      </c>
      <c r="M2528" t="s">
        <v>15</v>
      </c>
    </row>
    <row r="2529" spans="1:13" x14ac:dyDescent="0.25">
      <c r="A2529">
        <v>2528</v>
      </c>
      <c r="B2529" t="s">
        <v>5069</v>
      </c>
      <c r="C2529" s="1">
        <v>37.4793789426</v>
      </c>
      <c r="D2529" s="1">
        <v>-7.2089434419399998</v>
      </c>
      <c r="E2529" s="3">
        <v>2</v>
      </c>
      <c r="F2529" s="2">
        <v>3</v>
      </c>
      <c r="G2529" s="4">
        <v>3</v>
      </c>
      <c r="H2529" s="13"/>
      <c r="I2529" s="15"/>
      <c r="J2529" s="19">
        <v>3</v>
      </c>
      <c r="K2529" s="2" t="s">
        <v>5070</v>
      </c>
      <c r="L2529" s="11" t="str">
        <f t="shared" si="40"/>
        <v>Ver Imagen</v>
      </c>
      <c r="M2529" t="s">
        <v>15</v>
      </c>
    </row>
    <row r="2530" spans="1:13" x14ac:dyDescent="0.25">
      <c r="A2530">
        <v>2529</v>
      </c>
      <c r="B2530" t="s">
        <v>5071</v>
      </c>
      <c r="C2530" s="1">
        <v>37.479471958600001</v>
      </c>
      <c r="D2530" s="1">
        <v>-7.2091519782300004</v>
      </c>
      <c r="E2530" s="3">
        <v>2</v>
      </c>
      <c r="F2530" s="2">
        <v>3</v>
      </c>
      <c r="G2530" s="4">
        <v>3</v>
      </c>
      <c r="H2530" s="13"/>
      <c r="I2530" s="15"/>
      <c r="J2530" s="19">
        <v>3</v>
      </c>
      <c r="K2530" s="2" t="s">
        <v>5072</v>
      </c>
      <c r="L2530" s="11" t="str">
        <f t="shared" si="40"/>
        <v>Ver Imagen</v>
      </c>
      <c r="M2530" t="s">
        <v>15</v>
      </c>
    </row>
    <row r="2531" spans="1:13" x14ac:dyDescent="0.25">
      <c r="A2531">
        <v>2530</v>
      </c>
      <c r="B2531" t="s">
        <v>5073</v>
      </c>
      <c r="C2531" s="1">
        <v>37.480065738999997</v>
      </c>
      <c r="D2531" s="1">
        <v>-7.2105124617599996</v>
      </c>
      <c r="E2531" s="3">
        <v>2</v>
      </c>
      <c r="F2531" s="2">
        <v>3</v>
      </c>
      <c r="G2531" s="4">
        <v>3</v>
      </c>
      <c r="H2531" s="13"/>
      <c r="I2531" s="15"/>
      <c r="J2531" s="19">
        <v>3</v>
      </c>
      <c r="K2531" s="2" t="s">
        <v>5074</v>
      </c>
      <c r="L2531" s="11" t="str">
        <f t="shared" si="40"/>
        <v>Ver Imagen</v>
      </c>
      <c r="M2531" t="s">
        <v>15</v>
      </c>
    </row>
    <row r="2532" spans="1:13" x14ac:dyDescent="0.25">
      <c r="A2532">
        <v>2531</v>
      </c>
      <c r="B2532" t="s">
        <v>5075</v>
      </c>
      <c r="C2532" s="1">
        <v>37.480241272100002</v>
      </c>
      <c r="D2532" s="1">
        <v>-7.2109200503800004</v>
      </c>
      <c r="E2532" s="3">
        <v>2</v>
      </c>
      <c r="F2532" s="2">
        <v>3</v>
      </c>
      <c r="G2532" s="4">
        <v>3</v>
      </c>
      <c r="H2532" s="13"/>
      <c r="I2532" s="15"/>
      <c r="J2532" s="19">
        <v>3</v>
      </c>
      <c r="K2532" s="2" t="s">
        <v>5076</v>
      </c>
      <c r="L2532" s="11" t="str">
        <f t="shared" si="40"/>
        <v>Ver Imagen</v>
      </c>
      <c r="M2532" t="s">
        <v>15</v>
      </c>
    </row>
    <row r="2533" spans="1:13" x14ac:dyDescent="0.25">
      <c r="A2533">
        <v>2532</v>
      </c>
      <c r="B2533" t="s">
        <v>5077</v>
      </c>
      <c r="C2533" s="1">
        <v>37.480450230400002</v>
      </c>
      <c r="D2533" s="1">
        <v>-7.2114030522999997</v>
      </c>
      <c r="E2533" s="3">
        <v>2</v>
      </c>
      <c r="F2533" s="2">
        <v>3</v>
      </c>
      <c r="G2533" s="4">
        <v>3</v>
      </c>
      <c r="H2533" s="13"/>
      <c r="I2533" s="15"/>
      <c r="J2533" s="19">
        <v>3</v>
      </c>
      <c r="K2533" s="2" t="s">
        <v>5078</v>
      </c>
      <c r="L2533" s="11" t="str">
        <f t="shared" si="40"/>
        <v>Ver Imagen</v>
      </c>
      <c r="M2533" t="s">
        <v>15</v>
      </c>
    </row>
    <row r="2534" spans="1:13" x14ac:dyDescent="0.25">
      <c r="A2534">
        <v>2533</v>
      </c>
      <c r="B2534" t="s">
        <v>5079</v>
      </c>
      <c r="C2534" s="1">
        <v>37.480641609700001</v>
      </c>
      <c r="D2534" s="1">
        <v>-7.2118813129900001</v>
      </c>
      <c r="E2534" s="3">
        <v>2</v>
      </c>
      <c r="F2534" s="2">
        <v>3</v>
      </c>
      <c r="G2534" s="4">
        <v>3</v>
      </c>
      <c r="H2534" s="13"/>
      <c r="I2534" s="15"/>
      <c r="J2534" s="19">
        <v>3</v>
      </c>
      <c r="K2534" s="2" t="s">
        <v>5080</v>
      </c>
      <c r="L2534" s="11" t="str">
        <f t="shared" si="40"/>
        <v>Ver Imagen</v>
      </c>
      <c r="M2534" t="s">
        <v>15</v>
      </c>
    </row>
    <row r="2535" spans="1:13" x14ac:dyDescent="0.25">
      <c r="A2535">
        <v>2534</v>
      </c>
      <c r="B2535" t="s">
        <v>5081</v>
      </c>
      <c r="C2535" s="1">
        <v>37.481249928899999</v>
      </c>
      <c r="D2535" s="1">
        <v>-7.2135362381499997</v>
      </c>
      <c r="E2535" s="3">
        <v>2</v>
      </c>
      <c r="F2535" s="2">
        <v>3</v>
      </c>
      <c r="G2535" s="4">
        <v>3</v>
      </c>
      <c r="H2535" s="13"/>
      <c r="I2535" s="15"/>
      <c r="J2535" s="19">
        <v>3</v>
      </c>
      <c r="K2535" s="2" t="s">
        <v>5082</v>
      </c>
      <c r="L2535" s="11" t="str">
        <f t="shared" si="40"/>
        <v>Ver Imagen</v>
      </c>
      <c r="M2535" t="s">
        <v>15</v>
      </c>
    </row>
    <row r="2536" spans="1:13" x14ac:dyDescent="0.25">
      <c r="A2536">
        <v>2535</v>
      </c>
      <c r="B2536" t="s">
        <v>5083</v>
      </c>
      <c r="C2536" s="1">
        <v>37.481399118100001</v>
      </c>
      <c r="D2536" s="1">
        <v>-7.2139391010500002</v>
      </c>
      <c r="E2536" s="3">
        <v>2</v>
      </c>
      <c r="F2536" s="2">
        <v>3</v>
      </c>
      <c r="G2536" s="4">
        <v>3</v>
      </c>
      <c r="H2536" s="13"/>
      <c r="I2536" s="15"/>
      <c r="J2536" s="19">
        <v>3</v>
      </c>
      <c r="K2536" s="2" t="s">
        <v>5084</v>
      </c>
      <c r="L2536" s="11" t="str">
        <f t="shared" si="40"/>
        <v>Ver Imagen</v>
      </c>
      <c r="M2536" t="s">
        <v>15</v>
      </c>
    </row>
    <row r="2537" spans="1:13" x14ac:dyDescent="0.25">
      <c r="A2537">
        <v>2536</v>
      </c>
      <c r="B2537" t="s">
        <v>5085</v>
      </c>
      <c r="C2537" s="1">
        <v>37.482520308300003</v>
      </c>
      <c r="D2537" s="1">
        <v>-7.2177371234600001</v>
      </c>
      <c r="E2537" s="3">
        <v>2</v>
      </c>
      <c r="F2537" s="2">
        <v>3</v>
      </c>
      <c r="G2537" s="4">
        <v>3</v>
      </c>
      <c r="H2537" s="13"/>
      <c r="I2537" s="15"/>
      <c r="J2537" s="19">
        <v>3</v>
      </c>
      <c r="K2537" s="2" t="s">
        <v>5086</v>
      </c>
      <c r="L2537" s="11" t="str">
        <f t="shared" ref="L2537:L2600" si="41">HYPERLINK("3\1\" &amp; K2537, "Ver Imagen")</f>
        <v>Ver Imagen</v>
      </c>
      <c r="M2537" t="s">
        <v>15</v>
      </c>
    </row>
    <row r="2538" spans="1:13" x14ac:dyDescent="0.25">
      <c r="A2538">
        <v>2537</v>
      </c>
      <c r="B2538" t="s">
        <v>5087</v>
      </c>
      <c r="C2538" s="1">
        <v>37.482631340099999</v>
      </c>
      <c r="D2538" s="1">
        <v>-7.2182994109200003</v>
      </c>
      <c r="E2538" s="3">
        <v>2</v>
      </c>
      <c r="F2538" s="2">
        <v>3</v>
      </c>
      <c r="G2538" s="4">
        <v>3</v>
      </c>
      <c r="H2538" s="13"/>
      <c r="I2538" s="15"/>
      <c r="J2538" s="19">
        <v>3</v>
      </c>
      <c r="K2538" s="2" t="s">
        <v>5088</v>
      </c>
      <c r="L2538" s="11" t="str">
        <f t="shared" si="41"/>
        <v>Ver Imagen</v>
      </c>
      <c r="M2538" t="s">
        <v>15</v>
      </c>
    </row>
    <row r="2539" spans="1:13" x14ac:dyDescent="0.25">
      <c r="A2539">
        <v>2538</v>
      </c>
      <c r="B2539" t="s">
        <v>5089</v>
      </c>
      <c r="C2539" s="1">
        <v>37.483299158999998</v>
      </c>
      <c r="D2539" s="1">
        <v>-7.2216884055300001</v>
      </c>
      <c r="E2539" s="3">
        <v>2</v>
      </c>
      <c r="F2539" s="2">
        <v>3</v>
      </c>
      <c r="G2539" s="4">
        <v>3</v>
      </c>
      <c r="H2539" s="13"/>
      <c r="I2539" s="15"/>
      <c r="J2539" s="19">
        <v>3</v>
      </c>
      <c r="K2539" s="2" t="s">
        <v>5090</v>
      </c>
      <c r="L2539" s="11" t="str">
        <f t="shared" si="41"/>
        <v>Ver Imagen</v>
      </c>
      <c r="M2539" t="s">
        <v>15</v>
      </c>
    </row>
    <row r="2540" spans="1:13" x14ac:dyDescent="0.25">
      <c r="A2540">
        <v>2539</v>
      </c>
      <c r="B2540" t="s">
        <v>5091</v>
      </c>
      <c r="C2540" s="1">
        <v>37.483583700700002</v>
      </c>
      <c r="D2540" s="1">
        <v>-7.2231496154199997</v>
      </c>
      <c r="E2540" s="3">
        <v>2</v>
      </c>
      <c r="F2540" s="2">
        <v>3</v>
      </c>
      <c r="G2540" s="4">
        <v>3</v>
      </c>
      <c r="H2540" s="13"/>
      <c r="I2540" s="15"/>
      <c r="J2540" s="19">
        <v>3</v>
      </c>
      <c r="K2540" s="2" t="s">
        <v>5092</v>
      </c>
      <c r="L2540" s="11" t="str">
        <f t="shared" si="41"/>
        <v>Ver Imagen</v>
      </c>
      <c r="M2540" t="s">
        <v>15</v>
      </c>
    </row>
    <row r="2541" spans="1:13" x14ac:dyDescent="0.25">
      <c r="A2541">
        <v>2540</v>
      </c>
      <c r="B2541" t="s">
        <v>5093</v>
      </c>
      <c r="C2541" s="1">
        <v>37.4836295729</v>
      </c>
      <c r="D2541" s="1">
        <v>-7.2233845306499997</v>
      </c>
      <c r="E2541" s="3">
        <v>2</v>
      </c>
      <c r="F2541" s="2">
        <v>3</v>
      </c>
      <c r="G2541" s="4">
        <v>3</v>
      </c>
      <c r="H2541" s="13"/>
      <c r="I2541" s="15"/>
      <c r="J2541" s="19">
        <v>3</v>
      </c>
      <c r="K2541" s="2" t="s">
        <v>5094</v>
      </c>
      <c r="L2541" s="11" t="str">
        <f t="shared" si="41"/>
        <v>Ver Imagen</v>
      </c>
      <c r="M2541" t="s">
        <v>15</v>
      </c>
    </row>
    <row r="2542" spans="1:13" x14ac:dyDescent="0.25">
      <c r="A2542">
        <v>2541</v>
      </c>
      <c r="B2542" t="s">
        <v>5095</v>
      </c>
      <c r="C2542" s="1">
        <v>37.4845421331</v>
      </c>
      <c r="D2542" s="1">
        <v>-7.2280952786899997</v>
      </c>
      <c r="E2542" s="3">
        <v>2</v>
      </c>
      <c r="F2542" s="2">
        <v>3</v>
      </c>
      <c r="G2542" s="4">
        <v>3</v>
      </c>
      <c r="H2542" s="13"/>
      <c r="I2542" s="15"/>
      <c r="J2542" s="19">
        <v>3</v>
      </c>
      <c r="K2542" s="2" t="s">
        <v>5096</v>
      </c>
      <c r="L2542" s="11" t="str">
        <f t="shared" si="41"/>
        <v>Ver Imagen</v>
      </c>
      <c r="M2542" t="s">
        <v>15</v>
      </c>
    </row>
    <row r="2543" spans="1:13" x14ac:dyDescent="0.25">
      <c r="A2543">
        <v>2542</v>
      </c>
      <c r="B2543" t="s">
        <v>5097</v>
      </c>
      <c r="C2543" s="1">
        <v>37.484642778400001</v>
      </c>
      <c r="D2543" s="1">
        <v>-7.2286070990900004</v>
      </c>
      <c r="E2543" s="3">
        <v>2</v>
      </c>
      <c r="F2543" s="2">
        <v>3</v>
      </c>
      <c r="G2543" s="4">
        <v>3</v>
      </c>
      <c r="H2543" s="13"/>
      <c r="I2543" s="15"/>
      <c r="J2543" s="19">
        <v>3</v>
      </c>
      <c r="K2543" s="2" t="s">
        <v>5098</v>
      </c>
      <c r="L2543" s="11" t="str">
        <f t="shared" si="41"/>
        <v>Ver Imagen</v>
      </c>
      <c r="M2543" t="s">
        <v>15</v>
      </c>
    </row>
    <row r="2544" spans="1:13" x14ac:dyDescent="0.25">
      <c r="A2544">
        <v>2543</v>
      </c>
      <c r="B2544" t="s">
        <v>5099</v>
      </c>
      <c r="C2544" s="1">
        <v>37.485878375699997</v>
      </c>
      <c r="D2544" s="1">
        <v>-7.2350491340099996</v>
      </c>
      <c r="E2544" s="3">
        <v>2</v>
      </c>
      <c r="F2544" s="2">
        <v>3</v>
      </c>
      <c r="G2544" s="4">
        <v>3</v>
      </c>
      <c r="H2544" s="13"/>
      <c r="I2544" s="15"/>
      <c r="J2544" s="19">
        <v>3</v>
      </c>
      <c r="K2544" s="2" t="s">
        <v>5100</v>
      </c>
      <c r="L2544" s="11" t="str">
        <f t="shared" si="41"/>
        <v>Ver Imagen</v>
      </c>
      <c r="M2544" t="s">
        <v>15</v>
      </c>
    </row>
    <row r="2545" spans="1:13" x14ac:dyDescent="0.25">
      <c r="A2545">
        <v>2544</v>
      </c>
      <c r="B2545" t="s">
        <v>5101</v>
      </c>
      <c r="C2545" s="1">
        <v>37.487503627700001</v>
      </c>
      <c r="D2545" s="1">
        <v>-7.2441500058499999</v>
      </c>
      <c r="E2545" s="3">
        <v>2</v>
      </c>
      <c r="F2545" s="2">
        <v>3</v>
      </c>
      <c r="G2545" s="4">
        <v>3</v>
      </c>
      <c r="H2545" s="13"/>
      <c r="I2545" s="15"/>
      <c r="J2545" s="19">
        <v>3</v>
      </c>
      <c r="K2545" s="2" t="s">
        <v>5102</v>
      </c>
      <c r="L2545" s="11" t="str">
        <f t="shared" si="41"/>
        <v>Ver Imagen</v>
      </c>
      <c r="M2545" t="s">
        <v>15</v>
      </c>
    </row>
    <row r="2546" spans="1:13" x14ac:dyDescent="0.25">
      <c r="A2546">
        <v>2545</v>
      </c>
      <c r="B2546" t="s">
        <v>5103</v>
      </c>
      <c r="C2546" s="1">
        <v>37.4878612567</v>
      </c>
      <c r="D2546" s="1">
        <v>-7.2450526418600001</v>
      </c>
      <c r="E2546" s="3">
        <v>2</v>
      </c>
      <c r="F2546" s="2">
        <v>3</v>
      </c>
      <c r="G2546" s="4">
        <v>3</v>
      </c>
      <c r="H2546" s="13"/>
      <c r="I2546" s="15"/>
      <c r="J2546" s="19">
        <v>3</v>
      </c>
      <c r="K2546" s="2" t="s">
        <v>5104</v>
      </c>
      <c r="L2546" s="11" t="str">
        <f t="shared" si="41"/>
        <v>Ver Imagen</v>
      </c>
      <c r="M2546" t="s">
        <v>15</v>
      </c>
    </row>
    <row r="2547" spans="1:13" x14ac:dyDescent="0.25">
      <c r="A2547">
        <v>2546</v>
      </c>
      <c r="B2547" t="s">
        <v>5105</v>
      </c>
      <c r="C2547" s="1">
        <v>37.488591977900001</v>
      </c>
      <c r="D2547" s="1">
        <v>-7.2469049081800003</v>
      </c>
      <c r="E2547" s="3">
        <v>2</v>
      </c>
      <c r="F2547" s="2">
        <v>3</v>
      </c>
      <c r="G2547" s="4">
        <v>3</v>
      </c>
      <c r="H2547" s="13"/>
      <c r="I2547" s="15"/>
      <c r="J2547" s="19">
        <v>3</v>
      </c>
      <c r="K2547" s="2" t="s">
        <v>5106</v>
      </c>
      <c r="L2547" s="11" t="str">
        <f t="shared" si="41"/>
        <v>Ver Imagen</v>
      </c>
      <c r="M2547" t="s">
        <v>15</v>
      </c>
    </row>
    <row r="2548" spans="1:13" x14ac:dyDescent="0.25">
      <c r="A2548">
        <v>2547</v>
      </c>
      <c r="B2548" t="s">
        <v>5107</v>
      </c>
      <c r="C2548" s="1">
        <v>37.4889108343</v>
      </c>
      <c r="D2548" s="1">
        <v>-7.2475055478100003</v>
      </c>
      <c r="E2548" s="3">
        <v>2</v>
      </c>
      <c r="F2548" s="2">
        <v>3</v>
      </c>
      <c r="G2548" s="4">
        <v>3</v>
      </c>
      <c r="H2548" s="13"/>
      <c r="I2548" s="15"/>
      <c r="J2548" s="19">
        <v>3</v>
      </c>
      <c r="K2548" s="2" t="s">
        <v>5108</v>
      </c>
      <c r="L2548" s="11" t="str">
        <f t="shared" si="41"/>
        <v>Ver Imagen</v>
      </c>
      <c r="M2548" t="s">
        <v>15</v>
      </c>
    </row>
    <row r="2549" spans="1:13" x14ac:dyDescent="0.25">
      <c r="A2549">
        <v>2548</v>
      </c>
      <c r="B2549" t="s">
        <v>5109</v>
      </c>
      <c r="C2549" s="1">
        <v>37.492543443199999</v>
      </c>
      <c r="D2549" s="1">
        <v>-7.2620865873099998</v>
      </c>
      <c r="E2549" s="3">
        <v>2</v>
      </c>
      <c r="F2549" s="2">
        <v>3</v>
      </c>
      <c r="G2549" s="4">
        <v>3</v>
      </c>
      <c r="H2549" s="13"/>
      <c r="I2549" s="15"/>
      <c r="J2549" s="19">
        <v>3</v>
      </c>
      <c r="K2549" s="2" t="s">
        <v>5110</v>
      </c>
      <c r="L2549" s="11" t="str">
        <f t="shared" si="41"/>
        <v>Ver Imagen</v>
      </c>
      <c r="M2549" t="s">
        <v>15</v>
      </c>
    </row>
    <row r="2550" spans="1:13" x14ac:dyDescent="0.25">
      <c r="A2550">
        <v>2549</v>
      </c>
      <c r="B2550" t="s">
        <v>5111</v>
      </c>
      <c r="C2550" s="1">
        <v>37.492807629700003</v>
      </c>
      <c r="D2550" s="1">
        <v>-7.2625681552000003</v>
      </c>
      <c r="E2550" s="3">
        <v>2</v>
      </c>
      <c r="F2550" s="2">
        <v>3</v>
      </c>
      <c r="G2550" s="4">
        <v>3</v>
      </c>
      <c r="H2550" s="13"/>
      <c r="I2550" s="15"/>
      <c r="J2550" s="19">
        <v>3</v>
      </c>
      <c r="K2550" s="2" t="s">
        <v>5112</v>
      </c>
      <c r="L2550" s="11" t="str">
        <f t="shared" si="41"/>
        <v>Ver Imagen</v>
      </c>
      <c r="M2550" t="s">
        <v>15</v>
      </c>
    </row>
    <row r="2551" spans="1:13" x14ac:dyDescent="0.25">
      <c r="A2551">
        <v>2550</v>
      </c>
      <c r="B2551" t="s">
        <v>5113</v>
      </c>
      <c r="C2551" s="1">
        <v>37.494305867100003</v>
      </c>
      <c r="D2551" s="1">
        <v>-7.2658538807599999</v>
      </c>
      <c r="E2551" s="3">
        <v>2</v>
      </c>
      <c r="F2551" s="2">
        <v>3</v>
      </c>
      <c r="G2551" s="4">
        <v>3</v>
      </c>
      <c r="H2551" s="13"/>
      <c r="I2551" s="15"/>
      <c r="J2551" s="19">
        <v>3</v>
      </c>
      <c r="K2551" s="2" t="s">
        <v>5114</v>
      </c>
      <c r="L2551" s="11" t="str">
        <f t="shared" si="41"/>
        <v>Ver Imagen</v>
      </c>
      <c r="M2551" t="s">
        <v>15</v>
      </c>
    </row>
    <row r="2552" spans="1:13" x14ac:dyDescent="0.25">
      <c r="A2552">
        <v>2551</v>
      </c>
      <c r="B2552" t="s">
        <v>5115</v>
      </c>
      <c r="C2552" s="1">
        <v>37.494771061100003</v>
      </c>
      <c r="D2552" s="1">
        <v>-7.2666468292299999</v>
      </c>
      <c r="E2552" s="3">
        <v>2</v>
      </c>
      <c r="F2552" s="2">
        <v>3</v>
      </c>
      <c r="G2552" s="4">
        <v>3</v>
      </c>
      <c r="H2552" s="13"/>
      <c r="I2552" s="15"/>
      <c r="J2552" s="19">
        <v>3</v>
      </c>
      <c r="K2552" s="2" t="s">
        <v>5116</v>
      </c>
      <c r="L2552" s="11" t="str">
        <f t="shared" si="41"/>
        <v>Ver Imagen</v>
      </c>
      <c r="M2552" t="s">
        <v>15</v>
      </c>
    </row>
    <row r="2553" spans="1:13" x14ac:dyDescent="0.25">
      <c r="A2553">
        <v>2552</v>
      </c>
      <c r="B2553" t="s">
        <v>5117</v>
      </c>
      <c r="C2553" s="1">
        <v>37.278967000400002</v>
      </c>
      <c r="D2553" s="1">
        <v>-6.9943703490300004</v>
      </c>
      <c r="E2553" s="3">
        <v>3</v>
      </c>
      <c r="F2553" s="2">
        <v>2</v>
      </c>
      <c r="G2553" s="4">
        <v>3</v>
      </c>
      <c r="H2553" s="13"/>
      <c r="I2553" s="15"/>
      <c r="J2553" s="19">
        <v>3</v>
      </c>
      <c r="K2553" s="2" t="s">
        <v>5118</v>
      </c>
      <c r="L2553" s="11" t="str">
        <f t="shared" si="41"/>
        <v>Ver Imagen</v>
      </c>
      <c r="M2553" t="s">
        <v>15</v>
      </c>
    </row>
    <row r="2554" spans="1:13" x14ac:dyDescent="0.25">
      <c r="A2554">
        <v>2553</v>
      </c>
      <c r="B2554" t="s">
        <v>5119</v>
      </c>
      <c r="C2554" s="1">
        <v>37.279123802199997</v>
      </c>
      <c r="D2554" s="1">
        <v>-6.9949128760999999</v>
      </c>
      <c r="E2554" s="3">
        <v>3</v>
      </c>
      <c r="F2554" s="2">
        <v>2</v>
      </c>
      <c r="G2554" s="4">
        <v>3</v>
      </c>
      <c r="H2554" s="13"/>
      <c r="I2554" s="15"/>
      <c r="J2554" s="19">
        <v>3</v>
      </c>
      <c r="K2554" s="2" t="s">
        <v>5120</v>
      </c>
      <c r="L2554" s="11" t="str">
        <f t="shared" si="41"/>
        <v>Ver Imagen</v>
      </c>
      <c r="M2554" t="s">
        <v>15</v>
      </c>
    </row>
    <row r="2555" spans="1:13" x14ac:dyDescent="0.25">
      <c r="A2555">
        <v>2554</v>
      </c>
      <c r="B2555" t="s">
        <v>5121</v>
      </c>
      <c r="C2555" s="1">
        <v>37.280490479900003</v>
      </c>
      <c r="D2555" s="1">
        <v>-7.0017311546699998</v>
      </c>
      <c r="E2555" s="3">
        <v>3</v>
      </c>
      <c r="F2555" s="2">
        <v>2</v>
      </c>
      <c r="G2555" s="4">
        <v>3</v>
      </c>
      <c r="H2555" s="13"/>
      <c r="I2555" s="15"/>
      <c r="J2555" s="19">
        <v>3</v>
      </c>
      <c r="K2555" s="2" t="s">
        <v>5122</v>
      </c>
      <c r="L2555" s="11" t="str">
        <f t="shared" si="41"/>
        <v>Ver Imagen</v>
      </c>
      <c r="M2555" t="s">
        <v>15</v>
      </c>
    </row>
    <row r="2556" spans="1:13" x14ac:dyDescent="0.25">
      <c r="A2556">
        <v>2555</v>
      </c>
      <c r="B2556" t="s">
        <v>5123</v>
      </c>
      <c r="C2556" s="1">
        <v>37.280535169099998</v>
      </c>
      <c r="D2556" s="1">
        <v>-7.0020060444799999</v>
      </c>
      <c r="E2556" s="3">
        <v>2</v>
      </c>
      <c r="F2556" s="2">
        <v>3</v>
      </c>
      <c r="G2556" s="4">
        <v>3</v>
      </c>
      <c r="H2556" s="13"/>
      <c r="I2556" s="15"/>
      <c r="J2556" s="19">
        <v>3</v>
      </c>
      <c r="K2556" s="2" t="s">
        <v>5124</v>
      </c>
      <c r="L2556" s="11" t="str">
        <f t="shared" si="41"/>
        <v>Ver Imagen</v>
      </c>
      <c r="M2556" t="s">
        <v>15</v>
      </c>
    </row>
    <row r="2557" spans="1:13" x14ac:dyDescent="0.25">
      <c r="A2557">
        <v>2556</v>
      </c>
      <c r="B2557" t="s">
        <v>5125</v>
      </c>
      <c r="C2557" s="1">
        <v>37.280662171499998</v>
      </c>
      <c r="D2557" s="1">
        <v>-7.0039811025200001</v>
      </c>
      <c r="E2557" s="3">
        <v>3</v>
      </c>
      <c r="F2557" s="2">
        <v>2</v>
      </c>
      <c r="G2557" s="4">
        <v>3</v>
      </c>
      <c r="H2557" s="13"/>
      <c r="I2557" s="15"/>
      <c r="J2557" s="19">
        <v>3</v>
      </c>
      <c r="K2557" s="2" t="s">
        <v>5126</v>
      </c>
      <c r="L2557" s="11" t="str">
        <f t="shared" si="41"/>
        <v>Ver Imagen</v>
      </c>
      <c r="M2557" t="s">
        <v>15</v>
      </c>
    </row>
    <row r="2558" spans="1:13" x14ac:dyDescent="0.25">
      <c r="A2558">
        <v>2557</v>
      </c>
      <c r="B2558" t="s">
        <v>5127</v>
      </c>
      <c r="C2558" s="1">
        <v>37.280613454700003</v>
      </c>
      <c r="D2558" s="1">
        <v>-7.0042658254900001</v>
      </c>
      <c r="E2558" s="3">
        <v>3</v>
      </c>
      <c r="F2558" s="2">
        <v>2</v>
      </c>
      <c r="G2558" s="4">
        <v>3</v>
      </c>
      <c r="H2558" s="13"/>
      <c r="I2558" s="15"/>
      <c r="J2558" s="19">
        <v>3</v>
      </c>
      <c r="K2558" s="2" t="s">
        <v>5128</v>
      </c>
      <c r="L2558" s="11" t="str">
        <f t="shared" si="41"/>
        <v>Ver Imagen</v>
      </c>
      <c r="M2558" t="s">
        <v>15</v>
      </c>
    </row>
    <row r="2559" spans="1:13" x14ac:dyDescent="0.25">
      <c r="A2559">
        <v>2558</v>
      </c>
      <c r="B2559" t="s">
        <v>5129</v>
      </c>
      <c r="C2559" s="1">
        <v>37.280554469000002</v>
      </c>
      <c r="D2559" s="1">
        <v>-7.0045083011199996</v>
      </c>
      <c r="E2559" s="3">
        <v>2</v>
      </c>
      <c r="F2559" s="2">
        <v>3</v>
      </c>
      <c r="G2559" s="4">
        <v>3</v>
      </c>
      <c r="H2559" s="13"/>
      <c r="I2559" s="15"/>
      <c r="J2559" s="19">
        <v>3</v>
      </c>
      <c r="K2559" s="2" t="s">
        <v>5130</v>
      </c>
      <c r="L2559" s="11" t="str">
        <f t="shared" si="41"/>
        <v>Ver Imagen</v>
      </c>
      <c r="M2559" t="s">
        <v>15</v>
      </c>
    </row>
    <row r="2560" spans="1:13" x14ac:dyDescent="0.25">
      <c r="A2560">
        <v>2559</v>
      </c>
      <c r="B2560" t="s">
        <v>5131</v>
      </c>
      <c r="C2560" s="1">
        <v>37.279777252499997</v>
      </c>
      <c r="D2560" s="1">
        <v>-7.0065722388099996</v>
      </c>
      <c r="E2560" s="3">
        <v>2</v>
      </c>
      <c r="F2560" s="2">
        <v>3</v>
      </c>
      <c r="G2560" s="4">
        <v>3</v>
      </c>
      <c r="H2560" s="13"/>
      <c r="I2560" s="15"/>
      <c r="J2560" s="19">
        <v>3</v>
      </c>
      <c r="K2560" s="2" t="s">
        <v>5132</v>
      </c>
      <c r="L2560" s="11" t="str">
        <f t="shared" si="41"/>
        <v>Ver Imagen</v>
      </c>
      <c r="M2560" t="s">
        <v>15</v>
      </c>
    </row>
    <row r="2561" spans="1:13" x14ac:dyDescent="0.25">
      <c r="A2561">
        <v>2560</v>
      </c>
      <c r="B2561" t="s">
        <v>5133</v>
      </c>
      <c r="C2561" s="1">
        <v>37.278787954099997</v>
      </c>
      <c r="D2561" s="1">
        <v>-7.0091002787900001</v>
      </c>
      <c r="E2561" s="3">
        <v>2</v>
      </c>
      <c r="F2561" s="2">
        <v>3</v>
      </c>
      <c r="G2561" s="4">
        <v>3</v>
      </c>
      <c r="H2561" s="13"/>
      <c r="I2561" s="15"/>
      <c r="J2561" s="19">
        <v>3</v>
      </c>
      <c r="K2561" s="2" t="s">
        <v>5134</v>
      </c>
      <c r="L2561" s="11" t="str">
        <f t="shared" si="41"/>
        <v>Ver Imagen</v>
      </c>
      <c r="M2561" t="s">
        <v>15</v>
      </c>
    </row>
    <row r="2562" spans="1:13" x14ac:dyDescent="0.25">
      <c r="A2562">
        <v>2561</v>
      </c>
      <c r="B2562" t="s">
        <v>5135</v>
      </c>
      <c r="C2562" s="1">
        <v>37.278700416500001</v>
      </c>
      <c r="D2562" s="1">
        <v>-7.0093146314699997</v>
      </c>
      <c r="E2562" s="3">
        <v>2</v>
      </c>
      <c r="F2562" s="2">
        <v>3</v>
      </c>
      <c r="G2562" s="4">
        <v>3</v>
      </c>
      <c r="H2562" s="13"/>
      <c r="I2562" s="15"/>
      <c r="J2562" s="19">
        <v>3</v>
      </c>
      <c r="K2562" s="2" t="s">
        <v>5136</v>
      </c>
      <c r="L2562" s="11" t="str">
        <f t="shared" si="41"/>
        <v>Ver Imagen</v>
      </c>
      <c r="M2562" t="s">
        <v>15</v>
      </c>
    </row>
    <row r="2563" spans="1:13" x14ac:dyDescent="0.25">
      <c r="A2563">
        <v>2562</v>
      </c>
      <c r="B2563" t="s">
        <v>5137</v>
      </c>
      <c r="C2563" s="1">
        <v>37.278294437699998</v>
      </c>
      <c r="D2563" s="1">
        <v>-7.0101823527000002</v>
      </c>
      <c r="E2563" s="3">
        <v>2</v>
      </c>
      <c r="F2563" s="2">
        <v>3</v>
      </c>
      <c r="G2563" s="4">
        <v>3</v>
      </c>
      <c r="H2563" s="13"/>
      <c r="I2563" s="15"/>
      <c r="J2563" s="19">
        <v>3</v>
      </c>
      <c r="K2563" s="2" t="s">
        <v>5138</v>
      </c>
      <c r="L2563" s="11" t="str">
        <f t="shared" si="41"/>
        <v>Ver Imagen</v>
      </c>
      <c r="M2563" t="s">
        <v>15</v>
      </c>
    </row>
    <row r="2564" spans="1:13" x14ac:dyDescent="0.25">
      <c r="A2564">
        <v>2563</v>
      </c>
      <c r="B2564" t="s">
        <v>5139</v>
      </c>
      <c r="C2564" s="1">
        <v>37.278060780700002</v>
      </c>
      <c r="D2564" s="1">
        <v>-7.0106176331899999</v>
      </c>
      <c r="E2564" s="3">
        <v>2</v>
      </c>
      <c r="F2564" s="2">
        <v>3</v>
      </c>
      <c r="G2564" s="4">
        <v>3</v>
      </c>
      <c r="H2564" s="13"/>
      <c r="I2564" s="15"/>
      <c r="J2564" s="19">
        <v>3</v>
      </c>
      <c r="K2564" s="2" t="s">
        <v>5140</v>
      </c>
      <c r="L2564" s="11" t="str">
        <f t="shared" si="41"/>
        <v>Ver Imagen</v>
      </c>
      <c r="M2564" t="s">
        <v>15</v>
      </c>
    </row>
    <row r="2565" spans="1:13" x14ac:dyDescent="0.25">
      <c r="A2565">
        <v>2564</v>
      </c>
      <c r="B2565" t="s">
        <v>5141</v>
      </c>
      <c r="C2565" s="1">
        <v>37.277852503399998</v>
      </c>
      <c r="D2565" s="1">
        <v>-7.0109955715599996</v>
      </c>
      <c r="E2565" s="3">
        <v>2</v>
      </c>
      <c r="F2565" s="2">
        <v>3</v>
      </c>
      <c r="G2565" s="4">
        <v>3</v>
      </c>
      <c r="H2565" s="13"/>
      <c r="I2565" s="15"/>
      <c r="J2565" s="19">
        <v>3</v>
      </c>
      <c r="K2565" s="2" t="s">
        <v>5142</v>
      </c>
      <c r="L2565" s="11" t="str">
        <f t="shared" si="41"/>
        <v>Ver Imagen</v>
      </c>
      <c r="M2565" t="s">
        <v>15</v>
      </c>
    </row>
    <row r="2566" spans="1:13" x14ac:dyDescent="0.25">
      <c r="A2566">
        <v>2565</v>
      </c>
      <c r="B2566" t="s">
        <v>5143</v>
      </c>
      <c r="C2566" s="1">
        <v>37.277735413199999</v>
      </c>
      <c r="D2566" s="1">
        <v>-7.0112077986700001</v>
      </c>
      <c r="E2566" s="3">
        <v>2</v>
      </c>
      <c r="F2566" s="2">
        <v>3</v>
      </c>
      <c r="G2566" s="4">
        <v>3</v>
      </c>
      <c r="H2566" s="13"/>
      <c r="I2566" s="15"/>
      <c r="J2566" s="19">
        <v>3</v>
      </c>
      <c r="K2566" s="2" t="s">
        <v>5144</v>
      </c>
      <c r="L2566" s="11" t="str">
        <f t="shared" si="41"/>
        <v>Ver Imagen</v>
      </c>
      <c r="M2566" t="s">
        <v>15</v>
      </c>
    </row>
    <row r="2567" spans="1:13" x14ac:dyDescent="0.25">
      <c r="A2567">
        <v>2566</v>
      </c>
      <c r="B2567" t="s">
        <v>5145</v>
      </c>
      <c r="C2567" s="1">
        <v>37.277606653100001</v>
      </c>
      <c r="D2567" s="1">
        <v>-7.0114421553600002</v>
      </c>
      <c r="E2567" s="3">
        <v>2</v>
      </c>
      <c r="F2567" s="2">
        <v>3</v>
      </c>
      <c r="G2567" s="4">
        <v>3</v>
      </c>
      <c r="H2567" s="13"/>
      <c r="I2567" s="15"/>
      <c r="J2567" s="19">
        <v>3</v>
      </c>
      <c r="K2567" s="2" t="s">
        <v>5146</v>
      </c>
      <c r="L2567" s="11" t="str">
        <f t="shared" si="41"/>
        <v>Ver Imagen</v>
      </c>
      <c r="M2567" t="s">
        <v>15</v>
      </c>
    </row>
    <row r="2568" spans="1:13" x14ac:dyDescent="0.25">
      <c r="A2568">
        <v>2567</v>
      </c>
      <c r="B2568" t="s">
        <v>5147</v>
      </c>
      <c r="C2568" s="1">
        <v>37.277382656199997</v>
      </c>
      <c r="D2568" s="1">
        <v>-7.0118551267499996</v>
      </c>
      <c r="E2568" s="3">
        <v>2</v>
      </c>
      <c r="F2568" s="2">
        <v>3</v>
      </c>
      <c r="G2568" s="4">
        <v>3</v>
      </c>
      <c r="H2568" s="13"/>
      <c r="I2568" s="15"/>
      <c r="J2568" s="19">
        <v>3</v>
      </c>
      <c r="K2568" s="2" t="s">
        <v>5148</v>
      </c>
      <c r="L2568" s="11" t="str">
        <f t="shared" si="41"/>
        <v>Ver Imagen</v>
      </c>
      <c r="M2568" t="s">
        <v>15</v>
      </c>
    </row>
    <row r="2569" spans="1:13" x14ac:dyDescent="0.25">
      <c r="A2569">
        <v>2568</v>
      </c>
      <c r="B2569" t="s">
        <v>5149</v>
      </c>
      <c r="C2569" s="1">
        <v>37.277165786300003</v>
      </c>
      <c r="D2569" s="1">
        <v>-7.0122478991300001</v>
      </c>
      <c r="E2569" s="3">
        <v>3</v>
      </c>
      <c r="F2569" s="2">
        <v>3</v>
      </c>
      <c r="G2569" s="4">
        <v>4</v>
      </c>
      <c r="H2569" s="13"/>
      <c r="I2569" s="15"/>
      <c r="J2569" s="19">
        <v>3</v>
      </c>
      <c r="K2569" s="2" t="s">
        <v>5150</v>
      </c>
      <c r="L2569" s="11" t="str">
        <f t="shared" si="41"/>
        <v>Ver Imagen</v>
      </c>
      <c r="M2569" t="s">
        <v>15</v>
      </c>
    </row>
    <row r="2570" spans="1:13" x14ac:dyDescent="0.25">
      <c r="A2570">
        <v>2569</v>
      </c>
      <c r="B2570" t="s">
        <v>5151</v>
      </c>
      <c r="C2570" s="1">
        <v>37.276926983400003</v>
      </c>
      <c r="D2570" s="1">
        <v>-7.0126833454200002</v>
      </c>
      <c r="E2570" s="3">
        <v>2</v>
      </c>
      <c r="F2570" s="2">
        <v>3</v>
      </c>
      <c r="G2570" s="4">
        <v>3</v>
      </c>
      <c r="H2570" s="13"/>
      <c r="I2570" s="15"/>
      <c r="J2570" s="19">
        <v>3</v>
      </c>
      <c r="K2570" s="2" t="s">
        <v>5152</v>
      </c>
      <c r="L2570" s="11" t="str">
        <f t="shared" si="41"/>
        <v>Ver Imagen</v>
      </c>
      <c r="M2570" t="s">
        <v>15</v>
      </c>
    </row>
    <row r="2571" spans="1:13" x14ac:dyDescent="0.25">
      <c r="A2571">
        <v>2570</v>
      </c>
      <c r="B2571" t="s">
        <v>5153</v>
      </c>
      <c r="C2571" s="1">
        <v>37.276596556900003</v>
      </c>
      <c r="D2571" s="1">
        <v>-7.0133098115100001</v>
      </c>
      <c r="E2571" s="3">
        <v>2</v>
      </c>
      <c r="F2571" s="2">
        <v>3</v>
      </c>
      <c r="G2571" s="4">
        <v>3</v>
      </c>
      <c r="H2571" s="13"/>
      <c r="I2571" s="15"/>
      <c r="J2571" s="19">
        <v>3</v>
      </c>
      <c r="K2571" s="2" t="s">
        <v>5154</v>
      </c>
      <c r="L2571" s="11" t="str">
        <f t="shared" si="41"/>
        <v>Ver Imagen</v>
      </c>
      <c r="M2571" t="s">
        <v>15</v>
      </c>
    </row>
    <row r="2572" spans="1:13" x14ac:dyDescent="0.25">
      <c r="A2572">
        <v>2571</v>
      </c>
      <c r="B2572" t="s">
        <v>5155</v>
      </c>
      <c r="C2572" s="1">
        <v>37.275929684899999</v>
      </c>
      <c r="D2572" s="1">
        <v>-7.0150846867899999</v>
      </c>
      <c r="E2572" s="3">
        <v>2</v>
      </c>
      <c r="F2572" s="2">
        <v>3</v>
      </c>
      <c r="G2572" s="4">
        <v>3</v>
      </c>
      <c r="H2572" s="13"/>
      <c r="I2572" s="15"/>
      <c r="J2572" s="19">
        <v>3</v>
      </c>
      <c r="K2572" s="2" t="s">
        <v>5156</v>
      </c>
      <c r="L2572" s="11" t="str">
        <f t="shared" si="41"/>
        <v>Ver Imagen</v>
      </c>
      <c r="M2572" t="s">
        <v>15</v>
      </c>
    </row>
    <row r="2573" spans="1:13" x14ac:dyDescent="0.25">
      <c r="A2573">
        <v>2572</v>
      </c>
      <c r="B2573" t="s">
        <v>5157</v>
      </c>
      <c r="C2573" s="1">
        <v>37.275509760799999</v>
      </c>
      <c r="D2573" s="1">
        <v>-7.0158111511900003</v>
      </c>
      <c r="E2573" s="3">
        <v>2</v>
      </c>
      <c r="F2573" s="2">
        <v>3</v>
      </c>
      <c r="G2573" s="4">
        <v>3</v>
      </c>
      <c r="H2573" s="13"/>
      <c r="I2573" s="15"/>
      <c r="J2573" s="19">
        <v>3</v>
      </c>
      <c r="K2573" s="2" t="s">
        <v>5158</v>
      </c>
      <c r="L2573" s="11" t="str">
        <f t="shared" si="41"/>
        <v>Ver Imagen</v>
      </c>
      <c r="M2573" t="s">
        <v>15</v>
      </c>
    </row>
    <row r="2574" spans="1:13" x14ac:dyDescent="0.25">
      <c r="A2574">
        <v>2573</v>
      </c>
      <c r="B2574" t="s">
        <v>5159</v>
      </c>
      <c r="C2574" s="1">
        <v>37.276086768399999</v>
      </c>
      <c r="D2574" s="1">
        <v>-7.0222580617399997</v>
      </c>
      <c r="E2574" s="3">
        <v>2</v>
      </c>
      <c r="F2574" s="2">
        <v>3</v>
      </c>
      <c r="G2574" s="4">
        <v>3</v>
      </c>
      <c r="H2574" s="13"/>
      <c r="I2574" s="15"/>
      <c r="J2574" s="19">
        <v>3</v>
      </c>
      <c r="K2574" s="2" t="s">
        <v>5160</v>
      </c>
      <c r="L2574" s="11" t="str">
        <f t="shared" si="41"/>
        <v>Ver Imagen</v>
      </c>
      <c r="M2574" t="s">
        <v>15</v>
      </c>
    </row>
    <row r="2575" spans="1:13" x14ac:dyDescent="0.25">
      <c r="A2575">
        <v>2574</v>
      </c>
      <c r="B2575" t="s">
        <v>5161</v>
      </c>
      <c r="C2575" s="1">
        <v>37.284798289800001</v>
      </c>
      <c r="D2575" s="1">
        <v>-7.03971221781</v>
      </c>
      <c r="E2575" s="3">
        <v>3</v>
      </c>
      <c r="F2575" s="2">
        <v>4</v>
      </c>
      <c r="G2575" s="4">
        <v>3</v>
      </c>
      <c r="H2575" s="13"/>
      <c r="I2575" s="15"/>
      <c r="J2575" s="19">
        <v>3</v>
      </c>
      <c r="K2575" s="2" t="s">
        <v>5162</v>
      </c>
      <c r="L2575" s="11" t="str">
        <f t="shared" si="41"/>
        <v>Ver Imagen</v>
      </c>
      <c r="M2575" t="s">
        <v>15</v>
      </c>
    </row>
    <row r="2576" spans="1:13" x14ac:dyDescent="0.25">
      <c r="A2576">
        <v>2575</v>
      </c>
      <c r="B2576" t="s">
        <v>5163</v>
      </c>
      <c r="C2576" s="1">
        <v>37.287678450900003</v>
      </c>
      <c r="D2576" s="1">
        <v>-7.0422729749100004</v>
      </c>
      <c r="E2576" s="3">
        <v>3</v>
      </c>
      <c r="F2576" s="2">
        <v>3</v>
      </c>
      <c r="G2576" s="4">
        <v>4</v>
      </c>
      <c r="H2576" s="13"/>
      <c r="I2576" s="15"/>
      <c r="J2576" s="19">
        <v>3</v>
      </c>
      <c r="K2576" s="2" t="s">
        <v>5164</v>
      </c>
      <c r="L2576" s="11" t="str">
        <f t="shared" si="41"/>
        <v>Ver Imagen</v>
      </c>
      <c r="M2576" t="s">
        <v>15</v>
      </c>
    </row>
    <row r="2577" spans="1:13" x14ac:dyDescent="0.25">
      <c r="A2577">
        <v>2576</v>
      </c>
      <c r="B2577" t="s">
        <v>5165</v>
      </c>
      <c r="C2577" s="1">
        <v>37.287883465500002</v>
      </c>
      <c r="D2577" s="1">
        <v>-7.0423764918099998</v>
      </c>
      <c r="E2577" s="3">
        <v>2</v>
      </c>
      <c r="F2577" s="2">
        <v>3</v>
      </c>
      <c r="G2577" s="4">
        <v>3</v>
      </c>
      <c r="H2577" s="13"/>
      <c r="I2577" s="15"/>
      <c r="J2577" s="19">
        <v>3</v>
      </c>
      <c r="K2577" s="2" t="s">
        <v>5166</v>
      </c>
      <c r="L2577" s="11" t="str">
        <f t="shared" si="41"/>
        <v>Ver Imagen</v>
      </c>
      <c r="M2577" t="s">
        <v>15</v>
      </c>
    </row>
    <row r="2578" spans="1:13" x14ac:dyDescent="0.25">
      <c r="A2578">
        <v>2577</v>
      </c>
      <c r="B2578" t="s">
        <v>5167</v>
      </c>
      <c r="C2578" s="1">
        <v>37.289779324000001</v>
      </c>
      <c r="D2578" s="1">
        <v>-7.0445998672399996</v>
      </c>
      <c r="E2578" s="3">
        <v>2</v>
      </c>
      <c r="F2578" s="2">
        <v>3</v>
      </c>
      <c r="G2578" s="4">
        <v>3</v>
      </c>
      <c r="H2578" s="13"/>
      <c r="I2578" s="15"/>
      <c r="J2578" s="19">
        <v>3</v>
      </c>
      <c r="K2578" s="2" t="s">
        <v>5168</v>
      </c>
      <c r="L2578" s="11" t="str">
        <f t="shared" si="41"/>
        <v>Ver Imagen</v>
      </c>
      <c r="M2578" t="s">
        <v>15</v>
      </c>
    </row>
    <row r="2579" spans="1:13" x14ac:dyDescent="0.25">
      <c r="A2579">
        <v>2578</v>
      </c>
      <c r="B2579" t="s">
        <v>5169</v>
      </c>
      <c r="C2579" s="1">
        <v>37.295492651700002</v>
      </c>
      <c r="D2579" s="1">
        <v>-7.0492134110900002</v>
      </c>
      <c r="E2579" s="3">
        <v>2</v>
      </c>
      <c r="F2579" s="2">
        <v>3</v>
      </c>
      <c r="G2579" s="4">
        <v>3</v>
      </c>
      <c r="H2579" s="13"/>
      <c r="I2579" s="15"/>
      <c r="J2579" s="19">
        <v>3</v>
      </c>
      <c r="K2579" s="2" t="s">
        <v>5170</v>
      </c>
      <c r="L2579" s="11" t="str">
        <f t="shared" si="41"/>
        <v>Ver Imagen</v>
      </c>
      <c r="M2579" t="s">
        <v>15</v>
      </c>
    </row>
    <row r="2580" spans="1:13" x14ac:dyDescent="0.25">
      <c r="A2580">
        <v>2579</v>
      </c>
      <c r="B2580" t="s">
        <v>5171</v>
      </c>
      <c r="C2580" s="1">
        <v>37.3003968206</v>
      </c>
      <c r="D2580" s="1">
        <v>-7.0556882051800001</v>
      </c>
      <c r="E2580" s="3">
        <v>2</v>
      </c>
      <c r="F2580" s="2">
        <v>3</v>
      </c>
      <c r="G2580" s="4">
        <v>3</v>
      </c>
      <c r="H2580" s="13"/>
      <c r="I2580" s="15"/>
      <c r="J2580" s="19">
        <v>3</v>
      </c>
      <c r="K2580" s="2" t="s">
        <v>5172</v>
      </c>
      <c r="L2580" s="11" t="str">
        <f t="shared" si="41"/>
        <v>Ver Imagen</v>
      </c>
      <c r="M2580" t="s">
        <v>15</v>
      </c>
    </row>
    <row r="2581" spans="1:13" x14ac:dyDescent="0.25">
      <c r="A2581">
        <v>2580</v>
      </c>
      <c r="B2581" t="s">
        <v>5173</v>
      </c>
      <c r="C2581" s="1">
        <v>37.300546538299997</v>
      </c>
      <c r="D2581" s="1">
        <v>-7.0558285290600002</v>
      </c>
      <c r="E2581" s="3">
        <v>2</v>
      </c>
      <c r="F2581" s="2">
        <v>3</v>
      </c>
      <c r="G2581" s="4">
        <v>3</v>
      </c>
      <c r="H2581" s="13"/>
      <c r="I2581" s="15"/>
      <c r="J2581" s="19">
        <v>3</v>
      </c>
      <c r="K2581" s="2" t="s">
        <v>5174</v>
      </c>
      <c r="L2581" s="11" t="str">
        <f t="shared" si="41"/>
        <v>Ver Imagen</v>
      </c>
      <c r="M2581" t="s">
        <v>15</v>
      </c>
    </row>
    <row r="2582" spans="1:13" x14ac:dyDescent="0.25">
      <c r="A2582">
        <v>2581</v>
      </c>
      <c r="B2582" t="s">
        <v>5175</v>
      </c>
      <c r="C2582" s="1">
        <v>37.311452316599997</v>
      </c>
      <c r="D2582" s="1">
        <v>-7.0595034301000004</v>
      </c>
      <c r="E2582" s="3">
        <v>3</v>
      </c>
      <c r="F2582" s="2">
        <v>2</v>
      </c>
      <c r="G2582" s="4">
        <v>3</v>
      </c>
      <c r="H2582" s="13"/>
      <c r="I2582" s="15"/>
      <c r="J2582" s="19">
        <v>3</v>
      </c>
      <c r="K2582" s="2" t="s">
        <v>5176</v>
      </c>
      <c r="L2582" s="11" t="str">
        <f t="shared" si="41"/>
        <v>Ver Imagen</v>
      </c>
      <c r="M2582" t="s">
        <v>15</v>
      </c>
    </row>
    <row r="2583" spans="1:13" x14ac:dyDescent="0.25">
      <c r="A2583">
        <v>2582</v>
      </c>
      <c r="B2583" t="s">
        <v>5177</v>
      </c>
      <c r="C2583" s="1">
        <v>37.448526607700003</v>
      </c>
      <c r="D2583" s="1">
        <v>-7.10961518538</v>
      </c>
      <c r="E2583" s="3">
        <v>2</v>
      </c>
      <c r="F2583" s="2">
        <v>3</v>
      </c>
      <c r="G2583" s="4">
        <v>3</v>
      </c>
      <c r="H2583" s="13"/>
      <c r="I2583" s="15"/>
      <c r="J2583" s="19">
        <v>3</v>
      </c>
      <c r="K2583" s="2" t="s">
        <v>5178</v>
      </c>
      <c r="L2583" s="11" t="str">
        <f t="shared" si="41"/>
        <v>Ver Imagen</v>
      </c>
      <c r="M2583" t="s">
        <v>15</v>
      </c>
    </row>
    <row r="2584" spans="1:13" x14ac:dyDescent="0.25">
      <c r="A2584">
        <v>2583</v>
      </c>
      <c r="B2584" t="s">
        <v>5179</v>
      </c>
      <c r="C2584" s="1">
        <v>37.447814085300003</v>
      </c>
      <c r="D2584" s="1">
        <v>-7.1091824524799998</v>
      </c>
      <c r="E2584" s="3">
        <v>2</v>
      </c>
      <c r="F2584" s="2">
        <v>3</v>
      </c>
      <c r="G2584" s="4">
        <v>3</v>
      </c>
      <c r="H2584" s="13"/>
      <c r="I2584" s="15"/>
      <c r="J2584" s="19">
        <v>3</v>
      </c>
      <c r="K2584" s="2" t="s">
        <v>5180</v>
      </c>
      <c r="L2584" s="11" t="str">
        <f t="shared" si="41"/>
        <v>Ver Imagen</v>
      </c>
      <c r="M2584" t="s">
        <v>15</v>
      </c>
    </row>
    <row r="2585" spans="1:13" x14ac:dyDescent="0.25">
      <c r="A2585">
        <v>2584</v>
      </c>
      <c r="B2585" t="s">
        <v>5181</v>
      </c>
      <c r="C2585" s="1">
        <v>37.447615256100001</v>
      </c>
      <c r="D2585" s="1">
        <v>-7.1090368606299998</v>
      </c>
      <c r="E2585" s="3">
        <v>2</v>
      </c>
      <c r="F2585" s="2">
        <v>3</v>
      </c>
      <c r="G2585" s="4">
        <v>3</v>
      </c>
      <c r="H2585" s="13"/>
      <c r="I2585" s="15"/>
      <c r="J2585" s="19">
        <v>3</v>
      </c>
      <c r="K2585" s="2" t="s">
        <v>5182</v>
      </c>
      <c r="L2585" s="11" t="str">
        <f t="shared" si="41"/>
        <v>Ver Imagen</v>
      </c>
      <c r="M2585" t="s">
        <v>15</v>
      </c>
    </row>
    <row r="2586" spans="1:13" x14ac:dyDescent="0.25">
      <c r="A2586">
        <v>2585</v>
      </c>
      <c r="B2586" t="s">
        <v>5183</v>
      </c>
      <c r="C2586" s="1">
        <v>37.447447056100003</v>
      </c>
      <c r="D2586" s="1">
        <v>-7.1089148688200003</v>
      </c>
      <c r="E2586" s="3">
        <v>2</v>
      </c>
      <c r="F2586" s="2">
        <v>3</v>
      </c>
      <c r="G2586" s="4">
        <v>3</v>
      </c>
      <c r="H2586" s="13"/>
      <c r="I2586" s="15"/>
      <c r="J2586" s="19">
        <v>3</v>
      </c>
      <c r="K2586" s="2" t="s">
        <v>5184</v>
      </c>
      <c r="L2586" s="11" t="str">
        <f t="shared" si="41"/>
        <v>Ver Imagen</v>
      </c>
      <c r="M2586" t="s">
        <v>15</v>
      </c>
    </row>
    <row r="2587" spans="1:13" x14ac:dyDescent="0.25">
      <c r="A2587">
        <v>2586</v>
      </c>
      <c r="B2587" t="s">
        <v>5185</v>
      </c>
      <c r="C2587" s="1">
        <v>37.447277436299998</v>
      </c>
      <c r="D2587" s="1">
        <v>-7.1087893756799998</v>
      </c>
      <c r="E2587" s="3">
        <v>2</v>
      </c>
      <c r="F2587" s="2">
        <v>3</v>
      </c>
      <c r="G2587" s="4">
        <v>3</v>
      </c>
      <c r="H2587" s="13"/>
      <c r="I2587" s="15"/>
      <c r="J2587" s="19">
        <v>3</v>
      </c>
      <c r="K2587" s="2" t="s">
        <v>5186</v>
      </c>
      <c r="L2587" s="11" t="str">
        <f t="shared" si="41"/>
        <v>Ver Imagen</v>
      </c>
      <c r="M2587" t="s">
        <v>15</v>
      </c>
    </row>
    <row r="2588" spans="1:13" x14ac:dyDescent="0.25">
      <c r="A2588">
        <v>2587</v>
      </c>
      <c r="B2588" t="s">
        <v>5187</v>
      </c>
      <c r="C2588" s="1">
        <v>37.4471408008</v>
      </c>
      <c r="D2588" s="1">
        <v>-7.1086538800100003</v>
      </c>
      <c r="E2588" s="3">
        <v>2</v>
      </c>
      <c r="F2588" s="2">
        <v>3</v>
      </c>
      <c r="G2588" s="4">
        <v>3</v>
      </c>
      <c r="H2588" s="13"/>
      <c r="I2588" s="15"/>
      <c r="J2588" s="19">
        <v>3</v>
      </c>
      <c r="K2588" s="2" t="s">
        <v>5188</v>
      </c>
      <c r="L2588" s="11" t="str">
        <f t="shared" si="41"/>
        <v>Ver Imagen</v>
      </c>
      <c r="M2588" t="s">
        <v>15</v>
      </c>
    </row>
    <row r="2589" spans="1:13" x14ac:dyDescent="0.25">
      <c r="A2589">
        <v>2588</v>
      </c>
      <c r="B2589" t="s">
        <v>5189</v>
      </c>
      <c r="C2589" s="1">
        <v>37.447007541200001</v>
      </c>
      <c r="D2589" s="1">
        <v>-7.1084376199300001</v>
      </c>
      <c r="E2589" s="3">
        <v>2</v>
      </c>
      <c r="F2589" s="2">
        <v>3</v>
      </c>
      <c r="G2589" s="4">
        <v>3</v>
      </c>
      <c r="H2589" s="13"/>
      <c r="I2589" s="15"/>
      <c r="J2589" s="19">
        <v>3</v>
      </c>
      <c r="K2589" s="2" t="s">
        <v>5190</v>
      </c>
      <c r="L2589" s="11" t="str">
        <f t="shared" si="41"/>
        <v>Ver Imagen</v>
      </c>
      <c r="M2589" t="s">
        <v>15</v>
      </c>
    </row>
    <row r="2590" spans="1:13" x14ac:dyDescent="0.25">
      <c r="A2590">
        <v>2589</v>
      </c>
      <c r="B2590" t="s">
        <v>5191</v>
      </c>
      <c r="C2590" s="1">
        <v>37.269619190900002</v>
      </c>
      <c r="D2590" s="1">
        <v>-6.9781350029000002</v>
      </c>
      <c r="E2590" s="3">
        <v>3</v>
      </c>
      <c r="F2590" s="2">
        <v>4</v>
      </c>
      <c r="G2590" s="4">
        <v>3</v>
      </c>
      <c r="H2590" s="13"/>
      <c r="I2590" s="15"/>
      <c r="J2590" s="19">
        <v>3</v>
      </c>
      <c r="K2590" s="2" t="s">
        <v>5192</v>
      </c>
      <c r="L2590" s="11" t="str">
        <f t="shared" si="41"/>
        <v>Ver Imagen</v>
      </c>
      <c r="M2590" t="s">
        <v>15</v>
      </c>
    </row>
    <row r="2591" spans="1:13" x14ac:dyDescent="0.25">
      <c r="A2591">
        <v>2590</v>
      </c>
      <c r="B2591" t="s">
        <v>5193</v>
      </c>
      <c r="C2591" s="1">
        <v>37.2681097233</v>
      </c>
      <c r="D2591" s="1">
        <v>-6.9715278035499999</v>
      </c>
      <c r="E2591" s="3">
        <v>3</v>
      </c>
      <c r="F2591" s="2">
        <v>4</v>
      </c>
      <c r="G2591" s="4">
        <v>3</v>
      </c>
      <c r="H2591" s="13"/>
      <c r="I2591" s="15"/>
      <c r="J2591" s="19">
        <v>3</v>
      </c>
      <c r="K2591" s="2" t="s">
        <v>5194</v>
      </c>
      <c r="L2591" s="11" t="str">
        <f t="shared" si="41"/>
        <v>Ver Imagen</v>
      </c>
      <c r="M2591" t="s">
        <v>15</v>
      </c>
    </row>
    <row r="2592" spans="1:13" x14ac:dyDescent="0.25">
      <c r="A2592">
        <v>2591</v>
      </c>
      <c r="B2592" t="s">
        <v>5195</v>
      </c>
      <c r="C2592" s="1">
        <v>37.268082097499999</v>
      </c>
      <c r="D2592" s="1">
        <v>-6.9713472310900002</v>
      </c>
      <c r="E2592" s="3">
        <v>3</v>
      </c>
      <c r="F2592" s="2">
        <v>4</v>
      </c>
      <c r="G2592" s="4">
        <v>3</v>
      </c>
      <c r="H2592" s="13"/>
      <c r="I2592" s="15"/>
      <c r="J2592" s="19">
        <v>3</v>
      </c>
      <c r="K2592" s="2" t="s">
        <v>5196</v>
      </c>
      <c r="L2592" s="11" t="str">
        <f t="shared" si="41"/>
        <v>Ver Imagen</v>
      </c>
      <c r="M2592" t="s">
        <v>15</v>
      </c>
    </row>
    <row r="2593" spans="1:13" x14ac:dyDescent="0.25">
      <c r="A2593">
        <v>2592</v>
      </c>
      <c r="B2593" t="s">
        <v>5197</v>
      </c>
      <c r="C2593" s="1">
        <v>37.268043832799997</v>
      </c>
      <c r="D2593" s="1">
        <v>-6.9710907453699997</v>
      </c>
      <c r="E2593" s="3">
        <v>3</v>
      </c>
      <c r="F2593" s="2">
        <v>4</v>
      </c>
      <c r="G2593" s="4">
        <v>3</v>
      </c>
      <c r="H2593" s="13"/>
      <c r="I2593" s="15"/>
      <c r="J2593" s="19">
        <v>3</v>
      </c>
      <c r="K2593" s="2" t="s">
        <v>5198</v>
      </c>
      <c r="L2593" s="11" t="str">
        <f t="shared" si="41"/>
        <v>Ver Imagen</v>
      </c>
      <c r="M2593" t="s">
        <v>15</v>
      </c>
    </row>
    <row r="2594" spans="1:13" x14ac:dyDescent="0.25">
      <c r="A2594">
        <v>2593</v>
      </c>
      <c r="B2594" t="s">
        <v>5199</v>
      </c>
      <c r="C2594" s="1">
        <v>37.267488290400003</v>
      </c>
      <c r="D2594" s="1">
        <v>-6.9625142702199998</v>
      </c>
      <c r="E2594" s="3">
        <v>2</v>
      </c>
      <c r="F2594" s="2">
        <v>3</v>
      </c>
      <c r="G2594" s="4">
        <v>3</v>
      </c>
      <c r="H2594" s="13"/>
      <c r="I2594" s="15"/>
      <c r="J2594" s="19">
        <v>3</v>
      </c>
      <c r="K2594" s="2" t="s">
        <v>5200</v>
      </c>
      <c r="L2594" s="11" t="str">
        <f t="shared" si="41"/>
        <v>Ver Imagen</v>
      </c>
      <c r="M2594" t="s">
        <v>15</v>
      </c>
    </row>
    <row r="2595" spans="1:13" x14ac:dyDescent="0.25">
      <c r="A2595">
        <v>2594</v>
      </c>
      <c r="B2595" t="s">
        <v>5201</v>
      </c>
      <c r="C2595" s="1">
        <v>37.267283633200002</v>
      </c>
      <c r="D2595" s="1">
        <v>-6.9600016035800003</v>
      </c>
      <c r="E2595" s="3">
        <v>2</v>
      </c>
      <c r="F2595" s="2">
        <v>3</v>
      </c>
      <c r="G2595" s="4">
        <v>3</v>
      </c>
      <c r="H2595" s="13"/>
      <c r="I2595" s="15"/>
      <c r="J2595" s="19">
        <v>3</v>
      </c>
      <c r="K2595" s="2" t="s">
        <v>5202</v>
      </c>
      <c r="L2595" s="11" t="str">
        <f t="shared" si="41"/>
        <v>Ver Imagen</v>
      </c>
      <c r="M2595" t="s">
        <v>15</v>
      </c>
    </row>
    <row r="2596" spans="1:13" x14ac:dyDescent="0.25">
      <c r="A2596">
        <v>2595</v>
      </c>
      <c r="B2596" t="s">
        <v>5203</v>
      </c>
      <c r="C2596" s="1">
        <v>37.266991732199998</v>
      </c>
      <c r="D2596" s="1">
        <v>-6.9585729871000002</v>
      </c>
      <c r="E2596" s="3">
        <v>2</v>
      </c>
      <c r="F2596" s="2">
        <v>3</v>
      </c>
      <c r="G2596" s="4">
        <v>3</v>
      </c>
      <c r="H2596" s="13"/>
      <c r="I2596" s="15"/>
      <c r="J2596" s="19">
        <v>3</v>
      </c>
      <c r="K2596" s="2" t="s">
        <v>5204</v>
      </c>
      <c r="L2596" s="11" t="str">
        <f t="shared" si="41"/>
        <v>Ver Imagen</v>
      </c>
      <c r="M2596" t="s">
        <v>15</v>
      </c>
    </row>
    <row r="2597" spans="1:13" x14ac:dyDescent="0.25">
      <c r="A2597">
        <v>2596</v>
      </c>
      <c r="B2597" t="s">
        <v>5205</v>
      </c>
      <c r="C2597" s="1">
        <v>37.266895071900002</v>
      </c>
      <c r="D2597" s="1">
        <v>-6.9583543140900002</v>
      </c>
      <c r="E2597" s="3">
        <v>3</v>
      </c>
      <c r="F2597" s="2">
        <v>4</v>
      </c>
      <c r="G2597" s="4">
        <v>3</v>
      </c>
      <c r="H2597" s="13"/>
      <c r="I2597" s="15"/>
      <c r="J2597" s="19">
        <v>3</v>
      </c>
      <c r="K2597" s="2" t="s">
        <v>5206</v>
      </c>
      <c r="L2597" s="11" t="str">
        <f t="shared" si="41"/>
        <v>Ver Imagen</v>
      </c>
      <c r="M2597" t="s">
        <v>15</v>
      </c>
    </row>
    <row r="2598" spans="1:13" x14ac:dyDescent="0.25">
      <c r="A2598">
        <v>2597</v>
      </c>
      <c r="B2598" t="s">
        <v>5207</v>
      </c>
      <c r="C2598" s="1">
        <v>37.266601190300001</v>
      </c>
      <c r="D2598" s="1">
        <v>-6.9577077168999999</v>
      </c>
      <c r="E2598" s="3">
        <v>2</v>
      </c>
      <c r="F2598" s="2">
        <v>3</v>
      </c>
      <c r="G2598" s="4">
        <v>3</v>
      </c>
      <c r="H2598" s="13"/>
      <c r="I2598" s="15"/>
      <c r="J2598" s="19">
        <v>3</v>
      </c>
      <c r="K2598" s="2" t="s">
        <v>5208</v>
      </c>
      <c r="L2598" s="11" t="str">
        <f t="shared" si="41"/>
        <v>Ver Imagen</v>
      </c>
      <c r="M2598" t="s">
        <v>15</v>
      </c>
    </row>
    <row r="2599" spans="1:13" x14ac:dyDescent="0.25">
      <c r="A2599">
        <v>2598</v>
      </c>
      <c r="B2599" t="s">
        <v>5209</v>
      </c>
      <c r="C2599" s="1">
        <v>37.189878800099997</v>
      </c>
      <c r="D2599" s="1">
        <v>-6.9885615094200002</v>
      </c>
      <c r="E2599" s="3">
        <v>2</v>
      </c>
      <c r="F2599" s="2">
        <v>3</v>
      </c>
      <c r="G2599" s="4">
        <v>3</v>
      </c>
      <c r="H2599" s="13"/>
      <c r="I2599" s="15"/>
      <c r="J2599" s="19">
        <v>3</v>
      </c>
      <c r="K2599" s="2" t="s">
        <v>5210</v>
      </c>
      <c r="L2599" s="11" t="str">
        <f t="shared" si="41"/>
        <v>Ver Imagen</v>
      </c>
      <c r="M2599" t="s">
        <v>15</v>
      </c>
    </row>
    <row r="2600" spans="1:13" x14ac:dyDescent="0.25">
      <c r="A2600">
        <v>2599</v>
      </c>
      <c r="B2600" t="s">
        <v>5211</v>
      </c>
      <c r="C2600" s="1">
        <v>37.190182440800001</v>
      </c>
      <c r="D2600" s="1">
        <v>-6.9892408010100002</v>
      </c>
      <c r="E2600" s="3">
        <v>2</v>
      </c>
      <c r="F2600" s="2">
        <v>3</v>
      </c>
      <c r="G2600" s="4">
        <v>3</v>
      </c>
      <c r="H2600" s="13"/>
      <c r="I2600" s="15"/>
      <c r="J2600" s="19">
        <v>3</v>
      </c>
      <c r="K2600" s="2" t="s">
        <v>5212</v>
      </c>
      <c r="L2600" s="11" t="str">
        <f t="shared" si="41"/>
        <v>Ver Imagen</v>
      </c>
      <c r="M2600" t="s">
        <v>15</v>
      </c>
    </row>
    <row r="2601" spans="1:13" x14ac:dyDescent="0.25">
      <c r="A2601">
        <v>2600</v>
      </c>
      <c r="B2601" t="s">
        <v>5213</v>
      </c>
      <c r="C2601" s="1">
        <v>37.190288133899998</v>
      </c>
      <c r="D2601" s="1">
        <v>-6.9894765304900002</v>
      </c>
      <c r="E2601" s="3">
        <v>2</v>
      </c>
      <c r="F2601" s="2">
        <v>3</v>
      </c>
      <c r="G2601" s="4">
        <v>3</v>
      </c>
      <c r="H2601" s="13"/>
      <c r="I2601" s="15"/>
      <c r="J2601" s="19">
        <v>3</v>
      </c>
      <c r="K2601" s="2" t="s">
        <v>5214</v>
      </c>
      <c r="L2601" s="11" t="str">
        <f t="shared" ref="L2601:L2664" si="42">HYPERLINK("3\1\" &amp; K2601, "Ver Imagen")</f>
        <v>Ver Imagen</v>
      </c>
      <c r="M2601" t="s">
        <v>15</v>
      </c>
    </row>
    <row r="2602" spans="1:13" x14ac:dyDescent="0.25">
      <c r="A2602">
        <v>2601</v>
      </c>
      <c r="B2602" t="s">
        <v>5215</v>
      </c>
      <c r="C2602" s="1">
        <v>37.190362070500001</v>
      </c>
      <c r="D2602" s="1">
        <v>-6.98963989698</v>
      </c>
      <c r="E2602" s="3">
        <v>2</v>
      </c>
      <c r="F2602" s="2">
        <v>3</v>
      </c>
      <c r="G2602" s="4">
        <v>3</v>
      </c>
      <c r="H2602" s="13"/>
      <c r="I2602" s="15"/>
      <c r="J2602" s="19">
        <v>3</v>
      </c>
      <c r="K2602" s="2" t="s">
        <v>5216</v>
      </c>
      <c r="L2602" s="11" t="str">
        <f t="shared" si="42"/>
        <v>Ver Imagen</v>
      </c>
      <c r="M2602" t="s">
        <v>15</v>
      </c>
    </row>
    <row r="2603" spans="1:13" x14ac:dyDescent="0.25">
      <c r="A2603">
        <v>2602</v>
      </c>
      <c r="B2603" t="s">
        <v>5217</v>
      </c>
      <c r="C2603" s="1">
        <v>37.190473603299999</v>
      </c>
      <c r="D2603" s="1">
        <v>-6.9898789545</v>
      </c>
      <c r="E2603" s="3">
        <v>2</v>
      </c>
      <c r="F2603" s="2">
        <v>3</v>
      </c>
      <c r="G2603" s="4">
        <v>3</v>
      </c>
      <c r="H2603" s="13"/>
      <c r="I2603" s="15"/>
      <c r="J2603" s="19">
        <v>3</v>
      </c>
      <c r="K2603" s="2" t="s">
        <v>5218</v>
      </c>
      <c r="L2603" s="11" t="str">
        <f t="shared" si="42"/>
        <v>Ver Imagen</v>
      </c>
      <c r="M2603" t="s">
        <v>15</v>
      </c>
    </row>
    <row r="2604" spans="1:13" x14ac:dyDescent="0.25">
      <c r="A2604">
        <v>2603</v>
      </c>
      <c r="B2604" t="s">
        <v>5219</v>
      </c>
      <c r="C2604" s="1">
        <v>37.190574663200003</v>
      </c>
      <c r="D2604" s="1">
        <v>-6.9900912317400001</v>
      </c>
      <c r="E2604" s="3">
        <v>2</v>
      </c>
      <c r="F2604" s="2">
        <v>3</v>
      </c>
      <c r="G2604" s="4">
        <v>3</v>
      </c>
      <c r="H2604" s="13"/>
      <c r="I2604" s="15"/>
      <c r="J2604" s="19">
        <v>3</v>
      </c>
      <c r="K2604" s="2" t="s">
        <v>5220</v>
      </c>
      <c r="L2604" s="11" t="str">
        <f t="shared" si="42"/>
        <v>Ver Imagen</v>
      </c>
      <c r="M2604" t="s">
        <v>15</v>
      </c>
    </row>
    <row r="2605" spans="1:13" x14ac:dyDescent="0.25">
      <c r="A2605">
        <v>2604</v>
      </c>
      <c r="B2605" t="s">
        <v>5221</v>
      </c>
      <c r="C2605" s="1">
        <v>37.192040092200003</v>
      </c>
      <c r="D2605" s="1">
        <v>-6.9931427337400001</v>
      </c>
      <c r="E2605" s="3">
        <v>2</v>
      </c>
      <c r="F2605" s="2">
        <v>3</v>
      </c>
      <c r="G2605" s="4">
        <v>3</v>
      </c>
      <c r="H2605" s="13"/>
      <c r="I2605" s="15"/>
      <c r="J2605" s="19">
        <v>3</v>
      </c>
      <c r="K2605" s="2" t="s">
        <v>5222</v>
      </c>
      <c r="L2605" s="11" t="str">
        <f t="shared" si="42"/>
        <v>Ver Imagen</v>
      </c>
      <c r="M2605" t="s">
        <v>15</v>
      </c>
    </row>
    <row r="2606" spans="1:13" x14ac:dyDescent="0.25">
      <c r="A2606">
        <v>2605</v>
      </c>
      <c r="B2606" t="s">
        <v>5223</v>
      </c>
      <c r="C2606" s="1">
        <v>37.192550029700001</v>
      </c>
      <c r="D2606" s="1">
        <v>-6.9942323210200001</v>
      </c>
      <c r="E2606" s="3">
        <v>3</v>
      </c>
      <c r="F2606" s="2">
        <v>3</v>
      </c>
      <c r="G2606" s="4">
        <v>4</v>
      </c>
      <c r="H2606" s="13"/>
      <c r="I2606" s="15"/>
      <c r="J2606" s="19">
        <v>3</v>
      </c>
      <c r="K2606" s="2" t="s">
        <v>5224</v>
      </c>
      <c r="L2606" s="11" t="str">
        <f t="shared" si="42"/>
        <v>Ver Imagen</v>
      </c>
      <c r="M2606" t="s">
        <v>15</v>
      </c>
    </row>
    <row r="2607" spans="1:13" x14ac:dyDescent="0.25">
      <c r="A2607">
        <v>2606</v>
      </c>
      <c r="B2607" t="s">
        <v>5225</v>
      </c>
      <c r="C2607" s="1">
        <v>37.192743650499999</v>
      </c>
      <c r="D2607" s="1">
        <v>-6.9946794028400001</v>
      </c>
      <c r="E2607" s="3">
        <v>2</v>
      </c>
      <c r="F2607" s="2">
        <v>3</v>
      </c>
      <c r="G2607" s="4">
        <v>3</v>
      </c>
      <c r="H2607" s="13"/>
      <c r="I2607" s="15"/>
      <c r="J2607" s="19">
        <v>3</v>
      </c>
      <c r="K2607" s="2" t="s">
        <v>5226</v>
      </c>
      <c r="L2607" s="11" t="str">
        <f t="shared" si="42"/>
        <v>Ver Imagen</v>
      </c>
      <c r="M2607" t="s">
        <v>15</v>
      </c>
    </row>
    <row r="2608" spans="1:13" x14ac:dyDescent="0.25">
      <c r="A2608">
        <v>2607</v>
      </c>
      <c r="B2608" t="s">
        <v>5227</v>
      </c>
      <c r="C2608" s="1">
        <v>37.193199168699998</v>
      </c>
      <c r="D2608" s="1">
        <v>-6.9958156984600004</v>
      </c>
      <c r="E2608" s="3">
        <v>2</v>
      </c>
      <c r="F2608" s="2">
        <v>3</v>
      </c>
      <c r="G2608" s="4">
        <v>3</v>
      </c>
      <c r="H2608" s="13"/>
      <c r="I2608" s="15"/>
      <c r="J2608" s="19">
        <v>3</v>
      </c>
      <c r="K2608" s="2" t="s">
        <v>5228</v>
      </c>
      <c r="L2608" s="11" t="str">
        <f t="shared" si="42"/>
        <v>Ver Imagen</v>
      </c>
      <c r="M2608" t="s">
        <v>15</v>
      </c>
    </row>
    <row r="2609" spans="1:13" x14ac:dyDescent="0.25">
      <c r="A2609">
        <v>2608</v>
      </c>
      <c r="B2609" t="s">
        <v>5229</v>
      </c>
      <c r="C2609" s="1">
        <v>37.1938583194</v>
      </c>
      <c r="D2609" s="1">
        <v>-6.9973673977699997</v>
      </c>
      <c r="E2609" s="3">
        <v>3</v>
      </c>
      <c r="F2609" s="2">
        <v>2</v>
      </c>
      <c r="G2609" s="4">
        <v>3</v>
      </c>
      <c r="H2609" s="13"/>
      <c r="I2609" s="15"/>
      <c r="J2609" s="19">
        <v>3</v>
      </c>
      <c r="K2609" s="2" t="s">
        <v>5230</v>
      </c>
      <c r="L2609" s="11" t="str">
        <f t="shared" si="42"/>
        <v>Ver Imagen</v>
      </c>
      <c r="M2609" t="s">
        <v>15</v>
      </c>
    </row>
    <row r="2610" spans="1:13" x14ac:dyDescent="0.25">
      <c r="A2610">
        <v>2609</v>
      </c>
      <c r="B2610" t="s">
        <v>5231</v>
      </c>
      <c r="C2610" s="1">
        <v>37.194963737000002</v>
      </c>
      <c r="D2610" s="1">
        <v>-7.0000576704700004</v>
      </c>
      <c r="E2610" s="3">
        <v>2</v>
      </c>
      <c r="F2610" s="2">
        <v>3</v>
      </c>
      <c r="G2610" s="4">
        <v>3</v>
      </c>
      <c r="H2610" s="13"/>
      <c r="I2610" s="15"/>
      <c r="J2610" s="19">
        <v>3</v>
      </c>
      <c r="K2610" s="2" t="s">
        <v>5232</v>
      </c>
      <c r="L2610" s="11" t="str">
        <f t="shared" si="42"/>
        <v>Ver Imagen</v>
      </c>
      <c r="M2610" t="s">
        <v>15</v>
      </c>
    </row>
    <row r="2611" spans="1:13" x14ac:dyDescent="0.25">
      <c r="A2611">
        <v>2610</v>
      </c>
      <c r="B2611" t="s">
        <v>5233</v>
      </c>
      <c r="C2611" s="1">
        <v>37.195345455199998</v>
      </c>
      <c r="D2611" s="1">
        <v>-7.0009859156400003</v>
      </c>
      <c r="E2611" s="3">
        <v>2</v>
      </c>
      <c r="F2611" s="2">
        <v>3</v>
      </c>
      <c r="G2611" s="4">
        <v>3</v>
      </c>
      <c r="H2611" s="13"/>
      <c r="I2611" s="15"/>
      <c r="J2611" s="19">
        <v>3</v>
      </c>
      <c r="K2611" s="2" t="s">
        <v>5234</v>
      </c>
      <c r="L2611" s="11" t="str">
        <f t="shared" si="42"/>
        <v>Ver Imagen</v>
      </c>
      <c r="M2611" t="s">
        <v>15</v>
      </c>
    </row>
    <row r="2612" spans="1:13" x14ac:dyDescent="0.25">
      <c r="A2612">
        <v>2611</v>
      </c>
      <c r="B2612" t="s">
        <v>5235</v>
      </c>
      <c r="C2612" s="1">
        <v>37.197103212599998</v>
      </c>
      <c r="D2612" s="1">
        <v>-7.0051994618300002</v>
      </c>
      <c r="E2612" s="3">
        <v>2</v>
      </c>
      <c r="F2612" s="2">
        <v>3</v>
      </c>
      <c r="G2612" s="4">
        <v>3</v>
      </c>
      <c r="H2612" s="13"/>
      <c r="I2612" s="15"/>
      <c r="J2612" s="19">
        <v>3</v>
      </c>
      <c r="K2612" s="2" t="s">
        <v>5236</v>
      </c>
      <c r="L2612" s="11" t="str">
        <f t="shared" si="42"/>
        <v>Ver Imagen</v>
      </c>
      <c r="M2612" t="s">
        <v>15</v>
      </c>
    </row>
    <row r="2613" spans="1:13" x14ac:dyDescent="0.25">
      <c r="A2613">
        <v>2612</v>
      </c>
      <c r="B2613" t="s">
        <v>5237</v>
      </c>
      <c r="C2613" s="1">
        <v>37.197301421600002</v>
      </c>
      <c r="D2613" s="1">
        <v>-7.0056690375399997</v>
      </c>
      <c r="E2613" s="3">
        <v>2</v>
      </c>
      <c r="F2613" s="2">
        <v>3</v>
      </c>
      <c r="G2613" s="4">
        <v>3</v>
      </c>
      <c r="H2613" s="13"/>
      <c r="I2613" s="15"/>
      <c r="J2613" s="19">
        <v>3</v>
      </c>
      <c r="K2613" s="2" t="s">
        <v>5238</v>
      </c>
      <c r="L2613" s="11" t="str">
        <f t="shared" si="42"/>
        <v>Ver Imagen</v>
      </c>
      <c r="M2613" t="s">
        <v>15</v>
      </c>
    </row>
    <row r="2614" spans="1:13" x14ac:dyDescent="0.25">
      <c r="A2614">
        <v>2613</v>
      </c>
      <c r="B2614" t="s">
        <v>5239</v>
      </c>
      <c r="C2614" s="1">
        <v>37.199280020499998</v>
      </c>
      <c r="D2614" s="1">
        <v>-7.00957166272</v>
      </c>
      <c r="E2614" s="3">
        <v>2</v>
      </c>
      <c r="F2614" s="2">
        <v>3</v>
      </c>
      <c r="G2614" s="4">
        <v>3</v>
      </c>
      <c r="H2614" s="13"/>
      <c r="I2614" s="15"/>
      <c r="J2614" s="19">
        <v>3</v>
      </c>
      <c r="K2614" s="2" t="s">
        <v>5240</v>
      </c>
      <c r="L2614" s="11" t="str">
        <f t="shared" si="42"/>
        <v>Ver Imagen</v>
      </c>
      <c r="M2614" t="s">
        <v>15</v>
      </c>
    </row>
    <row r="2615" spans="1:13" x14ac:dyDescent="0.25">
      <c r="A2615">
        <v>2614</v>
      </c>
      <c r="B2615" t="s">
        <v>5241</v>
      </c>
      <c r="C2615" s="1">
        <v>37.199499263200003</v>
      </c>
      <c r="D2615" s="1">
        <v>-7.0099395570900001</v>
      </c>
      <c r="E2615" s="3">
        <v>2</v>
      </c>
      <c r="F2615" s="2">
        <v>3</v>
      </c>
      <c r="G2615" s="4">
        <v>3</v>
      </c>
      <c r="H2615" s="13"/>
      <c r="I2615" s="15"/>
      <c r="J2615" s="19">
        <v>3</v>
      </c>
      <c r="K2615" s="2" t="s">
        <v>5242</v>
      </c>
      <c r="L2615" s="11" t="str">
        <f t="shared" si="42"/>
        <v>Ver Imagen</v>
      </c>
      <c r="M2615" t="s">
        <v>15</v>
      </c>
    </row>
    <row r="2616" spans="1:13" x14ac:dyDescent="0.25">
      <c r="A2616">
        <v>2615</v>
      </c>
      <c r="B2616" t="s">
        <v>5243</v>
      </c>
      <c r="C2616" s="1">
        <v>37.199902033999997</v>
      </c>
      <c r="D2616" s="1">
        <v>-7.0105976676499999</v>
      </c>
      <c r="E2616" s="3">
        <v>2</v>
      </c>
      <c r="F2616" s="2">
        <v>3</v>
      </c>
      <c r="G2616" s="4">
        <v>3</v>
      </c>
      <c r="H2616" s="13"/>
      <c r="I2616" s="15"/>
      <c r="J2616" s="19">
        <v>3</v>
      </c>
      <c r="K2616" s="2" t="s">
        <v>5244</v>
      </c>
      <c r="L2616" s="11" t="str">
        <f t="shared" si="42"/>
        <v>Ver Imagen</v>
      </c>
      <c r="M2616" t="s">
        <v>15</v>
      </c>
    </row>
    <row r="2617" spans="1:13" x14ac:dyDescent="0.25">
      <c r="A2617">
        <v>2616</v>
      </c>
      <c r="B2617" t="s">
        <v>5245</v>
      </c>
      <c r="C2617" s="1">
        <v>37.2007601014</v>
      </c>
      <c r="D2617" s="1">
        <v>-7.0119208250299998</v>
      </c>
      <c r="E2617" s="3">
        <v>3</v>
      </c>
      <c r="F2617" s="2">
        <v>3</v>
      </c>
      <c r="G2617" s="4">
        <v>4</v>
      </c>
      <c r="H2617" s="13"/>
      <c r="I2617" s="15"/>
      <c r="J2617" s="19">
        <v>3</v>
      </c>
      <c r="K2617" s="2" t="s">
        <v>5246</v>
      </c>
      <c r="L2617" s="11" t="str">
        <f t="shared" si="42"/>
        <v>Ver Imagen</v>
      </c>
      <c r="M2617" t="s">
        <v>15</v>
      </c>
    </row>
    <row r="2618" spans="1:13" x14ac:dyDescent="0.25">
      <c r="A2618">
        <v>2617</v>
      </c>
      <c r="B2618" t="s">
        <v>5247</v>
      </c>
      <c r="C2618" s="1">
        <v>37.202933248699999</v>
      </c>
      <c r="D2618" s="1">
        <v>-7.0152530350399998</v>
      </c>
      <c r="E2618" s="3">
        <v>3</v>
      </c>
      <c r="F2618" s="2">
        <v>3</v>
      </c>
      <c r="G2618" s="4">
        <v>4</v>
      </c>
      <c r="H2618" s="13"/>
      <c r="I2618" s="15"/>
      <c r="J2618" s="19">
        <v>3</v>
      </c>
      <c r="K2618" s="2" t="s">
        <v>5248</v>
      </c>
      <c r="L2618" s="11" t="str">
        <f t="shared" si="42"/>
        <v>Ver Imagen</v>
      </c>
      <c r="M2618" t="s">
        <v>15</v>
      </c>
    </row>
    <row r="2619" spans="1:13" x14ac:dyDescent="0.25">
      <c r="A2619">
        <v>2618</v>
      </c>
      <c r="B2619" t="s">
        <v>5249</v>
      </c>
      <c r="C2619" s="1">
        <v>37.203044587299999</v>
      </c>
      <c r="D2619" s="1">
        <v>-7.0154213978</v>
      </c>
      <c r="E2619" s="3">
        <v>3</v>
      </c>
      <c r="F2619" s="2">
        <v>2</v>
      </c>
      <c r="G2619" s="4">
        <v>3</v>
      </c>
      <c r="H2619" s="13"/>
      <c r="I2619" s="15"/>
      <c r="J2619" s="19">
        <v>3</v>
      </c>
      <c r="K2619" s="2" t="s">
        <v>5250</v>
      </c>
      <c r="L2619" s="11" t="str">
        <f t="shared" si="42"/>
        <v>Ver Imagen</v>
      </c>
      <c r="M2619" t="s">
        <v>15</v>
      </c>
    </row>
    <row r="2620" spans="1:13" x14ac:dyDescent="0.25">
      <c r="A2620">
        <v>2619</v>
      </c>
      <c r="B2620" t="s">
        <v>5251</v>
      </c>
      <c r="C2620" s="1">
        <v>37.203584536599998</v>
      </c>
      <c r="D2620" s="1">
        <v>-7.0162474191399999</v>
      </c>
      <c r="E2620" s="3">
        <v>3</v>
      </c>
      <c r="F2620" s="2">
        <v>4</v>
      </c>
      <c r="G2620" s="4">
        <v>3</v>
      </c>
      <c r="H2620" s="13"/>
      <c r="I2620" s="15"/>
      <c r="J2620" s="19">
        <v>3</v>
      </c>
      <c r="K2620" s="2" t="s">
        <v>5252</v>
      </c>
      <c r="L2620" s="11" t="str">
        <f t="shared" si="42"/>
        <v>Ver Imagen</v>
      </c>
      <c r="M2620" t="s">
        <v>15</v>
      </c>
    </row>
    <row r="2621" spans="1:13" x14ac:dyDescent="0.25">
      <c r="A2621">
        <v>2620</v>
      </c>
      <c r="B2621" t="s">
        <v>5253</v>
      </c>
      <c r="C2621" s="1">
        <v>37.204459720999999</v>
      </c>
      <c r="D2621" s="1">
        <v>-7.0176023543200001</v>
      </c>
      <c r="E2621" s="3">
        <v>3</v>
      </c>
      <c r="F2621" s="2">
        <v>4</v>
      </c>
      <c r="G2621" s="4">
        <v>3</v>
      </c>
      <c r="H2621" s="13"/>
      <c r="I2621" s="15"/>
      <c r="J2621" s="19">
        <v>3</v>
      </c>
      <c r="K2621" s="2" t="s">
        <v>5254</v>
      </c>
      <c r="L2621" s="11" t="str">
        <f t="shared" si="42"/>
        <v>Ver Imagen</v>
      </c>
      <c r="M2621" t="s">
        <v>15</v>
      </c>
    </row>
    <row r="2622" spans="1:13" x14ac:dyDescent="0.25">
      <c r="A2622">
        <v>2621</v>
      </c>
      <c r="B2622" t="s">
        <v>5255</v>
      </c>
      <c r="C2622" s="1">
        <v>37.205202839199998</v>
      </c>
      <c r="D2622" s="1">
        <v>-7.01874923988</v>
      </c>
      <c r="E2622" s="3">
        <v>3</v>
      </c>
      <c r="F2622" s="2">
        <v>4</v>
      </c>
      <c r="G2622" s="4">
        <v>3</v>
      </c>
      <c r="H2622" s="13"/>
      <c r="I2622" s="15"/>
      <c r="J2622" s="19">
        <v>3</v>
      </c>
      <c r="K2622" s="2" t="s">
        <v>5256</v>
      </c>
      <c r="L2622" s="11" t="str">
        <f t="shared" si="42"/>
        <v>Ver Imagen</v>
      </c>
      <c r="M2622" t="s">
        <v>15</v>
      </c>
    </row>
    <row r="2623" spans="1:13" x14ac:dyDescent="0.25">
      <c r="A2623">
        <v>2622</v>
      </c>
      <c r="B2623" t="s">
        <v>5257</v>
      </c>
      <c r="C2623" s="1">
        <v>37.205866202800003</v>
      </c>
      <c r="D2623" s="1">
        <v>-7.0197985599399999</v>
      </c>
      <c r="E2623" s="3">
        <v>2</v>
      </c>
      <c r="F2623" s="2">
        <v>3</v>
      </c>
      <c r="G2623" s="4">
        <v>3</v>
      </c>
      <c r="H2623" s="13"/>
      <c r="I2623" s="15"/>
      <c r="J2623" s="19">
        <v>3</v>
      </c>
      <c r="K2623" s="2" t="s">
        <v>5258</v>
      </c>
      <c r="L2623" s="11" t="str">
        <f t="shared" si="42"/>
        <v>Ver Imagen</v>
      </c>
      <c r="M2623" t="s">
        <v>15</v>
      </c>
    </row>
    <row r="2624" spans="1:13" x14ac:dyDescent="0.25">
      <c r="A2624">
        <v>2623</v>
      </c>
      <c r="B2624" t="s">
        <v>5259</v>
      </c>
      <c r="C2624" s="1">
        <v>37.208348034300002</v>
      </c>
      <c r="D2624" s="1">
        <v>-7.0247269319900001</v>
      </c>
      <c r="E2624" s="3">
        <v>2</v>
      </c>
      <c r="F2624" s="2">
        <v>3</v>
      </c>
      <c r="G2624" s="4">
        <v>3</v>
      </c>
      <c r="H2624" s="13"/>
      <c r="I2624" s="15"/>
      <c r="J2624" s="19">
        <v>3</v>
      </c>
      <c r="K2624" s="2" t="s">
        <v>5260</v>
      </c>
      <c r="L2624" s="11" t="str">
        <f t="shared" si="42"/>
        <v>Ver Imagen</v>
      </c>
      <c r="M2624" t="s">
        <v>15</v>
      </c>
    </row>
    <row r="2625" spans="1:13" x14ac:dyDescent="0.25">
      <c r="A2625">
        <v>2624</v>
      </c>
      <c r="B2625" t="s">
        <v>5261</v>
      </c>
      <c r="C2625" s="1">
        <v>37.208876503299997</v>
      </c>
      <c r="D2625" s="1">
        <v>-7.0268814810100002</v>
      </c>
      <c r="E2625" s="3">
        <v>3</v>
      </c>
      <c r="F2625" s="2">
        <v>4</v>
      </c>
      <c r="G2625" s="4">
        <v>3</v>
      </c>
      <c r="H2625" s="13"/>
      <c r="I2625" s="15"/>
      <c r="J2625" s="19">
        <v>3</v>
      </c>
      <c r="K2625" s="2" t="s">
        <v>5262</v>
      </c>
      <c r="L2625" s="11" t="str">
        <f t="shared" si="42"/>
        <v>Ver Imagen</v>
      </c>
      <c r="M2625" t="s">
        <v>15</v>
      </c>
    </row>
    <row r="2626" spans="1:13" x14ac:dyDescent="0.25">
      <c r="A2626">
        <v>2625</v>
      </c>
      <c r="B2626" t="s">
        <v>5263</v>
      </c>
      <c r="C2626" s="1">
        <v>37.218263229100003</v>
      </c>
      <c r="D2626" s="1">
        <v>-7.1231866562199997</v>
      </c>
      <c r="E2626" s="3">
        <v>3</v>
      </c>
      <c r="F2626" s="2">
        <v>3</v>
      </c>
      <c r="G2626" s="4">
        <v>4</v>
      </c>
      <c r="H2626" s="13"/>
      <c r="I2626" s="15"/>
      <c r="J2626" s="19">
        <v>3</v>
      </c>
      <c r="K2626" s="2" t="s">
        <v>5264</v>
      </c>
      <c r="L2626" s="11" t="str">
        <f t="shared" si="42"/>
        <v>Ver Imagen</v>
      </c>
      <c r="M2626" t="s">
        <v>15</v>
      </c>
    </row>
    <row r="2627" spans="1:13" x14ac:dyDescent="0.25">
      <c r="A2627">
        <v>2626</v>
      </c>
      <c r="B2627" t="s">
        <v>5265</v>
      </c>
      <c r="C2627" s="1">
        <v>37.218114282800002</v>
      </c>
      <c r="D2627" s="1">
        <v>-7.1185699933700004</v>
      </c>
      <c r="E2627" s="3">
        <v>3</v>
      </c>
      <c r="F2627" s="2">
        <v>2</v>
      </c>
      <c r="G2627" s="4">
        <v>3</v>
      </c>
      <c r="H2627" s="13"/>
      <c r="I2627" s="15"/>
      <c r="J2627" s="19">
        <v>3</v>
      </c>
      <c r="K2627" s="2" t="s">
        <v>5266</v>
      </c>
      <c r="L2627" s="11" t="str">
        <f t="shared" si="42"/>
        <v>Ver Imagen</v>
      </c>
      <c r="M2627" t="s">
        <v>15</v>
      </c>
    </row>
    <row r="2628" spans="1:13" x14ac:dyDescent="0.25">
      <c r="A2628">
        <v>2627</v>
      </c>
      <c r="B2628" t="s">
        <v>5267</v>
      </c>
      <c r="C2628" s="1">
        <v>37.217582298899998</v>
      </c>
      <c r="D2628" s="1">
        <v>-7.1117272315799998</v>
      </c>
      <c r="E2628" s="3">
        <v>2</v>
      </c>
      <c r="F2628" s="2">
        <v>3</v>
      </c>
      <c r="G2628" s="4">
        <v>3</v>
      </c>
      <c r="H2628" s="13"/>
      <c r="I2628" s="15"/>
      <c r="J2628" s="19">
        <v>3</v>
      </c>
      <c r="K2628" s="2" t="s">
        <v>5268</v>
      </c>
      <c r="L2628" s="11" t="str">
        <f t="shared" si="42"/>
        <v>Ver Imagen</v>
      </c>
      <c r="M2628" t="s">
        <v>15</v>
      </c>
    </row>
    <row r="2629" spans="1:13" x14ac:dyDescent="0.25">
      <c r="A2629">
        <v>2628</v>
      </c>
      <c r="B2629" t="s">
        <v>5269</v>
      </c>
      <c r="C2629" s="1">
        <v>37.216646697900003</v>
      </c>
      <c r="D2629" s="1">
        <v>-7.0938896504500004</v>
      </c>
      <c r="E2629" s="3">
        <v>2</v>
      </c>
      <c r="F2629" s="2">
        <v>3</v>
      </c>
      <c r="G2629" s="4">
        <v>3</v>
      </c>
      <c r="H2629" s="13"/>
      <c r="I2629" s="15"/>
      <c r="J2629" s="19">
        <v>3</v>
      </c>
      <c r="K2629" s="2" t="s">
        <v>5270</v>
      </c>
      <c r="L2629" s="11" t="str">
        <f t="shared" si="42"/>
        <v>Ver Imagen</v>
      </c>
      <c r="M2629" t="s">
        <v>15</v>
      </c>
    </row>
    <row r="2630" spans="1:13" x14ac:dyDescent="0.25">
      <c r="A2630">
        <v>2629</v>
      </c>
      <c r="B2630" t="s">
        <v>5271</v>
      </c>
      <c r="C2630" s="1">
        <v>37.216306555599999</v>
      </c>
      <c r="D2630" s="1">
        <v>-7.0914515532599998</v>
      </c>
      <c r="E2630" s="3">
        <v>2</v>
      </c>
      <c r="F2630" s="2">
        <v>3</v>
      </c>
      <c r="G2630" s="4">
        <v>3</v>
      </c>
      <c r="H2630" s="13"/>
      <c r="I2630" s="15"/>
      <c r="J2630" s="19">
        <v>3</v>
      </c>
      <c r="K2630" s="2" t="s">
        <v>5272</v>
      </c>
      <c r="L2630" s="11" t="str">
        <f t="shared" si="42"/>
        <v>Ver Imagen</v>
      </c>
      <c r="M2630" t="s">
        <v>15</v>
      </c>
    </row>
    <row r="2631" spans="1:13" x14ac:dyDescent="0.25">
      <c r="A2631">
        <v>2630</v>
      </c>
      <c r="B2631" t="s">
        <v>5273</v>
      </c>
      <c r="C2631" s="1">
        <v>37.211221459199997</v>
      </c>
      <c r="D2631" s="1">
        <v>-7.0560421440900001</v>
      </c>
      <c r="E2631" s="3">
        <v>2</v>
      </c>
      <c r="F2631" s="2">
        <v>3</v>
      </c>
      <c r="G2631" s="4">
        <v>3</v>
      </c>
      <c r="H2631" s="13"/>
      <c r="I2631" s="15"/>
      <c r="J2631" s="19">
        <v>3</v>
      </c>
      <c r="K2631" s="2" t="s">
        <v>5274</v>
      </c>
      <c r="L2631" s="11" t="str">
        <f t="shared" si="42"/>
        <v>Ver Imagen</v>
      </c>
      <c r="M2631" t="s">
        <v>15</v>
      </c>
    </row>
    <row r="2632" spans="1:13" x14ac:dyDescent="0.25">
      <c r="A2632">
        <v>2631</v>
      </c>
      <c r="B2632" t="s">
        <v>5275</v>
      </c>
      <c r="C2632" s="1">
        <v>37.211164817399997</v>
      </c>
      <c r="D2632" s="1">
        <v>-7.0555505721599996</v>
      </c>
      <c r="E2632" s="3">
        <v>2</v>
      </c>
      <c r="F2632" s="2">
        <v>3</v>
      </c>
      <c r="G2632" s="4">
        <v>3</v>
      </c>
      <c r="H2632" s="13"/>
      <c r="I2632" s="15"/>
      <c r="J2632" s="19">
        <v>3</v>
      </c>
      <c r="K2632" s="2" t="s">
        <v>5276</v>
      </c>
      <c r="L2632" s="11" t="str">
        <f t="shared" si="42"/>
        <v>Ver Imagen</v>
      </c>
      <c r="M2632" t="s">
        <v>15</v>
      </c>
    </row>
    <row r="2633" spans="1:13" x14ac:dyDescent="0.25">
      <c r="A2633">
        <v>2632</v>
      </c>
      <c r="B2633" t="s">
        <v>5277</v>
      </c>
      <c r="C2633" s="1">
        <v>37.210791743999998</v>
      </c>
      <c r="D2633" s="1">
        <v>-7.05306888458</v>
      </c>
      <c r="E2633" s="3">
        <v>3</v>
      </c>
      <c r="F2633" s="2">
        <v>4</v>
      </c>
      <c r="G2633" s="4">
        <v>3</v>
      </c>
      <c r="H2633" s="13"/>
      <c r="I2633" s="15"/>
      <c r="J2633" s="19">
        <v>3</v>
      </c>
      <c r="K2633" s="2" t="s">
        <v>5278</v>
      </c>
      <c r="L2633" s="11" t="str">
        <f t="shared" si="42"/>
        <v>Ver Imagen</v>
      </c>
      <c r="M2633" t="s">
        <v>15</v>
      </c>
    </row>
    <row r="2634" spans="1:13" x14ac:dyDescent="0.25">
      <c r="A2634">
        <v>2633</v>
      </c>
      <c r="B2634" t="s">
        <v>5279</v>
      </c>
      <c r="C2634" s="1">
        <v>37.2111125853</v>
      </c>
      <c r="D2634" s="1">
        <v>-7.0505557362999998</v>
      </c>
      <c r="E2634" s="3">
        <v>2</v>
      </c>
      <c r="F2634" s="2">
        <v>3</v>
      </c>
      <c r="G2634" s="4">
        <v>3</v>
      </c>
      <c r="H2634" s="13"/>
      <c r="I2634" s="15"/>
      <c r="J2634" s="19">
        <v>3</v>
      </c>
      <c r="K2634" s="2" t="s">
        <v>5280</v>
      </c>
      <c r="L2634" s="11" t="str">
        <f t="shared" si="42"/>
        <v>Ver Imagen</v>
      </c>
      <c r="M2634" t="s">
        <v>15</v>
      </c>
    </row>
    <row r="2635" spans="1:13" x14ac:dyDescent="0.25">
      <c r="A2635">
        <v>2634</v>
      </c>
      <c r="B2635" t="s">
        <v>5281</v>
      </c>
      <c r="C2635" s="1">
        <v>37.211767956599999</v>
      </c>
      <c r="D2635" s="1">
        <v>-7.0482153027500001</v>
      </c>
      <c r="E2635" s="3">
        <v>3</v>
      </c>
      <c r="F2635" s="2">
        <v>3</v>
      </c>
      <c r="G2635" s="4">
        <v>4</v>
      </c>
      <c r="H2635" s="13"/>
      <c r="I2635" s="15"/>
      <c r="J2635" s="19">
        <v>3</v>
      </c>
      <c r="K2635" s="2" t="s">
        <v>5282</v>
      </c>
      <c r="L2635" s="11" t="str">
        <f t="shared" si="42"/>
        <v>Ver Imagen</v>
      </c>
      <c r="M2635" t="s">
        <v>15</v>
      </c>
    </row>
    <row r="2636" spans="1:13" x14ac:dyDescent="0.25">
      <c r="A2636">
        <v>2635</v>
      </c>
      <c r="B2636" t="s">
        <v>5283</v>
      </c>
      <c r="C2636" s="1">
        <v>37.211264413499997</v>
      </c>
      <c r="D2636" s="1">
        <v>-7.04522350417</v>
      </c>
      <c r="E2636" s="3">
        <v>3</v>
      </c>
      <c r="F2636" s="2">
        <v>4</v>
      </c>
      <c r="G2636" s="4">
        <v>3</v>
      </c>
      <c r="H2636" s="13"/>
      <c r="I2636" s="15"/>
      <c r="J2636" s="19">
        <v>3</v>
      </c>
      <c r="K2636" s="2" t="s">
        <v>5284</v>
      </c>
      <c r="L2636" s="11" t="str">
        <f t="shared" si="42"/>
        <v>Ver Imagen</v>
      </c>
      <c r="M2636" t="s">
        <v>15</v>
      </c>
    </row>
    <row r="2637" spans="1:13" x14ac:dyDescent="0.25">
      <c r="A2637">
        <v>2636</v>
      </c>
      <c r="B2637" t="s">
        <v>5285</v>
      </c>
      <c r="C2637" s="1">
        <v>37.210365585600002</v>
      </c>
      <c r="D2637" s="1">
        <v>-7.0427242462599997</v>
      </c>
      <c r="E2637" s="3">
        <v>3</v>
      </c>
      <c r="F2637" s="2">
        <v>4</v>
      </c>
      <c r="G2637" s="4">
        <v>3</v>
      </c>
      <c r="H2637" s="13"/>
      <c r="I2637" s="15"/>
      <c r="J2637" s="19">
        <v>3</v>
      </c>
      <c r="K2637" s="2" t="s">
        <v>5286</v>
      </c>
      <c r="L2637" s="11" t="str">
        <f t="shared" si="42"/>
        <v>Ver Imagen</v>
      </c>
      <c r="M2637" t="s">
        <v>15</v>
      </c>
    </row>
    <row r="2638" spans="1:13" x14ac:dyDescent="0.25">
      <c r="A2638">
        <v>2637</v>
      </c>
      <c r="B2638" t="s">
        <v>5287</v>
      </c>
      <c r="C2638" s="1">
        <v>37.208973028300001</v>
      </c>
      <c r="D2638" s="1">
        <v>-7.0390393813200003</v>
      </c>
      <c r="E2638" s="3">
        <v>3</v>
      </c>
      <c r="F2638" s="2">
        <v>3</v>
      </c>
      <c r="G2638" s="4">
        <v>4</v>
      </c>
      <c r="H2638" s="13"/>
      <c r="I2638" s="15"/>
      <c r="J2638" s="19">
        <v>3</v>
      </c>
      <c r="K2638" s="2" t="s">
        <v>5288</v>
      </c>
      <c r="L2638" s="11" t="str">
        <f t="shared" si="42"/>
        <v>Ver Imagen</v>
      </c>
      <c r="M2638" t="s">
        <v>15</v>
      </c>
    </row>
    <row r="2639" spans="1:13" x14ac:dyDescent="0.25">
      <c r="A2639">
        <v>2638</v>
      </c>
      <c r="B2639" t="s">
        <v>5289</v>
      </c>
      <c r="C2639" s="1">
        <v>37.208873119300002</v>
      </c>
      <c r="D2639" s="1">
        <v>-7.0387851114400002</v>
      </c>
      <c r="E2639" s="3">
        <v>3</v>
      </c>
      <c r="F2639" s="2">
        <v>4</v>
      </c>
      <c r="G2639" s="4">
        <v>3</v>
      </c>
      <c r="H2639" s="13"/>
      <c r="I2639" s="15"/>
      <c r="J2639" s="19">
        <v>3</v>
      </c>
      <c r="K2639" s="2" t="s">
        <v>5290</v>
      </c>
      <c r="L2639" s="11" t="str">
        <f t="shared" si="42"/>
        <v>Ver Imagen</v>
      </c>
      <c r="M2639" t="s">
        <v>15</v>
      </c>
    </row>
    <row r="2640" spans="1:13" x14ac:dyDescent="0.25">
      <c r="A2640">
        <v>2639</v>
      </c>
      <c r="B2640" t="s">
        <v>5291</v>
      </c>
      <c r="C2640" s="1">
        <v>37.206604644700001</v>
      </c>
      <c r="D2640" s="1">
        <v>-7.0329082924900002</v>
      </c>
      <c r="E2640" s="3">
        <v>3</v>
      </c>
      <c r="F2640" s="2">
        <v>3</v>
      </c>
      <c r="G2640" s="4">
        <v>4</v>
      </c>
      <c r="H2640" s="13"/>
      <c r="I2640" s="15"/>
      <c r="J2640" s="19">
        <v>3</v>
      </c>
      <c r="K2640" s="2" t="s">
        <v>5292</v>
      </c>
      <c r="L2640" s="11" t="str">
        <f t="shared" si="42"/>
        <v>Ver Imagen</v>
      </c>
      <c r="M2640" t="s">
        <v>15</v>
      </c>
    </row>
    <row r="2641" spans="1:13" x14ac:dyDescent="0.25">
      <c r="A2641">
        <v>2640</v>
      </c>
      <c r="B2641" t="s">
        <v>5293</v>
      </c>
      <c r="C2641" s="1">
        <v>37.206154424799998</v>
      </c>
      <c r="D2641" s="1">
        <v>-7.0317501130700002</v>
      </c>
      <c r="E2641" s="3">
        <v>3</v>
      </c>
      <c r="F2641" s="2">
        <v>4</v>
      </c>
      <c r="G2641" s="4">
        <v>3</v>
      </c>
      <c r="H2641" s="13"/>
      <c r="I2641" s="15"/>
      <c r="J2641" s="19">
        <v>3</v>
      </c>
      <c r="K2641" s="2" t="s">
        <v>5294</v>
      </c>
      <c r="L2641" s="11" t="str">
        <f t="shared" si="42"/>
        <v>Ver Imagen</v>
      </c>
      <c r="M2641" t="s">
        <v>15</v>
      </c>
    </row>
    <row r="2642" spans="1:13" x14ac:dyDescent="0.25">
      <c r="A2642">
        <v>2641</v>
      </c>
      <c r="B2642" t="s">
        <v>5295</v>
      </c>
      <c r="C2642" s="1">
        <v>37.278972728699998</v>
      </c>
      <c r="D2642" s="1">
        <v>-7.1445904049999998</v>
      </c>
      <c r="E2642" s="3">
        <v>3</v>
      </c>
      <c r="F2642" s="2">
        <v>4</v>
      </c>
      <c r="G2642" s="4">
        <v>3</v>
      </c>
      <c r="H2642" s="13"/>
      <c r="I2642" s="15"/>
      <c r="J2642" s="19">
        <v>3</v>
      </c>
      <c r="K2642" s="2" t="s">
        <v>5296</v>
      </c>
      <c r="L2642" s="11" t="str">
        <f t="shared" si="42"/>
        <v>Ver Imagen</v>
      </c>
      <c r="M2642" t="s">
        <v>15</v>
      </c>
    </row>
    <row r="2643" spans="1:13" x14ac:dyDescent="0.25">
      <c r="A2643">
        <v>2642</v>
      </c>
      <c r="B2643" t="s">
        <v>5297</v>
      </c>
      <c r="C2643" s="1">
        <v>37.278074316400001</v>
      </c>
      <c r="D2643" s="1">
        <v>-7.1439059360800004</v>
      </c>
      <c r="E2643" s="3">
        <v>3</v>
      </c>
      <c r="F2643" s="2">
        <v>4</v>
      </c>
      <c r="G2643" s="4">
        <v>3</v>
      </c>
      <c r="H2643" s="13"/>
      <c r="I2643" s="15"/>
      <c r="J2643" s="19">
        <v>3</v>
      </c>
      <c r="K2643" s="2" t="s">
        <v>5298</v>
      </c>
      <c r="L2643" s="11" t="str">
        <f t="shared" si="42"/>
        <v>Ver Imagen</v>
      </c>
      <c r="M2643" t="s">
        <v>15</v>
      </c>
    </row>
    <row r="2644" spans="1:13" x14ac:dyDescent="0.25">
      <c r="A2644">
        <v>2643</v>
      </c>
      <c r="B2644" t="s">
        <v>5299</v>
      </c>
      <c r="C2644" s="1">
        <v>37.272591361000003</v>
      </c>
      <c r="D2644" s="1">
        <v>-7.1415587489699996</v>
      </c>
      <c r="E2644" s="3">
        <v>3</v>
      </c>
      <c r="F2644" s="2">
        <v>4</v>
      </c>
      <c r="G2644" s="4">
        <v>3</v>
      </c>
      <c r="H2644" s="13"/>
      <c r="I2644" s="15"/>
      <c r="J2644" s="19">
        <v>3</v>
      </c>
      <c r="K2644" s="2" t="s">
        <v>5300</v>
      </c>
      <c r="L2644" s="11" t="str">
        <f t="shared" si="42"/>
        <v>Ver Imagen</v>
      </c>
      <c r="M2644" t="s">
        <v>15</v>
      </c>
    </row>
    <row r="2645" spans="1:13" x14ac:dyDescent="0.25">
      <c r="A2645">
        <v>2644</v>
      </c>
      <c r="B2645" t="s">
        <v>5301</v>
      </c>
      <c r="C2645" s="1">
        <v>37.271200797100001</v>
      </c>
      <c r="D2645" s="1">
        <v>-7.1404659523699996</v>
      </c>
      <c r="E2645" s="3">
        <v>3</v>
      </c>
      <c r="F2645" s="2">
        <v>2</v>
      </c>
      <c r="G2645" s="4">
        <v>3</v>
      </c>
      <c r="H2645" s="13"/>
      <c r="I2645" s="15"/>
      <c r="J2645" s="19">
        <v>3</v>
      </c>
      <c r="K2645" s="2" t="s">
        <v>5302</v>
      </c>
      <c r="L2645" s="11" t="str">
        <f t="shared" si="42"/>
        <v>Ver Imagen</v>
      </c>
      <c r="M2645" t="s">
        <v>15</v>
      </c>
    </row>
    <row r="2646" spans="1:13" x14ac:dyDescent="0.25">
      <c r="A2646">
        <v>2645</v>
      </c>
      <c r="B2646" t="s">
        <v>5303</v>
      </c>
      <c r="C2646" s="1">
        <v>37.270510628799997</v>
      </c>
      <c r="D2646" s="1">
        <v>-7.1399408145400001</v>
      </c>
      <c r="E2646" s="3">
        <v>3</v>
      </c>
      <c r="F2646" s="2">
        <v>4</v>
      </c>
      <c r="G2646" s="4">
        <v>3</v>
      </c>
      <c r="H2646" s="13"/>
      <c r="I2646" s="15"/>
      <c r="J2646" s="19">
        <v>3</v>
      </c>
      <c r="K2646" s="2" t="s">
        <v>5304</v>
      </c>
      <c r="L2646" s="11" t="str">
        <f t="shared" si="42"/>
        <v>Ver Imagen</v>
      </c>
      <c r="M2646" t="s">
        <v>15</v>
      </c>
    </row>
    <row r="2647" spans="1:13" x14ac:dyDescent="0.25">
      <c r="A2647">
        <v>2646</v>
      </c>
      <c r="B2647" t="s">
        <v>5305</v>
      </c>
      <c r="C2647" s="1">
        <v>37.264116595899999</v>
      </c>
      <c r="D2647" s="1">
        <v>-7.13167178458</v>
      </c>
      <c r="E2647" s="3">
        <v>3</v>
      </c>
      <c r="F2647" s="2">
        <v>4</v>
      </c>
      <c r="G2647" s="4">
        <v>3</v>
      </c>
      <c r="H2647" s="13"/>
      <c r="I2647" s="15"/>
      <c r="J2647" s="19">
        <v>3</v>
      </c>
      <c r="K2647" s="2" t="s">
        <v>5306</v>
      </c>
      <c r="L2647" s="11" t="str">
        <f t="shared" si="42"/>
        <v>Ver Imagen</v>
      </c>
      <c r="M2647" t="s">
        <v>15</v>
      </c>
    </row>
    <row r="2648" spans="1:13" x14ac:dyDescent="0.25">
      <c r="A2648">
        <v>2647</v>
      </c>
      <c r="B2648" t="s">
        <v>5307</v>
      </c>
      <c r="C2648" s="1">
        <v>37.262132517300003</v>
      </c>
      <c r="D2648" s="1">
        <v>-7.1304248109300001</v>
      </c>
      <c r="E2648" s="3">
        <v>3</v>
      </c>
      <c r="F2648" s="2">
        <v>4</v>
      </c>
      <c r="G2648" s="4">
        <v>3</v>
      </c>
      <c r="H2648" s="13"/>
      <c r="I2648" s="15"/>
      <c r="J2648" s="19">
        <v>3</v>
      </c>
      <c r="K2648" s="2" t="s">
        <v>5308</v>
      </c>
      <c r="L2648" s="11" t="str">
        <f t="shared" si="42"/>
        <v>Ver Imagen</v>
      </c>
      <c r="M2648" t="s">
        <v>15</v>
      </c>
    </row>
    <row r="2649" spans="1:13" x14ac:dyDescent="0.25">
      <c r="A2649">
        <v>2648</v>
      </c>
      <c r="B2649" t="s">
        <v>5309</v>
      </c>
      <c r="C2649" s="1">
        <v>37.261781155800001</v>
      </c>
      <c r="D2649" s="1">
        <v>-7.1302030624399997</v>
      </c>
      <c r="E2649" s="3">
        <v>3</v>
      </c>
      <c r="F2649" s="2">
        <v>4</v>
      </c>
      <c r="G2649" s="4">
        <v>3</v>
      </c>
      <c r="H2649" s="13"/>
      <c r="I2649" s="15"/>
      <c r="J2649" s="19">
        <v>3</v>
      </c>
      <c r="K2649" s="2" t="s">
        <v>5310</v>
      </c>
      <c r="L2649" s="11" t="str">
        <f t="shared" si="42"/>
        <v>Ver Imagen</v>
      </c>
      <c r="M2649" t="s">
        <v>15</v>
      </c>
    </row>
    <row r="2650" spans="1:13" x14ac:dyDescent="0.25">
      <c r="A2650">
        <v>2649</v>
      </c>
      <c r="B2650" t="s">
        <v>5311</v>
      </c>
      <c r="C2650" s="1">
        <v>37.261291098800001</v>
      </c>
      <c r="D2650" s="1">
        <v>-7.1297951528499999</v>
      </c>
      <c r="E2650" s="3">
        <v>4</v>
      </c>
      <c r="F2650" s="2">
        <v>3</v>
      </c>
      <c r="G2650" s="4">
        <v>3</v>
      </c>
      <c r="H2650" s="13"/>
      <c r="I2650" s="15"/>
      <c r="J2650" s="19">
        <v>3</v>
      </c>
      <c r="K2650" s="2" t="s">
        <v>5312</v>
      </c>
      <c r="L2650" s="11" t="str">
        <f t="shared" si="42"/>
        <v>Ver Imagen</v>
      </c>
      <c r="M2650" t="s">
        <v>15</v>
      </c>
    </row>
    <row r="2651" spans="1:13" x14ac:dyDescent="0.25">
      <c r="A2651">
        <v>2650</v>
      </c>
      <c r="B2651" t="s">
        <v>5313</v>
      </c>
      <c r="C2651" s="1">
        <v>37.260910159300003</v>
      </c>
      <c r="D2651" s="1">
        <v>-7.1295693149600003</v>
      </c>
      <c r="E2651" s="3">
        <v>4</v>
      </c>
      <c r="F2651" s="2">
        <v>3</v>
      </c>
      <c r="G2651" s="4">
        <v>3</v>
      </c>
      <c r="H2651" s="13"/>
      <c r="I2651" s="15"/>
      <c r="J2651" s="19">
        <v>3</v>
      </c>
      <c r="K2651" s="2" t="s">
        <v>5314</v>
      </c>
      <c r="L2651" s="11" t="str">
        <f t="shared" si="42"/>
        <v>Ver Imagen</v>
      </c>
      <c r="M2651" t="s">
        <v>15</v>
      </c>
    </row>
    <row r="2652" spans="1:13" x14ac:dyDescent="0.25">
      <c r="A2652">
        <v>2651</v>
      </c>
      <c r="B2652" t="s">
        <v>5315</v>
      </c>
      <c r="C2652" s="1">
        <v>37.260134261200001</v>
      </c>
      <c r="D2652" s="1">
        <v>-7.1291543153300001</v>
      </c>
      <c r="E2652" s="3">
        <v>3</v>
      </c>
      <c r="F2652" s="2">
        <v>3</v>
      </c>
      <c r="G2652" s="4">
        <v>2</v>
      </c>
      <c r="H2652" s="13"/>
      <c r="I2652" s="15"/>
      <c r="J2652" s="19">
        <v>3</v>
      </c>
      <c r="K2652" s="2" t="s">
        <v>5316</v>
      </c>
      <c r="L2652" s="11" t="str">
        <f t="shared" si="42"/>
        <v>Ver Imagen</v>
      </c>
      <c r="M2652" t="s">
        <v>15</v>
      </c>
    </row>
    <row r="2653" spans="1:13" x14ac:dyDescent="0.25">
      <c r="A2653">
        <v>2652</v>
      </c>
      <c r="B2653" t="s">
        <v>5317</v>
      </c>
      <c r="C2653" s="1">
        <v>37.249305960299999</v>
      </c>
      <c r="D2653" s="1">
        <v>-7.1273858109499999</v>
      </c>
      <c r="E2653" s="3">
        <v>3</v>
      </c>
      <c r="F2653" s="2">
        <v>2</v>
      </c>
      <c r="G2653" s="4">
        <v>3</v>
      </c>
      <c r="H2653" s="13"/>
      <c r="I2653" s="15"/>
      <c r="J2653" s="19">
        <v>3</v>
      </c>
      <c r="K2653" s="2" t="s">
        <v>5318</v>
      </c>
      <c r="L2653" s="11" t="str">
        <f t="shared" si="42"/>
        <v>Ver Imagen</v>
      </c>
      <c r="M2653" t="s">
        <v>15</v>
      </c>
    </row>
    <row r="2654" spans="1:13" x14ac:dyDescent="0.25">
      <c r="A2654">
        <v>2653</v>
      </c>
      <c r="B2654" t="s">
        <v>5319</v>
      </c>
      <c r="C2654" s="1">
        <v>37.238428462599998</v>
      </c>
      <c r="D2654" s="1">
        <v>-7.1284173978599998</v>
      </c>
      <c r="E2654" s="3">
        <v>3</v>
      </c>
      <c r="F2654" s="2">
        <v>2</v>
      </c>
      <c r="G2654" s="4">
        <v>3</v>
      </c>
      <c r="H2654" s="13"/>
      <c r="I2654" s="15"/>
      <c r="J2654" s="19">
        <v>3</v>
      </c>
      <c r="K2654" s="2" t="s">
        <v>5320</v>
      </c>
      <c r="L2654" s="11" t="str">
        <f t="shared" si="42"/>
        <v>Ver Imagen</v>
      </c>
      <c r="M2654" t="s">
        <v>15</v>
      </c>
    </row>
    <row r="2655" spans="1:13" x14ac:dyDescent="0.25">
      <c r="A2655">
        <v>2654</v>
      </c>
      <c r="B2655" t="s">
        <v>5321</v>
      </c>
      <c r="C2655" s="1">
        <v>37.2280631609</v>
      </c>
      <c r="D2655" s="1">
        <v>-7.12674873942</v>
      </c>
      <c r="E2655" s="3">
        <v>4</v>
      </c>
      <c r="F2655" s="2">
        <v>3</v>
      </c>
      <c r="G2655" s="4">
        <v>3</v>
      </c>
      <c r="H2655" s="13"/>
      <c r="I2655" s="15"/>
      <c r="J2655" s="19">
        <v>3</v>
      </c>
      <c r="K2655" s="2" t="s">
        <v>5322</v>
      </c>
      <c r="L2655" s="11" t="str">
        <f t="shared" si="42"/>
        <v>Ver Imagen</v>
      </c>
      <c r="M2655" t="s">
        <v>15</v>
      </c>
    </row>
    <row r="2656" spans="1:13" x14ac:dyDescent="0.25">
      <c r="A2656">
        <v>2655</v>
      </c>
      <c r="B2656" t="s">
        <v>5323</v>
      </c>
      <c r="C2656" s="1">
        <v>37.221297019700003</v>
      </c>
      <c r="D2656" s="1">
        <v>-7.1256420818499997</v>
      </c>
      <c r="E2656" s="3">
        <v>4</v>
      </c>
      <c r="F2656" s="2">
        <v>3</v>
      </c>
      <c r="G2656" s="4">
        <v>3</v>
      </c>
      <c r="H2656" s="13"/>
      <c r="I2656" s="15"/>
      <c r="J2656" s="19">
        <v>3</v>
      </c>
      <c r="K2656" s="2" t="s">
        <v>5324</v>
      </c>
      <c r="L2656" s="11" t="str">
        <f t="shared" si="42"/>
        <v>Ver Imagen</v>
      </c>
      <c r="M2656" t="s">
        <v>15</v>
      </c>
    </row>
    <row r="2657" spans="1:13" x14ac:dyDescent="0.25">
      <c r="A2657">
        <v>2656</v>
      </c>
      <c r="B2657" t="s">
        <v>5325</v>
      </c>
      <c r="C2657" s="1">
        <v>37.443407327300001</v>
      </c>
      <c r="D2657" s="1">
        <v>-7.0955173474000004</v>
      </c>
      <c r="E2657" s="3">
        <v>3</v>
      </c>
      <c r="F2657" s="2">
        <v>2</v>
      </c>
      <c r="G2657" s="4">
        <v>3</v>
      </c>
      <c r="H2657" s="13"/>
      <c r="I2657" s="15"/>
      <c r="J2657" s="19">
        <v>3</v>
      </c>
      <c r="K2657" s="2" t="s">
        <v>5326</v>
      </c>
      <c r="L2657" s="11" t="str">
        <f t="shared" si="42"/>
        <v>Ver Imagen</v>
      </c>
      <c r="M2657" t="s">
        <v>15</v>
      </c>
    </row>
    <row r="2658" spans="1:13" x14ac:dyDescent="0.25">
      <c r="A2658">
        <v>2657</v>
      </c>
      <c r="B2658" t="s">
        <v>5327</v>
      </c>
      <c r="C2658" s="1">
        <v>37.441371554299998</v>
      </c>
      <c r="D2658" s="1">
        <v>-7.0905430911899998</v>
      </c>
      <c r="E2658" s="3">
        <v>3</v>
      </c>
      <c r="F2658" s="2">
        <v>2</v>
      </c>
      <c r="G2658" s="4">
        <v>3</v>
      </c>
      <c r="H2658" s="13"/>
      <c r="I2658" s="15"/>
      <c r="J2658" s="19">
        <v>3</v>
      </c>
      <c r="K2658" s="2" t="s">
        <v>5328</v>
      </c>
      <c r="L2658" s="11" t="str">
        <f t="shared" si="42"/>
        <v>Ver Imagen</v>
      </c>
      <c r="M2658" t="s">
        <v>15</v>
      </c>
    </row>
    <row r="2659" spans="1:13" x14ac:dyDescent="0.25">
      <c r="A2659">
        <v>2658</v>
      </c>
      <c r="B2659" t="s">
        <v>5329</v>
      </c>
      <c r="C2659" s="1">
        <v>37.441269656199999</v>
      </c>
      <c r="D2659" s="1">
        <v>-7.0903248826</v>
      </c>
      <c r="E2659" s="3">
        <v>3</v>
      </c>
      <c r="F2659" s="2">
        <v>2</v>
      </c>
      <c r="G2659" s="4">
        <v>3</v>
      </c>
      <c r="H2659" s="13"/>
      <c r="I2659" s="15"/>
      <c r="J2659" s="19">
        <v>3</v>
      </c>
      <c r="K2659" s="2" t="s">
        <v>5330</v>
      </c>
      <c r="L2659" s="11" t="str">
        <f t="shared" si="42"/>
        <v>Ver Imagen</v>
      </c>
      <c r="M2659" t="s">
        <v>15</v>
      </c>
    </row>
    <row r="2660" spans="1:13" x14ac:dyDescent="0.25">
      <c r="A2660">
        <v>2659</v>
      </c>
      <c r="B2660" t="s">
        <v>5331</v>
      </c>
      <c r="C2660" s="1">
        <v>37.227130243300003</v>
      </c>
      <c r="D2660" s="1">
        <v>-7.0607849171600003</v>
      </c>
      <c r="E2660" s="3">
        <v>3</v>
      </c>
      <c r="F2660" s="2">
        <v>2</v>
      </c>
      <c r="G2660" s="4">
        <v>3</v>
      </c>
      <c r="H2660" s="13"/>
      <c r="I2660" s="15"/>
      <c r="J2660" s="19">
        <v>3</v>
      </c>
      <c r="K2660" s="2" t="s">
        <v>5332</v>
      </c>
      <c r="L2660" s="11" t="str">
        <f t="shared" si="42"/>
        <v>Ver Imagen</v>
      </c>
      <c r="M2660" t="s">
        <v>15</v>
      </c>
    </row>
    <row r="2661" spans="1:13" x14ac:dyDescent="0.25">
      <c r="A2661">
        <v>2660</v>
      </c>
      <c r="B2661" t="s">
        <v>5333</v>
      </c>
      <c r="C2661" s="1">
        <v>37.227505252699999</v>
      </c>
      <c r="D2661" s="1">
        <v>-7.0609610149500002</v>
      </c>
      <c r="E2661" s="3">
        <v>3</v>
      </c>
      <c r="F2661" s="2">
        <v>2</v>
      </c>
      <c r="G2661" s="4">
        <v>3</v>
      </c>
      <c r="H2661" s="13"/>
      <c r="I2661" s="15"/>
      <c r="J2661" s="19">
        <v>3</v>
      </c>
      <c r="K2661" s="2" t="s">
        <v>5334</v>
      </c>
      <c r="L2661" s="11" t="str">
        <f t="shared" si="42"/>
        <v>Ver Imagen</v>
      </c>
      <c r="M2661" t="s">
        <v>15</v>
      </c>
    </row>
    <row r="2662" spans="1:13" x14ac:dyDescent="0.25">
      <c r="A2662">
        <v>2661</v>
      </c>
      <c r="B2662" t="s">
        <v>5335</v>
      </c>
      <c r="C2662" s="1">
        <v>37.229101829599998</v>
      </c>
      <c r="D2662" s="1">
        <v>-7.0625196492400004</v>
      </c>
      <c r="E2662" s="3">
        <v>3</v>
      </c>
      <c r="F2662" s="2">
        <v>2</v>
      </c>
      <c r="G2662" s="4">
        <v>3</v>
      </c>
      <c r="H2662" s="13"/>
      <c r="I2662" s="15"/>
      <c r="J2662" s="19">
        <v>3</v>
      </c>
      <c r="K2662" s="2" t="s">
        <v>5336</v>
      </c>
      <c r="L2662" s="11" t="str">
        <f t="shared" si="42"/>
        <v>Ver Imagen</v>
      </c>
      <c r="M2662" t="s">
        <v>15</v>
      </c>
    </row>
    <row r="2663" spans="1:13" x14ac:dyDescent="0.25">
      <c r="A2663">
        <v>2662</v>
      </c>
      <c r="B2663" t="s">
        <v>5337</v>
      </c>
      <c r="C2663" s="1">
        <v>37.229217987299997</v>
      </c>
      <c r="D2663" s="1">
        <v>-7.0626515380599999</v>
      </c>
      <c r="E2663" s="3">
        <v>3</v>
      </c>
      <c r="F2663" s="2">
        <v>2</v>
      </c>
      <c r="G2663" s="4">
        <v>3</v>
      </c>
      <c r="H2663" s="13"/>
      <c r="I2663" s="15"/>
      <c r="J2663" s="19">
        <v>3</v>
      </c>
      <c r="K2663" s="2" t="s">
        <v>5338</v>
      </c>
      <c r="L2663" s="11" t="str">
        <f t="shared" si="42"/>
        <v>Ver Imagen</v>
      </c>
      <c r="M2663" t="s">
        <v>15</v>
      </c>
    </row>
    <row r="2664" spans="1:13" x14ac:dyDescent="0.25">
      <c r="A2664">
        <v>2663</v>
      </c>
      <c r="B2664" t="s">
        <v>5339</v>
      </c>
      <c r="C2664" s="1">
        <v>37.229564044999996</v>
      </c>
      <c r="D2664" s="1">
        <v>-7.0629851321299997</v>
      </c>
      <c r="E2664" s="3">
        <v>3</v>
      </c>
      <c r="F2664" s="2">
        <v>2</v>
      </c>
      <c r="G2664" s="4">
        <v>3</v>
      </c>
      <c r="H2664" s="13"/>
      <c r="I2664" s="15"/>
      <c r="J2664" s="19">
        <v>3</v>
      </c>
      <c r="K2664" s="2" t="s">
        <v>5340</v>
      </c>
      <c r="L2664" s="11" t="str">
        <f t="shared" si="42"/>
        <v>Ver Imagen</v>
      </c>
      <c r="M2664" t="s">
        <v>15</v>
      </c>
    </row>
    <row r="2665" spans="1:13" x14ac:dyDescent="0.25">
      <c r="A2665">
        <v>2664</v>
      </c>
      <c r="B2665" t="s">
        <v>5341</v>
      </c>
      <c r="C2665" s="1">
        <v>37.2299189473</v>
      </c>
      <c r="D2665" s="1">
        <v>-7.0632038130900003</v>
      </c>
      <c r="E2665" s="3">
        <v>3</v>
      </c>
      <c r="F2665" s="2">
        <v>2</v>
      </c>
      <c r="G2665" s="4">
        <v>3</v>
      </c>
      <c r="H2665" s="13"/>
      <c r="I2665" s="15"/>
      <c r="J2665" s="19">
        <v>3</v>
      </c>
      <c r="K2665" s="2" t="s">
        <v>5342</v>
      </c>
      <c r="L2665" s="11" t="str">
        <f t="shared" ref="L2665:L2728" si="43">HYPERLINK("3\1\" &amp; K2665, "Ver Imagen")</f>
        <v>Ver Imagen</v>
      </c>
      <c r="M2665" t="s">
        <v>15</v>
      </c>
    </row>
    <row r="2666" spans="1:13" x14ac:dyDescent="0.25">
      <c r="A2666">
        <v>2665</v>
      </c>
      <c r="B2666" t="s">
        <v>5343</v>
      </c>
      <c r="C2666" s="1">
        <v>37.2301140629</v>
      </c>
      <c r="D2666" s="1">
        <v>-7.0632771997299999</v>
      </c>
      <c r="E2666" s="3">
        <v>3</v>
      </c>
      <c r="F2666" s="2">
        <v>2</v>
      </c>
      <c r="G2666" s="4">
        <v>3</v>
      </c>
      <c r="H2666" s="13"/>
      <c r="I2666" s="15"/>
      <c r="J2666" s="19">
        <v>3</v>
      </c>
      <c r="K2666" s="2" t="s">
        <v>5344</v>
      </c>
      <c r="L2666" s="11" t="str">
        <f t="shared" si="43"/>
        <v>Ver Imagen</v>
      </c>
      <c r="M2666" t="s">
        <v>15</v>
      </c>
    </row>
    <row r="2667" spans="1:13" x14ac:dyDescent="0.25">
      <c r="A2667">
        <v>2666</v>
      </c>
      <c r="B2667" t="s">
        <v>5345</v>
      </c>
      <c r="C2667" s="1">
        <v>37.231658558900001</v>
      </c>
      <c r="D2667" s="1">
        <v>-7.0638203610300003</v>
      </c>
      <c r="E2667" s="3">
        <v>3</v>
      </c>
      <c r="F2667" s="2">
        <v>2</v>
      </c>
      <c r="G2667" s="4">
        <v>3</v>
      </c>
      <c r="H2667" s="13"/>
      <c r="I2667" s="15"/>
      <c r="J2667" s="19">
        <v>3</v>
      </c>
      <c r="K2667" s="2" t="s">
        <v>5346</v>
      </c>
      <c r="L2667" s="11" t="str">
        <f t="shared" si="43"/>
        <v>Ver Imagen</v>
      </c>
      <c r="M2667" t="s">
        <v>15</v>
      </c>
    </row>
    <row r="2668" spans="1:13" x14ac:dyDescent="0.25">
      <c r="A2668">
        <v>2667</v>
      </c>
      <c r="B2668" t="s">
        <v>5347</v>
      </c>
      <c r="C2668" s="1">
        <v>37.231834302199999</v>
      </c>
      <c r="D2668" s="1">
        <v>-7.0639694935800001</v>
      </c>
      <c r="E2668" s="3">
        <v>3</v>
      </c>
      <c r="F2668" s="2">
        <v>2</v>
      </c>
      <c r="G2668" s="4">
        <v>3</v>
      </c>
      <c r="H2668" s="13"/>
      <c r="I2668" s="15"/>
      <c r="J2668" s="19">
        <v>3</v>
      </c>
      <c r="K2668" s="2" t="s">
        <v>5348</v>
      </c>
      <c r="L2668" s="11" t="str">
        <f t="shared" si="43"/>
        <v>Ver Imagen</v>
      </c>
      <c r="M2668" t="s">
        <v>15</v>
      </c>
    </row>
    <row r="2669" spans="1:13" x14ac:dyDescent="0.25">
      <c r="A2669">
        <v>2668</v>
      </c>
      <c r="B2669" t="s">
        <v>5349</v>
      </c>
      <c r="C2669" s="1">
        <v>37.232424460899999</v>
      </c>
      <c r="D2669" s="1">
        <v>-7.0646542853899996</v>
      </c>
      <c r="E2669" s="3">
        <v>3</v>
      </c>
      <c r="F2669" s="2">
        <v>2</v>
      </c>
      <c r="G2669" s="4">
        <v>3</v>
      </c>
      <c r="H2669" s="13"/>
      <c r="I2669" s="15"/>
      <c r="J2669" s="19">
        <v>3</v>
      </c>
      <c r="K2669" s="2" t="s">
        <v>5350</v>
      </c>
      <c r="L2669" s="11" t="str">
        <f t="shared" si="43"/>
        <v>Ver Imagen</v>
      </c>
      <c r="M2669" t="s">
        <v>15</v>
      </c>
    </row>
    <row r="2670" spans="1:13" x14ac:dyDescent="0.25">
      <c r="A2670">
        <v>2669</v>
      </c>
      <c r="B2670" t="s">
        <v>5351</v>
      </c>
      <c r="C2670" s="1">
        <v>37.432503064199999</v>
      </c>
      <c r="D2670" s="1">
        <v>-7.0639438059400002</v>
      </c>
      <c r="E2670" s="3">
        <v>3</v>
      </c>
      <c r="F2670" s="2">
        <v>4</v>
      </c>
      <c r="G2670" s="4">
        <v>3</v>
      </c>
      <c r="H2670" s="13"/>
      <c r="I2670" s="15"/>
      <c r="J2670" s="19">
        <v>3</v>
      </c>
      <c r="K2670" s="2" t="s">
        <v>5352</v>
      </c>
      <c r="L2670" s="11" t="str">
        <f t="shared" si="43"/>
        <v>Ver Imagen</v>
      </c>
      <c r="M2670" t="s">
        <v>15</v>
      </c>
    </row>
    <row r="2671" spans="1:13" x14ac:dyDescent="0.25">
      <c r="A2671">
        <v>2670</v>
      </c>
      <c r="B2671" t="s">
        <v>5353</v>
      </c>
      <c r="C2671" s="1">
        <v>37.225321264800002</v>
      </c>
      <c r="D2671" s="1">
        <v>-7.0290248911699997</v>
      </c>
      <c r="E2671" s="3">
        <v>3</v>
      </c>
      <c r="F2671" s="2">
        <v>2</v>
      </c>
      <c r="G2671" s="4">
        <v>3</v>
      </c>
      <c r="H2671" s="13"/>
      <c r="I2671" s="15"/>
      <c r="J2671" s="19">
        <v>3</v>
      </c>
      <c r="K2671" s="2" t="s">
        <v>5354</v>
      </c>
      <c r="L2671" s="11" t="str">
        <f t="shared" si="43"/>
        <v>Ver Imagen</v>
      </c>
      <c r="M2671" t="s">
        <v>15</v>
      </c>
    </row>
    <row r="2672" spans="1:13" x14ac:dyDescent="0.25">
      <c r="A2672">
        <v>2671</v>
      </c>
      <c r="B2672" t="s">
        <v>5355</v>
      </c>
      <c r="C2672" s="1">
        <v>37.225298379999998</v>
      </c>
      <c r="D2672" s="1">
        <v>-7.0310635133400003</v>
      </c>
      <c r="E2672" s="3">
        <v>3</v>
      </c>
      <c r="F2672" s="2">
        <v>2</v>
      </c>
      <c r="G2672" s="4">
        <v>3</v>
      </c>
      <c r="H2672" s="13"/>
      <c r="I2672" s="15"/>
      <c r="J2672" s="19">
        <v>3</v>
      </c>
      <c r="K2672" s="2" t="s">
        <v>5356</v>
      </c>
      <c r="L2672" s="11" t="str">
        <f t="shared" si="43"/>
        <v>Ver Imagen</v>
      </c>
      <c r="M2672" t="s">
        <v>15</v>
      </c>
    </row>
    <row r="2673" spans="1:13" x14ac:dyDescent="0.25">
      <c r="A2673">
        <v>2672</v>
      </c>
      <c r="B2673" t="s">
        <v>5357</v>
      </c>
      <c r="C2673" s="1">
        <v>37.224901430899997</v>
      </c>
      <c r="D2673" s="1">
        <v>-7.03352448463</v>
      </c>
      <c r="E2673" s="3">
        <v>3</v>
      </c>
      <c r="F2673" s="2">
        <v>2</v>
      </c>
      <c r="G2673" s="4">
        <v>3</v>
      </c>
      <c r="H2673" s="13"/>
      <c r="I2673" s="15"/>
      <c r="J2673" s="19">
        <v>3</v>
      </c>
      <c r="K2673" s="2" t="s">
        <v>5358</v>
      </c>
      <c r="L2673" s="11" t="str">
        <f t="shared" si="43"/>
        <v>Ver Imagen</v>
      </c>
      <c r="M2673" t="s">
        <v>15</v>
      </c>
    </row>
    <row r="2674" spans="1:13" x14ac:dyDescent="0.25">
      <c r="A2674">
        <v>2673</v>
      </c>
      <c r="B2674" t="s">
        <v>5359</v>
      </c>
      <c r="C2674" s="1">
        <v>37.431901247100001</v>
      </c>
      <c r="D2674" s="1">
        <v>-7.0626401167599999</v>
      </c>
      <c r="E2674" s="3">
        <v>3</v>
      </c>
      <c r="F2674" s="2">
        <v>2</v>
      </c>
      <c r="G2674" s="4">
        <v>3</v>
      </c>
      <c r="H2674" s="13"/>
      <c r="I2674" s="15"/>
      <c r="J2674" s="19">
        <v>3</v>
      </c>
      <c r="K2674" s="2" t="s">
        <v>5360</v>
      </c>
      <c r="L2674" s="11" t="str">
        <f t="shared" si="43"/>
        <v>Ver Imagen</v>
      </c>
      <c r="M2674" t="s">
        <v>15</v>
      </c>
    </row>
    <row r="2675" spans="1:13" x14ac:dyDescent="0.25">
      <c r="A2675">
        <v>2674</v>
      </c>
      <c r="B2675" t="s">
        <v>5361</v>
      </c>
      <c r="C2675" s="1">
        <v>37.224641961700002</v>
      </c>
      <c r="D2675" s="1">
        <v>-7.0353407971699999</v>
      </c>
      <c r="E2675" s="3">
        <v>4</v>
      </c>
      <c r="F2675" s="2">
        <v>3</v>
      </c>
      <c r="G2675" s="4">
        <v>3</v>
      </c>
      <c r="H2675" s="13"/>
      <c r="I2675" s="15"/>
      <c r="J2675" s="19">
        <v>3</v>
      </c>
      <c r="K2675" s="2" t="s">
        <v>5362</v>
      </c>
      <c r="L2675" s="11" t="str">
        <f t="shared" si="43"/>
        <v>Ver Imagen</v>
      </c>
      <c r="M2675" t="s">
        <v>15</v>
      </c>
    </row>
    <row r="2676" spans="1:13" x14ac:dyDescent="0.25">
      <c r="A2676">
        <v>2675</v>
      </c>
      <c r="B2676" t="s">
        <v>5363</v>
      </c>
      <c r="C2676" s="1">
        <v>37.224651399300001</v>
      </c>
      <c r="D2676" s="1">
        <v>-7.0355992339800002</v>
      </c>
      <c r="E2676" s="3">
        <v>4</v>
      </c>
      <c r="F2676" s="2">
        <v>3</v>
      </c>
      <c r="G2676" s="4">
        <v>3</v>
      </c>
      <c r="H2676" s="13"/>
      <c r="I2676" s="15"/>
      <c r="J2676" s="19">
        <v>3</v>
      </c>
      <c r="K2676" s="2" t="s">
        <v>5364</v>
      </c>
      <c r="L2676" s="11" t="str">
        <f t="shared" si="43"/>
        <v>Ver Imagen</v>
      </c>
      <c r="M2676" t="s">
        <v>15</v>
      </c>
    </row>
    <row r="2677" spans="1:13" x14ac:dyDescent="0.25">
      <c r="A2677">
        <v>2676</v>
      </c>
      <c r="B2677" t="s">
        <v>5365</v>
      </c>
      <c r="C2677" s="1">
        <v>37.224585938799997</v>
      </c>
      <c r="D2677" s="1">
        <v>-7.0357880652900002</v>
      </c>
      <c r="E2677" s="3">
        <v>4</v>
      </c>
      <c r="F2677" s="2">
        <v>3</v>
      </c>
      <c r="G2677" s="4">
        <v>3</v>
      </c>
      <c r="H2677" s="13"/>
      <c r="I2677" s="15"/>
      <c r="J2677" s="19">
        <v>3</v>
      </c>
      <c r="K2677" s="2" t="s">
        <v>5366</v>
      </c>
      <c r="L2677" s="11" t="str">
        <f t="shared" si="43"/>
        <v>Ver Imagen</v>
      </c>
      <c r="M2677" t="s">
        <v>15</v>
      </c>
    </row>
    <row r="2678" spans="1:13" x14ac:dyDescent="0.25">
      <c r="A2678">
        <v>2677</v>
      </c>
      <c r="B2678" t="s">
        <v>5367</v>
      </c>
      <c r="C2678" s="1">
        <v>37.224564197500001</v>
      </c>
      <c r="D2678" s="1">
        <v>-7.0362266139500003</v>
      </c>
      <c r="E2678" s="3">
        <v>3</v>
      </c>
      <c r="F2678" s="2">
        <v>2</v>
      </c>
      <c r="G2678" s="4">
        <v>3</v>
      </c>
      <c r="H2678" s="13"/>
      <c r="I2678" s="15"/>
      <c r="J2678" s="19">
        <v>3</v>
      </c>
      <c r="K2678" s="2" t="s">
        <v>5368</v>
      </c>
      <c r="L2678" s="11" t="str">
        <f t="shared" si="43"/>
        <v>Ver Imagen</v>
      </c>
      <c r="M2678" t="s">
        <v>15</v>
      </c>
    </row>
    <row r="2679" spans="1:13" x14ac:dyDescent="0.25">
      <c r="A2679">
        <v>2678</v>
      </c>
      <c r="B2679" t="s">
        <v>5369</v>
      </c>
      <c r="C2679" s="1">
        <v>37.224636143300003</v>
      </c>
      <c r="D2679" s="1">
        <v>-7.0377520217800003</v>
      </c>
      <c r="E2679" s="3">
        <v>3</v>
      </c>
      <c r="F2679" s="2">
        <v>2</v>
      </c>
      <c r="G2679" s="4">
        <v>3</v>
      </c>
      <c r="H2679" s="13"/>
      <c r="I2679" s="15"/>
      <c r="J2679" s="19">
        <v>3</v>
      </c>
      <c r="K2679" s="2" t="s">
        <v>5370</v>
      </c>
      <c r="L2679" s="11" t="str">
        <f t="shared" si="43"/>
        <v>Ver Imagen</v>
      </c>
      <c r="M2679" t="s">
        <v>15</v>
      </c>
    </row>
    <row r="2680" spans="1:13" x14ac:dyDescent="0.25">
      <c r="A2680">
        <v>2679</v>
      </c>
      <c r="B2680" t="s">
        <v>5371</v>
      </c>
      <c r="C2680" s="1">
        <v>37.2247203752</v>
      </c>
      <c r="D2680" s="1">
        <v>-7.0387813335800002</v>
      </c>
      <c r="E2680" s="3">
        <v>3</v>
      </c>
      <c r="F2680" s="2">
        <v>2</v>
      </c>
      <c r="G2680" s="4">
        <v>3</v>
      </c>
      <c r="H2680" s="13"/>
      <c r="I2680" s="15"/>
      <c r="J2680" s="19">
        <v>3</v>
      </c>
      <c r="K2680" s="2" t="s">
        <v>5372</v>
      </c>
      <c r="L2680" s="11" t="str">
        <f t="shared" si="43"/>
        <v>Ver Imagen</v>
      </c>
      <c r="M2680" t="s">
        <v>15</v>
      </c>
    </row>
    <row r="2681" spans="1:13" x14ac:dyDescent="0.25">
      <c r="A2681">
        <v>2680</v>
      </c>
      <c r="B2681" t="s">
        <v>5373</v>
      </c>
      <c r="C2681" s="1">
        <v>37.227244379399998</v>
      </c>
      <c r="D2681" s="1">
        <v>-7.0449938906799998</v>
      </c>
      <c r="E2681" s="3">
        <v>3</v>
      </c>
      <c r="F2681" s="2">
        <v>2</v>
      </c>
      <c r="G2681" s="4">
        <v>3</v>
      </c>
      <c r="H2681" s="13"/>
      <c r="I2681" s="15"/>
      <c r="J2681" s="19">
        <v>3</v>
      </c>
      <c r="K2681" s="2" t="s">
        <v>5374</v>
      </c>
      <c r="L2681" s="11" t="str">
        <f t="shared" si="43"/>
        <v>Ver Imagen</v>
      </c>
      <c r="M2681" t="s">
        <v>15</v>
      </c>
    </row>
    <row r="2682" spans="1:13" x14ac:dyDescent="0.25">
      <c r="A2682">
        <v>2681</v>
      </c>
      <c r="B2682" t="s">
        <v>5375</v>
      </c>
      <c r="C2682" s="1">
        <v>37.227893678100003</v>
      </c>
      <c r="D2682" s="1">
        <v>-7.0456150640499997</v>
      </c>
      <c r="E2682" s="3">
        <v>3</v>
      </c>
      <c r="F2682" s="2">
        <v>2</v>
      </c>
      <c r="G2682" s="4">
        <v>3</v>
      </c>
      <c r="H2682" s="13"/>
      <c r="I2682" s="15"/>
      <c r="J2682" s="19">
        <v>3</v>
      </c>
      <c r="K2682" s="2" t="s">
        <v>5376</v>
      </c>
      <c r="L2682" s="11" t="str">
        <f t="shared" si="43"/>
        <v>Ver Imagen</v>
      </c>
      <c r="M2682" t="s">
        <v>15</v>
      </c>
    </row>
    <row r="2683" spans="1:13" x14ac:dyDescent="0.25">
      <c r="A2683">
        <v>2682</v>
      </c>
      <c r="B2683" t="s">
        <v>5377</v>
      </c>
      <c r="C2683" s="1">
        <v>37.230108500199997</v>
      </c>
      <c r="D2683" s="1">
        <v>-7.0488874373900003</v>
      </c>
      <c r="E2683" s="3">
        <v>3</v>
      </c>
      <c r="F2683" s="2">
        <v>2</v>
      </c>
      <c r="G2683" s="4">
        <v>3</v>
      </c>
      <c r="H2683" s="13"/>
      <c r="I2683" s="15"/>
      <c r="J2683" s="19">
        <v>3</v>
      </c>
      <c r="K2683" s="2" t="s">
        <v>5378</v>
      </c>
      <c r="L2683" s="11" t="str">
        <f t="shared" si="43"/>
        <v>Ver Imagen</v>
      </c>
      <c r="M2683" t="s">
        <v>15</v>
      </c>
    </row>
    <row r="2684" spans="1:13" x14ac:dyDescent="0.25">
      <c r="A2684">
        <v>2683</v>
      </c>
      <c r="B2684" t="s">
        <v>5379</v>
      </c>
      <c r="C2684" s="1">
        <v>37.230592009900001</v>
      </c>
      <c r="D2684" s="1">
        <v>-7.0496984983199997</v>
      </c>
      <c r="E2684" s="3">
        <v>3</v>
      </c>
      <c r="F2684" s="2">
        <v>2</v>
      </c>
      <c r="G2684" s="4">
        <v>3</v>
      </c>
      <c r="H2684" s="13"/>
      <c r="I2684" s="15"/>
      <c r="J2684" s="19">
        <v>3</v>
      </c>
      <c r="K2684" s="2" t="s">
        <v>5380</v>
      </c>
      <c r="L2684" s="11" t="str">
        <f t="shared" si="43"/>
        <v>Ver Imagen</v>
      </c>
      <c r="M2684" t="s">
        <v>15</v>
      </c>
    </row>
    <row r="2685" spans="1:13" x14ac:dyDescent="0.25">
      <c r="A2685">
        <v>2684</v>
      </c>
      <c r="B2685" t="s">
        <v>5381</v>
      </c>
      <c r="C2685" s="1">
        <v>37.231055455899998</v>
      </c>
      <c r="D2685" s="1">
        <v>-7.0505215251199997</v>
      </c>
      <c r="E2685" s="3">
        <v>3</v>
      </c>
      <c r="F2685" s="2">
        <v>2</v>
      </c>
      <c r="G2685" s="4">
        <v>3</v>
      </c>
      <c r="H2685" s="13"/>
      <c r="I2685" s="15"/>
      <c r="J2685" s="19">
        <v>3</v>
      </c>
      <c r="K2685" s="2" t="s">
        <v>5382</v>
      </c>
      <c r="L2685" s="11" t="str">
        <f t="shared" si="43"/>
        <v>Ver Imagen</v>
      </c>
      <c r="M2685" t="s">
        <v>15</v>
      </c>
    </row>
    <row r="2686" spans="1:13" x14ac:dyDescent="0.25">
      <c r="A2686">
        <v>2685</v>
      </c>
      <c r="B2686" t="s">
        <v>5383</v>
      </c>
      <c r="C2686" s="1">
        <v>37.231391572600003</v>
      </c>
      <c r="D2686" s="1">
        <v>-7.0511606149199997</v>
      </c>
      <c r="E2686" s="3">
        <v>3</v>
      </c>
      <c r="F2686" s="2">
        <v>2</v>
      </c>
      <c r="G2686" s="4">
        <v>3</v>
      </c>
      <c r="H2686" s="13"/>
      <c r="I2686" s="15"/>
      <c r="J2686" s="19">
        <v>3</v>
      </c>
      <c r="K2686" s="2" t="s">
        <v>5384</v>
      </c>
      <c r="L2686" s="11" t="str">
        <f t="shared" si="43"/>
        <v>Ver Imagen</v>
      </c>
      <c r="M2686" t="s">
        <v>15</v>
      </c>
    </row>
    <row r="2687" spans="1:13" x14ac:dyDescent="0.25">
      <c r="A2687">
        <v>2686</v>
      </c>
      <c r="B2687" t="s">
        <v>5385</v>
      </c>
      <c r="C2687" s="1">
        <v>37.231618343599997</v>
      </c>
      <c r="D2687" s="1">
        <v>-7.0515879204700003</v>
      </c>
      <c r="E2687" s="3">
        <v>3</v>
      </c>
      <c r="F2687" s="2">
        <v>2</v>
      </c>
      <c r="G2687" s="4">
        <v>3</v>
      </c>
      <c r="H2687" s="13"/>
      <c r="I2687" s="15"/>
      <c r="J2687" s="19">
        <v>3</v>
      </c>
      <c r="K2687" s="2" t="s">
        <v>5386</v>
      </c>
      <c r="L2687" s="11" t="str">
        <f t="shared" si="43"/>
        <v>Ver Imagen</v>
      </c>
      <c r="M2687" t="s">
        <v>15</v>
      </c>
    </row>
    <row r="2688" spans="1:13" x14ac:dyDescent="0.25">
      <c r="A2688">
        <v>2687</v>
      </c>
      <c r="B2688" t="s">
        <v>5387</v>
      </c>
      <c r="C2688" s="1">
        <v>37.231734164000002</v>
      </c>
      <c r="D2688" s="1">
        <v>-7.0517983132299999</v>
      </c>
      <c r="E2688" s="3">
        <v>3</v>
      </c>
      <c r="F2688" s="2">
        <v>2</v>
      </c>
      <c r="G2688" s="4">
        <v>3</v>
      </c>
      <c r="H2688" s="13"/>
      <c r="I2688" s="15"/>
      <c r="J2688" s="19">
        <v>3</v>
      </c>
      <c r="K2688" s="2" t="s">
        <v>5388</v>
      </c>
      <c r="L2688" s="11" t="str">
        <f t="shared" si="43"/>
        <v>Ver Imagen</v>
      </c>
      <c r="M2688" t="s">
        <v>15</v>
      </c>
    </row>
    <row r="2689" spans="1:13" x14ac:dyDescent="0.25">
      <c r="A2689">
        <v>2688</v>
      </c>
      <c r="B2689" t="s">
        <v>5389</v>
      </c>
      <c r="C2689" s="1">
        <v>37.2319482292</v>
      </c>
      <c r="D2689" s="1">
        <v>-7.0522005671799999</v>
      </c>
      <c r="E2689" s="3">
        <v>3</v>
      </c>
      <c r="F2689" s="2">
        <v>2</v>
      </c>
      <c r="G2689" s="4">
        <v>3</v>
      </c>
      <c r="H2689" s="13"/>
      <c r="I2689" s="15"/>
      <c r="J2689" s="19">
        <v>3</v>
      </c>
      <c r="K2689" s="2" t="s">
        <v>5390</v>
      </c>
      <c r="L2689" s="11" t="str">
        <f t="shared" si="43"/>
        <v>Ver Imagen</v>
      </c>
      <c r="M2689" t="s">
        <v>15</v>
      </c>
    </row>
    <row r="2690" spans="1:13" x14ac:dyDescent="0.25">
      <c r="A2690">
        <v>2689</v>
      </c>
      <c r="B2690" t="s">
        <v>5391</v>
      </c>
      <c r="C2690" s="1">
        <v>37.232070579599998</v>
      </c>
      <c r="D2690" s="1">
        <v>-7.0524309907999996</v>
      </c>
      <c r="E2690" s="3">
        <v>3</v>
      </c>
      <c r="F2690" s="2">
        <v>2</v>
      </c>
      <c r="G2690" s="4">
        <v>3</v>
      </c>
      <c r="H2690" s="13"/>
      <c r="I2690" s="15"/>
      <c r="J2690" s="19">
        <v>3</v>
      </c>
      <c r="K2690" s="2" t="s">
        <v>5392</v>
      </c>
      <c r="L2690" s="11" t="str">
        <f t="shared" si="43"/>
        <v>Ver Imagen</v>
      </c>
      <c r="M2690" t="s">
        <v>15</v>
      </c>
    </row>
    <row r="2691" spans="1:13" x14ac:dyDescent="0.25">
      <c r="A2691">
        <v>2690</v>
      </c>
      <c r="B2691" t="s">
        <v>5393</v>
      </c>
      <c r="C2691" s="1">
        <v>37.232401727000003</v>
      </c>
      <c r="D2691" s="1">
        <v>-7.0530398982199998</v>
      </c>
      <c r="E2691" s="3">
        <v>3</v>
      </c>
      <c r="F2691" s="2">
        <v>2</v>
      </c>
      <c r="G2691" s="4">
        <v>3</v>
      </c>
      <c r="H2691" s="13"/>
      <c r="I2691" s="15"/>
      <c r="J2691" s="19">
        <v>3</v>
      </c>
      <c r="K2691" s="2" t="s">
        <v>5394</v>
      </c>
      <c r="L2691" s="11" t="str">
        <f t="shared" si="43"/>
        <v>Ver Imagen</v>
      </c>
      <c r="M2691" t="s">
        <v>15</v>
      </c>
    </row>
    <row r="2692" spans="1:13" x14ac:dyDescent="0.25">
      <c r="A2692">
        <v>2691</v>
      </c>
      <c r="B2692" t="s">
        <v>5395</v>
      </c>
      <c r="C2692" s="1">
        <v>37.233151241599998</v>
      </c>
      <c r="D2692" s="1">
        <v>-7.0548621537400003</v>
      </c>
      <c r="E2692" s="3">
        <v>3</v>
      </c>
      <c r="F2692" s="2">
        <v>2</v>
      </c>
      <c r="G2692" s="4">
        <v>3</v>
      </c>
      <c r="H2692" s="13"/>
      <c r="I2692" s="15"/>
      <c r="J2692" s="19">
        <v>3</v>
      </c>
      <c r="K2692" s="2" t="s">
        <v>5396</v>
      </c>
      <c r="L2692" s="11" t="str">
        <f t="shared" si="43"/>
        <v>Ver Imagen</v>
      </c>
      <c r="M2692" t="s">
        <v>15</v>
      </c>
    </row>
    <row r="2693" spans="1:13" x14ac:dyDescent="0.25">
      <c r="A2693">
        <v>2692</v>
      </c>
      <c r="B2693" t="s">
        <v>5397</v>
      </c>
      <c r="C2693" s="1">
        <v>37.233396789899999</v>
      </c>
      <c r="D2693" s="1">
        <v>-7.05580807744</v>
      </c>
      <c r="E2693" s="3">
        <v>3</v>
      </c>
      <c r="F2693" s="2">
        <v>2</v>
      </c>
      <c r="G2693" s="4">
        <v>3</v>
      </c>
      <c r="H2693" s="13"/>
      <c r="I2693" s="15"/>
      <c r="J2693" s="19">
        <v>3</v>
      </c>
      <c r="K2693" s="2" t="s">
        <v>5398</v>
      </c>
      <c r="L2693" s="11" t="str">
        <f t="shared" si="43"/>
        <v>Ver Imagen</v>
      </c>
      <c r="M2693" t="s">
        <v>15</v>
      </c>
    </row>
    <row r="2694" spans="1:13" x14ac:dyDescent="0.25">
      <c r="A2694">
        <v>2693</v>
      </c>
      <c r="B2694" t="s">
        <v>5399</v>
      </c>
      <c r="C2694" s="1">
        <v>37.233526442699997</v>
      </c>
      <c r="D2694" s="1">
        <v>-7.0563040798200003</v>
      </c>
      <c r="E2694" s="3">
        <v>3</v>
      </c>
      <c r="F2694" s="2">
        <v>2</v>
      </c>
      <c r="G2694" s="4">
        <v>3</v>
      </c>
      <c r="H2694" s="13"/>
      <c r="I2694" s="15"/>
      <c r="J2694" s="19">
        <v>3</v>
      </c>
      <c r="K2694" s="2" t="s">
        <v>5400</v>
      </c>
      <c r="L2694" s="11" t="str">
        <f t="shared" si="43"/>
        <v>Ver Imagen</v>
      </c>
      <c r="M2694" t="s">
        <v>15</v>
      </c>
    </row>
    <row r="2695" spans="1:13" x14ac:dyDescent="0.25">
      <c r="A2695">
        <v>2694</v>
      </c>
      <c r="B2695" t="s">
        <v>5401</v>
      </c>
      <c r="C2695" s="1">
        <v>37.233903140499997</v>
      </c>
      <c r="D2695" s="1">
        <v>-7.0577444211499998</v>
      </c>
      <c r="E2695" s="3">
        <v>3</v>
      </c>
      <c r="F2695" s="2">
        <v>2</v>
      </c>
      <c r="G2695" s="4">
        <v>3</v>
      </c>
      <c r="H2695" s="13"/>
      <c r="I2695" s="15"/>
      <c r="J2695" s="19">
        <v>3</v>
      </c>
      <c r="K2695" s="2" t="s">
        <v>5402</v>
      </c>
      <c r="L2695" s="11" t="str">
        <f t="shared" si="43"/>
        <v>Ver Imagen</v>
      </c>
      <c r="M2695" t="s">
        <v>15</v>
      </c>
    </row>
    <row r="2696" spans="1:13" x14ac:dyDescent="0.25">
      <c r="A2696">
        <v>2695</v>
      </c>
      <c r="B2696" t="s">
        <v>5403</v>
      </c>
      <c r="C2696" s="1">
        <v>37.233957095500003</v>
      </c>
      <c r="D2696" s="1">
        <v>-7.0579820822799997</v>
      </c>
      <c r="E2696" s="3">
        <v>3</v>
      </c>
      <c r="F2696" s="2">
        <v>2</v>
      </c>
      <c r="G2696" s="4">
        <v>3</v>
      </c>
      <c r="H2696" s="13"/>
      <c r="I2696" s="15"/>
      <c r="J2696" s="19">
        <v>3</v>
      </c>
      <c r="K2696" s="2" t="s">
        <v>5404</v>
      </c>
      <c r="L2696" s="11" t="str">
        <f t="shared" si="43"/>
        <v>Ver Imagen</v>
      </c>
      <c r="M2696" t="s">
        <v>15</v>
      </c>
    </row>
    <row r="2697" spans="1:13" x14ac:dyDescent="0.25">
      <c r="A2697">
        <v>2696</v>
      </c>
      <c r="B2697" t="s">
        <v>5405</v>
      </c>
      <c r="C2697" s="1">
        <v>37.234012880400002</v>
      </c>
      <c r="D2697" s="1">
        <v>-7.0582528469300003</v>
      </c>
      <c r="E2697" s="3">
        <v>3</v>
      </c>
      <c r="F2697" s="2">
        <v>2</v>
      </c>
      <c r="G2697" s="4">
        <v>3</v>
      </c>
      <c r="H2697" s="13"/>
      <c r="I2697" s="15"/>
      <c r="J2697" s="19">
        <v>3</v>
      </c>
      <c r="K2697" s="2" t="s">
        <v>5406</v>
      </c>
      <c r="L2697" s="11" t="str">
        <f t="shared" si="43"/>
        <v>Ver Imagen</v>
      </c>
      <c r="M2697" t="s">
        <v>15</v>
      </c>
    </row>
    <row r="2698" spans="1:13" x14ac:dyDescent="0.25">
      <c r="A2698">
        <v>2697</v>
      </c>
      <c r="B2698" t="s">
        <v>5407</v>
      </c>
      <c r="C2698" s="1">
        <v>37.234055238099998</v>
      </c>
      <c r="D2698" s="1">
        <v>-7.0584848521300003</v>
      </c>
      <c r="E2698" s="3">
        <v>3</v>
      </c>
      <c r="F2698" s="2">
        <v>2</v>
      </c>
      <c r="G2698" s="4">
        <v>3</v>
      </c>
      <c r="H2698" s="13"/>
      <c r="I2698" s="15"/>
      <c r="J2698" s="19">
        <v>3</v>
      </c>
      <c r="K2698" s="2" t="s">
        <v>5408</v>
      </c>
      <c r="L2698" s="11" t="str">
        <f t="shared" si="43"/>
        <v>Ver Imagen</v>
      </c>
      <c r="M2698" t="s">
        <v>15</v>
      </c>
    </row>
    <row r="2699" spans="1:13" x14ac:dyDescent="0.25">
      <c r="A2699">
        <v>2698</v>
      </c>
      <c r="B2699" t="s">
        <v>5409</v>
      </c>
      <c r="C2699" s="1">
        <v>37.234132292300004</v>
      </c>
      <c r="D2699" s="1">
        <v>-7.0592410957</v>
      </c>
      <c r="E2699" s="3">
        <v>3</v>
      </c>
      <c r="F2699" s="2">
        <v>2</v>
      </c>
      <c r="G2699" s="4">
        <v>3</v>
      </c>
      <c r="H2699" s="13"/>
      <c r="I2699" s="15"/>
      <c r="J2699" s="19">
        <v>3</v>
      </c>
      <c r="K2699" s="2" t="s">
        <v>5410</v>
      </c>
      <c r="L2699" s="11" t="str">
        <f t="shared" si="43"/>
        <v>Ver Imagen</v>
      </c>
      <c r="M2699" t="s">
        <v>15</v>
      </c>
    </row>
    <row r="2700" spans="1:13" x14ac:dyDescent="0.25">
      <c r="A2700">
        <v>2699</v>
      </c>
      <c r="B2700" t="s">
        <v>5411</v>
      </c>
      <c r="C2700" s="1">
        <v>37.234130123500002</v>
      </c>
      <c r="D2700" s="1">
        <v>-7.0602595507699997</v>
      </c>
      <c r="E2700" s="3">
        <v>3</v>
      </c>
      <c r="F2700" s="2">
        <v>2</v>
      </c>
      <c r="G2700" s="4">
        <v>3</v>
      </c>
      <c r="H2700" s="13"/>
      <c r="I2700" s="15"/>
      <c r="J2700" s="19">
        <v>3</v>
      </c>
      <c r="K2700" s="2" t="s">
        <v>5412</v>
      </c>
      <c r="L2700" s="11" t="str">
        <f t="shared" si="43"/>
        <v>Ver Imagen</v>
      </c>
      <c r="M2700" t="s">
        <v>15</v>
      </c>
    </row>
    <row r="2701" spans="1:13" x14ac:dyDescent="0.25">
      <c r="A2701">
        <v>2700</v>
      </c>
      <c r="B2701" t="s">
        <v>5413</v>
      </c>
      <c r="C2701" s="1">
        <v>37.234126956700003</v>
      </c>
      <c r="D2701" s="1">
        <v>-7.0605111001300003</v>
      </c>
      <c r="E2701" s="3">
        <v>3</v>
      </c>
      <c r="F2701" s="2">
        <v>2</v>
      </c>
      <c r="G2701" s="4">
        <v>3</v>
      </c>
      <c r="H2701" s="13"/>
      <c r="I2701" s="15"/>
      <c r="J2701" s="19">
        <v>3</v>
      </c>
      <c r="K2701" s="2" t="s">
        <v>5414</v>
      </c>
      <c r="L2701" s="11" t="str">
        <f t="shared" si="43"/>
        <v>Ver Imagen</v>
      </c>
      <c r="M2701" t="s">
        <v>15</v>
      </c>
    </row>
    <row r="2702" spans="1:13" x14ac:dyDescent="0.25">
      <c r="A2702">
        <v>2701</v>
      </c>
      <c r="B2702" t="s">
        <v>5415</v>
      </c>
      <c r="C2702" s="1">
        <v>37.234123336800003</v>
      </c>
      <c r="D2702" s="1">
        <v>-7.0607671142699999</v>
      </c>
      <c r="E2702" s="3">
        <v>3</v>
      </c>
      <c r="F2702" s="2">
        <v>2</v>
      </c>
      <c r="G2702" s="4">
        <v>3</v>
      </c>
      <c r="H2702" s="13"/>
      <c r="I2702" s="15"/>
      <c r="J2702" s="19">
        <v>3</v>
      </c>
      <c r="K2702" s="2" t="s">
        <v>5416</v>
      </c>
      <c r="L2702" s="11" t="str">
        <f t="shared" si="43"/>
        <v>Ver Imagen</v>
      </c>
      <c r="M2702" t="s">
        <v>15</v>
      </c>
    </row>
    <row r="2703" spans="1:13" x14ac:dyDescent="0.25">
      <c r="A2703">
        <v>2702</v>
      </c>
      <c r="B2703" t="s">
        <v>5417</v>
      </c>
      <c r="C2703" s="1">
        <v>37.2341152455</v>
      </c>
      <c r="D2703" s="1">
        <v>-7.0612776784499998</v>
      </c>
      <c r="E2703" s="3">
        <v>3</v>
      </c>
      <c r="F2703" s="2">
        <v>4</v>
      </c>
      <c r="G2703" s="4">
        <v>3</v>
      </c>
      <c r="H2703" s="13"/>
      <c r="I2703" s="15"/>
      <c r="J2703" s="19">
        <v>3</v>
      </c>
      <c r="K2703" s="2" t="s">
        <v>5418</v>
      </c>
      <c r="L2703" s="11" t="str">
        <f t="shared" si="43"/>
        <v>Ver Imagen</v>
      </c>
      <c r="M2703" t="s">
        <v>15</v>
      </c>
    </row>
    <row r="2704" spans="1:13" x14ac:dyDescent="0.25">
      <c r="A2704">
        <v>2703</v>
      </c>
      <c r="B2704" t="s">
        <v>5419</v>
      </c>
      <c r="C2704" s="1">
        <v>37.234005001600003</v>
      </c>
      <c r="D2704" s="1">
        <v>-7.06457878382</v>
      </c>
      <c r="E2704" s="3">
        <v>3</v>
      </c>
      <c r="F2704" s="2">
        <v>2</v>
      </c>
      <c r="G2704" s="4">
        <v>3</v>
      </c>
      <c r="H2704" s="13"/>
      <c r="I2704" s="15"/>
      <c r="J2704" s="19">
        <v>3</v>
      </c>
      <c r="K2704" s="2" t="s">
        <v>5420</v>
      </c>
      <c r="L2704" s="11" t="str">
        <f t="shared" si="43"/>
        <v>Ver Imagen</v>
      </c>
      <c r="M2704" t="s">
        <v>15</v>
      </c>
    </row>
    <row r="2705" spans="1:13" x14ac:dyDescent="0.25">
      <c r="A2705">
        <v>2704</v>
      </c>
      <c r="B2705" t="s">
        <v>5421</v>
      </c>
      <c r="C2705" s="1">
        <v>37.233594963900003</v>
      </c>
      <c r="D2705" s="1">
        <v>-7.0681204840699996</v>
      </c>
      <c r="E2705" s="3">
        <v>3</v>
      </c>
      <c r="F2705" s="2">
        <v>2</v>
      </c>
      <c r="G2705" s="4">
        <v>3</v>
      </c>
      <c r="H2705" s="13"/>
      <c r="I2705" s="15"/>
      <c r="J2705" s="19">
        <v>3</v>
      </c>
      <c r="K2705" s="2" t="s">
        <v>5422</v>
      </c>
      <c r="L2705" s="11" t="str">
        <f t="shared" si="43"/>
        <v>Ver Imagen</v>
      </c>
      <c r="M2705" t="s">
        <v>15</v>
      </c>
    </row>
    <row r="2706" spans="1:13" x14ac:dyDescent="0.25">
      <c r="A2706">
        <v>2705</v>
      </c>
      <c r="B2706" t="s">
        <v>5423</v>
      </c>
      <c r="C2706" s="1">
        <v>37.2336381649</v>
      </c>
      <c r="D2706" s="1">
        <v>-7.0683532963699998</v>
      </c>
      <c r="E2706" s="3">
        <v>3</v>
      </c>
      <c r="F2706" s="2">
        <v>2</v>
      </c>
      <c r="G2706" s="4">
        <v>3</v>
      </c>
      <c r="H2706" s="13"/>
      <c r="I2706" s="15"/>
      <c r="J2706" s="19">
        <v>3</v>
      </c>
      <c r="K2706" s="2" t="s">
        <v>5424</v>
      </c>
      <c r="L2706" s="11" t="str">
        <f t="shared" si="43"/>
        <v>Ver Imagen</v>
      </c>
      <c r="M2706" t="s">
        <v>15</v>
      </c>
    </row>
    <row r="2707" spans="1:13" x14ac:dyDescent="0.25">
      <c r="A2707">
        <v>2706</v>
      </c>
      <c r="B2707" t="s">
        <v>5425</v>
      </c>
      <c r="C2707" s="1">
        <v>37.233843606699999</v>
      </c>
      <c r="D2707" s="1">
        <v>-7.0691180347699998</v>
      </c>
      <c r="E2707" s="3">
        <v>3</v>
      </c>
      <c r="F2707" s="2">
        <v>2</v>
      </c>
      <c r="G2707" s="4">
        <v>3</v>
      </c>
      <c r="H2707" s="13"/>
      <c r="I2707" s="15"/>
      <c r="J2707" s="19">
        <v>3</v>
      </c>
      <c r="K2707" s="2" t="s">
        <v>5426</v>
      </c>
      <c r="L2707" s="11" t="str">
        <f t="shared" si="43"/>
        <v>Ver Imagen</v>
      </c>
      <c r="M2707" t="s">
        <v>15</v>
      </c>
    </row>
    <row r="2708" spans="1:13" x14ac:dyDescent="0.25">
      <c r="A2708">
        <v>2707</v>
      </c>
      <c r="B2708" t="s">
        <v>5427</v>
      </c>
      <c r="C2708" s="1">
        <v>37.233898835399998</v>
      </c>
      <c r="D2708" s="1">
        <v>-7.0693160054300002</v>
      </c>
      <c r="E2708" s="3">
        <v>3</v>
      </c>
      <c r="F2708" s="2">
        <v>2</v>
      </c>
      <c r="G2708" s="4">
        <v>3</v>
      </c>
      <c r="H2708" s="13"/>
      <c r="I2708" s="15"/>
      <c r="J2708" s="19">
        <v>3</v>
      </c>
      <c r="K2708" s="2" t="s">
        <v>5428</v>
      </c>
      <c r="L2708" s="11" t="str">
        <f t="shared" si="43"/>
        <v>Ver Imagen</v>
      </c>
      <c r="M2708" t="s">
        <v>15</v>
      </c>
    </row>
    <row r="2709" spans="1:13" x14ac:dyDescent="0.25">
      <c r="A2709">
        <v>2708</v>
      </c>
      <c r="B2709" t="s">
        <v>5429</v>
      </c>
      <c r="C2709" s="1">
        <v>37.234041052999999</v>
      </c>
      <c r="D2709" s="1">
        <v>-7.0698200525199999</v>
      </c>
      <c r="E2709" s="3">
        <v>3</v>
      </c>
      <c r="F2709" s="2">
        <v>2</v>
      </c>
      <c r="G2709" s="4">
        <v>3</v>
      </c>
      <c r="H2709" s="13"/>
      <c r="I2709" s="15"/>
      <c r="J2709" s="19">
        <v>3</v>
      </c>
      <c r="K2709" s="2" t="s">
        <v>5430</v>
      </c>
      <c r="L2709" s="11" t="str">
        <f t="shared" si="43"/>
        <v>Ver Imagen</v>
      </c>
      <c r="M2709" t="s">
        <v>15</v>
      </c>
    </row>
    <row r="2710" spans="1:13" x14ac:dyDescent="0.25">
      <c r="A2710">
        <v>2709</v>
      </c>
      <c r="B2710" t="s">
        <v>5431</v>
      </c>
      <c r="C2710" s="1">
        <v>37.234103578499997</v>
      </c>
      <c r="D2710" s="1">
        <v>-7.0700413705900003</v>
      </c>
      <c r="E2710" s="3">
        <v>3</v>
      </c>
      <c r="F2710" s="2">
        <v>2</v>
      </c>
      <c r="G2710" s="4">
        <v>3</v>
      </c>
      <c r="H2710" s="13"/>
      <c r="I2710" s="15"/>
      <c r="J2710" s="19">
        <v>3</v>
      </c>
      <c r="K2710" s="2" t="s">
        <v>5432</v>
      </c>
      <c r="L2710" s="11" t="str">
        <f t="shared" si="43"/>
        <v>Ver Imagen</v>
      </c>
      <c r="M2710" t="s">
        <v>15</v>
      </c>
    </row>
    <row r="2711" spans="1:13" x14ac:dyDescent="0.25">
      <c r="A2711">
        <v>2710</v>
      </c>
      <c r="B2711" t="s">
        <v>5433</v>
      </c>
      <c r="C2711" s="1">
        <v>37.234376339199997</v>
      </c>
      <c r="D2711" s="1">
        <v>-7.0710143722799996</v>
      </c>
      <c r="E2711" s="3">
        <v>3</v>
      </c>
      <c r="F2711" s="2">
        <v>2</v>
      </c>
      <c r="G2711" s="4">
        <v>3</v>
      </c>
      <c r="H2711" s="13"/>
      <c r="I2711" s="15"/>
      <c r="J2711" s="19">
        <v>3</v>
      </c>
      <c r="K2711" s="2" t="s">
        <v>5434</v>
      </c>
      <c r="L2711" s="11" t="str">
        <f t="shared" si="43"/>
        <v>Ver Imagen</v>
      </c>
      <c r="M2711" t="s">
        <v>15</v>
      </c>
    </row>
    <row r="2712" spans="1:13" x14ac:dyDescent="0.25">
      <c r="A2712">
        <v>2711</v>
      </c>
      <c r="B2712" t="s">
        <v>5435</v>
      </c>
      <c r="C2712" s="1">
        <v>37.234437210599999</v>
      </c>
      <c r="D2712" s="1">
        <v>-7.0712332825399997</v>
      </c>
      <c r="E2712" s="3">
        <v>3</v>
      </c>
      <c r="F2712" s="2">
        <v>2</v>
      </c>
      <c r="G2712" s="4">
        <v>3</v>
      </c>
      <c r="H2712" s="13"/>
      <c r="I2712" s="15"/>
      <c r="J2712" s="19">
        <v>3</v>
      </c>
      <c r="K2712" s="2" t="s">
        <v>5436</v>
      </c>
      <c r="L2712" s="11" t="str">
        <f t="shared" si="43"/>
        <v>Ver Imagen</v>
      </c>
      <c r="M2712" t="s">
        <v>15</v>
      </c>
    </row>
    <row r="2713" spans="1:13" x14ac:dyDescent="0.25">
      <c r="A2713">
        <v>2712</v>
      </c>
      <c r="B2713" t="s">
        <v>5437</v>
      </c>
      <c r="C2713" s="1">
        <v>37.234783281799999</v>
      </c>
      <c r="D2713" s="1">
        <v>-7.0724344955199996</v>
      </c>
      <c r="E2713" s="3">
        <v>3</v>
      </c>
      <c r="F2713" s="2">
        <v>2</v>
      </c>
      <c r="G2713" s="4">
        <v>3</v>
      </c>
      <c r="H2713" s="13"/>
      <c r="I2713" s="15"/>
      <c r="J2713" s="19">
        <v>3</v>
      </c>
      <c r="K2713" s="2" t="s">
        <v>5438</v>
      </c>
      <c r="L2713" s="11" t="str">
        <f t="shared" si="43"/>
        <v>Ver Imagen</v>
      </c>
      <c r="M2713" t="s">
        <v>15</v>
      </c>
    </row>
    <row r="2714" spans="1:13" x14ac:dyDescent="0.25">
      <c r="A2714">
        <v>2713</v>
      </c>
      <c r="B2714" t="s">
        <v>5439</v>
      </c>
      <c r="C2714" s="1">
        <v>37.237235805799997</v>
      </c>
      <c r="D2714" s="1">
        <v>-7.0770221982299999</v>
      </c>
      <c r="E2714" s="3">
        <v>3</v>
      </c>
      <c r="F2714" s="2">
        <v>3</v>
      </c>
      <c r="G2714" s="4">
        <v>4</v>
      </c>
      <c r="H2714" s="13"/>
      <c r="I2714" s="15"/>
      <c r="J2714" s="19">
        <v>3</v>
      </c>
      <c r="K2714" s="2" t="s">
        <v>5440</v>
      </c>
      <c r="L2714" s="11" t="str">
        <f t="shared" si="43"/>
        <v>Ver Imagen</v>
      </c>
      <c r="M2714" t="s">
        <v>15</v>
      </c>
    </row>
    <row r="2715" spans="1:13" x14ac:dyDescent="0.25">
      <c r="A2715">
        <v>2714</v>
      </c>
      <c r="B2715" t="s">
        <v>5441</v>
      </c>
      <c r="C2715" s="1">
        <v>37.238592279300001</v>
      </c>
      <c r="D2715" s="1">
        <v>-7.0792715994300002</v>
      </c>
      <c r="E2715" s="3">
        <v>3</v>
      </c>
      <c r="F2715" s="2">
        <v>2</v>
      </c>
      <c r="G2715" s="4">
        <v>3</v>
      </c>
      <c r="H2715" s="13"/>
      <c r="I2715" s="15"/>
      <c r="J2715" s="19">
        <v>3</v>
      </c>
      <c r="K2715" s="2" t="s">
        <v>5442</v>
      </c>
      <c r="L2715" s="11" t="str">
        <f t="shared" si="43"/>
        <v>Ver Imagen</v>
      </c>
      <c r="M2715" t="s">
        <v>15</v>
      </c>
    </row>
    <row r="2716" spans="1:13" x14ac:dyDescent="0.25">
      <c r="A2716">
        <v>2715</v>
      </c>
      <c r="B2716" t="s">
        <v>5443</v>
      </c>
      <c r="C2716" s="1">
        <v>37.238857200799998</v>
      </c>
      <c r="D2716" s="1">
        <v>-7.0796668302499999</v>
      </c>
      <c r="E2716" s="3">
        <v>3</v>
      </c>
      <c r="F2716" s="2">
        <v>2</v>
      </c>
      <c r="G2716" s="4">
        <v>3</v>
      </c>
      <c r="H2716" s="13"/>
      <c r="I2716" s="15"/>
      <c r="J2716" s="19">
        <v>3</v>
      </c>
      <c r="K2716" s="2" t="s">
        <v>5444</v>
      </c>
      <c r="L2716" s="11" t="str">
        <f t="shared" si="43"/>
        <v>Ver Imagen</v>
      </c>
      <c r="M2716" t="s">
        <v>15</v>
      </c>
    </row>
    <row r="2717" spans="1:13" x14ac:dyDescent="0.25">
      <c r="A2717">
        <v>2716</v>
      </c>
      <c r="B2717" t="s">
        <v>5445</v>
      </c>
      <c r="C2717" s="1">
        <v>37.238996068799999</v>
      </c>
      <c r="D2717" s="1">
        <v>-7.0798744333099997</v>
      </c>
      <c r="E2717" s="3">
        <v>3</v>
      </c>
      <c r="F2717" s="2">
        <v>2</v>
      </c>
      <c r="G2717" s="4">
        <v>3</v>
      </c>
      <c r="H2717" s="13"/>
      <c r="I2717" s="15"/>
      <c r="J2717" s="19">
        <v>3</v>
      </c>
      <c r="K2717" s="2" t="s">
        <v>5446</v>
      </c>
      <c r="L2717" s="11" t="str">
        <f t="shared" si="43"/>
        <v>Ver Imagen</v>
      </c>
      <c r="M2717" t="s">
        <v>15</v>
      </c>
    </row>
    <row r="2718" spans="1:13" x14ac:dyDescent="0.25">
      <c r="A2718">
        <v>2717</v>
      </c>
      <c r="B2718" t="s">
        <v>5447</v>
      </c>
      <c r="C2718" s="1">
        <v>37.239618916300003</v>
      </c>
      <c r="D2718" s="1">
        <v>-7.0808220888799998</v>
      </c>
      <c r="E2718" s="3">
        <v>3</v>
      </c>
      <c r="F2718" s="2">
        <v>2</v>
      </c>
      <c r="G2718" s="4">
        <v>3</v>
      </c>
      <c r="H2718" s="13"/>
      <c r="I2718" s="15"/>
      <c r="J2718" s="19">
        <v>3</v>
      </c>
      <c r="K2718" s="2" t="s">
        <v>5448</v>
      </c>
      <c r="L2718" s="11" t="str">
        <f t="shared" si="43"/>
        <v>Ver Imagen</v>
      </c>
      <c r="M2718" t="s">
        <v>15</v>
      </c>
    </row>
    <row r="2719" spans="1:13" x14ac:dyDescent="0.25">
      <c r="A2719">
        <v>2718</v>
      </c>
      <c r="B2719" t="s">
        <v>5449</v>
      </c>
      <c r="C2719" s="1">
        <v>37.240009768500002</v>
      </c>
      <c r="D2719" s="1">
        <v>-7.0814169842999997</v>
      </c>
      <c r="E2719" s="3">
        <v>3</v>
      </c>
      <c r="F2719" s="2">
        <v>2</v>
      </c>
      <c r="G2719" s="4">
        <v>3</v>
      </c>
      <c r="H2719" s="13"/>
      <c r="I2719" s="15"/>
      <c r="J2719" s="19">
        <v>3</v>
      </c>
      <c r="K2719" s="2" t="s">
        <v>5450</v>
      </c>
      <c r="L2719" s="11" t="str">
        <f t="shared" si="43"/>
        <v>Ver Imagen</v>
      </c>
      <c r="M2719" t="s">
        <v>15</v>
      </c>
    </row>
    <row r="2720" spans="1:13" x14ac:dyDescent="0.25">
      <c r="A2720">
        <v>2719</v>
      </c>
      <c r="B2720" t="s">
        <v>5451</v>
      </c>
      <c r="C2720" s="1">
        <v>37.241159995399997</v>
      </c>
      <c r="D2720" s="1">
        <v>-7.0831583312699999</v>
      </c>
      <c r="E2720" s="3">
        <v>3</v>
      </c>
      <c r="F2720" s="2">
        <v>2</v>
      </c>
      <c r="G2720" s="4">
        <v>3</v>
      </c>
      <c r="H2720" s="13"/>
      <c r="I2720" s="15"/>
      <c r="J2720" s="19">
        <v>3</v>
      </c>
      <c r="K2720" s="2" t="s">
        <v>5452</v>
      </c>
      <c r="L2720" s="11" t="str">
        <f t="shared" si="43"/>
        <v>Ver Imagen</v>
      </c>
      <c r="M2720" t="s">
        <v>15</v>
      </c>
    </row>
    <row r="2721" spans="1:13" x14ac:dyDescent="0.25">
      <c r="A2721">
        <v>2720</v>
      </c>
      <c r="B2721" t="s">
        <v>5453</v>
      </c>
      <c r="C2721" s="1">
        <v>37.2412968322</v>
      </c>
      <c r="D2721" s="1">
        <v>-7.0833672127399998</v>
      </c>
      <c r="E2721" s="3">
        <v>3</v>
      </c>
      <c r="F2721" s="2">
        <v>2</v>
      </c>
      <c r="G2721" s="4">
        <v>3</v>
      </c>
      <c r="H2721" s="13"/>
      <c r="I2721" s="15"/>
      <c r="J2721" s="19">
        <v>3</v>
      </c>
      <c r="K2721" s="2" t="s">
        <v>5454</v>
      </c>
      <c r="L2721" s="11" t="str">
        <f t="shared" si="43"/>
        <v>Ver Imagen</v>
      </c>
      <c r="M2721" t="s">
        <v>15</v>
      </c>
    </row>
    <row r="2722" spans="1:13" x14ac:dyDescent="0.25">
      <c r="A2722">
        <v>2721</v>
      </c>
      <c r="B2722" t="s">
        <v>5455</v>
      </c>
      <c r="C2722" s="1">
        <v>37.242296242499997</v>
      </c>
      <c r="D2722" s="1">
        <v>-7.0852770678199999</v>
      </c>
      <c r="E2722" s="3">
        <v>3</v>
      </c>
      <c r="F2722" s="2">
        <v>2</v>
      </c>
      <c r="G2722" s="4">
        <v>3</v>
      </c>
      <c r="H2722" s="13"/>
      <c r="I2722" s="15"/>
      <c r="J2722" s="19">
        <v>3</v>
      </c>
      <c r="K2722" s="2" t="s">
        <v>5456</v>
      </c>
      <c r="L2722" s="11" t="str">
        <f t="shared" si="43"/>
        <v>Ver Imagen</v>
      </c>
      <c r="M2722" t="s">
        <v>15</v>
      </c>
    </row>
    <row r="2723" spans="1:13" x14ac:dyDescent="0.25">
      <c r="A2723">
        <v>2722</v>
      </c>
      <c r="B2723" t="s">
        <v>5457</v>
      </c>
      <c r="C2723" s="1">
        <v>37.242363970500001</v>
      </c>
      <c r="D2723" s="1">
        <v>-7.08549437869</v>
      </c>
      <c r="E2723" s="3">
        <v>3</v>
      </c>
      <c r="F2723" s="2">
        <v>2</v>
      </c>
      <c r="G2723" s="4">
        <v>3</v>
      </c>
      <c r="H2723" s="13"/>
      <c r="I2723" s="15"/>
      <c r="J2723" s="19">
        <v>3</v>
      </c>
      <c r="K2723" s="2" t="s">
        <v>5458</v>
      </c>
      <c r="L2723" s="11" t="str">
        <f t="shared" si="43"/>
        <v>Ver Imagen</v>
      </c>
      <c r="M2723" t="s">
        <v>15</v>
      </c>
    </row>
    <row r="2724" spans="1:13" x14ac:dyDescent="0.25">
      <c r="A2724">
        <v>2723</v>
      </c>
      <c r="B2724" t="s">
        <v>5459</v>
      </c>
      <c r="C2724" s="1">
        <v>37.242433225500001</v>
      </c>
      <c r="D2724" s="1">
        <v>-7.0857355844500001</v>
      </c>
      <c r="E2724" s="3">
        <v>3</v>
      </c>
      <c r="F2724" s="2">
        <v>2</v>
      </c>
      <c r="G2724" s="4">
        <v>3</v>
      </c>
      <c r="H2724" s="13"/>
      <c r="I2724" s="15"/>
      <c r="J2724" s="19">
        <v>3</v>
      </c>
      <c r="K2724" s="2" t="s">
        <v>5460</v>
      </c>
      <c r="L2724" s="11" t="str">
        <f t="shared" si="43"/>
        <v>Ver Imagen</v>
      </c>
      <c r="M2724" t="s">
        <v>15</v>
      </c>
    </row>
    <row r="2725" spans="1:13" x14ac:dyDescent="0.25">
      <c r="A2725">
        <v>2724</v>
      </c>
      <c r="B2725" t="s">
        <v>5461</v>
      </c>
      <c r="C2725" s="1">
        <v>37.242496654299998</v>
      </c>
      <c r="D2725" s="1">
        <v>-7.0859673193999999</v>
      </c>
      <c r="E2725" s="3">
        <v>3</v>
      </c>
      <c r="F2725" s="2">
        <v>2</v>
      </c>
      <c r="G2725" s="4">
        <v>3</v>
      </c>
      <c r="H2725" s="13"/>
      <c r="I2725" s="15"/>
      <c r="J2725" s="19">
        <v>3</v>
      </c>
      <c r="K2725" s="2" t="s">
        <v>5462</v>
      </c>
      <c r="L2725" s="11" t="str">
        <f t="shared" si="43"/>
        <v>Ver Imagen</v>
      </c>
      <c r="M2725" t="s">
        <v>15</v>
      </c>
    </row>
    <row r="2726" spans="1:13" x14ac:dyDescent="0.25">
      <c r="A2726">
        <v>2725</v>
      </c>
      <c r="B2726" t="s">
        <v>5463</v>
      </c>
      <c r="C2726" s="1">
        <v>37.242624181799997</v>
      </c>
      <c r="D2726" s="1">
        <v>-7.0864505742099997</v>
      </c>
      <c r="E2726" s="3">
        <v>4</v>
      </c>
      <c r="F2726" s="2">
        <v>3</v>
      </c>
      <c r="G2726" s="4">
        <v>3</v>
      </c>
      <c r="H2726" s="13"/>
      <c r="I2726" s="15"/>
      <c r="J2726" s="19">
        <v>3</v>
      </c>
      <c r="K2726" s="2" t="s">
        <v>5464</v>
      </c>
      <c r="L2726" s="11" t="str">
        <f t="shared" si="43"/>
        <v>Ver Imagen</v>
      </c>
      <c r="M2726" t="s">
        <v>15</v>
      </c>
    </row>
    <row r="2727" spans="1:13" x14ac:dyDescent="0.25">
      <c r="A2727">
        <v>2726</v>
      </c>
      <c r="B2727" t="s">
        <v>5465</v>
      </c>
      <c r="C2727" s="1">
        <v>37.242693774999999</v>
      </c>
      <c r="D2727" s="1">
        <v>-7.0867106147000003</v>
      </c>
      <c r="E2727" s="3">
        <v>3</v>
      </c>
      <c r="F2727" s="2">
        <v>4</v>
      </c>
      <c r="G2727" s="4">
        <v>3</v>
      </c>
      <c r="H2727" s="13"/>
      <c r="I2727" s="15"/>
      <c r="J2727" s="19">
        <v>3</v>
      </c>
      <c r="K2727" s="2" t="s">
        <v>5466</v>
      </c>
      <c r="L2727" s="11" t="str">
        <f t="shared" si="43"/>
        <v>Ver Imagen</v>
      </c>
      <c r="M2727" t="s">
        <v>15</v>
      </c>
    </row>
    <row r="2728" spans="1:13" x14ac:dyDescent="0.25">
      <c r="A2728">
        <v>2727</v>
      </c>
      <c r="B2728" t="s">
        <v>5467</v>
      </c>
      <c r="C2728" s="1">
        <v>37.242752666000001</v>
      </c>
      <c r="D2728" s="1">
        <v>-7.0869305524100001</v>
      </c>
      <c r="E2728" s="3">
        <v>4</v>
      </c>
      <c r="F2728" s="2">
        <v>3</v>
      </c>
      <c r="G2728" s="4">
        <v>3</v>
      </c>
      <c r="H2728" s="13"/>
      <c r="I2728" s="15"/>
      <c r="J2728" s="19">
        <v>3</v>
      </c>
      <c r="K2728" s="2" t="s">
        <v>5468</v>
      </c>
      <c r="L2728" s="11" t="str">
        <f t="shared" si="43"/>
        <v>Ver Imagen</v>
      </c>
      <c r="M2728" t="s">
        <v>15</v>
      </c>
    </row>
    <row r="2729" spans="1:13" x14ac:dyDescent="0.25">
      <c r="A2729">
        <v>2728</v>
      </c>
      <c r="B2729" t="s">
        <v>5469</v>
      </c>
      <c r="C2729" s="1">
        <v>37.2428256225</v>
      </c>
      <c r="D2729" s="1">
        <v>-7.08720015935</v>
      </c>
      <c r="E2729" s="3">
        <v>3</v>
      </c>
      <c r="F2729" s="2">
        <v>2</v>
      </c>
      <c r="G2729" s="4">
        <v>3</v>
      </c>
      <c r="H2729" s="13"/>
      <c r="I2729" s="15"/>
      <c r="J2729" s="19">
        <v>3</v>
      </c>
      <c r="K2729" s="2" t="s">
        <v>5470</v>
      </c>
      <c r="L2729" s="11" t="str">
        <f t="shared" ref="L2729:L2792" si="44">HYPERLINK("3\1\" &amp; K2729, "Ver Imagen")</f>
        <v>Ver Imagen</v>
      </c>
      <c r="M2729" t="s">
        <v>15</v>
      </c>
    </row>
    <row r="2730" spans="1:13" x14ac:dyDescent="0.25">
      <c r="A2730">
        <v>2729</v>
      </c>
      <c r="B2730" t="s">
        <v>5471</v>
      </c>
      <c r="C2730" s="1">
        <v>37.243615869199999</v>
      </c>
      <c r="D2730" s="1">
        <v>-7.0892050207499997</v>
      </c>
      <c r="E2730" s="3">
        <v>3</v>
      </c>
      <c r="F2730" s="2">
        <v>2</v>
      </c>
      <c r="G2730" s="4">
        <v>3</v>
      </c>
      <c r="H2730" s="13"/>
      <c r="I2730" s="15"/>
      <c r="J2730" s="19">
        <v>3</v>
      </c>
      <c r="K2730" s="2" t="s">
        <v>5472</v>
      </c>
      <c r="L2730" s="11" t="str">
        <f t="shared" si="44"/>
        <v>Ver Imagen</v>
      </c>
      <c r="M2730" t="s">
        <v>15</v>
      </c>
    </row>
    <row r="2731" spans="1:13" x14ac:dyDescent="0.25">
      <c r="A2731">
        <v>2730</v>
      </c>
      <c r="B2731" t="s">
        <v>5473</v>
      </c>
      <c r="C2731" s="1">
        <v>37.244917190700001</v>
      </c>
      <c r="D2731" s="1">
        <v>-7.0917921425500001</v>
      </c>
      <c r="E2731" s="3">
        <v>3</v>
      </c>
      <c r="F2731" s="2">
        <v>2</v>
      </c>
      <c r="G2731" s="4">
        <v>3</v>
      </c>
      <c r="H2731" s="13"/>
      <c r="I2731" s="15"/>
      <c r="J2731" s="19">
        <v>3</v>
      </c>
      <c r="K2731" s="2" t="s">
        <v>5474</v>
      </c>
      <c r="L2731" s="11" t="str">
        <f t="shared" si="44"/>
        <v>Ver Imagen</v>
      </c>
      <c r="M2731" t="s">
        <v>15</v>
      </c>
    </row>
    <row r="2732" spans="1:13" x14ac:dyDescent="0.25">
      <c r="A2732">
        <v>2731</v>
      </c>
      <c r="B2732" t="s">
        <v>5475</v>
      </c>
      <c r="C2732" s="1">
        <v>37.2454909665</v>
      </c>
      <c r="D2732" s="1">
        <v>-7.0947425147400001</v>
      </c>
      <c r="E2732" s="3">
        <v>3</v>
      </c>
      <c r="F2732" s="2">
        <v>3</v>
      </c>
      <c r="G2732" s="4">
        <v>4</v>
      </c>
      <c r="H2732" s="13"/>
      <c r="I2732" s="15"/>
      <c r="J2732" s="19">
        <v>3</v>
      </c>
      <c r="K2732" s="2" t="s">
        <v>5476</v>
      </c>
      <c r="L2732" s="11" t="str">
        <f t="shared" si="44"/>
        <v>Ver Imagen</v>
      </c>
      <c r="M2732" t="s">
        <v>15</v>
      </c>
    </row>
    <row r="2733" spans="1:13" x14ac:dyDescent="0.25">
      <c r="A2733">
        <v>2732</v>
      </c>
      <c r="B2733" t="s">
        <v>5477</v>
      </c>
      <c r="C2733" s="1">
        <v>37.2455075198</v>
      </c>
      <c r="D2733" s="1">
        <v>-7.0949578503500002</v>
      </c>
      <c r="E2733" s="3">
        <v>3</v>
      </c>
      <c r="F2733" s="2">
        <v>2</v>
      </c>
      <c r="G2733" s="4">
        <v>3</v>
      </c>
      <c r="H2733" s="13"/>
      <c r="I2733" s="15"/>
      <c r="J2733" s="19">
        <v>3</v>
      </c>
      <c r="K2733" s="2" t="s">
        <v>5478</v>
      </c>
      <c r="L2733" s="11" t="str">
        <f t="shared" si="44"/>
        <v>Ver Imagen</v>
      </c>
      <c r="M2733" t="s">
        <v>15</v>
      </c>
    </row>
    <row r="2734" spans="1:13" x14ac:dyDescent="0.25">
      <c r="A2734">
        <v>2733</v>
      </c>
      <c r="B2734" t="s">
        <v>5479</v>
      </c>
      <c r="C2734" s="1">
        <v>37.245527760900003</v>
      </c>
      <c r="D2734" s="1">
        <v>-7.0952193838099999</v>
      </c>
      <c r="E2734" s="3">
        <v>3</v>
      </c>
      <c r="F2734" s="2">
        <v>2</v>
      </c>
      <c r="G2734" s="4">
        <v>3</v>
      </c>
      <c r="H2734" s="13"/>
      <c r="I2734" s="15"/>
      <c r="J2734" s="19">
        <v>3</v>
      </c>
      <c r="K2734" s="2" t="s">
        <v>5480</v>
      </c>
      <c r="L2734" s="11" t="str">
        <f t="shared" si="44"/>
        <v>Ver Imagen</v>
      </c>
      <c r="M2734" t="s">
        <v>15</v>
      </c>
    </row>
    <row r="2735" spans="1:13" x14ac:dyDescent="0.25">
      <c r="A2735">
        <v>2734</v>
      </c>
      <c r="B2735" t="s">
        <v>5481</v>
      </c>
      <c r="C2735" s="1">
        <v>37.245605848700002</v>
      </c>
      <c r="D2735" s="1">
        <v>-7.0962431815700002</v>
      </c>
      <c r="E2735" s="3">
        <v>3</v>
      </c>
      <c r="F2735" s="2">
        <v>2</v>
      </c>
      <c r="G2735" s="4">
        <v>3</v>
      </c>
      <c r="H2735" s="13"/>
      <c r="I2735" s="15"/>
      <c r="J2735" s="19">
        <v>3</v>
      </c>
      <c r="K2735" s="2" t="s">
        <v>5482</v>
      </c>
      <c r="L2735" s="11" t="str">
        <f t="shared" si="44"/>
        <v>Ver Imagen</v>
      </c>
      <c r="M2735" t="s">
        <v>15</v>
      </c>
    </row>
    <row r="2736" spans="1:13" x14ac:dyDescent="0.25">
      <c r="A2736">
        <v>2735</v>
      </c>
      <c r="B2736" t="s">
        <v>5483</v>
      </c>
      <c r="C2736" s="1">
        <v>37.245627061900002</v>
      </c>
      <c r="D2736" s="1">
        <v>-7.0965061692100004</v>
      </c>
      <c r="E2736" s="3">
        <v>3</v>
      </c>
      <c r="F2736" s="2">
        <v>2</v>
      </c>
      <c r="G2736" s="4">
        <v>3</v>
      </c>
      <c r="H2736" s="13"/>
      <c r="I2736" s="15"/>
      <c r="J2736" s="19">
        <v>3</v>
      </c>
      <c r="K2736" s="2" t="s">
        <v>5484</v>
      </c>
      <c r="L2736" s="11" t="str">
        <f t="shared" si="44"/>
        <v>Ver Imagen</v>
      </c>
      <c r="M2736" t="s">
        <v>15</v>
      </c>
    </row>
    <row r="2737" spans="1:13" x14ac:dyDescent="0.25">
      <c r="A2737">
        <v>2736</v>
      </c>
      <c r="B2737" t="s">
        <v>5485</v>
      </c>
      <c r="C2737" s="1">
        <v>37.245713421799998</v>
      </c>
      <c r="D2737" s="1">
        <v>-7.0972526185899998</v>
      </c>
      <c r="E2737" s="3">
        <v>3</v>
      </c>
      <c r="F2737" s="2">
        <v>3</v>
      </c>
      <c r="G2737" s="4">
        <v>4</v>
      </c>
      <c r="H2737" s="13"/>
      <c r="I2737" s="15"/>
      <c r="J2737" s="19">
        <v>3</v>
      </c>
      <c r="K2737" s="2" t="s">
        <v>5486</v>
      </c>
      <c r="L2737" s="11" t="str">
        <f t="shared" si="44"/>
        <v>Ver Imagen</v>
      </c>
      <c r="M2737" t="s">
        <v>15</v>
      </c>
    </row>
    <row r="2738" spans="1:13" x14ac:dyDescent="0.25">
      <c r="A2738">
        <v>2737</v>
      </c>
      <c r="B2738" t="s">
        <v>5487</v>
      </c>
      <c r="C2738" s="1">
        <v>37.245808928499997</v>
      </c>
      <c r="D2738" s="1">
        <v>-7.0977237127199997</v>
      </c>
      <c r="E2738" s="3">
        <v>3</v>
      </c>
      <c r="F2738" s="2">
        <v>2</v>
      </c>
      <c r="G2738" s="4">
        <v>3</v>
      </c>
      <c r="H2738" s="13"/>
      <c r="I2738" s="15"/>
      <c r="J2738" s="19">
        <v>3</v>
      </c>
      <c r="K2738" s="2" t="s">
        <v>5488</v>
      </c>
      <c r="L2738" s="11" t="str">
        <f t="shared" si="44"/>
        <v>Ver Imagen</v>
      </c>
      <c r="M2738" t="s">
        <v>15</v>
      </c>
    </row>
    <row r="2739" spans="1:13" x14ac:dyDescent="0.25">
      <c r="A2739">
        <v>2738</v>
      </c>
      <c r="B2739" t="s">
        <v>5489</v>
      </c>
      <c r="C2739" s="1">
        <v>37.245954150400003</v>
      </c>
      <c r="D2739" s="1">
        <v>-7.0981629163199997</v>
      </c>
      <c r="E2739" s="3">
        <v>3</v>
      </c>
      <c r="F2739" s="2">
        <v>2</v>
      </c>
      <c r="G2739" s="4">
        <v>3</v>
      </c>
      <c r="H2739" s="13"/>
      <c r="I2739" s="15"/>
      <c r="J2739" s="19">
        <v>3</v>
      </c>
      <c r="K2739" s="2" t="s">
        <v>5490</v>
      </c>
      <c r="L2739" s="11" t="str">
        <f t="shared" si="44"/>
        <v>Ver Imagen</v>
      </c>
      <c r="M2739" t="s">
        <v>15</v>
      </c>
    </row>
    <row r="2740" spans="1:13" x14ac:dyDescent="0.25">
      <c r="A2740">
        <v>2739</v>
      </c>
      <c r="B2740" t="s">
        <v>5491</v>
      </c>
      <c r="C2740" s="1">
        <v>37.246410426099999</v>
      </c>
      <c r="D2740" s="1">
        <v>-7.0990385589100002</v>
      </c>
      <c r="E2740" s="3">
        <v>3</v>
      </c>
      <c r="F2740" s="2">
        <v>2</v>
      </c>
      <c r="G2740" s="4">
        <v>3</v>
      </c>
      <c r="H2740" s="13"/>
      <c r="I2740" s="15"/>
      <c r="J2740" s="19">
        <v>3</v>
      </c>
      <c r="K2740" s="2" t="s">
        <v>5492</v>
      </c>
      <c r="L2740" s="11" t="str">
        <f t="shared" si="44"/>
        <v>Ver Imagen</v>
      </c>
      <c r="M2740" t="s">
        <v>15</v>
      </c>
    </row>
    <row r="2741" spans="1:13" x14ac:dyDescent="0.25">
      <c r="A2741">
        <v>2740</v>
      </c>
      <c r="B2741" t="s">
        <v>5493</v>
      </c>
      <c r="C2741" s="1">
        <v>37.246535139199999</v>
      </c>
      <c r="D2741" s="1">
        <v>-7.0992355996700001</v>
      </c>
      <c r="E2741" s="3">
        <v>3</v>
      </c>
      <c r="F2741" s="2">
        <v>2</v>
      </c>
      <c r="G2741" s="4">
        <v>3</v>
      </c>
      <c r="H2741" s="13"/>
      <c r="I2741" s="15"/>
      <c r="J2741" s="19">
        <v>3</v>
      </c>
      <c r="K2741" s="2" t="s">
        <v>5494</v>
      </c>
      <c r="L2741" s="11" t="str">
        <f t="shared" si="44"/>
        <v>Ver Imagen</v>
      </c>
      <c r="M2741" t="s">
        <v>15</v>
      </c>
    </row>
    <row r="2742" spans="1:13" x14ac:dyDescent="0.25">
      <c r="A2742">
        <v>2741</v>
      </c>
      <c r="B2742" t="s">
        <v>5495</v>
      </c>
      <c r="C2742" s="1">
        <v>37.246916054000003</v>
      </c>
      <c r="D2742" s="1">
        <v>-7.09981862293</v>
      </c>
      <c r="E2742" s="3">
        <v>3</v>
      </c>
      <c r="F2742" s="2">
        <v>2</v>
      </c>
      <c r="G2742" s="4">
        <v>3</v>
      </c>
      <c r="H2742" s="13"/>
      <c r="I2742" s="15"/>
      <c r="J2742" s="19">
        <v>3</v>
      </c>
      <c r="K2742" s="2" t="s">
        <v>5496</v>
      </c>
      <c r="L2742" s="11" t="str">
        <f t="shared" si="44"/>
        <v>Ver Imagen</v>
      </c>
      <c r="M2742" t="s">
        <v>15</v>
      </c>
    </row>
    <row r="2743" spans="1:13" x14ac:dyDescent="0.25">
      <c r="A2743">
        <v>2742</v>
      </c>
      <c r="B2743" t="s">
        <v>5497</v>
      </c>
      <c r="C2743" s="1">
        <v>37.247167129899999</v>
      </c>
      <c r="D2743" s="1">
        <v>-7.10019974181</v>
      </c>
      <c r="E2743" s="3">
        <v>3</v>
      </c>
      <c r="F2743" s="2">
        <v>2</v>
      </c>
      <c r="G2743" s="4">
        <v>3</v>
      </c>
      <c r="H2743" s="13"/>
      <c r="I2743" s="15"/>
      <c r="J2743" s="19">
        <v>3</v>
      </c>
      <c r="K2743" s="2" t="s">
        <v>5498</v>
      </c>
      <c r="L2743" s="11" t="str">
        <f t="shared" si="44"/>
        <v>Ver Imagen</v>
      </c>
      <c r="M2743" t="s">
        <v>15</v>
      </c>
    </row>
    <row r="2744" spans="1:13" x14ac:dyDescent="0.25">
      <c r="A2744">
        <v>2743</v>
      </c>
      <c r="B2744" t="s">
        <v>5499</v>
      </c>
      <c r="C2744" s="1">
        <v>37.247954064699996</v>
      </c>
      <c r="D2744" s="1">
        <v>-7.1013748857200003</v>
      </c>
      <c r="E2744" s="3">
        <v>3</v>
      </c>
      <c r="F2744" s="2">
        <v>2</v>
      </c>
      <c r="G2744" s="4">
        <v>3</v>
      </c>
      <c r="H2744" s="13"/>
      <c r="I2744" s="15"/>
      <c r="J2744" s="19">
        <v>3</v>
      </c>
      <c r="K2744" s="2" t="s">
        <v>5500</v>
      </c>
      <c r="L2744" s="11" t="str">
        <f t="shared" si="44"/>
        <v>Ver Imagen</v>
      </c>
      <c r="M2744" t="s">
        <v>15</v>
      </c>
    </row>
    <row r="2745" spans="1:13" x14ac:dyDescent="0.25">
      <c r="A2745">
        <v>2744</v>
      </c>
      <c r="B2745" t="s">
        <v>5501</v>
      </c>
      <c r="C2745" s="1">
        <v>37.248577746899997</v>
      </c>
      <c r="D2745" s="1">
        <v>-7.1019946979700004</v>
      </c>
      <c r="E2745" s="3">
        <v>3</v>
      </c>
      <c r="F2745" s="2">
        <v>2</v>
      </c>
      <c r="G2745" s="4">
        <v>3</v>
      </c>
      <c r="H2745" s="13"/>
      <c r="I2745" s="15"/>
      <c r="J2745" s="19">
        <v>3</v>
      </c>
      <c r="K2745" s="2" t="s">
        <v>5502</v>
      </c>
      <c r="L2745" s="11" t="str">
        <f t="shared" si="44"/>
        <v>Ver Imagen</v>
      </c>
      <c r="M2745" t="s">
        <v>15</v>
      </c>
    </row>
    <row r="2746" spans="1:13" x14ac:dyDescent="0.25">
      <c r="A2746">
        <v>2745</v>
      </c>
      <c r="B2746" t="s">
        <v>5503</v>
      </c>
      <c r="C2746" s="1">
        <v>37.249489062000002</v>
      </c>
      <c r="D2746" s="1">
        <v>-7.1025365969200003</v>
      </c>
      <c r="E2746" s="3">
        <v>3</v>
      </c>
      <c r="F2746" s="2">
        <v>2</v>
      </c>
      <c r="G2746" s="4">
        <v>3</v>
      </c>
      <c r="H2746" s="13"/>
      <c r="I2746" s="15"/>
      <c r="J2746" s="19">
        <v>3</v>
      </c>
      <c r="K2746" s="2" t="s">
        <v>5504</v>
      </c>
      <c r="L2746" s="11" t="str">
        <f t="shared" si="44"/>
        <v>Ver Imagen</v>
      </c>
      <c r="M2746" t="s">
        <v>15</v>
      </c>
    </row>
    <row r="2747" spans="1:13" x14ac:dyDescent="0.25">
      <c r="A2747">
        <v>2746</v>
      </c>
      <c r="B2747" t="s">
        <v>5505</v>
      </c>
      <c r="C2747" s="1">
        <v>37.249688032999998</v>
      </c>
      <c r="D2747" s="1">
        <v>-7.10265237646</v>
      </c>
      <c r="E2747" s="3">
        <v>3</v>
      </c>
      <c r="F2747" s="2">
        <v>2</v>
      </c>
      <c r="G2747" s="4">
        <v>3</v>
      </c>
      <c r="H2747" s="13"/>
      <c r="I2747" s="15"/>
      <c r="J2747" s="19">
        <v>3</v>
      </c>
      <c r="K2747" s="2" t="s">
        <v>5506</v>
      </c>
      <c r="L2747" s="11" t="str">
        <f t="shared" si="44"/>
        <v>Ver Imagen</v>
      </c>
      <c r="M2747" t="s">
        <v>15</v>
      </c>
    </row>
    <row r="2748" spans="1:13" x14ac:dyDescent="0.25">
      <c r="A2748">
        <v>2747</v>
      </c>
      <c r="B2748" t="s">
        <v>5507</v>
      </c>
      <c r="C2748" s="1">
        <v>37.250415972500001</v>
      </c>
      <c r="D2748" s="1">
        <v>-7.1030724884299996</v>
      </c>
      <c r="E2748" s="3">
        <v>3</v>
      </c>
      <c r="F2748" s="2">
        <v>2</v>
      </c>
      <c r="G2748" s="4">
        <v>3</v>
      </c>
      <c r="H2748" s="13"/>
      <c r="I2748" s="15"/>
      <c r="J2748" s="19">
        <v>3</v>
      </c>
      <c r="K2748" s="2" t="s">
        <v>5508</v>
      </c>
      <c r="L2748" s="11" t="str">
        <f t="shared" si="44"/>
        <v>Ver Imagen</v>
      </c>
      <c r="M2748" t="s">
        <v>15</v>
      </c>
    </row>
    <row r="2749" spans="1:13" x14ac:dyDescent="0.25">
      <c r="A2749">
        <v>2748</v>
      </c>
      <c r="B2749" t="s">
        <v>5509</v>
      </c>
      <c r="C2749" s="1">
        <v>37.250609882900001</v>
      </c>
      <c r="D2749" s="1">
        <v>-7.1031863121600001</v>
      </c>
      <c r="E2749" s="3">
        <v>3</v>
      </c>
      <c r="F2749" s="2">
        <v>2</v>
      </c>
      <c r="G2749" s="4">
        <v>3</v>
      </c>
      <c r="H2749" s="13"/>
      <c r="I2749" s="15"/>
      <c r="J2749" s="19">
        <v>3</v>
      </c>
      <c r="K2749" s="2" t="s">
        <v>5510</v>
      </c>
      <c r="L2749" s="11" t="str">
        <f t="shared" si="44"/>
        <v>Ver Imagen</v>
      </c>
      <c r="M2749" t="s">
        <v>15</v>
      </c>
    </row>
    <row r="2750" spans="1:13" x14ac:dyDescent="0.25">
      <c r="A2750">
        <v>2749</v>
      </c>
      <c r="B2750" t="s">
        <v>5511</v>
      </c>
      <c r="C2750" s="1">
        <v>37.250783235900002</v>
      </c>
      <c r="D2750" s="1">
        <v>-7.1032883613299997</v>
      </c>
      <c r="E2750" s="3">
        <v>3</v>
      </c>
      <c r="F2750" s="2">
        <v>2</v>
      </c>
      <c r="G2750" s="4">
        <v>3</v>
      </c>
      <c r="H2750" s="13"/>
      <c r="I2750" s="15"/>
      <c r="J2750" s="19">
        <v>3</v>
      </c>
      <c r="K2750" s="2" t="s">
        <v>5512</v>
      </c>
      <c r="L2750" s="11" t="str">
        <f t="shared" si="44"/>
        <v>Ver Imagen</v>
      </c>
      <c r="M2750" t="s">
        <v>15</v>
      </c>
    </row>
    <row r="2751" spans="1:13" x14ac:dyDescent="0.25">
      <c r="A2751">
        <v>2750</v>
      </c>
      <c r="B2751" t="s">
        <v>5513</v>
      </c>
      <c r="C2751" s="1">
        <v>37.250963473200002</v>
      </c>
      <c r="D2751" s="1">
        <v>-7.1033929370899997</v>
      </c>
      <c r="E2751" s="3">
        <v>3</v>
      </c>
      <c r="F2751" s="2">
        <v>2</v>
      </c>
      <c r="G2751" s="4">
        <v>3</v>
      </c>
      <c r="H2751" s="13"/>
      <c r="I2751" s="15"/>
      <c r="J2751" s="19">
        <v>3</v>
      </c>
      <c r="K2751" s="2" t="s">
        <v>5514</v>
      </c>
      <c r="L2751" s="11" t="str">
        <f t="shared" si="44"/>
        <v>Ver Imagen</v>
      </c>
      <c r="M2751" t="s">
        <v>15</v>
      </c>
    </row>
    <row r="2752" spans="1:13" x14ac:dyDescent="0.25">
      <c r="A2752">
        <v>2751</v>
      </c>
      <c r="B2752" t="s">
        <v>5515</v>
      </c>
      <c r="C2752" s="1">
        <v>37.252954905499998</v>
      </c>
      <c r="D2752" s="1">
        <v>-7.1057576353099998</v>
      </c>
      <c r="E2752" s="3">
        <v>3</v>
      </c>
      <c r="F2752" s="2">
        <v>2</v>
      </c>
      <c r="G2752" s="4">
        <v>3</v>
      </c>
      <c r="H2752" s="13"/>
      <c r="I2752" s="15"/>
      <c r="J2752" s="19">
        <v>3</v>
      </c>
      <c r="K2752" s="2" t="s">
        <v>5516</v>
      </c>
      <c r="L2752" s="11" t="str">
        <f t="shared" si="44"/>
        <v>Ver Imagen</v>
      </c>
      <c r="M2752" t="s">
        <v>15</v>
      </c>
    </row>
    <row r="2753" spans="1:13" x14ac:dyDescent="0.25">
      <c r="A2753">
        <v>2752</v>
      </c>
      <c r="B2753" t="s">
        <v>5517</v>
      </c>
      <c r="C2753" s="1">
        <v>37.253952870799999</v>
      </c>
      <c r="D2753" s="1">
        <v>-7.1076319977500004</v>
      </c>
      <c r="E2753" s="3">
        <v>3</v>
      </c>
      <c r="F2753" s="2">
        <v>2</v>
      </c>
      <c r="G2753" s="4">
        <v>3</v>
      </c>
      <c r="H2753" s="13"/>
      <c r="I2753" s="15"/>
      <c r="J2753" s="19">
        <v>3</v>
      </c>
      <c r="K2753" s="2" t="s">
        <v>5518</v>
      </c>
      <c r="L2753" s="11" t="str">
        <f t="shared" si="44"/>
        <v>Ver Imagen</v>
      </c>
      <c r="M2753" t="s">
        <v>15</v>
      </c>
    </row>
    <row r="2754" spans="1:13" x14ac:dyDescent="0.25">
      <c r="A2754">
        <v>2753</v>
      </c>
      <c r="B2754" t="s">
        <v>5519</v>
      </c>
      <c r="C2754" s="1">
        <v>37.254112090100001</v>
      </c>
      <c r="D2754" s="1">
        <v>-7.1078386561200002</v>
      </c>
      <c r="E2754" s="3">
        <v>3</v>
      </c>
      <c r="F2754" s="2">
        <v>2</v>
      </c>
      <c r="G2754" s="4">
        <v>3</v>
      </c>
      <c r="H2754" s="13"/>
      <c r="I2754" s="15"/>
      <c r="J2754" s="19">
        <v>3</v>
      </c>
      <c r="K2754" s="2" t="s">
        <v>5520</v>
      </c>
      <c r="L2754" s="11" t="str">
        <f t="shared" si="44"/>
        <v>Ver Imagen</v>
      </c>
      <c r="M2754" t="s">
        <v>15</v>
      </c>
    </row>
    <row r="2755" spans="1:13" x14ac:dyDescent="0.25">
      <c r="A2755">
        <v>2754</v>
      </c>
      <c r="B2755" t="s">
        <v>5521</v>
      </c>
      <c r="C2755" s="1">
        <v>37.2542400301</v>
      </c>
      <c r="D2755" s="1">
        <v>-7.1080040440200003</v>
      </c>
      <c r="E2755" s="3">
        <v>3</v>
      </c>
      <c r="F2755" s="2">
        <v>2</v>
      </c>
      <c r="G2755" s="4">
        <v>3</v>
      </c>
      <c r="H2755" s="13"/>
      <c r="I2755" s="15"/>
      <c r="J2755" s="19">
        <v>3</v>
      </c>
      <c r="K2755" s="2" t="s">
        <v>5522</v>
      </c>
      <c r="L2755" s="11" t="str">
        <f t="shared" si="44"/>
        <v>Ver Imagen</v>
      </c>
      <c r="M2755" t="s">
        <v>15</v>
      </c>
    </row>
    <row r="2756" spans="1:13" x14ac:dyDescent="0.25">
      <c r="A2756">
        <v>2755</v>
      </c>
      <c r="B2756" t="s">
        <v>5523</v>
      </c>
      <c r="C2756" s="1">
        <v>37.255017230299998</v>
      </c>
      <c r="D2756" s="1">
        <v>-7.1090050800200002</v>
      </c>
      <c r="E2756" s="3">
        <v>3</v>
      </c>
      <c r="F2756" s="2">
        <v>2</v>
      </c>
      <c r="G2756" s="4">
        <v>3</v>
      </c>
      <c r="H2756" s="13"/>
      <c r="I2756" s="15"/>
      <c r="J2756" s="19">
        <v>3</v>
      </c>
      <c r="K2756" s="2" t="s">
        <v>5524</v>
      </c>
      <c r="L2756" s="11" t="str">
        <f t="shared" si="44"/>
        <v>Ver Imagen</v>
      </c>
      <c r="M2756" t="s">
        <v>15</v>
      </c>
    </row>
    <row r="2757" spans="1:13" x14ac:dyDescent="0.25">
      <c r="A2757">
        <v>2756</v>
      </c>
      <c r="B2757" t="s">
        <v>5525</v>
      </c>
      <c r="C2757" s="1">
        <v>37.2553552575</v>
      </c>
      <c r="D2757" s="1">
        <v>-7.1114229986300002</v>
      </c>
      <c r="E2757" s="3">
        <v>3</v>
      </c>
      <c r="F2757" s="2">
        <v>2</v>
      </c>
      <c r="G2757" s="4">
        <v>3</v>
      </c>
      <c r="H2757" s="13"/>
      <c r="I2757" s="15"/>
      <c r="J2757" s="19">
        <v>3</v>
      </c>
      <c r="K2757" s="2" t="s">
        <v>5526</v>
      </c>
      <c r="L2757" s="11" t="str">
        <f t="shared" si="44"/>
        <v>Ver Imagen</v>
      </c>
      <c r="M2757" t="s">
        <v>15</v>
      </c>
    </row>
    <row r="2758" spans="1:13" x14ac:dyDescent="0.25">
      <c r="A2758">
        <v>2757</v>
      </c>
      <c r="B2758" t="s">
        <v>5527</v>
      </c>
      <c r="C2758" s="1">
        <v>37.2552290609</v>
      </c>
      <c r="D2758" s="1">
        <v>-7.1121757000799999</v>
      </c>
      <c r="E2758" s="3">
        <v>3</v>
      </c>
      <c r="F2758" s="2">
        <v>2</v>
      </c>
      <c r="G2758" s="4">
        <v>3</v>
      </c>
      <c r="H2758" s="13"/>
      <c r="I2758" s="15"/>
      <c r="J2758" s="19">
        <v>3</v>
      </c>
      <c r="K2758" s="2" t="s">
        <v>5528</v>
      </c>
      <c r="L2758" s="11" t="str">
        <f t="shared" si="44"/>
        <v>Ver Imagen</v>
      </c>
      <c r="M2758" t="s">
        <v>15</v>
      </c>
    </row>
    <row r="2759" spans="1:13" x14ac:dyDescent="0.25">
      <c r="A2759">
        <v>2758</v>
      </c>
      <c r="B2759" t="s">
        <v>5529</v>
      </c>
      <c r="C2759" s="1">
        <v>37.255176644599999</v>
      </c>
      <c r="D2759" s="1">
        <v>-7.1124121644300002</v>
      </c>
      <c r="E2759" s="3">
        <v>3</v>
      </c>
      <c r="F2759" s="2">
        <v>2</v>
      </c>
      <c r="G2759" s="4">
        <v>3</v>
      </c>
      <c r="H2759" s="13"/>
      <c r="I2759" s="15"/>
      <c r="J2759" s="19">
        <v>3</v>
      </c>
      <c r="K2759" s="2" t="s">
        <v>5530</v>
      </c>
      <c r="L2759" s="11" t="str">
        <f t="shared" si="44"/>
        <v>Ver Imagen</v>
      </c>
      <c r="M2759" t="s">
        <v>15</v>
      </c>
    </row>
    <row r="2760" spans="1:13" x14ac:dyDescent="0.25">
      <c r="A2760">
        <v>2759</v>
      </c>
      <c r="B2760" t="s">
        <v>5531</v>
      </c>
      <c r="C2760" s="1">
        <v>37.254816972</v>
      </c>
      <c r="D2760" s="1">
        <v>-7.1138695318899998</v>
      </c>
      <c r="E2760" s="3">
        <v>3</v>
      </c>
      <c r="F2760" s="2">
        <v>2</v>
      </c>
      <c r="G2760" s="4">
        <v>3</v>
      </c>
      <c r="H2760" s="13"/>
      <c r="I2760" s="15"/>
      <c r="J2760" s="19">
        <v>3</v>
      </c>
      <c r="K2760" s="2" t="s">
        <v>5532</v>
      </c>
      <c r="L2760" s="11" t="str">
        <f t="shared" si="44"/>
        <v>Ver Imagen</v>
      </c>
      <c r="M2760" t="s">
        <v>15</v>
      </c>
    </row>
    <row r="2761" spans="1:13" x14ac:dyDescent="0.25">
      <c r="A2761">
        <v>2760</v>
      </c>
      <c r="B2761" t="s">
        <v>5533</v>
      </c>
      <c r="C2761" s="1">
        <v>37.254654361999997</v>
      </c>
      <c r="D2761" s="1">
        <v>-7.1145888346900001</v>
      </c>
      <c r="E2761" s="3">
        <v>3</v>
      </c>
      <c r="F2761" s="2">
        <v>2</v>
      </c>
      <c r="G2761" s="4">
        <v>3</v>
      </c>
      <c r="H2761" s="13"/>
      <c r="I2761" s="15"/>
      <c r="J2761" s="19">
        <v>3</v>
      </c>
      <c r="K2761" s="2" t="s">
        <v>5534</v>
      </c>
      <c r="L2761" s="11" t="str">
        <f t="shared" si="44"/>
        <v>Ver Imagen</v>
      </c>
      <c r="M2761" t="s">
        <v>15</v>
      </c>
    </row>
    <row r="2762" spans="1:13" x14ac:dyDescent="0.25">
      <c r="A2762">
        <v>2761</v>
      </c>
      <c r="B2762" t="s">
        <v>5535</v>
      </c>
      <c r="C2762" s="1">
        <v>37.254586906500002</v>
      </c>
      <c r="D2762" s="1">
        <v>-7.11508469334</v>
      </c>
      <c r="E2762" s="3">
        <v>3</v>
      </c>
      <c r="F2762" s="2">
        <v>2</v>
      </c>
      <c r="G2762" s="4">
        <v>3</v>
      </c>
      <c r="H2762" s="13"/>
      <c r="I2762" s="15"/>
      <c r="J2762" s="19">
        <v>3</v>
      </c>
      <c r="K2762" s="2" t="s">
        <v>5536</v>
      </c>
      <c r="L2762" s="11" t="str">
        <f t="shared" si="44"/>
        <v>Ver Imagen</v>
      </c>
      <c r="M2762" t="s">
        <v>15</v>
      </c>
    </row>
    <row r="2763" spans="1:13" x14ac:dyDescent="0.25">
      <c r="A2763">
        <v>2762</v>
      </c>
      <c r="B2763" t="s">
        <v>5537</v>
      </c>
      <c r="C2763" s="1">
        <v>37.254587540499998</v>
      </c>
      <c r="D2763" s="1">
        <v>-7.1158222197400001</v>
      </c>
      <c r="E2763" s="3">
        <v>3</v>
      </c>
      <c r="F2763" s="2">
        <v>2</v>
      </c>
      <c r="G2763" s="4">
        <v>3</v>
      </c>
      <c r="H2763" s="13"/>
      <c r="I2763" s="15"/>
      <c r="J2763" s="19">
        <v>3</v>
      </c>
      <c r="K2763" s="2" t="s">
        <v>5538</v>
      </c>
      <c r="L2763" s="11" t="str">
        <f t="shared" si="44"/>
        <v>Ver Imagen</v>
      </c>
      <c r="M2763" t="s">
        <v>15</v>
      </c>
    </row>
    <row r="2764" spans="1:13" x14ac:dyDescent="0.25">
      <c r="A2764">
        <v>2763</v>
      </c>
      <c r="B2764" t="s">
        <v>5539</v>
      </c>
      <c r="C2764" s="1">
        <v>37.254725580600002</v>
      </c>
      <c r="D2764" s="1">
        <v>-7.1165572179099996</v>
      </c>
      <c r="E2764" s="3">
        <v>3</v>
      </c>
      <c r="F2764" s="2">
        <v>2</v>
      </c>
      <c r="G2764" s="4">
        <v>3</v>
      </c>
      <c r="H2764" s="13"/>
      <c r="I2764" s="15"/>
      <c r="J2764" s="19">
        <v>3</v>
      </c>
      <c r="K2764" s="2" t="s">
        <v>5540</v>
      </c>
      <c r="L2764" s="11" t="str">
        <f t="shared" si="44"/>
        <v>Ver Imagen</v>
      </c>
      <c r="M2764" t="s">
        <v>15</v>
      </c>
    </row>
    <row r="2765" spans="1:13" x14ac:dyDescent="0.25">
      <c r="A2765">
        <v>2764</v>
      </c>
      <c r="B2765" t="s">
        <v>5541</v>
      </c>
      <c r="C2765" s="1">
        <v>37.254796602799999</v>
      </c>
      <c r="D2765" s="1">
        <v>-7.1167805174699996</v>
      </c>
      <c r="E2765" s="3">
        <v>3</v>
      </c>
      <c r="F2765" s="2">
        <v>2</v>
      </c>
      <c r="G2765" s="4">
        <v>3</v>
      </c>
      <c r="H2765" s="13"/>
      <c r="I2765" s="15"/>
      <c r="J2765" s="19">
        <v>3</v>
      </c>
      <c r="K2765" s="2" t="s">
        <v>5542</v>
      </c>
      <c r="L2765" s="11" t="str">
        <f t="shared" si="44"/>
        <v>Ver Imagen</v>
      </c>
      <c r="M2765" t="s">
        <v>15</v>
      </c>
    </row>
    <row r="2766" spans="1:13" x14ac:dyDescent="0.25">
      <c r="A2766">
        <v>2765</v>
      </c>
      <c r="B2766" t="s">
        <v>5543</v>
      </c>
      <c r="C2766" s="1">
        <v>37.2548965744</v>
      </c>
      <c r="D2766" s="1">
        <v>-7.1170327351999996</v>
      </c>
      <c r="E2766" s="3">
        <v>3</v>
      </c>
      <c r="F2766" s="2">
        <v>2</v>
      </c>
      <c r="G2766" s="4">
        <v>3</v>
      </c>
      <c r="H2766" s="13"/>
      <c r="I2766" s="15"/>
      <c r="J2766" s="19">
        <v>3</v>
      </c>
      <c r="K2766" s="2" t="s">
        <v>5544</v>
      </c>
      <c r="L2766" s="11" t="str">
        <f t="shared" si="44"/>
        <v>Ver Imagen</v>
      </c>
      <c r="M2766" t="s">
        <v>15</v>
      </c>
    </row>
    <row r="2767" spans="1:13" x14ac:dyDescent="0.25">
      <c r="A2767">
        <v>2766</v>
      </c>
      <c r="B2767" t="s">
        <v>5545</v>
      </c>
      <c r="C2767" s="1">
        <v>37.255688388800003</v>
      </c>
      <c r="D2767" s="1">
        <v>-7.1181386727399998</v>
      </c>
      <c r="E2767" s="3">
        <v>3</v>
      </c>
      <c r="F2767" s="2">
        <v>2</v>
      </c>
      <c r="G2767" s="4">
        <v>3</v>
      </c>
      <c r="H2767" s="13"/>
      <c r="I2767" s="15"/>
      <c r="J2767" s="19">
        <v>3</v>
      </c>
      <c r="K2767" s="2" t="s">
        <v>5546</v>
      </c>
      <c r="L2767" s="11" t="str">
        <f t="shared" si="44"/>
        <v>Ver Imagen</v>
      </c>
      <c r="M2767" t="s">
        <v>15</v>
      </c>
    </row>
    <row r="2768" spans="1:13" x14ac:dyDescent="0.25">
      <c r="A2768">
        <v>2767</v>
      </c>
      <c r="B2768" t="s">
        <v>5547</v>
      </c>
      <c r="C2768" s="1">
        <v>37.256728768999999</v>
      </c>
      <c r="D2768" s="1">
        <v>-7.1189304981300001</v>
      </c>
      <c r="E2768" s="3">
        <v>3</v>
      </c>
      <c r="F2768" s="2">
        <v>3</v>
      </c>
      <c r="G2768" s="4">
        <v>4</v>
      </c>
      <c r="H2768" s="13"/>
      <c r="I2768" s="15"/>
      <c r="J2768" s="19">
        <v>3</v>
      </c>
      <c r="K2768" s="2" t="s">
        <v>5548</v>
      </c>
      <c r="L2768" s="11" t="str">
        <f t="shared" si="44"/>
        <v>Ver Imagen</v>
      </c>
      <c r="M2768" t="s">
        <v>15</v>
      </c>
    </row>
    <row r="2769" spans="1:13" x14ac:dyDescent="0.25">
      <c r="A2769">
        <v>2768</v>
      </c>
      <c r="B2769" t="s">
        <v>5549</v>
      </c>
      <c r="C2769" s="1">
        <v>37.258379206299999</v>
      </c>
      <c r="D2769" s="1">
        <v>-7.1203471930399997</v>
      </c>
      <c r="E2769" s="3">
        <v>3</v>
      </c>
      <c r="F2769" s="2">
        <v>2</v>
      </c>
      <c r="G2769" s="4">
        <v>3</v>
      </c>
      <c r="H2769" s="13"/>
      <c r="I2769" s="15"/>
      <c r="J2769" s="19">
        <v>3</v>
      </c>
      <c r="K2769" s="2" t="s">
        <v>5550</v>
      </c>
      <c r="L2769" s="11" t="str">
        <f t="shared" si="44"/>
        <v>Ver Imagen</v>
      </c>
      <c r="M2769" t="s">
        <v>15</v>
      </c>
    </row>
    <row r="2770" spans="1:13" x14ac:dyDescent="0.25">
      <c r="A2770">
        <v>2769</v>
      </c>
      <c r="B2770" t="s">
        <v>5551</v>
      </c>
      <c r="C2770" s="1">
        <v>37.258771158199998</v>
      </c>
      <c r="D2770" s="1">
        <v>-7.12205072241</v>
      </c>
      <c r="E2770" s="3">
        <v>3</v>
      </c>
      <c r="F2770" s="2">
        <v>3</v>
      </c>
      <c r="G2770" s="4">
        <v>4</v>
      </c>
      <c r="H2770" s="13"/>
      <c r="I2770" s="15"/>
      <c r="J2770" s="19">
        <v>3</v>
      </c>
      <c r="K2770" s="2" t="s">
        <v>5552</v>
      </c>
      <c r="L2770" s="11" t="str">
        <f t="shared" si="44"/>
        <v>Ver Imagen</v>
      </c>
      <c r="M2770" t="s">
        <v>15</v>
      </c>
    </row>
    <row r="2771" spans="1:13" x14ac:dyDescent="0.25">
      <c r="A2771">
        <v>2770</v>
      </c>
      <c r="B2771" t="s">
        <v>5553</v>
      </c>
      <c r="C2771" s="1">
        <v>37.258814873699997</v>
      </c>
      <c r="D2771" s="1">
        <v>-7.1225588864400002</v>
      </c>
      <c r="E2771" s="3">
        <v>3</v>
      </c>
      <c r="F2771" s="2">
        <v>2</v>
      </c>
      <c r="G2771" s="4">
        <v>3</v>
      </c>
      <c r="H2771" s="13"/>
      <c r="I2771" s="15"/>
      <c r="J2771" s="19">
        <v>3</v>
      </c>
      <c r="K2771" s="2" t="s">
        <v>5554</v>
      </c>
      <c r="L2771" s="11" t="str">
        <f t="shared" si="44"/>
        <v>Ver Imagen</v>
      </c>
      <c r="M2771" t="s">
        <v>15</v>
      </c>
    </row>
    <row r="2772" spans="1:13" x14ac:dyDescent="0.25">
      <c r="A2772">
        <v>2771</v>
      </c>
      <c r="B2772" t="s">
        <v>5555</v>
      </c>
      <c r="C2772" s="1">
        <v>37.259451672899999</v>
      </c>
      <c r="D2772" s="1">
        <v>-7.1259461872100003</v>
      </c>
      <c r="E2772" s="3">
        <v>3</v>
      </c>
      <c r="F2772" s="2">
        <v>2</v>
      </c>
      <c r="G2772" s="4">
        <v>3</v>
      </c>
      <c r="H2772" s="13"/>
      <c r="I2772" s="15"/>
      <c r="J2772" s="19">
        <v>3</v>
      </c>
      <c r="K2772" s="2" t="s">
        <v>5556</v>
      </c>
      <c r="L2772" s="11" t="str">
        <f t="shared" si="44"/>
        <v>Ver Imagen</v>
      </c>
      <c r="M2772" t="s">
        <v>15</v>
      </c>
    </row>
    <row r="2773" spans="1:13" x14ac:dyDescent="0.25">
      <c r="A2773">
        <v>2772</v>
      </c>
      <c r="B2773" t="s">
        <v>5557</v>
      </c>
      <c r="C2773" s="1">
        <v>37.259588233300001</v>
      </c>
      <c r="D2773" s="1">
        <v>-7.12614345187</v>
      </c>
      <c r="E2773" s="3">
        <v>3</v>
      </c>
      <c r="F2773" s="2">
        <v>2</v>
      </c>
      <c r="G2773" s="4">
        <v>3</v>
      </c>
      <c r="H2773" s="13"/>
      <c r="I2773" s="15"/>
      <c r="J2773" s="19">
        <v>3</v>
      </c>
      <c r="K2773" s="2" t="s">
        <v>5558</v>
      </c>
      <c r="L2773" s="11" t="str">
        <f t="shared" si="44"/>
        <v>Ver Imagen</v>
      </c>
      <c r="M2773" t="s">
        <v>15</v>
      </c>
    </row>
    <row r="2774" spans="1:13" x14ac:dyDescent="0.25">
      <c r="A2774">
        <v>2773</v>
      </c>
      <c r="B2774" t="s">
        <v>5559</v>
      </c>
      <c r="C2774" s="1">
        <v>37.2600381142</v>
      </c>
      <c r="D2774" s="1">
        <v>-7.12663906496</v>
      </c>
      <c r="E2774" s="3">
        <v>3</v>
      </c>
      <c r="F2774" s="2">
        <v>2</v>
      </c>
      <c r="G2774" s="4">
        <v>3</v>
      </c>
      <c r="H2774" s="13"/>
      <c r="I2774" s="15"/>
      <c r="J2774" s="19">
        <v>3</v>
      </c>
      <c r="K2774" s="2" t="s">
        <v>5560</v>
      </c>
      <c r="L2774" s="11" t="str">
        <f t="shared" si="44"/>
        <v>Ver Imagen</v>
      </c>
      <c r="M2774" t="s">
        <v>15</v>
      </c>
    </row>
    <row r="2775" spans="1:13" x14ac:dyDescent="0.25">
      <c r="A2775">
        <v>2774</v>
      </c>
      <c r="B2775" t="s">
        <v>5561</v>
      </c>
      <c r="C2775" s="1">
        <v>37.260214742599999</v>
      </c>
      <c r="D2775" s="1">
        <v>-7.1268130864600003</v>
      </c>
      <c r="E2775" s="3">
        <v>3</v>
      </c>
      <c r="F2775" s="2">
        <v>2</v>
      </c>
      <c r="G2775" s="4">
        <v>3</v>
      </c>
      <c r="H2775" s="13"/>
      <c r="I2775" s="15"/>
      <c r="J2775" s="19">
        <v>3</v>
      </c>
      <c r="K2775" s="2" t="s">
        <v>5562</v>
      </c>
      <c r="L2775" s="11" t="str">
        <f t="shared" si="44"/>
        <v>Ver Imagen</v>
      </c>
      <c r="M2775" t="s">
        <v>15</v>
      </c>
    </row>
    <row r="2776" spans="1:13" x14ac:dyDescent="0.25">
      <c r="A2776">
        <v>2775</v>
      </c>
      <c r="B2776" t="s">
        <v>5563</v>
      </c>
      <c r="C2776" s="1">
        <v>37.261088552399997</v>
      </c>
      <c r="D2776" s="1">
        <v>-7.12838764378</v>
      </c>
      <c r="E2776" s="3">
        <v>3</v>
      </c>
      <c r="F2776" s="2">
        <v>2</v>
      </c>
      <c r="G2776" s="4">
        <v>3</v>
      </c>
      <c r="H2776" s="13"/>
      <c r="I2776" s="15"/>
      <c r="J2776" s="19">
        <v>3</v>
      </c>
      <c r="K2776" s="2" t="s">
        <v>5564</v>
      </c>
      <c r="L2776" s="11" t="str">
        <f t="shared" si="44"/>
        <v>Ver Imagen</v>
      </c>
      <c r="M2776" t="s">
        <v>15</v>
      </c>
    </row>
    <row r="2777" spans="1:13" x14ac:dyDescent="0.25">
      <c r="A2777">
        <v>2776</v>
      </c>
      <c r="B2777" t="s">
        <v>5565</v>
      </c>
      <c r="C2777" s="1">
        <v>37.444067727300002</v>
      </c>
      <c r="D2777" s="1">
        <v>-7.0997454269300002</v>
      </c>
      <c r="E2777" s="3">
        <v>3</v>
      </c>
      <c r="F2777" s="2">
        <v>2</v>
      </c>
      <c r="G2777" s="4">
        <v>3</v>
      </c>
      <c r="H2777" s="13"/>
      <c r="I2777" s="15"/>
      <c r="J2777" s="19">
        <v>3</v>
      </c>
      <c r="K2777" s="2" t="s">
        <v>5566</v>
      </c>
      <c r="L2777" s="11" t="str">
        <f t="shared" si="44"/>
        <v>Ver Imagen</v>
      </c>
      <c r="M2777" t="s">
        <v>15</v>
      </c>
    </row>
    <row r="2778" spans="1:13" x14ac:dyDescent="0.25">
      <c r="A2778">
        <v>2777</v>
      </c>
      <c r="B2778" t="s">
        <v>5567</v>
      </c>
      <c r="C2778" s="1">
        <v>37.444056271999997</v>
      </c>
      <c r="D2778" s="1">
        <v>-7.0994268940899996</v>
      </c>
      <c r="E2778" s="3">
        <v>3</v>
      </c>
      <c r="F2778" s="2">
        <v>2</v>
      </c>
      <c r="G2778" s="4">
        <v>3</v>
      </c>
      <c r="H2778" s="13"/>
      <c r="I2778" s="15"/>
      <c r="J2778" s="19">
        <v>3</v>
      </c>
      <c r="K2778" s="2" t="s">
        <v>5568</v>
      </c>
      <c r="L2778" s="11" t="str">
        <f t="shared" si="44"/>
        <v>Ver Imagen</v>
      </c>
      <c r="M2778" t="s">
        <v>15</v>
      </c>
    </row>
    <row r="2779" spans="1:13" x14ac:dyDescent="0.25">
      <c r="A2779">
        <v>2778</v>
      </c>
      <c r="B2779" t="s">
        <v>5569</v>
      </c>
      <c r="C2779" s="1">
        <v>37.444032081000003</v>
      </c>
      <c r="D2779" s="1">
        <v>-7.0989607720199999</v>
      </c>
      <c r="E2779" s="3">
        <v>3</v>
      </c>
      <c r="F2779" s="2">
        <v>2</v>
      </c>
      <c r="G2779" s="4">
        <v>3</v>
      </c>
      <c r="H2779" s="13"/>
      <c r="I2779" s="15"/>
      <c r="J2779" s="19">
        <v>3</v>
      </c>
      <c r="K2779" s="2" t="s">
        <v>5570</v>
      </c>
      <c r="L2779" s="11" t="str">
        <f t="shared" si="44"/>
        <v>Ver Imagen</v>
      </c>
      <c r="M2779" t="s">
        <v>15</v>
      </c>
    </row>
    <row r="2780" spans="1:13" x14ac:dyDescent="0.25">
      <c r="A2780">
        <v>2779</v>
      </c>
      <c r="B2780" t="s">
        <v>5571</v>
      </c>
      <c r="C2780" s="1">
        <v>37.4440136849</v>
      </c>
      <c r="D2780" s="1">
        <v>-7.0986537733399997</v>
      </c>
      <c r="E2780" s="3">
        <v>3</v>
      </c>
      <c r="F2780" s="2">
        <v>2</v>
      </c>
      <c r="G2780" s="4">
        <v>3</v>
      </c>
      <c r="H2780" s="13"/>
      <c r="I2780" s="15"/>
      <c r="J2780" s="19">
        <v>3</v>
      </c>
      <c r="K2780" s="2" t="s">
        <v>5572</v>
      </c>
      <c r="L2780" s="11" t="str">
        <f t="shared" si="44"/>
        <v>Ver Imagen</v>
      </c>
      <c r="M2780" t="s">
        <v>15</v>
      </c>
    </row>
    <row r="2781" spans="1:13" x14ac:dyDescent="0.25">
      <c r="A2781">
        <v>2780</v>
      </c>
      <c r="B2781" t="s">
        <v>5573</v>
      </c>
      <c r="C2781" s="1">
        <v>37.443965066300002</v>
      </c>
      <c r="D2781" s="1">
        <v>-7.0976954789500004</v>
      </c>
      <c r="E2781" s="3">
        <v>3</v>
      </c>
      <c r="F2781" s="2">
        <v>2</v>
      </c>
      <c r="G2781" s="4">
        <v>3</v>
      </c>
      <c r="H2781" s="13"/>
      <c r="I2781" s="15"/>
      <c r="J2781" s="19">
        <v>3</v>
      </c>
      <c r="K2781" s="2" t="s">
        <v>5574</v>
      </c>
      <c r="L2781" s="11" t="str">
        <f t="shared" si="44"/>
        <v>Ver Imagen</v>
      </c>
      <c r="M2781" t="s">
        <v>15</v>
      </c>
    </row>
    <row r="2782" spans="1:13" x14ac:dyDescent="0.25">
      <c r="A2782">
        <v>2781</v>
      </c>
      <c r="B2782" t="s">
        <v>5575</v>
      </c>
      <c r="C2782" s="1">
        <v>37.482610791299997</v>
      </c>
      <c r="D2782" s="1">
        <v>-7.1286572677800004</v>
      </c>
      <c r="E2782" s="3">
        <v>3</v>
      </c>
      <c r="F2782" s="2">
        <v>2</v>
      </c>
      <c r="G2782" s="4">
        <v>3</v>
      </c>
      <c r="H2782" s="13"/>
      <c r="I2782" s="15"/>
      <c r="J2782" s="19">
        <v>3</v>
      </c>
      <c r="K2782" s="2" t="s">
        <v>5576</v>
      </c>
      <c r="L2782" s="11" t="str">
        <f t="shared" si="44"/>
        <v>Ver Imagen</v>
      </c>
      <c r="M2782" t="s">
        <v>15</v>
      </c>
    </row>
    <row r="2783" spans="1:13" x14ac:dyDescent="0.25">
      <c r="A2783">
        <v>2782</v>
      </c>
      <c r="B2783" t="s">
        <v>5577</v>
      </c>
      <c r="C2783" s="1">
        <v>37.476360260600003</v>
      </c>
      <c r="D2783" s="1">
        <v>-7.1257605256899996</v>
      </c>
      <c r="E2783" s="3">
        <v>3</v>
      </c>
      <c r="F2783" s="2">
        <v>2</v>
      </c>
      <c r="G2783" s="4">
        <v>3</v>
      </c>
      <c r="H2783" s="13"/>
      <c r="I2783" s="15"/>
      <c r="J2783" s="19">
        <v>3</v>
      </c>
      <c r="K2783" s="2" t="s">
        <v>5578</v>
      </c>
      <c r="L2783" s="11" t="str">
        <f t="shared" si="44"/>
        <v>Ver Imagen</v>
      </c>
      <c r="M2783" t="s">
        <v>15</v>
      </c>
    </row>
    <row r="2784" spans="1:13" x14ac:dyDescent="0.25">
      <c r="A2784">
        <v>2783</v>
      </c>
      <c r="B2784" t="s">
        <v>5579</v>
      </c>
      <c r="C2784" s="1">
        <v>37.475561131600003</v>
      </c>
      <c r="D2784" s="1">
        <v>-7.1258819838700003</v>
      </c>
      <c r="E2784" s="3">
        <v>3</v>
      </c>
      <c r="F2784" s="2">
        <v>2</v>
      </c>
      <c r="G2784" s="4">
        <v>3</v>
      </c>
      <c r="H2784" s="13"/>
      <c r="I2784" s="15"/>
      <c r="J2784" s="19">
        <v>3</v>
      </c>
      <c r="K2784" s="2" t="s">
        <v>5580</v>
      </c>
      <c r="L2784" s="11" t="str">
        <f t="shared" si="44"/>
        <v>Ver Imagen</v>
      </c>
      <c r="M2784" t="s">
        <v>15</v>
      </c>
    </row>
    <row r="2785" spans="1:13" x14ac:dyDescent="0.25">
      <c r="A2785">
        <v>2784</v>
      </c>
      <c r="B2785" t="s">
        <v>5581</v>
      </c>
      <c r="C2785" s="1">
        <v>37.473942855099999</v>
      </c>
      <c r="D2785" s="1">
        <v>-7.12623591955</v>
      </c>
      <c r="E2785" s="3">
        <v>3</v>
      </c>
      <c r="F2785" s="2">
        <v>2</v>
      </c>
      <c r="G2785" s="4">
        <v>3</v>
      </c>
      <c r="H2785" s="13"/>
      <c r="I2785" s="15"/>
      <c r="J2785" s="19">
        <v>3</v>
      </c>
      <c r="K2785" s="2" t="s">
        <v>5582</v>
      </c>
      <c r="L2785" s="11" t="str">
        <f t="shared" si="44"/>
        <v>Ver Imagen</v>
      </c>
      <c r="M2785" t="s">
        <v>15</v>
      </c>
    </row>
    <row r="2786" spans="1:13" x14ac:dyDescent="0.25">
      <c r="A2786">
        <v>2785</v>
      </c>
      <c r="B2786" t="s">
        <v>5583</v>
      </c>
      <c r="C2786" s="1">
        <v>37.472171039300001</v>
      </c>
      <c r="D2786" s="1">
        <v>-7.1262922658000001</v>
      </c>
      <c r="E2786" s="3">
        <v>3</v>
      </c>
      <c r="F2786" s="2">
        <v>2</v>
      </c>
      <c r="G2786" s="4">
        <v>3</v>
      </c>
      <c r="H2786" s="13"/>
      <c r="I2786" s="15"/>
      <c r="J2786" s="19">
        <v>3</v>
      </c>
      <c r="K2786" s="2" t="s">
        <v>5584</v>
      </c>
      <c r="L2786" s="11" t="str">
        <f t="shared" si="44"/>
        <v>Ver Imagen</v>
      </c>
      <c r="M2786" t="s">
        <v>15</v>
      </c>
    </row>
    <row r="2787" spans="1:13" x14ac:dyDescent="0.25">
      <c r="A2787">
        <v>2786</v>
      </c>
      <c r="B2787" t="s">
        <v>5585</v>
      </c>
      <c r="C2787" s="1">
        <v>37.468133165899999</v>
      </c>
      <c r="D2787" s="1">
        <v>-7.1233786173900002</v>
      </c>
      <c r="E2787" s="3">
        <v>3</v>
      </c>
      <c r="F2787" s="2">
        <v>4</v>
      </c>
      <c r="G2787" s="4">
        <v>3</v>
      </c>
      <c r="H2787" s="13"/>
      <c r="I2787" s="15"/>
      <c r="J2787" s="19">
        <v>3</v>
      </c>
      <c r="K2787" s="2" t="s">
        <v>5586</v>
      </c>
      <c r="L2787" s="11" t="str">
        <f t="shared" si="44"/>
        <v>Ver Imagen</v>
      </c>
      <c r="M2787" t="s">
        <v>15</v>
      </c>
    </row>
    <row r="2788" spans="1:13" x14ac:dyDescent="0.25">
      <c r="A2788">
        <v>2787</v>
      </c>
      <c r="B2788" t="s">
        <v>5587</v>
      </c>
      <c r="C2788" s="1">
        <v>37.456088206499999</v>
      </c>
      <c r="D2788" s="1">
        <v>-7.1263273477700002</v>
      </c>
      <c r="E2788" s="3">
        <v>3</v>
      </c>
      <c r="F2788" s="2">
        <v>3</v>
      </c>
      <c r="G2788" s="4">
        <v>2</v>
      </c>
      <c r="H2788" s="13"/>
      <c r="I2788" s="15"/>
      <c r="J2788" s="19">
        <v>3</v>
      </c>
      <c r="K2788" s="2" t="s">
        <v>5588</v>
      </c>
      <c r="L2788" s="11" t="str">
        <f t="shared" si="44"/>
        <v>Ver Imagen</v>
      </c>
      <c r="M2788" t="s">
        <v>15</v>
      </c>
    </row>
    <row r="2789" spans="1:13" x14ac:dyDescent="0.25">
      <c r="A2789">
        <v>2788</v>
      </c>
      <c r="B2789" t="s">
        <v>5589</v>
      </c>
      <c r="C2789" s="1">
        <v>37.4499114969</v>
      </c>
      <c r="D2789" s="1">
        <v>-7.1272149496599999</v>
      </c>
      <c r="E2789" s="3">
        <v>3</v>
      </c>
      <c r="F2789" s="2">
        <v>2</v>
      </c>
      <c r="G2789" s="4">
        <v>3</v>
      </c>
      <c r="H2789" s="13"/>
      <c r="I2789" s="15"/>
      <c r="J2789" s="19">
        <v>3</v>
      </c>
      <c r="K2789" s="2" t="s">
        <v>5590</v>
      </c>
      <c r="L2789" s="11" t="str">
        <f t="shared" si="44"/>
        <v>Ver Imagen</v>
      </c>
      <c r="M2789" t="s">
        <v>15</v>
      </c>
    </row>
    <row r="2790" spans="1:13" x14ac:dyDescent="0.25">
      <c r="A2790">
        <v>2789</v>
      </c>
      <c r="B2790" t="s">
        <v>5591</v>
      </c>
      <c r="C2790" s="1">
        <v>37.495718599600004</v>
      </c>
      <c r="D2790" s="1">
        <v>-7.2742840499500003</v>
      </c>
      <c r="E2790" s="3">
        <v>3</v>
      </c>
      <c r="F2790" s="2">
        <v>2</v>
      </c>
      <c r="G2790" s="4">
        <v>3</v>
      </c>
      <c r="H2790" s="13"/>
      <c r="I2790" s="15"/>
      <c r="J2790" s="19">
        <v>3</v>
      </c>
      <c r="K2790" s="2" t="s">
        <v>5592</v>
      </c>
      <c r="L2790" s="11" t="str">
        <f t="shared" si="44"/>
        <v>Ver Imagen</v>
      </c>
      <c r="M2790" t="s">
        <v>15</v>
      </c>
    </row>
    <row r="2791" spans="1:13" x14ac:dyDescent="0.25">
      <c r="A2791">
        <v>2790</v>
      </c>
      <c r="B2791" t="s">
        <v>5593</v>
      </c>
      <c r="C2791" s="1">
        <v>37.4953632287</v>
      </c>
      <c r="D2791" s="1">
        <v>-7.2710215971199998</v>
      </c>
      <c r="E2791" s="3">
        <v>3</v>
      </c>
      <c r="F2791" s="2">
        <v>2</v>
      </c>
      <c r="G2791" s="4">
        <v>3</v>
      </c>
      <c r="H2791" s="13"/>
      <c r="I2791" s="15"/>
      <c r="J2791" s="19">
        <v>3</v>
      </c>
      <c r="K2791" s="2" t="s">
        <v>5594</v>
      </c>
      <c r="L2791" s="11" t="str">
        <f t="shared" si="44"/>
        <v>Ver Imagen</v>
      </c>
      <c r="M2791" t="s">
        <v>15</v>
      </c>
    </row>
    <row r="2792" spans="1:13" x14ac:dyDescent="0.25">
      <c r="A2792">
        <v>2791</v>
      </c>
      <c r="B2792" t="s">
        <v>5595</v>
      </c>
      <c r="C2792" s="1">
        <v>37.495489126700001</v>
      </c>
      <c r="D2792" s="1">
        <v>-7.2697268885500002</v>
      </c>
      <c r="E2792" s="3">
        <v>3</v>
      </c>
      <c r="F2792" s="2">
        <v>2</v>
      </c>
      <c r="G2792" s="4">
        <v>3</v>
      </c>
      <c r="H2792" s="13"/>
      <c r="I2792" s="15"/>
      <c r="J2792" s="19">
        <v>3</v>
      </c>
      <c r="K2792" s="2" t="s">
        <v>5596</v>
      </c>
      <c r="L2792" s="11" t="str">
        <f t="shared" si="44"/>
        <v>Ver Imagen</v>
      </c>
      <c r="M2792" t="s">
        <v>15</v>
      </c>
    </row>
    <row r="2793" spans="1:13" x14ac:dyDescent="0.25">
      <c r="A2793">
        <v>2792</v>
      </c>
      <c r="B2793" t="s">
        <v>5597</v>
      </c>
      <c r="C2793" s="1">
        <v>37.495482569300002</v>
      </c>
      <c r="D2793" s="1">
        <v>-7.2694470668199997</v>
      </c>
      <c r="E2793" s="3">
        <v>3</v>
      </c>
      <c r="F2793" s="2">
        <v>3</v>
      </c>
      <c r="G2793" s="4">
        <v>4</v>
      </c>
      <c r="H2793" s="13"/>
      <c r="I2793" s="15"/>
      <c r="J2793" s="19">
        <v>3</v>
      </c>
      <c r="K2793" s="2" t="s">
        <v>5598</v>
      </c>
      <c r="L2793" s="11" t="str">
        <f t="shared" ref="L2793:L2856" si="45">HYPERLINK("3\1\" &amp; K2793, "Ver Imagen")</f>
        <v>Ver Imagen</v>
      </c>
      <c r="M2793" t="s">
        <v>15</v>
      </c>
    </row>
    <row r="2794" spans="1:13" x14ac:dyDescent="0.25">
      <c r="A2794">
        <v>2793</v>
      </c>
      <c r="B2794" t="s">
        <v>5599</v>
      </c>
      <c r="C2794" s="1">
        <v>37.495389189400001</v>
      </c>
      <c r="D2794" s="1">
        <v>-7.2686925486999998</v>
      </c>
      <c r="E2794" s="3">
        <v>3</v>
      </c>
      <c r="F2794" s="2">
        <v>3</v>
      </c>
      <c r="G2794" s="4">
        <v>4</v>
      </c>
      <c r="H2794" s="13"/>
      <c r="I2794" s="15"/>
      <c r="J2794" s="19">
        <v>3</v>
      </c>
      <c r="K2794" s="2" t="s">
        <v>5600</v>
      </c>
      <c r="L2794" s="11" t="str">
        <f t="shared" si="45"/>
        <v>Ver Imagen</v>
      </c>
      <c r="M2794" t="s">
        <v>15</v>
      </c>
    </row>
    <row r="2795" spans="1:13" x14ac:dyDescent="0.25">
      <c r="A2795">
        <v>2794</v>
      </c>
      <c r="B2795" t="s">
        <v>5601</v>
      </c>
      <c r="C2795" s="1">
        <v>37.495305291400001</v>
      </c>
      <c r="D2795" s="1">
        <v>-7.2682363706000004</v>
      </c>
      <c r="E2795" s="3">
        <v>4</v>
      </c>
      <c r="F2795" s="2">
        <v>3</v>
      </c>
      <c r="G2795" s="4">
        <v>3</v>
      </c>
      <c r="H2795" s="13"/>
      <c r="I2795" s="15"/>
      <c r="J2795" s="19">
        <v>3</v>
      </c>
      <c r="K2795" s="2" t="s">
        <v>5602</v>
      </c>
      <c r="L2795" s="11" t="str">
        <f t="shared" si="45"/>
        <v>Ver Imagen</v>
      </c>
      <c r="M2795" t="s">
        <v>15</v>
      </c>
    </row>
    <row r="2796" spans="1:13" x14ac:dyDescent="0.25">
      <c r="A2796">
        <v>2795</v>
      </c>
      <c r="B2796" t="s">
        <v>5603</v>
      </c>
      <c r="C2796" s="1">
        <v>37.496041905600002</v>
      </c>
      <c r="D2796" s="1">
        <v>-7.2681693877800004</v>
      </c>
      <c r="E2796" s="3">
        <v>3</v>
      </c>
      <c r="F2796" s="2">
        <v>3</v>
      </c>
      <c r="G2796" s="4">
        <v>4</v>
      </c>
      <c r="H2796" s="13"/>
      <c r="I2796" s="15"/>
      <c r="J2796" s="19">
        <v>3</v>
      </c>
      <c r="K2796" s="2" t="s">
        <v>5604</v>
      </c>
      <c r="L2796" s="11" t="str">
        <f t="shared" si="45"/>
        <v>Ver Imagen</v>
      </c>
      <c r="M2796" t="s">
        <v>15</v>
      </c>
    </row>
    <row r="2797" spans="1:13" x14ac:dyDescent="0.25">
      <c r="A2797">
        <v>2796</v>
      </c>
      <c r="B2797" t="s">
        <v>5605</v>
      </c>
      <c r="C2797" s="1">
        <v>37.497427849600001</v>
      </c>
      <c r="D2797" s="1">
        <v>-7.2679834810099999</v>
      </c>
      <c r="E2797" s="3">
        <v>3</v>
      </c>
      <c r="F2797" s="2">
        <v>3</v>
      </c>
      <c r="G2797" s="4">
        <v>2</v>
      </c>
      <c r="H2797" s="13"/>
      <c r="I2797" s="15"/>
      <c r="J2797" s="19">
        <v>3</v>
      </c>
      <c r="K2797" s="2" t="s">
        <v>5606</v>
      </c>
      <c r="L2797" s="11" t="str">
        <f t="shared" si="45"/>
        <v>Ver Imagen</v>
      </c>
      <c r="M2797" t="s">
        <v>15</v>
      </c>
    </row>
    <row r="2798" spans="1:13" x14ac:dyDescent="0.25">
      <c r="A2798">
        <v>2797</v>
      </c>
      <c r="B2798" t="s">
        <v>5607</v>
      </c>
      <c r="C2798" s="1">
        <v>37.497824212899999</v>
      </c>
      <c r="D2798" s="1">
        <v>-7.2678467386700003</v>
      </c>
      <c r="E2798" s="3">
        <v>3</v>
      </c>
      <c r="F2798" s="2">
        <v>3</v>
      </c>
      <c r="G2798" s="4">
        <v>2</v>
      </c>
      <c r="H2798" s="13"/>
      <c r="I2798" s="15"/>
      <c r="J2798" s="19">
        <v>3</v>
      </c>
      <c r="K2798" s="2" t="s">
        <v>5608</v>
      </c>
      <c r="L2798" s="11" t="str">
        <f t="shared" si="45"/>
        <v>Ver Imagen</v>
      </c>
      <c r="M2798" t="s">
        <v>15</v>
      </c>
    </row>
    <row r="2799" spans="1:13" x14ac:dyDescent="0.25">
      <c r="A2799">
        <v>2798</v>
      </c>
      <c r="B2799" t="s">
        <v>5609</v>
      </c>
      <c r="C2799" s="1">
        <v>37.198990172899997</v>
      </c>
      <c r="D2799" s="1">
        <v>-6.9828264921900001</v>
      </c>
      <c r="E2799" s="3">
        <v>3</v>
      </c>
      <c r="F2799" s="2">
        <v>2</v>
      </c>
      <c r="G2799" s="4">
        <v>3</v>
      </c>
      <c r="H2799" s="13"/>
      <c r="I2799" s="15"/>
      <c r="J2799" s="19">
        <v>3</v>
      </c>
      <c r="K2799" s="2" t="s">
        <v>5610</v>
      </c>
      <c r="L2799" s="11" t="str">
        <f t="shared" si="45"/>
        <v>Ver Imagen</v>
      </c>
      <c r="M2799" t="s">
        <v>15</v>
      </c>
    </row>
    <row r="2800" spans="1:13" x14ac:dyDescent="0.25">
      <c r="A2800">
        <v>2799</v>
      </c>
      <c r="B2800" t="s">
        <v>5611</v>
      </c>
      <c r="C2800" s="1">
        <v>37.198621598400003</v>
      </c>
      <c r="D2800" s="1">
        <v>-6.9818994653799997</v>
      </c>
      <c r="E2800" s="3">
        <v>3</v>
      </c>
      <c r="F2800" s="2">
        <v>2</v>
      </c>
      <c r="G2800" s="4">
        <v>3</v>
      </c>
      <c r="H2800" s="13"/>
      <c r="I2800" s="15"/>
      <c r="J2800" s="19">
        <v>3</v>
      </c>
      <c r="K2800" s="2" t="s">
        <v>5612</v>
      </c>
      <c r="L2800" s="11" t="str">
        <f t="shared" si="45"/>
        <v>Ver Imagen</v>
      </c>
      <c r="M2800" t="s">
        <v>15</v>
      </c>
    </row>
    <row r="2801" spans="1:13" x14ac:dyDescent="0.25">
      <c r="A2801">
        <v>2800</v>
      </c>
      <c r="B2801" t="s">
        <v>5613</v>
      </c>
      <c r="C2801" s="1">
        <v>37.197951912900002</v>
      </c>
      <c r="D2801" s="1">
        <v>-6.9806417667299998</v>
      </c>
      <c r="E2801" s="3">
        <v>3</v>
      </c>
      <c r="F2801" s="2">
        <v>2</v>
      </c>
      <c r="G2801" s="4">
        <v>3</v>
      </c>
      <c r="H2801" s="13"/>
      <c r="I2801" s="15"/>
      <c r="J2801" s="19">
        <v>3</v>
      </c>
      <c r="K2801" s="2" t="s">
        <v>5614</v>
      </c>
      <c r="L2801" s="11" t="str">
        <f t="shared" si="45"/>
        <v>Ver Imagen</v>
      </c>
      <c r="M2801" t="s">
        <v>15</v>
      </c>
    </row>
    <row r="2802" spans="1:13" x14ac:dyDescent="0.25">
      <c r="A2802">
        <v>2801</v>
      </c>
      <c r="B2802" t="s">
        <v>5615</v>
      </c>
      <c r="C2802" s="1">
        <v>37.197411216399999</v>
      </c>
      <c r="D2802" s="1">
        <v>-6.9799110143699998</v>
      </c>
      <c r="E2802" s="3">
        <v>3</v>
      </c>
      <c r="F2802" s="2">
        <v>2</v>
      </c>
      <c r="G2802" s="4">
        <v>3</v>
      </c>
      <c r="H2802" s="13"/>
      <c r="I2802" s="15"/>
      <c r="J2802" s="19">
        <v>3</v>
      </c>
      <c r="K2802" s="2" t="s">
        <v>5616</v>
      </c>
      <c r="L2802" s="11" t="str">
        <f t="shared" si="45"/>
        <v>Ver Imagen</v>
      </c>
      <c r="M2802" t="s">
        <v>15</v>
      </c>
    </row>
    <row r="2803" spans="1:13" x14ac:dyDescent="0.25">
      <c r="A2803">
        <v>2802</v>
      </c>
      <c r="B2803" t="s">
        <v>5617</v>
      </c>
      <c r="C2803" s="1">
        <v>37.196783906100002</v>
      </c>
      <c r="D2803" s="1">
        <v>-6.9792484460799997</v>
      </c>
      <c r="E2803" s="3">
        <v>3</v>
      </c>
      <c r="F2803" s="2">
        <v>2</v>
      </c>
      <c r="G2803" s="4">
        <v>3</v>
      </c>
      <c r="H2803" s="13"/>
      <c r="I2803" s="15"/>
      <c r="J2803" s="19">
        <v>3</v>
      </c>
      <c r="K2803" s="2" t="s">
        <v>5618</v>
      </c>
      <c r="L2803" s="11" t="str">
        <f t="shared" si="45"/>
        <v>Ver Imagen</v>
      </c>
      <c r="M2803" t="s">
        <v>15</v>
      </c>
    </row>
    <row r="2804" spans="1:13" x14ac:dyDescent="0.25">
      <c r="A2804">
        <v>2803</v>
      </c>
      <c r="B2804" t="s">
        <v>5619</v>
      </c>
      <c r="C2804" s="1">
        <v>37.196298318700002</v>
      </c>
      <c r="D2804" s="1">
        <v>-6.9788396672199999</v>
      </c>
      <c r="E2804" s="3">
        <v>3</v>
      </c>
      <c r="F2804" s="2">
        <v>2</v>
      </c>
      <c r="G2804" s="4">
        <v>3</v>
      </c>
      <c r="H2804" s="13"/>
      <c r="I2804" s="15"/>
      <c r="J2804" s="19">
        <v>3</v>
      </c>
      <c r="K2804" s="2" t="s">
        <v>5620</v>
      </c>
      <c r="L2804" s="11" t="str">
        <f t="shared" si="45"/>
        <v>Ver Imagen</v>
      </c>
      <c r="M2804" t="s">
        <v>15</v>
      </c>
    </row>
    <row r="2805" spans="1:13" x14ac:dyDescent="0.25">
      <c r="A2805">
        <v>2804</v>
      </c>
      <c r="B2805" t="s">
        <v>5621</v>
      </c>
      <c r="C2805" s="1">
        <v>37.195922554600003</v>
      </c>
      <c r="D2805" s="1">
        <v>-6.9785745236499999</v>
      </c>
      <c r="E2805" s="3">
        <v>3</v>
      </c>
      <c r="F2805" s="2">
        <v>2</v>
      </c>
      <c r="G2805" s="4">
        <v>3</v>
      </c>
      <c r="H2805" s="13"/>
      <c r="I2805" s="15"/>
      <c r="J2805" s="19">
        <v>3</v>
      </c>
      <c r="K2805" s="2" t="s">
        <v>5622</v>
      </c>
      <c r="L2805" s="11" t="str">
        <f t="shared" si="45"/>
        <v>Ver Imagen</v>
      </c>
      <c r="M2805" t="s">
        <v>15</v>
      </c>
    </row>
    <row r="2806" spans="1:13" x14ac:dyDescent="0.25">
      <c r="A2806">
        <v>2805</v>
      </c>
      <c r="B2806" t="s">
        <v>5623</v>
      </c>
      <c r="C2806" s="1">
        <v>37.195574657100003</v>
      </c>
      <c r="D2806" s="1">
        <v>-6.9783590176699999</v>
      </c>
      <c r="E2806" s="3">
        <v>3</v>
      </c>
      <c r="F2806" s="2">
        <v>2</v>
      </c>
      <c r="G2806" s="4">
        <v>3</v>
      </c>
      <c r="H2806" s="13"/>
      <c r="I2806" s="15"/>
      <c r="J2806" s="19">
        <v>3</v>
      </c>
      <c r="K2806" s="2" t="s">
        <v>5624</v>
      </c>
      <c r="L2806" s="11" t="str">
        <f t="shared" si="45"/>
        <v>Ver Imagen</v>
      </c>
      <c r="M2806" t="s">
        <v>15</v>
      </c>
    </row>
    <row r="2807" spans="1:13" x14ac:dyDescent="0.25">
      <c r="A2807">
        <v>2806</v>
      </c>
      <c r="B2807" t="s">
        <v>5625</v>
      </c>
      <c r="C2807" s="1">
        <v>37.1910143964</v>
      </c>
      <c r="D2807" s="1">
        <v>-6.9778787971999998</v>
      </c>
      <c r="E2807" s="3">
        <v>3</v>
      </c>
      <c r="F2807" s="2">
        <v>2</v>
      </c>
      <c r="G2807" s="4">
        <v>3</v>
      </c>
      <c r="H2807" s="13"/>
      <c r="I2807" s="15"/>
      <c r="J2807" s="19">
        <v>3</v>
      </c>
      <c r="K2807" s="2" t="s">
        <v>5626</v>
      </c>
      <c r="L2807" s="11" t="str">
        <f t="shared" si="45"/>
        <v>Ver Imagen</v>
      </c>
      <c r="M2807" t="s">
        <v>15</v>
      </c>
    </row>
    <row r="2808" spans="1:13" x14ac:dyDescent="0.25">
      <c r="A2808">
        <v>2807</v>
      </c>
      <c r="B2808" t="s">
        <v>5627</v>
      </c>
      <c r="C2808" s="1">
        <v>37.189045760200003</v>
      </c>
      <c r="D2808" s="1">
        <v>-6.9784106759700002</v>
      </c>
      <c r="E2808" s="3">
        <v>3</v>
      </c>
      <c r="F2808" s="2">
        <v>2</v>
      </c>
      <c r="G2808" s="4">
        <v>3</v>
      </c>
      <c r="H2808" s="13"/>
      <c r="I2808" s="15"/>
      <c r="J2808" s="19">
        <v>3</v>
      </c>
      <c r="K2808" s="2" t="s">
        <v>5628</v>
      </c>
      <c r="L2808" s="11" t="str">
        <f t="shared" si="45"/>
        <v>Ver Imagen</v>
      </c>
      <c r="M2808" t="s">
        <v>15</v>
      </c>
    </row>
    <row r="2809" spans="1:13" x14ac:dyDescent="0.25">
      <c r="A2809">
        <v>2808</v>
      </c>
      <c r="B2809" t="s">
        <v>5629</v>
      </c>
      <c r="C2809" s="1">
        <v>37.188833348700001</v>
      </c>
      <c r="D2809" s="1">
        <v>-6.9784718893299997</v>
      </c>
      <c r="E2809" s="3">
        <v>3</v>
      </c>
      <c r="F2809" s="2">
        <v>2</v>
      </c>
      <c r="G2809" s="4">
        <v>3</v>
      </c>
      <c r="H2809" s="13"/>
      <c r="I2809" s="15"/>
      <c r="J2809" s="19">
        <v>3</v>
      </c>
      <c r="K2809" s="2" t="s">
        <v>5630</v>
      </c>
      <c r="L2809" s="11" t="str">
        <f t="shared" si="45"/>
        <v>Ver Imagen</v>
      </c>
      <c r="M2809" t="s">
        <v>15</v>
      </c>
    </row>
    <row r="2810" spans="1:13" x14ac:dyDescent="0.25">
      <c r="A2810">
        <v>2809</v>
      </c>
      <c r="B2810" t="s">
        <v>5631</v>
      </c>
      <c r="C2810" s="1">
        <v>37.501148951499999</v>
      </c>
      <c r="D2810" s="1">
        <v>-7.2667086270199999</v>
      </c>
      <c r="E2810" s="3">
        <v>3</v>
      </c>
      <c r="F2810" s="2">
        <v>2</v>
      </c>
      <c r="G2810" s="4">
        <v>3</v>
      </c>
      <c r="H2810" s="13"/>
      <c r="I2810" s="15"/>
      <c r="J2810" s="19">
        <v>3</v>
      </c>
      <c r="K2810" s="2" t="s">
        <v>5632</v>
      </c>
      <c r="L2810" s="11" t="str">
        <f t="shared" si="45"/>
        <v>Ver Imagen</v>
      </c>
      <c r="M2810" t="s">
        <v>15</v>
      </c>
    </row>
    <row r="2811" spans="1:13" x14ac:dyDescent="0.25">
      <c r="A2811">
        <v>2810</v>
      </c>
      <c r="B2811" t="s">
        <v>5633</v>
      </c>
      <c r="C2811" s="1">
        <v>37.501699332199998</v>
      </c>
      <c r="D2811" s="1">
        <v>-7.2665213026400002</v>
      </c>
      <c r="E2811" s="3">
        <v>3</v>
      </c>
      <c r="F2811" s="2">
        <v>2</v>
      </c>
      <c r="G2811" s="4">
        <v>3</v>
      </c>
      <c r="H2811" s="13"/>
      <c r="I2811" s="15"/>
      <c r="J2811" s="19">
        <v>3</v>
      </c>
      <c r="K2811" s="2" t="s">
        <v>5634</v>
      </c>
      <c r="L2811" s="11" t="str">
        <f t="shared" si="45"/>
        <v>Ver Imagen</v>
      </c>
      <c r="M2811" t="s">
        <v>15</v>
      </c>
    </row>
    <row r="2812" spans="1:13" x14ac:dyDescent="0.25">
      <c r="A2812">
        <v>2811</v>
      </c>
      <c r="B2812" t="s">
        <v>5635</v>
      </c>
      <c r="C2812" s="1">
        <v>37.502505083499997</v>
      </c>
      <c r="D2812" s="1">
        <v>-7.2662434218899996</v>
      </c>
      <c r="E2812" s="3">
        <v>2</v>
      </c>
      <c r="F2812" s="2">
        <v>3</v>
      </c>
      <c r="G2812" s="4">
        <v>3</v>
      </c>
      <c r="H2812" s="13"/>
      <c r="I2812" s="15"/>
      <c r="J2812" s="19">
        <v>3</v>
      </c>
      <c r="K2812" s="2" t="s">
        <v>5636</v>
      </c>
      <c r="L2812" s="11" t="str">
        <f t="shared" si="45"/>
        <v>Ver Imagen</v>
      </c>
      <c r="M2812" t="s">
        <v>15</v>
      </c>
    </row>
    <row r="2813" spans="1:13" x14ac:dyDescent="0.25">
      <c r="A2813">
        <v>2812</v>
      </c>
      <c r="B2813" t="s">
        <v>5637</v>
      </c>
      <c r="C2813" s="1">
        <v>37.502891379399998</v>
      </c>
      <c r="D2813" s="1">
        <v>-7.2661148225599996</v>
      </c>
      <c r="E2813" s="3">
        <v>2</v>
      </c>
      <c r="F2813" s="2">
        <v>3</v>
      </c>
      <c r="G2813" s="4">
        <v>3</v>
      </c>
      <c r="H2813" s="13"/>
      <c r="I2813" s="15"/>
      <c r="J2813" s="19">
        <v>3</v>
      </c>
      <c r="K2813" s="2" t="s">
        <v>5638</v>
      </c>
      <c r="L2813" s="11" t="str">
        <f t="shared" si="45"/>
        <v>Ver Imagen</v>
      </c>
      <c r="M2813" t="s">
        <v>15</v>
      </c>
    </row>
    <row r="2814" spans="1:13" x14ac:dyDescent="0.25">
      <c r="A2814">
        <v>2813</v>
      </c>
      <c r="B2814" t="s">
        <v>5639</v>
      </c>
      <c r="C2814" s="1">
        <v>37.515280651899999</v>
      </c>
      <c r="D2814" s="1">
        <v>-7.2685338613299999</v>
      </c>
      <c r="E2814" s="3">
        <v>3</v>
      </c>
      <c r="F2814" s="2">
        <v>2</v>
      </c>
      <c r="G2814" s="4">
        <v>3</v>
      </c>
      <c r="H2814" s="13"/>
      <c r="I2814" s="15"/>
      <c r="J2814" s="19">
        <v>3</v>
      </c>
      <c r="K2814" s="2" t="s">
        <v>5640</v>
      </c>
      <c r="L2814" s="11" t="str">
        <f t="shared" si="45"/>
        <v>Ver Imagen</v>
      </c>
      <c r="M2814" t="s">
        <v>15</v>
      </c>
    </row>
    <row r="2815" spans="1:13" x14ac:dyDescent="0.25">
      <c r="A2815">
        <v>2814</v>
      </c>
      <c r="B2815" t="s">
        <v>5641</v>
      </c>
      <c r="C2815" s="1">
        <v>37.267678553099998</v>
      </c>
      <c r="D2815" s="1">
        <v>-6.9653188999999998</v>
      </c>
      <c r="E2815" s="3">
        <v>3</v>
      </c>
      <c r="F2815" s="2">
        <v>2</v>
      </c>
      <c r="G2815" s="4">
        <v>3</v>
      </c>
      <c r="H2815" s="13"/>
      <c r="I2815" s="15"/>
      <c r="J2815" s="19">
        <v>3</v>
      </c>
      <c r="K2815" s="2" t="s">
        <v>5642</v>
      </c>
      <c r="L2815" s="11" t="str">
        <f t="shared" si="45"/>
        <v>Ver Imagen</v>
      </c>
      <c r="M2815" t="s">
        <v>15</v>
      </c>
    </row>
    <row r="2816" spans="1:13" x14ac:dyDescent="0.25">
      <c r="A2816">
        <v>2815</v>
      </c>
      <c r="B2816" t="s">
        <v>5643</v>
      </c>
      <c r="C2816" s="1">
        <v>37.523087429599997</v>
      </c>
      <c r="D2816" s="1">
        <v>-7.2591263797499996</v>
      </c>
      <c r="E2816" s="3">
        <v>3</v>
      </c>
      <c r="F2816" s="2">
        <v>2</v>
      </c>
      <c r="G2816" s="4">
        <v>3</v>
      </c>
      <c r="H2816" s="13"/>
      <c r="I2816" s="15"/>
      <c r="J2816" s="19">
        <v>3</v>
      </c>
      <c r="K2816" s="2" t="s">
        <v>5644</v>
      </c>
      <c r="L2816" s="11" t="str">
        <f t="shared" si="45"/>
        <v>Ver Imagen</v>
      </c>
      <c r="M2816" t="s">
        <v>15</v>
      </c>
    </row>
    <row r="2817" spans="1:13" x14ac:dyDescent="0.25">
      <c r="A2817">
        <v>2816</v>
      </c>
      <c r="B2817" t="s">
        <v>5645</v>
      </c>
      <c r="C2817" s="1">
        <v>37.267835831200003</v>
      </c>
      <c r="D2817" s="1">
        <v>-6.9681257138800001</v>
      </c>
      <c r="E2817" s="3">
        <v>3</v>
      </c>
      <c r="F2817" s="2">
        <v>2</v>
      </c>
      <c r="G2817" s="4">
        <v>3</v>
      </c>
      <c r="H2817" s="13"/>
      <c r="I2817" s="15"/>
      <c r="J2817" s="19">
        <v>3</v>
      </c>
      <c r="K2817" s="2" t="s">
        <v>5646</v>
      </c>
      <c r="L2817" s="11" t="str">
        <f t="shared" si="45"/>
        <v>Ver Imagen</v>
      </c>
      <c r="M2817" t="s">
        <v>15</v>
      </c>
    </row>
    <row r="2818" spans="1:13" x14ac:dyDescent="0.25">
      <c r="A2818">
        <v>2817</v>
      </c>
      <c r="B2818" t="s">
        <v>5647</v>
      </c>
      <c r="C2818" s="1">
        <v>37.267859732300003</v>
      </c>
      <c r="D2818" s="1">
        <v>-6.96838096902</v>
      </c>
      <c r="E2818" s="3">
        <v>3</v>
      </c>
      <c r="F2818" s="2">
        <v>2</v>
      </c>
      <c r="G2818" s="4">
        <v>3</v>
      </c>
      <c r="H2818" s="13"/>
      <c r="I2818" s="15"/>
      <c r="J2818" s="19">
        <v>3</v>
      </c>
      <c r="K2818" s="2" t="s">
        <v>5648</v>
      </c>
      <c r="L2818" s="11" t="str">
        <f t="shared" si="45"/>
        <v>Ver Imagen</v>
      </c>
      <c r="M2818" t="s">
        <v>15</v>
      </c>
    </row>
    <row r="2819" spans="1:13" x14ac:dyDescent="0.25">
      <c r="A2819">
        <v>2818</v>
      </c>
      <c r="B2819" t="s">
        <v>5649</v>
      </c>
      <c r="C2819" s="1">
        <v>37.267905306899998</v>
      </c>
      <c r="D2819" s="1">
        <v>-6.9688716192499998</v>
      </c>
      <c r="E2819" s="3">
        <v>3</v>
      </c>
      <c r="F2819" s="2">
        <v>2</v>
      </c>
      <c r="G2819" s="4">
        <v>3</v>
      </c>
      <c r="H2819" s="13"/>
      <c r="I2819" s="15"/>
      <c r="J2819" s="19">
        <v>3</v>
      </c>
      <c r="K2819" s="2" t="s">
        <v>5650</v>
      </c>
      <c r="L2819" s="11" t="str">
        <f t="shared" si="45"/>
        <v>Ver Imagen</v>
      </c>
      <c r="M2819" t="s">
        <v>15</v>
      </c>
    </row>
    <row r="2820" spans="1:13" x14ac:dyDescent="0.25">
      <c r="A2820">
        <v>2819</v>
      </c>
      <c r="B2820" t="s">
        <v>5651</v>
      </c>
      <c r="C2820" s="1">
        <v>37.268042982600001</v>
      </c>
      <c r="D2820" s="1">
        <v>-6.9701391304799998</v>
      </c>
      <c r="E2820" s="3">
        <v>3</v>
      </c>
      <c r="F2820" s="2">
        <v>2</v>
      </c>
      <c r="G2820" s="4">
        <v>3</v>
      </c>
      <c r="H2820" s="13"/>
      <c r="I2820" s="15"/>
      <c r="J2820" s="19">
        <v>3</v>
      </c>
      <c r="K2820" s="2" t="s">
        <v>5652</v>
      </c>
      <c r="L2820" s="11" t="str">
        <f t="shared" si="45"/>
        <v>Ver Imagen</v>
      </c>
      <c r="M2820" t="s">
        <v>15</v>
      </c>
    </row>
    <row r="2821" spans="1:13" x14ac:dyDescent="0.25">
      <c r="A2821">
        <v>2820</v>
      </c>
      <c r="B2821" t="s">
        <v>5653</v>
      </c>
      <c r="C2821" s="1">
        <v>37.268137602199999</v>
      </c>
      <c r="D2821" s="1">
        <v>-6.9708761877200001</v>
      </c>
      <c r="E2821" s="3">
        <v>3</v>
      </c>
      <c r="F2821" s="2">
        <v>2</v>
      </c>
      <c r="G2821" s="4">
        <v>3</v>
      </c>
      <c r="H2821" s="13"/>
      <c r="I2821" s="15"/>
      <c r="J2821" s="19">
        <v>3</v>
      </c>
      <c r="K2821" s="2" t="s">
        <v>5654</v>
      </c>
      <c r="L2821" s="11" t="str">
        <f t="shared" si="45"/>
        <v>Ver Imagen</v>
      </c>
      <c r="M2821" t="s">
        <v>15</v>
      </c>
    </row>
    <row r="2822" spans="1:13" x14ac:dyDescent="0.25">
      <c r="A2822">
        <v>2821</v>
      </c>
      <c r="B2822" t="s">
        <v>5655</v>
      </c>
      <c r="C2822" s="1">
        <v>37.268174433799999</v>
      </c>
      <c r="D2822" s="1">
        <v>-6.97113955796</v>
      </c>
      <c r="E2822" s="3">
        <v>3</v>
      </c>
      <c r="F2822" s="2">
        <v>2</v>
      </c>
      <c r="G2822" s="4">
        <v>3</v>
      </c>
      <c r="H2822" s="13"/>
      <c r="I2822" s="15"/>
      <c r="J2822" s="19">
        <v>3</v>
      </c>
      <c r="K2822" s="2" t="s">
        <v>5656</v>
      </c>
      <c r="L2822" s="11" t="str">
        <f t="shared" si="45"/>
        <v>Ver Imagen</v>
      </c>
      <c r="M2822" t="s">
        <v>15</v>
      </c>
    </row>
    <row r="2823" spans="1:13" x14ac:dyDescent="0.25">
      <c r="A2823">
        <v>2822</v>
      </c>
      <c r="B2823" t="s">
        <v>5657</v>
      </c>
      <c r="C2823" s="1">
        <v>37.268249733600001</v>
      </c>
      <c r="D2823" s="1">
        <v>-6.9716441256300001</v>
      </c>
      <c r="E2823" s="3">
        <v>3</v>
      </c>
      <c r="F2823" s="2">
        <v>2</v>
      </c>
      <c r="G2823" s="4">
        <v>3</v>
      </c>
      <c r="H2823" s="13"/>
      <c r="I2823" s="15"/>
      <c r="J2823" s="19">
        <v>3</v>
      </c>
      <c r="K2823" s="2" t="s">
        <v>5658</v>
      </c>
      <c r="L2823" s="11" t="str">
        <f t="shared" si="45"/>
        <v>Ver Imagen</v>
      </c>
      <c r="M2823" t="s">
        <v>15</v>
      </c>
    </row>
    <row r="2824" spans="1:13" x14ac:dyDescent="0.25">
      <c r="A2824">
        <v>2823</v>
      </c>
      <c r="B2824" t="s">
        <v>5659</v>
      </c>
      <c r="C2824" s="1">
        <v>37.2683320963</v>
      </c>
      <c r="D2824" s="1">
        <v>-6.9721470653099997</v>
      </c>
      <c r="E2824" s="3">
        <v>3</v>
      </c>
      <c r="F2824" s="2">
        <v>2</v>
      </c>
      <c r="G2824" s="4">
        <v>3</v>
      </c>
      <c r="H2824" s="13"/>
      <c r="I2824" s="15"/>
      <c r="J2824" s="19">
        <v>3</v>
      </c>
      <c r="K2824" s="2" t="s">
        <v>5660</v>
      </c>
      <c r="L2824" s="11" t="str">
        <f t="shared" si="45"/>
        <v>Ver Imagen</v>
      </c>
      <c r="M2824" t="s">
        <v>15</v>
      </c>
    </row>
    <row r="2825" spans="1:13" x14ac:dyDescent="0.25">
      <c r="A2825">
        <v>2824</v>
      </c>
      <c r="B2825" t="s">
        <v>5661</v>
      </c>
      <c r="C2825" s="1">
        <v>37.268605840799999</v>
      </c>
      <c r="D2825" s="1">
        <v>-6.97361999545</v>
      </c>
      <c r="E2825" s="3">
        <v>3</v>
      </c>
      <c r="F2825" s="2">
        <v>2</v>
      </c>
      <c r="G2825" s="4">
        <v>3</v>
      </c>
      <c r="H2825" s="13"/>
      <c r="I2825" s="15"/>
      <c r="J2825" s="19">
        <v>3</v>
      </c>
      <c r="K2825" s="2" t="s">
        <v>5662</v>
      </c>
      <c r="L2825" s="11" t="str">
        <f t="shared" si="45"/>
        <v>Ver Imagen</v>
      </c>
      <c r="M2825" t="s">
        <v>15</v>
      </c>
    </row>
    <row r="2826" spans="1:13" x14ac:dyDescent="0.25">
      <c r="A2826">
        <v>2825</v>
      </c>
      <c r="B2826" t="s">
        <v>5663</v>
      </c>
      <c r="C2826" s="1">
        <v>37.268657247299998</v>
      </c>
      <c r="D2826" s="1">
        <v>-6.9738755429900001</v>
      </c>
      <c r="E2826" s="3">
        <v>3</v>
      </c>
      <c r="F2826" s="2">
        <v>2</v>
      </c>
      <c r="G2826" s="4">
        <v>3</v>
      </c>
      <c r="H2826" s="13"/>
      <c r="I2826" s="15"/>
      <c r="J2826" s="19">
        <v>3</v>
      </c>
      <c r="K2826" s="2" t="s">
        <v>5664</v>
      </c>
      <c r="L2826" s="11" t="str">
        <f t="shared" si="45"/>
        <v>Ver Imagen</v>
      </c>
      <c r="M2826" t="s">
        <v>15</v>
      </c>
    </row>
    <row r="2827" spans="1:13" x14ac:dyDescent="0.25">
      <c r="A2827">
        <v>2826</v>
      </c>
      <c r="B2827" t="s">
        <v>5665</v>
      </c>
      <c r="C2827" s="1">
        <v>37.268863150000001</v>
      </c>
      <c r="D2827" s="1">
        <v>-6.9748269972700001</v>
      </c>
      <c r="E2827" s="3">
        <v>3</v>
      </c>
      <c r="F2827" s="2">
        <v>2</v>
      </c>
      <c r="G2827" s="4">
        <v>3</v>
      </c>
      <c r="H2827" s="13"/>
      <c r="I2827" s="15"/>
      <c r="J2827" s="19">
        <v>3</v>
      </c>
      <c r="K2827" s="2" t="s">
        <v>5666</v>
      </c>
      <c r="L2827" s="11" t="str">
        <f t="shared" si="45"/>
        <v>Ver Imagen</v>
      </c>
      <c r="M2827" t="s">
        <v>15</v>
      </c>
    </row>
    <row r="2828" spans="1:13" x14ac:dyDescent="0.25">
      <c r="A2828">
        <v>2827</v>
      </c>
      <c r="B2828" t="s">
        <v>5667</v>
      </c>
      <c r="C2828" s="1">
        <v>37.268976842999997</v>
      </c>
      <c r="D2828" s="1">
        <v>-6.9753189862699996</v>
      </c>
      <c r="E2828" s="3">
        <v>3</v>
      </c>
      <c r="F2828" s="2">
        <v>2</v>
      </c>
      <c r="G2828" s="4">
        <v>3</v>
      </c>
      <c r="H2828" s="13"/>
      <c r="I2828" s="15"/>
      <c r="J2828" s="19">
        <v>3</v>
      </c>
      <c r="K2828" s="2" t="s">
        <v>5668</v>
      </c>
      <c r="L2828" s="11" t="str">
        <f t="shared" si="45"/>
        <v>Ver Imagen</v>
      </c>
      <c r="M2828" t="s">
        <v>15</v>
      </c>
    </row>
    <row r="2829" spans="1:13" x14ac:dyDescent="0.25">
      <c r="A2829">
        <v>2828</v>
      </c>
      <c r="B2829" t="s">
        <v>5669</v>
      </c>
      <c r="C2829" s="1">
        <v>37.2693508642</v>
      </c>
      <c r="D2829" s="1">
        <v>-6.9767622329999996</v>
      </c>
      <c r="E2829" s="3">
        <v>4</v>
      </c>
      <c r="F2829" s="2">
        <v>3</v>
      </c>
      <c r="G2829" s="4">
        <v>3</v>
      </c>
      <c r="H2829" s="13"/>
      <c r="I2829" s="15"/>
      <c r="J2829" s="19">
        <v>3</v>
      </c>
      <c r="K2829" s="2" t="s">
        <v>5670</v>
      </c>
      <c r="L2829" s="11" t="str">
        <f t="shared" si="45"/>
        <v>Ver Imagen</v>
      </c>
      <c r="M2829" t="s">
        <v>15</v>
      </c>
    </row>
    <row r="2830" spans="1:13" x14ac:dyDescent="0.25">
      <c r="A2830">
        <v>2829</v>
      </c>
      <c r="B2830" t="s">
        <v>5671</v>
      </c>
      <c r="C2830" s="1">
        <v>37.2696839356</v>
      </c>
      <c r="D2830" s="1">
        <v>-6.9779340045899998</v>
      </c>
      <c r="E2830" s="3">
        <v>3</v>
      </c>
      <c r="F2830" s="2">
        <v>2</v>
      </c>
      <c r="G2830" s="4">
        <v>3</v>
      </c>
      <c r="H2830" s="13"/>
      <c r="I2830" s="15"/>
      <c r="J2830" s="19">
        <v>3</v>
      </c>
      <c r="K2830" s="2" t="s">
        <v>5672</v>
      </c>
      <c r="L2830" s="11" t="str">
        <f t="shared" si="45"/>
        <v>Ver Imagen</v>
      </c>
      <c r="M2830" t="s">
        <v>15</v>
      </c>
    </row>
    <row r="2831" spans="1:13" x14ac:dyDescent="0.25">
      <c r="A2831">
        <v>2830</v>
      </c>
      <c r="B2831" t="s">
        <v>5673</v>
      </c>
      <c r="C2831" s="1">
        <v>37.269959131699999</v>
      </c>
      <c r="D2831" s="1">
        <v>-6.9789007970399997</v>
      </c>
      <c r="E2831" s="3">
        <v>3</v>
      </c>
      <c r="F2831" s="2">
        <v>4</v>
      </c>
      <c r="G2831" s="4">
        <v>3</v>
      </c>
      <c r="H2831" s="13"/>
      <c r="I2831" s="15"/>
      <c r="J2831" s="19">
        <v>3</v>
      </c>
      <c r="K2831" s="2" t="s">
        <v>5674</v>
      </c>
      <c r="L2831" s="11" t="str">
        <f t="shared" si="45"/>
        <v>Ver Imagen</v>
      </c>
      <c r="M2831" t="s">
        <v>15</v>
      </c>
    </row>
    <row r="2832" spans="1:13" x14ac:dyDescent="0.25">
      <c r="A2832">
        <v>2831</v>
      </c>
      <c r="B2832" t="s">
        <v>5675</v>
      </c>
      <c r="C2832" s="1">
        <v>37.270718996900001</v>
      </c>
      <c r="D2832" s="1">
        <v>-6.9815457567600001</v>
      </c>
      <c r="E2832" s="3">
        <v>3</v>
      </c>
      <c r="F2832" s="2">
        <v>2</v>
      </c>
      <c r="G2832" s="4">
        <v>3</v>
      </c>
      <c r="H2832" s="13"/>
      <c r="I2832" s="15"/>
      <c r="J2832" s="19">
        <v>3</v>
      </c>
      <c r="K2832" s="2" t="s">
        <v>5676</v>
      </c>
      <c r="L2832" s="11" t="str">
        <f t="shared" si="45"/>
        <v>Ver Imagen</v>
      </c>
      <c r="M2832" t="s">
        <v>15</v>
      </c>
    </row>
    <row r="2833" spans="1:13" x14ac:dyDescent="0.25">
      <c r="A2833">
        <v>2832</v>
      </c>
      <c r="B2833" t="s">
        <v>5677</v>
      </c>
      <c r="C2833" s="1">
        <v>37.270850531199997</v>
      </c>
      <c r="D2833" s="1">
        <v>-6.9819992399400004</v>
      </c>
      <c r="E2833" s="3">
        <v>3</v>
      </c>
      <c r="F2833" s="2">
        <v>2</v>
      </c>
      <c r="G2833" s="4">
        <v>3</v>
      </c>
      <c r="H2833" s="13"/>
      <c r="I2833" s="15"/>
      <c r="J2833" s="19">
        <v>3</v>
      </c>
      <c r="K2833" s="2" t="s">
        <v>5678</v>
      </c>
      <c r="L2833" s="11" t="str">
        <f t="shared" si="45"/>
        <v>Ver Imagen</v>
      </c>
      <c r="M2833" t="s">
        <v>15</v>
      </c>
    </row>
    <row r="2834" spans="1:13" x14ac:dyDescent="0.25">
      <c r="A2834">
        <v>2833</v>
      </c>
      <c r="B2834" t="s">
        <v>5679</v>
      </c>
      <c r="C2834" s="1">
        <v>37.271593564600003</v>
      </c>
      <c r="D2834" s="1">
        <v>-6.98462235567</v>
      </c>
      <c r="E2834" s="3">
        <v>3</v>
      </c>
      <c r="F2834" s="2">
        <v>2</v>
      </c>
      <c r="G2834" s="4">
        <v>3</v>
      </c>
      <c r="H2834" s="13"/>
      <c r="I2834" s="15"/>
      <c r="J2834" s="19">
        <v>3</v>
      </c>
      <c r="K2834" s="2" t="s">
        <v>5680</v>
      </c>
      <c r="L2834" s="11" t="str">
        <f t="shared" si="45"/>
        <v>Ver Imagen</v>
      </c>
      <c r="M2834" t="s">
        <v>15</v>
      </c>
    </row>
    <row r="2835" spans="1:13" x14ac:dyDescent="0.25">
      <c r="A2835">
        <v>2834</v>
      </c>
      <c r="B2835" t="s">
        <v>5681</v>
      </c>
      <c r="C2835" s="1">
        <v>37.271665345400002</v>
      </c>
      <c r="D2835" s="1">
        <v>-6.9849204882400002</v>
      </c>
      <c r="E2835" s="3">
        <v>3</v>
      </c>
      <c r="F2835" s="2">
        <v>2</v>
      </c>
      <c r="G2835" s="4">
        <v>3</v>
      </c>
      <c r="H2835" s="13"/>
      <c r="I2835" s="15"/>
      <c r="J2835" s="19">
        <v>3</v>
      </c>
      <c r="K2835" s="2" t="s">
        <v>5682</v>
      </c>
      <c r="L2835" s="11" t="str">
        <f t="shared" si="45"/>
        <v>Ver Imagen</v>
      </c>
      <c r="M2835" t="s">
        <v>15</v>
      </c>
    </row>
    <row r="2836" spans="1:13" x14ac:dyDescent="0.25">
      <c r="A2836">
        <v>2835</v>
      </c>
      <c r="B2836" t="s">
        <v>5683</v>
      </c>
      <c r="C2836" s="1">
        <v>37.268703606899997</v>
      </c>
      <c r="D2836" s="1">
        <v>-6.99055964232</v>
      </c>
      <c r="E2836" s="3">
        <v>3</v>
      </c>
      <c r="F2836" s="2">
        <v>2</v>
      </c>
      <c r="G2836" s="4">
        <v>3</v>
      </c>
      <c r="H2836" s="13"/>
      <c r="I2836" s="15"/>
      <c r="J2836" s="19">
        <v>3</v>
      </c>
      <c r="K2836" s="2" t="s">
        <v>5684</v>
      </c>
      <c r="L2836" s="11" t="str">
        <f t="shared" si="45"/>
        <v>Ver Imagen</v>
      </c>
      <c r="M2836" t="s">
        <v>15</v>
      </c>
    </row>
    <row r="2837" spans="1:13" x14ac:dyDescent="0.25">
      <c r="A2837">
        <v>2836</v>
      </c>
      <c r="B2837" t="s">
        <v>5685</v>
      </c>
      <c r="C2837" s="1">
        <v>37.187960210200004</v>
      </c>
      <c r="D2837" s="1">
        <v>-6.9782808227800004</v>
      </c>
      <c r="E2837" s="3">
        <v>3</v>
      </c>
      <c r="F2837" s="2">
        <v>2</v>
      </c>
      <c r="G2837" s="4">
        <v>3</v>
      </c>
      <c r="H2837" s="13"/>
      <c r="I2837" s="15"/>
      <c r="J2837" s="19">
        <v>3</v>
      </c>
      <c r="K2837" s="2" t="s">
        <v>5686</v>
      </c>
      <c r="L2837" s="11" t="str">
        <f t="shared" si="45"/>
        <v>Ver Imagen</v>
      </c>
      <c r="M2837" t="s">
        <v>15</v>
      </c>
    </row>
    <row r="2838" spans="1:13" x14ac:dyDescent="0.25">
      <c r="A2838">
        <v>2837</v>
      </c>
      <c r="B2838" t="s">
        <v>5687</v>
      </c>
      <c r="C2838" s="1">
        <v>37.191556838799997</v>
      </c>
      <c r="D2838" s="1">
        <v>-6.9775947251000003</v>
      </c>
      <c r="E2838" s="3">
        <v>3</v>
      </c>
      <c r="F2838" s="2">
        <v>2</v>
      </c>
      <c r="G2838" s="4">
        <v>3</v>
      </c>
      <c r="H2838" s="13"/>
      <c r="I2838" s="15"/>
      <c r="J2838" s="19">
        <v>3</v>
      </c>
      <c r="K2838" s="2" t="s">
        <v>5688</v>
      </c>
      <c r="L2838" s="11" t="str">
        <f t="shared" si="45"/>
        <v>Ver Imagen</v>
      </c>
      <c r="M2838" t="s">
        <v>15</v>
      </c>
    </row>
    <row r="2839" spans="1:13" x14ac:dyDescent="0.25">
      <c r="A2839">
        <v>2838</v>
      </c>
      <c r="B2839" t="s">
        <v>5689</v>
      </c>
      <c r="C2839" s="1">
        <v>37.192578635799997</v>
      </c>
      <c r="D2839" s="1">
        <v>-6.9774802319499996</v>
      </c>
      <c r="E2839" s="3">
        <v>3</v>
      </c>
      <c r="F2839" s="2">
        <v>2</v>
      </c>
      <c r="G2839" s="4">
        <v>3</v>
      </c>
      <c r="H2839" s="13"/>
      <c r="I2839" s="15"/>
      <c r="J2839" s="19">
        <v>3</v>
      </c>
      <c r="K2839" s="2" t="s">
        <v>5690</v>
      </c>
      <c r="L2839" s="11" t="str">
        <f t="shared" si="45"/>
        <v>Ver Imagen</v>
      </c>
      <c r="M2839" t="s">
        <v>15</v>
      </c>
    </row>
    <row r="2840" spans="1:13" x14ac:dyDescent="0.25">
      <c r="A2840">
        <v>2839</v>
      </c>
      <c r="B2840" t="s">
        <v>5691</v>
      </c>
      <c r="C2840" s="1">
        <v>37.193002683300001</v>
      </c>
      <c r="D2840" s="1">
        <v>-6.9774731311</v>
      </c>
      <c r="E2840" s="3">
        <v>3</v>
      </c>
      <c r="F2840" s="2">
        <v>2</v>
      </c>
      <c r="G2840" s="4">
        <v>3</v>
      </c>
      <c r="H2840" s="13"/>
      <c r="I2840" s="15"/>
      <c r="J2840" s="19">
        <v>3</v>
      </c>
      <c r="K2840" s="2" t="s">
        <v>5692</v>
      </c>
      <c r="L2840" s="11" t="str">
        <f t="shared" si="45"/>
        <v>Ver Imagen</v>
      </c>
      <c r="M2840" t="s">
        <v>15</v>
      </c>
    </row>
    <row r="2841" spans="1:13" x14ac:dyDescent="0.25">
      <c r="A2841">
        <v>2840</v>
      </c>
      <c r="B2841" t="s">
        <v>5693</v>
      </c>
      <c r="C2841" s="1">
        <v>37.194583534300001</v>
      </c>
      <c r="D2841" s="1">
        <v>-6.9777407389099997</v>
      </c>
      <c r="E2841" s="3">
        <v>3</v>
      </c>
      <c r="F2841" s="2">
        <v>2</v>
      </c>
      <c r="G2841" s="4">
        <v>3</v>
      </c>
      <c r="H2841" s="13"/>
      <c r="I2841" s="15"/>
      <c r="J2841" s="19">
        <v>3</v>
      </c>
      <c r="K2841" s="2" t="s">
        <v>5694</v>
      </c>
      <c r="L2841" s="11" t="str">
        <f t="shared" si="45"/>
        <v>Ver Imagen</v>
      </c>
      <c r="M2841" t="s">
        <v>15</v>
      </c>
    </row>
    <row r="2842" spans="1:13" x14ac:dyDescent="0.25">
      <c r="A2842">
        <v>2841</v>
      </c>
      <c r="B2842" t="s">
        <v>5695</v>
      </c>
      <c r="C2842" s="1">
        <v>37.1949727983</v>
      </c>
      <c r="D2842" s="1">
        <v>-6.9778822308999997</v>
      </c>
      <c r="E2842" s="3">
        <v>3</v>
      </c>
      <c r="F2842" s="2">
        <v>2</v>
      </c>
      <c r="G2842" s="4">
        <v>3</v>
      </c>
      <c r="H2842" s="13"/>
      <c r="I2842" s="15"/>
      <c r="J2842" s="19">
        <v>3</v>
      </c>
      <c r="K2842" s="2" t="s">
        <v>5696</v>
      </c>
      <c r="L2842" s="11" t="str">
        <f t="shared" si="45"/>
        <v>Ver Imagen</v>
      </c>
      <c r="M2842" t="s">
        <v>15</v>
      </c>
    </row>
    <row r="2843" spans="1:13" x14ac:dyDescent="0.25">
      <c r="A2843">
        <v>2842</v>
      </c>
      <c r="B2843" t="s">
        <v>5697</v>
      </c>
      <c r="C2843" s="1">
        <v>37.195335816700002</v>
      </c>
      <c r="D2843" s="1">
        <v>-6.9780419018300002</v>
      </c>
      <c r="E2843" s="3">
        <v>3</v>
      </c>
      <c r="F2843" s="2">
        <v>2</v>
      </c>
      <c r="G2843" s="4">
        <v>3</v>
      </c>
      <c r="H2843" s="13"/>
      <c r="I2843" s="15"/>
      <c r="J2843" s="19">
        <v>3</v>
      </c>
      <c r="K2843" s="2" t="s">
        <v>5698</v>
      </c>
      <c r="L2843" s="11" t="str">
        <f t="shared" si="45"/>
        <v>Ver Imagen</v>
      </c>
      <c r="M2843" t="s">
        <v>15</v>
      </c>
    </row>
    <row r="2844" spans="1:13" x14ac:dyDescent="0.25">
      <c r="A2844">
        <v>2843</v>
      </c>
      <c r="B2844" t="s">
        <v>5699</v>
      </c>
      <c r="C2844" s="1">
        <v>37.264733328200002</v>
      </c>
      <c r="D2844" s="1">
        <v>-7.0004177923200004</v>
      </c>
      <c r="E2844" s="3">
        <v>3</v>
      </c>
      <c r="F2844" s="2">
        <v>2</v>
      </c>
      <c r="G2844" s="4">
        <v>3</v>
      </c>
      <c r="H2844" s="13"/>
      <c r="I2844" s="15"/>
      <c r="J2844" s="19">
        <v>3</v>
      </c>
      <c r="K2844" s="2" t="s">
        <v>5700</v>
      </c>
      <c r="L2844" s="11" t="str">
        <f t="shared" si="45"/>
        <v>Ver Imagen</v>
      </c>
      <c r="M2844" t="s">
        <v>15</v>
      </c>
    </row>
    <row r="2845" spans="1:13" x14ac:dyDescent="0.25">
      <c r="A2845">
        <v>2844</v>
      </c>
      <c r="B2845" t="s">
        <v>5701</v>
      </c>
      <c r="C2845" s="1">
        <v>37.264466559200002</v>
      </c>
      <c r="D2845" s="1">
        <v>-7.0019072257600001</v>
      </c>
      <c r="E2845" s="3">
        <v>3</v>
      </c>
      <c r="F2845" s="2">
        <v>2</v>
      </c>
      <c r="G2845" s="4">
        <v>3</v>
      </c>
      <c r="H2845" s="13"/>
      <c r="I2845" s="15"/>
      <c r="J2845" s="19">
        <v>3</v>
      </c>
      <c r="K2845" s="2" t="s">
        <v>5702</v>
      </c>
      <c r="L2845" s="11" t="str">
        <f t="shared" si="45"/>
        <v>Ver Imagen</v>
      </c>
      <c r="M2845" t="s">
        <v>15</v>
      </c>
    </row>
    <row r="2846" spans="1:13" x14ac:dyDescent="0.25">
      <c r="A2846">
        <v>2845</v>
      </c>
      <c r="B2846" t="s">
        <v>5703</v>
      </c>
      <c r="C2846" s="1">
        <v>37.264375147599999</v>
      </c>
      <c r="D2846" s="1">
        <v>-7.0024154019999996</v>
      </c>
      <c r="E2846" s="3">
        <v>3</v>
      </c>
      <c r="F2846" s="2">
        <v>2</v>
      </c>
      <c r="G2846" s="4">
        <v>3</v>
      </c>
      <c r="H2846" s="13"/>
      <c r="I2846" s="15"/>
      <c r="J2846" s="19">
        <v>3</v>
      </c>
      <c r="K2846" s="2" t="s">
        <v>5704</v>
      </c>
      <c r="L2846" s="11" t="str">
        <f t="shared" si="45"/>
        <v>Ver Imagen</v>
      </c>
      <c r="M2846" t="s">
        <v>15</v>
      </c>
    </row>
    <row r="2847" spans="1:13" x14ac:dyDescent="0.25">
      <c r="A2847">
        <v>2846</v>
      </c>
      <c r="B2847" t="s">
        <v>5705</v>
      </c>
      <c r="C2847" s="1">
        <v>37.264331405199997</v>
      </c>
      <c r="D2847" s="1">
        <v>-7.0026575428499997</v>
      </c>
      <c r="E2847" s="3">
        <v>3</v>
      </c>
      <c r="F2847" s="2">
        <v>2</v>
      </c>
      <c r="G2847" s="4">
        <v>3</v>
      </c>
      <c r="H2847" s="13"/>
      <c r="I2847" s="15"/>
      <c r="J2847" s="19">
        <v>3</v>
      </c>
      <c r="K2847" s="2" t="s">
        <v>5706</v>
      </c>
      <c r="L2847" s="11" t="str">
        <f t="shared" si="45"/>
        <v>Ver Imagen</v>
      </c>
      <c r="M2847" t="s">
        <v>15</v>
      </c>
    </row>
    <row r="2848" spans="1:13" x14ac:dyDescent="0.25">
      <c r="A2848">
        <v>2847</v>
      </c>
      <c r="B2848" t="s">
        <v>5707</v>
      </c>
      <c r="C2848" s="1">
        <v>37.263974182600002</v>
      </c>
      <c r="D2848" s="1">
        <v>-7.0046766522299997</v>
      </c>
      <c r="E2848" s="3">
        <v>3</v>
      </c>
      <c r="F2848" s="2">
        <v>2</v>
      </c>
      <c r="G2848" s="4">
        <v>3</v>
      </c>
      <c r="H2848" s="13"/>
      <c r="I2848" s="15"/>
      <c r="J2848" s="19">
        <v>3</v>
      </c>
      <c r="K2848" s="2" t="s">
        <v>5708</v>
      </c>
      <c r="L2848" s="11" t="str">
        <f t="shared" si="45"/>
        <v>Ver Imagen</v>
      </c>
      <c r="M2848" t="s">
        <v>15</v>
      </c>
    </row>
    <row r="2849" spans="1:13" x14ac:dyDescent="0.25">
      <c r="A2849">
        <v>2848</v>
      </c>
      <c r="B2849" t="s">
        <v>5709</v>
      </c>
      <c r="C2849" s="1">
        <v>37.197695508700001</v>
      </c>
      <c r="D2849" s="1">
        <v>-6.9800010811600002</v>
      </c>
      <c r="E2849" s="3">
        <v>3</v>
      </c>
      <c r="F2849" s="2">
        <v>2</v>
      </c>
      <c r="G2849" s="4">
        <v>3</v>
      </c>
      <c r="H2849" s="13"/>
      <c r="I2849" s="15"/>
      <c r="J2849" s="19">
        <v>3</v>
      </c>
      <c r="K2849" s="2" t="s">
        <v>5710</v>
      </c>
      <c r="L2849" s="11" t="str">
        <f t="shared" si="45"/>
        <v>Ver Imagen</v>
      </c>
      <c r="M2849" t="s">
        <v>15</v>
      </c>
    </row>
    <row r="2850" spans="1:13" x14ac:dyDescent="0.25">
      <c r="A2850">
        <v>2849</v>
      </c>
      <c r="B2850" t="s">
        <v>5711</v>
      </c>
      <c r="C2850" s="1">
        <v>37.197834299100002</v>
      </c>
      <c r="D2850" s="1">
        <v>-6.9801853060400001</v>
      </c>
      <c r="E2850" s="3">
        <v>3</v>
      </c>
      <c r="F2850" s="2">
        <v>2</v>
      </c>
      <c r="G2850" s="4">
        <v>3</v>
      </c>
      <c r="H2850" s="13"/>
      <c r="I2850" s="15"/>
      <c r="J2850" s="19">
        <v>3</v>
      </c>
      <c r="K2850" s="2" t="s">
        <v>5712</v>
      </c>
      <c r="L2850" s="11" t="str">
        <f t="shared" si="45"/>
        <v>Ver Imagen</v>
      </c>
      <c r="M2850" t="s">
        <v>15</v>
      </c>
    </row>
    <row r="2851" spans="1:13" x14ac:dyDescent="0.25">
      <c r="A2851">
        <v>2850</v>
      </c>
      <c r="B2851" t="s">
        <v>5713</v>
      </c>
      <c r="C2851" s="1">
        <v>37.197961111399998</v>
      </c>
      <c r="D2851" s="1">
        <v>-6.98036584927</v>
      </c>
      <c r="E2851" s="3">
        <v>3</v>
      </c>
      <c r="F2851" s="2">
        <v>2</v>
      </c>
      <c r="G2851" s="4">
        <v>3</v>
      </c>
      <c r="H2851" s="13"/>
      <c r="I2851" s="15"/>
      <c r="J2851" s="19">
        <v>3</v>
      </c>
      <c r="K2851" s="2" t="s">
        <v>5714</v>
      </c>
      <c r="L2851" s="11" t="str">
        <f t="shared" si="45"/>
        <v>Ver Imagen</v>
      </c>
      <c r="M2851" t="s">
        <v>15</v>
      </c>
    </row>
    <row r="2852" spans="1:13" x14ac:dyDescent="0.25">
      <c r="A2852">
        <v>2851</v>
      </c>
      <c r="B2852" t="s">
        <v>5715</v>
      </c>
      <c r="C2852" s="1">
        <v>37.263477325499998</v>
      </c>
      <c r="D2852" s="1">
        <v>-7.0073702726400002</v>
      </c>
      <c r="E2852" s="3">
        <v>3</v>
      </c>
      <c r="F2852" s="2">
        <v>2</v>
      </c>
      <c r="G2852" s="4">
        <v>3</v>
      </c>
      <c r="H2852" s="13"/>
      <c r="I2852" s="15"/>
      <c r="J2852" s="19">
        <v>3</v>
      </c>
      <c r="K2852" s="2" t="s">
        <v>5716</v>
      </c>
      <c r="L2852" s="11" t="str">
        <f t="shared" si="45"/>
        <v>Ver Imagen</v>
      </c>
      <c r="M2852" t="s">
        <v>15</v>
      </c>
    </row>
    <row r="2853" spans="1:13" x14ac:dyDescent="0.25">
      <c r="A2853">
        <v>2852</v>
      </c>
      <c r="B2853" t="s">
        <v>5717</v>
      </c>
      <c r="C2853" s="1">
        <v>37.198555369899999</v>
      </c>
      <c r="D2853" s="1">
        <v>-6.9813837614500001</v>
      </c>
      <c r="E2853" s="3">
        <v>3</v>
      </c>
      <c r="F2853" s="2">
        <v>2</v>
      </c>
      <c r="G2853" s="4">
        <v>3</v>
      </c>
      <c r="H2853" s="13"/>
      <c r="I2853" s="15"/>
      <c r="J2853" s="19">
        <v>3</v>
      </c>
      <c r="K2853" s="2" t="s">
        <v>5718</v>
      </c>
      <c r="L2853" s="11" t="str">
        <f t="shared" si="45"/>
        <v>Ver Imagen</v>
      </c>
      <c r="M2853" t="s">
        <v>15</v>
      </c>
    </row>
    <row r="2854" spans="1:13" x14ac:dyDescent="0.25">
      <c r="A2854">
        <v>2853</v>
      </c>
      <c r="B2854" t="s">
        <v>5719</v>
      </c>
      <c r="C2854" s="1">
        <v>37.2625507383</v>
      </c>
      <c r="D2854" s="1">
        <v>-7.0095936112599997</v>
      </c>
      <c r="E2854" s="3">
        <v>3</v>
      </c>
      <c r="F2854" s="2">
        <v>2</v>
      </c>
      <c r="G2854" s="4">
        <v>3</v>
      </c>
      <c r="H2854" s="13"/>
      <c r="I2854" s="15"/>
      <c r="J2854" s="19">
        <v>3</v>
      </c>
      <c r="K2854" s="2" t="s">
        <v>5720</v>
      </c>
      <c r="L2854" s="11" t="str">
        <f t="shared" si="45"/>
        <v>Ver Imagen</v>
      </c>
      <c r="M2854" t="s">
        <v>15</v>
      </c>
    </row>
    <row r="2855" spans="1:13" x14ac:dyDescent="0.25">
      <c r="A2855">
        <v>2854</v>
      </c>
      <c r="B2855" t="s">
        <v>5721</v>
      </c>
      <c r="C2855" s="1">
        <v>37.260612697299997</v>
      </c>
      <c r="D2855" s="1">
        <v>-7.0113186504299998</v>
      </c>
      <c r="E2855" s="3">
        <v>3</v>
      </c>
      <c r="F2855" s="2">
        <v>2</v>
      </c>
      <c r="G2855" s="4">
        <v>3</v>
      </c>
      <c r="H2855" s="13"/>
      <c r="I2855" s="15"/>
      <c r="J2855" s="19">
        <v>3</v>
      </c>
      <c r="K2855" s="2" t="s">
        <v>5722</v>
      </c>
      <c r="L2855" s="11" t="str">
        <f t="shared" si="45"/>
        <v>Ver Imagen</v>
      </c>
      <c r="M2855" t="s">
        <v>15</v>
      </c>
    </row>
    <row r="2856" spans="1:13" x14ac:dyDescent="0.25">
      <c r="A2856">
        <v>2855</v>
      </c>
      <c r="B2856" t="s">
        <v>5723</v>
      </c>
      <c r="C2856" s="1">
        <v>37.200065760999998</v>
      </c>
      <c r="D2856" s="1">
        <v>-6.9861054334199997</v>
      </c>
      <c r="E2856" s="3">
        <v>3</v>
      </c>
      <c r="F2856" s="2">
        <v>2</v>
      </c>
      <c r="G2856" s="4">
        <v>3</v>
      </c>
      <c r="H2856" s="13"/>
      <c r="I2856" s="15"/>
      <c r="J2856" s="19">
        <v>3</v>
      </c>
      <c r="K2856" s="2" t="s">
        <v>5724</v>
      </c>
      <c r="L2856" s="11" t="str">
        <f t="shared" si="45"/>
        <v>Ver Imagen</v>
      </c>
      <c r="M2856" t="s">
        <v>15</v>
      </c>
    </row>
    <row r="2857" spans="1:13" x14ac:dyDescent="0.25">
      <c r="A2857">
        <v>2856</v>
      </c>
      <c r="B2857" t="s">
        <v>5725</v>
      </c>
      <c r="C2857" s="1">
        <v>37.2001359673</v>
      </c>
      <c r="D2857" s="1">
        <v>-6.9863942763700004</v>
      </c>
      <c r="E2857" s="3">
        <v>3</v>
      </c>
      <c r="F2857" s="2">
        <v>2</v>
      </c>
      <c r="G2857" s="4">
        <v>3</v>
      </c>
      <c r="H2857" s="13"/>
      <c r="I2857" s="15"/>
      <c r="J2857" s="19">
        <v>3</v>
      </c>
      <c r="K2857" s="2" t="s">
        <v>5726</v>
      </c>
      <c r="L2857" s="11" t="str">
        <f t="shared" ref="L2857:L2920" si="46">HYPERLINK("3\1\" &amp; K2857, "Ver Imagen")</f>
        <v>Ver Imagen</v>
      </c>
      <c r="M2857" t="s">
        <v>15</v>
      </c>
    </row>
    <row r="2858" spans="1:13" x14ac:dyDescent="0.25">
      <c r="A2858">
        <v>2857</v>
      </c>
      <c r="B2858" t="s">
        <v>5727</v>
      </c>
      <c r="C2858" s="1">
        <v>37.200627330000003</v>
      </c>
      <c r="D2858" s="1">
        <v>-6.9885026841900002</v>
      </c>
      <c r="E2858" s="3">
        <v>3</v>
      </c>
      <c r="F2858" s="2">
        <v>2</v>
      </c>
      <c r="G2858" s="4">
        <v>3</v>
      </c>
      <c r="H2858" s="13"/>
      <c r="I2858" s="15"/>
      <c r="J2858" s="19">
        <v>3</v>
      </c>
      <c r="K2858" s="2" t="s">
        <v>5728</v>
      </c>
      <c r="L2858" s="11" t="str">
        <f t="shared" si="46"/>
        <v>Ver Imagen</v>
      </c>
      <c r="M2858" t="s">
        <v>15</v>
      </c>
    </row>
    <row r="2859" spans="1:13" x14ac:dyDescent="0.25">
      <c r="A2859">
        <v>2858</v>
      </c>
      <c r="B2859" t="s">
        <v>5729</v>
      </c>
      <c r="C2859" s="1">
        <v>37.258070909099999</v>
      </c>
      <c r="D2859" s="1">
        <v>-7.0129360719199996</v>
      </c>
      <c r="E2859" s="3">
        <v>3</v>
      </c>
      <c r="F2859" s="2">
        <v>2</v>
      </c>
      <c r="G2859" s="4">
        <v>3</v>
      </c>
      <c r="H2859" s="13"/>
      <c r="I2859" s="15"/>
      <c r="J2859" s="19">
        <v>3</v>
      </c>
      <c r="K2859" s="2" t="s">
        <v>5730</v>
      </c>
      <c r="L2859" s="11" t="str">
        <f t="shared" si="46"/>
        <v>Ver Imagen</v>
      </c>
      <c r="M2859" t="s">
        <v>15</v>
      </c>
    </row>
    <row r="2860" spans="1:13" x14ac:dyDescent="0.25">
      <c r="A2860">
        <v>2859</v>
      </c>
      <c r="B2860" t="s">
        <v>5731</v>
      </c>
      <c r="C2860" s="1">
        <v>37.2015302816</v>
      </c>
      <c r="D2860" s="1">
        <v>-6.9928766203599997</v>
      </c>
      <c r="E2860" s="3">
        <v>3</v>
      </c>
      <c r="F2860" s="2">
        <v>2</v>
      </c>
      <c r="G2860" s="4">
        <v>3</v>
      </c>
      <c r="H2860" s="13"/>
      <c r="I2860" s="15"/>
      <c r="J2860" s="19">
        <v>3</v>
      </c>
      <c r="K2860" s="2" t="s">
        <v>5732</v>
      </c>
      <c r="L2860" s="11" t="str">
        <f t="shared" si="46"/>
        <v>Ver Imagen</v>
      </c>
      <c r="M2860" t="s">
        <v>15</v>
      </c>
    </row>
    <row r="2861" spans="1:13" x14ac:dyDescent="0.25">
      <c r="A2861">
        <v>2860</v>
      </c>
      <c r="B2861" t="s">
        <v>5733</v>
      </c>
      <c r="C2861" s="1">
        <v>37.2024821917</v>
      </c>
      <c r="D2861" s="1">
        <v>-6.9986748037400002</v>
      </c>
      <c r="E2861" s="3">
        <v>3</v>
      </c>
      <c r="F2861" s="2">
        <v>2</v>
      </c>
      <c r="G2861" s="4">
        <v>3</v>
      </c>
      <c r="H2861" s="13"/>
      <c r="I2861" s="15"/>
      <c r="J2861" s="19">
        <v>3</v>
      </c>
      <c r="K2861" s="2" t="s">
        <v>5734</v>
      </c>
      <c r="L2861" s="11" t="str">
        <f t="shared" si="46"/>
        <v>Ver Imagen</v>
      </c>
      <c r="M2861" t="s">
        <v>15</v>
      </c>
    </row>
    <row r="2862" spans="1:13" x14ac:dyDescent="0.25">
      <c r="A2862">
        <v>2861</v>
      </c>
      <c r="B2862" t="s">
        <v>5735</v>
      </c>
      <c r="C2862" s="1">
        <v>37.202708907500003</v>
      </c>
      <c r="D2862" s="1">
        <v>-7.0003853579699999</v>
      </c>
      <c r="E2862" s="3">
        <v>3</v>
      </c>
      <c r="F2862" s="2">
        <v>2</v>
      </c>
      <c r="G2862" s="4">
        <v>3</v>
      </c>
      <c r="H2862" s="13"/>
      <c r="I2862" s="15"/>
      <c r="J2862" s="19">
        <v>3</v>
      </c>
      <c r="K2862" s="2" t="s">
        <v>5736</v>
      </c>
      <c r="L2862" s="11" t="str">
        <f t="shared" si="46"/>
        <v>Ver Imagen</v>
      </c>
      <c r="M2862" t="s">
        <v>15</v>
      </c>
    </row>
    <row r="2863" spans="1:13" x14ac:dyDescent="0.25">
      <c r="A2863">
        <v>2862</v>
      </c>
      <c r="B2863" t="s">
        <v>5737</v>
      </c>
      <c r="C2863" s="1">
        <v>37.202943020299998</v>
      </c>
      <c r="D2863" s="1">
        <v>-7.0024085283700002</v>
      </c>
      <c r="E2863" s="3">
        <v>3</v>
      </c>
      <c r="F2863" s="2">
        <v>2</v>
      </c>
      <c r="G2863" s="4">
        <v>3</v>
      </c>
      <c r="H2863" s="13"/>
      <c r="I2863" s="15"/>
      <c r="J2863" s="19">
        <v>3</v>
      </c>
      <c r="K2863" s="2" t="s">
        <v>5738</v>
      </c>
      <c r="L2863" s="11" t="str">
        <f t="shared" si="46"/>
        <v>Ver Imagen</v>
      </c>
      <c r="M2863" t="s">
        <v>15</v>
      </c>
    </row>
    <row r="2864" spans="1:13" x14ac:dyDescent="0.25">
      <c r="A2864">
        <v>2863</v>
      </c>
      <c r="B2864" t="s">
        <v>5739</v>
      </c>
      <c r="C2864" s="1">
        <v>37.2029952352</v>
      </c>
      <c r="D2864" s="1">
        <v>-7.0029104334200003</v>
      </c>
      <c r="E2864" s="3">
        <v>3</v>
      </c>
      <c r="F2864" s="2">
        <v>2</v>
      </c>
      <c r="G2864" s="4">
        <v>3</v>
      </c>
      <c r="H2864" s="13"/>
      <c r="I2864" s="15"/>
      <c r="J2864" s="19">
        <v>3</v>
      </c>
      <c r="K2864" s="2" t="s">
        <v>5740</v>
      </c>
      <c r="L2864" s="11" t="str">
        <f t="shared" si="46"/>
        <v>Ver Imagen</v>
      </c>
      <c r="M2864" t="s">
        <v>15</v>
      </c>
    </row>
    <row r="2865" spans="1:13" x14ac:dyDescent="0.25">
      <c r="A2865">
        <v>2864</v>
      </c>
      <c r="B2865" t="s">
        <v>5741</v>
      </c>
      <c r="C2865" s="1">
        <v>37.2548310082</v>
      </c>
      <c r="D2865" s="1">
        <v>-7.0150021249499996</v>
      </c>
      <c r="E2865" s="3">
        <v>3</v>
      </c>
      <c r="F2865" s="2">
        <v>4</v>
      </c>
      <c r="G2865" s="4">
        <v>3</v>
      </c>
      <c r="H2865" s="13"/>
      <c r="I2865" s="15"/>
      <c r="J2865" s="19">
        <v>3</v>
      </c>
      <c r="K2865" s="2" t="s">
        <v>5742</v>
      </c>
      <c r="L2865" s="11" t="str">
        <f t="shared" si="46"/>
        <v>Ver Imagen</v>
      </c>
      <c r="M2865" t="s">
        <v>15</v>
      </c>
    </row>
    <row r="2866" spans="1:13" x14ac:dyDescent="0.25">
      <c r="A2866">
        <v>2865</v>
      </c>
      <c r="B2866" t="s">
        <v>5743</v>
      </c>
      <c r="C2866" s="1">
        <v>37.251588218599998</v>
      </c>
      <c r="D2866" s="1">
        <v>-7.0170801896099997</v>
      </c>
      <c r="E2866" s="3">
        <v>3</v>
      </c>
      <c r="F2866" s="2">
        <v>3</v>
      </c>
      <c r="G2866" s="4">
        <v>4</v>
      </c>
      <c r="H2866" s="13"/>
      <c r="I2866" s="15"/>
      <c r="J2866" s="19">
        <v>3</v>
      </c>
      <c r="K2866" s="2" t="s">
        <v>5744</v>
      </c>
      <c r="L2866" s="11" t="str">
        <f t="shared" si="46"/>
        <v>Ver Imagen</v>
      </c>
      <c r="M2866" t="s">
        <v>15</v>
      </c>
    </row>
    <row r="2867" spans="1:13" x14ac:dyDescent="0.25">
      <c r="A2867">
        <v>2866</v>
      </c>
      <c r="B2867" t="s">
        <v>5745</v>
      </c>
      <c r="C2867" s="1">
        <v>37.2510372144</v>
      </c>
      <c r="D2867" s="1">
        <v>-7.0174289313199996</v>
      </c>
      <c r="E2867" s="3">
        <v>3</v>
      </c>
      <c r="F2867" s="2">
        <v>4</v>
      </c>
      <c r="G2867" s="4">
        <v>3</v>
      </c>
      <c r="H2867" s="13"/>
      <c r="I2867" s="15"/>
      <c r="J2867" s="19">
        <v>3</v>
      </c>
      <c r="K2867" s="2" t="s">
        <v>5746</v>
      </c>
      <c r="L2867" s="11" t="str">
        <f t="shared" si="46"/>
        <v>Ver Imagen</v>
      </c>
      <c r="M2867" t="s">
        <v>15</v>
      </c>
    </row>
    <row r="2868" spans="1:13" x14ac:dyDescent="0.25">
      <c r="A2868">
        <v>2867</v>
      </c>
      <c r="B2868" t="s">
        <v>5747</v>
      </c>
      <c r="C2868" s="1">
        <v>37.250866284799997</v>
      </c>
      <c r="D2868" s="1">
        <v>-7.0175347979499998</v>
      </c>
      <c r="E2868" s="3">
        <v>3</v>
      </c>
      <c r="F2868" s="2">
        <v>4</v>
      </c>
      <c r="G2868" s="4">
        <v>3</v>
      </c>
      <c r="H2868" s="13"/>
      <c r="I2868" s="15"/>
      <c r="J2868" s="19">
        <v>3</v>
      </c>
      <c r="K2868" s="2" t="s">
        <v>5748</v>
      </c>
      <c r="L2868" s="11" t="str">
        <f t="shared" si="46"/>
        <v>Ver Imagen</v>
      </c>
      <c r="M2868" t="s">
        <v>15</v>
      </c>
    </row>
    <row r="2869" spans="1:13" x14ac:dyDescent="0.25">
      <c r="A2869">
        <v>2868</v>
      </c>
      <c r="B2869" t="s">
        <v>5749</v>
      </c>
      <c r="C2869" s="1">
        <v>37.250290999500002</v>
      </c>
      <c r="D2869" s="1">
        <v>-7.0178755766099998</v>
      </c>
      <c r="E2869" s="3">
        <v>3</v>
      </c>
      <c r="F2869" s="2">
        <v>2</v>
      </c>
      <c r="G2869" s="4">
        <v>3</v>
      </c>
      <c r="H2869" s="13"/>
      <c r="I2869" s="15"/>
      <c r="J2869" s="19">
        <v>3</v>
      </c>
      <c r="K2869" s="2" t="s">
        <v>5750</v>
      </c>
      <c r="L2869" s="11" t="str">
        <f t="shared" si="46"/>
        <v>Ver Imagen</v>
      </c>
      <c r="M2869" t="s">
        <v>15</v>
      </c>
    </row>
    <row r="2870" spans="1:13" x14ac:dyDescent="0.25">
      <c r="A2870">
        <v>2869</v>
      </c>
      <c r="B2870" t="s">
        <v>5751</v>
      </c>
      <c r="C2870" s="1">
        <v>37.250105568999999</v>
      </c>
      <c r="D2870" s="1">
        <v>-7.0179697609999998</v>
      </c>
      <c r="E2870" s="3">
        <v>3</v>
      </c>
      <c r="F2870" s="2">
        <v>2</v>
      </c>
      <c r="G2870" s="4">
        <v>3</v>
      </c>
      <c r="H2870" s="13"/>
      <c r="I2870" s="15"/>
      <c r="J2870" s="19">
        <v>3</v>
      </c>
      <c r="K2870" s="2" t="s">
        <v>5752</v>
      </c>
      <c r="L2870" s="11" t="str">
        <f t="shared" si="46"/>
        <v>Ver Imagen</v>
      </c>
      <c r="M2870" t="s">
        <v>15</v>
      </c>
    </row>
    <row r="2871" spans="1:13" x14ac:dyDescent="0.25">
      <c r="A2871">
        <v>2870</v>
      </c>
      <c r="B2871" t="s">
        <v>5753</v>
      </c>
      <c r="C2871" s="1">
        <v>37.246324725599997</v>
      </c>
      <c r="D2871" s="1">
        <v>-7.0184401426100003</v>
      </c>
      <c r="E2871" s="3">
        <v>3</v>
      </c>
      <c r="F2871" s="2">
        <v>4</v>
      </c>
      <c r="G2871" s="4">
        <v>3</v>
      </c>
      <c r="H2871" s="13"/>
      <c r="I2871" s="15"/>
      <c r="J2871" s="19">
        <v>3</v>
      </c>
      <c r="K2871" s="2" t="s">
        <v>5754</v>
      </c>
      <c r="L2871" s="11" t="str">
        <f t="shared" si="46"/>
        <v>Ver Imagen</v>
      </c>
      <c r="M2871" t="s">
        <v>15</v>
      </c>
    </row>
    <row r="2872" spans="1:13" x14ac:dyDescent="0.25">
      <c r="A2872">
        <v>2871</v>
      </c>
      <c r="B2872" t="s">
        <v>5755</v>
      </c>
      <c r="C2872" s="1">
        <v>37.244061971699999</v>
      </c>
      <c r="D2872" s="1">
        <v>-7.0185229368800002</v>
      </c>
      <c r="E2872" s="3">
        <v>3</v>
      </c>
      <c r="F2872" s="2">
        <v>4</v>
      </c>
      <c r="G2872" s="4">
        <v>3</v>
      </c>
      <c r="H2872" s="13"/>
      <c r="I2872" s="15"/>
      <c r="J2872" s="19">
        <v>3</v>
      </c>
      <c r="K2872" s="2" t="s">
        <v>5756</v>
      </c>
      <c r="L2872" s="11" t="str">
        <f t="shared" si="46"/>
        <v>Ver Imagen</v>
      </c>
      <c r="M2872" t="s">
        <v>15</v>
      </c>
    </row>
    <row r="2873" spans="1:13" x14ac:dyDescent="0.25">
      <c r="A2873">
        <v>2872</v>
      </c>
      <c r="B2873" t="s">
        <v>5757</v>
      </c>
      <c r="C2873" s="1">
        <v>37.242448543400002</v>
      </c>
      <c r="D2873" s="1">
        <v>-7.0185817286500001</v>
      </c>
      <c r="E2873" s="3">
        <v>3</v>
      </c>
      <c r="F2873" s="2">
        <v>4</v>
      </c>
      <c r="G2873" s="4">
        <v>3</v>
      </c>
      <c r="H2873" s="13"/>
      <c r="I2873" s="15"/>
      <c r="J2873" s="19">
        <v>3</v>
      </c>
      <c r="K2873" s="2" t="s">
        <v>5758</v>
      </c>
      <c r="L2873" s="11" t="str">
        <f t="shared" si="46"/>
        <v>Ver Imagen</v>
      </c>
      <c r="M2873" t="s">
        <v>15</v>
      </c>
    </row>
    <row r="2874" spans="1:13" x14ac:dyDescent="0.25">
      <c r="A2874">
        <v>2873</v>
      </c>
      <c r="B2874" t="s">
        <v>5759</v>
      </c>
      <c r="C2874" s="1">
        <v>37.205299790200002</v>
      </c>
      <c r="D2874" s="1">
        <v>-7.0170003252399997</v>
      </c>
      <c r="E2874" s="3">
        <v>3</v>
      </c>
      <c r="F2874" s="2">
        <v>2</v>
      </c>
      <c r="G2874" s="4">
        <v>3</v>
      </c>
      <c r="H2874" s="13"/>
      <c r="I2874" s="15"/>
      <c r="J2874" s="19">
        <v>3</v>
      </c>
      <c r="K2874" s="2" t="s">
        <v>5760</v>
      </c>
      <c r="L2874" s="11" t="str">
        <f t="shared" si="46"/>
        <v>Ver Imagen</v>
      </c>
      <c r="M2874" t="s">
        <v>15</v>
      </c>
    </row>
    <row r="2875" spans="1:13" x14ac:dyDescent="0.25">
      <c r="A2875">
        <v>2874</v>
      </c>
      <c r="B2875" t="s">
        <v>5761</v>
      </c>
      <c r="C2875" s="1">
        <v>37.205845673299997</v>
      </c>
      <c r="D2875" s="1">
        <v>-7.01885605932</v>
      </c>
      <c r="E2875" s="3">
        <v>3</v>
      </c>
      <c r="F2875" s="2">
        <v>2</v>
      </c>
      <c r="G2875" s="4">
        <v>3</v>
      </c>
      <c r="H2875" s="13"/>
      <c r="I2875" s="15"/>
      <c r="J2875" s="19">
        <v>3</v>
      </c>
      <c r="K2875" s="2" t="s">
        <v>5762</v>
      </c>
      <c r="L2875" s="11" t="str">
        <f t="shared" si="46"/>
        <v>Ver Imagen</v>
      </c>
      <c r="M2875" t="s">
        <v>15</v>
      </c>
    </row>
    <row r="2876" spans="1:13" x14ac:dyDescent="0.25">
      <c r="A2876">
        <v>2875</v>
      </c>
      <c r="B2876" t="s">
        <v>5763</v>
      </c>
      <c r="C2876" s="1">
        <v>37.2397782428</v>
      </c>
      <c r="D2876" s="1">
        <v>-7.0186855106500001</v>
      </c>
      <c r="E2876" s="3">
        <v>3</v>
      </c>
      <c r="F2876" s="2">
        <v>2</v>
      </c>
      <c r="G2876" s="4">
        <v>3</v>
      </c>
      <c r="H2876" s="13"/>
      <c r="I2876" s="15"/>
      <c r="J2876" s="19">
        <v>3</v>
      </c>
      <c r="K2876" s="2" t="s">
        <v>5764</v>
      </c>
      <c r="L2876" s="11" t="str">
        <f t="shared" si="46"/>
        <v>Ver Imagen</v>
      </c>
      <c r="M2876" t="s">
        <v>15</v>
      </c>
    </row>
    <row r="2877" spans="1:13" x14ac:dyDescent="0.25">
      <c r="A2877">
        <v>2876</v>
      </c>
      <c r="B2877" t="s">
        <v>5765</v>
      </c>
      <c r="C2877" s="1">
        <v>37.206236949500003</v>
      </c>
      <c r="D2877" s="1">
        <v>-7.0198018624199996</v>
      </c>
      <c r="E2877" s="3">
        <v>3</v>
      </c>
      <c r="F2877" s="2">
        <v>2</v>
      </c>
      <c r="G2877" s="4">
        <v>3</v>
      </c>
      <c r="H2877" s="13"/>
      <c r="I2877" s="15"/>
      <c r="J2877" s="19">
        <v>3</v>
      </c>
      <c r="K2877" s="2" t="s">
        <v>5766</v>
      </c>
      <c r="L2877" s="11" t="str">
        <f t="shared" si="46"/>
        <v>Ver Imagen</v>
      </c>
      <c r="M2877" t="s">
        <v>15</v>
      </c>
    </row>
    <row r="2878" spans="1:13" x14ac:dyDescent="0.25">
      <c r="A2878">
        <v>2877</v>
      </c>
      <c r="B2878" t="s">
        <v>5767</v>
      </c>
      <c r="C2878" s="1">
        <v>37.206459425699997</v>
      </c>
      <c r="D2878" s="1">
        <v>-7.0202497103499999</v>
      </c>
      <c r="E2878" s="3">
        <v>3</v>
      </c>
      <c r="F2878" s="2">
        <v>2</v>
      </c>
      <c r="G2878" s="4">
        <v>3</v>
      </c>
      <c r="H2878" s="13"/>
      <c r="I2878" s="15"/>
      <c r="J2878" s="19">
        <v>3</v>
      </c>
      <c r="K2878" s="2" t="s">
        <v>5768</v>
      </c>
      <c r="L2878" s="11" t="str">
        <f t="shared" si="46"/>
        <v>Ver Imagen</v>
      </c>
      <c r="M2878" t="s">
        <v>15</v>
      </c>
    </row>
    <row r="2879" spans="1:13" x14ac:dyDescent="0.25">
      <c r="A2879">
        <v>2878</v>
      </c>
      <c r="B2879" t="s">
        <v>5769</v>
      </c>
      <c r="C2879" s="1">
        <v>37.206674054899999</v>
      </c>
      <c r="D2879" s="1">
        <v>-7.0206331214800004</v>
      </c>
      <c r="E2879" s="3">
        <v>3</v>
      </c>
      <c r="F2879" s="2">
        <v>2</v>
      </c>
      <c r="G2879" s="4">
        <v>3</v>
      </c>
      <c r="H2879" s="13"/>
      <c r="I2879" s="15"/>
      <c r="J2879" s="19">
        <v>3</v>
      </c>
      <c r="K2879" s="2" t="s">
        <v>5770</v>
      </c>
      <c r="L2879" s="11" t="str">
        <f t="shared" si="46"/>
        <v>Ver Imagen</v>
      </c>
      <c r="M2879" t="s">
        <v>15</v>
      </c>
    </row>
    <row r="2880" spans="1:13" x14ac:dyDescent="0.25">
      <c r="A2880">
        <v>2879</v>
      </c>
      <c r="B2880" t="s">
        <v>5771</v>
      </c>
      <c r="C2880" s="1">
        <v>37.237180452499999</v>
      </c>
      <c r="D2880" s="1">
        <v>-7.0187395444999998</v>
      </c>
      <c r="E2880" s="3">
        <v>3</v>
      </c>
      <c r="F2880" s="2">
        <v>2</v>
      </c>
      <c r="G2880" s="4">
        <v>3</v>
      </c>
      <c r="H2880" s="13"/>
      <c r="I2880" s="15"/>
      <c r="J2880" s="19">
        <v>3</v>
      </c>
      <c r="K2880" s="2" t="s">
        <v>5772</v>
      </c>
      <c r="L2880" s="11" t="str">
        <f t="shared" si="46"/>
        <v>Ver Imagen</v>
      </c>
      <c r="M2880" t="s">
        <v>15</v>
      </c>
    </row>
    <row r="2881" spans="1:13" x14ac:dyDescent="0.25">
      <c r="A2881">
        <v>2880</v>
      </c>
      <c r="B2881" t="s">
        <v>5773</v>
      </c>
      <c r="C2881" s="1">
        <v>37.207068436699998</v>
      </c>
      <c r="D2881" s="1">
        <v>-7.0212217284899996</v>
      </c>
      <c r="E2881" s="3">
        <v>3</v>
      </c>
      <c r="F2881" s="2">
        <v>2</v>
      </c>
      <c r="G2881" s="4">
        <v>3</v>
      </c>
      <c r="H2881" s="13"/>
      <c r="I2881" s="15"/>
      <c r="J2881" s="19">
        <v>3</v>
      </c>
      <c r="K2881" s="2" t="s">
        <v>5774</v>
      </c>
      <c r="L2881" s="11" t="str">
        <f t="shared" si="46"/>
        <v>Ver Imagen</v>
      </c>
      <c r="M2881" t="s">
        <v>15</v>
      </c>
    </row>
    <row r="2882" spans="1:13" x14ac:dyDescent="0.25">
      <c r="A2882">
        <v>2881</v>
      </c>
      <c r="B2882" t="s">
        <v>5775</v>
      </c>
      <c r="C2882" s="1">
        <v>37.2075087009</v>
      </c>
      <c r="D2882" s="1">
        <v>-7.0217587009900004</v>
      </c>
      <c r="E2882" s="3">
        <v>3</v>
      </c>
      <c r="F2882" s="2">
        <v>2</v>
      </c>
      <c r="G2882" s="4">
        <v>3</v>
      </c>
      <c r="H2882" s="13"/>
      <c r="I2882" s="15"/>
      <c r="J2882" s="19">
        <v>3</v>
      </c>
      <c r="K2882" s="2" t="s">
        <v>5776</v>
      </c>
      <c r="L2882" s="11" t="str">
        <f t="shared" si="46"/>
        <v>Ver Imagen</v>
      </c>
      <c r="M2882" t="s">
        <v>15</v>
      </c>
    </row>
    <row r="2883" spans="1:13" x14ac:dyDescent="0.25">
      <c r="A2883">
        <v>2882</v>
      </c>
      <c r="B2883" t="s">
        <v>5777</v>
      </c>
      <c r="C2883" s="1">
        <v>37.234341001600001</v>
      </c>
      <c r="D2883" s="1">
        <v>-7.0181751767399998</v>
      </c>
      <c r="E2883" s="3">
        <v>3</v>
      </c>
      <c r="F2883" s="2">
        <v>2</v>
      </c>
      <c r="G2883" s="4">
        <v>3</v>
      </c>
      <c r="H2883" s="13"/>
      <c r="I2883" s="15"/>
      <c r="J2883" s="19">
        <v>3</v>
      </c>
      <c r="K2883" s="2" t="s">
        <v>5778</v>
      </c>
      <c r="L2883" s="11" t="str">
        <f t="shared" si="46"/>
        <v>Ver Imagen</v>
      </c>
      <c r="M2883" t="s">
        <v>15</v>
      </c>
    </row>
    <row r="2884" spans="1:13" x14ac:dyDescent="0.25">
      <c r="A2884">
        <v>2883</v>
      </c>
      <c r="B2884" t="s">
        <v>5779</v>
      </c>
      <c r="C2884" s="1">
        <v>37.2076581261</v>
      </c>
      <c r="D2884" s="1">
        <v>-7.0219216384800003</v>
      </c>
      <c r="E2884" s="3">
        <v>3</v>
      </c>
      <c r="F2884" s="2">
        <v>2</v>
      </c>
      <c r="G2884" s="4">
        <v>3</v>
      </c>
      <c r="H2884" s="13"/>
      <c r="I2884" s="15"/>
      <c r="J2884" s="19">
        <v>3</v>
      </c>
      <c r="K2884" s="2" t="s">
        <v>5780</v>
      </c>
      <c r="L2884" s="11" t="str">
        <f t="shared" si="46"/>
        <v>Ver Imagen</v>
      </c>
      <c r="M2884" t="s">
        <v>15</v>
      </c>
    </row>
    <row r="2885" spans="1:13" x14ac:dyDescent="0.25">
      <c r="A2885">
        <v>2884</v>
      </c>
      <c r="B2885" t="s">
        <v>5781</v>
      </c>
      <c r="C2885" s="1">
        <v>37.207818056199997</v>
      </c>
      <c r="D2885" s="1">
        <v>-7.0220860638999998</v>
      </c>
      <c r="E2885" s="3">
        <v>3</v>
      </c>
      <c r="F2885" s="2">
        <v>2</v>
      </c>
      <c r="G2885" s="4">
        <v>3</v>
      </c>
      <c r="H2885" s="13"/>
      <c r="I2885" s="15"/>
      <c r="J2885" s="19">
        <v>3</v>
      </c>
      <c r="K2885" s="2" t="s">
        <v>5782</v>
      </c>
      <c r="L2885" s="11" t="str">
        <f t="shared" si="46"/>
        <v>Ver Imagen</v>
      </c>
      <c r="M2885" t="s">
        <v>15</v>
      </c>
    </row>
    <row r="2886" spans="1:13" x14ac:dyDescent="0.25">
      <c r="A2886">
        <v>2885</v>
      </c>
      <c r="B2886" t="s">
        <v>5783</v>
      </c>
      <c r="C2886" s="1">
        <v>37.234148675699998</v>
      </c>
      <c r="D2886" s="1">
        <v>-7.0181673957999999</v>
      </c>
      <c r="E2886" s="3">
        <v>3</v>
      </c>
      <c r="F2886" s="2">
        <v>2</v>
      </c>
      <c r="G2886" s="4">
        <v>3</v>
      </c>
      <c r="H2886" s="13"/>
      <c r="I2886" s="15"/>
      <c r="J2886" s="19">
        <v>3</v>
      </c>
      <c r="K2886" s="2" t="s">
        <v>5784</v>
      </c>
      <c r="L2886" s="11" t="str">
        <f t="shared" si="46"/>
        <v>Ver Imagen</v>
      </c>
      <c r="M2886" t="s">
        <v>15</v>
      </c>
    </row>
    <row r="2887" spans="1:13" x14ac:dyDescent="0.25">
      <c r="A2887">
        <v>2886</v>
      </c>
      <c r="B2887" t="s">
        <v>5785</v>
      </c>
      <c r="C2887" s="1">
        <v>37.2339818847</v>
      </c>
      <c r="D2887" s="1">
        <v>-7.0181703141599998</v>
      </c>
      <c r="E2887" s="3">
        <v>3</v>
      </c>
      <c r="F2887" s="2">
        <v>2</v>
      </c>
      <c r="G2887" s="4">
        <v>3</v>
      </c>
      <c r="H2887" s="13"/>
      <c r="I2887" s="15"/>
      <c r="J2887" s="19">
        <v>3</v>
      </c>
      <c r="K2887" s="2" t="s">
        <v>5786</v>
      </c>
      <c r="L2887" s="11" t="str">
        <f t="shared" si="46"/>
        <v>Ver Imagen</v>
      </c>
      <c r="M2887" t="s">
        <v>15</v>
      </c>
    </row>
    <row r="2888" spans="1:13" x14ac:dyDescent="0.25">
      <c r="A2888">
        <v>2887</v>
      </c>
      <c r="B2888" t="s">
        <v>5787</v>
      </c>
      <c r="C2888" s="1">
        <v>37.233596052700001</v>
      </c>
      <c r="D2888" s="1">
        <v>-7.01821236319</v>
      </c>
      <c r="E2888" s="3">
        <v>3</v>
      </c>
      <c r="F2888" s="2">
        <v>2</v>
      </c>
      <c r="G2888" s="4">
        <v>3</v>
      </c>
      <c r="H2888" s="13"/>
      <c r="I2888" s="15"/>
      <c r="J2888" s="19">
        <v>3</v>
      </c>
      <c r="K2888" s="2" t="s">
        <v>5788</v>
      </c>
      <c r="L2888" s="11" t="str">
        <f t="shared" si="46"/>
        <v>Ver Imagen</v>
      </c>
      <c r="M2888" t="s">
        <v>15</v>
      </c>
    </row>
    <row r="2889" spans="1:13" x14ac:dyDescent="0.25">
      <c r="A2889">
        <v>2888</v>
      </c>
      <c r="B2889" t="s">
        <v>5789</v>
      </c>
      <c r="C2889" s="1">
        <v>37.2333846756</v>
      </c>
      <c r="D2889" s="1">
        <v>-7.0182559701200002</v>
      </c>
      <c r="E2889" s="3">
        <v>3</v>
      </c>
      <c r="F2889" s="2">
        <v>2</v>
      </c>
      <c r="G2889" s="4">
        <v>3</v>
      </c>
      <c r="H2889" s="13"/>
      <c r="I2889" s="15"/>
      <c r="J2889" s="19">
        <v>3</v>
      </c>
      <c r="K2889" s="2" t="s">
        <v>5790</v>
      </c>
      <c r="L2889" s="11" t="str">
        <f t="shared" si="46"/>
        <v>Ver Imagen</v>
      </c>
      <c r="M2889" t="s">
        <v>15</v>
      </c>
    </row>
    <row r="2890" spans="1:13" x14ac:dyDescent="0.25">
      <c r="A2890">
        <v>2889</v>
      </c>
      <c r="B2890" t="s">
        <v>5791</v>
      </c>
      <c r="C2890" s="1">
        <v>37.208337096800001</v>
      </c>
      <c r="D2890" s="1">
        <v>-7.0225510706599996</v>
      </c>
      <c r="E2890" s="3">
        <v>3</v>
      </c>
      <c r="F2890" s="2">
        <v>2</v>
      </c>
      <c r="G2890" s="4">
        <v>3</v>
      </c>
      <c r="H2890" s="13"/>
      <c r="I2890" s="15"/>
      <c r="J2890" s="19">
        <v>3</v>
      </c>
      <c r="K2890" s="2" t="s">
        <v>5792</v>
      </c>
      <c r="L2890" s="11" t="str">
        <f t="shared" si="46"/>
        <v>Ver Imagen</v>
      </c>
      <c r="M2890" t="s">
        <v>15</v>
      </c>
    </row>
    <row r="2891" spans="1:13" x14ac:dyDescent="0.25">
      <c r="A2891">
        <v>2890</v>
      </c>
      <c r="B2891" t="s">
        <v>5793</v>
      </c>
      <c r="C2891" s="1">
        <v>37.232974668499999</v>
      </c>
      <c r="D2891" s="1">
        <v>-7.0183853213500003</v>
      </c>
      <c r="E2891" s="3">
        <v>3</v>
      </c>
      <c r="F2891" s="2">
        <v>2</v>
      </c>
      <c r="G2891" s="4">
        <v>3</v>
      </c>
      <c r="H2891" s="13"/>
      <c r="I2891" s="15"/>
      <c r="J2891" s="19">
        <v>3</v>
      </c>
      <c r="K2891" s="2" t="s">
        <v>5794</v>
      </c>
      <c r="L2891" s="11" t="str">
        <f t="shared" si="46"/>
        <v>Ver Imagen</v>
      </c>
      <c r="M2891" t="s">
        <v>15</v>
      </c>
    </row>
    <row r="2892" spans="1:13" x14ac:dyDescent="0.25">
      <c r="A2892">
        <v>2891</v>
      </c>
      <c r="B2892" t="s">
        <v>5795</v>
      </c>
      <c r="C2892" s="1">
        <v>37.208506923199998</v>
      </c>
      <c r="D2892" s="1">
        <v>-7.0226829518600002</v>
      </c>
      <c r="E2892" s="3">
        <v>3</v>
      </c>
      <c r="F2892" s="2">
        <v>2</v>
      </c>
      <c r="G2892" s="4">
        <v>3</v>
      </c>
      <c r="H2892" s="13"/>
      <c r="I2892" s="15"/>
      <c r="J2892" s="19">
        <v>3</v>
      </c>
      <c r="K2892" s="2" t="s">
        <v>5796</v>
      </c>
      <c r="L2892" s="11" t="str">
        <f t="shared" si="46"/>
        <v>Ver Imagen</v>
      </c>
      <c r="M2892" t="s">
        <v>15</v>
      </c>
    </row>
    <row r="2893" spans="1:13" x14ac:dyDescent="0.25">
      <c r="A2893">
        <v>2892</v>
      </c>
      <c r="B2893" t="s">
        <v>5797</v>
      </c>
      <c r="C2893" s="1">
        <v>37.209020329799998</v>
      </c>
      <c r="D2893" s="1">
        <v>-7.0230304808600001</v>
      </c>
      <c r="E2893" s="3">
        <v>3</v>
      </c>
      <c r="F2893" s="2">
        <v>2</v>
      </c>
      <c r="G2893" s="4">
        <v>3</v>
      </c>
      <c r="H2893" s="13"/>
      <c r="I2893" s="15"/>
      <c r="J2893" s="19">
        <v>3</v>
      </c>
      <c r="K2893" s="2" t="s">
        <v>5798</v>
      </c>
      <c r="L2893" s="11" t="str">
        <f t="shared" si="46"/>
        <v>Ver Imagen</v>
      </c>
      <c r="M2893" t="s">
        <v>15</v>
      </c>
    </row>
    <row r="2894" spans="1:13" x14ac:dyDescent="0.25">
      <c r="A2894">
        <v>2893</v>
      </c>
      <c r="B2894" t="s">
        <v>5799</v>
      </c>
      <c r="C2894" s="1">
        <v>37.209368559600001</v>
      </c>
      <c r="D2894" s="1">
        <v>-7.0232268542799998</v>
      </c>
      <c r="E2894" s="3">
        <v>3</v>
      </c>
      <c r="F2894" s="2">
        <v>4</v>
      </c>
      <c r="G2894" s="4">
        <v>3</v>
      </c>
      <c r="H2894" s="13"/>
      <c r="I2894" s="15"/>
      <c r="J2894" s="19">
        <v>3</v>
      </c>
      <c r="K2894" s="2" t="s">
        <v>5800</v>
      </c>
      <c r="L2894" s="11" t="str">
        <f t="shared" si="46"/>
        <v>Ver Imagen</v>
      </c>
      <c r="M2894" t="s">
        <v>15</v>
      </c>
    </row>
    <row r="2895" spans="1:13" x14ac:dyDescent="0.25">
      <c r="A2895">
        <v>2894</v>
      </c>
      <c r="B2895" t="s">
        <v>5801</v>
      </c>
      <c r="C2895" s="1">
        <v>37.209761997100003</v>
      </c>
      <c r="D2895" s="1">
        <v>-7.02341573098</v>
      </c>
      <c r="E2895" s="3">
        <v>3</v>
      </c>
      <c r="F2895" s="2">
        <v>2</v>
      </c>
      <c r="G2895" s="4">
        <v>3</v>
      </c>
      <c r="H2895" s="13"/>
      <c r="I2895" s="15"/>
      <c r="J2895" s="19">
        <v>3</v>
      </c>
      <c r="K2895" s="2" t="s">
        <v>5802</v>
      </c>
      <c r="L2895" s="11" t="str">
        <f t="shared" si="46"/>
        <v>Ver Imagen</v>
      </c>
      <c r="M2895" t="s">
        <v>15</v>
      </c>
    </row>
    <row r="2896" spans="1:13" x14ac:dyDescent="0.25">
      <c r="A2896">
        <v>2895</v>
      </c>
      <c r="B2896" t="s">
        <v>5803</v>
      </c>
      <c r="C2896" s="1">
        <v>37.209973606399998</v>
      </c>
      <c r="D2896" s="1">
        <v>-7.0235018669100002</v>
      </c>
      <c r="E2896" s="3">
        <v>3</v>
      </c>
      <c r="F2896" s="2">
        <v>2</v>
      </c>
      <c r="G2896" s="4">
        <v>3</v>
      </c>
      <c r="H2896" s="13"/>
      <c r="I2896" s="15"/>
      <c r="J2896" s="19">
        <v>3</v>
      </c>
      <c r="K2896" s="2" t="s">
        <v>5804</v>
      </c>
      <c r="L2896" s="11" t="str">
        <f t="shared" si="46"/>
        <v>Ver Imagen</v>
      </c>
      <c r="M2896" t="s">
        <v>15</v>
      </c>
    </row>
    <row r="2897" spans="1:13" x14ac:dyDescent="0.25">
      <c r="A2897">
        <v>2896</v>
      </c>
      <c r="B2897" t="s">
        <v>5805</v>
      </c>
      <c r="C2897" s="1">
        <v>37.210150144099998</v>
      </c>
      <c r="D2897" s="1">
        <v>-7.02356558433</v>
      </c>
      <c r="E2897" s="3">
        <v>3</v>
      </c>
      <c r="F2897" s="2">
        <v>2</v>
      </c>
      <c r="G2897" s="4">
        <v>3</v>
      </c>
      <c r="H2897" s="13"/>
      <c r="I2897" s="15"/>
      <c r="J2897" s="19">
        <v>3</v>
      </c>
      <c r="K2897" s="2" t="s">
        <v>5806</v>
      </c>
      <c r="L2897" s="11" t="str">
        <f t="shared" si="46"/>
        <v>Ver Imagen</v>
      </c>
      <c r="M2897" t="s">
        <v>15</v>
      </c>
    </row>
    <row r="2898" spans="1:13" x14ac:dyDescent="0.25">
      <c r="A2898">
        <v>2897</v>
      </c>
      <c r="B2898" t="s">
        <v>5807</v>
      </c>
      <c r="C2898" s="1">
        <v>37.230474979100002</v>
      </c>
      <c r="D2898" s="1">
        <v>-7.0201035453699996</v>
      </c>
      <c r="E2898" s="3">
        <v>3</v>
      </c>
      <c r="F2898" s="2">
        <v>2</v>
      </c>
      <c r="G2898" s="4">
        <v>3</v>
      </c>
      <c r="H2898" s="13"/>
      <c r="I2898" s="15"/>
      <c r="J2898" s="19">
        <v>3</v>
      </c>
      <c r="K2898" s="2" t="s">
        <v>5808</v>
      </c>
      <c r="L2898" s="11" t="str">
        <f t="shared" si="46"/>
        <v>Ver Imagen</v>
      </c>
      <c r="M2898" t="s">
        <v>15</v>
      </c>
    </row>
    <row r="2899" spans="1:13" x14ac:dyDescent="0.25">
      <c r="A2899">
        <v>2898</v>
      </c>
      <c r="B2899" t="s">
        <v>5809</v>
      </c>
      <c r="C2899" s="1">
        <v>37.230165210300001</v>
      </c>
      <c r="D2899" s="1">
        <v>-7.0203406303099998</v>
      </c>
      <c r="E2899" s="3">
        <v>3</v>
      </c>
      <c r="F2899" s="2">
        <v>2</v>
      </c>
      <c r="G2899" s="4">
        <v>3</v>
      </c>
      <c r="H2899" s="13"/>
      <c r="I2899" s="15"/>
      <c r="J2899" s="19">
        <v>3</v>
      </c>
      <c r="K2899" s="2" t="s">
        <v>5810</v>
      </c>
      <c r="L2899" s="11" t="str">
        <f t="shared" si="46"/>
        <v>Ver Imagen</v>
      </c>
      <c r="M2899" t="s">
        <v>15</v>
      </c>
    </row>
    <row r="2900" spans="1:13" x14ac:dyDescent="0.25">
      <c r="A2900">
        <v>2899</v>
      </c>
      <c r="B2900" t="s">
        <v>5811</v>
      </c>
      <c r="C2900" s="1">
        <v>37.210754170599998</v>
      </c>
      <c r="D2900" s="1">
        <v>-7.0237360561199997</v>
      </c>
      <c r="E2900" s="3">
        <v>3</v>
      </c>
      <c r="F2900" s="2">
        <v>2</v>
      </c>
      <c r="G2900" s="4">
        <v>3</v>
      </c>
      <c r="H2900" s="13"/>
      <c r="I2900" s="15"/>
      <c r="J2900" s="19">
        <v>3</v>
      </c>
      <c r="K2900" s="2" t="s">
        <v>5812</v>
      </c>
      <c r="L2900" s="11" t="str">
        <f t="shared" si="46"/>
        <v>Ver Imagen</v>
      </c>
      <c r="M2900" t="s">
        <v>15</v>
      </c>
    </row>
    <row r="2901" spans="1:13" x14ac:dyDescent="0.25">
      <c r="A2901">
        <v>2900</v>
      </c>
      <c r="B2901" t="s">
        <v>5813</v>
      </c>
      <c r="C2901" s="1">
        <v>37.211560065500002</v>
      </c>
      <c r="D2901" s="1">
        <v>-7.0238501792700001</v>
      </c>
      <c r="E2901" s="3">
        <v>3</v>
      </c>
      <c r="F2901" s="2">
        <v>4</v>
      </c>
      <c r="G2901" s="4">
        <v>3</v>
      </c>
      <c r="H2901" s="13"/>
      <c r="I2901" s="15"/>
      <c r="J2901" s="19">
        <v>3</v>
      </c>
      <c r="K2901" s="2" t="s">
        <v>5814</v>
      </c>
      <c r="L2901" s="11" t="str">
        <f t="shared" si="46"/>
        <v>Ver Imagen</v>
      </c>
      <c r="M2901" t="s">
        <v>15</v>
      </c>
    </row>
    <row r="2902" spans="1:13" x14ac:dyDescent="0.25">
      <c r="A2902">
        <v>2901</v>
      </c>
      <c r="B2902" t="s">
        <v>5815</v>
      </c>
      <c r="C2902" s="1">
        <v>37.226487021300002</v>
      </c>
      <c r="D2902" s="1">
        <v>-7.02299945685</v>
      </c>
      <c r="E2902" s="3">
        <v>3</v>
      </c>
      <c r="F2902" s="2">
        <v>2</v>
      </c>
      <c r="G2902" s="4">
        <v>3</v>
      </c>
      <c r="H2902" s="13"/>
      <c r="I2902" s="15"/>
      <c r="J2902" s="19">
        <v>3</v>
      </c>
      <c r="K2902" s="2" t="s">
        <v>5816</v>
      </c>
      <c r="L2902" s="11" t="str">
        <f t="shared" si="46"/>
        <v>Ver Imagen</v>
      </c>
      <c r="M2902" t="s">
        <v>15</v>
      </c>
    </row>
    <row r="2903" spans="1:13" x14ac:dyDescent="0.25">
      <c r="A2903">
        <v>2902</v>
      </c>
      <c r="B2903" t="s">
        <v>5817</v>
      </c>
      <c r="C2903" s="1">
        <v>37.216576795100003</v>
      </c>
      <c r="D2903" s="1">
        <v>-7.0231259990100003</v>
      </c>
      <c r="E2903" s="3">
        <v>3</v>
      </c>
      <c r="F2903" s="2">
        <v>2</v>
      </c>
      <c r="G2903" s="4">
        <v>3</v>
      </c>
      <c r="H2903" s="13"/>
      <c r="I2903" s="15"/>
      <c r="J2903" s="19">
        <v>3</v>
      </c>
      <c r="K2903" s="2" t="s">
        <v>5818</v>
      </c>
      <c r="L2903" s="11" t="str">
        <f t="shared" si="46"/>
        <v>Ver Imagen</v>
      </c>
      <c r="M2903" t="s">
        <v>15</v>
      </c>
    </row>
    <row r="2904" spans="1:13" x14ac:dyDescent="0.25">
      <c r="A2904">
        <v>2903</v>
      </c>
      <c r="B2904" t="s">
        <v>5819</v>
      </c>
      <c r="C2904" s="1">
        <v>37.218635501999998</v>
      </c>
      <c r="D2904" s="1">
        <v>-7.0229887236600002</v>
      </c>
      <c r="E2904" s="3">
        <v>3</v>
      </c>
      <c r="F2904" s="2">
        <v>2</v>
      </c>
      <c r="G2904" s="4">
        <v>3</v>
      </c>
      <c r="H2904" s="13"/>
      <c r="I2904" s="15"/>
      <c r="J2904" s="19">
        <v>3</v>
      </c>
      <c r="K2904" s="2" t="s">
        <v>5820</v>
      </c>
      <c r="L2904" s="11" t="str">
        <f t="shared" si="46"/>
        <v>Ver Imagen</v>
      </c>
      <c r="M2904" t="s">
        <v>15</v>
      </c>
    </row>
    <row r="2905" spans="1:13" x14ac:dyDescent="0.25">
      <c r="A2905">
        <v>2904</v>
      </c>
      <c r="B2905" t="s">
        <v>5821</v>
      </c>
      <c r="C2905" s="1">
        <v>37.218002416300003</v>
      </c>
      <c r="D2905" s="1">
        <v>-7.0230672170200004</v>
      </c>
      <c r="E2905" s="3">
        <v>3</v>
      </c>
      <c r="F2905" s="2">
        <v>2</v>
      </c>
      <c r="G2905" s="4">
        <v>3</v>
      </c>
      <c r="H2905" s="13"/>
      <c r="I2905" s="15"/>
      <c r="J2905" s="19">
        <v>3</v>
      </c>
      <c r="K2905" s="2" t="s">
        <v>5822</v>
      </c>
      <c r="L2905" s="11" t="str">
        <f t="shared" si="46"/>
        <v>Ver Imagen</v>
      </c>
      <c r="M2905" t="s">
        <v>15</v>
      </c>
    </row>
    <row r="2906" spans="1:13" x14ac:dyDescent="0.25">
      <c r="A2906">
        <v>2905</v>
      </c>
      <c r="B2906" t="s">
        <v>5823</v>
      </c>
      <c r="C2906" s="1">
        <v>37.216629225600002</v>
      </c>
      <c r="D2906" s="1">
        <v>-7.0233053535299996</v>
      </c>
      <c r="E2906" s="3">
        <v>3</v>
      </c>
      <c r="F2906" s="2">
        <v>2</v>
      </c>
      <c r="G2906" s="4">
        <v>3</v>
      </c>
      <c r="H2906" s="13"/>
      <c r="I2906" s="15"/>
      <c r="J2906" s="19">
        <v>3</v>
      </c>
      <c r="K2906" s="2" t="s">
        <v>5824</v>
      </c>
      <c r="L2906" s="11" t="str">
        <f t="shared" si="46"/>
        <v>Ver Imagen</v>
      </c>
      <c r="M2906" t="s">
        <v>15</v>
      </c>
    </row>
    <row r="2907" spans="1:13" x14ac:dyDescent="0.25">
      <c r="A2907">
        <v>2906</v>
      </c>
      <c r="B2907" t="s">
        <v>5825</v>
      </c>
      <c r="C2907" s="1">
        <v>37.216207804600003</v>
      </c>
      <c r="D2907" s="1">
        <v>-7.0233793119700003</v>
      </c>
      <c r="E2907" s="3">
        <v>3</v>
      </c>
      <c r="F2907" s="2">
        <v>2</v>
      </c>
      <c r="G2907" s="4">
        <v>3</v>
      </c>
      <c r="H2907" s="13"/>
      <c r="I2907" s="15"/>
      <c r="J2907" s="19">
        <v>3</v>
      </c>
      <c r="K2907" s="2" t="s">
        <v>5826</v>
      </c>
      <c r="L2907" s="11" t="str">
        <f t="shared" si="46"/>
        <v>Ver Imagen</v>
      </c>
      <c r="M2907" t="s">
        <v>15</v>
      </c>
    </row>
    <row r="2908" spans="1:13" x14ac:dyDescent="0.25">
      <c r="A2908">
        <v>2907</v>
      </c>
      <c r="B2908" t="s">
        <v>5827</v>
      </c>
      <c r="C2908" s="1">
        <v>37.217733217800003</v>
      </c>
      <c r="D2908" s="1">
        <v>-7.0229236803699999</v>
      </c>
      <c r="E2908" s="3">
        <v>3</v>
      </c>
      <c r="F2908" s="2">
        <v>2</v>
      </c>
      <c r="G2908" s="4">
        <v>3</v>
      </c>
      <c r="H2908" s="13"/>
      <c r="I2908" s="15"/>
      <c r="J2908" s="19">
        <v>3</v>
      </c>
      <c r="K2908" s="2" t="s">
        <v>5828</v>
      </c>
      <c r="L2908" s="11" t="str">
        <f t="shared" si="46"/>
        <v>Ver Imagen</v>
      </c>
      <c r="M2908" t="s">
        <v>15</v>
      </c>
    </row>
    <row r="2909" spans="1:13" x14ac:dyDescent="0.25">
      <c r="A2909">
        <v>2908</v>
      </c>
      <c r="B2909" t="s">
        <v>5829</v>
      </c>
      <c r="C2909" s="1">
        <v>37.218002473799999</v>
      </c>
      <c r="D2909" s="1">
        <v>-7.0228799778399997</v>
      </c>
      <c r="E2909" s="3">
        <v>3</v>
      </c>
      <c r="F2909" s="2">
        <v>2</v>
      </c>
      <c r="G2909" s="4">
        <v>3</v>
      </c>
      <c r="H2909" s="13"/>
      <c r="I2909" s="15"/>
      <c r="J2909" s="19">
        <v>3</v>
      </c>
      <c r="K2909" s="2" t="s">
        <v>5830</v>
      </c>
      <c r="L2909" s="11" t="str">
        <f t="shared" si="46"/>
        <v>Ver Imagen</v>
      </c>
      <c r="M2909" t="s">
        <v>15</v>
      </c>
    </row>
    <row r="2910" spans="1:13" x14ac:dyDescent="0.25">
      <c r="A2910">
        <v>2909</v>
      </c>
      <c r="B2910" t="s">
        <v>5831</v>
      </c>
      <c r="C2910" s="1">
        <v>37.213199316500003</v>
      </c>
      <c r="D2910" s="1">
        <v>-7.0239102839900003</v>
      </c>
      <c r="E2910" s="3">
        <v>3</v>
      </c>
      <c r="F2910" s="2">
        <v>2</v>
      </c>
      <c r="G2910" s="4">
        <v>3</v>
      </c>
      <c r="H2910" s="13"/>
      <c r="I2910" s="15"/>
      <c r="J2910" s="19">
        <v>3</v>
      </c>
      <c r="K2910" s="2" t="s">
        <v>5832</v>
      </c>
      <c r="L2910" s="11" t="str">
        <f t="shared" si="46"/>
        <v>Ver Imagen</v>
      </c>
      <c r="M2910" t="s">
        <v>15</v>
      </c>
    </row>
    <row r="2911" spans="1:13" x14ac:dyDescent="0.25">
      <c r="A2911">
        <v>2910</v>
      </c>
      <c r="B2911" t="s">
        <v>5833</v>
      </c>
      <c r="C2911" s="1">
        <v>37.212812055199997</v>
      </c>
      <c r="D2911" s="1">
        <v>-7.0239696189699998</v>
      </c>
      <c r="E2911" s="3">
        <v>3</v>
      </c>
      <c r="F2911" s="2">
        <v>2</v>
      </c>
      <c r="G2911" s="4">
        <v>3</v>
      </c>
      <c r="H2911" s="13"/>
      <c r="I2911" s="15"/>
      <c r="J2911" s="19">
        <v>3</v>
      </c>
      <c r="K2911" s="2" t="s">
        <v>5834</v>
      </c>
      <c r="L2911" s="11" t="str">
        <f t="shared" si="46"/>
        <v>Ver Imagen</v>
      </c>
      <c r="M2911" t="s">
        <v>15</v>
      </c>
    </row>
    <row r="2912" spans="1:13" x14ac:dyDescent="0.25">
      <c r="A2912">
        <v>2911</v>
      </c>
      <c r="B2912" t="s">
        <v>5835</v>
      </c>
      <c r="C2912" s="1">
        <v>37.2121819774</v>
      </c>
      <c r="D2912" s="1">
        <v>-7.0240384970800003</v>
      </c>
      <c r="E2912" s="3">
        <v>3</v>
      </c>
      <c r="F2912" s="2">
        <v>2</v>
      </c>
      <c r="G2912" s="4">
        <v>3</v>
      </c>
      <c r="H2912" s="13"/>
      <c r="I2912" s="15"/>
      <c r="J2912" s="19">
        <v>3</v>
      </c>
      <c r="K2912" s="2" t="s">
        <v>5836</v>
      </c>
      <c r="L2912" s="11" t="str">
        <f t="shared" si="46"/>
        <v>Ver Imagen</v>
      </c>
      <c r="M2912" t="s">
        <v>15</v>
      </c>
    </row>
    <row r="2913" spans="1:13" x14ac:dyDescent="0.25">
      <c r="A2913">
        <v>2912</v>
      </c>
      <c r="B2913" t="s">
        <v>5837</v>
      </c>
      <c r="C2913" s="1">
        <v>37.211983756000002</v>
      </c>
      <c r="D2913" s="1">
        <v>-7.0240480240599998</v>
      </c>
      <c r="E2913" s="3">
        <v>3</v>
      </c>
      <c r="F2913" s="2">
        <v>2</v>
      </c>
      <c r="G2913" s="4">
        <v>3</v>
      </c>
      <c r="H2913" s="13"/>
      <c r="I2913" s="15"/>
      <c r="J2913" s="19">
        <v>3</v>
      </c>
      <c r="K2913" s="2" t="s">
        <v>5838</v>
      </c>
      <c r="L2913" s="11" t="str">
        <f t="shared" si="46"/>
        <v>Ver Imagen</v>
      </c>
      <c r="M2913" t="s">
        <v>15</v>
      </c>
    </row>
    <row r="2914" spans="1:13" x14ac:dyDescent="0.25">
      <c r="A2914">
        <v>2913</v>
      </c>
      <c r="B2914" t="s">
        <v>5839</v>
      </c>
      <c r="C2914" s="1">
        <v>37.211559921599999</v>
      </c>
      <c r="D2914" s="1">
        <v>-7.02404260454</v>
      </c>
      <c r="E2914" s="3">
        <v>3</v>
      </c>
      <c r="F2914" s="2">
        <v>2</v>
      </c>
      <c r="G2914" s="4">
        <v>3</v>
      </c>
      <c r="H2914" s="13"/>
      <c r="I2914" s="15"/>
      <c r="J2914" s="19">
        <v>3</v>
      </c>
      <c r="K2914" s="2" t="s">
        <v>5840</v>
      </c>
      <c r="L2914" s="11" t="str">
        <f t="shared" si="46"/>
        <v>Ver Imagen</v>
      </c>
      <c r="M2914" t="s">
        <v>15</v>
      </c>
    </row>
    <row r="2915" spans="1:13" x14ac:dyDescent="0.25">
      <c r="A2915">
        <v>2914</v>
      </c>
      <c r="B2915" t="s">
        <v>5841</v>
      </c>
      <c r="C2915" s="1">
        <v>37.210383307800001</v>
      </c>
      <c r="D2915" s="1">
        <v>-7.0238446035399997</v>
      </c>
      <c r="E2915" s="3">
        <v>3</v>
      </c>
      <c r="F2915" s="2">
        <v>2</v>
      </c>
      <c r="G2915" s="4">
        <v>3</v>
      </c>
      <c r="H2915" s="13"/>
      <c r="I2915" s="15"/>
      <c r="J2915" s="19">
        <v>3</v>
      </c>
      <c r="K2915" s="2" t="s">
        <v>5842</v>
      </c>
      <c r="L2915" s="11" t="str">
        <f t="shared" si="46"/>
        <v>Ver Imagen</v>
      </c>
      <c r="M2915" t="s">
        <v>15</v>
      </c>
    </row>
    <row r="2916" spans="1:13" x14ac:dyDescent="0.25">
      <c r="A2916">
        <v>2915</v>
      </c>
      <c r="B2916" t="s">
        <v>5843</v>
      </c>
      <c r="C2916" s="1">
        <v>37.205001162000002</v>
      </c>
      <c r="D2916" s="1">
        <v>-7.0163498184300002</v>
      </c>
      <c r="E2916" s="3">
        <v>3</v>
      </c>
      <c r="F2916" s="2">
        <v>4</v>
      </c>
      <c r="G2916" s="4">
        <v>3</v>
      </c>
      <c r="H2916" s="13"/>
      <c r="I2916" s="15"/>
      <c r="J2916" s="19">
        <v>3</v>
      </c>
      <c r="K2916" s="2" t="s">
        <v>5844</v>
      </c>
      <c r="L2916" s="11" t="str">
        <f t="shared" si="46"/>
        <v>Ver Imagen</v>
      </c>
      <c r="M2916" t="s">
        <v>15</v>
      </c>
    </row>
    <row r="2917" spans="1:13" x14ac:dyDescent="0.25">
      <c r="A2917">
        <v>2916</v>
      </c>
      <c r="B2917" t="s">
        <v>5845</v>
      </c>
      <c r="C2917" s="1">
        <v>37.204882421299999</v>
      </c>
      <c r="D2917" s="1">
        <v>-7.0157898492199999</v>
      </c>
      <c r="E2917" s="3">
        <v>3</v>
      </c>
      <c r="F2917" s="2">
        <v>2</v>
      </c>
      <c r="G2917" s="4">
        <v>3</v>
      </c>
      <c r="H2917" s="13"/>
      <c r="I2917" s="15"/>
      <c r="J2917" s="19">
        <v>3</v>
      </c>
      <c r="K2917" s="2" t="s">
        <v>5846</v>
      </c>
      <c r="L2917" s="11" t="str">
        <f t="shared" si="46"/>
        <v>Ver Imagen</v>
      </c>
      <c r="M2917" t="s">
        <v>15</v>
      </c>
    </row>
    <row r="2918" spans="1:13" x14ac:dyDescent="0.25">
      <c r="A2918">
        <v>2917</v>
      </c>
      <c r="B2918" t="s">
        <v>5847</v>
      </c>
      <c r="C2918" s="1">
        <v>37.204683720299997</v>
      </c>
      <c r="D2918" s="1">
        <v>-7.0148134460599998</v>
      </c>
      <c r="E2918" s="3">
        <v>3</v>
      </c>
      <c r="F2918" s="2">
        <v>2</v>
      </c>
      <c r="G2918" s="4">
        <v>3</v>
      </c>
      <c r="H2918" s="13"/>
      <c r="I2918" s="15"/>
      <c r="J2918" s="19">
        <v>3</v>
      </c>
      <c r="K2918" s="2" t="s">
        <v>5848</v>
      </c>
      <c r="L2918" s="11" t="str">
        <f t="shared" si="46"/>
        <v>Ver Imagen</v>
      </c>
      <c r="M2918" t="s">
        <v>15</v>
      </c>
    </row>
    <row r="2919" spans="1:13" x14ac:dyDescent="0.25">
      <c r="A2919">
        <v>2918</v>
      </c>
      <c r="B2919" t="s">
        <v>5849</v>
      </c>
      <c r="C2919" s="1">
        <v>37.204583348200003</v>
      </c>
      <c r="D2919" s="1">
        <v>-7.0143003134899997</v>
      </c>
      <c r="E2919" s="3">
        <v>3</v>
      </c>
      <c r="F2919" s="2">
        <v>2</v>
      </c>
      <c r="G2919" s="4">
        <v>3</v>
      </c>
      <c r="H2919" s="13"/>
      <c r="I2919" s="15"/>
      <c r="J2919" s="19">
        <v>3</v>
      </c>
      <c r="K2919" s="2" t="s">
        <v>5850</v>
      </c>
      <c r="L2919" s="11" t="str">
        <f t="shared" si="46"/>
        <v>Ver Imagen</v>
      </c>
      <c r="M2919" t="s">
        <v>15</v>
      </c>
    </row>
    <row r="2920" spans="1:13" x14ac:dyDescent="0.25">
      <c r="A2920">
        <v>2919</v>
      </c>
      <c r="B2920" t="s">
        <v>5851</v>
      </c>
      <c r="C2920" s="1">
        <v>37.204301169799997</v>
      </c>
      <c r="D2920" s="1">
        <v>-7.01280888402</v>
      </c>
      <c r="E2920" s="3">
        <v>3</v>
      </c>
      <c r="F2920" s="2">
        <v>2</v>
      </c>
      <c r="G2920" s="4">
        <v>3</v>
      </c>
      <c r="H2920" s="13"/>
      <c r="I2920" s="15"/>
      <c r="J2920" s="19">
        <v>3</v>
      </c>
      <c r="K2920" s="2" t="s">
        <v>5852</v>
      </c>
      <c r="L2920" s="11" t="str">
        <f t="shared" si="46"/>
        <v>Ver Imagen</v>
      </c>
      <c r="M2920" t="s">
        <v>15</v>
      </c>
    </row>
    <row r="2921" spans="1:13" x14ac:dyDescent="0.25">
      <c r="A2921">
        <v>2920</v>
      </c>
      <c r="B2921" t="s">
        <v>5853</v>
      </c>
      <c r="C2921" s="1">
        <v>37.204132792000003</v>
      </c>
      <c r="D2921" s="1">
        <v>-7.0118776354200003</v>
      </c>
      <c r="E2921" s="3">
        <v>3</v>
      </c>
      <c r="F2921" s="2">
        <v>2</v>
      </c>
      <c r="G2921" s="4">
        <v>3</v>
      </c>
      <c r="H2921" s="13"/>
      <c r="I2921" s="15"/>
      <c r="J2921" s="19">
        <v>3</v>
      </c>
      <c r="K2921" s="2" t="s">
        <v>5854</v>
      </c>
      <c r="L2921" s="11" t="str">
        <f t="shared" ref="L2921:L2984" si="47">HYPERLINK("3\1\" &amp; K2921, "Ver Imagen")</f>
        <v>Ver Imagen</v>
      </c>
      <c r="M2921" t="s">
        <v>15</v>
      </c>
    </row>
    <row r="2922" spans="1:13" x14ac:dyDescent="0.25">
      <c r="A2922">
        <v>2921</v>
      </c>
      <c r="B2922" t="s">
        <v>5855</v>
      </c>
      <c r="C2922" s="1">
        <v>37.204077603000002</v>
      </c>
      <c r="D2922" s="1">
        <v>-7.0115639296200003</v>
      </c>
      <c r="E2922" s="3">
        <v>3</v>
      </c>
      <c r="F2922" s="2">
        <v>2</v>
      </c>
      <c r="G2922" s="4">
        <v>3</v>
      </c>
      <c r="H2922" s="13"/>
      <c r="I2922" s="15"/>
      <c r="J2922" s="19">
        <v>3</v>
      </c>
      <c r="K2922" s="2" t="s">
        <v>5856</v>
      </c>
      <c r="L2922" s="11" t="str">
        <f t="shared" si="47"/>
        <v>Ver Imagen</v>
      </c>
      <c r="M2922" t="s">
        <v>15</v>
      </c>
    </row>
    <row r="2923" spans="1:13" x14ac:dyDescent="0.25">
      <c r="A2923">
        <v>2922</v>
      </c>
      <c r="B2923" t="s">
        <v>5857</v>
      </c>
      <c r="C2923" s="1">
        <v>37.204038603199997</v>
      </c>
      <c r="D2923" s="1">
        <v>-7.0113392813599997</v>
      </c>
      <c r="E2923" s="3">
        <v>3</v>
      </c>
      <c r="F2923" s="2">
        <v>2</v>
      </c>
      <c r="G2923" s="4">
        <v>3</v>
      </c>
      <c r="H2923" s="13"/>
      <c r="I2923" s="15"/>
      <c r="J2923" s="19">
        <v>3</v>
      </c>
      <c r="K2923" s="2" t="s">
        <v>5858</v>
      </c>
      <c r="L2923" s="11" t="str">
        <f t="shared" si="47"/>
        <v>Ver Imagen</v>
      </c>
      <c r="M2923" t="s">
        <v>15</v>
      </c>
    </row>
    <row r="2924" spans="1:13" x14ac:dyDescent="0.25">
      <c r="A2924">
        <v>2923</v>
      </c>
      <c r="B2924" t="s">
        <v>5859</v>
      </c>
      <c r="C2924" s="1">
        <v>37.203946246000001</v>
      </c>
      <c r="D2924" s="1">
        <v>-7.0107927564099999</v>
      </c>
      <c r="E2924" s="3">
        <v>3</v>
      </c>
      <c r="F2924" s="2">
        <v>2</v>
      </c>
      <c r="G2924" s="4">
        <v>3</v>
      </c>
      <c r="H2924" s="13"/>
      <c r="I2924" s="15"/>
      <c r="J2924" s="19">
        <v>3</v>
      </c>
      <c r="K2924" s="2" t="s">
        <v>5860</v>
      </c>
      <c r="L2924" s="11" t="str">
        <f t="shared" si="47"/>
        <v>Ver Imagen</v>
      </c>
      <c r="M2924" t="s">
        <v>15</v>
      </c>
    </row>
    <row r="2925" spans="1:13" x14ac:dyDescent="0.25">
      <c r="A2925">
        <v>2924</v>
      </c>
      <c r="B2925" t="s">
        <v>5861</v>
      </c>
      <c r="C2925" s="1">
        <v>37.203551142899997</v>
      </c>
      <c r="D2925" s="1">
        <v>-7.0083290005199999</v>
      </c>
      <c r="E2925" s="3">
        <v>3</v>
      </c>
      <c r="F2925" s="2">
        <v>2</v>
      </c>
      <c r="G2925" s="4">
        <v>3</v>
      </c>
      <c r="H2925" s="13"/>
      <c r="I2925" s="15"/>
      <c r="J2925" s="19">
        <v>3</v>
      </c>
      <c r="K2925" s="2" t="s">
        <v>5862</v>
      </c>
      <c r="L2925" s="11" t="str">
        <f t="shared" si="47"/>
        <v>Ver Imagen</v>
      </c>
      <c r="M2925" t="s">
        <v>15</v>
      </c>
    </row>
    <row r="2926" spans="1:13" x14ac:dyDescent="0.25">
      <c r="A2926">
        <v>2925</v>
      </c>
      <c r="B2926" t="s">
        <v>5863</v>
      </c>
      <c r="C2926" s="1">
        <v>37.2034434734</v>
      </c>
      <c r="D2926" s="1">
        <v>-7.0075970023799998</v>
      </c>
      <c r="E2926" s="3">
        <v>3</v>
      </c>
      <c r="F2926" s="2">
        <v>2</v>
      </c>
      <c r="G2926" s="4">
        <v>3</v>
      </c>
      <c r="H2926" s="13"/>
      <c r="I2926" s="15"/>
      <c r="J2926" s="19">
        <v>3</v>
      </c>
      <c r="K2926" s="2" t="s">
        <v>5864</v>
      </c>
      <c r="L2926" s="11" t="str">
        <f t="shared" si="47"/>
        <v>Ver Imagen</v>
      </c>
      <c r="M2926" t="s">
        <v>15</v>
      </c>
    </row>
    <row r="2927" spans="1:13" x14ac:dyDescent="0.25">
      <c r="A2927">
        <v>2926</v>
      </c>
      <c r="B2927" t="s">
        <v>5865</v>
      </c>
      <c r="C2927" s="1">
        <v>37.203077956400001</v>
      </c>
      <c r="D2927" s="1">
        <v>-7.0049017941500002</v>
      </c>
      <c r="E2927" s="3">
        <v>3</v>
      </c>
      <c r="F2927" s="2">
        <v>2</v>
      </c>
      <c r="G2927" s="4">
        <v>3</v>
      </c>
      <c r="H2927" s="13"/>
      <c r="I2927" s="15"/>
      <c r="J2927" s="19">
        <v>3</v>
      </c>
      <c r="K2927" s="2" t="s">
        <v>5866</v>
      </c>
      <c r="L2927" s="11" t="str">
        <f t="shared" si="47"/>
        <v>Ver Imagen</v>
      </c>
      <c r="M2927" t="s">
        <v>15</v>
      </c>
    </row>
    <row r="2928" spans="1:13" x14ac:dyDescent="0.25">
      <c r="A2928">
        <v>2927</v>
      </c>
      <c r="B2928" t="s">
        <v>5867</v>
      </c>
      <c r="C2928" s="1">
        <v>37.202874740299997</v>
      </c>
      <c r="D2928" s="1">
        <v>-7.0031298404999998</v>
      </c>
      <c r="E2928" s="3">
        <v>3</v>
      </c>
      <c r="F2928" s="2">
        <v>2</v>
      </c>
      <c r="G2928" s="4">
        <v>3</v>
      </c>
      <c r="H2928" s="13"/>
      <c r="I2928" s="15"/>
      <c r="J2928" s="19">
        <v>3</v>
      </c>
      <c r="K2928" s="2" t="s">
        <v>5868</v>
      </c>
      <c r="L2928" s="11" t="str">
        <f t="shared" si="47"/>
        <v>Ver Imagen</v>
      </c>
      <c r="M2928" t="s">
        <v>15</v>
      </c>
    </row>
    <row r="2929" spans="1:13" x14ac:dyDescent="0.25">
      <c r="A2929">
        <v>2928</v>
      </c>
      <c r="B2929" t="s">
        <v>5869</v>
      </c>
      <c r="C2929" s="1">
        <v>37.202815866800002</v>
      </c>
      <c r="D2929" s="1">
        <v>-7.0025989196199996</v>
      </c>
      <c r="E2929" s="3">
        <v>3</v>
      </c>
      <c r="F2929" s="2">
        <v>2</v>
      </c>
      <c r="G2929" s="4">
        <v>3</v>
      </c>
      <c r="H2929" s="13"/>
      <c r="I2929" s="15"/>
      <c r="J2929" s="19">
        <v>3</v>
      </c>
      <c r="K2929" s="2" t="s">
        <v>5870</v>
      </c>
      <c r="L2929" s="11" t="str">
        <f t="shared" si="47"/>
        <v>Ver Imagen</v>
      </c>
      <c r="M2929" t="s">
        <v>15</v>
      </c>
    </row>
    <row r="2930" spans="1:13" x14ac:dyDescent="0.25">
      <c r="A2930">
        <v>2929</v>
      </c>
      <c r="B2930" t="s">
        <v>5871</v>
      </c>
      <c r="C2930" s="1">
        <v>37.202701565600002</v>
      </c>
      <c r="D2930" s="1">
        <v>-7.00158992227</v>
      </c>
      <c r="E2930" s="3">
        <v>3</v>
      </c>
      <c r="F2930" s="2">
        <v>2</v>
      </c>
      <c r="G2930" s="4">
        <v>3</v>
      </c>
      <c r="H2930" s="13"/>
      <c r="I2930" s="15"/>
      <c r="J2930" s="19">
        <v>3</v>
      </c>
      <c r="K2930" s="2" t="s">
        <v>5872</v>
      </c>
      <c r="L2930" s="11" t="str">
        <f t="shared" si="47"/>
        <v>Ver Imagen</v>
      </c>
      <c r="M2930" t="s">
        <v>15</v>
      </c>
    </row>
    <row r="2931" spans="1:13" x14ac:dyDescent="0.25">
      <c r="A2931">
        <v>2930</v>
      </c>
      <c r="B2931" t="s">
        <v>5873</v>
      </c>
      <c r="C2931" s="1">
        <v>37.2025453324</v>
      </c>
      <c r="D2931" s="1">
        <v>-7.0003124478199998</v>
      </c>
      <c r="E2931" s="3">
        <v>3</v>
      </c>
      <c r="F2931" s="2">
        <v>4</v>
      </c>
      <c r="G2931" s="4">
        <v>3</v>
      </c>
      <c r="H2931" s="13"/>
      <c r="I2931" s="15"/>
      <c r="J2931" s="19">
        <v>3</v>
      </c>
      <c r="K2931" s="2" t="s">
        <v>5874</v>
      </c>
      <c r="L2931" s="11" t="str">
        <f t="shared" si="47"/>
        <v>Ver Imagen</v>
      </c>
      <c r="M2931" t="s">
        <v>15</v>
      </c>
    </row>
    <row r="2932" spans="1:13" x14ac:dyDescent="0.25">
      <c r="A2932">
        <v>2931</v>
      </c>
      <c r="B2932" t="s">
        <v>5875</v>
      </c>
      <c r="C2932" s="1">
        <v>37.202483947600001</v>
      </c>
      <c r="D2932" s="1">
        <v>-6.9998381511099996</v>
      </c>
      <c r="E2932" s="3">
        <v>3</v>
      </c>
      <c r="F2932" s="2">
        <v>2</v>
      </c>
      <c r="G2932" s="4">
        <v>3</v>
      </c>
      <c r="H2932" s="13"/>
      <c r="I2932" s="15"/>
      <c r="J2932" s="19">
        <v>3</v>
      </c>
      <c r="K2932" s="2" t="s">
        <v>5876</v>
      </c>
      <c r="L2932" s="11" t="str">
        <f t="shared" si="47"/>
        <v>Ver Imagen</v>
      </c>
      <c r="M2932" t="s">
        <v>15</v>
      </c>
    </row>
    <row r="2933" spans="1:13" x14ac:dyDescent="0.25">
      <c r="A2933">
        <v>2932</v>
      </c>
      <c r="B2933" t="s">
        <v>5877</v>
      </c>
      <c r="C2933" s="1">
        <v>37.202449208300003</v>
      </c>
      <c r="D2933" s="1">
        <v>-6.99956855835</v>
      </c>
      <c r="E2933" s="3">
        <v>3</v>
      </c>
      <c r="F2933" s="2">
        <v>2</v>
      </c>
      <c r="G2933" s="4">
        <v>3</v>
      </c>
      <c r="H2933" s="13"/>
      <c r="I2933" s="15"/>
      <c r="J2933" s="19">
        <v>3</v>
      </c>
      <c r="K2933" s="2" t="s">
        <v>5878</v>
      </c>
      <c r="L2933" s="11" t="str">
        <f t="shared" si="47"/>
        <v>Ver Imagen</v>
      </c>
      <c r="M2933" t="s">
        <v>15</v>
      </c>
    </row>
    <row r="2934" spans="1:13" x14ac:dyDescent="0.25">
      <c r="A2934">
        <v>2933</v>
      </c>
      <c r="B2934" t="s">
        <v>5879</v>
      </c>
      <c r="C2934" s="1">
        <v>37.202181177299998</v>
      </c>
      <c r="D2934" s="1">
        <v>-6.9976539211800004</v>
      </c>
      <c r="E2934" s="3">
        <v>3</v>
      </c>
      <c r="F2934" s="2">
        <v>2</v>
      </c>
      <c r="G2934" s="4">
        <v>3</v>
      </c>
      <c r="H2934" s="13"/>
      <c r="I2934" s="15"/>
      <c r="J2934" s="19">
        <v>3</v>
      </c>
      <c r="K2934" s="2" t="s">
        <v>5880</v>
      </c>
      <c r="L2934" s="11" t="str">
        <f t="shared" si="47"/>
        <v>Ver Imagen</v>
      </c>
      <c r="M2934" t="s">
        <v>15</v>
      </c>
    </row>
    <row r="2935" spans="1:13" x14ac:dyDescent="0.25">
      <c r="A2935">
        <v>2934</v>
      </c>
      <c r="B2935" t="s">
        <v>5881</v>
      </c>
      <c r="C2935" s="1">
        <v>37.202058905500003</v>
      </c>
      <c r="D2935" s="1">
        <v>-6.9968312822899996</v>
      </c>
      <c r="E2935" s="3">
        <v>3</v>
      </c>
      <c r="F2935" s="2">
        <v>2</v>
      </c>
      <c r="G2935" s="4">
        <v>3</v>
      </c>
      <c r="H2935" s="13"/>
      <c r="I2935" s="15"/>
      <c r="J2935" s="19">
        <v>3</v>
      </c>
      <c r="K2935" s="2" t="s">
        <v>5882</v>
      </c>
      <c r="L2935" s="11" t="str">
        <f t="shared" si="47"/>
        <v>Ver Imagen</v>
      </c>
      <c r="M2935" t="s">
        <v>15</v>
      </c>
    </row>
    <row r="2936" spans="1:13" x14ac:dyDescent="0.25">
      <c r="A2936">
        <v>2935</v>
      </c>
      <c r="B2936" t="s">
        <v>5883</v>
      </c>
      <c r="C2936" s="1">
        <v>37.201895373500001</v>
      </c>
      <c r="D2936" s="1">
        <v>-6.99581356765</v>
      </c>
      <c r="E2936" s="3">
        <v>3</v>
      </c>
      <c r="F2936" s="2">
        <v>2</v>
      </c>
      <c r="G2936" s="4">
        <v>3</v>
      </c>
      <c r="H2936" s="13"/>
      <c r="I2936" s="15"/>
      <c r="J2936" s="19">
        <v>3</v>
      </c>
      <c r="K2936" s="2" t="s">
        <v>5884</v>
      </c>
      <c r="L2936" s="11" t="str">
        <f t="shared" si="47"/>
        <v>Ver Imagen</v>
      </c>
      <c r="M2936" t="s">
        <v>15</v>
      </c>
    </row>
    <row r="2937" spans="1:13" x14ac:dyDescent="0.25">
      <c r="A2937">
        <v>2936</v>
      </c>
      <c r="B2937" t="s">
        <v>5885</v>
      </c>
      <c r="C2937" s="1">
        <v>37.229712780500002</v>
      </c>
      <c r="D2937" s="1">
        <v>-7.0204774312199998</v>
      </c>
      <c r="E2937" s="3">
        <v>3</v>
      </c>
      <c r="F2937" s="2">
        <v>2</v>
      </c>
      <c r="G2937" s="4">
        <v>3</v>
      </c>
      <c r="H2937" s="13"/>
      <c r="I2937" s="15"/>
      <c r="J2937" s="19">
        <v>3</v>
      </c>
      <c r="K2937" s="2" t="s">
        <v>5886</v>
      </c>
      <c r="L2937" s="11" t="str">
        <f t="shared" si="47"/>
        <v>Ver Imagen</v>
      </c>
      <c r="M2937" t="s">
        <v>15</v>
      </c>
    </row>
    <row r="2938" spans="1:13" x14ac:dyDescent="0.25">
      <c r="A2938">
        <v>2937</v>
      </c>
      <c r="B2938" t="s">
        <v>5887</v>
      </c>
      <c r="C2938" s="1">
        <v>37.231100651299997</v>
      </c>
      <c r="D2938" s="1">
        <v>-7.01941132372</v>
      </c>
      <c r="E2938" s="3">
        <v>3</v>
      </c>
      <c r="F2938" s="2">
        <v>2</v>
      </c>
      <c r="G2938" s="4">
        <v>3</v>
      </c>
      <c r="H2938" s="13"/>
      <c r="I2938" s="15"/>
      <c r="J2938" s="19">
        <v>3</v>
      </c>
      <c r="K2938" s="2" t="s">
        <v>5888</v>
      </c>
      <c r="L2938" s="11" t="str">
        <f t="shared" si="47"/>
        <v>Ver Imagen</v>
      </c>
      <c r="M2938" t="s">
        <v>15</v>
      </c>
    </row>
    <row r="2939" spans="1:13" x14ac:dyDescent="0.25">
      <c r="A2939">
        <v>2938</v>
      </c>
      <c r="B2939" t="s">
        <v>5889</v>
      </c>
      <c r="C2939" s="1">
        <v>37.231268142600001</v>
      </c>
      <c r="D2939" s="1">
        <v>-7.01928384037</v>
      </c>
      <c r="E2939" s="3">
        <v>3</v>
      </c>
      <c r="F2939" s="2">
        <v>2</v>
      </c>
      <c r="G2939" s="4">
        <v>3</v>
      </c>
      <c r="H2939" s="13"/>
      <c r="I2939" s="15"/>
      <c r="J2939" s="19">
        <v>3</v>
      </c>
      <c r="K2939" s="2" t="s">
        <v>5890</v>
      </c>
      <c r="L2939" s="11" t="str">
        <f t="shared" si="47"/>
        <v>Ver Imagen</v>
      </c>
      <c r="M2939" t="s">
        <v>15</v>
      </c>
    </row>
    <row r="2940" spans="1:13" x14ac:dyDescent="0.25">
      <c r="A2940">
        <v>2939</v>
      </c>
      <c r="B2940" t="s">
        <v>5891</v>
      </c>
      <c r="C2940" s="1">
        <v>37.231845788800001</v>
      </c>
      <c r="D2940" s="1">
        <v>-7.0188480891699996</v>
      </c>
      <c r="E2940" s="3">
        <v>3</v>
      </c>
      <c r="F2940" s="2">
        <v>2</v>
      </c>
      <c r="G2940" s="4">
        <v>3</v>
      </c>
      <c r="H2940" s="13"/>
      <c r="I2940" s="15"/>
      <c r="J2940" s="19">
        <v>3</v>
      </c>
      <c r="K2940" s="2" t="s">
        <v>5892</v>
      </c>
      <c r="L2940" s="11" t="str">
        <f t="shared" si="47"/>
        <v>Ver Imagen</v>
      </c>
      <c r="M2940" t="s">
        <v>15</v>
      </c>
    </row>
    <row r="2941" spans="1:13" x14ac:dyDescent="0.25">
      <c r="A2941">
        <v>2940</v>
      </c>
      <c r="B2941" t="s">
        <v>5893</v>
      </c>
      <c r="C2941" s="1">
        <v>37.232127421000001</v>
      </c>
      <c r="D2941" s="1">
        <v>-7.0186515404399996</v>
      </c>
      <c r="E2941" s="3">
        <v>3</v>
      </c>
      <c r="F2941" s="2">
        <v>2</v>
      </c>
      <c r="G2941" s="4">
        <v>3</v>
      </c>
      <c r="H2941" s="13"/>
      <c r="I2941" s="15"/>
      <c r="J2941" s="19">
        <v>3</v>
      </c>
      <c r="K2941" s="2" t="s">
        <v>5894</v>
      </c>
      <c r="L2941" s="11" t="str">
        <f t="shared" si="47"/>
        <v>Ver Imagen</v>
      </c>
      <c r="M2941" t="s">
        <v>15</v>
      </c>
    </row>
    <row r="2942" spans="1:13" x14ac:dyDescent="0.25">
      <c r="A2942">
        <v>2941</v>
      </c>
      <c r="B2942" t="s">
        <v>5895</v>
      </c>
      <c r="C2942" s="1">
        <v>37.232321732599999</v>
      </c>
      <c r="D2942" s="1">
        <v>-7.0185277478700003</v>
      </c>
      <c r="E2942" s="3">
        <v>3</v>
      </c>
      <c r="F2942" s="2">
        <v>2</v>
      </c>
      <c r="G2942" s="4">
        <v>3</v>
      </c>
      <c r="H2942" s="13"/>
      <c r="I2942" s="15"/>
      <c r="J2942" s="19">
        <v>3</v>
      </c>
      <c r="K2942" s="2" t="s">
        <v>5896</v>
      </c>
      <c r="L2942" s="11" t="str">
        <f t="shared" si="47"/>
        <v>Ver Imagen</v>
      </c>
      <c r="M2942" t="s">
        <v>15</v>
      </c>
    </row>
    <row r="2943" spans="1:13" x14ac:dyDescent="0.25">
      <c r="A2943">
        <v>2942</v>
      </c>
      <c r="B2943" t="s">
        <v>5897</v>
      </c>
      <c r="C2943" s="1">
        <v>37.232530187999998</v>
      </c>
      <c r="D2943" s="1">
        <v>-7.0184073494400003</v>
      </c>
      <c r="E2943" s="3">
        <v>3</v>
      </c>
      <c r="F2943" s="2">
        <v>2</v>
      </c>
      <c r="G2943" s="4">
        <v>3</v>
      </c>
      <c r="H2943" s="13"/>
      <c r="I2943" s="15"/>
      <c r="J2943" s="19">
        <v>3</v>
      </c>
      <c r="K2943" s="2" t="s">
        <v>5898</v>
      </c>
      <c r="L2943" s="11" t="str">
        <f t="shared" si="47"/>
        <v>Ver Imagen</v>
      </c>
      <c r="M2943" t="s">
        <v>15</v>
      </c>
    </row>
    <row r="2944" spans="1:13" x14ac:dyDescent="0.25">
      <c r="A2944">
        <v>2943</v>
      </c>
      <c r="B2944" t="s">
        <v>5899</v>
      </c>
      <c r="C2944" s="1">
        <v>37.242975640899999</v>
      </c>
      <c r="D2944" s="1">
        <v>-7.0183713651700002</v>
      </c>
      <c r="E2944" s="3">
        <v>3</v>
      </c>
      <c r="F2944" s="2">
        <v>2</v>
      </c>
      <c r="G2944" s="4">
        <v>3</v>
      </c>
      <c r="H2944" s="13"/>
      <c r="I2944" s="15"/>
      <c r="J2944" s="19">
        <v>3</v>
      </c>
      <c r="K2944" s="2" t="s">
        <v>5900</v>
      </c>
      <c r="L2944" s="11" t="str">
        <f t="shared" si="47"/>
        <v>Ver Imagen</v>
      </c>
      <c r="M2944" t="s">
        <v>15</v>
      </c>
    </row>
    <row r="2945" spans="1:13" x14ac:dyDescent="0.25">
      <c r="A2945">
        <v>2944</v>
      </c>
      <c r="B2945" t="s">
        <v>5901</v>
      </c>
      <c r="C2945" s="1">
        <v>37.244779089200001</v>
      </c>
      <c r="D2945" s="1">
        <v>-7.01830828719</v>
      </c>
      <c r="E2945" s="3">
        <v>3</v>
      </c>
      <c r="F2945" s="2">
        <v>2</v>
      </c>
      <c r="G2945" s="4">
        <v>3</v>
      </c>
      <c r="H2945" s="13"/>
      <c r="I2945" s="15"/>
      <c r="J2945" s="19">
        <v>3</v>
      </c>
      <c r="K2945" s="2" t="s">
        <v>5902</v>
      </c>
      <c r="L2945" s="11" t="str">
        <f t="shared" si="47"/>
        <v>Ver Imagen</v>
      </c>
      <c r="M2945" t="s">
        <v>15</v>
      </c>
    </row>
    <row r="2946" spans="1:13" x14ac:dyDescent="0.25">
      <c r="A2946">
        <v>2945</v>
      </c>
      <c r="B2946" t="s">
        <v>5903</v>
      </c>
      <c r="C2946" s="1">
        <v>37.245194982699999</v>
      </c>
      <c r="D2946" s="1">
        <v>-7.0182902267099996</v>
      </c>
      <c r="E2946" s="3">
        <v>3</v>
      </c>
      <c r="F2946" s="2">
        <v>2</v>
      </c>
      <c r="G2946" s="4">
        <v>3</v>
      </c>
      <c r="H2946" s="13"/>
      <c r="I2946" s="15"/>
      <c r="J2946" s="19">
        <v>3</v>
      </c>
      <c r="K2946" s="2" t="s">
        <v>5904</v>
      </c>
      <c r="L2946" s="11" t="str">
        <f t="shared" si="47"/>
        <v>Ver Imagen</v>
      </c>
      <c r="M2946" t="s">
        <v>15</v>
      </c>
    </row>
    <row r="2947" spans="1:13" x14ac:dyDescent="0.25">
      <c r="A2947">
        <v>2946</v>
      </c>
      <c r="B2947" t="s">
        <v>5905</v>
      </c>
      <c r="C2947" s="1">
        <v>37.246231611799999</v>
      </c>
      <c r="D2947" s="1">
        <v>-7.0182530231299998</v>
      </c>
      <c r="E2947" s="3">
        <v>4</v>
      </c>
      <c r="F2947" s="2">
        <v>3</v>
      </c>
      <c r="G2947" s="4">
        <v>3</v>
      </c>
      <c r="H2947" s="13"/>
      <c r="I2947" s="15"/>
      <c r="J2947" s="19">
        <v>3</v>
      </c>
      <c r="K2947" s="2" t="s">
        <v>5906</v>
      </c>
      <c r="L2947" s="11" t="str">
        <f t="shared" si="47"/>
        <v>Ver Imagen</v>
      </c>
      <c r="M2947" t="s">
        <v>15</v>
      </c>
    </row>
    <row r="2948" spans="1:13" x14ac:dyDescent="0.25">
      <c r="A2948">
        <v>2947</v>
      </c>
      <c r="B2948" t="s">
        <v>5907</v>
      </c>
      <c r="C2948" s="1">
        <v>37.247413547199997</v>
      </c>
      <c r="D2948" s="1">
        <v>-7.0182111454399996</v>
      </c>
      <c r="E2948" s="3">
        <v>3</v>
      </c>
      <c r="F2948" s="2">
        <v>2</v>
      </c>
      <c r="G2948" s="4">
        <v>3</v>
      </c>
      <c r="H2948" s="13"/>
      <c r="I2948" s="15"/>
      <c r="J2948" s="19">
        <v>3</v>
      </c>
      <c r="K2948" s="2" t="s">
        <v>5908</v>
      </c>
      <c r="L2948" s="11" t="str">
        <f t="shared" si="47"/>
        <v>Ver Imagen</v>
      </c>
      <c r="M2948" t="s">
        <v>15</v>
      </c>
    </row>
    <row r="2949" spans="1:13" x14ac:dyDescent="0.25">
      <c r="A2949">
        <v>2948</v>
      </c>
      <c r="B2949" t="s">
        <v>5909</v>
      </c>
      <c r="C2949" s="1">
        <v>37.248636921500001</v>
      </c>
      <c r="D2949" s="1">
        <v>-7.01814732273</v>
      </c>
      <c r="E2949" s="3">
        <v>3</v>
      </c>
      <c r="F2949" s="2">
        <v>2</v>
      </c>
      <c r="G2949" s="4">
        <v>3</v>
      </c>
      <c r="H2949" s="13"/>
      <c r="I2949" s="15"/>
      <c r="J2949" s="19">
        <v>3</v>
      </c>
      <c r="K2949" s="2" t="s">
        <v>5910</v>
      </c>
      <c r="L2949" s="11" t="str">
        <f t="shared" si="47"/>
        <v>Ver Imagen</v>
      </c>
      <c r="M2949" t="s">
        <v>15</v>
      </c>
    </row>
    <row r="2950" spans="1:13" x14ac:dyDescent="0.25">
      <c r="A2950">
        <v>2949</v>
      </c>
      <c r="B2950" t="s">
        <v>5911</v>
      </c>
      <c r="C2950" s="1">
        <v>37.249833071700003</v>
      </c>
      <c r="D2950" s="1">
        <v>-7.0178876301499997</v>
      </c>
      <c r="E2950" s="3">
        <v>3</v>
      </c>
      <c r="F2950" s="2">
        <v>4</v>
      </c>
      <c r="G2950" s="4">
        <v>3</v>
      </c>
      <c r="H2950" s="13"/>
      <c r="I2950" s="15"/>
      <c r="J2950" s="19">
        <v>3</v>
      </c>
      <c r="K2950" s="2" t="s">
        <v>5912</v>
      </c>
      <c r="L2950" s="11" t="str">
        <f t="shared" si="47"/>
        <v>Ver Imagen</v>
      </c>
      <c r="M2950" t="s">
        <v>15</v>
      </c>
    </row>
    <row r="2951" spans="1:13" x14ac:dyDescent="0.25">
      <c r="A2951">
        <v>2950</v>
      </c>
      <c r="B2951" t="s">
        <v>5913</v>
      </c>
      <c r="C2951" s="1">
        <v>37.251994833200001</v>
      </c>
      <c r="D2951" s="1">
        <v>-7.0166043863200001</v>
      </c>
      <c r="E2951" s="3">
        <v>3</v>
      </c>
      <c r="F2951" s="2">
        <v>2</v>
      </c>
      <c r="G2951" s="4">
        <v>3</v>
      </c>
      <c r="H2951" s="13"/>
      <c r="I2951" s="15"/>
      <c r="J2951" s="19">
        <v>3</v>
      </c>
      <c r="K2951" s="2" t="s">
        <v>5914</v>
      </c>
      <c r="L2951" s="11" t="str">
        <f t="shared" si="47"/>
        <v>Ver Imagen</v>
      </c>
      <c r="M2951" t="s">
        <v>15</v>
      </c>
    </row>
    <row r="2952" spans="1:13" x14ac:dyDescent="0.25">
      <c r="A2952">
        <v>2951</v>
      </c>
      <c r="B2952" t="s">
        <v>5915</v>
      </c>
      <c r="C2952" s="1">
        <v>37.2529135057</v>
      </c>
      <c r="D2952" s="1">
        <v>-7.0160238571000004</v>
      </c>
      <c r="E2952" s="3">
        <v>3</v>
      </c>
      <c r="F2952" s="2">
        <v>4</v>
      </c>
      <c r="G2952" s="4">
        <v>3</v>
      </c>
      <c r="H2952" s="13"/>
      <c r="I2952" s="15"/>
      <c r="J2952" s="19">
        <v>3</v>
      </c>
      <c r="K2952" s="2" t="s">
        <v>5916</v>
      </c>
      <c r="L2952" s="11" t="str">
        <f t="shared" si="47"/>
        <v>Ver Imagen</v>
      </c>
      <c r="M2952" t="s">
        <v>15</v>
      </c>
    </row>
    <row r="2953" spans="1:13" x14ac:dyDescent="0.25">
      <c r="A2953">
        <v>2952</v>
      </c>
      <c r="B2953" t="s">
        <v>5917</v>
      </c>
      <c r="C2953" s="1">
        <v>37.257242016699998</v>
      </c>
      <c r="D2953" s="1">
        <v>-7.0132654354900001</v>
      </c>
      <c r="E2953" s="3">
        <v>3</v>
      </c>
      <c r="F2953" s="2">
        <v>2</v>
      </c>
      <c r="G2953" s="4">
        <v>3</v>
      </c>
      <c r="H2953" s="13"/>
      <c r="I2953" s="15"/>
      <c r="J2953" s="19">
        <v>3</v>
      </c>
      <c r="K2953" s="2" t="s">
        <v>5918</v>
      </c>
      <c r="L2953" s="11" t="str">
        <f t="shared" si="47"/>
        <v>Ver Imagen</v>
      </c>
      <c r="M2953" t="s">
        <v>15</v>
      </c>
    </row>
    <row r="2954" spans="1:13" x14ac:dyDescent="0.25">
      <c r="A2954">
        <v>2953</v>
      </c>
      <c r="B2954" t="s">
        <v>5919</v>
      </c>
      <c r="C2954" s="1">
        <v>37.260148153300001</v>
      </c>
      <c r="D2954" s="1">
        <v>-7.01141302045</v>
      </c>
      <c r="E2954" s="3">
        <v>3</v>
      </c>
      <c r="F2954" s="2">
        <v>2</v>
      </c>
      <c r="G2954" s="4">
        <v>3</v>
      </c>
      <c r="H2954" s="13"/>
      <c r="I2954" s="15"/>
      <c r="J2954" s="19">
        <v>3</v>
      </c>
      <c r="K2954" s="2" t="s">
        <v>5920</v>
      </c>
      <c r="L2954" s="11" t="str">
        <f t="shared" si="47"/>
        <v>Ver Imagen</v>
      </c>
      <c r="M2954" t="s">
        <v>15</v>
      </c>
    </row>
    <row r="2955" spans="1:13" x14ac:dyDescent="0.25">
      <c r="A2955">
        <v>2954</v>
      </c>
      <c r="B2955" t="s">
        <v>5921</v>
      </c>
      <c r="C2955" s="1">
        <v>37.260656330099998</v>
      </c>
      <c r="D2955" s="1">
        <v>-7.01109060838</v>
      </c>
      <c r="E2955" s="3">
        <v>3</v>
      </c>
      <c r="F2955" s="2">
        <v>2</v>
      </c>
      <c r="G2955" s="4">
        <v>3</v>
      </c>
      <c r="H2955" s="13"/>
      <c r="I2955" s="15"/>
      <c r="J2955" s="19">
        <v>3</v>
      </c>
      <c r="K2955" s="2" t="s">
        <v>5922</v>
      </c>
      <c r="L2955" s="11" t="str">
        <f t="shared" si="47"/>
        <v>Ver Imagen</v>
      </c>
      <c r="M2955" t="s">
        <v>15</v>
      </c>
    </row>
    <row r="2956" spans="1:13" x14ac:dyDescent="0.25">
      <c r="A2956">
        <v>2955</v>
      </c>
      <c r="B2956" t="s">
        <v>5923</v>
      </c>
      <c r="C2956" s="1">
        <v>37.2613770237</v>
      </c>
      <c r="D2956" s="1">
        <v>-7.01060373421</v>
      </c>
      <c r="E2956" s="3">
        <v>3</v>
      </c>
      <c r="F2956" s="2">
        <v>3</v>
      </c>
      <c r="G2956" s="4">
        <v>4</v>
      </c>
      <c r="H2956" s="13"/>
      <c r="I2956" s="15"/>
      <c r="J2956" s="19">
        <v>3</v>
      </c>
      <c r="K2956" s="2" t="s">
        <v>5924</v>
      </c>
      <c r="L2956" s="11" t="str">
        <f t="shared" si="47"/>
        <v>Ver Imagen</v>
      </c>
      <c r="M2956" t="s">
        <v>15</v>
      </c>
    </row>
    <row r="2957" spans="1:13" x14ac:dyDescent="0.25">
      <c r="A2957">
        <v>2956</v>
      </c>
      <c r="B2957" t="s">
        <v>5925</v>
      </c>
      <c r="C2957" s="1">
        <v>37.261543360600001</v>
      </c>
      <c r="D2957" s="1">
        <v>-7.0104719576300001</v>
      </c>
      <c r="E2957" s="3">
        <v>3</v>
      </c>
      <c r="F2957" s="2">
        <v>2</v>
      </c>
      <c r="G2957" s="4">
        <v>3</v>
      </c>
      <c r="H2957" s="13"/>
      <c r="I2957" s="15"/>
      <c r="J2957" s="19">
        <v>3</v>
      </c>
      <c r="K2957" s="2" t="s">
        <v>5926</v>
      </c>
      <c r="L2957" s="11" t="str">
        <f t="shared" si="47"/>
        <v>Ver Imagen</v>
      </c>
      <c r="M2957" t="s">
        <v>15</v>
      </c>
    </row>
    <row r="2958" spans="1:13" x14ac:dyDescent="0.25">
      <c r="A2958">
        <v>2957</v>
      </c>
      <c r="B2958" t="s">
        <v>5927</v>
      </c>
      <c r="C2958" s="1">
        <v>37.2634333954</v>
      </c>
      <c r="D2958" s="1">
        <v>-7.0070244875199998</v>
      </c>
      <c r="E2958" s="3">
        <v>3</v>
      </c>
      <c r="F2958" s="2">
        <v>2</v>
      </c>
      <c r="G2958" s="4">
        <v>3</v>
      </c>
      <c r="H2958" s="13"/>
      <c r="I2958" s="15"/>
      <c r="J2958" s="19">
        <v>3</v>
      </c>
      <c r="K2958" s="2" t="s">
        <v>5928</v>
      </c>
      <c r="L2958" s="11" t="str">
        <f t="shared" si="47"/>
        <v>Ver Imagen</v>
      </c>
      <c r="M2958" t="s">
        <v>15</v>
      </c>
    </row>
    <row r="2959" spans="1:13" x14ac:dyDescent="0.25">
      <c r="A2959">
        <v>2958</v>
      </c>
      <c r="B2959" t="s">
        <v>5929</v>
      </c>
      <c r="C2959" s="1">
        <v>37.263832135000001</v>
      </c>
      <c r="D2959" s="1">
        <v>-7.0048089822800002</v>
      </c>
      <c r="E2959" s="3">
        <v>3</v>
      </c>
      <c r="F2959" s="2">
        <v>2</v>
      </c>
      <c r="G2959" s="4">
        <v>3</v>
      </c>
      <c r="H2959" s="13"/>
      <c r="I2959" s="15"/>
      <c r="J2959" s="19">
        <v>3</v>
      </c>
      <c r="K2959" s="2" t="s">
        <v>5930</v>
      </c>
      <c r="L2959" s="11" t="str">
        <f t="shared" si="47"/>
        <v>Ver Imagen</v>
      </c>
      <c r="M2959" t="s">
        <v>15</v>
      </c>
    </row>
    <row r="2960" spans="1:13" x14ac:dyDescent="0.25">
      <c r="A2960">
        <v>2959</v>
      </c>
      <c r="B2960" t="s">
        <v>5931</v>
      </c>
      <c r="C2960" s="1">
        <v>37.264104275100003</v>
      </c>
      <c r="D2960" s="1">
        <v>-7.0032679283299997</v>
      </c>
      <c r="E2960" s="3">
        <v>3</v>
      </c>
      <c r="F2960" s="2">
        <v>2</v>
      </c>
      <c r="G2960" s="4">
        <v>3</v>
      </c>
      <c r="H2960" s="13"/>
      <c r="I2960" s="15"/>
      <c r="J2960" s="19">
        <v>3</v>
      </c>
      <c r="K2960" s="2" t="s">
        <v>5932</v>
      </c>
      <c r="L2960" s="11" t="str">
        <f t="shared" si="47"/>
        <v>Ver Imagen</v>
      </c>
      <c r="M2960" t="s">
        <v>15</v>
      </c>
    </row>
    <row r="2961" spans="1:13" x14ac:dyDescent="0.25">
      <c r="A2961">
        <v>2960</v>
      </c>
      <c r="B2961" t="s">
        <v>5933</v>
      </c>
      <c r="C2961" s="1">
        <v>37.264192128300003</v>
      </c>
      <c r="D2961" s="1">
        <v>-7.00276927126</v>
      </c>
      <c r="E2961" s="3">
        <v>3</v>
      </c>
      <c r="F2961" s="2">
        <v>4</v>
      </c>
      <c r="G2961" s="4">
        <v>3</v>
      </c>
      <c r="H2961" s="13"/>
      <c r="I2961" s="15"/>
      <c r="J2961" s="19">
        <v>3</v>
      </c>
      <c r="K2961" s="2" t="s">
        <v>5934</v>
      </c>
      <c r="L2961" s="11" t="str">
        <f t="shared" si="47"/>
        <v>Ver Imagen</v>
      </c>
      <c r="M2961" t="s">
        <v>15</v>
      </c>
    </row>
    <row r="2962" spans="1:13" x14ac:dyDescent="0.25">
      <c r="A2962">
        <v>2961</v>
      </c>
      <c r="B2962" t="s">
        <v>5935</v>
      </c>
      <c r="C2962" s="1">
        <v>37.264237007699997</v>
      </c>
      <c r="D2962" s="1">
        <v>-7.0025164228700003</v>
      </c>
      <c r="E2962" s="3">
        <v>3</v>
      </c>
      <c r="F2962" s="2">
        <v>4</v>
      </c>
      <c r="G2962" s="4">
        <v>3</v>
      </c>
      <c r="H2962" s="13"/>
      <c r="I2962" s="15"/>
      <c r="J2962" s="19">
        <v>3</v>
      </c>
      <c r="K2962" s="2" t="s">
        <v>5936</v>
      </c>
      <c r="L2962" s="11" t="str">
        <f t="shared" si="47"/>
        <v>Ver Imagen</v>
      </c>
      <c r="M2962" t="s">
        <v>15</v>
      </c>
    </row>
    <row r="2963" spans="1:13" x14ac:dyDescent="0.25">
      <c r="A2963">
        <v>2962</v>
      </c>
      <c r="B2963" t="s">
        <v>5937</v>
      </c>
      <c r="C2963" s="1">
        <v>37.264445895999998</v>
      </c>
      <c r="D2963" s="1">
        <v>-7.0013509647800003</v>
      </c>
      <c r="E2963" s="3">
        <v>3</v>
      </c>
      <c r="F2963" s="2">
        <v>2</v>
      </c>
      <c r="G2963" s="4">
        <v>3</v>
      </c>
      <c r="H2963" s="13"/>
      <c r="I2963" s="15"/>
      <c r="J2963" s="19">
        <v>3</v>
      </c>
      <c r="K2963" s="2" t="s">
        <v>5938</v>
      </c>
      <c r="L2963" s="11" t="str">
        <f t="shared" si="47"/>
        <v>Ver Imagen</v>
      </c>
      <c r="M2963" t="s">
        <v>15</v>
      </c>
    </row>
    <row r="2964" spans="1:13" x14ac:dyDescent="0.25">
      <c r="A2964">
        <v>2963</v>
      </c>
      <c r="B2964" t="s">
        <v>5939</v>
      </c>
      <c r="C2964" s="1">
        <v>37.2644998468</v>
      </c>
      <c r="D2964" s="1">
        <v>-7.0010525490299997</v>
      </c>
      <c r="E2964" s="3">
        <v>3</v>
      </c>
      <c r="F2964" s="2">
        <v>2</v>
      </c>
      <c r="G2964" s="4">
        <v>3</v>
      </c>
      <c r="H2964" s="13"/>
      <c r="I2964" s="15"/>
      <c r="J2964" s="19">
        <v>3</v>
      </c>
      <c r="K2964" s="2" t="s">
        <v>5940</v>
      </c>
      <c r="L2964" s="11" t="str">
        <f t="shared" si="47"/>
        <v>Ver Imagen</v>
      </c>
      <c r="M2964" t="s">
        <v>15</v>
      </c>
    </row>
    <row r="2965" spans="1:13" x14ac:dyDescent="0.25">
      <c r="A2965">
        <v>2964</v>
      </c>
      <c r="B2965" t="s">
        <v>5941</v>
      </c>
      <c r="C2965" s="1">
        <v>37.264547414699997</v>
      </c>
      <c r="D2965" s="1">
        <v>-7.0007903007900003</v>
      </c>
      <c r="E2965" s="3">
        <v>3</v>
      </c>
      <c r="F2965" s="2">
        <v>2</v>
      </c>
      <c r="G2965" s="4">
        <v>3</v>
      </c>
      <c r="H2965" s="13"/>
      <c r="I2965" s="15"/>
      <c r="J2965" s="19">
        <v>3</v>
      </c>
      <c r="K2965" s="2" t="s">
        <v>5942</v>
      </c>
      <c r="L2965" s="11" t="str">
        <f t="shared" si="47"/>
        <v>Ver Imagen</v>
      </c>
      <c r="M2965" t="s">
        <v>15</v>
      </c>
    </row>
    <row r="2966" spans="1:13" x14ac:dyDescent="0.25">
      <c r="A2966">
        <v>2965</v>
      </c>
      <c r="B2966" t="s">
        <v>5943</v>
      </c>
      <c r="C2966" s="1">
        <v>37.264586087399998</v>
      </c>
      <c r="D2966" s="1">
        <v>-7.00057605687</v>
      </c>
      <c r="E2966" s="3">
        <v>3</v>
      </c>
      <c r="F2966" s="2">
        <v>2</v>
      </c>
      <c r="G2966" s="4">
        <v>3</v>
      </c>
      <c r="H2966" s="13"/>
      <c r="I2966" s="15"/>
      <c r="J2966" s="19">
        <v>3</v>
      </c>
      <c r="K2966" s="2" t="s">
        <v>5944</v>
      </c>
      <c r="L2966" s="11" t="str">
        <f t="shared" si="47"/>
        <v>Ver Imagen</v>
      </c>
      <c r="M2966" t="s">
        <v>15</v>
      </c>
    </row>
    <row r="2967" spans="1:13" x14ac:dyDescent="0.25">
      <c r="A2967">
        <v>2966</v>
      </c>
      <c r="B2967" t="s">
        <v>5945</v>
      </c>
      <c r="C2967" s="1">
        <v>37.2651108831</v>
      </c>
      <c r="D2967" s="1">
        <v>-6.9976024792200002</v>
      </c>
      <c r="E2967" s="3">
        <v>3</v>
      </c>
      <c r="F2967" s="2">
        <v>2</v>
      </c>
      <c r="G2967" s="4">
        <v>3</v>
      </c>
      <c r="H2967" s="13"/>
      <c r="I2967" s="15"/>
      <c r="J2967" s="19">
        <v>3</v>
      </c>
      <c r="K2967" s="2" t="s">
        <v>5946</v>
      </c>
      <c r="L2967" s="11" t="str">
        <f t="shared" si="47"/>
        <v>Ver Imagen</v>
      </c>
      <c r="M2967" t="s">
        <v>15</v>
      </c>
    </row>
    <row r="2968" spans="1:13" x14ac:dyDescent="0.25">
      <c r="A2968">
        <v>2967</v>
      </c>
      <c r="B2968" t="s">
        <v>5947</v>
      </c>
      <c r="C2968" s="1">
        <v>37.2656917236</v>
      </c>
      <c r="D2968" s="1">
        <v>-6.9943890461100002</v>
      </c>
      <c r="E2968" s="3">
        <v>3</v>
      </c>
      <c r="F2968" s="2">
        <v>4</v>
      </c>
      <c r="G2968" s="4">
        <v>3</v>
      </c>
      <c r="H2968" s="13"/>
      <c r="I2968" s="15"/>
      <c r="J2968" s="19">
        <v>3</v>
      </c>
      <c r="K2968" s="2" t="s">
        <v>5948</v>
      </c>
      <c r="L2968" s="11" t="str">
        <f t="shared" si="47"/>
        <v>Ver Imagen</v>
      </c>
      <c r="M2968" t="s">
        <v>15</v>
      </c>
    </row>
    <row r="2969" spans="1:13" x14ac:dyDescent="0.25">
      <c r="A2969">
        <v>2968</v>
      </c>
      <c r="B2969" t="s">
        <v>5949</v>
      </c>
      <c r="C2969" s="1">
        <v>37.265973768400002</v>
      </c>
      <c r="D2969" s="1">
        <v>-6.9934207651899998</v>
      </c>
      <c r="E2969" s="3">
        <v>3</v>
      </c>
      <c r="F2969" s="2">
        <v>2</v>
      </c>
      <c r="G2969" s="4">
        <v>3</v>
      </c>
      <c r="H2969" s="13"/>
      <c r="I2969" s="15"/>
      <c r="J2969" s="19">
        <v>3</v>
      </c>
      <c r="K2969" s="2" t="s">
        <v>5950</v>
      </c>
      <c r="L2969" s="11" t="str">
        <f t="shared" si="47"/>
        <v>Ver Imagen</v>
      </c>
      <c r="M2969" t="s">
        <v>15</v>
      </c>
    </row>
    <row r="2970" spans="1:13" x14ac:dyDescent="0.25">
      <c r="A2970">
        <v>2969</v>
      </c>
      <c r="B2970" t="s">
        <v>5951</v>
      </c>
      <c r="C2970" s="1">
        <v>37.266515052400003</v>
      </c>
      <c r="D2970" s="1">
        <v>-6.9923389282699997</v>
      </c>
      <c r="E2970" s="3">
        <v>3</v>
      </c>
      <c r="F2970" s="2">
        <v>2</v>
      </c>
      <c r="G2970" s="4">
        <v>3</v>
      </c>
      <c r="H2970" s="13"/>
      <c r="I2970" s="15"/>
      <c r="J2970" s="19">
        <v>3</v>
      </c>
      <c r="K2970" s="2" t="s">
        <v>5952</v>
      </c>
      <c r="L2970" s="11" t="str">
        <f t="shared" si="47"/>
        <v>Ver Imagen</v>
      </c>
      <c r="M2970" t="s">
        <v>15</v>
      </c>
    </row>
    <row r="2971" spans="1:13" x14ac:dyDescent="0.25">
      <c r="A2971">
        <v>2970</v>
      </c>
      <c r="B2971" t="s">
        <v>5953</v>
      </c>
      <c r="C2971" s="1">
        <v>37.2666456328</v>
      </c>
      <c r="D2971" s="1">
        <v>-6.9921486560600004</v>
      </c>
      <c r="E2971" s="3">
        <v>3</v>
      </c>
      <c r="F2971" s="2">
        <v>2</v>
      </c>
      <c r="G2971" s="4">
        <v>3</v>
      </c>
      <c r="H2971" s="13"/>
      <c r="I2971" s="15"/>
      <c r="J2971" s="19">
        <v>3</v>
      </c>
      <c r="K2971" s="2" t="s">
        <v>5954</v>
      </c>
      <c r="L2971" s="11" t="str">
        <f t="shared" si="47"/>
        <v>Ver Imagen</v>
      </c>
      <c r="M2971" t="s">
        <v>15</v>
      </c>
    </row>
    <row r="2972" spans="1:13" x14ac:dyDescent="0.25">
      <c r="A2972">
        <v>2971</v>
      </c>
      <c r="B2972" t="s">
        <v>5955</v>
      </c>
      <c r="C2972" s="1">
        <v>37.267370447200001</v>
      </c>
      <c r="D2972" s="1">
        <v>-6.9913587702299997</v>
      </c>
      <c r="E2972" s="3">
        <v>3</v>
      </c>
      <c r="F2972" s="2">
        <v>2</v>
      </c>
      <c r="G2972" s="4">
        <v>3</v>
      </c>
      <c r="H2972" s="13"/>
      <c r="I2972" s="15"/>
      <c r="J2972" s="19">
        <v>3</v>
      </c>
      <c r="K2972" s="2" t="s">
        <v>5956</v>
      </c>
      <c r="L2972" s="11" t="str">
        <f t="shared" si="47"/>
        <v>Ver Imagen</v>
      </c>
      <c r="M2972" t="s">
        <v>15</v>
      </c>
    </row>
    <row r="2973" spans="1:13" x14ac:dyDescent="0.25">
      <c r="A2973">
        <v>2972</v>
      </c>
      <c r="B2973" t="s">
        <v>5957</v>
      </c>
      <c r="C2973" s="1">
        <v>37.267552246000001</v>
      </c>
      <c r="D2973" s="1">
        <v>-6.9912110651299999</v>
      </c>
      <c r="E2973" s="3">
        <v>3</v>
      </c>
      <c r="F2973" s="2">
        <v>2</v>
      </c>
      <c r="G2973" s="4">
        <v>3</v>
      </c>
      <c r="H2973" s="13"/>
      <c r="I2973" s="15"/>
      <c r="J2973" s="19">
        <v>3</v>
      </c>
      <c r="K2973" s="2" t="s">
        <v>5958</v>
      </c>
      <c r="L2973" s="11" t="str">
        <f t="shared" si="47"/>
        <v>Ver Imagen</v>
      </c>
      <c r="M2973" t="s">
        <v>15</v>
      </c>
    </row>
    <row r="2974" spans="1:13" x14ac:dyDescent="0.25">
      <c r="A2974">
        <v>2973</v>
      </c>
      <c r="B2974" t="s">
        <v>5959</v>
      </c>
      <c r="C2974" s="1">
        <v>37.267734505699998</v>
      </c>
      <c r="D2974" s="1">
        <v>-6.9910727974400002</v>
      </c>
      <c r="E2974" s="3">
        <v>3</v>
      </c>
      <c r="F2974" s="2">
        <v>2</v>
      </c>
      <c r="G2974" s="4">
        <v>3</v>
      </c>
      <c r="H2974" s="13"/>
      <c r="I2974" s="15"/>
      <c r="J2974" s="19">
        <v>3</v>
      </c>
      <c r="K2974" s="2" t="s">
        <v>5960</v>
      </c>
      <c r="L2974" s="11" t="str">
        <f t="shared" si="47"/>
        <v>Ver Imagen</v>
      </c>
      <c r="M2974" t="s">
        <v>15</v>
      </c>
    </row>
    <row r="2975" spans="1:13" x14ac:dyDescent="0.25">
      <c r="A2975">
        <v>2974</v>
      </c>
      <c r="B2975" t="s">
        <v>5961</v>
      </c>
      <c r="C2975" s="1">
        <v>37.268604811499998</v>
      </c>
      <c r="D2975" s="1">
        <v>-6.9904494683799996</v>
      </c>
      <c r="E2975" s="3">
        <v>3</v>
      </c>
      <c r="F2975" s="2">
        <v>2</v>
      </c>
      <c r="G2975" s="4">
        <v>3</v>
      </c>
      <c r="H2975" s="13"/>
      <c r="I2975" s="15"/>
      <c r="J2975" s="19">
        <v>3</v>
      </c>
      <c r="K2975" s="2" t="s">
        <v>5962</v>
      </c>
      <c r="L2975" s="11" t="str">
        <f t="shared" si="47"/>
        <v>Ver Imagen</v>
      </c>
      <c r="M2975" t="s">
        <v>15</v>
      </c>
    </row>
    <row r="2976" spans="1:13" x14ac:dyDescent="0.25">
      <c r="A2976">
        <v>2975</v>
      </c>
      <c r="B2976" t="s">
        <v>5963</v>
      </c>
      <c r="C2976" s="1">
        <v>37.268776866700001</v>
      </c>
      <c r="D2976" s="1">
        <v>-6.9903278068599999</v>
      </c>
      <c r="E2976" s="3">
        <v>3</v>
      </c>
      <c r="F2976" s="2">
        <v>2</v>
      </c>
      <c r="G2976" s="4">
        <v>3</v>
      </c>
      <c r="H2976" s="13"/>
      <c r="I2976" s="15"/>
      <c r="J2976" s="19">
        <v>3</v>
      </c>
      <c r="K2976" s="2" t="s">
        <v>5964</v>
      </c>
      <c r="L2976" s="11" t="str">
        <f t="shared" si="47"/>
        <v>Ver Imagen</v>
      </c>
      <c r="M2976" t="s">
        <v>15</v>
      </c>
    </row>
    <row r="2977" spans="1:13" x14ac:dyDescent="0.25">
      <c r="A2977">
        <v>2976</v>
      </c>
      <c r="B2977" t="s">
        <v>5965</v>
      </c>
      <c r="C2977" s="1">
        <v>37.268968367799999</v>
      </c>
      <c r="D2977" s="1">
        <v>-6.99019252133</v>
      </c>
      <c r="E2977" s="3">
        <v>3</v>
      </c>
      <c r="F2977" s="2">
        <v>2</v>
      </c>
      <c r="G2977" s="4">
        <v>3</v>
      </c>
      <c r="H2977" s="13"/>
      <c r="I2977" s="15"/>
      <c r="J2977" s="19">
        <v>3</v>
      </c>
      <c r="K2977" s="2" t="s">
        <v>5966</v>
      </c>
      <c r="L2977" s="11" t="str">
        <f t="shared" si="47"/>
        <v>Ver Imagen</v>
      </c>
      <c r="M2977" t="s">
        <v>15</v>
      </c>
    </row>
    <row r="2978" spans="1:13" x14ac:dyDescent="0.25">
      <c r="A2978">
        <v>2977</v>
      </c>
      <c r="B2978" t="s">
        <v>5967</v>
      </c>
      <c r="C2978" s="1">
        <v>37.269123647900003</v>
      </c>
      <c r="D2978" s="1">
        <v>-6.9900832151200003</v>
      </c>
      <c r="E2978" s="3">
        <v>3</v>
      </c>
      <c r="F2978" s="2">
        <v>2</v>
      </c>
      <c r="G2978" s="4">
        <v>3</v>
      </c>
      <c r="H2978" s="13"/>
      <c r="I2978" s="15"/>
      <c r="J2978" s="19">
        <v>3</v>
      </c>
      <c r="K2978" s="2" t="s">
        <v>5968</v>
      </c>
      <c r="L2978" s="11" t="str">
        <f t="shared" si="47"/>
        <v>Ver Imagen</v>
      </c>
      <c r="M2978" t="s">
        <v>15</v>
      </c>
    </row>
    <row r="2979" spans="1:13" x14ac:dyDescent="0.25">
      <c r="A2979">
        <v>2978</v>
      </c>
      <c r="B2979" t="s">
        <v>5969</v>
      </c>
      <c r="C2979" s="1">
        <v>37.269310226899997</v>
      </c>
      <c r="D2979" s="1">
        <v>-6.98995241159</v>
      </c>
      <c r="E2979" s="3">
        <v>3</v>
      </c>
      <c r="F2979" s="2">
        <v>2</v>
      </c>
      <c r="G2979" s="4">
        <v>3</v>
      </c>
      <c r="H2979" s="13"/>
      <c r="I2979" s="15"/>
      <c r="J2979" s="19">
        <v>3</v>
      </c>
      <c r="K2979" s="2" t="s">
        <v>5970</v>
      </c>
      <c r="L2979" s="11" t="str">
        <f t="shared" si="47"/>
        <v>Ver Imagen</v>
      </c>
      <c r="M2979" t="s">
        <v>15</v>
      </c>
    </row>
    <row r="2980" spans="1:13" x14ac:dyDescent="0.25">
      <c r="A2980">
        <v>2979</v>
      </c>
      <c r="B2980" t="s">
        <v>5971</v>
      </c>
      <c r="C2980" s="1">
        <v>37.2694828156</v>
      </c>
      <c r="D2980" s="1">
        <v>-6.9898315468999996</v>
      </c>
      <c r="E2980" s="3">
        <v>3</v>
      </c>
      <c r="F2980" s="2">
        <v>2</v>
      </c>
      <c r="G2980" s="4">
        <v>3</v>
      </c>
      <c r="H2980" s="13"/>
      <c r="I2980" s="15"/>
      <c r="J2980" s="19">
        <v>3</v>
      </c>
      <c r="K2980" s="2" t="s">
        <v>5972</v>
      </c>
      <c r="L2980" s="11" t="str">
        <f t="shared" si="47"/>
        <v>Ver Imagen</v>
      </c>
      <c r="M2980" t="s">
        <v>15</v>
      </c>
    </row>
    <row r="2981" spans="1:13" x14ac:dyDescent="0.25">
      <c r="A2981">
        <v>2980</v>
      </c>
      <c r="B2981" t="s">
        <v>5973</v>
      </c>
      <c r="C2981" s="1">
        <v>37.269667501599997</v>
      </c>
      <c r="D2981" s="1">
        <v>-6.9897023945600001</v>
      </c>
      <c r="E2981" s="3">
        <v>3</v>
      </c>
      <c r="F2981" s="2">
        <v>2</v>
      </c>
      <c r="G2981" s="4">
        <v>3</v>
      </c>
      <c r="H2981" s="13"/>
      <c r="I2981" s="15"/>
      <c r="J2981" s="19">
        <v>3</v>
      </c>
      <c r="K2981" s="2" t="s">
        <v>5974</v>
      </c>
      <c r="L2981" s="11" t="str">
        <f t="shared" si="47"/>
        <v>Ver Imagen</v>
      </c>
      <c r="M2981" t="s">
        <v>15</v>
      </c>
    </row>
    <row r="2982" spans="1:13" x14ac:dyDescent="0.25">
      <c r="A2982">
        <v>2981</v>
      </c>
      <c r="B2982" t="s">
        <v>5975</v>
      </c>
      <c r="C2982" s="1">
        <v>37.269841178599997</v>
      </c>
      <c r="D2982" s="1">
        <v>-6.9895818645099999</v>
      </c>
      <c r="E2982" s="3">
        <v>3</v>
      </c>
      <c r="F2982" s="2">
        <v>2</v>
      </c>
      <c r="G2982" s="4">
        <v>3</v>
      </c>
      <c r="H2982" s="13"/>
      <c r="I2982" s="15"/>
      <c r="J2982" s="19">
        <v>3</v>
      </c>
      <c r="K2982" s="2" t="s">
        <v>5976</v>
      </c>
      <c r="L2982" s="11" t="str">
        <f t="shared" si="47"/>
        <v>Ver Imagen</v>
      </c>
      <c r="M2982" t="s">
        <v>15</v>
      </c>
    </row>
    <row r="2983" spans="1:13" x14ac:dyDescent="0.25">
      <c r="A2983">
        <v>2982</v>
      </c>
      <c r="B2983" t="s">
        <v>5977</v>
      </c>
      <c r="C2983" s="1">
        <v>37.2709370603</v>
      </c>
      <c r="D2983" s="1">
        <v>-6.9827359168900003</v>
      </c>
      <c r="E2983" s="3">
        <v>3</v>
      </c>
      <c r="F2983" s="2">
        <v>3</v>
      </c>
      <c r="G2983" s="4">
        <v>4</v>
      </c>
      <c r="H2983" s="13"/>
      <c r="I2983" s="15"/>
      <c r="J2983" s="19">
        <v>3</v>
      </c>
      <c r="K2983" s="2" t="s">
        <v>5978</v>
      </c>
      <c r="L2983" s="11" t="str">
        <f t="shared" si="47"/>
        <v>Ver Imagen</v>
      </c>
      <c r="M2983" t="s">
        <v>15</v>
      </c>
    </row>
    <row r="2984" spans="1:13" x14ac:dyDescent="0.25">
      <c r="A2984">
        <v>2983</v>
      </c>
      <c r="B2984" t="s">
        <v>5979</v>
      </c>
      <c r="C2984" s="1">
        <v>37.270717278299998</v>
      </c>
      <c r="D2984" s="1">
        <v>-6.9819584714099996</v>
      </c>
      <c r="E2984" s="3">
        <v>3</v>
      </c>
      <c r="F2984" s="2">
        <v>3</v>
      </c>
      <c r="G2984" s="4">
        <v>4</v>
      </c>
      <c r="H2984" s="13"/>
      <c r="I2984" s="15"/>
      <c r="J2984" s="19">
        <v>3</v>
      </c>
      <c r="K2984" s="2" t="s">
        <v>5980</v>
      </c>
      <c r="L2984" s="11" t="str">
        <f t="shared" si="47"/>
        <v>Ver Imagen</v>
      </c>
      <c r="M2984" t="s">
        <v>15</v>
      </c>
    </row>
    <row r="2985" spans="1:13" x14ac:dyDescent="0.25">
      <c r="A2985">
        <v>2984</v>
      </c>
      <c r="B2985" t="s">
        <v>5981</v>
      </c>
      <c r="C2985" s="1">
        <v>37.2706603106</v>
      </c>
      <c r="D2985" s="1">
        <v>-6.9817556822500002</v>
      </c>
      <c r="E2985" s="3">
        <v>3</v>
      </c>
      <c r="F2985" s="2">
        <v>3</v>
      </c>
      <c r="G2985" s="4">
        <v>4</v>
      </c>
      <c r="H2985" s="13"/>
      <c r="I2985" s="15"/>
      <c r="J2985" s="19">
        <v>3</v>
      </c>
      <c r="K2985" s="2" t="s">
        <v>5982</v>
      </c>
      <c r="L2985" s="11" t="str">
        <f t="shared" ref="L2985:L3048" si="48">HYPERLINK("3\1\" &amp; K2985, "Ver Imagen")</f>
        <v>Ver Imagen</v>
      </c>
      <c r="M2985" t="s">
        <v>15</v>
      </c>
    </row>
    <row r="2986" spans="1:13" x14ac:dyDescent="0.25">
      <c r="A2986">
        <v>2985</v>
      </c>
      <c r="B2986" t="s">
        <v>5983</v>
      </c>
      <c r="C2986" s="1">
        <v>37.2706000493</v>
      </c>
      <c r="D2986" s="1">
        <v>-6.9815468893899997</v>
      </c>
      <c r="E2986" s="3">
        <v>4</v>
      </c>
      <c r="F2986" s="2">
        <v>3</v>
      </c>
      <c r="G2986" s="4">
        <v>3</v>
      </c>
      <c r="H2986" s="13"/>
      <c r="I2986" s="15"/>
      <c r="J2986" s="19">
        <v>3</v>
      </c>
      <c r="K2986" s="2" t="s">
        <v>5984</v>
      </c>
      <c r="L2986" s="11" t="str">
        <f t="shared" si="48"/>
        <v>Ver Imagen</v>
      </c>
      <c r="M2986" t="s">
        <v>15</v>
      </c>
    </row>
    <row r="2987" spans="1:13" x14ac:dyDescent="0.25">
      <c r="A2987">
        <v>2986</v>
      </c>
      <c r="B2987" t="s">
        <v>5985</v>
      </c>
      <c r="C2987" s="1">
        <v>37.2703215931</v>
      </c>
      <c r="D2987" s="1">
        <v>-6.9805938245599997</v>
      </c>
      <c r="E2987" s="3">
        <v>3</v>
      </c>
      <c r="F2987" s="2">
        <v>4</v>
      </c>
      <c r="G2987" s="4">
        <v>3</v>
      </c>
      <c r="H2987" s="13"/>
      <c r="I2987" s="15"/>
      <c r="J2987" s="19">
        <v>3</v>
      </c>
      <c r="K2987" s="2" t="s">
        <v>5986</v>
      </c>
      <c r="L2987" s="11" t="str">
        <f t="shared" si="48"/>
        <v>Ver Imagen</v>
      </c>
      <c r="M2987" t="s">
        <v>15</v>
      </c>
    </row>
    <row r="2988" spans="1:13" x14ac:dyDescent="0.25">
      <c r="A2988">
        <v>2987</v>
      </c>
      <c r="B2988" t="s">
        <v>5987</v>
      </c>
      <c r="C2988" s="1">
        <v>37.270048929700003</v>
      </c>
      <c r="D2988" s="1">
        <v>-6.9796345602800001</v>
      </c>
      <c r="E2988" s="3">
        <v>3</v>
      </c>
      <c r="F2988" s="2">
        <v>4</v>
      </c>
      <c r="G2988" s="4">
        <v>3</v>
      </c>
      <c r="H2988" s="13"/>
      <c r="I2988" s="15"/>
      <c r="J2988" s="19">
        <v>3</v>
      </c>
      <c r="K2988" s="2" t="s">
        <v>5988</v>
      </c>
      <c r="L2988" s="11" t="str">
        <f t="shared" si="48"/>
        <v>Ver Imagen</v>
      </c>
      <c r="M2988" t="s">
        <v>15</v>
      </c>
    </row>
    <row r="2989" spans="1:13" x14ac:dyDescent="0.25">
      <c r="A2989">
        <v>2988</v>
      </c>
      <c r="B2989" t="s">
        <v>5989</v>
      </c>
      <c r="C2989" s="1">
        <v>37.269841174100002</v>
      </c>
      <c r="D2989" s="1">
        <v>-6.9789097988600002</v>
      </c>
      <c r="E2989" s="3">
        <v>4</v>
      </c>
      <c r="F2989" s="2">
        <v>3</v>
      </c>
      <c r="G2989" s="4">
        <v>3</v>
      </c>
      <c r="H2989" s="13"/>
      <c r="I2989" s="15"/>
      <c r="J2989" s="19">
        <v>3</v>
      </c>
      <c r="K2989" s="2" t="s">
        <v>5990</v>
      </c>
      <c r="L2989" s="11" t="str">
        <f t="shared" si="48"/>
        <v>Ver Imagen</v>
      </c>
      <c r="M2989" t="s">
        <v>15</v>
      </c>
    </row>
    <row r="2990" spans="1:13" x14ac:dyDescent="0.25">
      <c r="A2990">
        <v>2989</v>
      </c>
      <c r="B2990" t="s">
        <v>5991</v>
      </c>
      <c r="C2990" s="1">
        <v>37.465381792800002</v>
      </c>
      <c r="D2990" s="1">
        <v>-7.1810223577399999</v>
      </c>
      <c r="E2990" s="3">
        <v>4</v>
      </c>
      <c r="F2990" s="2">
        <v>3</v>
      </c>
      <c r="G2990" s="4">
        <v>3</v>
      </c>
      <c r="H2990" s="13"/>
      <c r="I2990" s="15"/>
      <c r="J2990" s="19">
        <v>3</v>
      </c>
      <c r="K2990" s="2" t="s">
        <v>5992</v>
      </c>
      <c r="L2990" s="11" t="str">
        <f t="shared" si="48"/>
        <v>Ver Imagen</v>
      </c>
      <c r="M2990" t="s">
        <v>15</v>
      </c>
    </row>
    <row r="2991" spans="1:13" x14ac:dyDescent="0.25">
      <c r="A2991">
        <v>2990</v>
      </c>
      <c r="B2991" t="s">
        <v>5993</v>
      </c>
      <c r="C2991" s="1">
        <v>37.465830468999997</v>
      </c>
      <c r="D2991" s="1">
        <v>-7.1818630525199998</v>
      </c>
      <c r="E2991" s="3">
        <v>3</v>
      </c>
      <c r="F2991" s="2">
        <v>3</v>
      </c>
      <c r="G2991" s="4">
        <v>4</v>
      </c>
      <c r="H2991" s="13"/>
      <c r="I2991" s="15"/>
      <c r="J2991" s="19">
        <v>3</v>
      </c>
      <c r="K2991" s="2" t="s">
        <v>5994</v>
      </c>
      <c r="L2991" s="11" t="str">
        <f t="shared" si="48"/>
        <v>Ver Imagen</v>
      </c>
      <c r="M2991" t="s">
        <v>15</v>
      </c>
    </row>
    <row r="2992" spans="1:13" x14ac:dyDescent="0.25">
      <c r="A2992">
        <v>2991</v>
      </c>
      <c r="B2992" t="s">
        <v>5995</v>
      </c>
      <c r="C2992" s="1">
        <v>37.466647160000001</v>
      </c>
      <c r="D2992" s="1">
        <v>-7.1833862572999996</v>
      </c>
      <c r="E2992" s="3">
        <v>3</v>
      </c>
      <c r="F2992" s="2">
        <v>3</v>
      </c>
      <c r="G2992" s="4">
        <v>4</v>
      </c>
      <c r="H2992" s="13"/>
      <c r="I2992" s="15"/>
      <c r="J2992" s="19">
        <v>3</v>
      </c>
      <c r="K2992" s="2" t="s">
        <v>5996</v>
      </c>
      <c r="L2992" s="11" t="str">
        <f t="shared" si="48"/>
        <v>Ver Imagen</v>
      </c>
      <c r="M2992" t="s">
        <v>15</v>
      </c>
    </row>
    <row r="2993" spans="1:13" x14ac:dyDescent="0.25">
      <c r="A2993">
        <v>2992</v>
      </c>
      <c r="B2993" t="s">
        <v>5997</v>
      </c>
      <c r="C2993" s="1">
        <v>37.495231338300002</v>
      </c>
      <c r="D2993" s="1">
        <v>-7.2676356689599997</v>
      </c>
      <c r="E2993" s="3">
        <v>4</v>
      </c>
      <c r="F2993" s="2">
        <v>3</v>
      </c>
      <c r="G2993" s="4">
        <v>3</v>
      </c>
      <c r="H2993" s="13"/>
      <c r="I2993" s="15"/>
      <c r="J2993" s="19">
        <v>3</v>
      </c>
      <c r="K2993" s="2" t="s">
        <v>5998</v>
      </c>
      <c r="L2993" s="11" t="str">
        <f t="shared" si="48"/>
        <v>Ver Imagen</v>
      </c>
      <c r="M2993" t="s">
        <v>15</v>
      </c>
    </row>
    <row r="2994" spans="1:13" x14ac:dyDescent="0.25">
      <c r="A2994">
        <v>2993</v>
      </c>
      <c r="B2994" t="s">
        <v>5999</v>
      </c>
      <c r="C2994" s="1">
        <v>37.495433845599997</v>
      </c>
      <c r="D2994" s="1">
        <v>-7.2676832747200004</v>
      </c>
      <c r="E2994" s="3">
        <v>4</v>
      </c>
      <c r="F2994" s="2">
        <v>3</v>
      </c>
      <c r="G2994" s="4">
        <v>3</v>
      </c>
      <c r="H2994" s="13"/>
      <c r="I2994" s="15"/>
      <c r="J2994" s="19">
        <v>3</v>
      </c>
      <c r="K2994" s="2" t="s">
        <v>6000</v>
      </c>
      <c r="L2994" s="11" t="str">
        <f t="shared" si="48"/>
        <v>Ver Imagen</v>
      </c>
      <c r="M2994" t="s">
        <v>15</v>
      </c>
    </row>
    <row r="2995" spans="1:13" x14ac:dyDescent="0.25">
      <c r="A2995">
        <v>2994</v>
      </c>
      <c r="B2995" t="s">
        <v>6001</v>
      </c>
      <c r="C2995" s="1">
        <v>37.2751812829</v>
      </c>
      <c r="D2995" s="1">
        <v>-6.9911724057700004</v>
      </c>
      <c r="E2995" s="3">
        <v>3</v>
      </c>
      <c r="F2995" s="2">
        <v>3</v>
      </c>
      <c r="G2995" s="4">
        <v>4</v>
      </c>
      <c r="H2995" s="13"/>
      <c r="I2995" s="15"/>
      <c r="J2995" s="19">
        <v>3</v>
      </c>
      <c r="K2995" s="2" t="s">
        <v>6002</v>
      </c>
      <c r="L2995" s="11" t="str">
        <f t="shared" si="48"/>
        <v>Ver Imagen</v>
      </c>
      <c r="M2995" t="s">
        <v>15</v>
      </c>
    </row>
    <row r="2996" spans="1:13" x14ac:dyDescent="0.25">
      <c r="A2996">
        <v>2995</v>
      </c>
      <c r="B2996" t="s">
        <v>6003</v>
      </c>
      <c r="C2996" s="1">
        <v>37.279976814299999</v>
      </c>
      <c r="D2996" s="1">
        <v>-6.9989756508400003</v>
      </c>
      <c r="E2996" s="3">
        <v>3</v>
      </c>
      <c r="F2996" s="2">
        <v>3</v>
      </c>
      <c r="G2996" s="4">
        <v>4</v>
      </c>
      <c r="H2996" s="13"/>
      <c r="I2996" s="15"/>
      <c r="J2996" s="19">
        <v>3</v>
      </c>
      <c r="K2996" s="2" t="s">
        <v>6004</v>
      </c>
      <c r="L2996" s="11" t="str">
        <f t="shared" si="48"/>
        <v>Ver Imagen</v>
      </c>
      <c r="M2996" t="s">
        <v>15</v>
      </c>
    </row>
    <row r="2997" spans="1:13" x14ac:dyDescent="0.25">
      <c r="A2997">
        <v>2996</v>
      </c>
      <c r="B2997" t="s">
        <v>6005</v>
      </c>
      <c r="C2997" s="1">
        <v>37.280036838699999</v>
      </c>
      <c r="D2997" s="1">
        <v>-6.9992572257700001</v>
      </c>
      <c r="E2997" s="3">
        <v>4</v>
      </c>
      <c r="F2997" s="2">
        <v>3</v>
      </c>
      <c r="G2997" s="4">
        <v>3</v>
      </c>
      <c r="H2997" s="13"/>
      <c r="I2997" s="15"/>
      <c r="J2997" s="19">
        <v>3</v>
      </c>
      <c r="K2997" s="2" t="s">
        <v>6006</v>
      </c>
      <c r="L2997" s="11" t="str">
        <f t="shared" si="48"/>
        <v>Ver Imagen</v>
      </c>
      <c r="M2997" t="s">
        <v>15</v>
      </c>
    </row>
    <row r="2998" spans="1:13" x14ac:dyDescent="0.25">
      <c r="A2998">
        <v>2997</v>
      </c>
      <c r="B2998" t="s">
        <v>6007</v>
      </c>
      <c r="C2998" s="1">
        <v>37.280593760999999</v>
      </c>
      <c r="D2998" s="1">
        <v>-7.0006300833999999</v>
      </c>
      <c r="E2998" s="3">
        <v>3</v>
      </c>
      <c r="F2998" s="2">
        <v>3</v>
      </c>
      <c r="G2998" s="4">
        <v>4</v>
      </c>
      <c r="H2998" s="13"/>
      <c r="I2998" s="15"/>
      <c r="J2998" s="19">
        <v>3</v>
      </c>
      <c r="K2998" s="2" t="s">
        <v>6008</v>
      </c>
      <c r="L2998" s="11" t="str">
        <f t="shared" si="48"/>
        <v>Ver Imagen</v>
      </c>
      <c r="M2998" t="s">
        <v>15</v>
      </c>
    </row>
    <row r="2999" spans="1:13" x14ac:dyDescent="0.25">
      <c r="A2999">
        <v>2998</v>
      </c>
      <c r="B2999" t="s">
        <v>6009</v>
      </c>
      <c r="C2999" s="1">
        <v>37.280472567499999</v>
      </c>
      <c r="D2999" s="1">
        <v>-7.0012388543900004</v>
      </c>
      <c r="E2999" s="3">
        <v>3</v>
      </c>
      <c r="F2999" s="2">
        <v>3</v>
      </c>
      <c r="G2999" s="4">
        <v>4</v>
      </c>
      <c r="H2999" s="13"/>
      <c r="I2999" s="15"/>
      <c r="J2999" s="19">
        <v>3</v>
      </c>
      <c r="K2999" s="2" t="s">
        <v>6010</v>
      </c>
      <c r="L2999" s="11" t="str">
        <f t="shared" si="48"/>
        <v>Ver Imagen</v>
      </c>
      <c r="M2999" t="s">
        <v>15</v>
      </c>
    </row>
    <row r="3000" spans="1:13" x14ac:dyDescent="0.25">
      <c r="A3000">
        <v>2999</v>
      </c>
      <c r="B3000" t="s">
        <v>6011</v>
      </c>
      <c r="C3000" s="1">
        <v>37.280468127399999</v>
      </c>
      <c r="D3000" s="1">
        <v>-7.00149102567</v>
      </c>
      <c r="E3000" s="3">
        <v>3</v>
      </c>
      <c r="F3000" s="2">
        <v>3</v>
      </c>
      <c r="G3000" s="4">
        <v>4</v>
      </c>
      <c r="H3000" s="13"/>
      <c r="I3000" s="15"/>
      <c r="J3000" s="19">
        <v>3</v>
      </c>
      <c r="K3000" s="2" t="s">
        <v>6012</v>
      </c>
      <c r="L3000" s="11" t="str">
        <f t="shared" si="48"/>
        <v>Ver Imagen</v>
      </c>
      <c r="M3000" t="s">
        <v>15</v>
      </c>
    </row>
    <row r="3001" spans="1:13" x14ac:dyDescent="0.25">
      <c r="A3001">
        <v>3000</v>
      </c>
      <c r="B3001" t="s">
        <v>6013</v>
      </c>
      <c r="C3001" s="1">
        <v>37.280320510199999</v>
      </c>
      <c r="D3001" s="1">
        <v>-7.0051893225899997</v>
      </c>
      <c r="E3001" s="3">
        <v>3</v>
      </c>
      <c r="F3001" s="2">
        <v>3</v>
      </c>
      <c r="G3001" s="4">
        <v>4</v>
      </c>
      <c r="H3001" s="13"/>
      <c r="I3001" s="15"/>
      <c r="J3001" s="19">
        <v>3</v>
      </c>
      <c r="K3001" s="2" t="s">
        <v>6014</v>
      </c>
      <c r="L3001" s="11" t="str">
        <f t="shared" si="48"/>
        <v>Ver Imagen</v>
      </c>
      <c r="M3001" t="s">
        <v>15</v>
      </c>
    </row>
    <row r="3002" spans="1:13" x14ac:dyDescent="0.25">
      <c r="A3002">
        <v>3001</v>
      </c>
      <c r="B3002" t="s">
        <v>6015</v>
      </c>
      <c r="C3002" s="1">
        <v>37.284588433499998</v>
      </c>
      <c r="D3002" s="1">
        <v>-7.0390457021100001</v>
      </c>
      <c r="E3002" s="3">
        <v>3</v>
      </c>
      <c r="F3002" s="2">
        <v>3</v>
      </c>
      <c r="G3002" s="4">
        <v>4</v>
      </c>
      <c r="H3002" s="13"/>
      <c r="I3002" s="15"/>
      <c r="J3002" s="19">
        <v>3</v>
      </c>
      <c r="K3002" s="2" t="s">
        <v>6016</v>
      </c>
      <c r="L3002" s="11" t="str">
        <f t="shared" si="48"/>
        <v>Ver Imagen</v>
      </c>
      <c r="M3002" t="s">
        <v>15</v>
      </c>
    </row>
    <row r="3003" spans="1:13" x14ac:dyDescent="0.25">
      <c r="A3003">
        <v>3002</v>
      </c>
      <c r="B3003" t="s">
        <v>6017</v>
      </c>
      <c r="C3003" s="1">
        <v>37.284658890999999</v>
      </c>
      <c r="D3003" s="1">
        <v>-7.0392955363700001</v>
      </c>
      <c r="E3003" s="3">
        <v>3</v>
      </c>
      <c r="F3003" s="2">
        <v>3</v>
      </c>
      <c r="G3003" s="4">
        <v>4</v>
      </c>
      <c r="H3003" s="13"/>
      <c r="I3003" s="15"/>
      <c r="J3003" s="19">
        <v>3</v>
      </c>
      <c r="K3003" s="2" t="s">
        <v>6018</v>
      </c>
      <c r="L3003" s="11" t="str">
        <f t="shared" si="48"/>
        <v>Ver Imagen</v>
      </c>
      <c r="M3003" t="s">
        <v>15</v>
      </c>
    </row>
    <row r="3004" spans="1:13" x14ac:dyDescent="0.25">
      <c r="A3004">
        <v>3003</v>
      </c>
      <c r="B3004" t="s">
        <v>6019</v>
      </c>
      <c r="C3004" s="1">
        <v>37.295362398999998</v>
      </c>
      <c r="D3004" s="1">
        <v>-7.0490644856699998</v>
      </c>
      <c r="E3004" s="3">
        <v>3</v>
      </c>
      <c r="F3004" s="2">
        <v>3</v>
      </c>
      <c r="G3004" s="4">
        <v>4</v>
      </c>
      <c r="H3004" s="13"/>
      <c r="I3004" s="15"/>
      <c r="J3004" s="19">
        <v>3</v>
      </c>
      <c r="K3004" s="2" t="s">
        <v>6020</v>
      </c>
      <c r="L3004" s="11" t="str">
        <f t="shared" si="48"/>
        <v>Ver Imagen</v>
      </c>
      <c r="M3004" t="s">
        <v>15</v>
      </c>
    </row>
    <row r="3005" spans="1:13" x14ac:dyDescent="0.25">
      <c r="A3005">
        <v>3004</v>
      </c>
      <c r="B3005" t="s">
        <v>6021</v>
      </c>
      <c r="C3005" s="1">
        <v>37.318955542200001</v>
      </c>
      <c r="D3005" s="1">
        <v>-7.0714235301899997</v>
      </c>
      <c r="E3005" s="3">
        <v>3</v>
      </c>
      <c r="F3005" s="2">
        <v>3</v>
      </c>
      <c r="G3005" s="4">
        <v>4</v>
      </c>
      <c r="H3005" s="13"/>
      <c r="I3005" s="15"/>
      <c r="J3005" s="19">
        <v>3</v>
      </c>
      <c r="K3005" s="2" t="s">
        <v>6022</v>
      </c>
      <c r="L3005" s="11" t="str">
        <f t="shared" si="48"/>
        <v>Ver Imagen</v>
      </c>
      <c r="M3005" t="s">
        <v>15</v>
      </c>
    </row>
    <row r="3006" spans="1:13" x14ac:dyDescent="0.25">
      <c r="A3006">
        <v>3005</v>
      </c>
      <c r="B3006" t="s">
        <v>6023</v>
      </c>
      <c r="C3006" s="1">
        <v>37.319137690200002</v>
      </c>
      <c r="D3006" s="1">
        <v>-7.0714564003299998</v>
      </c>
      <c r="E3006" s="3">
        <v>3</v>
      </c>
      <c r="F3006" s="2">
        <v>3</v>
      </c>
      <c r="G3006" s="4">
        <v>4</v>
      </c>
      <c r="H3006" s="13"/>
      <c r="I3006" s="15"/>
      <c r="J3006" s="19">
        <v>3</v>
      </c>
      <c r="K3006" s="2" t="s">
        <v>6024</v>
      </c>
      <c r="L3006" s="11" t="str">
        <f t="shared" si="48"/>
        <v>Ver Imagen</v>
      </c>
      <c r="M3006" t="s">
        <v>15</v>
      </c>
    </row>
    <row r="3007" spans="1:13" x14ac:dyDescent="0.25">
      <c r="A3007">
        <v>3006</v>
      </c>
      <c r="B3007" t="s">
        <v>6025</v>
      </c>
      <c r="C3007" s="1">
        <v>37.453707767700003</v>
      </c>
      <c r="D3007" s="1">
        <v>-7.1124472433200001</v>
      </c>
      <c r="E3007" s="3">
        <v>4</v>
      </c>
      <c r="F3007" s="2">
        <v>3</v>
      </c>
      <c r="G3007" s="4">
        <v>3</v>
      </c>
      <c r="H3007" s="13"/>
      <c r="I3007" s="15"/>
      <c r="J3007" s="19">
        <v>3</v>
      </c>
      <c r="K3007" s="2" t="s">
        <v>6026</v>
      </c>
      <c r="L3007" s="11" t="str">
        <f t="shared" si="48"/>
        <v>Ver Imagen</v>
      </c>
      <c r="M3007" t="s">
        <v>15</v>
      </c>
    </row>
    <row r="3008" spans="1:13" x14ac:dyDescent="0.25">
      <c r="A3008">
        <v>3007</v>
      </c>
      <c r="B3008" t="s">
        <v>6027</v>
      </c>
      <c r="C3008" s="1">
        <v>37.446967894499998</v>
      </c>
      <c r="D3008" s="1">
        <v>-7.10817475151</v>
      </c>
      <c r="E3008" s="3">
        <v>3</v>
      </c>
      <c r="F3008" s="2">
        <v>3</v>
      </c>
      <c r="G3008" s="4">
        <v>4</v>
      </c>
      <c r="H3008" s="13"/>
      <c r="I3008" s="15"/>
      <c r="J3008" s="19">
        <v>3</v>
      </c>
      <c r="K3008" s="2" t="s">
        <v>6028</v>
      </c>
      <c r="L3008" s="11" t="str">
        <f t="shared" si="48"/>
        <v>Ver Imagen</v>
      </c>
      <c r="M3008" t="s">
        <v>15</v>
      </c>
    </row>
    <row r="3009" spans="1:13" x14ac:dyDescent="0.25">
      <c r="A3009">
        <v>3009</v>
      </c>
      <c r="B3009" t="s">
        <v>6029</v>
      </c>
      <c r="C3009" s="1">
        <v>37.446815963299997</v>
      </c>
      <c r="D3009" s="1">
        <v>-7.1066775191299998</v>
      </c>
      <c r="E3009" s="3">
        <v>3</v>
      </c>
      <c r="F3009" s="2">
        <v>3</v>
      </c>
      <c r="G3009" s="4">
        <v>4</v>
      </c>
      <c r="H3009" s="13"/>
      <c r="I3009" s="15"/>
      <c r="J3009" s="19">
        <v>3</v>
      </c>
      <c r="K3009" s="2" t="s">
        <v>6030</v>
      </c>
      <c r="L3009" s="11" t="str">
        <f t="shared" si="48"/>
        <v>Ver Imagen</v>
      </c>
      <c r="M3009" t="s">
        <v>15</v>
      </c>
    </row>
    <row r="3010" spans="1:13" x14ac:dyDescent="0.25">
      <c r="A3010">
        <v>3010</v>
      </c>
      <c r="B3010" t="s">
        <v>6031</v>
      </c>
      <c r="C3010" s="1">
        <v>37.267505345899998</v>
      </c>
      <c r="D3010" s="1">
        <v>-6.9632846695900001</v>
      </c>
      <c r="E3010" s="3">
        <v>3</v>
      </c>
      <c r="F3010" s="2">
        <v>3</v>
      </c>
      <c r="G3010" s="4">
        <v>4</v>
      </c>
      <c r="H3010" s="13"/>
      <c r="I3010" s="15"/>
      <c r="J3010" s="19">
        <v>3</v>
      </c>
      <c r="K3010" s="2" t="s">
        <v>6032</v>
      </c>
      <c r="L3010" s="11" t="str">
        <f t="shared" si="48"/>
        <v>Ver Imagen</v>
      </c>
      <c r="M3010" t="s">
        <v>15</v>
      </c>
    </row>
    <row r="3011" spans="1:13" x14ac:dyDescent="0.25">
      <c r="A3011">
        <v>3011</v>
      </c>
      <c r="B3011" t="s">
        <v>6033</v>
      </c>
      <c r="C3011" s="1">
        <v>37.267477563900002</v>
      </c>
      <c r="D3011" s="1">
        <v>-6.9620167011999996</v>
      </c>
      <c r="E3011" s="3">
        <v>3</v>
      </c>
      <c r="F3011" s="2">
        <v>3</v>
      </c>
      <c r="G3011" s="4">
        <v>4</v>
      </c>
      <c r="H3011" s="13"/>
      <c r="I3011" s="15"/>
      <c r="J3011" s="19">
        <v>3</v>
      </c>
      <c r="K3011" s="2" t="s">
        <v>6034</v>
      </c>
      <c r="L3011" s="11" t="str">
        <f t="shared" si="48"/>
        <v>Ver Imagen</v>
      </c>
      <c r="M3011" t="s">
        <v>15</v>
      </c>
    </row>
    <row r="3012" spans="1:13" x14ac:dyDescent="0.25">
      <c r="A3012">
        <v>3012</v>
      </c>
      <c r="B3012" t="s">
        <v>6035</v>
      </c>
      <c r="C3012" s="1">
        <v>37.446652515700002</v>
      </c>
      <c r="D3012" s="1">
        <v>-7.1317543164700004</v>
      </c>
      <c r="E3012" s="3">
        <v>2</v>
      </c>
      <c r="F3012" s="2">
        <v>3</v>
      </c>
      <c r="G3012" s="4">
        <v>3</v>
      </c>
      <c r="H3012" s="13"/>
      <c r="I3012" s="15"/>
      <c r="J3012" s="19">
        <v>3</v>
      </c>
      <c r="K3012" s="2" t="s">
        <v>6036</v>
      </c>
      <c r="L3012" s="11" t="str">
        <f t="shared" si="48"/>
        <v>Ver Imagen</v>
      </c>
      <c r="M3012" t="s">
        <v>15</v>
      </c>
    </row>
    <row r="3013" spans="1:13" x14ac:dyDescent="0.25">
      <c r="A3013">
        <v>3013</v>
      </c>
      <c r="B3013" t="s">
        <v>6037</v>
      </c>
      <c r="C3013" s="1">
        <v>37.446929449400002</v>
      </c>
      <c r="D3013" s="1">
        <v>-7.1390602795099998</v>
      </c>
      <c r="E3013" s="3">
        <v>2</v>
      </c>
      <c r="F3013" s="2">
        <v>3</v>
      </c>
      <c r="G3013" s="4">
        <v>3</v>
      </c>
      <c r="H3013" s="13"/>
      <c r="I3013" s="15"/>
      <c r="J3013" s="19">
        <v>3</v>
      </c>
      <c r="K3013" s="2" t="s">
        <v>6038</v>
      </c>
      <c r="L3013" s="11" t="str">
        <f t="shared" si="48"/>
        <v>Ver Imagen</v>
      </c>
      <c r="M3013" t="s">
        <v>15</v>
      </c>
    </row>
    <row r="3014" spans="1:13" x14ac:dyDescent="0.25">
      <c r="A3014">
        <v>3014</v>
      </c>
      <c r="B3014" t="s">
        <v>6039</v>
      </c>
      <c r="C3014" s="1">
        <v>37.455290767199998</v>
      </c>
      <c r="D3014" s="1">
        <v>-7.1659316040999999</v>
      </c>
      <c r="E3014" s="3">
        <v>2</v>
      </c>
      <c r="F3014" s="2">
        <v>3</v>
      </c>
      <c r="G3014" s="4">
        <v>3</v>
      </c>
      <c r="H3014" s="13"/>
      <c r="I3014" s="15"/>
      <c r="J3014" s="19">
        <v>3</v>
      </c>
      <c r="K3014" s="2" t="s">
        <v>6040</v>
      </c>
      <c r="L3014" s="11" t="str">
        <f t="shared" si="48"/>
        <v>Ver Imagen</v>
      </c>
      <c r="M3014" t="s">
        <v>15</v>
      </c>
    </row>
    <row r="3015" spans="1:13" x14ac:dyDescent="0.25">
      <c r="A3015">
        <v>3015</v>
      </c>
      <c r="B3015" t="s">
        <v>6041</v>
      </c>
      <c r="C3015" s="1">
        <v>37.458314049499997</v>
      </c>
      <c r="D3015" s="1">
        <v>-7.1696500133800001</v>
      </c>
      <c r="E3015" s="3">
        <v>2</v>
      </c>
      <c r="F3015" s="2">
        <v>3</v>
      </c>
      <c r="G3015" s="4">
        <v>3</v>
      </c>
      <c r="H3015" s="13"/>
      <c r="I3015" s="15"/>
      <c r="J3015" s="19">
        <v>3</v>
      </c>
      <c r="K3015" s="2" t="s">
        <v>6042</v>
      </c>
      <c r="L3015" s="11" t="str">
        <f t="shared" si="48"/>
        <v>Ver Imagen</v>
      </c>
      <c r="M3015" t="s">
        <v>15</v>
      </c>
    </row>
    <row r="3016" spans="1:13" x14ac:dyDescent="0.25">
      <c r="A3016">
        <v>3016</v>
      </c>
      <c r="B3016" t="s">
        <v>6043</v>
      </c>
      <c r="C3016" s="1">
        <v>37.463424994500002</v>
      </c>
      <c r="D3016" s="1">
        <v>-7.1774631275600003</v>
      </c>
      <c r="E3016" s="3">
        <v>2</v>
      </c>
      <c r="F3016" s="2">
        <v>3</v>
      </c>
      <c r="G3016" s="4">
        <v>3</v>
      </c>
      <c r="H3016" s="13"/>
      <c r="I3016" s="15"/>
      <c r="J3016" s="19">
        <v>3</v>
      </c>
      <c r="K3016" s="2" t="s">
        <v>6044</v>
      </c>
      <c r="L3016" s="11" t="str">
        <f t="shared" si="48"/>
        <v>Ver Imagen</v>
      </c>
      <c r="M3016" t="s">
        <v>15</v>
      </c>
    </row>
    <row r="3017" spans="1:13" x14ac:dyDescent="0.25">
      <c r="A3017">
        <v>3017</v>
      </c>
      <c r="B3017" t="s">
        <v>6045</v>
      </c>
      <c r="C3017" s="1">
        <v>37.466203720700001</v>
      </c>
      <c r="D3017" s="1">
        <v>-7.1825511755499996</v>
      </c>
      <c r="E3017" s="3">
        <v>2</v>
      </c>
      <c r="F3017" s="2">
        <v>3</v>
      </c>
      <c r="G3017" s="4">
        <v>3</v>
      </c>
      <c r="H3017" s="13"/>
      <c r="I3017" s="15"/>
      <c r="J3017" s="19">
        <v>3</v>
      </c>
      <c r="K3017" s="2" t="s">
        <v>6046</v>
      </c>
      <c r="L3017" s="11" t="str">
        <f t="shared" si="48"/>
        <v>Ver Imagen</v>
      </c>
      <c r="M3017" t="s">
        <v>15</v>
      </c>
    </row>
    <row r="3018" spans="1:13" x14ac:dyDescent="0.25">
      <c r="A3018">
        <v>3018</v>
      </c>
      <c r="B3018" t="s">
        <v>6047</v>
      </c>
      <c r="C3018" s="1">
        <v>37.477173375500001</v>
      </c>
      <c r="D3018" s="1">
        <v>-7.2037935765099999</v>
      </c>
      <c r="E3018" s="3">
        <v>2</v>
      </c>
      <c r="F3018" s="2">
        <v>3</v>
      </c>
      <c r="G3018" s="4">
        <v>3</v>
      </c>
      <c r="H3018" s="13"/>
      <c r="I3018" s="15"/>
      <c r="J3018" s="19">
        <v>3</v>
      </c>
      <c r="K3018" s="2" t="s">
        <v>6048</v>
      </c>
      <c r="L3018" s="11" t="str">
        <f t="shared" si="48"/>
        <v>Ver Imagen</v>
      </c>
      <c r="M3018" t="s">
        <v>15</v>
      </c>
    </row>
    <row r="3019" spans="1:13" x14ac:dyDescent="0.25">
      <c r="A3019">
        <v>3019</v>
      </c>
      <c r="B3019" t="s">
        <v>6049</v>
      </c>
      <c r="C3019" s="1">
        <v>37.477745734599999</v>
      </c>
      <c r="D3019" s="1">
        <v>-7.2051107966599997</v>
      </c>
      <c r="E3019" s="3">
        <v>2</v>
      </c>
      <c r="F3019" s="2">
        <v>3</v>
      </c>
      <c r="G3019" s="4">
        <v>3</v>
      </c>
      <c r="H3019" s="13"/>
      <c r="I3019" s="15"/>
      <c r="J3019" s="19">
        <v>3</v>
      </c>
      <c r="K3019" s="2" t="s">
        <v>6050</v>
      </c>
      <c r="L3019" s="11" t="str">
        <f t="shared" si="48"/>
        <v>Ver Imagen</v>
      </c>
      <c r="M3019" t="s">
        <v>15</v>
      </c>
    </row>
    <row r="3020" spans="1:13" x14ac:dyDescent="0.25">
      <c r="A3020">
        <v>3020</v>
      </c>
      <c r="B3020" t="s">
        <v>6051</v>
      </c>
      <c r="C3020" s="1">
        <v>37.477843136799997</v>
      </c>
      <c r="D3020" s="1">
        <v>-7.2053393041999998</v>
      </c>
      <c r="E3020" s="3">
        <v>2</v>
      </c>
      <c r="F3020" s="2">
        <v>3</v>
      </c>
      <c r="G3020" s="4">
        <v>3</v>
      </c>
      <c r="H3020" s="13"/>
      <c r="I3020" s="15"/>
      <c r="J3020" s="19">
        <v>3</v>
      </c>
      <c r="K3020" s="2" t="s">
        <v>6052</v>
      </c>
      <c r="L3020" s="11" t="str">
        <f t="shared" si="48"/>
        <v>Ver Imagen</v>
      </c>
      <c r="M3020" t="s">
        <v>15</v>
      </c>
    </row>
    <row r="3021" spans="1:13" x14ac:dyDescent="0.25">
      <c r="A3021">
        <v>3021</v>
      </c>
      <c r="B3021" t="s">
        <v>6053</v>
      </c>
      <c r="C3021" s="1">
        <v>37.478045984200001</v>
      </c>
      <c r="D3021" s="1">
        <v>-7.2058110116999998</v>
      </c>
      <c r="E3021" s="3">
        <v>2</v>
      </c>
      <c r="F3021" s="2">
        <v>3</v>
      </c>
      <c r="G3021" s="4">
        <v>3</v>
      </c>
      <c r="H3021" s="13"/>
      <c r="I3021" s="15"/>
      <c r="J3021" s="19">
        <v>3</v>
      </c>
      <c r="K3021" s="2" t="s">
        <v>6054</v>
      </c>
      <c r="L3021" s="11" t="str">
        <f t="shared" si="48"/>
        <v>Ver Imagen</v>
      </c>
      <c r="M3021" t="s">
        <v>15</v>
      </c>
    </row>
    <row r="3022" spans="1:13" x14ac:dyDescent="0.25">
      <c r="A3022">
        <v>3022</v>
      </c>
      <c r="B3022" t="s">
        <v>6055</v>
      </c>
      <c r="C3022" s="1">
        <v>37.479180465500001</v>
      </c>
      <c r="D3022" s="1">
        <v>-7.2084676403100003</v>
      </c>
      <c r="E3022" s="3">
        <v>2</v>
      </c>
      <c r="F3022" s="2">
        <v>3</v>
      </c>
      <c r="G3022" s="4">
        <v>3</v>
      </c>
      <c r="H3022" s="13"/>
      <c r="I3022" s="15"/>
      <c r="J3022" s="19">
        <v>3</v>
      </c>
      <c r="K3022" s="2" t="s">
        <v>6056</v>
      </c>
      <c r="L3022" s="11" t="str">
        <f t="shared" si="48"/>
        <v>Ver Imagen</v>
      </c>
      <c r="M3022" t="s">
        <v>15</v>
      </c>
    </row>
    <row r="3023" spans="1:13" x14ac:dyDescent="0.25">
      <c r="A3023">
        <v>3023</v>
      </c>
      <c r="B3023" t="s">
        <v>6057</v>
      </c>
      <c r="C3023" s="1">
        <v>37.479658635600003</v>
      </c>
      <c r="D3023" s="1">
        <v>-7.2095657903500001</v>
      </c>
      <c r="E3023" s="3">
        <v>2</v>
      </c>
      <c r="F3023" s="2">
        <v>3</v>
      </c>
      <c r="G3023" s="4">
        <v>3</v>
      </c>
      <c r="H3023" s="13"/>
      <c r="I3023" s="15"/>
      <c r="J3023" s="19">
        <v>3</v>
      </c>
      <c r="K3023" s="2" t="s">
        <v>6058</v>
      </c>
      <c r="L3023" s="11" t="str">
        <f t="shared" si="48"/>
        <v>Ver Imagen</v>
      </c>
      <c r="M3023" t="s">
        <v>15</v>
      </c>
    </row>
    <row r="3024" spans="1:13" x14ac:dyDescent="0.25">
      <c r="A3024">
        <v>3024</v>
      </c>
      <c r="B3024" t="s">
        <v>6059</v>
      </c>
      <c r="C3024" s="1">
        <v>37.479885127000003</v>
      </c>
      <c r="D3024" s="1">
        <v>-7.2100866359899998</v>
      </c>
      <c r="E3024" s="3">
        <v>2</v>
      </c>
      <c r="F3024" s="2">
        <v>3</v>
      </c>
      <c r="G3024" s="4">
        <v>3</v>
      </c>
      <c r="H3024" s="13"/>
      <c r="I3024" s="15"/>
      <c r="J3024" s="19">
        <v>3</v>
      </c>
      <c r="K3024" s="2" t="s">
        <v>6060</v>
      </c>
      <c r="L3024" s="11" t="str">
        <f t="shared" si="48"/>
        <v>Ver Imagen</v>
      </c>
      <c r="M3024" t="s">
        <v>15</v>
      </c>
    </row>
    <row r="3025" spans="1:13" x14ac:dyDescent="0.25">
      <c r="A3025">
        <v>3025</v>
      </c>
      <c r="B3025" t="s">
        <v>6061</v>
      </c>
      <c r="C3025" s="1">
        <v>37.480869485299998</v>
      </c>
      <c r="D3025" s="1">
        <v>-7.2124954739499998</v>
      </c>
      <c r="E3025" s="3">
        <v>2</v>
      </c>
      <c r="F3025" s="2">
        <v>3</v>
      </c>
      <c r="G3025" s="4">
        <v>3</v>
      </c>
      <c r="H3025" s="13"/>
      <c r="I3025" s="15"/>
      <c r="J3025" s="19">
        <v>3</v>
      </c>
      <c r="K3025" s="2" t="s">
        <v>6062</v>
      </c>
      <c r="L3025" s="11" t="str">
        <f t="shared" si="48"/>
        <v>Ver Imagen</v>
      </c>
      <c r="M3025" t="s">
        <v>15</v>
      </c>
    </row>
    <row r="3026" spans="1:13" x14ac:dyDescent="0.25">
      <c r="A3026">
        <v>3026</v>
      </c>
      <c r="B3026" t="s">
        <v>6063</v>
      </c>
      <c r="C3026" s="1">
        <v>37.481050790200001</v>
      </c>
      <c r="D3026" s="1">
        <v>-7.2129871482099999</v>
      </c>
      <c r="E3026" s="3">
        <v>2</v>
      </c>
      <c r="F3026" s="2">
        <v>3</v>
      </c>
      <c r="G3026" s="4">
        <v>3</v>
      </c>
      <c r="H3026" s="13"/>
      <c r="I3026" s="15"/>
      <c r="J3026" s="19">
        <v>3</v>
      </c>
      <c r="K3026" s="2" t="s">
        <v>6064</v>
      </c>
      <c r="L3026" s="11" t="str">
        <f t="shared" si="48"/>
        <v>Ver Imagen</v>
      </c>
      <c r="M3026" t="s">
        <v>15</v>
      </c>
    </row>
    <row r="3027" spans="1:13" x14ac:dyDescent="0.25">
      <c r="A3027">
        <v>3027</v>
      </c>
      <c r="B3027" t="s">
        <v>6065</v>
      </c>
      <c r="C3027" s="1">
        <v>37.481981034199997</v>
      </c>
      <c r="D3027" s="1">
        <v>-7.2155140568</v>
      </c>
      <c r="E3027" s="3">
        <v>2</v>
      </c>
      <c r="F3027" s="2">
        <v>3</v>
      </c>
      <c r="G3027" s="4">
        <v>3</v>
      </c>
      <c r="H3027" s="13"/>
      <c r="I3027" s="15"/>
      <c r="J3027" s="19">
        <v>3</v>
      </c>
      <c r="K3027" s="2" t="s">
        <v>6066</v>
      </c>
      <c r="L3027" s="11" t="str">
        <f t="shared" si="48"/>
        <v>Ver Imagen</v>
      </c>
      <c r="M3027" t="s">
        <v>15</v>
      </c>
    </row>
    <row r="3028" spans="1:13" x14ac:dyDescent="0.25">
      <c r="A3028">
        <v>3028</v>
      </c>
      <c r="B3028" t="s">
        <v>6067</v>
      </c>
      <c r="C3028" s="1">
        <v>37.484022080099997</v>
      </c>
      <c r="D3028" s="1">
        <v>-7.2254264071899996</v>
      </c>
      <c r="E3028" s="3">
        <v>2</v>
      </c>
      <c r="F3028" s="2">
        <v>3</v>
      </c>
      <c r="G3028" s="4">
        <v>3</v>
      </c>
      <c r="H3028" s="13"/>
      <c r="I3028" s="15"/>
      <c r="J3028" s="19">
        <v>3</v>
      </c>
      <c r="K3028" s="2" t="s">
        <v>6068</v>
      </c>
      <c r="L3028" s="11" t="str">
        <f t="shared" si="48"/>
        <v>Ver Imagen</v>
      </c>
      <c r="M3028" t="s">
        <v>15</v>
      </c>
    </row>
    <row r="3029" spans="1:13" x14ac:dyDescent="0.25">
      <c r="A3029">
        <v>3029</v>
      </c>
      <c r="B3029" t="s">
        <v>6069</v>
      </c>
      <c r="C3029" s="1">
        <v>37.484725334799997</v>
      </c>
      <c r="D3029" s="1">
        <v>-7.2290316733999997</v>
      </c>
      <c r="E3029" s="3">
        <v>2</v>
      </c>
      <c r="F3029" s="2">
        <v>3</v>
      </c>
      <c r="G3029" s="4">
        <v>3</v>
      </c>
      <c r="H3029" s="13"/>
      <c r="I3029" s="15"/>
      <c r="J3029" s="19">
        <v>3</v>
      </c>
      <c r="K3029" s="2" t="s">
        <v>6070</v>
      </c>
      <c r="L3029" s="11" t="str">
        <f t="shared" si="48"/>
        <v>Ver Imagen</v>
      </c>
      <c r="M3029" t="s">
        <v>15</v>
      </c>
    </row>
    <row r="3030" spans="1:13" x14ac:dyDescent="0.25">
      <c r="A3030">
        <v>3030</v>
      </c>
      <c r="B3030" t="s">
        <v>6071</v>
      </c>
      <c r="C3030" s="1">
        <v>37.487772406300003</v>
      </c>
      <c r="D3030" s="1">
        <v>-7.2448289483800004</v>
      </c>
      <c r="E3030" s="3">
        <v>2</v>
      </c>
      <c r="F3030" s="2">
        <v>3</v>
      </c>
      <c r="G3030" s="4">
        <v>3</v>
      </c>
      <c r="H3030" s="13"/>
      <c r="I3030" s="15"/>
      <c r="J3030" s="19">
        <v>3</v>
      </c>
      <c r="K3030" s="2" t="s">
        <v>6072</v>
      </c>
      <c r="L3030" s="11" t="str">
        <f t="shared" si="48"/>
        <v>Ver Imagen</v>
      </c>
      <c r="M3030" t="s">
        <v>15</v>
      </c>
    </row>
    <row r="3031" spans="1:13" x14ac:dyDescent="0.25">
      <c r="A3031">
        <v>3031</v>
      </c>
      <c r="B3031" t="s">
        <v>6073</v>
      </c>
      <c r="C3031" s="1">
        <v>37.273221561500002</v>
      </c>
      <c r="D3031" s="1">
        <v>-6.9913425928199997</v>
      </c>
      <c r="E3031" s="3">
        <v>3</v>
      </c>
      <c r="F3031" s="2">
        <v>3</v>
      </c>
      <c r="G3031" s="4">
        <v>4</v>
      </c>
      <c r="H3031" s="13"/>
      <c r="I3031" s="15"/>
      <c r="J3031" s="19">
        <v>3</v>
      </c>
      <c r="K3031" s="2" t="s">
        <v>6074</v>
      </c>
      <c r="L3031" s="11" t="str">
        <f t="shared" si="48"/>
        <v>Ver Imagen</v>
      </c>
      <c r="M3031" t="s">
        <v>15</v>
      </c>
    </row>
    <row r="3032" spans="1:13" x14ac:dyDescent="0.25">
      <c r="A3032">
        <v>3032</v>
      </c>
      <c r="B3032" t="s">
        <v>6075</v>
      </c>
      <c r="C3032" s="1">
        <v>37.275379645400001</v>
      </c>
      <c r="D3032" s="1">
        <v>-6.9911496443100001</v>
      </c>
      <c r="E3032" s="3">
        <v>3</v>
      </c>
      <c r="F3032" s="2">
        <v>3</v>
      </c>
      <c r="G3032" s="4">
        <v>4</v>
      </c>
      <c r="H3032" s="13"/>
      <c r="I3032" s="15"/>
      <c r="J3032" s="19">
        <v>3</v>
      </c>
      <c r="K3032" s="2" t="s">
        <v>6076</v>
      </c>
      <c r="L3032" s="11" t="str">
        <f t="shared" si="48"/>
        <v>Ver Imagen</v>
      </c>
      <c r="M3032" t="s">
        <v>15</v>
      </c>
    </row>
    <row r="3033" spans="1:13" x14ac:dyDescent="0.25">
      <c r="A3033">
        <v>3033</v>
      </c>
      <c r="B3033" t="s">
        <v>6077</v>
      </c>
      <c r="C3033" s="1">
        <v>37.276336976499998</v>
      </c>
      <c r="D3033" s="1">
        <v>-6.9911244036199998</v>
      </c>
      <c r="E3033" s="3">
        <v>2</v>
      </c>
      <c r="F3033" s="2">
        <v>3</v>
      </c>
      <c r="G3033" s="4">
        <v>3</v>
      </c>
      <c r="H3033" s="13"/>
      <c r="I3033" s="15"/>
      <c r="J3033" s="19">
        <v>3</v>
      </c>
      <c r="K3033" s="2" t="s">
        <v>6078</v>
      </c>
      <c r="L3033" s="11" t="str">
        <f t="shared" si="48"/>
        <v>Ver Imagen</v>
      </c>
      <c r="M3033" t="s">
        <v>15</v>
      </c>
    </row>
    <row r="3034" spans="1:13" x14ac:dyDescent="0.25">
      <c r="A3034">
        <v>3034</v>
      </c>
      <c r="B3034" t="s">
        <v>6079</v>
      </c>
      <c r="C3034" s="1">
        <v>37.279525125500001</v>
      </c>
      <c r="D3034" s="1">
        <v>-6.9965897331900004</v>
      </c>
      <c r="E3034" s="3">
        <v>2</v>
      </c>
      <c r="F3034" s="2">
        <v>3</v>
      </c>
      <c r="G3034" s="4">
        <v>3</v>
      </c>
      <c r="H3034" s="13"/>
      <c r="I3034" s="15"/>
      <c r="J3034" s="19">
        <v>3</v>
      </c>
      <c r="K3034" s="2" t="s">
        <v>6080</v>
      </c>
      <c r="L3034" s="11" t="str">
        <f t="shared" si="48"/>
        <v>Ver Imagen</v>
      </c>
      <c r="M3034" t="s">
        <v>15</v>
      </c>
    </row>
    <row r="3035" spans="1:13" x14ac:dyDescent="0.25">
      <c r="A3035">
        <v>3035</v>
      </c>
      <c r="B3035" t="s">
        <v>6081</v>
      </c>
      <c r="C3035" s="1">
        <v>37.276703674300002</v>
      </c>
      <c r="D3035" s="1">
        <v>-7.0131026703700003</v>
      </c>
      <c r="E3035" s="3">
        <v>2</v>
      </c>
      <c r="F3035" s="2">
        <v>3</v>
      </c>
      <c r="G3035" s="4">
        <v>3</v>
      </c>
      <c r="H3035" s="13"/>
      <c r="I3035" s="15"/>
      <c r="J3035" s="19">
        <v>3</v>
      </c>
      <c r="K3035" s="2" t="s">
        <v>6082</v>
      </c>
      <c r="L3035" s="11" t="str">
        <f t="shared" si="48"/>
        <v>Ver Imagen</v>
      </c>
      <c r="M3035" t="s">
        <v>15</v>
      </c>
    </row>
    <row r="3036" spans="1:13" x14ac:dyDescent="0.25">
      <c r="A3036">
        <v>3036</v>
      </c>
      <c r="B3036" t="s">
        <v>6083</v>
      </c>
      <c r="C3036" s="1">
        <v>37.293550775600004</v>
      </c>
      <c r="D3036" s="1">
        <v>-7.0466668349899999</v>
      </c>
      <c r="E3036" s="3">
        <v>2</v>
      </c>
      <c r="F3036" s="2">
        <v>3</v>
      </c>
      <c r="G3036" s="4">
        <v>3</v>
      </c>
      <c r="H3036" s="13"/>
      <c r="I3036" s="15"/>
      <c r="J3036" s="19">
        <v>3</v>
      </c>
      <c r="K3036" s="2" t="s">
        <v>6084</v>
      </c>
      <c r="L3036" s="11" t="str">
        <f t="shared" si="48"/>
        <v>Ver Imagen</v>
      </c>
      <c r="M3036" t="s">
        <v>15</v>
      </c>
    </row>
    <row r="3037" spans="1:13" x14ac:dyDescent="0.25">
      <c r="A3037">
        <v>3037</v>
      </c>
      <c r="B3037" t="s">
        <v>6085</v>
      </c>
      <c r="C3037" s="1">
        <v>37.316178234299997</v>
      </c>
      <c r="D3037" s="1">
        <v>-7.0693596149599998</v>
      </c>
      <c r="E3037" s="3">
        <v>3</v>
      </c>
      <c r="F3037" s="2">
        <v>3</v>
      </c>
      <c r="G3037" s="4">
        <v>4</v>
      </c>
      <c r="H3037" s="13"/>
      <c r="I3037" s="15"/>
      <c r="J3037" s="19">
        <v>3</v>
      </c>
      <c r="K3037" s="2" t="s">
        <v>6086</v>
      </c>
      <c r="L3037" s="11" t="str">
        <f t="shared" si="48"/>
        <v>Ver Imagen</v>
      </c>
      <c r="M3037" t="s">
        <v>15</v>
      </c>
    </row>
    <row r="3038" spans="1:13" x14ac:dyDescent="0.25">
      <c r="A3038">
        <v>3038</v>
      </c>
      <c r="B3038" t="s">
        <v>6087</v>
      </c>
      <c r="C3038" s="1">
        <v>37.316511183700001</v>
      </c>
      <c r="D3038" s="1">
        <v>-7.0700163630299997</v>
      </c>
      <c r="E3038" s="3">
        <v>3</v>
      </c>
      <c r="F3038" s="2">
        <v>3</v>
      </c>
      <c r="G3038" s="4">
        <v>4</v>
      </c>
      <c r="H3038" s="13"/>
      <c r="I3038" s="15"/>
      <c r="J3038" s="19">
        <v>3</v>
      </c>
      <c r="K3038" s="2" t="s">
        <v>6088</v>
      </c>
      <c r="L3038" s="11" t="str">
        <f t="shared" si="48"/>
        <v>Ver Imagen</v>
      </c>
      <c r="M3038" t="s">
        <v>15</v>
      </c>
    </row>
    <row r="3039" spans="1:13" x14ac:dyDescent="0.25">
      <c r="A3039">
        <v>3039</v>
      </c>
      <c r="B3039" t="s">
        <v>6089</v>
      </c>
      <c r="C3039" s="1">
        <v>37.447973612699997</v>
      </c>
      <c r="D3039" s="1">
        <v>-7.1092931044999998</v>
      </c>
      <c r="E3039" s="3">
        <v>2</v>
      </c>
      <c r="F3039" s="2">
        <v>3</v>
      </c>
      <c r="G3039" s="4">
        <v>3</v>
      </c>
      <c r="H3039" s="13"/>
      <c r="I3039" s="15"/>
      <c r="J3039" s="19">
        <v>3</v>
      </c>
      <c r="K3039" s="2" t="s">
        <v>6090</v>
      </c>
      <c r="L3039" s="11" t="str">
        <f t="shared" si="48"/>
        <v>Ver Imagen</v>
      </c>
      <c r="M3039" t="s">
        <v>15</v>
      </c>
    </row>
    <row r="3040" spans="1:13" x14ac:dyDescent="0.25">
      <c r="A3040">
        <v>3040</v>
      </c>
      <c r="B3040" t="s">
        <v>6091</v>
      </c>
      <c r="C3040" s="1">
        <v>37.446854455599997</v>
      </c>
      <c r="D3040" s="1">
        <v>-7.1071662045600004</v>
      </c>
      <c r="E3040" s="3">
        <v>2</v>
      </c>
      <c r="F3040" s="2">
        <v>3</v>
      </c>
      <c r="G3040" s="4">
        <v>3</v>
      </c>
      <c r="H3040" s="13"/>
      <c r="I3040" s="15"/>
      <c r="J3040" s="19">
        <v>3</v>
      </c>
      <c r="K3040" s="2" t="s">
        <v>6092</v>
      </c>
      <c r="L3040" s="11" t="str">
        <f t="shared" si="48"/>
        <v>Ver Imagen</v>
      </c>
      <c r="M3040" t="s">
        <v>15</v>
      </c>
    </row>
    <row r="3041" spans="1:13" x14ac:dyDescent="0.25">
      <c r="A3041">
        <v>3041</v>
      </c>
      <c r="B3041" t="s">
        <v>6093</v>
      </c>
      <c r="C3041" s="1">
        <v>37.268905995099999</v>
      </c>
      <c r="D3041" s="1">
        <v>-6.9755077269700001</v>
      </c>
      <c r="E3041" s="3">
        <v>3</v>
      </c>
      <c r="F3041" s="2">
        <v>3</v>
      </c>
      <c r="G3041" s="4">
        <v>4</v>
      </c>
      <c r="H3041" s="13"/>
      <c r="I3041" s="15"/>
      <c r="J3041" s="19">
        <v>3</v>
      </c>
      <c r="K3041" s="2" t="s">
        <v>6094</v>
      </c>
      <c r="L3041" s="11" t="str">
        <f t="shared" si="48"/>
        <v>Ver Imagen</v>
      </c>
      <c r="M3041" t="s">
        <v>15</v>
      </c>
    </row>
    <row r="3042" spans="1:13" x14ac:dyDescent="0.25">
      <c r="A3042">
        <v>3042</v>
      </c>
      <c r="B3042" t="s">
        <v>6095</v>
      </c>
      <c r="C3042" s="1">
        <v>37.268734260199999</v>
      </c>
      <c r="D3042" s="1">
        <v>-6.9747675231499997</v>
      </c>
      <c r="E3042" s="3">
        <v>3</v>
      </c>
      <c r="F3042" s="2">
        <v>3</v>
      </c>
      <c r="G3042" s="4">
        <v>4</v>
      </c>
      <c r="H3042" s="13"/>
      <c r="I3042" s="15"/>
      <c r="J3042" s="19">
        <v>3</v>
      </c>
      <c r="K3042" s="2" t="s">
        <v>6096</v>
      </c>
      <c r="L3042" s="11" t="str">
        <f t="shared" si="48"/>
        <v>Ver Imagen</v>
      </c>
      <c r="M3042" t="s">
        <v>15</v>
      </c>
    </row>
    <row r="3043" spans="1:13" x14ac:dyDescent="0.25">
      <c r="A3043">
        <v>3043</v>
      </c>
      <c r="B3043" t="s">
        <v>6097</v>
      </c>
      <c r="C3043" s="1">
        <v>37.268531533299999</v>
      </c>
      <c r="D3043" s="1">
        <v>-6.9738405700400001</v>
      </c>
      <c r="E3043" s="3">
        <v>2</v>
      </c>
      <c r="F3043" s="2">
        <v>3</v>
      </c>
      <c r="G3043" s="4">
        <v>3</v>
      </c>
      <c r="H3043" s="13"/>
      <c r="I3043" s="15"/>
      <c r="J3043" s="19">
        <v>3</v>
      </c>
      <c r="K3043" s="2" t="s">
        <v>6098</v>
      </c>
      <c r="L3043" s="11" t="str">
        <f t="shared" si="48"/>
        <v>Ver Imagen</v>
      </c>
      <c r="M3043" t="s">
        <v>15</v>
      </c>
    </row>
    <row r="3044" spans="1:13" x14ac:dyDescent="0.25">
      <c r="A3044">
        <v>3044</v>
      </c>
      <c r="B3044" t="s">
        <v>6099</v>
      </c>
      <c r="C3044" s="1">
        <v>37.267934135099999</v>
      </c>
      <c r="D3044" s="1">
        <v>-6.97031000543</v>
      </c>
      <c r="E3044" s="3">
        <v>2</v>
      </c>
      <c r="F3044" s="2">
        <v>3</v>
      </c>
      <c r="G3044" s="4">
        <v>3</v>
      </c>
      <c r="H3044" s="13"/>
      <c r="I3044" s="15"/>
      <c r="J3044" s="19">
        <v>3</v>
      </c>
      <c r="K3044" s="2" t="s">
        <v>6100</v>
      </c>
      <c r="L3044" s="11" t="str">
        <f t="shared" si="48"/>
        <v>Ver Imagen</v>
      </c>
      <c r="M3044" t="s">
        <v>15</v>
      </c>
    </row>
    <row r="3045" spans="1:13" x14ac:dyDescent="0.25">
      <c r="A3045">
        <v>3045</v>
      </c>
      <c r="B3045" t="s">
        <v>6101</v>
      </c>
      <c r="C3045" s="1">
        <v>37.267906073200002</v>
      </c>
      <c r="D3045" s="1">
        <v>-6.9700915117399997</v>
      </c>
      <c r="E3045" s="3">
        <v>2</v>
      </c>
      <c r="F3045" s="2">
        <v>3</v>
      </c>
      <c r="G3045" s="4">
        <v>3</v>
      </c>
      <c r="H3045" s="13"/>
      <c r="I3045" s="15"/>
      <c r="J3045" s="19">
        <v>3</v>
      </c>
      <c r="K3045" s="2" t="s">
        <v>6102</v>
      </c>
      <c r="L3045" s="11" t="str">
        <f t="shared" si="48"/>
        <v>Ver Imagen</v>
      </c>
      <c r="M3045" t="s">
        <v>15</v>
      </c>
    </row>
    <row r="3046" spans="1:13" x14ac:dyDescent="0.25">
      <c r="A3046">
        <v>3046</v>
      </c>
      <c r="B3046" t="s">
        <v>6103</v>
      </c>
      <c r="C3046" s="1">
        <v>37.267809129900002</v>
      </c>
      <c r="D3046" s="1">
        <v>-6.9692800718700001</v>
      </c>
      <c r="E3046" s="3">
        <v>2</v>
      </c>
      <c r="F3046" s="2">
        <v>3</v>
      </c>
      <c r="G3046" s="4">
        <v>3</v>
      </c>
      <c r="H3046" s="13"/>
      <c r="I3046" s="15"/>
      <c r="J3046" s="19">
        <v>3</v>
      </c>
      <c r="K3046" s="2" t="s">
        <v>6104</v>
      </c>
      <c r="L3046" s="11" t="str">
        <f t="shared" si="48"/>
        <v>Ver Imagen</v>
      </c>
      <c r="M3046" t="s">
        <v>15</v>
      </c>
    </row>
    <row r="3047" spans="1:13" x14ac:dyDescent="0.25">
      <c r="A3047">
        <v>3047</v>
      </c>
      <c r="B3047" t="s">
        <v>6105</v>
      </c>
      <c r="C3047" s="1">
        <v>37.267733807799999</v>
      </c>
      <c r="D3047" s="1">
        <v>-6.9685310670799998</v>
      </c>
      <c r="E3047" s="3">
        <v>2</v>
      </c>
      <c r="F3047" s="2">
        <v>3</v>
      </c>
      <c r="G3047" s="4">
        <v>3</v>
      </c>
      <c r="H3047" s="13"/>
      <c r="I3047" s="15"/>
      <c r="J3047" s="19">
        <v>3</v>
      </c>
      <c r="K3047" s="2" t="s">
        <v>6106</v>
      </c>
      <c r="L3047" s="11" t="str">
        <f t="shared" si="48"/>
        <v>Ver Imagen</v>
      </c>
      <c r="M3047" t="s">
        <v>15</v>
      </c>
    </row>
    <row r="3048" spans="1:13" x14ac:dyDescent="0.25">
      <c r="A3048">
        <v>3048</v>
      </c>
      <c r="B3048" t="s">
        <v>6107</v>
      </c>
      <c r="C3048" s="1">
        <v>37.267692391899999</v>
      </c>
      <c r="D3048" s="1">
        <v>-6.9680662087499998</v>
      </c>
      <c r="E3048" s="3">
        <v>2</v>
      </c>
      <c r="F3048" s="2">
        <v>3</v>
      </c>
      <c r="G3048" s="4">
        <v>3</v>
      </c>
      <c r="H3048" s="13"/>
      <c r="I3048" s="15"/>
      <c r="J3048" s="19">
        <v>3</v>
      </c>
      <c r="K3048" s="2" t="s">
        <v>6108</v>
      </c>
      <c r="L3048" s="11" t="str">
        <f t="shared" si="48"/>
        <v>Ver Imagen</v>
      </c>
      <c r="M3048" t="s">
        <v>15</v>
      </c>
    </row>
    <row r="3049" spans="1:13" x14ac:dyDescent="0.25">
      <c r="A3049">
        <v>3049</v>
      </c>
      <c r="B3049" t="s">
        <v>6109</v>
      </c>
      <c r="C3049" s="1">
        <v>37.2676364139</v>
      </c>
      <c r="D3049" s="1">
        <v>-6.9673345801200002</v>
      </c>
      <c r="E3049" s="3">
        <v>2</v>
      </c>
      <c r="F3049" s="2">
        <v>3</v>
      </c>
      <c r="G3049" s="4">
        <v>3</v>
      </c>
      <c r="H3049" s="13"/>
      <c r="I3049" s="15"/>
      <c r="J3049" s="19">
        <v>3</v>
      </c>
      <c r="K3049" s="2" t="s">
        <v>6110</v>
      </c>
      <c r="L3049" s="11" t="str">
        <f t="shared" ref="L3049:L3112" si="49">HYPERLINK("3\1\" &amp; K3049, "Ver Imagen")</f>
        <v>Ver Imagen</v>
      </c>
      <c r="M3049" t="s">
        <v>15</v>
      </c>
    </row>
    <row r="3050" spans="1:13" x14ac:dyDescent="0.25">
      <c r="A3050">
        <v>3050</v>
      </c>
      <c r="B3050" t="s">
        <v>6111</v>
      </c>
      <c r="C3050" s="1">
        <v>37.267619342800003</v>
      </c>
      <c r="D3050" s="1">
        <v>-6.9670607164499998</v>
      </c>
      <c r="E3050" s="3">
        <v>2</v>
      </c>
      <c r="F3050" s="2">
        <v>3</v>
      </c>
      <c r="G3050" s="4">
        <v>3</v>
      </c>
      <c r="H3050" s="13"/>
      <c r="I3050" s="15"/>
      <c r="J3050" s="19">
        <v>3</v>
      </c>
      <c r="K3050" s="2" t="s">
        <v>6112</v>
      </c>
      <c r="L3050" s="11" t="str">
        <f t="shared" si="49"/>
        <v>Ver Imagen</v>
      </c>
      <c r="M3050" t="s">
        <v>15</v>
      </c>
    </row>
    <row r="3051" spans="1:13" x14ac:dyDescent="0.25">
      <c r="A3051">
        <v>3051</v>
      </c>
      <c r="B3051" t="s">
        <v>6113</v>
      </c>
      <c r="C3051" s="1">
        <v>37.267579004600002</v>
      </c>
      <c r="D3051" s="1">
        <v>-6.9662742793900003</v>
      </c>
      <c r="E3051" s="3">
        <v>2</v>
      </c>
      <c r="F3051" s="2">
        <v>3</v>
      </c>
      <c r="G3051" s="4">
        <v>3</v>
      </c>
      <c r="H3051" s="13"/>
      <c r="I3051" s="15"/>
      <c r="J3051" s="19">
        <v>3</v>
      </c>
      <c r="K3051" s="2" t="s">
        <v>6114</v>
      </c>
      <c r="L3051" s="11" t="str">
        <f t="shared" si="49"/>
        <v>Ver Imagen</v>
      </c>
      <c r="M3051" t="s">
        <v>15</v>
      </c>
    </row>
    <row r="3052" spans="1:13" x14ac:dyDescent="0.25">
      <c r="A3052">
        <v>3052</v>
      </c>
      <c r="B3052" t="s">
        <v>6115</v>
      </c>
      <c r="C3052" s="1">
        <v>37.267546107400001</v>
      </c>
      <c r="D3052" s="1">
        <v>-6.9652955510199996</v>
      </c>
      <c r="E3052" s="3">
        <v>2</v>
      </c>
      <c r="F3052" s="2">
        <v>3</v>
      </c>
      <c r="G3052" s="4">
        <v>3</v>
      </c>
      <c r="H3052" s="13"/>
      <c r="I3052" s="15"/>
      <c r="J3052" s="19">
        <v>3</v>
      </c>
      <c r="K3052" s="2" t="s">
        <v>6116</v>
      </c>
      <c r="L3052" s="11" t="str">
        <f t="shared" si="49"/>
        <v>Ver Imagen</v>
      </c>
      <c r="M3052" t="s">
        <v>15</v>
      </c>
    </row>
    <row r="3053" spans="1:13" x14ac:dyDescent="0.25">
      <c r="A3053">
        <v>3053</v>
      </c>
      <c r="B3053" t="s">
        <v>6117</v>
      </c>
      <c r="C3053" s="1">
        <v>37.267524944999998</v>
      </c>
      <c r="D3053" s="1">
        <v>-6.9642521329499996</v>
      </c>
      <c r="E3053" s="3">
        <v>3</v>
      </c>
      <c r="F3053" s="2">
        <v>3</v>
      </c>
      <c r="G3053" s="4">
        <v>4</v>
      </c>
      <c r="H3053" s="13"/>
      <c r="I3053" s="15"/>
      <c r="J3053" s="19">
        <v>3</v>
      </c>
      <c r="K3053" s="2" t="s">
        <v>6118</v>
      </c>
      <c r="L3053" s="11" t="str">
        <f t="shared" si="49"/>
        <v>Ver Imagen</v>
      </c>
      <c r="M3053" t="s">
        <v>15</v>
      </c>
    </row>
    <row r="3054" spans="1:13" x14ac:dyDescent="0.25">
      <c r="A3054">
        <v>3054</v>
      </c>
      <c r="B3054" t="s">
        <v>6119</v>
      </c>
      <c r="C3054" s="1">
        <v>37.267519643699998</v>
      </c>
      <c r="D3054" s="1">
        <v>-6.9639996854500001</v>
      </c>
      <c r="E3054" s="3">
        <v>2</v>
      </c>
      <c r="F3054" s="2">
        <v>3</v>
      </c>
      <c r="G3054" s="4">
        <v>3</v>
      </c>
      <c r="H3054" s="13"/>
      <c r="I3054" s="15"/>
      <c r="J3054" s="19">
        <v>3</v>
      </c>
      <c r="K3054" s="2" t="s">
        <v>6120</v>
      </c>
      <c r="L3054" s="11" t="str">
        <f t="shared" si="49"/>
        <v>Ver Imagen</v>
      </c>
      <c r="M3054" t="s">
        <v>15</v>
      </c>
    </row>
    <row r="3055" spans="1:13" x14ac:dyDescent="0.25">
      <c r="A3055">
        <v>3055</v>
      </c>
      <c r="B3055" t="s">
        <v>6121</v>
      </c>
      <c r="C3055" s="1">
        <v>37.267510236200003</v>
      </c>
      <c r="D3055" s="1">
        <v>-6.9635126541799997</v>
      </c>
      <c r="E3055" s="3">
        <v>3</v>
      </c>
      <c r="F3055" s="2">
        <v>3</v>
      </c>
      <c r="G3055" s="4">
        <v>4</v>
      </c>
      <c r="H3055" s="13"/>
      <c r="I3055" s="15"/>
      <c r="J3055" s="19">
        <v>3</v>
      </c>
      <c r="K3055" s="2" t="s">
        <v>6122</v>
      </c>
      <c r="L3055" s="11" t="str">
        <f t="shared" si="49"/>
        <v>Ver Imagen</v>
      </c>
      <c r="M3055" t="s">
        <v>15</v>
      </c>
    </row>
    <row r="3056" spans="1:13" x14ac:dyDescent="0.25">
      <c r="A3056">
        <v>3056</v>
      </c>
      <c r="B3056" t="s">
        <v>6123</v>
      </c>
      <c r="C3056" s="1">
        <v>37.191182394199998</v>
      </c>
      <c r="D3056" s="1">
        <v>-6.9913677016799998</v>
      </c>
      <c r="E3056" s="3">
        <v>2</v>
      </c>
      <c r="F3056" s="2">
        <v>3</v>
      </c>
      <c r="G3056" s="4">
        <v>3</v>
      </c>
      <c r="H3056" s="13"/>
      <c r="I3056" s="15"/>
      <c r="J3056" s="19">
        <v>3</v>
      </c>
      <c r="K3056" s="2" t="s">
        <v>6124</v>
      </c>
      <c r="L3056" s="11" t="str">
        <f t="shared" si="49"/>
        <v>Ver Imagen</v>
      </c>
      <c r="M3056" t="s">
        <v>15</v>
      </c>
    </row>
    <row r="3057" spans="1:13" x14ac:dyDescent="0.25">
      <c r="A3057">
        <v>3057</v>
      </c>
      <c r="B3057" t="s">
        <v>6125</v>
      </c>
      <c r="C3057" s="1">
        <v>37.1932924826</v>
      </c>
      <c r="D3057" s="1">
        <v>-6.9960381076699996</v>
      </c>
      <c r="E3057" s="3">
        <v>2</v>
      </c>
      <c r="F3057" s="2">
        <v>3</v>
      </c>
      <c r="G3057" s="4">
        <v>3</v>
      </c>
      <c r="H3057" s="13"/>
      <c r="I3057" s="15"/>
      <c r="J3057" s="19">
        <v>3</v>
      </c>
      <c r="K3057" s="2" t="s">
        <v>6126</v>
      </c>
      <c r="L3057" s="11" t="str">
        <f t="shared" si="49"/>
        <v>Ver Imagen</v>
      </c>
      <c r="M3057" t="s">
        <v>15</v>
      </c>
    </row>
    <row r="3058" spans="1:13" x14ac:dyDescent="0.25">
      <c r="A3058">
        <v>3058</v>
      </c>
      <c r="B3058" t="s">
        <v>6127</v>
      </c>
      <c r="C3058" s="1">
        <v>37.193964317099997</v>
      </c>
      <c r="D3058" s="1">
        <v>-6.9976217312899998</v>
      </c>
      <c r="E3058" s="3">
        <v>2</v>
      </c>
      <c r="F3058" s="2">
        <v>3</v>
      </c>
      <c r="G3058" s="4">
        <v>3</v>
      </c>
      <c r="H3058" s="13"/>
      <c r="I3058" s="15"/>
      <c r="J3058" s="19">
        <v>3</v>
      </c>
      <c r="K3058" s="2" t="s">
        <v>6128</v>
      </c>
      <c r="L3058" s="11" t="str">
        <f t="shared" si="49"/>
        <v>Ver Imagen</v>
      </c>
      <c r="M3058" t="s">
        <v>15</v>
      </c>
    </row>
    <row r="3059" spans="1:13" x14ac:dyDescent="0.25">
      <c r="A3059">
        <v>3059</v>
      </c>
      <c r="B3059" t="s">
        <v>6129</v>
      </c>
      <c r="C3059" s="1">
        <v>37.1977070895</v>
      </c>
      <c r="D3059" s="1">
        <v>-7.0065688884600004</v>
      </c>
      <c r="E3059" s="3">
        <v>2</v>
      </c>
      <c r="F3059" s="2">
        <v>3</v>
      </c>
      <c r="G3059" s="4">
        <v>3</v>
      </c>
      <c r="H3059" s="13"/>
      <c r="I3059" s="15"/>
      <c r="J3059" s="19">
        <v>3</v>
      </c>
      <c r="K3059" s="2" t="s">
        <v>6130</v>
      </c>
      <c r="L3059" s="11" t="str">
        <f t="shared" si="49"/>
        <v>Ver Imagen</v>
      </c>
      <c r="M3059" t="s">
        <v>15</v>
      </c>
    </row>
    <row r="3060" spans="1:13" x14ac:dyDescent="0.25">
      <c r="A3060">
        <v>3060</v>
      </c>
      <c r="B3060" t="s">
        <v>6131</v>
      </c>
      <c r="C3060" s="1">
        <v>37.199969767200002</v>
      </c>
      <c r="D3060" s="1">
        <v>-7.0107045831799999</v>
      </c>
      <c r="E3060" s="3">
        <v>3</v>
      </c>
      <c r="F3060" s="2">
        <v>3</v>
      </c>
      <c r="G3060" s="4">
        <v>4</v>
      </c>
      <c r="H3060" s="13"/>
      <c r="I3060" s="15"/>
      <c r="J3060" s="19">
        <v>3</v>
      </c>
      <c r="K3060" s="2" t="s">
        <v>6132</v>
      </c>
      <c r="L3060" s="11" t="str">
        <f t="shared" si="49"/>
        <v>Ver Imagen</v>
      </c>
      <c r="M3060" t="s">
        <v>15</v>
      </c>
    </row>
    <row r="3061" spans="1:13" x14ac:dyDescent="0.25">
      <c r="A3061">
        <v>3061</v>
      </c>
      <c r="B3061" t="s">
        <v>6133</v>
      </c>
      <c r="C3061" s="1">
        <v>37.200249568700002</v>
      </c>
      <c r="D3061" s="1">
        <v>-7.0111414515500003</v>
      </c>
      <c r="E3061" s="3">
        <v>3</v>
      </c>
      <c r="F3061" s="2">
        <v>3</v>
      </c>
      <c r="G3061" s="4">
        <v>4</v>
      </c>
      <c r="H3061" s="13"/>
      <c r="I3061" s="15"/>
      <c r="J3061" s="19">
        <v>3</v>
      </c>
      <c r="K3061" s="2" t="s">
        <v>6134</v>
      </c>
      <c r="L3061" s="11" t="str">
        <f t="shared" si="49"/>
        <v>Ver Imagen</v>
      </c>
      <c r="M3061" t="s">
        <v>15</v>
      </c>
    </row>
    <row r="3062" spans="1:13" x14ac:dyDescent="0.25">
      <c r="A3062">
        <v>3062</v>
      </c>
      <c r="B3062" t="s">
        <v>6135</v>
      </c>
      <c r="C3062" s="1">
        <v>37.207580591599999</v>
      </c>
      <c r="D3062" s="1">
        <v>-7.0222369320900002</v>
      </c>
      <c r="E3062" s="3">
        <v>3</v>
      </c>
      <c r="F3062" s="2">
        <v>3</v>
      </c>
      <c r="G3062" s="4">
        <v>4</v>
      </c>
      <c r="H3062" s="13"/>
      <c r="I3062" s="15"/>
      <c r="J3062" s="19">
        <v>3</v>
      </c>
      <c r="K3062" s="2" t="s">
        <v>6136</v>
      </c>
      <c r="L3062" s="11" t="str">
        <f t="shared" si="49"/>
        <v>Ver Imagen</v>
      </c>
      <c r="M3062" t="s">
        <v>15</v>
      </c>
    </row>
    <row r="3063" spans="1:13" x14ac:dyDescent="0.25">
      <c r="A3063">
        <v>3063</v>
      </c>
      <c r="B3063" t="s">
        <v>6137</v>
      </c>
      <c r="C3063" s="1">
        <v>37.218384341499998</v>
      </c>
      <c r="D3063" s="1">
        <v>-7.1244703786399999</v>
      </c>
      <c r="E3063" s="3">
        <v>2</v>
      </c>
      <c r="F3063" s="2">
        <v>3</v>
      </c>
      <c r="G3063" s="4">
        <v>3</v>
      </c>
      <c r="H3063" s="13"/>
      <c r="I3063" s="15"/>
      <c r="J3063" s="19">
        <v>3</v>
      </c>
      <c r="K3063" s="2" t="s">
        <v>6138</v>
      </c>
      <c r="L3063" s="11" t="str">
        <f t="shared" si="49"/>
        <v>Ver Imagen</v>
      </c>
      <c r="M3063" t="s">
        <v>15</v>
      </c>
    </row>
    <row r="3064" spans="1:13" x14ac:dyDescent="0.25">
      <c r="A3064">
        <v>3064</v>
      </c>
      <c r="B3064" t="s">
        <v>6139</v>
      </c>
      <c r="C3064" s="1">
        <v>37.218346566299999</v>
      </c>
      <c r="D3064" s="1">
        <v>-7.1237280009499999</v>
      </c>
      <c r="E3064" s="3">
        <v>3</v>
      </c>
      <c r="F3064" s="2">
        <v>3</v>
      </c>
      <c r="G3064" s="4">
        <v>4</v>
      </c>
      <c r="H3064" s="13"/>
      <c r="I3064" s="15"/>
      <c r="J3064" s="19">
        <v>3</v>
      </c>
      <c r="K3064" s="2" t="s">
        <v>6140</v>
      </c>
      <c r="L3064" s="11" t="str">
        <f t="shared" si="49"/>
        <v>Ver Imagen</v>
      </c>
      <c r="M3064" t="s">
        <v>15</v>
      </c>
    </row>
    <row r="3065" spans="1:13" x14ac:dyDescent="0.25">
      <c r="A3065">
        <v>3065</v>
      </c>
      <c r="B3065" t="s">
        <v>6141</v>
      </c>
      <c r="C3065" s="1">
        <v>37.218062607299998</v>
      </c>
      <c r="D3065" s="1">
        <v>-7.1224930077800002</v>
      </c>
      <c r="E3065" s="3">
        <v>2</v>
      </c>
      <c r="F3065" s="2">
        <v>3</v>
      </c>
      <c r="G3065" s="4">
        <v>3</v>
      </c>
      <c r="H3065" s="13"/>
      <c r="I3065" s="15"/>
      <c r="J3065" s="19">
        <v>3</v>
      </c>
      <c r="K3065" s="2" t="s">
        <v>6142</v>
      </c>
      <c r="L3065" s="11" t="str">
        <f t="shared" si="49"/>
        <v>Ver Imagen</v>
      </c>
      <c r="M3065" t="s">
        <v>15</v>
      </c>
    </row>
    <row r="3066" spans="1:13" x14ac:dyDescent="0.25">
      <c r="A3066">
        <v>3066</v>
      </c>
      <c r="B3066" t="s">
        <v>6143</v>
      </c>
      <c r="C3066" s="1">
        <v>37.2176988063</v>
      </c>
      <c r="D3066" s="1">
        <v>-7.1154973301600002</v>
      </c>
      <c r="E3066" s="3">
        <v>3</v>
      </c>
      <c r="F3066" s="2">
        <v>3</v>
      </c>
      <c r="G3066" s="4">
        <v>2</v>
      </c>
      <c r="H3066" s="13"/>
      <c r="I3066" s="15"/>
      <c r="J3066" s="19">
        <v>3</v>
      </c>
      <c r="K3066" s="2" t="s">
        <v>6144</v>
      </c>
      <c r="L3066" s="11" t="str">
        <f t="shared" si="49"/>
        <v>Ver Imagen</v>
      </c>
      <c r="M3066" t="s">
        <v>15</v>
      </c>
    </row>
    <row r="3067" spans="1:13" x14ac:dyDescent="0.25">
      <c r="A3067">
        <v>3067</v>
      </c>
      <c r="B3067" t="s">
        <v>6145</v>
      </c>
      <c r="C3067" s="1">
        <v>37.217645398199998</v>
      </c>
      <c r="D3067" s="1">
        <v>-7.1094557709300004</v>
      </c>
      <c r="E3067" s="3">
        <v>2</v>
      </c>
      <c r="F3067" s="2">
        <v>3</v>
      </c>
      <c r="G3067" s="4">
        <v>3</v>
      </c>
      <c r="H3067" s="13"/>
      <c r="I3067" s="15"/>
      <c r="J3067" s="19">
        <v>3</v>
      </c>
      <c r="K3067" s="2" t="s">
        <v>6146</v>
      </c>
      <c r="L3067" s="11" t="str">
        <f t="shared" si="49"/>
        <v>Ver Imagen</v>
      </c>
      <c r="M3067" t="s">
        <v>15</v>
      </c>
    </row>
    <row r="3068" spans="1:13" x14ac:dyDescent="0.25">
      <c r="A3068">
        <v>3068</v>
      </c>
      <c r="B3068" t="s">
        <v>6147</v>
      </c>
      <c r="C3068" s="1">
        <v>37.216609273000003</v>
      </c>
      <c r="D3068" s="1">
        <v>-7.0934114730699998</v>
      </c>
      <c r="E3068" s="3">
        <v>2</v>
      </c>
      <c r="F3068" s="2">
        <v>3</v>
      </c>
      <c r="G3068" s="4">
        <v>3</v>
      </c>
      <c r="H3068" s="13"/>
      <c r="I3068" s="15"/>
      <c r="J3068" s="19">
        <v>3</v>
      </c>
      <c r="K3068" s="2" t="s">
        <v>6148</v>
      </c>
      <c r="L3068" s="11" t="str">
        <f t="shared" si="49"/>
        <v>Ver Imagen</v>
      </c>
      <c r="M3068" t="s">
        <v>15</v>
      </c>
    </row>
    <row r="3069" spans="1:13" x14ac:dyDescent="0.25">
      <c r="A3069">
        <v>3069</v>
      </c>
      <c r="B3069" t="s">
        <v>6149</v>
      </c>
      <c r="C3069" s="1">
        <v>37.216377036499999</v>
      </c>
      <c r="D3069" s="1">
        <v>-7.0918932248399997</v>
      </c>
      <c r="E3069" s="3">
        <v>2</v>
      </c>
      <c r="F3069" s="2">
        <v>3</v>
      </c>
      <c r="G3069" s="4">
        <v>3</v>
      </c>
      <c r="H3069" s="13"/>
      <c r="I3069" s="15"/>
      <c r="J3069" s="19">
        <v>3</v>
      </c>
      <c r="K3069" s="2" t="s">
        <v>6150</v>
      </c>
      <c r="L3069" s="11" t="str">
        <f t="shared" si="49"/>
        <v>Ver Imagen</v>
      </c>
      <c r="M3069" t="s">
        <v>15</v>
      </c>
    </row>
    <row r="3070" spans="1:13" x14ac:dyDescent="0.25">
      <c r="A3070">
        <v>3070</v>
      </c>
      <c r="B3070" t="s">
        <v>6151</v>
      </c>
      <c r="C3070" s="1">
        <v>37.216338716300001</v>
      </c>
      <c r="D3070" s="1">
        <v>-7.0916497947700003</v>
      </c>
      <c r="E3070" s="3">
        <v>2</v>
      </c>
      <c r="F3070" s="2">
        <v>3</v>
      </c>
      <c r="G3070" s="4">
        <v>3</v>
      </c>
      <c r="H3070" s="13"/>
      <c r="I3070" s="15"/>
      <c r="J3070" s="19">
        <v>3</v>
      </c>
      <c r="K3070" s="2" t="s">
        <v>6152</v>
      </c>
      <c r="L3070" s="11" t="str">
        <f t="shared" si="49"/>
        <v>Ver Imagen</v>
      </c>
      <c r="M3070" t="s">
        <v>15</v>
      </c>
    </row>
    <row r="3071" spans="1:13" x14ac:dyDescent="0.25">
      <c r="A3071">
        <v>3071</v>
      </c>
      <c r="B3071" t="s">
        <v>6153</v>
      </c>
      <c r="C3071" s="1">
        <v>37.216197333300002</v>
      </c>
      <c r="D3071" s="1">
        <v>-7.0841126703599997</v>
      </c>
      <c r="E3071" s="3">
        <v>2</v>
      </c>
      <c r="F3071" s="2">
        <v>3</v>
      </c>
      <c r="G3071" s="4">
        <v>3</v>
      </c>
      <c r="H3071" s="13"/>
      <c r="I3071" s="15"/>
      <c r="J3071" s="19">
        <v>3</v>
      </c>
      <c r="K3071" s="2" t="s">
        <v>6154</v>
      </c>
      <c r="L3071" s="11" t="str">
        <f t="shared" si="49"/>
        <v>Ver Imagen</v>
      </c>
      <c r="M3071" t="s">
        <v>15</v>
      </c>
    </row>
    <row r="3072" spans="1:13" x14ac:dyDescent="0.25">
      <c r="A3072">
        <v>3072</v>
      </c>
      <c r="B3072" t="s">
        <v>6155</v>
      </c>
      <c r="C3072" s="1">
        <v>37.214141253699999</v>
      </c>
      <c r="D3072" s="1">
        <v>-7.07515283625</v>
      </c>
      <c r="E3072" s="3">
        <v>2</v>
      </c>
      <c r="F3072" s="2">
        <v>3</v>
      </c>
      <c r="G3072" s="4">
        <v>3</v>
      </c>
      <c r="H3072" s="13"/>
      <c r="I3072" s="15"/>
      <c r="J3072" s="19">
        <v>3</v>
      </c>
      <c r="K3072" s="2" t="s">
        <v>6156</v>
      </c>
      <c r="L3072" s="11" t="str">
        <f t="shared" si="49"/>
        <v>Ver Imagen</v>
      </c>
      <c r="M3072" t="s">
        <v>15</v>
      </c>
    </row>
    <row r="3073" spans="1:13" x14ac:dyDescent="0.25">
      <c r="A3073">
        <v>3073</v>
      </c>
      <c r="B3073" t="s">
        <v>6157</v>
      </c>
      <c r="C3073" s="1">
        <v>37.213295516899997</v>
      </c>
      <c r="D3073" s="1">
        <v>-7.0650942016</v>
      </c>
      <c r="E3073" s="3">
        <v>2</v>
      </c>
      <c r="F3073" s="2">
        <v>3</v>
      </c>
      <c r="G3073" s="4">
        <v>3</v>
      </c>
      <c r="H3073" s="13"/>
      <c r="I3073" s="15"/>
      <c r="J3073" s="19">
        <v>3</v>
      </c>
      <c r="K3073" s="2" t="s">
        <v>6158</v>
      </c>
      <c r="L3073" s="11" t="str">
        <f t="shared" si="49"/>
        <v>Ver Imagen</v>
      </c>
      <c r="M3073" t="s">
        <v>15</v>
      </c>
    </row>
    <row r="3074" spans="1:13" x14ac:dyDescent="0.25">
      <c r="A3074">
        <v>3074</v>
      </c>
      <c r="B3074" t="s">
        <v>6159</v>
      </c>
      <c r="C3074" s="1">
        <v>37.210812026399999</v>
      </c>
      <c r="D3074" s="1">
        <v>-7.0533065366800001</v>
      </c>
      <c r="E3074" s="3">
        <v>3</v>
      </c>
      <c r="F3074" s="2">
        <v>3</v>
      </c>
      <c r="G3074" s="4">
        <v>4</v>
      </c>
      <c r="H3074" s="13"/>
      <c r="I3074" s="15"/>
      <c r="J3074" s="19">
        <v>3</v>
      </c>
      <c r="K3074" s="2" t="s">
        <v>6160</v>
      </c>
      <c r="L3074" s="11" t="str">
        <f t="shared" si="49"/>
        <v>Ver Imagen</v>
      </c>
      <c r="M3074" t="s">
        <v>15</v>
      </c>
    </row>
    <row r="3075" spans="1:13" x14ac:dyDescent="0.25">
      <c r="A3075">
        <v>3075</v>
      </c>
      <c r="B3075" t="s">
        <v>6161</v>
      </c>
      <c r="C3075" s="1">
        <v>37.211403091599998</v>
      </c>
      <c r="D3075" s="1">
        <v>-7.0499384159799998</v>
      </c>
      <c r="E3075" s="3">
        <v>2</v>
      </c>
      <c r="F3075" s="2">
        <v>3</v>
      </c>
      <c r="G3075" s="4">
        <v>3</v>
      </c>
      <c r="H3075" s="13"/>
      <c r="I3075" s="15"/>
      <c r="J3075" s="19">
        <v>3</v>
      </c>
      <c r="K3075" s="2" t="s">
        <v>6162</v>
      </c>
      <c r="L3075" s="11" t="str">
        <f t="shared" si="49"/>
        <v>Ver Imagen</v>
      </c>
      <c r="M3075" t="s">
        <v>15</v>
      </c>
    </row>
    <row r="3076" spans="1:13" x14ac:dyDescent="0.25">
      <c r="A3076">
        <v>3076</v>
      </c>
      <c r="B3076" t="s">
        <v>6163</v>
      </c>
      <c r="C3076" s="1">
        <v>37.208364788099999</v>
      </c>
      <c r="D3076" s="1">
        <v>-7.0374750337599998</v>
      </c>
      <c r="E3076" s="3">
        <v>3</v>
      </c>
      <c r="F3076" s="2">
        <v>3</v>
      </c>
      <c r="G3076" s="4">
        <v>4</v>
      </c>
      <c r="H3076" s="13"/>
      <c r="I3076" s="15"/>
      <c r="J3076" s="19">
        <v>3</v>
      </c>
      <c r="K3076" s="2" t="s">
        <v>6164</v>
      </c>
      <c r="L3076" s="11" t="str">
        <f t="shared" si="49"/>
        <v>Ver Imagen</v>
      </c>
      <c r="M3076" t="s">
        <v>15</v>
      </c>
    </row>
    <row r="3077" spans="1:13" x14ac:dyDescent="0.25">
      <c r="A3077">
        <v>3077</v>
      </c>
      <c r="B3077" t="s">
        <v>6165</v>
      </c>
      <c r="C3077" s="1">
        <v>37.208281735699998</v>
      </c>
      <c r="D3077" s="1">
        <v>-7.0372577744499996</v>
      </c>
      <c r="E3077" s="3">
        <v>3</v>
      </c>
      <c r="F3077" s="2">
        <v>3</v>
      </c>
      <c r="G3077" s="4">
        <v>4</v>
      </c>
      <c r="H3077" s="13"/>
      <c r="I3077" s="15"/>
      <c r="J3077" s="19">
        <v>3</v>
      </c>
      <c r="K3077" s="2" t="s">
        <v>6166</v>
      </c>
      <c r="L3077" s="11" t="str">
        <f t="shared" si="49"/>
        <v>Ver Imagen</v>
      </c>
      <c r="M3077" t="s">
        <v>15</v>
      </c>
    </row>
    <row r="3078" spans="1:13" x14ac:dyDescent="0.25">
      <c r="A3078">
        <v>3078</v>
      </c>
      <c r="B3078" t="s">
        <v>6167</v>
      </c>
      <c r="C3078" s="1">
        <v>37.207306945799999</v>
      </c>
      <c r="D3078" s="1">
        <v>-7.0347373834300004</v>
      </c>
      <c r="E3078" s="3">
        <v>3</v>
      </c>
      <c r="F3078" s="2">
        <v>3</v>
      </c>
      <c r="G3078" s="4">
        <v>2</v>
      </c>
      <c r="H3078" s="13"/>
      <c r="I3078" s="15"/>
      <c r="J3078" s="19">
        <v>3</v>
      </c>
      <c r="K3078" s="2" t="s">
        <v>6168</v>
      </c>
      <c r="L3078" s="11" t="str">
        <f t="shared" si="49"/>
        <v>Ver Imagen</v>
      </c>
      <c r="M3078" t="s">
        <v>15</v>
      </c>
    </row>
    <row r="3079" spans="1:13" x14ac:dyDescent="0.25">
      <c r="A3079">
        <v>3079</v>
      </c>
      <c r="B3079" t="s">
        <v>6169</v>
      </c>
      <c r="C3079" s="1">
        <v>37.206867310500002</v>
      </c>
      <c r="D3079" s="1">
        <v>-7.0336002472699999</v>
      </c>
      <c r="E3079" s="3">
        <v>2</v>
      </c>
      <c r="F3079" s="2">
        <v>3</v>
      </c>
      <c r="G3079" s="4">
        <v>3</v>
      </c>
      <c r="H3079" s="13"/>
      <c r="I3079" s="15"/>
      <c r="J3079" s="19">
        <v>3</v>
      </c>
      <c r="K3079" s="2" t="s">
        <v>6170</v>
      </c>
      <c r="L3079" s="11" t="str">
        <f t="shared" si="49"/>
        <v>Ver Imagen</v>
      </c>
      <c r="M3079" t="s">
        <v>15</v>
      </c>
    </row>
    <row r="3080" spans="1:13" x14ac:dyDescent="0.25">
      <c r="A3080">
        <v>3080</v>
      </c>
      <c r="B3080" t="s">
        <v>6171</v>
      </c>
      <c r="C3080" s="1">
        <v>37.206782137700003</v>
      </c>
      <c r="D3080" s="1">
        <v>-7.0333752188799998</v>
      </c>
      <c r="E3080" s="3">
        <v>2</v>
      </c>
      <c r="F3080" s="2">
        <v>3</v>
      </c>
      <c r="G3080" s="4">
        <v>3</v>
      </c>
      <c r="H3080" s="13"/>
      <c r="I3080" s="15"/>
      <c r="J3080" s="19">
        <v>3</v>
      </c>
      <c r="K3080" s="2" t="s">
        <v>6172</v>
      </c>
      <c r="L3080" s="11" t="str">
        <f t="shared" si="49"/>
        <v>Ver Imagen</v>
      </c>
      <c r="M3080" t="s">
        <v>15</v>
      </c>
    </row>
    <row r="3081" spans="1:13" x14ac:dyDescent="0.25">
      <c r="A3081">
        <v>3081</v>
      </c>
      <c r="B3081" t="s">
        <v>6173</v>
      </c>
      <c r="C3081" s="1">
        <v>37.205805046400002</v>
      </c>
      <c r="D3081" s="1">
        <v>-7.03083514291</v>
      </c>
      <c r="E3081" s="3">
        <v>2</v>
      </c>
      <c r="F3081" s="2">
        <v>3</v>
      </c>
      <c r="G3081" s="4">
        <v>3</v>
      </c>
      <c r="H3081" s="13"/>
      <c r="I3081" s="15"/>
      <c r="J3081" s="19">
        <v>3</v>
      </c>
      <c r="K3081" s="2" t="s">
        <v>6174</v>
      </c>
      <c r="L3081" s="11" t="str">
        <f t="shared" si="49"/>
        <v>Ver Imagen</v>
      </c>
      <c r="M3081" t="s">
        <v>15</v>
      </c>
    </row>
    <row r="3082" spans="1:13" x14ac:dyDescent="0.25">
      <c r="A3082">
        <v>3082</v>
      </c>
      <c r="B3082" t="s">
        <v>6175</v>
      </c>
      <c r="C3082" s="1">
        <v>37.205369057399999</v>
      </c>
      <c r="D3082" s="1">
        <v>-7.0296951681199999</v>
      </c>
      <c r="E3082" s="3">
        <v>3</v>
      </c>
      <c r="F3082" s="2">
        <v>3</v>
      </c>
      <c r="G3082" s="4">
        <v>4</v>
      </c>
      <c r="H3082" s="13"/>
      <c r="I3082" s="15"/>
      <c r="J3082" s="19">
        <v>3</v>
      </c>
      <c r="K3082" s="2" t="s">
        <v>6176</v>
      </c>
      <c r="L3082" s="11" t="str">
        <f t="shared" si="49"/>
        <v>Ver Imagen</v>
      </c>
      <c r="M3082" t="s">
        <v>15</v>
      </c>
    </row>
    <row r="3083" spans="1:13" x14ac:dyDescent="0.25">
      <c r="A3083">
        <v>3083</v>
      </c>
      <c r="B3083" t="s">
        <v>6177</v>
      </c>
      <c r="C3083" s="1">
        <v>37.2042142158</v>
      </c>
      <c r="D3083" s="1">
        <v>-7.02681799399</v>
      </c>
      <c r="E3083" s="3">
        <v>3</v>
      </c>
      <c r="F3083" s="2">
        <v>3</v>
      </c>
      <c r="G3083" s="4">
        <v>4</v>
      </c>
      <c r="H3083" s="13"/>
      <c r="I3083" s="15"/>
      <c r="J3083" s="19">
        <v>3</v>
      </c>
      <c r="K3083" s="2" t="s">
        <v>6178</v>
      </c>
      <c r="L3083" s="11" t="str">
        <f t="shared" si="49"/>
        <v>Ver Imagen</v>
      </c>
      <c r="M3083" t="s">
        <v>15</v>
      </c>
    </row>
    <row r="3084" spans="1:13" x14ac:dyDescent="0.25">
      <c r="A3084">
        <v>3084</v>
      </c>
      <c r="B3084" t="s">
        <v>6179</v>
      </c>
      <c r="C3084" s="1">
        <v>37.198648448</v>
      </c>
      <c r="D3084" s="1">
        <v>-7.0121844988799999</v>
      </c>
      <c r="E3084" s="3">
        <v>2</v>
      </c>
      <c r="F3084" s="2">
        <v>3</v>
      </c>
      <c r="G3084" s="4">
        <v>3</v>
      </c>
      <c r="H3084" s="13"/>
      <c r="I3084" s="15"/>
      <c r="J3084" s="19">
        <v>3</v>
      </c>
      <c r="K3084" s="2" t="s">
        <v>6180</v>
      </c>
      <c r="L3084" s="11" t="str">
        <f t="shared" si="49"/>
        <v>Ver Imagen</v>
      </c>
      <c r="M3084" t="s">
        <v>15</v>
      </c>
    </row>
    <row r="3085" spans="1:13" x14ac:dyDescent="0.25">
      <c r="A3085">
        <v>3085</v>
      </c>
      <c r="B3085" t="s">
        <v>6181</v>
      </c>
      <c r="C3085" s="1">
        <v>37.198016565099998</v>
      </c>
      <c r="D3085" s="1">
        <v>-7.0105523062600001</v>
      </c>
      <c r="E3085" s="3">
        <v>2</v>
      </c>
      <c r="F3085" s="2">
        <v>3</v>
      </c>
      <c r="G3085" s="4">
        <v>3</v>
      </c>
      <c r="H3085" s="13"/>
      <c r="I3085" s="15"/>
      <c r="J3085" s="19">
        <v>3</v>
      </c>
      <c r="K3085" s="2" t="s">
        <v>6182</v>
      </c>
      <c r="L3085" s="11" t="str">
        <f t="shared" si="49"/>
        <v>Ver Imagen</v>
      </c>
      <c r="M3085" t="s">
        <v>15</v>
      </c>
    </row>
    <row r="3086" spans="1:13" x14ac:dyDescent="0.25">
      <c r="A3086">
        <v>3086</v>
      </c>
      <c r="B3086" t="s">
        <v>6183</v>
      </c>
      <c r="C3086" s="1">
        <v>37.196997182099999</v>
      </c>
      <c r="D3086" s="1">
        <v>-7.0057559185000002</v>
      </c>
      <c r="E3086" s="3">
        <v>2</v>
      </c>
      <c r="F3086" s="2">
        <v>3</v>
      </c>
      <c r="G3086" s="4">
        <v>3</v>
      </c>
      <c r="H3086" s="13"/>
      <c r="I3086" s="15"/>
      <c r="J3086" s="19">
        <v>3</v>
      </c>
      <c r="K3086" s="2" t="s">
        <v>6184</v>
      </c>
      <c r="L3086" s="11" t="str">
        <f t="shared" si="49"/>
        <v>Ver Imagen</v>
      </c>
      <c r="M3086" t="s">
        <v>15</v>
      </c>
    </row>
    <row r="3087" spans="1:13" x14ac:dyDescent="0.25">
      <c r="A3087">
        <v>3087</v>
      </c>
      <c r="B3087" t="s">
        <v>6185</v>
      </c>
      <c r="C3087" s="1">
        <v>37.196863298499999</v>
      </c>
      <c r="D3087" s="1">
        <v>-7.0052696471200004</v>
      </c>
      <c r="E3087" s="3">
        <v>2</v>
      </c>
      <c r="F3087" s="2">
        <v>3</v>
      </c>
      <c r="G3087" s="4">
        <v>3</v>
      </c>
      <c r="H3087" s="13"/>
      <c r="I3087" s="15"/>
      <c r="J3087" s="19">
        <v>3</v>
      </c>
      <c r="K3087" s="2" t="s">
        <v>6186</v>
      </c>
      <c r="L3087" s="11" t="str">
        <f t="shared" si="49"/>
        <v>Ver Imagen</v>
      </c>
      <c r="M3087" t="s">
        <v>15</v>
      </c>
    </row>
    <row r="3088" spans="1:13" x14ac:dyDescent="0.25">
      <c r="A3088">
        <v>3088</v>
      </c>
      <c r="B3088" t="s">
        <v>6187</v>
      </c>
      <c r="C3088" s="1">
        <v>37.287049916599997</v>
      </c>
      <c r="D3088" s="1">
        <v>-7.1412638388699996</v>
      </c>
      <c r="E3088" s="3">
        <v>2</v>
      </c>
      <c r="F3088" s="2">
        <v>3</v>
      </c>
      <c r="G3088" s="4">
        <v>3</v>
      </c>
      <c r="H3088" s="13"/>
      <c r="I3088" s="15"/>
      <c r="J3088" s="19">
        <v>3</v>
      </c>
      <c r="K3088" s="2" t="s">
        <v>6188</v>
      </c>
      <c r="L3088" s="11" t="str">
        <f t="shared" si="49"/>
        <v>Ver Imagen</v>
      </c>
      <c r="M3088" t="s">
        <v>15</v>
      </c>
    </row>
    <row r="3089" spans="1:13" x14ac:dyDescent="0.25">
      <c r="A3089">
        <v>3089</v>
      </c>
      <c r="B3089" t="s">
        <v>6189</v>
      </c>
      <c r="C3089" s="1">
        <v>37.286663564599998</v>
      </c>
      <c r="D3089" s="1">
        <v>-7.1414057224</v>
      </c>
      <c r="E3089" s="3">
        <v>2</v>
      </c>
      <c r="F3089" s="2">
        <v>3</v>
      </c>
      <c r="G3089" s="4">
        <v>3</v>
      </c>
      <c r="H3089" s="13"/>
      <c r="I3089" s="15"/>
      <c r="J3089" s="19">
        <v>3</v>
      </c>
      <c r="K3089" s="2" t="s">
        <v>6190</v>
      </c>
      <c r="L3089" s="11" t="str">
        <f t="shared" si="49"/>
        <v>Ver Imagen</v>
      </c>
      <c r="M3089" t="s">
        <v>15</v>
      </c>
    </row>
    <row r="3090" spans="1:13" x14ac:dyDescent="0.25">
      <c r="A3090">
        <v>3090</v>
      </c>
      <c r="B3090" t="s">
        <v>6191</v>
      </c>
      <c r="C3090" s="1">
        <v>37.2809809671</v>
      </c>
      <c r="D3090" s="1">
        <v>-7.1448926936300001</v>
      </c>
      <c r="E3090" s="3">
        <v>2</v>
      </c>
      <c r="F3090" s="2">
        <v>3</v>
      </c>
      <c r="G3090" s="4">
        <v>3</v>
      </c>
      <c r="H3090" s="13"/>
      <c r="I3090" s="15"/>
      <c r="J3090" s="19">
        <v>3</v>
      </c>
      <c r="K3090" s="2" t="s">
        <v>6192</v>
      </c>
      <c r="L3090" s="11" t="str">
        <f t="shared" si="49"/>
        <v>Ver Imagen</v>
      </c>
      <c r="M3090" t="s">
        <v>15</v>
      </c>
    </row>
    <row r="3091" spans="1:13" x14ac:dyDescent="0.25">
      <c r="A3091">
        <v>3091</v>
      </c>
      <c r="B3091" t="s">
        <v>6193</v>
      </c>
      <c r="C3091" s="1">
        <v>37.280821570900002</v>
      </c>
      <c r="D3091" s="1">
        <v>-7.1450011723899998</v>
      </c>
      <c r="E3091" s="3">
        <v>2</v>
      </c>
      <c r="F3091" s="2">
        <v>3</v>
      </c>
      <c r="G3091" s="4">
        <v>3</v>
      </c>
      <c r="H3091" s="13"/>
      <c r="I3091" s="15"/>
      <c r="J3091" s="19">
        <v>3</v>
      </c>
      <c r="K3091" s="2" t="s">
        <v>6194</v>
      </c>
      <c r="L3091" s="11" t="str">
        <f t="shared" si="49"/>
        <v>Ver Imagen</v>
      </c>
      <c r="M3091" t="s">
        <v>15</v>
      </c>
    </row>
    <row r="3092" spans="1:13" x14ac:dyDescent="0.25">
      <c r="A3092">
        <v>3092</v>
      </c>
      <c r="B3092" t="s">
        <v>6195</v>
      </c>
      <c r="C3092" s="1">
        <v>37.280640208100003</v>
      </c>
      <c r="D3092" s="1">
        <v>-7.1451294496499997</v>
      </c>
      <c r="E3092" s="3">
        <v>2</v>
      </c>
      <c r="F3092" s="2">
        <v>3</v>
      </c>
      <c r="G3092" s="4">
        <v>3</v>
      </c>
      <c r="H3092" s="13"/>
      <c r="I3092" s="15"/>
      <c r="J3092" s="19">
        <v>3</v>
      </c>
      <c r="K3092" s="2" t="s">
        <v>6196</v>
      </c>
      <c r="L3092" s="11" t="str">
        <f t="shared" si="49"/>
        <v>Ver Imagen</v>
      </c>
      <c r="M3092" t="s">
        <v>15</v>
      </c>
    </row>
    <row r="3093" spans="1:13" x14ac:dyDescent="0.25">
      <c r="A3093">
        <v>3093</v>
      </c>
      <c r="B3093" t="s">
        <v>6197</v>
      </c>
      <c r="C3093" s="1">
        <v>37.280480312000002</v>
      </c>
      <c r="D3093" s="1">
        <v>-7.1452459470600003</v>
      </c>
      <c r="E3093" s="3">
        <v>2</v>
      </c>
      <c r="F3093" s="2">
        <v>3</v>
      </c>
      <c r="G3093" s="4">
        <v>3</v>
      </c>
      <c r="H3093" s="13"/>
      <c r="I3093" s="15"/>
      <c r="J3093" s="19">
        <v>3</v>
      </c>
      <c r="K3093" s="2" t="s">
        <v>6198</v>
      </c>
      <c r="L3093" s="11" t="str">
        <f t="shared" si="49"/>
        <v>Ver Imagen</v>
      </c>
      <c r="M3093" t="s">
        <v>15</v>
      </c>
    </row>
    <row r="3094" spans="1:13" x14ac:dyDescent="0.25">
      <c r="A3094">
        <v>3094</v>
      </c>
      <c r="B3094" t="s">
        <v>6199</v>
      </c>
      <c r="C3094" s="1">
        <v>37.280302781700001</v>
      </c>
      <c r="D3094" s="1">
        <v>-7.1453907386399997</v>
      </c>
      <c r="E3094" s="3">
        <v>2</v>
      </c>
      <c r="F3094" s="2">
        <v>3</v>
      </c>
      <c r="G3094" s="4">
        <v>3</v>
      </c>
      <c r="H3094" s="13"/>
      <c r="I3094" s="15"/>
      <c r="J3094" s="19">
        <v>3</v>
      </c>
      <c r="K3094" s="2" t="s">
        <v>6200</v>
      </c>
      <c r="L3094" s="11" t="str">
        <f t="shared" si="49"/>
        <v>Ver Imagen</v>
      </c>
      <c r="M3094" t="s">
        <v>15</v>
      </c>
    </row>
    <row r="3095" spans="1:13" x14ac:dyDescent="0.25">
      <c r="A3095">
        <v>3095</v>
      </c>
      <c r="B3095" t="s">
        <v>6201</v>
      </c>
      <c r="C3095" s="1">
        <v>37.280058510499998</v>
      </c>
      <c r="D3095" s="1">
        <v>-7.1458213294400004</v>
      </c>
      <c r="E3095" s="3">
        <v>2</v>
      </c>
      <c r="F3095" s="2">
        <v>3</v>
      </c>
      <c r="G3095" s="4">
        <v>3</v>
      </c>
      <c r="H3095" s="13"/>
      <c r="I3095" s="15"/>
      <c r="J3095" s="19">
        <v>3</v>
      </c>
      <c r="K3095" s="2" t="s">
        <v>6202</v>
      </c>
      <c r="L3095" s="11" t="str">
        <f t="shared" si="49"/>
        <v>Ver Imagen</v>
      </c>
      <c r="M3095" t="s">
        <v>15</v>
      </c>
    </row>
    <row r="3096" spans="1:13" x14ac:dyDescent="0.25">
      <c r="A3096">
        <v>3096</v>
      </c>
      <c r="B3096" t="s">
        <v>6203</v>
      </c>
      <c r="C3096" s="1">
        <v>37.276983489300001</v>
      </c>
      <c r="D3096" s="1">
        <v>-7.1432362135099998</v>
      </c>
      <c r="E3096" s="3">
        <v>2</v>
      </c>
      <c r="F3096" s="2">
        <v>3</v>
      </c>
      <c r="G3096" s="4">
        <v>3</v>
      </c>
      <c r="H3096" s="13"/>
      <c r="I3096" s="15"/>
      <c r="J3096" s="19">
        <v>3</v>
      </c>
      <c r="K3096" s="2" t="s">
        <v>6204</v>
      </c>
      <c r="L3096" s="11" t="str">
        <f t="shared" si="49"/>
        <v>Ver Imagen</v>
      </c>
      <c r="M3096" t="s">
        <v>15</v>
      </c>
    </row>
    <row r="3097" spans="1:13" x14ac:dyDescent="0.25">
      <c r="A3097">
        <v>3097</v>
      </c>
      <c r="B3097" t="s">
        <v>6205</v>
      </c>
      <c r="C3097" s="1">
        <v>37.2729496145</v>
      </c>
      <c r="D3097" s="1">
        <v>-7.1417535011900002</v>
      </c>
      <c r="E3097" s="3">
        <v>3</v>
      </c>
      <c r="F3097" s="2">
        <v>3</v>
      </c>
      <c r="G3097" s="4">
        <v>4</v>
      </c>
      <c r="H3097" s="13"/>
      <c r="I3097" s="15"/>
      <c r="J3097" s="19">
        <v>3</v>
      </c>
      <c r="K3097" s="2" t="s">
        <v>6206</v>
      </c>
      <c r="L3097" s="11" t="str">
        <f t="shared" si="49"/>
        <v>Ver Imagen</v>
      </c>
      <c r="M3097" t="s">
        <v>15</v>
      </c>
    </row>
    <row r="3098" spans="1:13" x14ac:dyDescent="0.25">
      <c r="A3098">
        <v>3098</v>
      </c>
      <c r="B3098" t="s">
        <v>6207</v>
      </c>
      <c r="C3098" s="1">
        <v>37.272390383000001</v>
      </c>
      <c r="D3098" s="1">
        <v>-7.1414362330800003</v>
      </c>
      <c r="E3098" s="3">
        <v>2</v>
      </c>
      <c r="F3098" s="2">
        <v>3</v>
      </c>
      <c r="G3098" s="4">
        <v>3</v>
      </c>
      <c r="H3098" s="13"/>
      <c r="I3098" s="15"/>
      <c r="J3098" s="19">
        <v>3</v>
      </c>
      <c r="K3098" s="2" t="s">
        <v>6208</v>
      </c>
      <c r="L3098" s="11" t="str">
        <f t="shared" si="49"/>
        <v>Ver Imagen</v>
      </c>
      <c r="M3098" t="s">
        <v>15</v>
      </c>
    </row>
    <row r="3099" spans="1:13" x14ac:dyDescent="0.25">
      <c r="A3099">
        <v>3099</v>
      </c>
      <c r="B3099" t="s">
        <v>6209</v>
      </c>
      <c r="C3099" s="1">
        <v>37.271022608999999</v>
      </c>
      <c r="D3099" s="1">
        <v>-7.1403230348999998</v>
      </c>
      <c r="E3099" s="3">
        <v>4</v>
      </c>
      <c r="F3099" s="2">
        <v>3</v>
      </c>
      <c r="G3099" s="4">
        <v>3</v>
      </c>
      <c r="H3099" s="13"/>
      <c r="I3099" s="15"/>
      <c r="J3099" s="19">
        <v>3</v>
      </c>
      <c r="K3099" s="2" t="s">
        <v>6210</v>
      </c>
      <c r="L3099" s="11" t="str">
        <f t="shared" si="49"/>
        <v>Ver Imagen</v>
      </c>
      <c r="M3099" t="s">
        <v>15</v>
      </c>
    </row>
    <row r="3100" spans="1:13" x14ac:dyDescent="0.25">
      <c r="A3100">
        <v>3100</v>
      </c>
      <c r="B3100" t="s">
        <v>6211</v>
      </c>
      <c r="C3100" s="1">
        <v>37.2696357568</v>
      </c>
      <c r="D3100" s="1">
        <v>-7.1392967892700003</v>
      </c>
      <c r="E3100" s="3">
        <v>3</v>
      </c>
      <c r="F3100" s="2">
        <v>3</v>
      </c>
      <c r="G3100" s="4">
        <v>4</v>
      </c>
      <c r="H3100" s="13"/>
      <c r="I3100" s="15"/>
      <c r="J3100" s="19">
        <v>3</v>
      </c>
      <c r="K3100" s="2" t="s">
        <v>6212</v>
      </c>
      <c r="L3100" s="11" t="str">
        <f t="shared" si="49"/>
        <v>Ver Imagen</v>
      </c>
      <c r="M3100" t="s">
        <v>15</v>
      </c>
    </row>
    <row r="3101" spans="1:13" x14ac:dyDescent="0.25">
      <c r="A3101">
        <v>3101</v>
      </c>
      <c r="B3101" t="s">
        <v>6213</v>
      </c>
      <c r="C3101" s="1">
        <v>37.269332920499998</v>
      </c>
      <c r="D3101" s="1">
        <v>-7.1389642668400004</v>
      </c>
      <c r="E3101" s="3">
        <v>3</v>
      </c>
      <c r="F3101" s="2">
        <v>3</v>
      </c>
      <c r="G3101" s="4">
        <v>4</v>
      </c>
      <c r="H3101" s="13"/>
      <c r="I3101" s="15"/>
      <c r="J3101" s="19">
        <v>3</v>
      </c>
      <c r="K3101" s="2" t="s">
        <v>6214</v>
      </c>
      <c r="L3101" s="11" t="str">
        <f t="shared" si="49"/>
        <v>Ver Imagen</v>
      </c>
      <c r="M3101" t="s">
        <v>15</v>
      </c>
    </row>
    <row r="3102" spans="1:13" x14ac:dyDescent="0.25">
      <c r="A3102">
        <v>3102</v>
      </c>
      <c r="B3102" t="s">
        <v>6215</v>
      </c>
      <c r="C3102" s="1">
        <v>37.268269489700003</v>
      </c>
      <c r="D3102" s="1">
        <v>-7.1357255210400004</v>
      </c>
      <c r="E3102" s="3">
        <v>3</v>
      </c>
      <c r="F3102" s="2">
        <v>3</v>
      </c>
      <c r="G3102" s="4">
        <v>4</v>
      </c>
      <c r="H3102" s="13"/>
      <c r="I3102" s="15"/>
      <c r="J3102" s="19">
        <v>3</v>
      </c>
      <c r="K3102" s="2" t="s">
        <v>6216</v>
      </c>
      <c r="L3102" s="11" t="str">
        <f t="shared" si="49"/>
        <v>Ver Imagen</v>
      </c>
      <c r="M3102" t="s">
        <v>15</v>
      </c>
    </row>
    <row r="3103" spans="1:13" x14ac:dyDescent="0.25">
      <c r="A3103">
        <v>3103</v>
      </c>
      <c r="B3103" t="s">
        <v>6217</v>
      </c>
      <c r="C3103" s="1">
        <v>37.266993255000003</v>
      </c>
      <c r="D3103" s="1">
        <v>-7.1335192768500004</v>
      </c>
      <c r="E3103" s="3">
        <v>4</v>
      </c>
      <c r="F3103" s="2">
        <v>3</v>
      </c>
      <c r="G3103" s="4">
        <v>3</v>
      </c>
      <c r="H3103" s="13"/>
      <c r="I3103" s="15"/>
      <c r="J3103" s="19">
        <v>3</v>
      </c>
      <c r="K3103" s="2" t="s">
        <v>6218</v>
      </c>
      <c r="L3103" s="11" t="str">
        <f t="shared" si="49"/>
        <v>Ver Imagen</v>
      </c>
      <c r="M3103" t="s">
        <v>15</v>
      </c>
    </row>
    <row r="3104" spans="1:13" x14ac:dyDescent="0.25">
      <c r="A3104">
        <v>3104</v>
      </c>
      <c r="B3104" t="s">
        <v>6219</v>
      </c>
      <c r="C3104" s="1">
        <v>37.266497530599999</v>
      </c>
      <c r="D3104" s="1">
        <v>-7.1331703049100001</v>
      </c>
      <c r="E3104" s="3">
        <v>4</v>
      </c>
      <c r="F3104" s="2">
        <v>3</v>
      </c>
      <c r="G3104" s="4">
        <v>3</v>
      </c>
      <c r="H3104" s="13"/>
      <c r="I3104" s="15"/>
      <c r="J3104" s="19">
        <v>3</v>
      </c>
      <c r="K3104" s="2" t="s">
        <v>6220</v>
      </c>
      <c r="L3104" s="11" t="str">
        <f t="shared" si="49"/>
        <v>Ver Imagen</v>
      </c>
      <c r="M3104" t="s">
        <v>15</v>
      </c>
    </row>
    <row r="3105" spans="1:13" x14ac:dyDescent="0.25">
      <c r="A3105">
        <v>3105</v>
      </c>
      <c r="B3105" t="s">
        <v>6221</v>
      </c>
      <c r="C3105" s="1">
        <v>37.263939162</v>
      </c>
      <c r="D3105" s="1">
        <v>-7.1315614894600001</v>
      </c>
      <c r="E3105" s="3">
        <v>4</v>
      </c>
      <c r="F3105" s="2">
        <v>3</v>
      </c>
      <c r="G3105" s="4">
        <v>3</v>
      </c>
      <c r="H3105" s="13"/>
      <c r="I3105" s="15"/>
      <c r="J3105" s="19">
        <v>3</v>
      </c>
      <c r="K3105" s="2" t="s">
        <v>6222</v>
      </c>
      <c r="L3105" s="11" t="str">
        <f t="shared" si="49"/>
        <v>Ver Imagen</v>
      </c>
      <c r="M3105" t="s">
        <v>15</v>
      </c>
    </row>
    <row r="3106" spans="1:13" x14ac:dyDescent="0.25">
      <c r="A3106">
        <v>3106</v>
      </c>
      <c r="B3106" t="s">
        <v>6223</v>
      </c>
      <c r="C3106" s="1">
        <v>37.262848671999997</v>
      </c>
      <c r="D3106" s="1">
        <v>-7.1308700119699999</v>
      </c>
      <c r="E3106" s="3">
        <v>4</v>
      </c>
      <c r="F3106" s="2">
        <v>3</v>
      </c>
      <c r="G3106" s="4">
        <v>3</v>
      </c>
      <c r="H3106" s="13"/>
      <c r="I3106" s="15"/>
      <c r="J3106" s="19">
        <v>3</v>
      </c>
      <c r="K3106" s="2" t="s">
        <v>6224</v>
      </c>
      <c r="L3106" s="11" t="str">
        <f t="shared" si="49"/>
        <v>Ver Imagen</v>
      </c>
      <c r="M3106" t="s">
        <v>15</v>
      </c>
    </row>
    <row r="3107" spans="1:13" x14ac:dyDescent="0.25">
      <c r="A3107">
        <v>3107</v>
      </c>
      <c r="B3107" t="s">
        <v>6225</v>
      </c>
      <c r="C3107" s="1">
        <v>37.262487162100001</v>
      </c>
      <c r="D3107" s="1">
        <v>-7.13064738978</v>
      </c>
      <c r="E3107" s="3">
        <v>4</v>
      </c>
      <c r="F3107" s="2">
        <v>3</v>
      </c>
      <c r="G3107" s="4">
        <v>3</v>
      </c>
      <c r="H3107" s="13"/>
      <c r="I3107" s="15"/>
      <c r="J3107" s="19">
        <v>3</v>
      </c>
      <c r="K3107" s="2" t="s">
        <v>6226</v>
      </c>
      <c r="L3107" s="11" t="str">
        <f t="shared" si="49"/>
        <v>Ver Imagen</v>
      </c>
      <c r="M3107" t="s">
        <v>15</v>
      </c>
    </row>
    <row r="3108" spans="1:13" x14ac:dyDescent="0.25">
      <c r="A3108">
        <v>3108</v>
      </c>
      <c r="B3108" t="s">
        <v>6227</v>
      </c>
      <c r="C3108" s="1">
        <v>37.2619707952</v>
      </c>
      <c r="D3108" s="1">
        <v>-7.1303237533399999</v>
      </c>
      <c r="E3108" s="3">
        <v>3</v>
      </c>
      <c r="F3108" s="2">
        <v>3</v>
      </c>
      <c r="G3108" s="4">
        <v>4</v>
      </c>
      <c r="H3108" s="13"/>
      <c r="I3108" s="15"/>
      <c r="J3108" s="19">
        <v>3</v>
      </c>
      <c r="K3108" s="2" t="s">
        <v>6228</v>
      </c>
      <c r="L3108" s="11" t="str">
        <f t="shared" si="49"/>
        <v>Ver Imagen</v>
      </c>
      <c r="M3108" t="s">
        <v>15</v>
      </c>
    </row>
    <row r="3109" spans="1:13" x14ac:dyDescent="0.25">
      <c r="A3109">
        <v>3109</v>
      </c>
      <c r="B3109" t="s">
        <v>6229</v>
      </c>
      <c r="C3109" s="1">
        <v>37.243464856899998</v>
      </c>
      <c r="D3109" s="1">
        <v>-7.1282449208500003</v>
      </c>
      <c r="E3109" s="3">
        <v>2</v>
      </c>
      <c r="F3109" s="2">
        <v>3</v>
      </c>
      <c r="G3109" s="4">
        <v>3</v>
      </c>
      <c r="H3109" s="13"/>
      <c r="I3109" s="15"/>
      <c r="J3109" s="19">
        <v>3</v>
      </c>
      <c r="K3109" s="2" t="s">
        <v>6230</v>
      </c>
      <c r="L3109" s="11" t="str">
        <f t="shared" si="49"/>
        <v>Ver Imagen</v>
      </c>
      <c r="M3109" t="s">
        <v>15</v>
      </c>
    </row>
    <row r="3110" spans="1:13" x14ac:dyDescent="0.25">
      <c r="A3110">
        <v>3110</v>
      </c>
      <c r="B3110" t="s">
        <v>6231</v>
      </c>
      <c r="C3110" s="1">
        <v>37.243077845899997</v>
      </c>
      <c r="D3110" s="1">
        <v>-7.12830369956</v>
      </c>
      <c r="E3110" s="3">
        <v>2</v>
      </c>
      <c r="F3110" s="2">
        <v>3</v>
      </c>
      <c r="G3110" s="4">
        <v>3</v>
      </c>
      <c r="H3110" s="13"/>
      <c r="I3110" s="15"/>
      <c r="J3110" s="19">
        <v>3</v>
      </c>
      <c r="K3110" s="2" t="s">
        <v>6232</v>
      </c>
      <c r="L3110" s="11" t="str">
        <f t="shared" si="49"/>
        <v>Ver Imagen</v>
      </c>
      <c r="M3110" t="s">
        <v>15</v>
      </c>
    </row>
    <row r="3111" spans="1:13" x14ac:dyDescent="0.25">
      <c r="A3111">
        <v>3111</v>
      </c>
      <c r="B3111" t="s">
        <v>6233</v>
      </c>
      <c r="C3111" s="1">
        <v>37.241035062400002</v>
      </c>
      <c r="D3111" s="1">
        <v>-7.1285898747600003</v>
      </c>
      <c r="E3111" s="3">
        <v>2</v>
      </c>
      <c r="F3111" s="2">
        <v>3</v>
      </c>
      <c r="G3111" s="4">
        <v>3</v>
      </c>
      <c r="H3111" s="13"/>
      <c r="I3111" s="15"/>
      <c r="J3111" s="19">
        <v>3</v>
      </c>
      <c r="K3111" s="2" t="s">
        <v>6234</v>
      </c>
      <c r="L3111" s="11" t="str">
        <f t="shared" si="49"/>
        <v>Ver Imagen</v>
      </c>
      <c r="M3111" t="s">
        <v>15</v>
      </c>
    </row>
    <row r="3112" spans="1:13" x14ac:dyDescent="0.25">
      <c r="A3112">
        <v>3112</v>
      </c>
      <c r="B3112" t="s">
        <v>6235</v>
      </c>
      <c r="C3112" s="1">
        <v>37.240853483199999</v>
      </c>
      <c r="D3112" s="1">
        <v>-7.1286005450900003</v>
      </c>
      <c r="E3112" s="3">
        <v>2</v>
      </c>
      <c r="F3112" s="2">
        <v>3</v>
      </c>
      <c r="G3112" s="4">
        <v>3</v>
      </c>
      <c r="H3112" s="13"/>
      <c r="I3112" s="15"/>
      <c r="J3112" s="19">
        <v>3</v>
      </c>
      <c r="K3112" s="2" t="s">
        <v>6236</v>
      </c>
      <c r="L3112" s="11" t="str">
        <f t="shared" si="49"/>
        <v>Ver Imagen</v>
      </c>
      <c r="M3112" t="s">
        <v>15</v>
      </c>
    </row>
    <row r="3113" spans="1:13" x14ac:dyDescent="0.25">
      <c r="A3113">
        <v>3113</v>
      </c>
      <c r="B3113" t="s">
        <v>6237</v>
      </c>
      <c r="C3113" s="1">
        <v>37.239621368599998</v>
      </c>
      <c r="D3113" s="1">
        <v>-7.1285352849799999</v>
      </c>
      <c r="E3113" s="3">
        <v>2</v>
      </c>
      <c r="F3113" s="2">
        <v>3</v>
      </c>
      <c r="G3113" s="4">
        <v>3</v>
      </c>
      <c r="H3113" s="13"/>
      <c r="I3113" s="15"/>
      <c r="J3113" s="19">
        <v>3</v>
      </c>
      <c r="K3113" s="2" t="s">
        <v>6238</v>
      </c>
      <c r="L3113" s="11" t="str">
        <f t="shared" ref="L3113:L3176" si="50">HYPERLINK("3\1\" &amp; K3113, "Ver Imagen")</f>
        <v>Ver Imagen</v>
      </c>
      <c r="M3113" t="s">
        <v>15</v>
      </c>
    </row>
    <row r="3114" spans="1:13" x14ac:dyDescent="0.25">
      <c r="A3114">
        <v>3114</v>
      </c>
      <c r="B3114" t="s">
        <v>6239</v>
      </c>
      <c r="C3114" s="1">
        <v>37.2380354298</v>
      </c>
      <c r="D3114" s="1">
        <v>-7.1283793313899997</v>
      </c>
      <c r="E3114" s="3">
        <v>2</v>
      </c>
      <c r="F3114" s="2">
        <v>3</v>
      </c>
      <c r="G3114" s="4">
        <v>3</v>
      </c>
      <c r="H3114" s="13"/>
      <c r="I3114" s="15"/>
      <c r="J3114" s="19">
        <v>3</v>
      </c>
      <c r="K3114" s="2" t="s">
        <v>6240</v>
      </c>
      <c r="L3114" s="11" t="str">
        <f t="shared" si="50"/>
        <v>Ver Imagen</v>
      </c>
      <c r="M3114" t="s">
        <v>15</v>
      </c>
    </row>
    <row r="3115" spans="1:13" x14ac:dyDescent="0.25">
      <c r="A3115">
        <v>3115</v>
      </c>
      <c r="B3115" t="s">
        <v>6241</v>
      </c>
      <c r="C3115" s="1">
        <v>37.237831522699999</v>
      </c>
      <c r="D3115" s="1">
        <v>-7.1283592178699999</v>
      </c>
      <c r="E3115" s="3">
        <v>2</v>
      </c>
      <c r="F3115" s="2">
        <v>3</v>
      </c>
      <c r="G3115" s="4">
        <v>3</v>
      </c>
      <c r="H3115" s="13"/>
      <c r="I3115" s="15"/>
      <c r="J3115" s="19">
        <v>3</v>
      </c>
      <c r="K3115" s="2" t="s">
        <v>6242</v>
      </c>
      <c r="L3115" s="11" t="str">
        <f t="shared" si="50"/>
        <v>Ver Imagen</v>
      </c>
      <c r="M3115" t="s">
        <v>15</v>
      </c>
    </row>
    <row r="3116" spans="1:13" x14ac:dyDescent="0.25">
      <c r="A3116">
        <v>3116</v>
      </c>
      <c r="B3116" t="s">
        <v>6243</v>
      </c>
      <c r="C3116" s="1">
        <v>37.231266574999999</v>
      </c>
      <c r="D3116" s="1">
        <v>-7.1270803470199997</v>
      </c>
      <c r="E3116" s="3">
        <v>2</v>
      </c>
      <c r="F3116" s="2">
        <v>3</v>
      </c>
      <c r="G3116" s="4">
        <v>3</v>
      </c>
      <c r="H3116" s="13"/>
      <c r="I3116" s="15"/>
      <c r="J3116" s="19">
        <v>3</v>
      </c>
      <c r="K3116" s="2" t="s">
        <v>6244</v>
      </c>
      <c r="L3116" s="11" t="str">
        <f t="shared" si="50"/>
        <v>Ver Imagen</v>
      </c>
      <c r="M3116" t="s">
        <v>15</v>
      </c>
    </row>
    <row r="3117" spans="1:13" x14ac:dyDescent="0.25">
      <c r="A3117">
        <v>3117</v>
      </c>
      <c r="B3117" t="s">
        <v>6245</v>
      </c>
      <c r="C3117" s="1">
        <v>37.230833903099999</v>
      </c>
      <c r="D3117" s="1">
        <v>-7.1270405569999999</v>
      </c>
      <c r="E3117" s="3">
        <v>2</v>
      </c>
      <c r="F3117" s="2">
        <v>3</v>
      </c>
      <c r="G3117" s="4">
        <v>3</v>
      </c>
      <c r="H3117" s="13"/>
      <c r="I3117" s="15"/>
      <c r="J3117" s="19">
        <v>3</v>
      </c>
      <c r="K3117" s="2" t="s">
        <v>6246</v>
      </c>
      <c r="L3117" s="11" t="str">
        <f t="shared" si="50"/>
        <v>Ver Imagen</v>
      </c>
      <c r="M3117" t="s">
        <v>15</v>
      </c>
    </row>
    <row r="3118" spans="1:13" x14ac:dyDescent="0.25">
      <c r="A3118">
        <v>3118</v>
      </c>
      <c r="B3118" t="s">
        <v>6247</v>
      </c>
      <c r="C3118" s="1">
        <v>37.230660325800002</v>
      </c>
      <c r="D3118" s="1">
        <v>-7.1270239660300003</v>
      </c>
      <c r="E3118" s="3">
        <v>2</v>
      </c>
      <c r="F3118" s="2">
        <v>3</v>
      </c>
      <c r="G3118" s="4">
        <v>3</v>
      </c>
      <c r="H3118" s="13"/>
      <c r="I3118" s="15"/>
      <c r="J3118" s="19">
        <v>3</v>
      </c>
      <c r="K3118" s="2" t="s">
        <v>6248</v>
      </c>
      <c r="L3118" s="11" t="str">
        <f t="shared" si="50"/>
        <v>Ver Imagen</v>
      </c>
      <c r="M3118" t="s">
        <v>15</v>
      </c>
    </row>
    <row r="3119" spans="1:13" x14ac:dyDescent="0.25">
      <c r="A3119">
        <v>3119</v>
      </c>
      <c r="B3119" t="s">
        <v>6249</v>
      </c>
      <c r="C3119" s="1">
        <v>37.230476460600002</v>
      </c>
      <c r="D3119" s="1">
        <v>-7.1270064160900004</v>
      </c>
      <c r="E3119" s="3">
        <v>2</v>
      </c>
      <c r="F3119" s="2">
        <v>3</v>
      </c>
      <c r="G3119" s="4">
        <v>3</v>
      </c>
      <c r="H3119" s="13"/>
      <c r="I3119" s="15"/>
      <c r="J3119" s="19">
        <v>3</v>
      </c>
      <c r="K3119" s="2" t="s">
        <v>6250</v>
      </c>
      <c r="L3119" s="11" t="str">
        <f t="shared" si="50"/>
        <v>Ver Imagen</v>
      </c>
      <c r="M3119" t="s">
        <v>15</v>
      </c>
    </row>
    <row r="3120" spans="1:13" x14ac:dyDescent="0.25">
      <c r="A3120">
        <v>3120</v>
      </c>
      <c r="B3120" t="s">
        <v>6251</v>
      </c>
      <c r="C3120" s="1">
        <v>37.229267947700002</v>
      </c>
      <c r="D3120" s="1">
        <v>-7.1268900075800001</v>
      </c>
      <c r="E3120" s="3">
        <v>2</v>
      </c>
      <c r="F3120" s="2">
        <v>3</v>
      </c>
      <c r="G3120" s="4">
        <v>3</v>
      </c>
      <c r="H3120" s="13"/>
      <c r="I3120" s="15"/>
      <c r="J3120" s="19">
        <v>3</v>
      </c>
      <c r="K3120" s="2" t="s">
        <v>6252</v>
      </c>
      <c r="L3120" s="11" t="str">
        <f t="shared" si="50"/>
        <v>Ver Imagen</v>
      </c>
      <c r="M3120" t="s">
        <v>15</v>
      </c>
    </row>
    <row r="3121" spans="1:13" x14ac:dyDescent="0.25">
      <c r="A3121">
        <v>3121</v>
      </c>
      <c r="B3121" t="s">
        <v>6253</v>
      </c>
      <c r="C3121" s="1">
        <v>37.229061129400002</v>
      </c>
      <c r="D3121" s="1">
        <v>-7.1268676971399998</v>
      </c>
      <c r="E3121" s="3">
        <v>2</v>
      </c>
      <c r="F3121" s="2">
        <v>3</v>
      </c>
      <c r="G3121" s="4">
        <v>3</v>
      </c>
      <c r="H3121" s="13"/>
      <c r="I3121" s="15"/>
      <c r="J3121" s="19">
        <v>3</v>
      </c>
      <c r="K3121" s="2" t="s">
        <v>6254</v>
      </c>
      <c r="L3121" s="11" t="str">
        <f t="shared" si="50"/>
        <v>Ver Imagen</v>
      </c>
      <c r="M3121" t="s">
        <v>15</v>
      </c>
    </row>
    <row r="3122" spans="1:13" x14ac:dyDescent="0.25">
      <c r="A3122">
        <v>3122</v>
      </c>
      <c r="B3122" t="s">
        <v>6255</v>
      </c>
      <c r="C3122" s="1">
        <v>37.228862322300003</v>
      </c>
      <c r="D3122" s="1">
        <v>-7.1268411391899997</v>
      </c>
      <c r="E3122" s="3">
        <v>2</v>
      </c>
      <c r="F3122" s="2">
        <v>3</v>
      </c>
      <c r="G3122" s="4">
        <v>3</v>
      </c>
      <c r="H3122" s="13"/>
      <c r="I3122" s="15"/>
      <c r="J3122" s="19">
        <v>3</v>
      </c>
      <c r="K3122" s="2" t="s">
        <v>6256</v>
      </c>
      <c r="L3122" s="11" t="str">
        <f t="shared" si="50"/>
        <v>Ver Imagen</v>
      </c>
      <c r="M3122" t="s">
        <v>15</v>
      </c>
    </row>
    <row r="3123" spans="1:13" x14ac:dyDescent="0.25">
      <c r="A3123">
        <v>3123</v>
      </c>
      <c r="B3123" t="s">
        <v>6257</v>
      </c>
      <c r="C3123" s="1">
        <v>37.228658078599999</v>
      </c>
      <c r="D3123" s="1">
        <v>-7.1268055211199997</v>
      </c>
      <c r="E3123" s="3">
        <v>3</v>
      </c>
      <c r="F3123" s="2">
        <v>3</v>
      </c>
      <c r="G3123" s="4">
        <v>4</v>
      </c>
      <c r="H3123" s="13"/>
      <c r="I3123" s="15"/>
      <c r="J3123" s="19">
        <v>3</v>
      </c>
      <c r="K3123" s="2" t="s">
        <v>6258</v>
      </c>
      <c r="L3123" s="11" t="str">
        <f t="shared" si="50"/>
        <v>Ver Imagen</v>
      </c>
      <c r="M3123" t="s">
        <v>15</v>
      </c>
    </row>
    <row r="3124" spans="1:13" x14ac:dyDescent="0.25">
      <c r="A3124">
        <v>3124</v>
      </c>
      <c r="B3124" t="s">
        <v>6259</v>
      </c>
      <c r="C3124" s="1">
        <v>37.228262999800002</v>
      </c>
      <c r="D3124" s="1">
        <v>-7.1267390596400002</v>
      </c>
      <c r="E3124" s="3">
        <v>4</v>
      </c>
      <c r="F3124" s="2">
        <v>3</v>
      </c>
      <c r="G3124" s="4">
        <v>3</v>
      </c>
      <c r="H3124" s="13"/>
      <c r="I3124" s="15"/>
      <c r="J3124" s="19">
        <v>3</v>
      </c>
      <c r="K3124" s="2" t="s">
        <v>6260</v>
      </c>
      <c r="L3124" s="11" t="str">
        <f t="shared" si="50"/>
        <v>Ver Imagen</v>
      </c>
      <c r="M3124" t="s">
        <v>15</v>
      </c>
    </row>
    <row r="3125" spans="1:13" x14ac:dyDescent="0.25">
      <c r="A3125">
        <v>3125</v>
      </c>
      <c r="B3125" t="s">
        <v>6261</v>
      </c>
      <c r="C3125" s="1">
        <v>37.226885824900002</v>
      </c>
      <c r="D3125" s="1">
        <v>-7.1263465607200001</v>
      </c>
      <c r="E3125" s="3">
        <v>3</v>
      </c>
      <c r="F3125" s="2">
        <v>3</v>
      </c>
      <c r="G3125" s="4">
        <v>4</v>
      </c>
      <c r="H3125" s="13"/>
      <c r="I3125" s="15"/>
      <c r="J3125" s="19">
        <v>3</v>
      </c>
      <c r="K3125" s="2" t="s">
        <v>6262</v>
      </c>
      <c r="L3125" s="11" t="str">
        <f t="shared" si="50"/>
        <v>Ver Imagen</v>
      </c>
      <c r="M3125" t="s">
        <v>15</v>
      </c>
    </row>
    <row r="3126" spans="1:13" x14ac:dyDescent="0.25">
      <c r="A3126">
        <v>3126</v>
      </c>
      <c r="B3126" t="s">
        <v>6263</v>
      </c>
      <c r="C3126" s="1">
        <v>37.223780396999999</v>
      </c>
      <c r="D3126" s="1">
        <v>-7.12519884575</v>
      </c>
      <c r="E3126" s="3">
        <v>4</v>
      </c>
      <c r="F3126" s="2">
        <v>3</v>
      </c>
      <c r="G3126" s="4">
        <v>3</v>
      </c>
      <c r="H3126" s="13"/>
      <c r="I3126" s="15"/>
      <c r="J3126" s="19">
        <v>3</v>
      </c>
      <c r="K3126" s="2" t="s">
        <v>6264</v>
      </c>
      <c r="L3126" s="11" t="str">
        <f t="shared" si="50"/>
        <v>Ver Imagen</v>
      </c>
      <c r="M3126" t="s">
        <v>15</v>
      </c>
    </row>
    <row r="3127" spans="1:13" x14ac:dyDescent="0.25">
      <c r="A3127">
        <v>3127</v>
      </c>
      <c r="B3127" t="s">
        <v>6265</v>
      </c>
      <c r="C3127" s="1">
        <v>37.221988221099998</v>
      </c>
      <c r="D3127" s="1">
        <v>-7.1251557483800001</v>
      </c>
      <c r="E3127" s="3">
        <v>2</v>
      </c>
      <c r="F3127" s="2">
        <v>3</v>
      </c>
      <c r="G3127" s="4">
        <v>3</v>
      </c>
      <c r="H3127" s="13"/>
      <c r="I3127" s="15"/>
      <c r="J3127" s="19">
        <v>3</v>
      </c>
      <c r="K3127" s="2" t="s">
        <v>6266</v>
      </c>
      <c r="L3127" s="11" t="str">
        <f t="shared" si="50"/>
        <v>Ver Imagen</v>
      </c>
      <c r="M3127" t="s">
        <v>15</v>
      </c>
    </row>
    <row r="3128" spans="1:13" x14ac:dyDescent="0.25">
      <c r="A3128">
        <v>3128</v>
      </c>
      <c r="B3128" t="s">
        <v>6267</v>
      </c>
      <c r="C3128" s="1">
        <v>37.2216006425</v>
      </c>
      <c r="D3128" s="1">
        <v>-7.1253193462400004</v>
      </c>
      <c r="E3128" s="3">
        <v>2</v>
      </c>
      <c r="F3128" s="2">
        <v>3</v>
      </c>
      <c r="G3128" s="4">
        <v>3</v>
      </c>
      <c r="H3128" s="13"/>
      <c r="I3128" s="15"/>
      <c r="J3128" s="19">
        <v>3</v>
      </c>
      <c r="K3128" s="2" t="s">
        <v>6268</v>
      </c>
      <c r="L3128" s="11" t="str">
        <f t="shared" si="50"/>
        <v>Ver Imagen</v>
      </c>
      <c r="M3128" t="s">
        <v>15</v>
      </c>
    </row>
    <row r="3129" spans="1:13" x14ac:dyDescent="0.25">
      <c r="A3129">
        <v>3129</v>
      </c>
      <c r="B3129" t="s">
        <v>6269</v>
      </c>
      <c r="C3129" s="1">
        <v>37.443235650600002</v>
      </c>
      <c r="D3129" s="1">
        <v>-7.0950710855099999</v>
      </c>
      <c r="E3129" s="3">
        <v>2</v>
      </c>
      <c r="F3129" s="2">
        <v>3</v>
      </c>
      <c r="G3129" s="4">
        <v>3</v>
      </c>
      <c r="H3129" s="13"/>
      <c r="I3129" s="15"/>
      <c r="J3129" s="19">
        <v>3</v>
      </c>
      <c r="K3129" s="2" t="s">
        <v>6270</v>
      </c>
      <c r="L3129" s="11" t="str">
        <f t="shared" si="50"/>
        <v>Ver Imagen</v>
      </c>
      <c r="M3129" t="s">
        <v>15</v>
      </c>
    </row>
    <row r="3130" spans="1:13" x14ac:dyDescent="0.25">
      <c r="A3130">
        <v>3130</v>
      </c>
      <c r="B3130" t="s">
        <v>6271</v>
      </c>
      <c r="C3130" s="1">
        <v>37.4427074014</v>
      </c>
      <c r="D3130" s="1">
        <v>-7.0936930899000004</v>
      </c>
      <c r="E3130" s="3">
        <v>3</v>
      </c>
      <c r="F3130" s="2">
        <v>3</v>
      </c>
      <c r="G3130" s="4">
        <v>2</v>
      </c>
      <c r="H3130" s="13"/>
      <c r="I3130" s="15"/>
      <c r="J3130" s="19">
        <v>3</v>
      </c>
      <c r="K3130" s="2" t="s">
        <v>6272</v>
      </c>
      <c r="L3130" s="11" t="str">
        <f t="shared" si="50"/>
        <v>Ver Imagen</v>
      </c>
      <c r="M3130" t="s">
        <v>15</v>
      </c>
    </row>
    <row r="3131" spans="1:13" x14ac:dyDescent="0.25">
      <c r="A3131">
        <v>3131</v>
      </c>
      <c r="B3131" t="s">
        <v>6273</v>
      </c>
      <c r="C3131" s="1">
        <v>37.442623770399997</v>
      </c>
      <c r="D3131" s="1">
        <v>-7.0934759620800003</v>
      </c>
      <c r="E3131" s="3">
        <v>3</v>
      </c>
      <c r="F3131" s="2">
        <v>3</v>
      </c>
      <c r="G3131" s="4">
        <v>2</v>
      </c>
      <c r="H3131" s="13"/>
      <c r="I3131" s="15"/>
      <c r="J3131" s="19">
        <v>3</v>
      </c>
      <c r="K3131" s="2" t="s">
        <v>6274</v>
      </c>
      <c r="L3131" s="11" t="str">
        <f t="shared" si="50"/>
        <v>Ver Imagen</v>
      </c>
      <c r="M3131" t="s">
        <v>15</v>
      </c>
    </row>
    <row r="3132" spans="1:13" x14ac:dyDescent="0.25">
      <c r="A3132">
        <v>3132</v>
      </c>
      <c r="B3132" t="s">
        <v>6275</v>
      </c>
      <c r="C3132" s="1">
        <v>37.439934698499997</v>
      </c>
      <c r="D3132" s="1">
        <v>-7.0875200302000003</v>
      </c>
      <c r="E3132" s="3">
        <v>3</v>
      </c>
      <c r="F3132" s="2">
        <v>3</v>
      </c>
      <c r="G3132" s="4">
        <v>4</v>
      </c>
      <c r="H3132" s="13"/>
      <c r="I3132" s="15"/>
      <c r="J3132" s="19">
        <v>3</v>
      </c>
      <c r="K3132" s="2" t="s">
        <v>6276</v>
      </c>
      <c r="L3132" s="11" t="str">
        <f t="shared" si="50"/>
        <v>Ver Imagen</v>
      </c>
      <c r="M3132" t="s">
        <v>15</v>
      </c>
    </row>
    <row r="3133" spans="1:13" x14ac:dyDescent="0.25">
      <c r="A3133">
        <v>3133</v>
      </c>
      <c r="B3133" t="s">
        <v>6277</v>
      </c>
      <c r="C3133" s="1">
        <v>37.4397336416</v>
      </c>
      <c r="D3133" s="1">
        <v>-7.0870989975800001</v>
      </c>
      <c r="E3133" s="3">
        <v>3</v>
      </c>
      <c r="F3133" s="2">
        <v>3</v>
      </c>
      <c r="G3133" s="4">
        <v>4</v>
      </c>
      <c r="H3133" s="13"/>
      <c r="I3133" s="15"/>
      <c r="J3133" s="19">
        <v>3</v>
      </c>
      <c r="K3133" s="2" t="s">
        <v>6278</v>
      </c>
      <c r="L3133" s="11" t="str">
        <f t="shared" si="50"/>
        <v>Ver Imagen</v>
      </c>
      <c r="M3133" t="s">
        <v>15</v>
      </c>
    </row>
    <row r="3134" spans="1:13" x14ac:dyDescent="0.25">
      <c r="A3134">
        <v>3134</v>
      </c>
      <c r="B3134" t="s">
        <v>6279</v>
      </c>
      <c r="C3134" s="1">
        <v>37.438823769800003</v>
      </c>
      <c r="D3134" s="1">
        <v>-7.0850827306699999</v>
      </c>
      <c r="E3134" s="3">
        <v>3</v>
      </c>
      <c r="F3134" s="2">
        <v>3</v>
      </c>
      <c r="G3134" s="4">
        <v>4</v>
      </c>
      <c r="H3134" s="13"/>
      <c r="I3134" s="15"/>
      <c r="J3134" s="19">
        <v>3</v>
      </c>
      <c r="K3134" s="2" t="s">
        <v>6280</v>
      </c>
      <c r="L3134" s="11" t="str">
        <f t="shared" si="50"/>
        <v>Ver Imagen</v>
      </c>
      <c r="M3134" t="s">
        <v>15</v>
      </c>
    </row>
    <row r="3135" spans="1:13" x14ac:dyDescent="0.25">
      <c r="A3135">
        <v>3135</v>
      </c>
      <c r="B3135" t="s">
        <v>6281</v>
      </c>
      <c r="C3135" s="1">
        <v>37.438162409599997</v>
      </c>
      <c r="D3135" s="1">
        <v>-7.0832067469500002</v>
      </c>
      <c r="E3135" s="3">
        <v>3</v>
      </c>
      <c r="F3135" s="2">
        <v>3</v>
      </c>
      <c r="G3135" s="4">
        <v>4</v>
      </c>
      <c r="H3135" s="13"/>
      <c r="I3135" s="15"/>
      <c r="J3135" s="19">
        <v>3</v>
      </c>
      <c r="K3135" s="2" t="s">
        <v>6282</v>
      </c>
      <c r="L3135" s="11" t="str">
        <f t="shared" si="50"/>
        <v>Ver Imagen</v>
      </c>
      <c r="M3135" t="s">
        <v>15</v>
      </c>
    </row>
    <row r="3136" spans="1:13" x14ac:dyDescent="0.25">
      <c r="A3136">
        <v>3136</v>
      </c>
      <c r="B3136" t="s">
        <v>6283</v>
      </c>
      <c r="C3136" s="1">
        <v>37.437778648699997</v>
      </c>
      <c r="D3136" s="1">
        <v>-7.0820720260199996</v>
      </c>
      <c r="E3136" s="3">
        <v>3</v>
      </c>
      <c r="F3136" s="2">
        <v>3</v>
      </c>
      <c r="G3136" s="4">
        <v>4</v>
      </c>
      <c r="H3136" s="13"/>
      <c r="I3136" s="15"/>
      <c r="J3136" s="19">
        <v>3</v>
      </c>
      <c r="K3136" s="2" t="s">
        <v>6284</v>
      </c>
      <c r="L3136" s="11" t="str">
        <f t="shared" si="50"/>
        <v>Ver Imagen</v>
      </c>
      <c r="M3136" t="s">
        <v>15</v>
      </c>
    </row>
    <row r="3137" spans="1:13" x14ac:dyDescent="0.25">
      <c r="A3137">
        <v>3137</v>
      </c>
      <c r="B3137" t="s">
        <v>6285</v>
      </c>
      <c r="C3137" s="1">
        <v>37.437127642500002</v>
      </c>
      <c r="D3137" s="1">
        <v>-7.0805239784099996</v>
      </c>
      <c r="E3137" s="3">
        <v>3</v>
      </c>
      <c r="F3137" s="2">
        <v>3</v>
      </c>
      <c r="G3137" s="4">
        <v>4</v>
      </c>
      <c r="H3137" s="13"/>
      <c r="I3137" s="15"/>
      <c r="J3137" s="19">
        <v>3</v>
      </c>
      <c r="K3137" s="2" t="s">
        <v>6286</v>
      </c>
      <c r="L3137" s="11" t="str">
        <f t="shared" si="50"/>
        <v>Ver Imagen</v>
      </c>
      <c r="M3137" t="s">
        <v>15</v>
      </c>
    </row>
    <row r="3138" spans="1:13" x14ac:dyDescent="0.25">
      <c r="A3138">
        <v>3138</v>
      </c>
      <c r="B3138" t="s">
        <v>6287</v>
      </c>
      <c r="C3138" s="1">
        <v>37.436606725499999</v>
      </c>
      <c r="D3138" s="1">
        <v>-7.0787276591200001</v>
      </c>
      <c r="E3138" s="3">
        <v>3</v>
      </c>
      <c r="F3138" s="2">
        <v>3</v>
      </c>
      <c r="G3138" s="4">
        <v>4</v>
      </c>
      <c r="H3138" s="13"/>
      <c r="I3138" s="15"/>
      <c r="J3138" s="19">
        <v>3</v>
      </c>
      <c r="K3138" s="2" t="s">
        <v>6288</v>
      </c>
      <c r="L3138" s="11" t="str">
        <f t="shared" si="50"/>
        <v>Ver Imagen</v>
      </c>
      <c r="M3138" t="s">
        <v>15</v>
      </c>
    </row>
    <row r="3139" spans="1:13" x14ac:dyDescent="0.25">
      <c r="A3139">
        <v>3139</v>
      </c>
      <c r="B3139" t="s">
        <v>6289</v>
      </c>
      <c r="C3139" s="1">
        <v>37.4355246306</v>
      </c>
      <c r="D3139" s="1">
        <v>-7.0755615767800002</v>
      </c>
      <c r="E3139" s="3">
        <v>3</v>
      </c>
      <c r="F3139" s="2">
        <v>3</v>
      </c>
      <c r="G3139" s="4">
        <v>2</v>
      </c>
      <c r="H3139" s="13"/>
      <c r="I3139" s="15"/>
      <c r="J3139" s="19">
        <v>3</v>
      </c>
      <c r="K3139" s="2" t="s">
        <v>6290</v>
      </c>
      <c r="L3139" s="11" t="str">
        <f t="shared" si="50"/>
        <v>Ver Imagen</v>
      </c>
      <c r="M3139" t="s">
        <v>15</v>
      </c>
    </row>
    <row r="3140" spans="1:13" x14ac:dyDescent="0.25">
      <c r="A3140">
        <v>3140</v>
      </c>
      <c r="B3140" t="s">
        <v>6291</v>
      </c>
      <c r="C3140" s="1">
        <v>37.221116780099997</v>
      </c>
      <c r="D3140" s="1">
        <v>-7.0537015379100003</v>
      </c>
      <c r="E3140" s="3">
        <v>4</v>
      </c>
      <c r="F3140" s="2">
        <v>3</v>
      </c>
      <c r="G3140" s="4">
        <v>3</v>
      </c>
      <c r="H3140" s="13"/>
      <c r="I3140" s="15"/>
      <c r="J3140" s="19">
        <v>3</v>
      </c>
      <c r="K3140" s="2" t="s">
        <v>6292</v>
      </c>
      <c r="L3140" s="11" t="str">
        <f t="shared" si="50"/>
        <v>Ver Imagen</v>
      </c>
      <c r="M3140" t="s">
        <v>15</v>
      </c>
    </row>
    <row r="3141" spans="1:13" x14ac:dyDescent="0.25">
      <c r="A3141">
        <v>3141</v>
      </c>
      <c r="B3141" t="s">
        <v>6293</v>
      </c>
      <c r="C3141" s="1">
        <v>37.221419422899999</v>
      </c>
      <c r="D3141" s="1">
        <v>-7.0543462766999996</v>
      </c>
      <c r="E3141" s="3">
        <v>4</v>
      </c>
      <c r="F3141" s="2">
        <v>3</v>
      </c>
      <c r="G3141" s="4">
        <v>3</v>
      </c>
      <c r="H3141" s="13"/>
      <c r="I3141" s="15"/>
      <c r="J3141" s="19">
        <v>3</v>
      </c>
      <c r="K3141" s="2" t="s">
        <v>6294</v>
      </c>
      <c r="L3141" s="11" t="str">
        <f t="shared" si="50"/>
        <v>Ver Imagen</v>
      </c>
      <c r="M3141" t="s">
        <v>15</v>
      </c>
    </row>
    <row r="3142" spans="1:13" x14ac:dyDescent="0.25">
      <c r="A3142">
        <v>3142</v>
      </c>
      <c r="B3142" t="s">
        <v>6295</v>
      </c>
      <c r="C3142" s="1">
        <v>37.435294996800003</v>
      </c>
      <c r="D3142" s="1">
        <v>-7.0717431854999999</v>
      </c>
      <c r="E3142" s="3">
        <v>4</v>
      </c>
      <c r="F3142" s="2">
        <v>3</v>
      </c>
      <c r="G3142" s="4">
        <v>3</v>
      </c>
      <c r="H3142" s="13"/>
      <c r="I3142" s="15"/>
      <c r="J3142" s="19">
        <v>3</v>
      </c>
      <c r="K3142" s="2" t="s">
        <v>6296</v>
      </c>
      <c r="L3142" s="11" t="str">
        <f t="shared" si="50"/>
        <v>Ver Imagen</v>
      </c>
      <c r="M3142" t="s">
        <v>15</v>
      </c>
    </row>
    <row r="3143" spans="1:13" x14ac:dyDescent="0.25">
      <c r="A3143">
        <v>3143</v>
      </c>
      <c r="B3143" t="s">
        <v>6297</v>
      </c>
      <c r="C3143" s="1">
        <v>37.226774219399999</v>
      </c>
      <c r="D3143" s="1">
        <v>-7.0605493613099997</v>
      </c>
      <c r="E3143" s="3">
        <v>3</v>
      </c>
      <c r="F3143" s="2">
        <v>3</v>
      </c>
      <c r="G3143" s="4">
        <v>2</v>
      </c>
      <c r="H3143" s="13"/>
      <c r="I3143" s="15"/>
      <c r="J3143" s="19">
        <v>3</v>
      </c>
      <c r="K3143" s="2" t="s">
        <v>6298</v>
      </c>
      <c r="L3143" s="11" t="str">
        <f t="shared" si="50"/>
        <v>Ver Imagen</v>
      </c>
      <c r="M3143" t="s">
        <v>15</v>
      </c>
    </row>
    <row r="3144" spans="1:13" x14ac:dyDescent="0.25">
      <c r="A3144">
        <v>3144</v>
      </c>
      <c r="B3144" t="s">
        <v>6299</v>
      </c>
      <c r="C3144" s="1">
        <v>37.434020199099997</v>
      </c>
      <c r="D3144" s="1">
        <v>-7.06724667731</v>
      </c>
      <c r="E3144" s="3">
        <v>2</v>
      </c>
      <c r="F3144" s="2">
        <v>3</v>
      </c>
      <c r="G3144" s="4">
        <v>3</v>
      </c>
      <c r="H3144" s="13"/>
      <c r="I3144" s="15"/>
      <c r="J3144" s="19">
        <v>3</v>
      </c>
      <c r="K3144" s="2" t="s">
        <v>6300</v>
      </c>
      <c r="L3144" s="11" t="str">
        <f t="shared" si="50"/>
        <v>Ver Imagen</v>
      </c>
      <c r="M3144" t="s">
        <v>15</v>
      </c>
    </row>
    <row r="3145" spans="1:13" x14ac:dyDescent="0.25">
      <c r="A3145">
        <v>3145</v>
      </c>
      <c r="B3145" t="s">
        <v>6301</v>
      </c>
      <c r="C3145" s="1">
        <v>37.233006024600002</v>
      </c>
      <c r="D3145" s="1">
        <v>-7.0656755652600003</v>
      </c>
      <c r="E3145" s="3">
        <v>3</v>
      </c>
      <c r="F3145" s="2">
        <v>3</v>
      </c>
      <c r="G3145" s="4">
        <v>4</v>
      </c>
      <c r="H3145" s="13"/>
      <c r="I3145" s="15"/>
      <c r="J3145" s="19">
        <v>3</v>
      </c>
      <c r="K3145" s="2" t="s">
        <v>6302</v>
      </c>
      <c r="L3145" s="11" t="str">
        <f t="shared" si="50"/>
        <v>Ver Imagen</v>
      </c>
      <c r="M3145" t="s">
        <v>15</v>
      </c>
    </row>
    <row r="3146" spans="1:13" x14ac:dyDescent="0.25">
      <c r="A3146">
        <v>3146</v>
      </c>
      <c r="B3146" t="s">
        <v>6303</v>
      </c>
      <c r="C3146" s="1">
        <v>37.224536180999998</v>
      </c>
      <c r="D3146" s="1">
        <v>-7.0349205321800001</v>
      </c>
      <c r="E3146" s="3">
        <v>4</v>
      </c>
      <c r="F3146" s="2">
        <v>3</v>
      </c>
      <c r="G3146" s="4">
        <v>3</v>
      </c>
      <c r="H3146" s="13"/>
      <c r="I3146" s="15"/>
      <c r="J3146" s="19">
        <v>3</v>
      </c>
      <c r="K3146" s="2" t="s">
        <v>6304</v>
      </c>
      <c r="L3146" s="11" t="str">
        <f t="shared" si="50"/>
        <v>Ver Imagen</v>
      </c>
      <c r="M3146" t="s">
        <v>15</v>
      </c>
    </row>
    <row r="3147" spans="1:13" x14ac:dyDescent="0.25">
      <c r="A3147">
        <v>3147</v>
      </c>
      <c r="B3147" t="s">
        <v>6305</v>
      </c>
      <c r="C3147" s="1">
        <v>37.224555806399998</v>
      </c>
      <c r="D3147" s="1">
        <v>-7.0351599573800003</v>
      </c>
      <c r="E3147" s="3">
        <v>4</v>
      </c>
      <c r="F3147" s="2">
        <v>3</v>
      </c>
      <c r="G3147" s="4">
        <v>3</v>
      </c>
      <c r="H3147" s="13"/>
      <c r="I3147" s="15"/>
      <c r="J3147" s="19">
        <v>3</v>
      </c>
      <c r="K3147" s="2" t="s">
        <v>6306</v>
      </c>
      <c r="L3147" s="11" t="str">
        <f t="shared" si="50"/>
        <v>Ver Imagen</v>
      </c>
      <c r="M3147" t="s">
        <v>15</v>
      </c>
    </row>
    <row r="3148" spans="1:13" x14ac:dyDescent="0.25">
      <c r="A3148">
        <v>3148</v>
      </c>
      <c r="B3148" t="s">
        <v>6307</v>
      </c>
      <c r="C3148" s="1">
        <v>37.2288894211</v>
      </c>
      <c r="D3148" s="1">
        <v>-7.0468658393699997</v>
      </c>
      <c r="E3148" s="3">
        <v>2</v>
      </c>
      <c r="F3148" s="2">
        <v>3</v>
      </c>
      <c r="G3148" s="4">
        <v>3</v>
      </c>
      <c r="H3148" s="13"/>
      <c r="I3148" s="15"/>
      <c r="J3148" s="19">
        <v>3</v>
      </c>
      <c r="K3148" s="2" t="s">
        <v>6308</v>
      </c>
      <c r="L3148" s="11" t="str">
        <f t="shared" si="50"/>
        <v>Ver Imagen</v>
      </c>
      <c r="M3148" t="s">
        <v>15</v>
      </c>
    </row>
    <row r="3149" spans="1:13" x14ac:dyDescent="0.25">
      <c r="A3149">
        <v>3149</v>
      </c>
      <c r="B3149" t="s">
        <v>6309</v>
      </c>
      <c r="C3149" s="1">
        <v>37.230476833099999</v>
      </c>
      <c r="D3149" s="1">
        <v>-7.04950354179</v>
      </c>
      <c r="E3149" s="3">
        <v>2</v>
      </c>
      <c r="F3149" s="2">
        <v>3</v>
      </c>
      <c r="G3149" s="4">
        <v>3</v>
      </c>
      <c r="H3149" s="13"/>
      <c r="I3149" s="15"/>
      <c r="J3149" s="19">
        <v>3</v>
      </c>
      <c r="K3149" s="2" t="s">
        <v>6310</v>
      </c>
      <c r="L3149" s="11" t="str">
        <f t="shared" si="50"/>
        <v>Ver Imagen</v>
      </c>
      <c r="M3149" t="s">
        <v>15</v>
      </c>
    </row>
    <row r="3150" spans="1:13" x14ac:dyDescent="0.25">
      <c r="A3150">
        <v>3150</v>
      </c>
      <c r="B3150" t="s">
        <v>6311</v>
      </c>
      <c r="C3150" s="1">
        <v>37.234090402299998</v>
      </c>
      <c r="D3150" s="1">
        <v>-7.0587176737400004</v>
      </c>
      <c r="E3150" s="3">
        <v>2</v>
      </c>
      <c r="F3150" s="2">
        <v>3</v>
      </c>
      <c r="G3150" s="4">
        <v>3</v>
      </c>
      <c r="H3150" s="13"/>
      <c r="I3150" s="15"/>
      <c r="J3150" s="19">
        <v>3</v>
      </c>
      <c r="K3150" s="2" t="s">
        <v>6312</v>
      </c>
      <c r="L3150" s="11" t="str">
        <f t="shared" si="50"/>
        <v>Ver Imagen</v>
      </c>
      <c r="M3150" t="s">
        <v>15</v>
      </c>
    </row>
    <row r="3151" spans="1:13" x14ac:dyDescent="0.25">
      <c r="A3151">
        <v>3151</v>
      </c>
      <c r="B3151" t="s">
        <v>6313</v>
      </c>
      <c r="C3151" s="1">
        <v>37.234138223400002</v>
      </c>
      <c r="D3151" s="1">
        <v>-7.0595186324599997</v>
      </c>
      <c r="E3151" s="3">
        <v>3</v>
      </c>
      <c r="F3151" s="2">
        <v>3</v>
      </c>
      <c r="G3151" s="4">
        <v>4</v>
      </c>
      <c r="H3151" s="13"/>
      <c r="I3151" s="15"/>
      <c r="J3151" s="19">
        <v>3</v>
      </c>
      <c r="K3151" s="2" t="s">
        <v>6314</v>
      </c>
      <c r="L3151" s="11" t="str">
        <f t="shared" si="50"/>
        <v>Ver Imagen</v>
      </c>
      <c r="M3151" t="s">
        <v>15</v>
      </c>
    </row>
    <row r="3152" spans="1:13" x14ac:dyDescent="0.25">
      <c r="A3152">
        <v>3152</v>
      </c>
      <c r="B3152" t="s">
        <v>6315</v>
      </c>
      <c r="C3152" s="1">
        <v>37.234089119099998</v>
      </c>
      <c r="D3152" s="1">
        <v>-7.0620401499699996</v>
      </c>
      <c r="E3152" s="3">
        <v>4</v>
      </c>
      <c r="F3152" s="2">
        <v>3</v>
      </c>
      <c r="G3152" s="4">
        <v>3</v>
      </c>
      <c r="H3152" s="13"/>
      <c r="I3152" s="15"/>
      <c r="J3152" s="19">
        <v>3</v>
      </c>
      <c r="K3152" s="2" t="s">
        <v>6316</v>
      </c>
      <c r="L3152" s="11" t="str">
        <f t="shared" si="50"/>
        <v>Ver Imagen</v>
      </c>
      <c r="M3152" t="s">
        <v>15</v>
      </c>
    </row>
    <row r="3153" spans="1:13" x14ac:dyDescent="0.25">
      <c r="A3153">
        <v>3153</v>
      </c>
      <c r="B3153" t="s">
        <v>6317</v>
      </c>
      <c r="C3153" s="1">
        <v>37.234067997499999</v>
      </c>
      <c r="D3153" s="1">
        <v>-7.0628059116799999</v>
      </c>
      <c r="E3153" s="3">
        <v>3</v>
      </c>
      <c r="F3153" s="2">
        <v>3</v>
      </c>
      <c r="G3153" s="4">
        <v>2</v>
      </c>
      <c r="H3153" s="13"/>
      <c r="I3153" s="15"/>
      <c r="J3153" s="19">
        <v>3</v>
      </c>
      <c r="K3153" s="2" t="s">
        <v>6318</v>
      </c>
      <c r="L3153" s="11" t="str">
        <f t="shared" si="50"/>
        <v>Ver Imagen</v>
      </c>
      <c r="M3153" t="s">
        <v>15</v>
      </c>
    </row>
    <row r="3154" spans="1:13" x14ac:dyDescent="0.25">
      <c r="A3154">
        <v>3154</v>
      </c>
      <c r="B3154" t="s">
        <v>6319</v>
      </c>
      <c r="C3154" s="1">
        <v>37.233965251599997</v>
      </c>
      <c r="D3154" s="1">
        <v>-7.0650494694499999</v>
      </c>
      <c r="E3154" s="3">
        <v>3</v>
      </c>
      <c r="F3154" s="2">
        <v>3</v>
      </c>
      <c r="G3154" s="4">
        <v>4</v>
      </c>
      <c r="H3154" s="13"/>
      <c r="I3154" s="15"/>
      <c r="J3154" s="19">
        <v>3</v>
      </c>
      <c r="K3154" s="2" t="s">
        <v>6320</v>
      </c>
      <c r="L3154" s="11" t="str">
        <f t="shared" si="50"/>
        <v>Ver Imagen</v>
      </c>
      <c r="M3154" t="s">
        <v>15</v>
      </c>
    </row>
    <row r="3155" spans="1:13" x14ac:dyDescent="0.25">
      <c r="A3155">
        <v>3155</v>
      </c>
      <c r="B3155" t="s">
        <v>6321</v>
      </c>
      <c r="C3155" s="1">
        <v>37.233937310800002</v>
      </c>
      <c r="D3155" s="1">
        <v>-7.0653092644599997</v>
      </c>
      <c r="E3155" s="3">
        <v>3</v>
      </c>
      <c r="F3155" s="2">
        <v>3</v>
      </c>
      <c r="G3155" s="4">
        <v>4</v>
      </c>
      <c r="H3155" s="13"/>
      <c r="I3155" s="15"/>
      <c r="J3155" s="19">
        <v>3</v>
      </c>
      <c r="K3155" s="2" t="s">
        <v>6322</v>
      </c>
      <c r="L3155" s="11" t="str">
        <f t="shared" si="50"/>
        <v>Ver Imagen</v>
      </c>
      <c r="M3155" t="s">
        <v>15</v>
      </c>
    </row>
    <row r="3156" spans="1:13" x14ac:dyDescent="0.25">
      <c r="A3156">
        <v>3156</v>
      </c>
      <c r="B3156" t="s">
        <v>6323</v>
      </c>
      <c r="C3156" s="1">
        <v>37.233874763199999</v>
      </c>
      <c r="D3156" s="1">
        <v>-7.0658079042699997</v>
      </c>
      <c r="E3156" s="3">
        <v>3</v>
      </c>
      <c r="F3156" s="2">
        <v>3</v>
      </c>
      <c r="G3156" s="4">
        <v>4</v>
      </c>
      <c r="H3156" s="13"/>
      <c r="I3156" s="15"/>
      <c r="J3156" s="19">
        <v>3</v>
      </c>
      <c r="K3156" s="2" t="s">
        <v>6324</v>
      </c>
      <c r="L3156" s="11" t="str">
        <f t="shared" si="50"/>
        <v>Ver Imagen</v>
      </c>
      <c r="M3156" t="s">
        <v>15</v>
      </c>
    </row>
    <row r="3157" spans="1:13" x14ac:dyDescent="0.25">
      <c r="A3157">
        <v>3157</v>
      </c>
      <c r="B3157" t="s">
        <v>6325</v>
      </c>
      <c r="C3157" s="1">
        <v>37.233653413299997</v>
      </c>
      <c r="D3157" s="1">
        <v>-7.0671296232399996</v>
      </c>
      <c r="E3157" s="3">
        <v>3</v>
      </c>
      <c r="F3157" s="2">
        <v>3</v>
      </c>
      <c r="G3157" s="4">
        <v>4</v>
      </c>
      <c r="H3157" s="13"/>
      <c r="I3157" s="15"/>
      <c r="J3157" s="19">
        <v>3</v>
      </c>
      <c r="K3157" s="2" t="s">
        <v>6326</v>
      </c>
      <c r="L3157" s="11" t="str">
        <f t="shared" si="50"/>
        <v>Ver Imagen</v>
      </c>
      <c r="M3157" t="s">
        <v>15</v>
      </c>
    </row>
    <row r="3158" spans="1:13" x14ac:dyDescent="0.25">
      <c r="A3158">
        <v>3158</v>
      </c>
      <c r="B3158" t="s">
        <v>6327</v>
      </c>
      <c r="C3158" s="1">
        <v>37.233578762100002</v>
      </c>
      <c r="D3158" s="1">
        <v>-7.0676525701199999</v>
      </c>
      <c r="E3158" s="3">
        <v>3</v>
      </c>
      <c r="F3158" s="2">
        <v>3</v>
      </c>
      <c r="G3158" s="4">
        <v>4</v>
      </c>
      <c r="H3158" s="13"/>
      <c r="I3158" s="15"/>
      <c r="J3158" s="19">
        <v>3</v>
      </c>
      <c r="K3158" s="2" t="s">
        <v>6328</v>
      </c>
      <c r="L3158" s="11" t="str">
        <f t="shared" si="50"/>
        <v>Ver Imagen</v>
      </c>
      <c r="M3158" t="s">
        <v>15</v>
      </c>
    </row>
    <row r="3159" spans="1:13" x14ac:dyDescent="0.25">
      <c r="A3159">
        <v>3159</v>
      </c>
      <c r="B3159" t="s">
        <v>6329</v>
      </c>
      <c r="C3159" s="1">
        <v>37.233708377699998</v>
      </c>
      <c r="D3159" s="1">
        <v>-7.0686338577400001</v>
      </c>
      <c r="E3159" s="3">
        <v>3</v>
      </c>
      <c r="F3159" s="2">
        <v>3</v>
      </c>
      <c r="G3159" s="4">
        <v>4</v>
      </c>
      <c r="H3159" s="13"/>
      <c r="I3159" s="15"/>
      <c r="J3159" s="19">
        <v>3</v>
      </c>
      <c r="K3159" s="2" t="s">
        <v>6330</v>
      </c>
      <c r="L3159" s="11" t="str">
        <f t="shared" si="50"/>
        <v>Ver Imagen</v>
      </c>
      <c r="M3159" t="s">
        <v>15</v>
      </c>
    </row>
    <row r="3160" spans="1:13" x14ac:dyDescent="0.25">
      <c r="A3160">
        <v>3160</v>
      </c>
      <c r="B3160" t="s">
        <v>6331</v>
      </c>
      <c r="C3160" s="1">
        <v>37.233973524200003</v>
      </c>
      <c r="D3160" s="1">
        <v>-7.0695817060200001</v>
      </c>
      <c r="E3160" s="3">
        <v>2</v>
      </c>
      <c r="F3160" s="2">
        <v>3</v>
      </c>
      <c r="G3160" s="4">
        <v>3</v>
      </c>
      <c r="H3160" s="13"/>
      <c r="I3160" s="15"/>
      <c r="J3160" s="19">
        <v>3</v>
      </c>
      <c r="K3160" s="2" t="s">
        <v>6332</v>
      </c>
      <c r="L3160" s="11" t="str">
        <f t="shared" si="50"/>
        <v>Ver Imagen</v>
      </c>
      <c r="M3160" t="s">
        <v>15</v>
      </c>
    </row>
    <row r="3161" spans="1:13" x14ac:dyDescent="0.25">
      <c r="A3161">
        <v>3161</v>
      </c>
      <c r="B3161" t="s">
        <v>6333</v>
      </c>
      <c r="C3161" s="1">
        <v>37.234234203699998</v>
      </c>
      <c r="D3161" s="1">
        <v>-7.0705075035</v>
      </c>
      <c r="E3161" s="3">
        <v>3</v>
      </c>
      <c r="F3161" s="2">
        <v>3</v>
      </c>
      <c r="G3161" s="4">
        <v>4</v>
      </c>
      <c r="H3161" s="13"/>
      <c r="I3161" s="15"/>
      <c r="J3161" s="19">
        <v>3</v>
      </c>
      <c r="K3161" s="2" t="s">
        <v>6334</v>
      </c>
      <c r="L3161" s="11" t="str">
        <f t="shared" si="50"/>
        <v>Ver Imagen</v>
      </c>
      <c r="M3161" t="s">
        <v>15</v>
      </c>
    </row>
    <row r="3162" spans="1:13" x14ac:dyDescent="0.25">
      <c r="A3162">
        <v>3162</v>
      </c>
      <c r="B3162" t="s">
        <v>6335</v>
      </c>
      <c r="C3162" s="1">
        <v>37.234569107699997</v>
      </c>
      <c r="D3162" s="1">
        <v>-7.0717055689699997</v>
      </c>
      <c r="E3162" s="3">
        <v>3</v>
      </c>
      <c r="F3162" s="2">
        <v>3</v>
      </c>
      <c r="G3162" s="4">
        <v>4</v>
      </c>
      <c r="H3162" s="13"/>
      <c r="I3162" s="15"/>
      <c r="J3162" s="19">
        <v>3</v>
      </c>
      <c r="K3162" s="2" t="s">
        <v>6336</v>
      </c>
      <c r="L3162" s="11" t="str">
        <f t="shared" si="50"/>
        <v>Ver Imagen</v>
      </c>
      <c r="M3162" t="s">
        <v>15</v>
      </c>
    </row>
    <row r="3163" spans="1:13" x14ac:dyDescent="0.25">
      <c r="A3163">
        <v>3163</v>
      </c>
      <c r="B3163" t="s">
        <v>6337</v>
      </c>
      <c r="C3163" s="1">
        <v>37.234707840900001</v>
      </c>
      <c r="D3163" s="1">
        <v>-7.0721948298799999</v>
      </c>
      <c r="E3163" s="3">
        <v>3</v>
      </c>
      <c r="F3163" s="2">
        <v>3</v>
      </c>
      <c r="G3163" s="4">
        <v>4</v>
      </c>
      <c r="H3163" s="13"/>
      <c r="I3163" s="15"/>
      <c r="J3163" s="19">
        <v>3</v>
      </c>
      <c r="K3163" s="2" t="s">
        <v>6338</v>
      </c>
      <c r="L3163" s="11" t="str">
        <f t="shared" si="50"/>
        <v>Ver Imagen</v>
      </c>
      <c r="M3163" t="s">
        <v>15</v>
      </c>
    </row>
    <row r="3164" spans="1:13" x14ac:dyDescent="0.25">
      <c r="A3164">
        <v>3164</v>
      </c>
      <c r="B3164" t="s">
        <v>6339</v>
      </c>
      <c r="C3164" s="1">
        <v>37.234947099300001</v>
      </c>
      <c r="D3164" s="1">
        <v>-7.0728563474300001</v>
      </c>
      <c r="E3164" s="3">
        <v>3</v>
      </c>
      <c r="F3164" s="2">
        <v>3</v>
      </c>
      <c r="G3164" s="4">
        <v>4</v>
      </c>
      <c r="H3164" s="13"/>
      <c r="I3164" s="15"/>
      <c r="J3164" s="19">
        <v>3</v>
      </c>
      <c r="K3164" s="2" t="s">
        <v>6340</v>
      </c>
      <c r="L3164" s="11" t="str">
        <f t="shared" si="50"/>
        <v>Ver Imagen</v>
      </c>
      <c r="M3164" t="s">
        <v>15</v>
      </c>
    </row>
    <row r="3165" spans="1:13" x14ac:dyDescent="0.25">
      <c r="A3165">
        <v>3165</v>
      </c>
      <c r="B3165" t="s">
        <v>6341</v>
      </c>
      <c r="C3165" s="1">
        <v>37.235058506100003</v>
      </c>
      <c r="D3165" s="1">
        <v>-7.0730990583900004</v>
      </c>
      <c r="E3165" s="3">
        <v>3</v>
      </c>
      <c r="F3165" s="2">
        <v>3</v>
      </c>
      <c r="G3165" s="4">
        <v>4</v>
      </c>
      <c r="H3165" s="13"/>
      <c r="I3165" s="15"/>
      <c r="J3165" s="19">
        <v>3</v>
      </c>
      <c r="K3165" s="2" t="s">
        <v>6342</v>
      </c>
      <c r="L3165" s="11" t="str">
        <f t="shared" si="50"/>
        <v>Ver Imagen</v>
      </c>
      <c r="M3165" t="s">
        <v>15</v>
      </c>
    </row>
    <row r="3166" spans="1:13" x14ac:dyDescent="0.25">
      <c r="A3166">
        <v>3166</v>
      </c>
      <c r="B3166" t="s">
        <v>6343</v>
      </c>
      <c r="C3166" s="1">
        <v>37.235283984399999</v>
      </c>
      <c r="D3166" s="1">
        <v>-7.0735266716299998</v>
      </c>
      <c r="E3166" s="3">
        <v>3</v>
      </c>
      <c r="F3166" s="2">
        <v>3</v>
      </c>
      <c r="G3166" s="4">
        <v>4</v>
      </c>
      <c r="H3166" s="13"/>
      <c r="I3166" s="15"/>
      <c r="J3166" s="19">
        <v>3</v>
      </c>
      <c r="K3166" s="2" t="s">
        <v>6344</v>
      </c>
      <c r="L3166" s="11" t="str">
        <f t="shared" si="50"/>
        <v>Ver Imagen</v>
      </c>
      <c r="M3166" t="s">
        <v>15</v>
      </c>
    </row>
    <row r="3167" spans="1:13" x14ac:dyDescent="0.25">
      <c r="A3167">
        <v>3167</v>
      </c>
      <c r="B3167" t="s">
        <v>6345</v>
      </c>
      <c r="C3167" s="1">
        <v>37.235636056899999</v>
      </c>
      <c r="D3167" s="1">
        <v>-7.07415535162</v>
      </c>
      <c r="E3167" s="3">
        <v>3</v>
      </c>
      <c r="F3167" s="2">
        <v>3</v>
      </c>
      <c r="G3167" s="4">
        <v>4</v>
      </c>
      <c r="H3167" s="13"/>
      <c r="I3167" s="15"/>
      <c r="J3167" s="19">
        <v>3</v>
      </c>
      <c r="K3167" s="2" t="s">
        <v>6346</v>
      </c>
      <c r="L3167" s="11" t="str">
        <f t="shared" si="50"/>
        <v>Ver Imagen</v>
      </c>
      <c r="M3167" t="s">
        <v>15</v>
      </c>
    </row>
    <row r="3168" spans="1:13" x14ac:dyDescent="0.25">
      <c r="A3168">
        <v>3168</v>
      </c>
      <c r="B3168" t="s">
        <v>6347</v>
      </c>
      <c r="C3168" s="1">
        <v>37.235866307599998</v>
      </c>
      <c r="D3168" s="1">
        <v>-7.0745670601099997</v>
      </c>
      <c r="E3168" s="3">
        <v>3</v>
      </c>
      <c r="F3168" s="2">
        <v>3</v>
      </c>
      <c r="G3168" s="4">
        <v>4</v>
      </c>
      <c r="H3168" s="13"/>
      <c r="I3168" s="15"/>
      <c r="J3168" s="19">
        <v>3</v>
      </c>
      <c r="K3168" s="2" t="s">
        <v>6348</v>
      </c>
      <c r="L3168" s="11" t="str">
        <f t="shared" si="50"/>
        <v>Ver Imagen</v>
      </c>
      <c r="M3168" t="s">
        <v>15</v>
      </c>
    </row>
    <row r="3169" spans="1:13" x14ac:dyDescent="0.25">
      <c r="A3169">
        <v>3169</v>
      </c>
      <c r="B3169" t="s">
        <v>6349</v>
      </c>
      <c r="C3169" s="1">
        <v>37.236095908000003</v>
      </c>
      <c r="D3169" s="1">
        <v>-7.0749751964999996</v>
      </c>
      <c r="E3169" s="3">
        <v>3</v>
      </c>
      <c r="F3169" s="2">
        <v>3</v>
      </c>
      <c r="G3169" s="4">
        <v>4</v>
      </c>
      <c r="H3169" s="13"/>
      <c r="I3169" s="15"/>
      <c r="J3169" s="19">
        <v>3</v>
      </c>
      <c r="K3169" s="2" t="s">
        <v>6350</v>
      </c>
      <c r="L3169" s="11" t="str">
        <f t="shared" si="50"/>
        <v>Ver Imagen</v>
      </c>
      <c r="M3169" t="s">
        <v>15</v>
      </c>
    </row>
    <row r="3170" spans="1:13" x14ac:dyDescent="0.25">
      <c r="A3170">
        <v>3170</v>
      </c>
      <c r="B3170" t="s">
        <v>6351</v>
      </c>
      <c r="C3170" s="1">
        <v>37.236317789300003</v>
      </c>
      <c r="D3170" s="1">
        <v>-7.0753706677599997</v>
      </c>
      <c r="E3170" s="3">
        <v>3</v>
      </c>
      <c r="F3170" s="2">
        <v>3</v>
      </c>
      <c r="G3170" s="4">
        <v>4</v>
      </c>
      <c r="H3170" s="13"/>
      <c r="I3170" s="15"/>
      <c r="J3170" s="19">
        <v>3</v>
      </c>
      <c r="K3170" s="2" t="s">
        <v>6352</v>
      </c>
      <c r="L3170" s="11" t="str">
        <f t="shared" si="50"/>
        <v>Ver Imagen</v>
      </c>
      <c r="M3170" t="s">
        <v>15</v>
      </c>
    </row>
    <row r="3171" spans="1:13" x14ac:dyDescent="0.25">
      <c r="A3171">
        <v>3171</v>
      </c>
      <c r="B3171" t="s">
        <v>6353</v>
      </c>
      <c r="C3171" s="1">
        <v>37.2364453008</v>
      </c>
      <c r="D3171" s="1">
        <v>-7.0756030756900001</v>
      </c>
      <c r="E3171" s="3">
        <v>3</v>
      </c>
      <c r="F3171" s="2">
        <v>3</v>
      </c>
      <c r="G3171" s="4">
        <v>4</v>
      </c>
      <c r="H3171" s="13"/>
      <c r="I3171" s="15"/>
      <c r="J3171" s="19">
        <v>3</v>
      </c>
      <c r="K3171" s="2" t="s">
        <v>6354</v>
      </c>
      <c r="L3171" s="11" t="str">
        <f t="shared" si="50"/>
        <v>Ver Imagen</v>
      </c>
      <c r="M3171" t="s">
        <v>15</v>
      </c>
    </row>
    <row r="3172" spans="1:13" x14ac:dyDescent="0.25">
      <c r="A3172">
        <v>3172</v>
      </c>
      <c r="B3172" t="s">
        <v>6355</v>
      </c>
      <c r="C3172" s="1">
        <v>37.236554902800002</v>
      </c>
      <c r="D3172" s="1">
        <v>-7.0758011937500003</v>
      </c>
      <c r="E3172" s="3">
        <v>3</v>
      </c>
      <c r="F3172" s="2">
        <v>3</v>
      </c>
      <c r="G3172" s="4">
        <v>4</v>
      </c>
      <c r="H3172" s="13"/>
      <c r="I3172" s="15"/>
      <c r="J3172" s="19">
        <v>3</v>
      </c>
      <c r="K3172" s="2" t="s">
        <v>6356</v>
      </c>
      <c r="L3172" s="11" t="str">
        <f t="shared" si="50"/>
        <v>Ver Imagen</v>
      </c>
      <c r="M3172" t="s">
        <v>15</v>
      </c>
    </row>
    <row r="3173" spans="1:13" x14ac:dyDescent="0.25">
      <c r="A3173">
        <v>3173</v>
      </c>
      <c r="B3173" t="s">
        <v>6357</v>
      </c>
      <c r="C3173" s="1">
        <v>37.236681061399999</v>
      </c>
      <c r="D3173" s="1">
        <v>-7.0760246108700002</v>
      </c>
      <c r="E3173" s="3">
        <v>3</v>
      </c>
      <c r="F3173" s="2">
        <v>3</v>
      </c>
      <c r="G3173" s="4">
        <v>4</v>
      </c>
      <c r="H3173" s="13"/>
      <c r="I3173" s="15"/>
      <c r="J3173" s="19">
        <v>3</v>
      </c>
      <c r="K3173" s="2" t="s">
        <v>6358</v>
      </c>
      <c r="L3173" s="11" t="str">
        <f t="shared" si="50"/>
        <v>Ver Imagen</v>
      </c>
      <c r="M3173" t="s">
        <v>15</v>
      </c>
    </row>
    <row r="3174" spans="1:13" x14ac:dyDescent="0.25">
      <c r="A3174">
        <v>3174</v>
      </c>
      <c r="B3174" t="s">
        <v>6359</v>
      </c>
      <c r="C3174" s="1">
        <v>37.236791544299997</v>
      </c>
      <c r="D3174" s="1">
        <v>-7.0762196691200003</v>
      </c>
      <c r="E3174" s="3">
        <v>3</v>
      </c>
      <c r="F3174" s="2">
        <v>3</v>
      </c>
      <c r="G3174" s="4">
        <v>4</v>
      </c>
      <c r="H3174" s="13"/>
      <c r="I3174" s="15"/>
      <c r="J3174" s="19">
        <v>3</v>
      </c>
      <c r="K3174" s="2" t="s">
        <v>6360</v>
      </c>
      <c r="L3174" s="11" t="str">
        <f t="shared" si="50"/>
        <v>Ver Imagen</v>
      </c>
      <c r="M3174" t="s">
        <v>15</v>
      </c>
    </row>
    <row r="3175" spans="1:13" x14ac:dyDescent="0.25">
      <c r="A3175">
        <v>3175</v>
      </c>
      <c r="B3175" t="s">
        <v>6361</v>
      </c>
      <c r="C3175" s="1">
        <v>37.236901845600002</v>
      </c>
      <c r="D3175" s="1">
        <v>-7.0764155946000002</v>
      </c>
      <c r="E3175" s="3">
        <v>3</v>
      </c>
      <c r="F3175" s="2">
        <v>3</v>
      </c>
      <c r="G3175" s="4">
        <v>4</v>
      </c>
      <c r="H3175" s="13"/>
      <c r="I3175" s="15"/>
      <c r="J3175" s="19">
        <v>3</v>
      </c>
      <c r="K3175" s="2" t="s">
        <v>6362</v>
      </c>
      <c r="L3175" s="11" t="str">
        <f t="shared" si="50"/>
        <v>Ver Imagen</v>
      </c>
      <c r="M3175" t="s">
        <v>15</v>
      </c>
    </row>
    <row r="3176" spans="1:13" x14ac:dyDescent="0.25">
      <c r="A3176">
        <v>3176</v>
      </c>
      <c r="B3176" t="s">
        <v>6363</v>
      </c>
      <c r="C3176" s="1">
        <v>37.237132494800001</v>
      </c>
      <c r="D3176" s="1">
        <v>-7.0768342209300004</v>
      </c>
      <c r="E3176" s="3">
        <v>3</v>
      </c>
      <c r="F3176" s="2">
        <v>3</v>
      </c>
      <c r="G3176" s="4">
        <v>4</v>
      </c>
      <c r="H3176" s="13"/>
      <c r="I3176" s="15"/>
      <c r="J3176" s="19">
        <v>3</v>
      </c>
      <c r="K3176" s="2" t="s">
        <v>6364</v>
      </c>
      <c r="L3176" s="11" t="str">
        <f t="shared" si="50"/>
        <v>Ver Imagen</v>
      </c>
      <c r="M3176" t="s">
        <v>15</v>
      </c>
    </row>
    <row r="3177" spans="1:13" x14ac:dyDescent="0.25">
      <c r="A3177">
        <v>3177</v>
      </c>
      <c r="B3177" t="s">
        <v>6365</v>
      </c>
      <c r="C3177" s="1">
        <v>37.2373647183</v>
      </c>
      <c r="D3177" s="1">
        <v>-7.0772529314800003</v>
      </c>
      <c r="E3177" s="3">
        <v>3</v>
      </c>
      <c r="F3177" s="2">
        <v>3</v>
      </c>
      <c r="G3177" s="4">
        <v>4</v>
      </c>
      <c r="H3177" s="13"/>
      <c r="I3177" s="15"/>
      <c r="J3177" s="19">
        <v>3</v>
      </c>
      <c r="K3177" s="2" t="s">
        <v>6366</v>
      </c>
      <c r="L3177" s="11" t="str">
        <f t="shared" ref="L3177:L3240" si="51">HYPERLINK("3\1\" &amp; K3177, "Ver Imagen")</f>
        <v>Ver Imagen</v>
      </c>
      <c r="M3177" t="s">
        <v>15</v>
      </c>
    </row>
    <row r="3178" spans="1:13" x14ac:dyDescent="0.25">
      <c r="A3178">
        <v>3178</v>
      </c>
      <c r="B3178" t="s">
        <v>6367</v>
      </c>
      <c r="C3178" s="1">
        <v>37.237483971700001</v>
      </c>
      <c r="D3178" s="1">
        <v>-7.0774654689299998</v>
      </c>
      <c r="E3178" s="3">
        <v>3</v>
      </c>
      <c r="F3178" s="2">
        <v>3</v>
      </c>
      <c r="G3178" s="4">
        <v>4</v>
      </c>
      <c r="H3178" s="13"/>
      <c r="I3178" s="15"/>
      <c r="J3178" s="19">
        <v>3</v>
      </c>
      <c r="K3178" s="2" t="s">
        <v>6368</v>
      </c>
      <c r="L3178" s="11" t="str">
        <f t="shared" si="51"/>
        <v>Ver Imagen</v>
      </c>
      <c r="M3178" t="s">
        <v>15</v>
      </c>
    </row>
    <row r="3179" spans="1:13" x14ac:dyDescent="0.25">
      <c r="A3179">
        <v>3179</v>
      </c>
      <c r="B3179" t="s">
        <v>6369</v>
      </c>
      <c r="C3179" s="1">
        <v>37.237598454199997</v>
      </c>
      <c r="D3179" s="1">
        <v>-7.0776655807599997</v>
      </c>
      <c r="E3179" s="3">
        <v>3</v>
      </c>
      <c r="F3179" s="2">
        <v>3</v>
      </c>
      <c r="G3179" s="4">
        <v>4</v>
      </c>
      <c r="H3179" s="13"/>
      <c r="I3179" s="15"/>
      <c r="J3179" s="19">
        <v>3</v>
      </c>
      <c r="K3179" s="2" t="s">
        <v>6370</v>
      </c>
      <c r="L3179" s="11" t="str">
        <f t="shared" si="51"/>
        <v>Ver Imagen</v>
      </c>
      <c r="M3179" t="s">
        <v>15</v>
      </c>
    </row>
    <row r="3180" spans="1:13" x14ac:dyDescent="0.25">
      <c r="A3180">
        <v>3180</v>
      </c>
      <c r="B3180" t="s">
        <v>6371</v>
      </c>
      <c r="C3180" s="1">
        <v>37.237714250000003</v>
      </c>
      <c r="D3180" s="1">
        <v>-7.0778659530899999</v>
      </c>
      <c r="E3180" s="3">
        <v>3</v>
      </c>
      <c r="F3180" s="2">
        <v>3</v>
      </c>
      <c r="G3180" s="4">
        <v>4</v>
      </c>
      <c r="H3180" s="13"/>
      <c r="I3180" s="15"/>
      <c r="J3180" s="19">
        <v>3</v>
      </c>
      <c r="K3180" s="2" t="s">
        <v>6372</v>
      </c>
      <c r="L3180" s="11" t="str">
        <f t="shared" si="51"/>
        <v>Ver Imagen</v>
      </c>
      <c r="M3180" t="s">
        <v>15</v>
      </c>
    </row>
    <row r="3181" spans="1:13" x14ac:dyDescent="0.25">
      <c r="A3181">
        <v>3181</v>
      </c>
      <c r="B3181" t="s">
        <v>6373</v>
      </c>
      <c r="C3181" s="1">
        <v>37.237843050000002</v>
      </c>
      <c r="D3181" s="1">
        <v>-7.0780850751299997</v>
      </c>
      <c r="E3181" s="3">
        <v>3</v>
      </c>
      <c r="F3181" s="2">
        <v>3</v>
      </c>
      <c r="G3181" s="4">
        <v>4</v>
      </c>
      <c r="H3181" s="13"/>
      <c r="I3181" s="15"/>
      <c r="J3181" s="19">
        <v>3</v>
      </c>
      <c r="K3181" s="2" t="s">
        <v>6374</v>
      </c>
      <c r="L3181" s="11" t="str">
        <f t="shared" si="51"/>
        <v>Ver Imagen</v>
      </c>
      <c r="M3181" t="s">
        <v>15</v>
      </c>
    </row>
    <row r="3182" spans="1:13" x14ac:dyDescent="0.25">
      <c r="A3182">
        <v>3182</v>
      </c>
      <c r="B3182" t="s">
        <v>6375</v>
      </c>
      <c r="C3182" s="1">
        <v>37.237957271299997</v>
      </c>
      <c r="D3182" s="1">
        <v>-7.0782777919999997</v>
      </c>
      <c r="E3182" s="3">
        <v>3</v>
      </c>
      <c r="F3182" s="2">
        <v>3</v>
      </c>
      <c r="G3182" s="4">
        <v>4</v>
      </c>
      <c r="H3182" s="13"/>
      <c r="I3182" s="15"/>
      <c r="J3182" s="19">
        <v>3</v>
      </c>
      <c r="K3182" s="2" t="s">
        <v>6376</v>
      </c>
      <c r="L3182" s="11" t="str">
        <f t="shared" si="51"/>
        <v>Ver Imagen</v>
      </c>
      <c r="M3182" t="s">
        <v>15</v>
      </c>
    </row>
    <row r="3183" spans="1:13" x14ac:dyDescent="0.25">
      <c r="A3183">
        <v>3183</v>
      </c>
      <c r="B3183" t="s">
        <v>6377</v>
      </c>
      <c r="C3183" s="1">
        <v>37.238329548800003</v>
      </c>
      <c r="D3183" s="1">
        <v>-7.0788756680900002</v>
      </c>
      <c r="E3183" s="3">
        <v>3</v>
      </c>
      <c r="F3183" s="2">
        <v>3</v>
      </c>
      <c r="G3183" s="4">
        <v>4</v>
      </c>
      <c r="H3183" s="13"/>
      <c r="I3183" s="15"/>
      <c r="J3183" s="19">
        <v>3</v>
      </c>
      <c r="K3183" s="2" t="s">
        <v>6378</v>
      </c>
      <c r="L3183" s="11" t="str">
        <f t="shared" si="51"/>
        <v>Ver Imagen</v>
      </c>
      <c r="M3183" t="s">
        <v>15</v>
      </c>
    </row>
    <row r="3184" spans="1:13" x14ac:dyDescent="0.25">
      <c r="A3184">
        <v>3184</v>
      </c>
      <c r="B3184" t="s">
        <v>6379</v>
      </c>
      <c r="C3184" s="1">
        <v>37.238473541799998</v>
      </c>
      <c r="D3184" s="1">
        <v>-7.0790936782999996</v>
      </c>
      <c r="E3184" s="3">
        <v>3</v>
      </c>
      <c r="F3184" s="2">
        <v>3</v>
      </c>
      <c r="G3184" s="4">
        <v>4</v>
      </c>
      <c r="H3184" s="13"/>
      <c r="I3184" s="15"/>
      <c r="J3184" s="19">
        <v>3</v>
      </c>
      <c r="K3184" s="2" t="s">
        <v>6380</v>
      </c>
      <c r="L3184" s="11" t="str">
        <f t="shared" si="51"/>
        <v>Ver Imagen</v>
      </c>
      <c r="M3184" t="s">
        <v>15</v>
      </c>
    </row>
    <row r="3185" spans="1:13" x14ac:dyDescent="0.25">
      <c r="A3185">
        <v>3185</v>
      </c>
      <c r="B3185" t="s">
        <v>6381</v>
      </c>
      <c r="C3185" s="1">
        <v>37.239746095100003</v>
      </c>
      <c r="D3185" s="1">
        <v>-7.0810128315599998</v>
      </c>
      <c r="E3185" s="3">
        <v>3</v>
      </c>
      <c r="F3185" s="2">
        <v>3</v>
      </c>
      <c r="G3185" s="4">
        <v>4</v>
      </c>
      <c r="H3185" s="13"/>
      <c r="I3185" s="15"/>
      <c r="J3185" s="19">
        <v>3</v>
      </c>
      <c r="K3185" s="2" t="s">
        <v>6382</v>
      </c>
      <c r="L3185" s="11" t="str">
        <f t="shared" si="51"/>
        <v>Ver Imagen</v>
      </c>
      <c r="M3185" t="s">
        <v>15</v>
      </c>
    </row>
    <row r="3186" spans="1:13" x14ac:dyDescent="0.25">
      <c r="A3186">
        <v>3186</v>
      </c>
      <c r="B3186" t="s">
        <v>6383</v>
      </c>
      <c r="C3186" s="1">
        <v>37.239877120700001</v>
      </c>
      <c r="D3186" s="1">
        <v>-7.0812123323699998</v>
      </c>
      <c r="E3186" s="3">
        <v>3</v>
      </c>
      <c r="F3186" s="2">
        <v>3</v>
      </c>
      <c r="G3186" s="4">
        <v>4</v>
      </c>
      <c r="H3186" s="13"/>
      <c r="I3186" s="15"/>
      <c r="J3186" s="19">
        <v>3</v>
      </c>
      <c r="K3186" s="2" t="s">
        <v>6384</v>
      </c>
      <c r="L3186" s="11" t="str">
        <f t="shared" si="51"/>
        <v>Ver Imagen</v>
      </c>
      <c r="M3186" t="s">
        <v>15</v>
      </c>
    </row>
    <row r="3187" spans="1:13" x14ac:dyDescent="0.25">
      <c r="A3187">
        <v>3187</v>
      </c>
      <c r="B3187" t="s">
        <v>6385</v>
      </c>
      <c r="C3187" s="1">
        <v>37.2401460062</v>
      </c>
      <c r="D3187" s="1">
        <v>-7.0816257201099999</v>
      </c>
      <c r="E3187" s="3">
        <v>3</v>
      </c>
      <c r="F3187" s="2">
        <v>3</v>
      </c>
      <c r="G3187" s="4">
        <v>4</v>
      </c>
      <c r="H3187" s="13"/>
      <c r="I3187" s="15"/>
      <c r="J3187" s="19">
        <v>3</v>
      </c>
      <c r="K3187" s="2" t="s">
        <v>6386</v>
      </c>
      <c r="L3187" s="11" t="str">
        <f t="shared" si="51"/>
        <v>Ver Imagen</v>
      </c>
      <c r="M3187" t="s">
        <v>15</v>
      </c>
    </row>
    <row r="3188" spans="1:13" x14ac:dyDescent="0.25">
      <c r="A3188">
        <v>3188</v>
      </c>
      <c r="B3188" t="s">
        <v>6387</v>
      </c>
      <c r="C3188" s="1">
        <v>37.240273357900001</v>
      </c>
      <c r="D3188" s="1">
        <v>-7.0818196839600001</v>
      </c>
      <c r="E3188" s="3">
        <v>3</v>
      </c>
      <c r="F3188" s="2">
        <v>3</v>
      </c>
      <c r="G3188" s="4">
        <v>4</v>
      </c>
      <c r="H3188" s="13"/>
      <c r="I3188" s="15"/>
      <c r="J3188" s="19">
        <v>3</v>
      </c>
      <c r="K3188" s="2" t="s">
        <v>6388</v>
      </c>
      <c r="L3188" s="11" t="str">
        <f t="shared" si="51"/>
        <v>Ver Imagen</v>
      </c>
      <c r="M3188" t="s">
        <v>15</v>
      </c>
    </row>
    <row r="3189" spans="1:13" x14ac:dyDescent="0.25">
      <c r="A3189">
        <v>3189</v>
      </c>
      <c r="B3189" t="s">
        <v>6389</v>
      </c>
      <c r="C3189" s="1">
        <v>37.2404025198</v>
      </c>
      <c r="D3189" s="1">
        <v>-7.08201545899</v>
      </c>
      <c r="E3189" s="3">
        <v>3</v>
      </c>
      <c r="F3189" s="2">
        <v>3</v>
      </c>
      <c r="G3189" s="4">
        <v>4</v>
      </c>
      <c r="H3189" s="13"/>
      <c r="I3189" s="15"/>
      <c r="J3189" s="19">
        <v>3</v>
      </c>
      <c r="K3189" s="2" t="s">
        <v>6390</v>
      </c>
      <c r="L3189" s="11" t="str">
        <f t="shared" si="51"/>
        <v>Ver Imagen</v>
      </c>
      <c r="M3189" t="s">
        <v>15</v>
      </c>
    </row>
    <row r="3190" spans="1:13" x14ac:dyDescent="0.25">
      <c r="A3190">
        <v>3190</v>
      </c>
      <c r="B3190" t="s">
        <v>6391</v>
      </c>
      <c r="C3190" s="1">
        <v>37.240540729499997</v>
      </c>
      <c r="D3190" s="1">
        <v>-7.0822228693099998</v>
      </c>
      <c r="E3190" s="3">
        <v>3</v>
      </c>
      <c r="F3190" s="2">
        <v>3</v>
      </c>
      <c r="G3190" s="4">
        <v>4</v>
      </c>
      <c r="H3190" s="13"/>
      <c r="I3190" s="15"/>
      <c r="J3190" s="19">
        <v>3</v>
      </c>
      <c r="K3190" s="2" t="s">
        <v>6392</v>
      </c>
      <c r="L3190" s="11" t="str">
        <f t="shared" si="51"/>
        <v>Ver Imagen</v>
      </c>
      <c r="M3190" t="s">
        <v>15</v>
      </c>
    </row>
    <row r="3191" spans="1:13" x14ac:dyDescent="0.25">
      <c r="A3191">
        <v>3191</v>
      </c>
      <c r="B3191" t="s">
        <v>6393</v>
      </c>
      <c r="C3191" s="1">
        <v>37.240649967899998</v>
      </c>
      <c r="D3191" s="1">
        <v>-7.0823876804000001</v>
      </c>
      <c r="E3191" s="3">
        <v>3</v>
      </c>
      <c r="F3191" s="2">
        <v>3</v>
      </c>
      <c r="G3191" s="4">
        <v>4</v>
      </c>
      <c r="H3191" s="13"/>
      <c r="I3191" s="15"/>
      <c r="J3191" s="19">
        <v>3</v>
      </c>
      <c r="K3191" s="2" t="s">
        <v>6394</v>
      </c>
      <c r="L3191" s="11" t="str">
        <f t="shared" si="51"/>
        <v>Ver Imagen</v>
      </c>
      <c r="M3191" t="s">
        <v>15</v>
      </c>
    </row>
    <row r="3192" spans="1:13" x14ac:dyDescent="0.25">
      <c r="A3192">
        <v>3192</v>
      </c>
      <c r="B3192" t="s">
        <v>6395</v>
      </c>
      <c r="C3192" s="1">
        <v>37.240795342699997</v>
      </c>
      <c r="D3192" s="1">
        <v>-7.0826074197300004</v>
      </c>
      <c r="E3192" s="3">
        <v>3</v>
      </c>
      <c r="F3192" s="2">
        <v>3</v>
      </c>
      <c r="G3192" s="4">
        <v>4</v>
      </c>
      <c r="H3192" s="13"/>
      <c r="I3192" s="15"/>
      <c r="J3192" s="19">
        <v>3</v>
      </c>
      <c r="K3192" s="2" t="s">
        <v>6396</v>
      </c>
      <c r="L3192" s="11" t="str">
        <f t="shared" si="51"/>
        <v>Ver Imagen</v>
      </c>
      <c r="M3192" t="s">
        <v>15</v>
      </c>
    </row>
    <row r="3193" spans="1:13" x14ac:dyDescent="0.25">
      <c r="A3193">
        <v>3193</v>
      </c>
      <c r="B3193" t="s">
        <v>6397</v>
      </c>
      <c r="C3193" s="1">
        <v>37.241039905800001</v>
      </c>
      <c r="D3193" s="1">
        <v>-7.0829756846</v>
      </c>
      <c r="E3193" s="3">
        <v>4</v>
      </c>
      <c r="F3193" s="2">
        <v>3</v>
      </c>
      <c r="G3193" s="4">
        <v>3</v>
      </c>
      <c r="H3193" s="13"/>
      <c r="I3193" s="15"/>
      <c r="J3193" s="19">
        <v>3</v>
      </c>
      <c r="K3193" s="2" t="s">
        <v>6398</v>
      </c>
      <c r="L3193" s="11" t="str">
        <f t="shared" si="51"/>
        <v>Ver Imagen</v>
      </c>
      <c r="M3193" t="s">
        <v>15</v>
      </c>
    </row>
    <row r="3194" spans="1:13" x14ac:dyDescent="0.25">
      <c r="A3194">
        <v>3194</v>
      </c>
      <c r="B3194" t="s">
        <v>6399</v>
      </c>
      <c r="C3194" s="1">
        <v>37.241440589299998</v>
      </c>
      <c r="D3194" s="1">
        <v>-7.0835866775299996</v>
      </c>
      <c r="E3194" s="3">
        <v>3</v>
      </c>
      <c r="F3194" s="2">
        <v>3</v>
      </c>
      <c r="G3194" s="4">
        <v>4</v>
      </c>
      <c r="H3194" s="13"/>
      <c r="I3194" s="15"/>
      <c r="J3194" s="19">
        <v>3</v>
      </c>
      <c r="K3194" s="2" t="s">
        <v>6400</v>
      </c>
      <c r="L3194" s="11" t="str">
        <f t="shared" si="51"/>
        <v>Ver Imagen</v>
      </c>
      <c r="M3194" t="s">
        <v>15</v>
      </c>
    </row>
    <row r="3195" spans="1:13" x14ac:dyDescent="0.25">
      <c r="A3195">
        <v>3195</v>
      </c>
      <c r="B3195" t="s">
        <v>6401</v>
      </c>
      <c r="C3195" s="1">
        <v>37.241560701399997</v>
      </c>
      <c r="D3195" s="1">
        <v>-7.0837716786499998</v>
      </c>
      <c r="E3195" s="3">
        <v>3</v>
      </c>
      <c r="F3195" s="2">
        <v>3</v>
      </c>
      <c r="G3195" s="4">
        <v>4</v>
      </c>
      <c r="H3195" s="13"/>
      <c r="I3195" s="15"/>
      <c r="J3195" s="19">
        <v>3</v>
      </c>
      <c r="K3195" s="2" t="s">
        <v>6402</v>
      </c>
      <c r="L3195" s="11" t="str">
        <f t="shared" si="51"/>
        <v>Ver Imagen</v>
      </c>
      <c r="M3195" t="s">
        <v>15</v>
      </c>
    </row>
    <row r="3196" spans="1:13" x14ac:dyDescent="0.25">
      <c r="A3196">
        <v>3196</v>
      </c>
      <c r="B3196" t="s">
        <v>6403</v>
      </c>
      <c r="C3196" s="1">
        <v>37.241921137699997</v>
      </c>
      <c r="D3196" s="1">
        <v>-7.0843767378000004</v>
      </c>
      <c r="E3196" s="3">
        <v>3</v>
      </c>
      <c r="F3196" s="2">
        <v>3</v>
      </c>
      <c r="G3196" s="4">
        <v>4</v>
      </c>
      <c r="H3196" s="13"/>
      <c r="I3196" s="15"/>
      <c r="J3196" s="19">
        <v>3</v>
      </c>
      <c r="K3196" s="2" t="s">
        <v>6404</v>
      </c>
      <c r="L3196" s="11" t="str">
        <f t="shared" si="51"/>
        <v>Ver Imagen</v>
      </c>
      <c r="M3196" t="s">
        <v>15</v>
      </c>
    </row>
    <row r="3197" spans="1:13" x14ac:dyDescent="0.25">
      <c r="A3197">
        <v>3197</v>
      </c>
      <c r="B3197" t="s">
        <v>6405</v>
      </c>
      <c r="C3197" s="1">
        <v>37.242025250300003</v>
      </c>
      <c r="D3197" s="1">
        <v>-7.0845860924500004</v>
      </c>
      <c r="E3197" s="3">
        <v>3</v>
      </c>
      <c r="F3197" s="2">
        <v>3</v>
      </c>
      <c r="G3197" s="4">
        <v>4</v>
      </c>
      <c r="H3197" s="13"/>
      <c r="I3197" s="15"/>
      <c r="J3197" s="19">
        <v>3</v>
      </c>
      <c r="K3197" s="2" t="s">
        <v>6406</v>
      </c>
      <c r="L3197" s="11" t="str">
        <f t="shared" si="51"/>
        <v>Ver Imagen</v>
      </c>
      <c r="M3197" t="s">
        <v>15</v>
      </c>
    </row>
    <row r="3198" spans="1:13" x14ac:dyDescent="0.25">
      <c r="A3198">
        <v>3198</v>
      </c>
      <c r="B3198" t="s">
        <v>6407</v>
      </c>
      <c r="C3198" s="1">
        <v>37.242117237199999</v>
      </c>
      <c r="D3198" s="1">
        <v>-7.08479344656</v>
      </c>
      <c r="E3198" s="3">
        <v>3</v>
      </c>
      <c r="F3198" s="2">
        <v>3</v>
      </c>
      <c r="G3198" s="4">
        <v>4</v>
      </c>
      <c r="H3198" s="13"/>
      <c r="I3198" s="15"/>
      <c r="J3198" s="19">
        <v>3</v>
      </c>
      <c r="K3198" s="2" t="s">
        <v>6408</v>
      </c>
      <c r="L3198" s="11" t="str">
        <f t="shared" si="51"/>
        <v>Ver Imagen</v>
      </c>
      <c r="M3198" t="s">
        <v>15</v>
      </c>
    </row>
    <row r="3199" spans="1:13" x14ac:dyDescent="0.25">
      <c r="A3199">
        <v>3199</v>
      </c>
      <c r="B3199" t="s">
        <v>6409</v>
      </c>
      <c r="C3199" s="1">
        <v>37.242215335700003</v>
      </c>
      <c r="D3199" s="1">
        <v>-7.0850442105799996</v>
      </c>
      <c r="E3199" s="3">
        <v>3</v>
      </c>
      <c r="F3199" s="2">
        <v>3</v>
      </c>
      <c r="G3199" s="4">
        <v>4</v>
      </c>
      <c r="H3199" s="13"/>
      <c r="I3199" s="15"/>
      <c r="J3199" s="19">
        <v>3</v>
      </c>
      <c r="K3199" s="2" t="s">
        <v>6410</v>
      </c>
      <c r="L3199" s="11" t="str">
        <f t="shared" si="51"/>
        <v>Ver Imagen</v>
      </c>
      <c r="M3199" t="s">
        <v>15</v>
      </c>
    </row>
    <row r="3200" spans="1:13" x14ac:dyDescent="0.25">
      <c r="A3200">
        <v>3200</v>
      </c>
      <c r="B3200" t="s">
        <v>6411</v>
      </c>
      <c r="C3200" s="1">
        <v>37.242881150300001</v>
      </c>
      <c r="D3200" s="1">
        <v>-7.08740092729</v>
      </c>
      <c r="E3200" s="3">
        <v>4</v>
      </c>
      <c r="F3200" s="2">
        <v>3</v>
      </c>
      <c r="G3200" s="4">
        <v>3</v>
      </c>
      <c r="H3200" s="13"/>
      <c r="I3200" s="15"/>
      <c r="J3200" s="19">
        <v>3</v>
      </c>
      <c r="K3200" s="2" t="s">
        <v>6412</v>
      </c>
      <c r="L3200" s="11" t="str">
        <f t="shared" si="51"/>
        <v>Ver Imagen</v>
      </c>
      <c r="M3200" t="s">
        <v>15</v>
      </c>
    </row>
    <row r="3201" spans="1:13" x14ac:dyDescent="0.25">
      <c r="A3201">
        <v>3201</v>
      </c>
      <c r="B3201" t="s">
        <v>6413</v>
      </c>
      <c r="C3201" s="1">
        <v>37.243302195399998</v>
      </c>
      <c r="D3201" s="1">
        <v>-7.0885640155000003</v>
      </c>
      <c r="E3201" s="3">
        <v>3</v>
      </c>
      <c r="F3201" s="2">
        <v>3</v>
      </c>
      <c r="G3201" s="4">
        <v>4</v>
      </c>
      <c r="H3201" s="13"/>
      <c r="I3201" s="15"/>
      <c r="J3201" s="19">
        <v>3</v>
      </c>
      <c r="K3201" s="2" t="s">
        <v>6414</v>
      </c>
      <c r="L3201" s="11" t="str">
        <f t="shared" si="51"/>
        <v>Ver Imagen</v>
      </c>
      <c r="M3201" t="s">
        <v>15</v>
      </c>
    </row>
    <row r="3202" spans="1:13" x14ac:dyDescent="0.25">
      <c r="A3202">
        <v>3202</v>
      </c>
      <c r="B3202" t="s">
        <v>6415</v>
      </c>
      <c r="C3202" s="1">
        <v>37.245467690200002</v>
      </c>
      <c r="D3202" s="1">
        <v>-7.09445703989</v>
      </c>
      <c r="E3202" s="3">
        <v>3</v>
      </c>
      <c r="F3202" s="2">
        <v>3</v>
      </c>
      <c r="G3202" s="4">
        <v>4</v>
      </c>
      <c r="H3202" s="13"/>
      <c r="I3202" s="15"/>
      <c r="J3202" s="19">
        <v>3</v>
      </c>
      <c r="K3202" s="2" t="s">
        <v>6416</v>
      </c>
      <c r="L3202" s="11" t="str">
        <f t="shared" si="51"/>
        <v>Ver Imagen</v>
      </c>
      <c r="M3202" t="s">
        <v>15</v>
      </c>
    </row>
    <row r="3203" spans="1:13" x14ac:dyDescent="0.25">
      <c r="A3203">
        <v>3203</v>
      </c>
      <c r="B3203" t="s">
        <v>6417</v>
      </c>
      <c r="C3203" s="1">
        <v>37.245877303</v>
      </c>
      <c r="D3203" s="1">
        <v>-7.09795059117</v>
      </c>
      <c r="E3203" s="3">
        <v>3</v>
      </c>
      <c r="F3203" s="2">
        <v>3</v>
      </c>
      <c r="G3203" s="4">
        <v>4</v>
      </c>
      <c r="H3203" s="13"/>
      <c r="I3203" s="15"/>
      <c r="J3203" s="19">
        <v>3</v>
      </c>
      <c r="K3203" s="2" t="s">
        <v>6418</v>
      </c>
      <c r="L3203" s="11" t="str">
        <f t="shared" si="51"/>
        <v>Ver Imagen</v>
      </c>
      <c r="M3203" t="s">
        <v>15</v>
      </c>
    </row>
    <row r="3204" spans="1:13" x14ac:dyDescent="0.25">
      <c r="A3204">
        <v>3204</v>
      </c>
      <c r="B3204" t="s">
        <v>6419</v>
      </c>
      <c r="C3204" s="1">
        <v>37.246048215000002</v>
      </c>
      <c r="D3204" s="1">
        <v>-7.0983860625900004</v>
      </c>
      <c r="E3204" s="3">
        <v>3</v>
      </c>
      <c r="F3204" s="2">
        <v>3</v>
      </c>
      <c r="G3204" s="4">
        <v>4</v>
      </c>
      <c r="H3204" s="13"/>
      <c r="I3204" s="15"/>
      <c r="J3204" s="19">
        <v>3</v>
      </c>
      <c r="K3204" s="2" t="s">
        <v>6420</v>
      </c>
      <c r="L3204" s="11" t="str">
        <f t="shared" si="51"/>
        <v>Ver Imagen</v>
      </c>
      <c r="M3204" t="s">
        <v>15</v>
      </c>
    </row>
    <row r="3205" spans="1:13" x14ac:dyDescent="0.25">
      <c r="A3205">
        <v>3205</v>
      </c>
      <c r="B3205" t="s">
        <v>6421</v>
      </c>
      <c r="C3205" s="1">
        <v>37.246663765999998</v>
      </c>
      <c r="D3205" s="1">
        <v>-7.0994355140599996</v>
      </c>
      <c r="E3205" s="3">
        <v>3</v>
      </c>
      <c r="F3205" s="2">
        <v>3</v>
      </c>
      <c r="G3205" s="4">
        <v>4</v>
      </c>
      <c r="H3205" s="13"/>
      <c r="I3205" s="15"/>
      <c r="J3205" s="19">
        <v>3</v>
      </c>
      <c r="K3205" s="2" t="s">
        <v>6422</v>
      </c>
      <c r="L3205" s="11" t="str">
        <f t="shared" si="51"/>
        <v>Ver Imagen</v>
      </c>
      <c r="M3205" t="s">
        <v>15</v>
      </c>
    </row>
    <row r="3206" spans="1:13" x14ac:dyDescent="0.25">
      <c r="A3206">
        <v>3206</v>
      </c>
      <c r="B3206" t="s">
        <v>6423</v>
      </c>
      <c r="C3206" s="1">
        <v>37.247310408499999</v>
      </c>
      <c r="D3206" s="1">
        <v>-7.1004177001300004</v>
      </c>
      <c r="E3206" s="3">
        <v>3</v>
      </c>
      <c r="F3206" s="2">
        <v>3</v>
      </c>
      <c r="G3206" s="4">
        <v>4</v>
      </c>
      <c r="H3206" s="13"/>
      <c r="I3206" s="15"/>
      <c r="J3206" s="19">
        <v>3</v>
      </c>
      <c r="K3206" s="2" t="s">
        <v>6424</v>
      </c>
      <c r="L3206" s="11" t="str">
        <f t="shared" si="51"/>
        <v>Ver Imagen</v>
      </c>
      <c r="M3206" t="s">
        <v>15</v>
      </c>
    </row>
    <row r="3207" spans="1:13" x14ac:dyDescent="0.25">
      <c r="A3207">
        <v>3207</v>
      </c>
      <c r="B3207" t="s">
        <v>6425</v>
      </c>
      <c r="C3207" s="1">
        <v>37.247441168599998</v>
      </c>
      <c r="D3207" s="1">
        <v>-7.1006137090500001</v>
      </c>
      <c r="E3207" s="3">
        <v>3</v>
      </c>
      <c r="F3207" s="2">
        <v>3</v>
      </c>
      <c r="G3207" s="4">
        <v>4</v>
      </c>
      <c r="H3207" s="13"/>
      <c r="I3207" s="15"/>
      <c r="J3207" s="19">
        <v>3</v>
      </c>
      <c r="K3207" s="2" t="s">
        <v>6426</v>
      </c>
      <c r="L3207" s="11" t="str">
        <f t="shared" si="51"/>
        <v>Ver Imagen</v>
      </c>
      <c r="M3207" t="s">
        <v>15</v>
      </c>
    </row>
    <row r="3208" spans="1:13" x14ac:dyDescent="0.25">
      <c r="A3208">
        <v>3208</v>
      </c>
      <c r="B3208" t="s">
        <v>6427</v>
      </c>
      <c r="C3208" s="1">
        <v>37.247700046200002</v>
      </c>
      <c r="D3208" s="1">
        <v>-7.1009989254599999</v>
      </c>
      <c r="E3208" s="3">
        <v>3</v>
      </c>
      <c r="F3208" s="2">
        <v>3</v>
      </c>
      <c r="G3208" s="4">
        <v>4</v>
      </c>
      <c r="H3208" s="13"/>
      <c r="I3208" s="15"/>
      <c r="J3208" s="19">
        <v>3</v>
      </c>
      <c r="K3208" s="2" t="s">
        <v>6428</v>
      </c>
      <c r="L3208" s="11" t="str">
        <f t="shared" si="51"/>
        <v>Ver Imagen</v>
      </c>
      <c r="M3208" t="s">
        <v>15</v>
      </c>
    </row>
    <row r="3209" spans="1:13" x14ac:dyDescent="0.25">
      <c r="A3209">
        <v>3209</v>
      </c>
      <c r="B3209" t="s">
        <v>6429</v>
      </c>
      <c r="C3209" s="1">
        <v>37.248942986400003</v>
      </c>
      <c r="D3209" s="1">
        <v>-7.1022203477800003</v>
      </c>
      <c r="E3209" s="3">
        <v>3</v>
      </c>
      <c r="F3209" s="2">
        <v>3</v>
      </c>
      <c r="G3209" s="4">
        <v>4</v>
      </c>
      <c r="H3209" s="13"/>
      <c r="I3209" s="15"/>
      <c r="J3209" s="19">
        <v>3</v>
      </c>
      <c r="K3209" s="2" t="s">
        <v>6430</v>
      </c>
      <c r="L3209" s="11" t="str">
        <f t="shared" si="51"/>
        <v>Ver Imagen</v>
      </c>
      <c r="M3209" t="s">
        <v>15</v>
      </c>
    </row>
    <row r="3210" spans="1:13" x14ac:dyDescent="0.25">
      <c r="A3210">
        <v>3210</v>
      </c>
      <c r="B3210" t="s">
        <v>6431</v>
      </c>
      <c r="C3210" s="1">
        <v>37.251335612399998</v>
      </c>
      <c r="D3210" s="1">
        <v>-7.1036114057399997</v>
      </c>
      <c r="E3210" s="3">
        <v>2</v>
      </c>
      <c r="F3210" s="2">
        <v>3</v>
      </c>
      <c r="G3210" s="4">
        <v>3</v>
      </c>
      <c r="H3210" s="13"/>
      <c r="I3210" s="15"/>
      <c r="J3210" s="19">
        <v>3</v>
      </c>
      <c r="K3210" s="2" t="s">
        <v>6432</v>
      </c>
      <c r="L3210" s="11" t="str">
        <f t="shared" si="51"/>
        <v>Ver Imagen</v>
      </c>
      <c r="M3210" t="s">
        <v>15</v>
      </c>
    </row>
    <row r="3211" spans="1:13" x14ac:dyDescent="0.25">
      <c r="A3211">
        <v>3211</v>
      </c>
      <c r="B3211" t="s">
        <v>6433</v>
      </c>
      <c r="C3211" s="1">
        <v>37.251513207800002</v>
      </c>
      <c r="D3211" s="1">
        <v>-7.1037215694700002</v>
      </c>
      <c r="E3211" s="3">
        <v>2</v>
      </c>
      <c r="F3211" s="2">
        <v>3</v>
      </c>
      <c r="G3211" s="4">
        <v>3</v>
      </c>
      <c r="H3211" s="13"/>
      <c r="I3211" s="15"/>
      <c r="J3211" s="19">
        <v>3</v>
      </c>
      <c r="K3211" s="2" t="s">
        <v>6434</v>
      </c>
      <c r="L3211" s="11" t="str">
        <f t="shared" si="51"/>
        <v>Ver Imagen</v>
      </c>
      <c r="M3211" t="s">
        <v>15</v>
      </c>
    </row>
    <row r="3212" spans="1:13" x14ac:dyDescent="0.25">
      <c r="A3212">
        <v>3212</v>
      </c>
      <c r="B3212" t="s">
        <v>6435</v>
      </c>
      <c r="C3212" s="1">
        <v>37.2516857743</v>
      </c>
      <c r="D3212" s="1">
        <v>-7.1038422492400004</v>
      </c>
      <c r="E3212" s="3">
        <v>2</v>
      </c>
      <c r="F3212" s="2">
        <v>3</v>
      </c>
      <c r="G3212" s="4">
        <v>3</v>
      </c>
      <c r="H3212" s="13"/>
      <c r="I3212" s="15"/>
      <c r="J3212" s="19">
        <v>3</v>
      </c>
      <c r="K3212" s="2" t="s">
        <v>6436</v>
      </c>
      <c r="L3212" s="11" t="str">
        <f t="shared" si="51"/>
        <v>Ver Imagen</v>
      </c>
      <c r="M3212" t="s">
        <v>15</v>
      </c>
    </row>
    <row r="3213" spans="1:13" x14ac:dyDescent="0.25">
      <c r="A3213">
        <v>3213</v>
      </c>
      <c r="B3213" t="s">
        <v>6437</v>
      </c>
      <c r="C3213" s="1">
        <v>37.251855289700003</v>
      </c>
      <c r="D3213" s="1">
        <v>-7.1039789833300002</v>
      </c>
      <c r="E3213" s="3">
        <v>2</v>
      </c>
      <c r="F3213" s="2">
        <v>3</v>
      </c>
      <c r="G3213" s="4">
        <v>3</v>
      </c>
      <c r="H3213" s="13"/>
      <c r="I3213" s="15"/>
      <c r="J3213" s="19">
        <v>3</v>
      </c>
      <c r="K3213" s="2" t="s">
        <v>6438</v>
      </c>
      <c r="L3213" s="11" t="str">
        <f t="shared" si="51"/>
        <v>Ver Imagen</v>
      </c>
      <c r="M3213" t="s">
        <v>15</v>
      </c>
    </row>
    <row r="3214" spans="1:13" x14ac:dyDescent="0.25">
      <c r="A3214">
        <v>3214</v>
      </c>
      <c r="B3214" t="s">
        <v>6439</v>
      </c>
      <c r="C3214" s="1">
        <v>37.2520257153</v>
      </c>
      <c r="D3214" s="1">
        <v>-7.1041358795100003</v>
      </c>
      <c r="E3214" s="3">
        <v>2</v>
      </c>
      <c r="F3214" s="2">
        <v>3</v>
      </c>
      <c r="G3214" s="4">
        <v>3</v>
      </c>
      <c r="H3214" s="13"/>
      <c r="I3214" s="15"/>
      <c r="J3214" s="19">
        <v>3</v>
      </c>
      <c r="K3214" s="2" t="s">
        <v>6440</v>
      </c>
      <c r="L3214" s="11" t="str">
        <f t="shared" si="51"/>
        <v>Ver Imagen</v>
      </c>
      <c r="M3214" t="s">
        <v>15</v>
      </c>
    </row>
    <row r="3215" spans="1:13" x14ac:dyDescent="0.25">
      <c r="A3215">
        <v>3215</v>
      </c>
      <c r="B3215" t="s">
        <v>6441</v>
      </c>
      <c r="C3215" s="1">
        <v>37.252180699699998</v>
      </c>
      <c r="D3215" s="1">
        <v>-7.1043022703899998</v>
      </c>
      <c r="E3215" s="3">
        <v>2</v>
      </c>
      <c r="F3215" s="2">
        <v>3</v>
      </c>
      <c r="G3215" s="4">
        <v>3</v>
      </c>
      <c r="H3215" s="13"/>
      <c r="I3215" s="15"/>
      <c r="J3215" s="19">
        <v>3</v>
      </c>
      <c r="K3215" s="2" t="s">
        <v>6442</v>
      </c>
      <c r="L3215" s="11" t="str">
        <f t="shared" si="51"/>
        <v>Ver Imagen</v>
      </c>
      <c r="M3215" t="s">
        <v>15</v>
      </c>
    </row>
    <row r="3216" spans="1:13" x14ac:dyDescent="0.25">
      <c r="A3216">
        <v>3216</v>
      </c>
      <c r="B3216" t="s">
        <v>6443</v>
      </c>
      <c r="C3216" s="1">
        <v>37.252466442200003</v>
      </c>
      <c r="D3216" s="1">
        <v>-7.1046957919100002</v>
      </c>
      <c r="E3216" s="3">
        <v>2</v>
      </c>
      <c r="F3216" s="2">
        <v>3</v>
      </c>
      <c r="G3216" s="4">
        <v>3</v>
      </c>
      <c r="H3216" s="13"/>
      <c r="I3216" s="15"/>
      <c r="J3216" s="19">
        <v>3</v>
      </c>
      <c r="K3216" s="2" t="s">
        <v>6444</v>
      </c>
      <c r="L3216" s="11" t="str">
        <f t="shared" si="51"/>
        <v>Ver Imagen</v>
      </c>
      <c r="M3216" t="s">
        <v>15</v>
      </c>
    </row>
    <row r="3217" spans="1:13" x14ac:dyDescent="0.25">
      <c r="A3217">
        <v>3217</v>
      </c>
      <c r="B3217" t="s">
        <v>6445</v>
      </c>
      <c r="C3217" s="1">
        <v>37.2525737259</v>
      </c>
      <c r="D3217" s="1">
        <v>-7.1048820796500003</v>
      </c>
      <c r="E3217" s="3">
        <v>2</v>
      </c>
      <c r="F3217" s="2">
        <v>3</v>
      </c>
      <c r="G3217" s="4">
        <v>3</v>
      </c>
      <c r="H3217" s="13"/>
      <c r="I3217" s="15"/>
      <c r="J3217" s="19">
        <v>3</v>
      </c>
      <c r="K3217" s="2" t="s">
        <v>6446</v>
      </c>
      <c r="L3217" s="11" t="str">
        <f t="shared" si="51"/>
        <v>Ver Imagen</v>
      </c>
      <c r="M3217" t="s">
        <v>15</v>
      </c>
    </row>
    <row r="3218" spans="1:13" x14ac:dyDescent="0.25">
      <c r="A3218">
        <v>3218</v>
      </c>
      <c r="B3218" t="s">
        <v>6447</v>
      </c>
      <c r="C3218" s="1">
        <v>37.2528712728</v>
      </c>
      <c r="D3218" s="1">
        <v>-7.1055431670400004</v>
      </c>
      <c r="E3218" s="3">
        <v>2</v>
      </c>
      <c r="F3218" s="2">
        <v>3</v>
      </c>
      <c r="G3218" s="4">
        <v>3</v>
      </c>
      <c r="H3218" s="13"/>
      <c r="I3218" s="15"/>
      <c r="J3218" s="19">
        <v>3</v>
      </c>
      <c r="K3218" s="2" t="s">
        <v>6448</v>
      </c>
      <c r="L3218" s="11" t="str">
        <f t="shared" si="51"/>
        <v>Ver Imagen</v>
      </c>
      <c r="M3218" t="s">
        <v>15</v>
      </c>
    </row>
    <row r="3219" spans="1:13" x14ac:dyDescent="0.25">
      <c r="A3219">
        <v>3219</v>
      </c>
      <c r="B3219" t="s">
        <v>6449</v>
      </c>
      <c r="C3219" s="1">
        <v>37.253055144199998</v>
      </c>
      <c r="D3219" s="1">
        <v>-7.1060179464199997</v>
      </c>
      <c r="E3219" s="3">
        <v>2</v>
      </c>
      <c r="F3219" s="2">
        <v>3</v>
      </c>
      <c r="G3219" s="4">
        <v>3</v>
      </c>
      <c r="H3219" s="13"/>
      <c r="I3219" s="15"/>
      <c r="J3219" s="19">
        <v>3</v>
      </c>
      <c r="K3219" s="2" t="s">
        <v>6450</v>
      </c>
      <c r="L3219" s="11" t="str">
        <f t="shared" si="51"/>
        <v>Ver Imagen</v>
      </c>
      <c r="M3219" t="s">
        <v>15</v>
      </c>
    </row>
    <row r="3220" spans="1:13" x14ac:dyDescent="0.25">
      <c r="A3220">
        <v>3220</v>
      </c>
      <c r="B3220" t="s">
        <v>6451</v>
      </c>
      <c r="C3220" s="1">
        <v>37.253239024499997</v>
      </c>
      <c r="D3220" s="1">
        <v>-7.1064658872299997</v>
      </c>
      <c r="E3220" s="3">
        <v>2</v>
      </c>
      <c r="F3220" s="2">
        <v>3</v>
      </c>
      <c r="G3220" s="4">
        <v>3</v>
      </c>
      <c r="H3220" s="13"/>
      <c r="I3220" s="15"/>
      <c r="J3220" s="19">
        <v>3</v>
      </c>
      <c r="K3220" s="2" t="s">
        <v>6452</v>
      </c>
      <c r="L3220" s="11" t="str">
        <f t="shared" si="51"/>
        <v>Ver Imagen</v>
      </c>
      <c r="M3220" t="s">
        <v>15</v>
      </c>
    </row>
    <row r="3221" spans="1:13" x14ac:dyDescent="0.25">
      <c r="A3221">
        <v>3221</v>
      </c>
      <c r="B3221" t="s">
        <v>6453</v>
      </c>
      <c r="C3221" s="1">
        <v>37.2533426838</v>
      </c>
      <c r="D3221" s="1">
        <v>-7.1066834229599998</v>
      </c>
      <c r="E3221" s="3">
        <v>2</v>
      </c>
      <c r="F3221" s="2">
        <v>3</v>
      </c>
      <c r="G3221" s="4">
        <v>3</v>
      </c>
      <c r="H3221" s="13"/>
      <c r="I3221" s="15"/>
      <c r="J3221" s="19">
        <v>3</v>
      </c>
      <c r="K3221" s="2" t="s">
        <v>6454</v>
      </c>
      <c r="L3221" s="11" t="str">
        <f t="shared" si="51"/>
        <v>Ver Imagen</v>
      </c>
      <c r="M3221" t="s">
        <v>15</v>
      </c>
    </row>
    <row r="3222" spans="1:13" x14ac:dyDescent="0.25">
      <c r="A3222">
        <v>3222</v>
      </c>
      <c r="B3222" t="s">
        <v>6455</v>
      </c>
      <c r="C3222" s="1">
        <v>37.254396711200002</v>
      </c>
      <c r="D3222" s="1">
        <v>-7.1082122128899998</v>
      </c>
      <c r="E3222" s="3">
        <v>2</v>
      </c>
      <c r="F3222" s="2">
        <v>3</v>
      </c>
      <c r="G3222" s="4">
        <v>3</v>
      </c>
      <c r="H3222" s="13"/>
      <c r="I3222" s="15"/>
      <c r="J3222" s="19">
        <v>3</v>
      </c>
      <c r="K3222" s="2" t="s">
        <v>6456</v>
      </c>
      <c r="L3222" s="11" t="str">
        <f t="shared" si="51"/>
        <v>Ver Imagen</v>
      </c>
      <c r="M3222" t="s">
        <v>15</v>
      </c>
    </row>
    <row r="3223" spans="1:13" x14ac:dyDescent="0.25">
      <c r="A3223">
        <v>3223</v>
      </c>
      <c r="B3223" t="s">
        <v>6457</v>
      </c>
      <c r="C3223" s="1">
        <v>37.254517293799999</v>
      </c>
      <c r="D3223" s="1">
        <v>-7.1083764303399999</v>
      </c>
      <c r="E3223" s="3">
        <v>2</v>
      </c>
      <c r="F3223" s="2">
        <v>3</v>
      </c>
      <c r="G3223" s="4">
        <v>3</v>
      </c>
      <c r="H3223" s="13"/>
      <c r="I3223" s="15"/>
      <c r="J3223" s="19">
        <v>3</v>
      </c>
      <c r="K3223" s="2" t="s">
        <v>6458</v>
      </c>
      <c r="L3223" s="11" t="str">
        <f t="shared" si="51"/>
        <v>Ver Imagen</v>
      </c>
      <c r="M3223" t="s">
        <v>15</v>
      </c>
    </row>
    <row r="3224" spans="1:13" x14ac:dyDescent="0.25">
      <c r="A3224">
        <v>3224</v>
      </c>
      <c r="B3224" t="s">
        <v>6459</v>
      </c>
      <c r="C3224" s="1">
        <v>37.254664351400002</v>
      </c>
      <c r="D3224" s="1">
        <v>-7.1085620177099997</v>
      </c>
      <c r="E3224" s="3">
        <v>4</v>
      </c>
      <c r="F3224" s="2">
        <v>3</v>
      </c>
      <c r="G3224" s="4">
        <v>3</v>
      </c>
      <c r="H3224" s="13"/>
      <c r="I3224" s="15"/>
      <c r="J3224" s="19">
        <v>3</v>
      </c>
      <c r="K3224" s="2" t="s">
        <v>6460</v>
      </c>
      <c r="L3224" s="11" t="str">
        <f t="shared" si="51"/>
        <v>Ver Imagen</v>
      </c>
      <c r="M3224" t="s">
        <v>15</v>
      </c>
    </row>
    <row r="3225" spans="1:13" x14ac:dyDescent="0.25">
      <c r="A3225">
        <v>3225</v>
      </c>
      <c r="B3225" t="s">
        <v>6461</v>
      </c>
      <c r="C3225" s="1">
        <v>37.255102501000003</v>
      </c>
      <c r="D3225" s="1">
        <v>-7.1094081438899996</v>
      </c>
      <c r="E3225" s="3">
        <v>3</v>
      </c>
      <c r="F3225" s="2">
        <v>3</v>
      </c>
      <c r="G3225" s="4">
        <v>4</v>
      </c>
      <c r="H3225" s="13"/>
      <c r="I3225" s="15"/>
      <c r="J3225" s="19">
        <v>3</v>
      </c>
      <c r="K3225" s="2" t="s">
        <v>6462</v>
      </c>
      <c r="L3225" s="11" t="str">
        <f t="shared" si="51"/>
        <v>Ver Imagen</v>
      </c>
      <c r="M3225" t="s">
        <v>15</v>
      </c>
    </row>
    <row r="3226" spans="1:13" x14ac:dyDescent="0.25">
      <c r="A3226">
        <v>3226</v>
      </c>
      <c r="B3226" t="s">
        <v>6463</v>
      </c>
      <c r="C3226" s="1">
        <v>37.2551864279</v>
      </c>
      <c r="D3226" s="1">
        <v>-7.1096674351200004</v>
      </c>
      <c r="E3226" s="3">
        <v>3</v>
      </c>
      <c r="F3226" s="2">
        <v>3</v>
      </c>
      <c r="G3226" s="4">
        <v>4</v>
      </c>
      <c r="H3226" s="13"/>
      <c r="I3226" s="15"/>
      <c r="J3226" s="19">
        <v>3</v>
      </c>
      <c r="K3226" s="2" t="s">
        <v>6464</v>
      </c>
      <c r="L3226" s="11" t="str">
        <f t="shared" si="51"/>
        <v>Ver Imagen</v>
      </c>
      <c r="M3226" t="s">
        <v>15</v>
      </c>
    </row>
    <row r="3227" spans="1:13" x14ac:dyDescent="0.25">
      <c r="A3227">
        <v>3227</v>
      </c>
      <c r="B3227" t="s">
        <v>6465</v>
      </c>
      <c r="C3227" s="1">
        <v>37.2552516039</v>
      </c>
      <c r="D3227" s="1">
        <v>-7.1098980957500002</v>
      </c>
      <c r="E3227" s="3">
        <v>3</v>
      </c>
      <c r="F3227" s="2">
        <v>3</v>
      </c>
      <c r="G3227" s="4">
        <v>4</v>
      </c>
      <c r="H3227" s="13"/>
      <c r="I3227" s="15"/>
      <c r="J3227" s="19">
        <v>3</v>
      </c>
      <c r="K3227" s="2" t="s">
        <v>6466</v>
      </c>
      <c r="L3227" s="11" t="str">
        <f t="shared" si="51"/>
        <v>Ver Imagen</v>
      </c>
      <c r="M3227" t="s">
        <v>15</v>
      </c>
    </row>
    <row r="3228" spans="1:13" x14ac:dyDescent="0.25">
      <c r="A3228">
        <v>3228</v>
      </c>
      <c r="B3228" t="s">
        <v>6467</v>
      </c>
      <c r="C3228" s="1">
        <v>37.255348711700002</v>
      </c>
      <c r="D3228" s="1">
        <v>-7.11040217566</v>
      </c>
      <c r="E3228" s="3">
        <v>3</v>
      </c>
      <c r="F3228" s="2">
        <v>3</v>
      </c>
      <c r="G3228" s="4">
        <v>4</v>
      </c>
      <c r="H3228" s="13"/>
      <c r="I3228" s="15"/>
      <c r="J3228" s="19">
        <v>3</v>
      </c>
      <c r="K3228" s="2" t="s">
        <v>6468</v>
      </c>
      <c r="L3228" s="11" t="str">
        <f t="shared" si="51"/>
        <v>Ver Imagen</v>
      </c>
      <c r="M3228" t="s">
        <v>15</v>
      </c>
    </row>
    <row r="3229" spans="1:13" x14ac:dyDescent="0.25">
      <c r="A3229">
        <v>3229</v>
      </c>
      <c r="B3229" t="s">
        <v>6469</v>
      </c>
      <c r="C3229" s="1">
        <v>37.255323300000001</v>
      </c>
      <c r="D3229" s="1">
        <v>-7.1116638675499999</v>
      </c>
      <c r="E3229" s="3">
        <v>3</v>
      </c>
      <c r="F3229" s="2">
        <v>3</v>
      </c>
      <c r="G3229" s="4">
        <v>4</v>
      </c>
      <c r="H3229" s="13"/>
      <c r="I3229" s="15"/>
      <c r="J3229" s="19">
        <v>3</v>
      </c>
      <c r="K3229" s="2" t="s">
        <v>6470</v>
      </c>
      <c r="L3229" s="11" t="str">
        <f t="shared" si="51"/>
        <v>Ver Imagen</v>
      </c>
      <c r="M3229" t="s">
        <v>15</v>
      </c>
    </row>
    <row r="3230" spans="1:13" x14ac:dyDescent="0.25">
      <c r="A3230">
        <v>3230</v>
      </c>
      <c r="B3230" t="s">
        <v>6471</v>
      </c>
      <c r="C3230" s="1">
        <v>37.255055112999997</v>
      </c>
      <c r="D3230" s="1">
        <v>-7.1129129728000002</v>
      </c>
      <c r="E3230" s="3">
        <v>3</v>
      </c>
      <c r="F3230" s="2">
        <v>3</v>
      </c>
      <c r="G3230" s="4">
        <v>4</v>
      </c>
      <c r="H3230" s="13"/>
      <c r="I3230" s="15"/>
      <c r="J3230" s="19">
        <v>3</v>
      </c>
      <c r="K3230" s="2" t="s">
        <v>6472</v>
      </c>
      <c r="L3230" s="11" t="str">
        <f t="shared" si="51"/>
        <v>Ver Imagen</v>
      </c>
      <c r="M3230" t="s">
        <v>15</v>
      </c>
    </row>
    <row r="3231" spans="1:13" x14ac:dyDescent="0.25">
      <c r="A3231">
        <v>3231</v>
      </c>
      <c r="B3231" t="s">
        <v>6473</v>
      </c>
      <c r="C3231" s="1">
        <v>37.254876754900003</v>
      </c>
      <c r="D3231" s="1">
        <v>-7.1136299006000003</v>
      </c>
      <c r="E3231" s="3">
        <v>3</v>
      </c>
      <c r="F3231" s="2">
        <v>3</v>
      </c>
      <c r="G3231" s="4">
        <v>4</v>
      </c>
      <c r="H3231" s="13"/>
      <c r="I3231" s="15"/>
      <c r="J3231" s="19">
        <v>3</v>
      </c>
      <c r="K3231" s="2" t="s">
        <v>6474</v>
      </c>
      <c r="L3231" s="11" t="str">
        <f t="shared" si="51"/>
        <v>Ver Imagen</v>
      </c>
      <c r="M3231" t="s">
        <v>15</v>
      </c>
    </row>
    <row r="3232" spans="1:13" x14ac:dyDescent="0.25">
      <c r="A3232">
        <v>3232</v>
      </c>
      <c r="B3232" t="s">
        <v>6475</v>
      </c>
      <c r="C3232" s="1">
        <v>37.254757774799998</v>
      </c>
      <c r="D3232" s="1">
        <v>-7.1141100892000004</v>
      </c>
      <c r="E3232" s="3">
        <v>3</v>
      </c>
      <c r="F3232" s="2">
        <v>3</v>
      </c>
      <c r="G3232" s="4">
        <v>4</v>
      </c>
      <c r="H3232" s="13"/>
      <c r="I3232" s="15"/>
      <c r="J3232" s="19">
        <v>3</v>
      </c>
      <c r="K3232" s="2" t="s">
        <v>6476</v>
      </c>
      <c r="L3232" s="11" t="str">
        <f t="shared" si="51"/>
        <v>Ver Imagen</v>
      </c>
      <c r="M3232" t="s">
        <v>15</v>
      </c>
    </row>
    <row r="3233" spans="1:13" x14ac:dyDescent="0.25">
      <c r="A3233">
        <v>3233</v>
      </c>
      <c r="B3233" t="s">
        <v>6477</v>
      </c>
      <c r="C3233" s="1">
        <v>37.254616702500002</v>
      </c>
      <c r="D3233" s="1">
        <v>-7.1148193300799996</v>
      </c>
      <c r="E3233" s="3">
        <v>3</v>
      </c>
      <c r="F3233" s="2">
        <v>3</v>
      </c>
      <c r="G3233" s="4">
        <v>4</v>
      </c>
      <c r="H3233" s="13"/>
      <c r="I3233" s="15"/>
      <c r="J3233" s="19">
        <v>3</v>
      </c>
      <c r="K3233" s="2" t="s">
        <v>6478</v>
      </c>
      <c r="L3233" s="11" t="str">
        <f t="shared" si="51"/>
        <v>Ver Imagen</v>
      </c>
      <c r="M3233" t="s">
        <v>15</v>
      </c>
    </row>
    <row r="3234" spans="1:13" x14ac:dyDescent="0.25">
      <c r="A3234">
        <v>3234</v>
      </c>
      <c r="B3234" t="s">
        <v>6479</v>
      </c>
      <c r="C3234" s="1">
        <v>37.254573167799997</v>
      </c>
      <c r="D3234" s="1">
        <v>-7.1153383782599997</v>
      </c>
      <c r="E3234" s="3">
        <v>3</v>
      </c>
      <c r="F3234" s="2">
        <v>3</v>
      </c>
      <c r="G3234" s="4">
        <v>4</v>
      </c>
      <c r="H3234" s="13"/>
      <c r="I3234" s="15"/>
      <c r="J3234" s="19">
        <v>3</v>
      </c>
      <c r="K3234" s="2" t="s">
        <v>6480</v>
      </c>
      <c r="L3234" s="11" t="str">
        <f t="shared" si="51"/>
        <v>Ver Imagen</v>
      </c>
      <c r="M3234" t="s">
        <v>15</v>
      </c>
    </row>
    <row r="3235" spans="1:13" x14ac:dyDescent="0.25">
      <c r="A3235">
        <v>3235</v>
      </c>
      <c r="B3235" t="s">
        <v>6481</v>
      </c>
      <c r="C3235" s="1">
        <v>37.2545736808</v>
      </c>
      <c r="D3235" s="1">
        <v>-7.1155891500799999</v>
      </c>
      <c r="E3235" s="3">
        <v>3</v>
      </c>
      <c r="F3235" s="2">
        <v>3</v>
      </c>
      <c r="G3235" s="4">
        <v>4</v>
      </c>
      <c r="H3235" s="13"/>
      <c r="I3235" s="15"/>
      <c r="J3235" s="19">
        <v>3</v>
      </c>
      <c r="K3235" s="2" t="s">
        <v>6482</v>
      </c>
      <c r="L3235" s="11" t="str">
        <f t="shared" si="51"/>
        <v>Ver Imagen</v>
      </c>
      <c r="M3235" t="s">
        <v>15</v>
      </c>
    </row>
    <row r="3236" spans="1:13" x14ac:dyDescent="0.25">
      <c r="A3236">
        <v>3236</v>
      </c>
      <c r="B3236" t="s">
        <v>6483</v>
      </c>
      <c r="C3236" s="1">
        <v>37.254988729200001</v>
      </c>
      <c r="D3236" s="1">
        <v>-7.1172276129299998</v>
      </c>
      <c r="E3236" s="3">
        <v>2</v>
      </c>
      <c r="F3236" s="2">
        <v>3</v>
      </c>
      <c r="G3236" s="4">
        <v>3</v>
      </c>
      <c r="H3236" s="13"/>
      <c r="I3236" s="15"/>
      <c r="J3236" s="19">
        <v>3</v>
      </c>
      <c r="K3236" s="2" t="s">
        <v>6484</v>
      </c>
      <c r="L3236" s="11" t="str">
        <f t="shared" si="51"/>
        <v>Ver Imagen</v>
      </c>
      <c r="M3236" t="s">
        <v>15</v>
      </c>
    </row>
    <row r="3237" spans="1:13" x14ac:dyDescent="0.25">
      <c r="A3237">
        <v>3237</v>
      </c>
      <c r="B3237" t="s">
        <v>6485</v>
      </c>
      <c r="C3237" s="1">
        <v>37.255240676</v>
      </c>
      <c r="D3237" s="1">
        <v>-7.1176409319299996</v>
      </c>
      <c r="E3237" s="3">
        <v>3</v>
      </c>
      <c r="F3237" s="2">
        <v>3</v>
      </c>
      <c r="G3237" s="4">
        <v>4</v>
      </c>
      <c r="H3237" s="13"/>
      <c r="I3237" s="15"/>
      <c r="J3237" s="19">
        <v>3</v>
      </c>
      <c r="K3237" s="2" t="s">
        <v>6486</v>
      </c>
      <c r="L3237" s="11" t="str">
        <f t="shared" si="51"/>
        <v>Ver Imagen</v>
      </c>
      <c r="M3237" t="s">
        <v>15</v>
      </c>
    </row>
    <row r="3238" spans="1:13" x14ac:dyDescent="0.25">
      <c r="A3238">
        <v>3238</v>
      </c>
      <c r="B3238" t="s">
        <v>6487</v>
      </c>
      <c r="C3238" s="1">
        <v>37.255514407100002</v>
      </c>
      <c r="D3238" s="1">
        <v>-7.11797058293</v>
      </c>
      <c r="E3238" s="3">
        <v>3</v>
      </c>
      <c r="F3238" s="2">
        <v>3</v>
      </c>
      <c r="G3238" s="4">
        <v>4</v>
      </c>
      <c r="H3238" s="13"/>
      <c r="I3238" s="15"/>
      <c r="J3238" s="19">
        <v>3</v>
      </c>
      <c r="K3238" s="2" t="s">
        <v>6488</v>
      </c>
      <c r="L3238" s="11" t="str">
        <f t="shared" si="51"/>
        <v>Ver Imagen</v>
      </c>
      <c r="M3238" t="s">
        <v>15</v>
      </c>
    </row>
    <row r="3239" spans="1:13" x14ac:dyDescent="0.25">
      <c r="A3239">
        <v>3239</v>
      </c>
      <c r="B3239" t="s">
        <v>6489</v>
      </c>
      <c r="C3239" s="1">
        <v>37.255836023900002</v>
      </c>
      <c r="D3239" s="1">
        <v>-7.1182631132100003</v>
      </c>
      <c r="E3239" s="3">
        <v>3</v>
      </c>
      <c r="F3239" s="2">
        <v>3</v>
      </c>
      <c r="G3239" s="4">
        <v>4</v>
      </c>
      <c r="H3239" s="13"/>
      <c r="I3239" s="15"/>
      <c r="J3239" s="19">
        <v>3</v>
      </c>
      <c r="K3239" s="2" t="s">
        <v>6490</v>
      </c>
      <c r="L3239" s="11" t="str">
        <f t="shared" si="51"/>
        <v>Ver Imagen</v>
      </c>
      <c r="M3239" t="s">
        <v>15</v>
      </c>
    </row>
    <row r="3240" spans="1:13" x14ac:dyDescent="0.25">
      <c r="A3240">
        <v>3240</v>
      </c>
      <c r="B3240" t="s">
        <v>6491</v>
      </c>
      <c r="C3240" s="1">
        <v>37.256022694499997</v>
      </c>
      <c r="D3240" s="1">
        <v>-7.1184073446399996</v>
      </c>
      <c r="E3240" s="3">
        <v>3</v>
      </c>
      <c r="F3240" s="2">
        <v>3</v>
      </c>
      <c r="G3240" s="4">
        <v>4</v>
      </c>
      <c r="H3240" s="13"/>
      <c r="I3240" s="15"/>
      <c r="J3240" s="19">
        <v>3</v>
      </c>
      <c r="K3240" s="2" t="s">
        <v>6492</v>
      </c>
      <c r="L3240" s="11" t="str">
        <f t="shared" si="51"/>
        <v>Ver Imagen</v>
      </c>
      <c r="M3240" t="s">
        <v>15</v>
      </c>
    </row>
    <row r="3241" spans="1:13" x14ac:dyDescent="0.25">
      <c r="A3241">
        <v>3241</v>
      </c>
      <c r="B3241" t="s">
        <v>6493</v>
      </c>
      <c r="C3241" s="1">
        <v>37.2562156141</v>
      </c>
      <c r="D3241" s="1">
        <v>-7.1185503741299998</v>
      </c>
      <c r="E3241" s="3">
        <v>3</v>
      </c>
      <c r="F3241" s="2">
        <v>3</v>
      </c>
      <c r="G3241" s="4">
        <v>4</v>
      </c>
      <c r="H3241" s="13"/>
      <c r="I3241" s="15"/>
      <c r="J3241" s="19">
        <v>3</v>
      </c>
      <c r="K3241" s="2" t="s">
        <v>6494</v>
      </c>
      <c r="L3241" s="11" t="str">
        <f t="shared" ref="L3241:L3304" si="52">HYPERLINK("3\1\" &amp; K3241, "Ver Imagen")</f>
        <v>Ver Imagen</v>
      </c>
      <c r="M3241" t="s">
        <v>15</v>
      </c>
    </row>
    <row r="3242" spans="1:13" x14ac:dyDescent="0.25">
      <c r="A3242">
        <v>3242</v>
      </c>
      <c r="B3242" t="s">
        <v>6495</v>
      </c>
      <c r="C3242" s="1">
        <v>37.256400498200001</v>
      </c>
      <c r="D3242" s="1">
        <v>-7.1186862414599998</v>
      </c>
      <c r="E3242" s="3">
        <v>3</v>
      </c>
      <c r="F3242" s="2">
        <v>3</v>
      </c>
      <c r="G3242" s="4">
        <v>4</v>
      </c>
      <c r="H3242" s="13"/>
      <c r="I3242" s="15"/>
      <c r="J3242" s="19">
        <v>3</v>
      </c>
      <c r="K3242" s="2" t="s">
        <v>6496</v>
      </c>
      <c r="L3242" s="11" t="str">
        <f t="shared" si="52"/>
        <v>Ver Imagen</v>
      </c>
      <c r="M3242" t="s">
        <v>15</v>
      </c>
    </row>
    <row r="3243" spans="1:13" x14ac:dyDescent="0.25">
      <c r="A3243">
        <v>3243</v>
      </c>
      <c r="B3243" t="s">
        <v>6497</v>
      </c>
      <c r="C3243" s="1">
        <v>37.257078728499998</v>
      </c>
      <c r="D3243" s="1">
        <v>-7.1191877732700002</v>
      </c>
      <c r="E3243" s="3">
        <v>3</v>
      </c>
      <c r="F3243" s="2">
        <v>3</v>
      </c>
      <c r="G3243" s="4">
        <v>4</v>
      </c>
      <c r="H3243" s="13"/>
      <c r="I3243" s="15"/>
      <c r="J3243" s="19">
        <v>3</v>
      </c>
      <c r="K3243" s="2" t="s">
        <v>6498</v>
      </c>
      <c r="L3243" s="11" t="str">
        <f t="shared" si="52"/>
        <v>Ver Imagen</v>
      </c>
      <c r="M3243" t="s">
        <v>15</v>
      </c>
    </row>
    <row r="3244" spans="1:13" x14ac:dyDescent="0.25">
      <c r="A3244">
        <v>3244</v>
      </c>
      <c r="B3244" t="s">
        <v>6499</v>
      </c>
      <c r="C3244" s="1">
        <v>37.257427668399998</v>
      </c>
      <c r="D3244" s="1">
        <v>-7.1194409720999996</v>
      </c>
      <c r="E3244" s="3">
        <v>3</v>
      </c>
      <c r="F3244" s="2">
        <v>3</v>
      </c>
      <c r="G3244" s="4">
        <v>4</v>
      </c>
      <c r="H3244" s="13"/>
      <c r="I3244" s="15"/>
      <c r="J3244" s="19">
        <v>3</v>
      </c>
      <c r="K3244" s="2" t="s">
        <v>6500</v>
      </c>
      <c r="L3244" s="11" t="str">
        <f t="shared" si="52"/>
        <v>Ver Imagen</v>
      </c>
      <c r="M3244" t="s">
        <v>15</v>
      </c>
    </row>
    <row r="3245" spans="1:13" x14ac:dyDescent="0.25">
      <c r="A3245">
        <v>3245</v>
      </c>
      <c r="B3245" t="s">
        <v>6501</v>
      </c>
      <c r="C3245" s="1">
        <v>37.257623146100002</v>
      </c>
      <c r="D3245" s="1">
        <v>-7.11958157832</v>
      </c>
      <c r="E3245" s="3">
        <v>3</v>
      </c>
      <c r="F3245" s="2">
        <v>3</v>
      </c>
      <c r="G3245" s="4">
        <v>4</v>
      </c>
      <c r="H3245" s="13"/>
      <c r="I3245" s="15"/>
      <c r="J3245" s="19">
        <v>3</v>
      </c>
      <c r="K3245" s="2" t="s">
        <v>6502</v>
      </c>
      <c r="L3245" s="11" t="str">
        <f t="shared" si="52"/>
        <v>Ver Imagen</v>
      </c>
      <c r="M3245" t="s">
        <v>15</v>
      </c>
    </row>
    <row r="3246" spans="1:13" x14ac:dyDescent="0.25">
      <c r="A3246">
        <v>3246</v>
      </c>
      <c r="B3246" t="s">
        <v>6503</v>
      </c>
      <c r="C3246" s="1">
        <v>37.257937401100001</v>
      </c>
      <c r="D3246" s="1">
        <v>-7.1198286073699997</v>
      </c>
      <c r="E3246" s="3">
        <v>3</v>
      </c>
      <c r="F3246" s="2">
        <v>3</v>
      </c>
      <c r="G3246" s="4">
        <v>4</v>
      </c>
      <c r="H3246" s="13"/>
      <c r="I3246" s="15"/>
      <c r="J3246" s="19">
        <v>3</v>
      </c>
      <c r="K3246" s="2" t="s">
        <v>6504</v>
      </c>
      <c r="L3246" s="11" t="str">
        <f t="shared" si="52"/>
        <v>Ver Imagen</v>
      </c>
      <c r="M3246" t="s">
        <v>15</v>
      </c>
    </row>
    <row r="3247" spans="1:13" x14ac:dyDescent="0.25">
      <c r="A3247">
        <v>3247</v>
      </c>
      <c r="B3247" t="s">
        <v>6505</v>
      </c>
      <c r="C3247" s="1">
        <v>37.258105856900002</v>
      </c>
      <c r="D3247" s="1">
        <v>-7.1199917777000001</v>
      </c>
      <c r="E3247" s="3">
        <v>3</v>
      </c>
      <c r="F3247" s="2">
        <v>3</v>
      </c>
      <c r="G3247" s="4">
        <v>4</v>
      </c>
      <c r="H3247" s="13"/>
      <c r="I3247" s="15"/>
      <c r="J3247" s="19">
        <v>3</v>
      </c>
      <c r="K3247" s="2" t="s">
        <v>6506</v>
      </c>
      <c r="L3247" s="11" t="str">
        <f t="shared" si="52"/>
        <v>Ver Imagen</v>
      </c>
      <c r="M3247" t="s">
        <v>15</v>
      </c>
    </row>
    <row r="3248" spans="1:13" x14ac:dyDescent="0.25">
      <c r="A3248">
        <v>3248</v>
      </c>
      <c r="B3248" t="s">
        <v>6507</v>
      </c>
      <c r="C3248" s="1">
        <v>37.258253397200001</v>
      </c>
      <c r="D3248" s="1">
        <v>-7.12016394724</v>
      </c>
      <c r="E3248" s="3">
        <v>3</v>
      </c>
      <c r="F3248" s="2">
        <v>3</v>
      </c>
      <c r="G3248" s="4">
        <v>4</v>
      </c>
      <c r="H3248" s="13"/>
      <c r="I3248" s="15"/>
      <c r="J3248" s="19">
        <v>3</v>
      </c>
      <c r="K3248" s="2" t="s">
        <v>6508</v>
      </c>
      <c r="L3248" s="11" t="str">
        <f t="shared" si="52"/>
        <v>Ver Imagen</v>
      </c>
      <c r="M3248" t="s">
        <v>15</v>
      </c>
    </row>
    <row r="3249" spans="1:13" x14ac:dyDescent="0.25">
      <c r="A3249">
        <v>3249</v>
      </c>
      <c r="B3249" t="s">
        <v>6509</v>
      </c>
      <c r="C3249" s="1">
        <v>37.258583598000001</v>
      </c>
      <c r="D3249" s="1">
        <v>-7.1207965161600004</v>
      </c>
      <c r="E3249" s="3">
        <v>3</v>
      </c>
      <c r="F3249" s="2">
        <v>3</v>
      </c>
      <c r="G3249" s="4">
        <v>4</v>
      </c>
      <c r="H3249" s="13"/>
      <c r="I3249" s="15"/>
      <c r="J3249" s="19">
        <v>3</v>
      </c>
      <c r="K3249" s="2" t="s">
        <v>6510</v>
      </c>
      <c r="L3249" s="11" t="str">
        <f t="shared" si="52"/>
        <v>Ver Imagen</v>
      </c>
      <c r="M3249" t="s">
        <v>15</v>
      </c>
    </row>
    <row r="3250" spans="1:13" x14ac:dyDescent="0.25">
      <c r="A3250">
        <v>3250</v>
      </c>
      <c r="B3250" t="s">
        <v>6511</v>
      </c>
      <c r="C3250" s="1">
        <v>37.258649139699997</v>
      </c>
      <c r="D3250" s="1">
        <v>-7.1210368944000004</v>
      </c>
      <c r="E3250" s="3">
        <v>3</v>
      </c>
      <c r="F3250" s="2">
        <v>3</v>
      </c>
      <c r="G3250" s="4">
        <v>4</v>
      </c>
      <c r="H3250" s="13"/>
      <c r="I3250" s="15"/>
      <c r="J3250" s="19">
        <v>3</v>
      </c>
      <c r="K3250" s="2" t="s">
        <v>6512</v>
      </c>
      <c r="L3250" s="11" t="str">
        <f t="shared" si="52"/>
        <v>Ver Imagen</v>
      </c>
      <c r="M3250" t="s">
        <v>15</v>
      </c>
    </row>
    <row r="3251" spans="1:13" x14ac:dyDescent="0.25">
      <c r="A3251">
        <v>3251</v>
      </c>
      <c r="B3251" t="s">
        <v>6513</v>
      </c>
      <c r="C3251" s="1">
        <v>37.258696888999999</v>
      </c>
      <c r="D3251" s="1">
        <v>-7.1213068070199999</v>
      </c>
      <c r="E3251" s="3">
        <v>3</v>
      </c>
      <c r="F3251" s="2">
        <v>3</v>
      </c>
      <c r="G3251" s="4">
        <v>4</v>
      </c>
      <c r="H3251" s="13"/>
      <c r="I3251" s="15"/>
      <c r="J3251" s="19">
        <v>3</v>
      </c>
      <c r="K3251" s="2" t="s">
        <v>6514</v>
      </c>
      <c r="L3251" s="11" t="str">
        <f t="shared" si="52"/>
        <v>Ver Imagen</v>
      </c>
      <c r="M3251" t="s">
        <v>15</v>
      </c>
    </row>
    <row r="3252" spans="1:13" x14ac:dyDescent="0.25">
      <c r="A3252">
        <v>3252</v>
      </c>
      <c r="B3252" t="s">
        <v>6515</v>
      </c>
      <c r="C3252" s="1">
        <v>37.258725737500001</v>
      </c>
      <c r="D3252" s="1">
        <v>-7.1215500688000004</v>
      </c>
      <c r="E3252" s="3">
        <v>3</v>
      </c>
      <c r="F3252" s="2">
        <v>3</v>
      </c>
      <c r="G3252" s="4">
        <v>4</v>
      </c>
      <c r="H3252" s="13"/>
      <c r="I3252" s="15"/>
      <c r="J3252" s="19">
        <v>3</v>
      </c>
      <c r="K3252" s="2" t="s">
        <v>6516</v>
      </c>
      <c r="L3252" s="11" t="str">
        <f t="shared" si="52"/>
        <v>Ver Imagen</v>
      </c>
      <c r="M3252" t="s">
        <v>15</v>
      </c>
    </row>
    <row r="3253" spans="1:13" x14ac:dyDescent="0.25">
      <c r="A3253">
        <v>3253</v>
      </c>
      <c r="B3253" t="s">
        <v>6517</v>
      </c>
      <c r="C3253" s="1">
        <v>37.258746582900002</v>
      </c>
      <c r="D3253" s="1">
        <v>-7.1217682501599997</v>
      </c>
      <c r="E3253" s="3">
        <v>3</v>
      </c>
      <c r="F3253" s="2">
        <v>3</v>
      </c>
      <c r="G3253" s="4">
        <v>4</v>
      </c>
      <c r="H3253" s="13"/>
      <c r="I3253" s="15"/>
      <c r="J3253" s="19">
        <v>3</v>
      </c>
      <c r="K3253" s="2" t="s">
        <v>6518</v>
      </c>
      <c r="L3253" s="11" t="str">
        <f t="shared" si="52"/>
        <v>Ver Imagen</v>
      </c>
      <c r="M3253" t="s">
        <v>15</v>
      </c>
    </row>
    <row r="3254" spans="1:13" x14ac:dyDescent="0.25">
      <c r="A3254">
        <v>3254</v>
      </c>
      <c r="B3254" t="s">
        <v>6519</v>
      </c>
      <c r="C3254" s="1">
        <v>37.259229311299997</v>
      </c>
      <c r="D3254" s="1">
        <v>-7.1255171762799998</v>
      </c>
      <c r="E3254" s="3">
        <v>3</v>
      </c>
      <c r="F3254" s="2">
        <v>3</v>
      </c>
      <c r="G3254" s="4">
        <v>4</v>
      </c>
      <c r="H3254" s="13"/>
      <c r="I3254" s="15"/>
      <c r="J3254" s="19">
        <v>3</v>
      </c>
      <c r="K3254" s="2" t="s">
        <v>6520</v>
      </c>
      <c r="L3254" s="11" t="str">
        <f t="shared" si="52"/>
        <v>Ver Imagen</v>
      </c>
      <c r="M3254" t="s">
        <v>15</v>
      </c>
    </row>
    <row r="3255" spans="1:13" x14ac:dyDescent="0.25">
      <c r="A3255">
        <v>3255</v>
      </c>
      <c r="B3255" t="s">
        <v>6521</v>
      </c>
      <c r="C3255" s="1">
        <v>37.259333580499998</v>
      </c>
      <c r="D3255" s="1">
        <v>-7.1257398866199999</v>
      </c>
      <c r="E3255" s="3">
        <v>3</v>
      </c>
      <c r="F3255" s="2">
        <v>3</v>
      </c>
      <c r="G3255" s="4">
        <v>4</v>
      </c>
      <c r="H3255" s="13"/>
      <c r="I3255" s="15"/>
      <c r="J3255" s="19">
        <v>3</v>
      </c>
      <c r="K3255" s="2" t="s">
        <v>6522</v>
      </c>
      <c r="L3255" s="11" t="str">
        <f t="shared" si="52"/>
        <v>Ver Imagen</v>
      </c>
      <c r="M3255" t="s">
        <v>15</v>
      </c>
    </row>
    <row r="3256" spans="1:13" x14ac:dyDescent="0.25">
      <c r="A3256">
        <v>3256</v>
      </c>
      <c r="B3256" t="s">
        <v>6523</v>
      </c>
      <c r="C3256" s="1">
        <v>37.260352680300002</v>
      </c>
      <c r="D3256" s="1">
        <v>-7.1269501586499997</v>
      </c>
      <c r="E3256" s="3">
        <v>3</v>
      </c>
      <c r="F3256" s="2">
        <v>3</v>
      </c>
      <c r="G3256" s="4">
        <v>4</v>
      </c>
      <c r="H3256" s="13"/>
      <c r="I3256" s="15"/>
      <c r="J3256" s="19">
        <v>3</v>
      </c>
      <c r="K3256" s="2" t="s">
        <v>6524</v>
      </c>
      <c r="L3256" s="11" t="str">
        <f t="shared" si="52"/>
        <v>Ver Imagen</v>
      </c>
      <c r="M3256" t="s">
        <v>15</v>
      </c>
    </row>
    <row r="3257" spans="1:13" x14ac:dyDescent="0.25">
      <c r="A3257">
        <v>3257</v>
      </c>
      <c r="B3257" t="s">
        <v>6525</v>
      </c>
      <c r="C3257" s="1">
        <v>37.2606466485</v>
      </c>
      <c r="D3257" s="1">
        <v>-7.1272632764099999</v>
      </c>
      <c r="E3257" s="3">
        <v>3</v>
      </c>
      <c r="F3257" s="2">
        <v>3</v>
      </c>
      <c r="G3257" s="4">
        <v>4</v>
      </c>
      <c r="H3257" s="13"/>
      <c r="I3257" s="15"/>
      <c r="J3257" s="19">
        <v>3</v>
      </c>
      <c r="K3257" s="2" t="s">
        <v>6526</v>
      </c>
      <c r="L3257" s="11" t="str">
        <f t="shared" si="52"/>
        <v>Ver Imagen</v>
      </c>
      <c r="M3257" t="s">
        <v>15</v>
      </c>
    </row>
    <row r="3258" spans="1:13" x14ac:dyDescent="0.25">
      <c r="A3258">
        <v>3258</v>
      </c>
      <c r="B3258" t="s">
        <v>6527</v>
      </c>
      <c r="C3258" s="1">
        <v>37.260791309200002</v>
      </c>
      <c r="D3258" s="1">
        <v>-7.1274497422399996</v>
      </c>
      <c r="E3258" s="3">
        <v>3</v>
      </c>
      <c r="F3258" s="2">
        <v>3</v>
      </c>
      <c r="G3258" s="4">
        <v>4</v>
      </c>
      <c r="H3258" s="13"/>
      <c r="I3258" s="15"/>
      <c r="J3258" s="19">
        <v>3</v>
      </c>
      <c r="K3258" s="2" t="s">
        <v>6528</v>
      </c>
      <c r="L3258" s="11" t="str">
        <f t="shared" si="52"/>
        <v>Ver Imagen</v>
      </c>
      <c r="M3258" t="s">
        <v>15</v>
      </c>
    </row>
    <row r="3259" spans="1:13" x14ac:dyDescent="0.25">
      <c r="A3259">
        <v>3259</v>
      </c>
      <c r="B3259" t="s">
        <v>6529</v>
      </c>
      <c r="C3259" s="1">
        <v>37.260912639399997</v>
      </c>
      <c r="D3259" s="1">
        <v>-7.1276561012000004</v>
      </c>
      <c r="E3259" s="3">
        <v>3</v>
      </c>
      <c r="F3259" s="2">
        <v>3</v>
      </c>
      <c r="G3259" s="4">
        <v>4</v>
      </c>
      <c r="H3259" s="13"/>
      <c r="I3259" s="15"/>
      <c r="J3259" s="19">
        <v>3</v>
      </c>
      <c r="K3259" s="2" t="s">
        <v>6530</v>
      </c>
      <c r="L3259" s="11" t="str">
        <f t="shared" si="52"/>
        <v>Ver Imagen</v>
      </c>
      <c r="M3259" t="s">
        <v>15</v>
      </c>
    </row>
    <row r="3260" spans="1:13" x14ac:dyDescent="0.25">
      <c r="A3260">
        <v>3260</v>
      </c>
      <c r="B3260" t="s">
        <v>6531</v>
      </c>
      <c r="C3260" s="1">
        <v>37.261009831199999</v>
      </c>
      <c r="D3260" s="1">
        <v>-7.1279031588499997</v>
      </c>
      <c r="E3260" s="3">
        <v>3</v>
      </c>
      <c r="F3260" s="2">
        <v>3</v>
      </c>
      <c r="G3260" s="4">
        <v>4</v>
      </c>
      <c r="H3260" s="13"/>
      <c r="I3260" s="15"/>
      <c r="J3260" s="19">
        <v>3</v>
      </c>
      <c r="K3260" s="2" t="s">
        <v>6532</v>
      </c>
      <c r="L3260" s="11" t="str">
        <f t="shared" si="52"/>
        <v>Ver Imagen</v>
      </c>
      <c r="M3260" t="s">
        <v>15</v>
      </c>
    </row>
    <row r="3261" spans="1:13" x14ac:dyDescent="0.25">
      <c r="A3261">
        <v>3261</v>
      </c>
      <c r="B3261" t="s">
        <v>6533</v>
      </c>
      <c r="C3261" s="1">
        <v>37.261087014200001</v>
      </c>
      <c r="D3261" s="1">
        <v>-7.12865370949</v>
      </c>
      <c r="E3261" s="3">
        <v>3</v>
      </c>
      <c r="F3261" s="2">
        <v>3</v>
      </c>
      <c r="G3261" s="4">
        <v>4</v>
      </c>
      <c r="H3261" s="13"/>
      <c r="I3261" s="15"/>
      <c r="J3261" s="19">
        <v>3</v>
      </c>
      <c r="K3261" s="2" t="s">
        <v>6534</v>
      </c>
      <c r="L3261" s="11" t="str">
        <f t="shared" si="52"/>
        <v>Ver Imagen</v>
      </c>
      <c r="M3261" t="s">
        <v>15</v>
      </c>
    </row>
    <row r="3262" spans="1:13" x14ac:dyDescent="0.25">
      <c r="A3262">
        <v>3262</v>
      </c>
      <c r="B3262" t="s">
        <v>6535</v>
      </c>
      <c r="C3262" s="1">
        <v>37.443980226800001</v>
      </c>
      <c r="D3262" s="1">
        <v>-7.0979499739199996</v>
      </c>
      <c r="E3262" s="3">
        <v>4</v>
      </c>
      <c r="F3262" s="2">
        <v>3</v>
      </c>
      <c r="G3262" s="4">
        <v>3</v>
      </c>
      <c r="H3262" s="13"/>
      <c r="I3262" s="15"/>
      <c r="J3262" s="19">
        <v>3</v>
      </c>
      <c r="K3262" s="2" t="s">
        <v>6536</v>
      </c>
      <c r="L3262" s="11" t="str">
        <f t="shared" si="52"/>
        <v>Ver Imagen</v>
      </c>
      <c r="M3262" t="s">
        <v>15</v>
      </c>
    </row>
    <row r="3263" spans="1:13" x14ac:dyDescent="0.25">
      <c r="A3263">
        <v>3263</v>
      </c>
      <c r="B3263" t="s">
        <v>6537</v>
      </c>
      <c r="C3263" s="1">
        <v>37.440141810599997</v>
      </c>
      <c r="D3263" s="1">
        <v>-7.0879476844999996</v>
      </c>
      <c r="E3263" s="3">
        <v>4</v>
      </c>
      <c r="F3263" s="2">
        <v>3</v>
      </c>
      <c r="G3263" s="4">
        <v>3</v>
      </c>
      <c r="H3263" s="13"/>
      <c r="I3263" s="15"/>
      <c r="J3263" s="19">
        <v>3</v>
      </c>
      <c r="K3263" s="2" t="s">
        <v>6538</v>
      </c>
      <c r="L3263" s="11" t="str">
        <f t="shared" si="52"/>
        <v>Ver Imagen</v>
      </c>
      <c r="M3263" t="s">
        <v>15</v>
      </c>
    </row>
    <row r="3264" spans="1:13" x14ac:dyDescent="0.25">
      <c r="A3264">
        <v>3264</v>
      </c>
      <c r="B3264" t="s">
        <v>6539</v>
      </c>
      <c r="C3264" s="1">
        <v>37.484225018899998</v>
      </c>
      <c r="D3264" s="1">
        <v>-7.1301475060200001</v>
      </c>
      <c r="E3264" s="3">
        <v>4</v>
      </c>
      <c r="F3264" s="2">
        <v>3</v>
      </c>
      <c r="G3264" s="4">
        <v>3</v>
      </c>
      <c r="H3264" s="13"/>
      <c r="I3264" s="15"/>
      <c r="J3264" s="19">
        <v>3</v>
      </c>
      <c r="K3264" s="2" t="s">
        <v>6540</v>
      </c>
      <c r="L3264" s="11" t="str">
        <f t="shared" si="52"/>
        <v>Ver Imagen</v>
      </c>
      <c r="M3264" t="s">
        <v>15</v>
      </c>
    </row>
    <row r="3265" spans="1:13" x14ac:dyDescent="0.25">
      <c r="A3265">
        <v>3265</v>
      </c>
      <c r="B3265" t="s">
        <v>6541</v>
      </c>
      <c r="C3265" s="1">
        <v>37.484070116300003</v>
      </c>
      <c r="D3265" s="1">
        <v>-7.1300039346000004</v>
      </c>
      <c r="E3265" s="3">
        <v>4</v>
      </c>
      <c r="F3265" s="2">
        <v>3</v>
      </c>
      <c r="G3265" s="4">
        <v>3</v>
      </c>
      <c r="H3265" s="13"/>
      <c r="I3265" s="15"/>
      <c r="J3265" s="19">
        <v>3</v>
      </c>
      <c r="K3265" s="2" t="s">
        <v>6542</v>
      </c>
      <c r="L3265" s="11" t="str">
        <f t="shared" si="52"/>
        <v>Ver Imagen</v>
      </c>
      <c r="M3265" t="s">
        <v>15</v>
      </c>
    </row>
    <row r="3266" spans="1:13" x14ac:dyDescent="0.25">
      <c r="A3266">
        <v>3266</v>
      </c>
      <c r="B3266" t="s">
        <v>6543</v>
      </c>
      <c r="C3266" s="1">
        <v>37.4839095974</v>
      </c>
      <c r="D3266" s="1">
        <v>-7.1298366310599999</v>
      </c>
      <c r="E3266" s="3">
        <v>4</v>
      </c>
      <c r="F3266" s="2">
        <v>3</v>
      </c>
      <c r="G3266" s="4">
        <v>3</v>
      </c>
      <c r="H3266" s="13"/>
      <c r="I3266" s="15"/>
      <c r="J3266" s="19">
        <v>3</v>
      </c>
      <c r="K3266" s="2" t="s">
        <v>6544</v>
      </c>
      <c r="L3266" s="11" t="str">
        <f t="shared" si="52"/>
        <v>Ver Imagen</v>
      </c>
      <c r="M3266" t="s">
        <v>15</v>
      </c>
    </row>
    <row r="3267" spans="1:13" x14ac:dyDescent="0.25">
      <c r="A3267">
        <v>3267</v>
      </c>
      <c r="B3267" t="s">
        <v>6545</v>
      </c>
      <c r="C3267" s="1">
        <v>37.483148886099997</v>
      </c>
      <c r="D3267" s="1">
        <v>-7.1290457350300001</v>
      </c>
      <c r="E3267" s="3">
        <v>3</v>
      </c>
      <c r="F3267" s="2">
        <v>3</v>
      </c>
      <c r="G3267" s="4">
        <v>2</v>
      </c>
      <c r="H3267" s="13"/>
      <c r="I3267" s="15"/>
      <c r="J3267" s="19">
        <v>3</v>
      </c>
      <c r="K3267" s="2" t="s">
        <v>6546</v>
      </c>
      <c r="L3267" s="11" t="str">
        <f t="shared" si="52"/>
        <v>Ver Imagen</v>
      </c>
      <c r="M3267" t="s">
        <v>15</v>
      </c>
    </row>
    <row r="3268" spans="1:13" x14ac:dyDescent="0.25">
      <c r="A3268">
        <v>3268</v>
      </c>
      <c r="B3268" t="s">
        <v>6547</v>
      </c>
      <c r="C3268" s="1">
        <v>37.481142070700002</v>
      </c>
      <c r="D3268" s="1">
        <v>-7.1278569727400001</v>
      </c>
      <c r="E3268" s="3">
        <v>3</v>
      </c>
      <c r="F3268" s="2">
        <v>3</v>
      </c>
      <c r="G3268" s="4">
        <v>2</v>
      </c>
      <c r="H3268" s="13"/>
      <c r="I3268" s="15"/>
      <c r="J3268" s="19">
        <v>3</v>
      </c>
      <c r="K3268" s="2" t="s">
        <v>6548</v>
      </c>
      <c r="L3268" s="11" t="str">
        <f t="shared" si="52"/>
        <v>Ver Imagen</v>
      </c>
      <c r="M3268" t="s">
        <v>15</v>
      </c>
    </row>
    <row r="3269" spans="1:13" x14ac:dyDescent="0.25">
      <c r="A3269">
        <v>3269</v>
      </c>
      <c r="B3269" t="s">
        <v>6549</v>
      </c>
      <c r="C3269" s="1">
        <v>37.480741398399999</v>
      </c>
      <c r="D3269" s="1">
        <v>-7.1277621630199999</v>
      </c>
      <c r="E3269" s="3">
        <v>4</v>
      </c>
      <c r="F3269" s="2">
        <v>3</v>
      </c>
      <c r="G3269" s="4">
        <v>3</v>
      </c>
      <c r="H3269" s="13"/>
      <c r="I3269" s="15"/>
      <c r="J3269" s="19">
        <v>3</v>
      </c>
      <c r="K3269" s="2" t="s">
        <v>6550</v>
      </c>
      <c r="L3269" s="11" t="str">
        <f t="shared" si="52"/>
        <v>Ver Imagen</v>
      </c>
      <c r="M3269" t="s">
        <v>15</v>
      </c>
    </row>
    <row r="3270" spans="1:13" x14ac:dyDescent="0.25">
      <c r="A3270">
        <v>3270</v>
      </c>
      <c r="B3270" t="s">
        <v>6551</v>
      </c>
      <c r="C3270" s="1">
        <v>37.479756456200001</v>
      </c>
      <c r="D3270" s="1">
        <v>-7.1279470455</v>
      </c>
      <c r="E3270" s="3">
        <v>4</v>
      </c>
      <c r="F3270" s="2">
        <v>3</v>
      </c>
      <c r="G3270" s="4">
        <v>3</v>
      </c>
      <c r="H3270" s="13"/>
      <c r="I3270" s="15"/>
      <c r="J3270" s="19">
        <v>3</v>
      </c>
      <c r="K3270" s="2" t="s">
        <v>6552</v>
      </c>
      <c r="L3270" s="11" t="str">
        <f t="shared" si="52"/>
        <v>Ver Imagen</v>
      </c>
      <c r="M3270" t="s">
        <v>15</v>
      </c>
    </row>
    <row r="3271" spans="1:13" x14ac:dyDescent="0.25">
      <c r="A3271">
        <v>3271</v>
      </c>
      <c r="B3271" t="s">
        <v>6553</v>
      </c>
      <c r="C3271" s="1">
        <v>37.479518879899999</v>
      </c>
      <c r="D3271" s="1">
        <v>-7.1280027082500004</v>
      </c>
      <c r="E3271" s="3">
        <v>4</v>
      </c>
      <c r="F3271" s="2">
        <v>3</v>
      </c>
      <c r="G3271" s="4">
        <v>3</v>
      </c>
      <c r="H3271" s="13"/>
      <c r="I3271" s="15"/>
      <c r="J3271" s="19">
        <v>3</v>
      </c>
      <c r="K3271" s="2" t="s">
        <v>6554</v>
      </c>
      <c r="L3271" s="11" t="str">
        <f t="shared" si="52"/>
        <v>Ver Imagen</v>
      </c>
      <c r="M3271" t="s">
        <v>15</v>
      </c>
    </row>
    <row r="3272" spans="1:13" x14ac:dyDescent="0.25">
      <c r="A3272">
        <v>3272</v>
      </c>
      <c r="B3272" t="s">
        <v>6555</v>
      </c>
      <c r="C3272" s="1">
        <v>37.479146855800003</v>
      </c>
      <c r="D3272" s="1">
        <v>-7.1280054599499998</v>
      </c>
      <c r="E3272" s="3">
        <v>3</v>
      </c>
      <c r="F3272" s="2">
        <v>3</v>
      </c>
      <c r="G3272" s="4">
        <v>4</v>
      </c>
      <c r="H3272" s="13"/>
      <c r="I3272" s="15"/>
      <c r="J3272" s="19">
        <v>3</v>
      </c>
      <c r="K3272" s="2" t="s">
        <v>6556</v>
      </c>
      <c r="L3272" s="11" t="str">
        <f t="shared" si="52"/>
        <v>Ver Imagen</v>
      </c>
      <c r="M3272" t="s">
        <v>15</v>
      </c>
    </row>
    <row r="3273" spans="1:13" x14ac:dyDescent="0.25">
      <c r="A3273">
        <v>3273</v>
      </c>
      <c r="B3273" t="s">
        <v>6557</v>
      </c>
      <c r="C3273" s="1">
        <v>37.476754272599997</v>
      </c>
      <c r="D3273" s="1">
        <v>-7.12582845875</v>
      </c>
      <c r="E3273" s="3">
        <v>4</v>
      </c>
      <c r="F3273" s="2">
        <v>3</v>
      </c>
      <c r="G3273" s="4">
        <v>3</v>
      </c>
      <c r="H3273" s="13"/>
      <c r="I3273" s="15"/>
      <c r="J3273" s="19">
        <v>3</v>
      </c>
      <c r="K3273" s="2" t="s">
        <v>6558</v>
      </c>
      <c r="L3273" s="11" t="str">
        <f t="shared" si="52"/>
        <v>Ver Imagen</v>
      </c>
      <c r="M3273" t="s">
        <v>15</v>
      </c>
    </row>
    <row r="3274" spans="1:13" x14ac:dyDescent="0.25">
      <c r="A3274">
        <v>3274</v>
      </c>
      <c r="B3274" t="s">
        <v>6559</v>
      </c>
      <c r="C3274" s="1">
        <v>37.476553357699999</v>
      </c>
      <c r="D3274" s="1">
        <v>-7.1257728455900002</v>
      </c>
      <c r="E3274" s="3">
        <v>4</v>
      </c>
      <c r="F3274" s="2">
        <v>3</v>
      </c>
      <c r="G3274" s="4">
        <v>3</v>
      </c>
      <c r="H3274" s="13"/>
      <c r="I3274" s="15"/>
      <c r="J3274" s="19">
        <v>3</v>
      </c>
      <c r="K3274" s="2" t="s">
        <v>6560</v>
      </c>
      <c r="L3274" s="11" t="str">
        <f t="shared" si="52"/>
        <v>Ver Imagen</v>
      </c>
      <c r="M3274" t="s">
        <v>15</v>
      </c>
    </row>
    <row r="3275" spans="1:13" x14ac:dyDescent="0.25">
      <c r="A3275">
        <v>3275</v>
      </c>
      <c r="B3275" t="s">
        <v>6561</v>
      </c>
      <c r="C3275" s="1">
        <v>37.473364785400001</v>
      </c>
      <c r="D3275" s="1">
        <v>-7.1263547264199998</v>
      </c>
      <c r="E3275" s="3">
        <v>3</v>
      </c>
      <c r="F3275" s="2">
        <v>3</v>
      </c>
      <c r="G3275" s="4">
        <v>2</v>
      </c>
      <c r="H3275" s="13"/>
      <c r="I3275" s="15"/>
      <c r="J3275" s="19">
        <v>3</v>
      </c>
      <c r="K3275" s="2" t="s">
        <v>6562</v>
      </c>
      <c r="L3275" s="11" t="str">
        <f t="shared" si="52"/>
        <v>Ver Imagen</v>
      </c>
      <c r="M3275" t="s">
        <v>15</v>
      </c>
    </row>
    <row r="3276" spans="1:13" x14ac:dyDescent="0.25">
      <c r="A3276">
        <v>3276</v>
      </c>
      <c r="B3276" t="s">
        <v>6563</v>
      </c>
      <c r="C3276" s="1">
        <v>37.470786543400003</v>
      </c>
      <c r="D3276" s="1">
        <v>-7.1252329040899998</v>
      </c>
      <c r="E3276" s="3">
        <v>3</v>
      </c>
      <c r="F3276" s="2">
        <v>3</v>
      </c>
      <c r="G3276" s="4">
        <v>2</v>
      </c>
      <c r="H3276" s="13"/>
      <c r="I3276" s="15"/>
      <c r="J3276" s="19">
        <v>3</v>
      </c>
      <c r="K3276" s="2" t="s">
        <v>6564</v>
      </c>
      <c r="L3276" s="11" t="str">
        <f t="shared" si="52"/>
        <v>Ver Imagen</v>
      </c>
      <c r="M3276" t="s">
        <v>15</v>
      </c>
    </row>
    <row r="3277" spans="1:13" x14ac:dyDescent="0.25">
      <c r="A3277">
        <v>3277</v>
      </c>
      <c r="B3277" t="s">
        <v>6565</v>
      </c>
      <c r="C3277" s="1">
        <v>37.470595976600002</v>
      </c>
      <c r="D3277" s="1">
        <v>-7.1250833933499997</v>
      </c>
      <c r="E3277" s="3">
        <v>3</v>
      </c>
      <c r="F3277" s="2">
        <v>3</v>
      </c>
      <c r="G3277" s="4">
        <v>4</v>
      </c>
      <c r="H3277" s="13"/>
      <c r="I3277" s="15"/>
      <c r="J3277" s="19">
        <v>3</v>
      </c>
      <c r="K3277" s="2" t="s">
        <v>6566</v>
      </c>
      <c r="L3277" s="11" t="str">
        <f t="shared" si="52"/>
        <v>Ver Imagen</v>
      </c>
      <c r="M3277" t="s">
        <v>15</v>
      </c>
    </row>
    <row r="3278" spans="1:13" x14ac:dyDescent="0.25">
      <c r="A3278">
        <v>3278</v>
      </c>
      <c r="B3278" t="s">
        <v>6567</v>
      </c>
      <c r="C3278" s="1">
        <v>37.470076068499999</v>
      </c>
      <c r="D3278" s="1">
        <v>-7.1246898297900003</v>
      </c>
      <c r="E3278" s="3">
        <v>3</v>
      </c>
      <c r="F3278" s="2">
        <v>3</v>
      </c>
      <c r="G3278" s="4">
        <v>2</v>
      </c>
      <c r="H3278" s="13"/>
      <c r="I3278" s="15"/>
      <c r="J3278" s="19">
        <v>3</v>
      </c>
      <c r="K3278" s="2" t="s">
        <v>6568</v>
      </c>
      <c r="L3278" s="11" t="str">
        <f t="shared" si="52"/>
        <v>Ver Imagen</v>
      </c>
      <c r="M3278" t="s">
        <v>15</v>
      </c>
    </row>
    <row r="3279" spans="1:13" x14ac:dyDescent="0.25">
      <c r="A3279">
        <v>3279</v>
      </c>
      <c r="B3279" t="s">
        <v>6569</v>
      </c>
      <c r="C3279" s="1">
        <v>37.4672012837</v>
      </c>
      <c r="D3279" s="1">
        <v>-7.1228710066099996</v>
      </c>
      <c r="E3279" s="3">
        <v>3</v>
      </c>
      <c r="F3279" s="2">
        <v>3</v>
      </c>
      <c r="G3279" s="4">
        <v>2</v>
      </c>
      <c r="H3279" s="13"/>
      <c r="I3279" s="15"/>
      <c r="J3279" s="19">
        <v>3</v>
      </c>
      <c r="K3279" s="2" t="s">
        <v>6570</v>
      </c>
      <c r="L3279" s="11" t="str">
        <f t="shared" si="52"/>
        <v>Ver Imagen</v>
      </c>
      <c r="M3279" t="s">
        <v>15</v>
      </c>
    </row>
    <row r="3280" spans="1:13" x14ac:dyDescent="0.25">
      <c r="A3280">
        <v>3280</v>
      </c>
      <c r="B3280" t="s">
        <v>6571</v>
      </c>
      <c r="C3280" s="1">
        <v>37.462383391800003</v>
      </c>
      <c r="D3280" s="1">
        <v>-7.1242722787900004</v>
      </c>
      <c r="E3280" s="3">
        <v>2</v>
      </c>
      <c r="F3280" s="2">
        <v>3</v>
      </c>
      <c r="G3280" s="4">
        <v>3</v>
      </c>
      <c r="H3280" s="13"/>
      <c r="I3280" s="15"/>
      <c r="J3280" s="19">
        <v>3</v>
      </c>
      <c r="K3280" s="2" t="s">
        <v>6572</v>
      </c>
      <c r="L3280" s="11" t="str">
        <f t="shared" si="52"/>
        <v>Ver Imagen</v>
      </c>
      <c r="M3280" t="s">
        <v>15</v>
      </c>
    </row>
    <row r="3281" spans="1:13" x14ac:dyDescent="0.25">
      <c r="A3281">
        <v>3281</v>
      </c>
      <c r="B3281" t="s">
        <v>6573</v>
      </c>
      <c r="C3281" s="1">
        <v>37.4600180714</v>
      </c>
      <c r="D3281" s="1">
        <v>-7.1248909067300001</v>
      </c>
      <c r="E3281" s="3">
        <v>2</v>
      </c>
      <c r="F3281" s="2">
        <v>3</v>
      </c>
      <c r="G3281" s="4">
        <v>3</v>
      </c>
      <c r="H3281" s="13"/>
      <c r="I3281" s="15"/>
      <c r="J3281" s="19">
        <v>3</v>
      </c>
      <c r="K3281" s="2" t="s">
        <v>6574</v>
      </c>
      <c r="L3281" s="11" t="str">
        <f t="shared" si="52"/>
        <v>Ver Imagen</v>
      </c>
      <c r="M3281" t="s">
        <v>15</v>
      </c>
    </row>
    <row r="3282" spans="1:13" x14ac:dyDescent="0.25">
      <c r="A3282">
        <v>3282</v>
      </c>
      <c r="B3282" t="s">
        <v>6575</v>
      </c>
      <c r="C3282" s="1">
        <v>37.4568912553</v>
      </c>
      <c r="D3282" s="1">
        <v>-7.1260269540900003</v>
      </c>
      <c r="E3282" s="3">
        <v>3</v>
      </c>
      <c r="F3282" s="2">
        <v>3</v>
      </c>
      <c r="G3282" s="4">
        <v>2</v>
      </c>
      <c r="H3282" s="13"/>
      <c r="I3282" s="15"/>
      <c r="J3282" s="19">
        <v>3</v>
      </c>
      <c r="K3282" s="2" t="s">
        <v>6576</v>
      </c>
      <c r="L3282" s="11" t="str">
        <f t="shared" si="52"/>
        <v>Ver Imagen</v>
      </c>
      <c r="M3282" t="s">
        <v>15</v>
      </c>
    </row>
    <row r="3283" spans="1:13" x14ac:dyDescent="0.25">
      <c r="A3283">
        <v>3283</v>
      </c>
      <c r="B3283" t="s">
        <v>6577</v>
      </c>
      <c r="C3283" s="1">
        <v>37.455516697100002</v>
      </c>
      <c r="D3283" s="1">
        <v>-7.1265360833600004</v>
      </c>
      <c r="E3283" s="3">
        <v>3</v>
      </c>
      <c r="F3283" s="2">
        <v>3</v>
      </c>
      <c r="G3283" s="4">
        <v>2</v>
      </c>
      <c r="H3283" s="13"/>
      <c r="I3283" s="15"/>
      <c r="J3283" s="19">
        <v>3</v>
      </c>
      <c r="K3283" s="2" t="s">
        <v>6578</v>
      </c>
      <c r="L3283" s="11" t="str">
        <f t="shared" si="52"/>
        <v>Ver Imagen</v>
      </c>
      <c r="M3283" t="s">
        <v>15</v>
      </c>
    </row>
    <row r="3284" spans="1:13" x14ac:dyDescent="0.25">
      <c r="A3284">
        <v>3284</v>
      </c>
      <c r="B3284" t="s">
        <v>6579</v>
      </c>
      <c r="C3284" s="1">
        <v>37.450572558399998</v>
      </c>
      <c r="D3284" s="1">
        <v>-7.1273567226400001</v>
      </c>
      <c r="E3284" s="3">
        <v>2</v>
      </c>
      <c r="F3284" s="2">
        <v>3</v>
      </c>
      <c r="G3284" s="4">
        <v>3</v>
      </c>
      <c r="H3284" s="13"/>
      <c r="I3284" s="15"/>
      <c r="J3284" s="19">
        <v>3</v>
      </c>
      <c r="K3284" s="2" t="s">
        <v>6580</v>
      </c>
      <c r="L3284" s="11" t="str">
        <f t="shared" si="52"/>
        <v>Ver Imagen</v>
      </c>
      <c r="M3284" t="s">
        <v>15</v>
      </c>
    </row>
    <row r="3285" spans="1:13" x14ac:dyDescent="0.25">
      <c r="A3285">
        <v>3285</v>
      </c>
      <c r="B3285" t="s">
        <v>6581</v>
      </c>
      <c r="C3285" s="1">
        <v>37.450374779999997</v>
      </c>
      <c r="D3285" s="1">
        <v>-7.1273185594299999</v>
      </c>
      <c r="E3285" s="3">
        <v>2</v>
      </c>
      <c r="F3285" s="2">
        <v>3</v>
      </c>
      <c r="G3285" s="4">
        <v>3</v>
      </c>
      <c r="H3285" s="13"/>
      <c r="I3285" s="15"/>
      <c r="J3285" s="19">
        <v>3</v>
      </c>
      <c r="K3285" s="2" t="s">
        <v>6582</v>
      </c>
      <c r="L3285" s="11" t="str">
        <f t="shared" si="52"/>
        <v>Ver Imagen</v>
      </c>
      <c r="M3285" t="s">
        <v>15</v>
      </c>
    </row>
    <row r="3286" spans="1:13" x14ac:dyDescent="0.25">
      <c r="A3286">
        <v>3286</v>
      </c>
      <c r="B3286" t="s">
        <v>6583</v>
      </c>
      <c r="C3286" s="1">
        <v>37.450142158200002</v>
      </c>
      <c r="D3286" s="1">
        <v>-7.1272689762499999</v>
      </c>
      <c r="E3286" s="3">
        <v>2</v>
      </c>
      <c r="F3286" s="2">
        <v>3</v>
      </c>
      <c r="G3286" s="4">
        <v>3</v>
      </c>
      <c r="H3286" s="13"/>
      <c r="I3286" s="15"/>
      <c r="J3286" s="19">
        <v>3</v>
      </c>
      <c r="K3286" s="2" t="s">
        <v>6584</v>
      </c>
      <c r="L3286" s="11" t="str">
        <f t="shared" si="52"/>
        <v>Ver Imagen</v>
      </c>
      <c r="M3286" t="s">
        <v>15</v>
      </c>
    </row>
    <row r="3287" spans="1:13" x14ac:dyDescent="0.25">
      <c r="A3287">
        <v>3287</v>
      </c>
      <c r="B3287" t="s">
        <v>6585</v>
      </c>
      <c r="C3287" s="1">
        <v>37.449757048800002</v>
      </c>
      <c r="D3287" s="1">
        <v>-7.1271751109299997</v>
      </c>
      <c r="E3287" s="3">
        <v>2</v>
      </c>
      <c r="F3287" s="2">
        <v>3</v>
      </c>
      <c r="G3287" s="4">
        <v>3</v>
      </c>
      <c r="H3287" s="13"/>
      <c r="I3287" s="15"/>
      <c r="J3287" s="19">
        <v>3</v>
      </c>
      <c r="K3287" s="2" t="s">
        <v>6586</v>
      </c>
      <c r="L3287" s="11" t="str">
        <f t="shared" si="52"/>
        <v>Ver Imagen</v>
      </c>
      <c r="M3287" t="s">
        <v>15</v>
      </c>
    </row>
    <row r="3288" spans="1:13" x14ac:dyDescent="0.25">
      <c r="A3288">
        <v>3288</v>
      </c>
      <c r="B3288" t="s">
        <v>6587</v>
      </c>
      <c r="C3288" s="1">
        <v>37.449601582200003</v>
      </c>
      <c r="D3288" s="1">
        <v>-7.1271306129000003</v>
      </c>
      <c r="E3288" s="3">
        <v>2</v>
      </c>
      <c r="F3288" s="2">
        <v>3</v>
      </c>
      <c r="G3288" s="4">
        <v>3</v>
      </c>
      <c r="H3288" s="13"/>
      <c r="I3288" s="15"/>
      <c r="J3288" s="19">
        <v>3</v>
      </c>
      <c r="K3288" s="2" t="s">
        <v>6588</v>
      </c>
      <c r="L3288" s="11" t="str">
        <f t="shared" si="52"/>
        <v>Ver Imagen</v>
      </c>
      <c r="M3288" t="s">
        <v>15</v>
      </c>
    </row>
    <row r="3289" spans="1:13" x14ac:dyDescent="0.25">
      <c r="A3289">
        <v>3289</v>
      </c>
      <c r="B3289" t="s">
        <v>6589</v>
      </c>
      <c r="C3289" s="1">
        <v>37.449401516199998</v>
      </c>
      <c r="D3289" s="1">
        <v>-7.1270668416999996</v>
      </c>
      <c r="E3289" s="3">
        <v>3</v>
      </c>
      <c r="F3289" s="2">
        <v>3</v>
      </c>
      <c r="G3289" s="4">
        <v>4</v>
      </c>
      <c r="H3289" s="13"/>
      <c r="I3289" s="15"/>
      <c r="J3289" s="19">
        <v>3</v>
      </c>
      <c r="K3289" s="2" t="s">
        <v>6590</v>
      </c>
      <c r="L3289" s="11" t="str">
        <f t="shared" si="52"/>
        <v>Ver Imagen</v>
      </c>
      <c r="M3289" t="s">
        <v>15</v>
      </c>
    </row>
    <row r="3290" spans="1:13" x14ac:dyDescent="0.25">
      <c r="A3290">
        <v>3290</v>
      </c>
      <c r="B3290" t="s">
        <v>6591</v>
      </c>
      <c r="C3290" s="1">
        <v>37.448993081200001</v>
      </c>
      <c r="D3290" s="1">
        <v>-7.12692472109</v>
      </c>
      <c r="E3290" s="3">
        <v>3</v>
      </c>
      <c r="F3290" s="2">
        <v>3</v>
      </c>
      <c r="G3290" s="4">
        <v>4</v>
      </c>
      <c r="H3290" s="13"/>
      <c r="I3290" s="15"/>
      <c r="J3290" s="19">
        <v>3</v>
      </c>
      <c r="K3290" s="2" t="s">
        <v>6592</v>
      </c>
      <c r="L3290" s="11" t="str">
        <f t="shared" si="52"/>
        <v>Ver Imagen</v>
      </c>
      <c r="M3290" t="s">
        <v>15</v>
      </c>
    </row>
    <row r="3291" spans="1:13" x14ac:dyDescent="0.25">
      <c r="A3291">
        <v>3291</v>
      </c>
      <c r="B3291" t="s">
        <v>6593</v>
      </c>
      <c r="C3291" s="1">
        <v>37.448824210700003</v>
      </c>
      <c r="D3291" s="1">
        <v>-7.12686598263</v>
      </c>
      <c r="E3291" s="3">
        <v>3</v>
      </c>
      <c r="F3291" s="2">
        <v>3</v>
      </c>
      <c r="G3291" s="4">
        <v>4</v>
      </c>
      <c r="H3291" s="13"/>
      <c r="I3291" s="15"/>
      <c r="J3291" s="19">
        <v>3</v>
      </c>
      <c r="K3291" s="2" t="s">
        <v>6594</v>
      </c>
      <c r="L3291" s="11" t="str">
        <f t="shared" si="52"/>
        <v>Ver Imagen</v>
      </c>
      <c r="M3291" t="s">
        <v>15</v>
      </c>
    </row>
    <row r="3292" spans="1:13" x14ac:dyDescent="0.25">
      <c r="A3292">
        <v>3292</v>
      </c>
      <c r="B3292" t="s">
        <v>6595</v>
      </c>
      <c r="C3292" s="1">
        <v>37.448428935899997</v>
      </c>
      <c r="D3292" s="1">
        <v>-7.1267244646199996</v>
      </c>
      <c r="E3292" s="3">
        <v>3</v>
      </c>
      <c r="F3292" s="2">
        <v>3</v>
      </c>
      <c r="G3292" s="4">
        <v>4</v>
      </c>
      <c r="H3292" s="13"/>
      <c r="I3292" s="15"/>
      <c r="J3292" s="19">
        <v>3</v>
      </c>
      <c r="K3292" s="2" t="s">
        <v>6596</v>
      </c>
      <c r="L3292" s="11" t="str">
        <f t="shared" si="52"/>
        <v>Ver Imagen</v>
      </c>
      <c r="M3292" t="s">
        <v>15</v>
      </c>
    </row>
    <row r="3293" spans="1:13" x14ac:dyDescent="0.25">
      <c r="A3293">
        <v>3293</v>
      </c>
      <c r="B3293" t="s">
        <v>6597</v>
      </c>
      <c r="C3293" s="1">
        <v>37.495698601500003</v>
      </c>
      <c r="D3293" s="1">
        <v>-7.2747608109900002</v>
      </c>
      <c r="E3293" s="3">
        <v>2</v>
      </c>
      <c r="F3293" s="2">
        <v>3</v>
      </c>
      <c r="G3293" s="4">
        <v>3</v>
      </c>
      <c r="H3293" s="13"/>
      <c r="I3293" s="15"/>
      <c r="J3293" s="19">
        <v>3</v>
      </c>
      <c r="K3293" s="2" t="s">
        <v>6598</v>
      </c>
      <c r="L3293" s="11" t="str">
        <f t="shared" si="52"/>
        <v>Ver Imagen</v>
      </c>
      <c r="M3293" t="s">
        <v>15</v>
      </c>
    </row>
    <row r="3294" spans="1:13" x14ac:dyDescent="0.25">
      <c r="A3294">
        <v>3294</v>
      </c>
      <c r="B3294" t="s">
        <v>6599</v>
      </c>
      <c r="C3294" s="1">
        <v>37.495630831699998</v>
      </c>
      <c r="D3294" s="1">
        <v>-7.2735034779000003</v>
      </c>
      <c r="E3294" s="3">
        <v>2</v>
      </c>
      <c r="F3294" s="2">
        <v>3</v>
      </c>
      <c r="G3294" s="4">
        <v>3</v>
      </c>
      <c r="H3294" s="13"/>
      <c r="I3294" s="15"/>
      <c r="J3294" s="19">
        <v>3</v>
      </c>
      <c r="K3294" s="2" t="s">
        <v>6600</v>
      </c>
      <c r="L3294" s="11" t="str">
        <f t="shared" si="52"/>
        <v>Ver Imagen</v>
      </c>
      <c r="M3294" t="s">
        <v>15</v>
      </c>
    </row>
    <row r="3295" spans="1:13" x14ac:dyDescent="0.25">
      <c r="A3295">
        <v>3295</v>
      </c>
      <c r="B3295" t="s">
        <v>6601</v>
      </c>
      <c r="C3295" s="1">
        <v>37.495594554900002</v>
      </c>
      <c r="D3295" s="1">
        <v>-7.2732753456900001</v>
      </c>
      <c r="E3295" s="3">
        <v>2</v>
      </c>
      <c r="F3295" s="2">
        <v>3</v>
      </c>
      <c r="G3295" s="4">
        <v>3</v>
      </c>
      <c r="H3295" s="13"/>
      <c r="I3295" s="15"/>
      <c r="J3295" s="19">
        <v>3</v>
      </c>
      <c r="K3295" s="2" t="s">
        <v>6602</v>
      </c>
      <c r="L3295" s="11" t="str">
        <f t="shared" si="52"/>
        <v>Ver Imagen</v>
      </c>
      <c r="M3295" t="s">
        <v>15</v>
      </c>
    </row>
    <row r="3296" spans="1:13" x14ac:dyDescent="0.25">
      <c r="A3296">
        <v>3296</v>
      </c>
      <c r="B3296" t="s">
        <v>6603</v>
      </c>
      <c r="C3296" s="1">
        <v>37.198521703399997</v>
      </c>
      <c r="D3296" s="1">
        <v>-6.9816800779600001</v>
      </c>
      <c r="E3296" s="3">
        <v>3</v>
      </c>
      <c r="F3296" s="2">
        <v>3</v>
      </c>
      <c r="G3296" s="4">
        <v>4</v>
      </c>
      <c r="H3296" s="13"/>
      <c r="I3296" s="15"/>
      <c r="J3296" s="19">
        <v>3</v>
      </c>
      <c r="K3296" s="2" t="s">
        <v>6604</v>
      </c>
      <c r="L3296" s="11" t="str">
        <f t="shared" si="52"/>
        <v>Ver Imagen</v>
      </c>
      <c r="M3296" t="s">
        <v>15</v>
      </c>
    </row>
    <row r="3297" spans="1:13" x14ac:dyDescent="0.25">
      <c r="A3297">
        <v>3297</v>
      </c>
      <c r="B3297" t="s">
        <v>6605</v>
      </c>
      <c r="C3297" s="1">
        <v>37.197833690099998</v>
      </c>
      <c r="D3297" s="1">
        <v>-6.9804665075300001</v>
      </c>
      <c r="E3297" s="3">
        <v>4</v>
      </c>
      <c r="F3297" s="2">
        <v>3</v>
      </c>
      <c r="G3297" s="4">
        <v>3</v>
      </c>
      <c r="H3297" s="13"/>
      <c r="I3297" s="15"/>
      <c r="J3297" s="19">
        <v>3</v>
      </c>
      <c r="K3297" s="2" t="s">
        <v>6606</v>
      </c>
      <c r="L3297" s="11" t="str">
        <f t="shared" si="52"/>
        <v>Ver Imagen</v>
      </c>
      <c r="M3297" t="s">
        <v>15</v>
      </c>
    </row>
    <row r="3298" spans="1:13" x14ac:dyDescent="0.25">
      <c r="A3298">
        <v>3298</v>
      </c>
      <c r="B3298" t="s">
        <v>6607</v>
      </c>
      <c r="C3298" s="1">
        <v>37.197671590799999</v>
      </c>
      <c r="D3298" s="1">
        <v>-6.9802416232300004</v>
      </c>
      <c r="E3298" s="3">
        <v>4</v>
      </c>
      <c r="F3298" s="2">
        <v>3</v>
      </c>
      <c r="G3298" s="4">
        <v>3</v>
      </c>
      <c r="H3298" s="13"/>
      <c r="I3298" s="15"/>
      <c r="J3298" s="19">
        <v>3</v>
      </c>
      <c r="K3298" s="2" t="s">
        <v>6608</v>
      </c>
      <c r="L3298" s="11" t="str">
        <f t="shared" si="52"/>
        <v>Ver Imagen</v>
      </c>
      <c r="M3298" t="s">
        <v>15</v>
      </c>
    </row>
    <row r="3299" spans="1:13" x14ac:dyDescent="0.25">
      <c r="A3299">
        <v>3299</v>
      </c>
      <c r="B3299" t="s">
        <v>6609</v>
      </c>
      <c r="C3299" s="1">
        <v>37.196464930399998</v>
      </c>
      <c r="D3299" s="1">
        <v>-6.9789703248899997</v>
      </c>
      <c r="E3299" s="3">
        <v>4</v>
      </c>
      <c r="F3299" s="2">
        <v>3</v>
      </c>
      <c r="G3299" s="4">
        <v>3</v>
      </c>
      <c r="H3299" s="13"/>
      <c r="I3299" s="15"/>
      <c r="J3299" s="19">
        <v>3</v>
      </c>
      <c r="K3299" s="2" t="s">
        <v>6610</v>
      </c>
      <c r="L3299" s="11" t="str">
        <f t="shared" si="52"/>
        <v>Ver Imagen</v>
      </c>
      <c r="M3299" t="s">
        <v>15</v>
      </c>
    </row>
    <row r="3300" spans="1:13" x14ac:dyDescent="0.25">
      <c r="A3300">
        <v>3300</v>
      </c>
      <c r="B3300" t="s">
        <v>6611</v>
      </c>
      <c r="C3300" s="1">
        <v>37.1960957593</v>
      </c>
      <c r="D3300" s="1">
        <v>-6.9786919231400004</v>
      </c>
      <c r="E3300" s="3">
        <v>2</v>
      </c>
      <c r="F3300" s="2">
        <v>3</v>
      </c>
      <c r="G3300" s="4">
        <v>3</v>
      </c>
      <c r="H3300" s="13"/>
      <c r="I3300" s="15"/>
      <c r="J3300" s="19">
        <v>3</v>
      </c>
      <c r="K3300" s="2" t="s">
        <v>6612</v>
      </c>
      <c r="L3300" s="11" t="str">
        <f t="shared" si="52"/>
        <v>Ver Imagen</v>
      </c>
      <c r="M3300" t="s">
        <v>15</v>
      </c>
    </row>
    <row r="3301" spans="1:13" x14ac:dyDescent="0.25">
      <c r="A3301">
        <v>3301</v>
      </c>
      <c r="B3301" t="s">
        <v>6613</v>
      </c>
      <c r="C3301" s="1">
        <v>37.195749912899998</v>
      </c>
      <c r="D3301" s="1">
        <v>-6.9784640341399999</v>
      </c>
      <c r="E3301" s="3">
        <v>4</v>
      </c>
      <c r="F3301" s="2">
        <v>3</v>
      </c>
      <c r="G3301" s="4">
        <v>3</v>
      </c>
      <c r="H3301" s="13"/>
      <c r="I3301" s="15"/>
      <c r="J3301" s="19">
        <v>3</v>
      </c>
      <c r="K3301" s="2" t="s">
        <v>6614</v>
      </c>
      <c r="L3301" s="11" t="str">
        <f t="shared" si="52"/>
        <v>Ver Imagen</v>
      </c>
      <c r="M3301" t="s">
        <v>15</v>
      </c>
    </row>
    <row r="3302" spans="1:13" x14ac:dyDescent="0.25">
      <c r="A3302">
        <v>3302</v>
      </c>
      <c r="B3302" t="s">
        <v>6615</v>
      </c>
      <c r="C3302" s="1">
        <v>37.195365228299998</v>
      </c>
      <c r="D3302" s="1">
        <v>-6.9782443836099999</v>
      </c>
      <c r="E3302" s="3">
        <v>2</v>
      </c>
      <c r="F3302" s="2">
        <v>3</v>
      </c>
      <c r="G3302" s="4">
        <v>3</v>
      </c>
      <c r="H3302" s="13"/>
      <c r="I3302" s="15"/>
      <c r="J3302" s="19">
        <v>3</v>
      </c>
      <c r="K3302" s="2" t="s">
        <v>6616</v>
      </c>
      <c r="L3302" s="11" t="str">
        <f t="shared" si="52"/>
        <v>Ver Imagen</v>
      </c>
      <c r="M3302" t="s">
        <v>15</v>
      </c>
    </row>
    <row r="3303" spans="1:13" x14ac:dyDescent="0.25">
      <c r="A3303">
        <v>3303</v>
      </c>
      <c r="B3303" t="s">
        <v>6617</v>
      </c>
      <c r="C3303" s="1">
        <v>37.195160364300001</v>
      </c>
      <c r="D3303" s="1">
        <v>-6.9781438999800001</v>
      </c>
      <c r="E3303" s="3">
        <v>3</v>
      </c>
      <c r="F3303" s="2">
        <v>3</v>
      </c>
      <c r="G3303" s="4">
        <v>4</v>
      </c>
      <c r="H3303" s="13"/>
      <c r="I3303" s="15"/>
      <c r="J3303" s="19">
        <v>3</v>
      </c>
      <c r="K3303" s="2" t="s">
        <v>6618</v>
      </c>
      <c r="L3303" s="11" t="str">
        <f t="shared" si="52"/>
        <v>Ver Imagen</v>
      </c>
      <c r="M3303" t="s">
        <v>15</v>
      </c>
    </row>
    <row r="3304" spans="1:13" x14ac:dyDescent="0.25">
      <c r="A3304">
        <v>3304</v>
      </c>
      <c r="B3304" t="s">
        <v>6619</v>
      </c>
      <c r="C3304" s="1">
        <v>37.1947935062</v>
      </c>
      <c r="D3304" s="1">
        <v>-6.9779904184700001</v>
      </c>
      <c r="E3304" s="3">
        <v>3</v>
      </c>
      <c r="F3304" s="2">
        <v>3</v>
      </c>
      <c r="G3304" s="4">
        <v>4</v>
      </c>
      <c r="H3304" s="13"/>
      <c r="I3304" s="15"/>
      <c r="J3304" s="19">
        <v>3</v>
      </c>
      <c r="K3304" s="2" t="s">
        <v>6620</v>
      </c>
      <c r="L3304" s="11" t="str">
        <f t="shared" si="52"/>
        <v>Ver Imagen</v>
      </c>
      <c r="M3304" t="s">
        <v>15</v>
      </c>
    </row>
    <row r="3305" spans="1:13" x14ac:dyDescent="0.25">
      <c r="A3305">
        <v>3305</v>
      </c>
      <c r="B3305" t="s">
        <v>6621</v>
      </c>
      <c r="C3305" s="1">
        <v>37.194436324900003</v>
      </c>
      <c r="D3305" s="1">
        <v>-6.9778699802000004</v>
      </c>
      <c r="E3305" s="3">
        <v>3</v>
      </c>
      <c r="F3305" s="2">
        <v>3</v>
      </c>
      <c r="G3305" s="4">
        <v>4</v>
      </c>
      <c r="H3305" s="13"/>
      <c r="I3305" s="15"/>
      <c r="J3305" s="19">
        <v>3</v>
      </c>
      <c r="K3305" s="2" t="s">
        <v>6622</v>
      </c>
      <c r="L3305" s="11" t="str">
        <f t="shared" ref="L3305:L3368" si="53">HYPERLINK("3\1\" &amp; K3305, "Ver Imagen")</f>
        <v>Ver Imagen</v>
      </c>
      <c r="M3305" t="s">
        <v>15</v>
      </c>
    </row>
    <row r="3306" spans="1:13" x14ac:dyDescent="0.25">
      <c r="A3306">
        <v>3306</v>
      </c>
      <c r="B3306" t="s">
        <v>6623</v>
      </c>
      <c r="C3306" s="1">
        <v>37.194178612899996</v>
      </c>
      <c r="D3306" s="1">
        <v>-6.9777973317199997</v>
      </c>
      <c r="E3306" s="3">
        <v>3</v>
      </c>
      <c r="F3306" s="2">
        <v>3</v>
      </c>
      <c r="G3306" s="4">
        <v>4</v>
      </c>
      <c r="H3306" s="13"/>
      <c r="I3306" s="15"/>
      <c r="J3306" s="19">
        <v>3</v>
      </c>
      <c r="K3306" s="2" t="s">
        <v>6624</v>
      </c>
      <c r="L3306" s="11" t="str">
        <f t="shared" si="53"/>
        <v>Ver Imagen</v>
      </c>
      <c r="M3306" t="s">
        <v>15</v>
      </c>
    </row>
    <row r="3307" spans="1:13" x14ac:dyDescent="0.25">
      <c r="A3307">
        <v>3307</v>
      </c>
      <c r="B3307" t="s">
        <v>6625</v>
      </c>
      <c r="C3307" s="1">
        <v>37.194011698300002</v>
      </c>
      <c r="D3307" s="1">
        <v>-6.9777571544399999</v>
      </c>
      <c r="E3307" s="3">
        <v>3</v>
      </c>
      <c r="F3307" s="2">
        <v>3</v>
      </c>
      <c r="G3307" s="4">
        <v>4</v>
      </c>
      <c r="H3307" s="13"/>
      <c r="I3307" s="15"/>
      <c r="J3307" s="19">
        <v>3</v>
      </c>
      <c r="K3307" s="2" t="s">
        <v>6626</v>
      </c>
      <c r="L3307" s="11" t="str">
        <f t="shared" si="53"/>
        <v>Ver Imagen</v>
      </c>
      <c r="M3307" t="s">
        <v>15</v>
      </c>
    </row>
    <row r="3308" spans="1:13" x14ac:dyDescent="0.25">
      <c r="A3308">
        <v>3308</v>
      </c>
      <c r="B3308" t="s">
        <v>6627</v>
      </c>
      <c r="C3308" s="1">
        <v>37.193814484599997</v>
      </c>
      <c r="D3308" s="1">
        <v>-6.9777170880800004</v>
      </c>
      <c r="E3308" s="3">
        <v>3</v>
      </c>
      <c r="F3308" s="2">
        <v>3</v>
      </c>
      <c r="G3308" s="4">
        <v>4</v>
      </c>
      <c r="H3308" s="13"/>
      <c r="I3308" s="15"/>
      <c r="J3308" s="19">
        <v>3</v>
      </c>
      <c r="K3308" s="2" t="s">
        <v>6628</v>
      </c>
      <c r="L3308" s="11" t="str">
        <f t="shared" si="53"/>
        <v>Ver Imagen</v>
      </c>
      <c r="M3308" t="s">
        <v>15</v>
      </c>
    </row>
    <row r="3309" spans="1:13" x14ac:dyDescent="0.25">
      <c r="A3309">
        <v>3309</v>
      </c>
      <c r="B3309" t="s">
        <v>6629</v>
      </c>
      <c r="C3309" s="1">
        <v>37.193627536900003</v>
      </c>
      <c r="D3309" s="1">
        <v>-6.9776876553499996</v>
      </c>
      <c r="E3309" s="3">
        <v>3</v>
      </c>
      <c r="F3309" s="2">
        <v>3</v>
      </c>
      <c r="G3309" s="4">
        <v>4</v>
      </c>
      <c r="H3309" s="13"/>
      <c r="I3309" s="15"/>
      <c r="J3309" s="19">
        <v>3</v>
      </c>
      <c r="K3309" s="2" t="s">
        <v>6630</v>
      </c>
      <c r="L3309" s="11" t="str">
        <f t="shared" si="53"/>
        <v>Ver Imagen</v>
      </c>
      <c r="M3309" t="s">
        <v>15</v>
      </c>
    </row>
    <row r="3310" spans="1:13" x14ac:dyDescent="0.25">
      <c r="A3310">
        <v>3310</v>
      </c>
      <c r="B3310" t="s">
        <v>6631</v>
      </c>
      <c r="C3310" s="1">
        <v>37.193051602499999</v>
      </c>
      <c r="D3310" s="1">
        <v>-6.9776426917199998</v>
      </c>
      <c r="E3310" s="3">
        <v>3</v>
      </c>
      <c r="F3310" s="2">
        <v>3</v>
      </c>
      <c r="G3310" s="4">
        <v>4</v>
      </c>
      <c r="H3310" s="13"/>
      <c r="I3310" s="15"/>
      <c r="J3310" s="19">
        <v>3</v>
      </c>
      <c r="K3310" s="2" t="s">
        <v>6632</v>
      </c>
      <c r="L3310" s="11" t="str">
        <f t="shared" si="53"/>
        <v>Ver Imagen</v>
      </c>
      <c r="M3310" t="s">
        <v>15</v>
      </c>
    </row>
    <row r="3311" spans="1:13" x14ac:dyDescent="0.25">
      <c r="A3311">
        <v>3311</v>
      </c>
      <c r="B3311" t="s">
        <v>6633</v>
      </c>
      <c r="C3311" s="1">
        <v>37.192836638499998</v>
      </c>
      <c r="D3311" s="1">
        <v>-6.9776409157700003</v>
      </c>
      <c r="E3311" s="3">
        <v>2</v>
      </c>
      <c r="F3311" s="2">
        <v>3</v>
      </c>
      <c r="G3311" s="4">
        <v>3</v>
      </c>
      <c r="H3311" s="13"/>
      <c r="I3311" s="15"/>
      <c r="J3311" s="19">
        <v>3</v>
      </c>
      <c r="K3311" s="2" t="s">
        <v>6634</v>
      </c>
      <c r="L3311" s="11" t="str">
        <f t="shared" si="53"/>
        <v>Ver Imagen</v>
      </c>
      <c r="M3311" t="s">
        <v>15</v>
      </c>
    </row>
    <row r="3312" spans="1:13" x14ac:dyDescent="0.25">
      <c r="A3312">
        <v>3312</v>
      </c>
      <c r="B3312" t="s">
        <v>6635</v>
      </c>
      <c r="C3312" s="1">
        <v>37.192623247500002</v>
      </c>
      <c r="D3312" s="1">
        <v>-6.9776460699299996</v>
      </c>
      <c r="E3312" s="3">
        <v>3</v>
      </c>
      <c r="F3312" s="2">
        <v>3</v>
      </c>
      <c r="G3312" s="4">
        <v>4</v>
      </c>
      <c r="H3312" s="13"/>
      <c r="I3312" s="15"/>
      <c r="J3312" s="19">
        <v>3</v>
      </c>
      <c r="K3312" s="2" t="s">
        <v>6636</v>
      </c>
      <c r="L3312" s="11" t="str">
        <f t="shared" si="53"/>
        <v>Ver Imagen</v>
      </c>
      <c r="M3312" t="s">
        <v>15</v>
      </c>
    </row>
    <row r="3313" spans="1:13" x14ac:dyDescent="0.25">
      <c r="A3313">
        <v>3313</v>
      </c>
      <c r="B3313" t="s">
        <v>6637</v>
      </c>
      <c r="C3313" s="1">
        <v>37.191588044100001</v>
      </c>
      <c r="D3313" s="1">
        <v>-6.9777620567099996</v>
      </c>
      <c r="E3313" s="3">
        <v>3</v>
      </c>
      <c r="F3313" s="2">
        <v>3</v>
      </c>
      <c r="G3313" s="4">
        <v>4</v>
      </c>
      <c r="H3313" s="13"/>
      <c r="I3313" s="15"/>
      <c r="J3313" s="19">
        <v>3</v>
      </c>
      <c r="K3313" s="2" t="s">
        <v>6638</v>
      </c>
      <c r="L3313" s="11" t="str">
        <f t="shared" si="53"/>
        <v>Ver Imagen</v>
      </c>
      <c r="M3313" t="s">
        <v>15</v>
      </c>
    </row>
    <row r="3314" spans="1:13" x14ac:dyDescent="0.25">
      <c r="A3314">
        <v>3314</v>
      </c>
      <c r="B3314" t="s">
        <v>6639</v>
      </c>
      <c r="C3314" s="1">
        <v>37.191401511099997</v>
      </c>
      <c r="D3314" s="1">
        <v>-6.9777966567999998</v>
      </c>
      <c r="E3314" s="3">
        <v>3</v>
      </c>
      <c r="F3314" s="2">
        <v>3</v>
      </c>
      <c r="G3314" s="4">
        <v>4</v>
      </c>
      <c r="H3314" s="13"/>
      <c r="I3314" s="15"/>
      <c r="J3314" s="19">
        <v>3</v>
      </c>
      <c r="K3314" s="2" t="s">
        <v>6640</v>
      </c>
      <c r="L3314" s="11" t="str">
        <f t="shared" si="53"/>
        <v>Ver Imagen</v>
      </c>
      <c r="M3314" t="s">
        <v>15</v>
      </c>
    </row>
    <row r="3315" spans="1:13" x14ac:dyDescent="0.25">
      <c r="A3315">
        <v>3315</v>
      </c>
      <c r="B3315" t="s">
        <v>6641</v>
      </c>
      <c r="C3315" s="1">
        <v>37.190826864899996</v>
      </c>
      <c r="D3315" s="1">
        <v>-6.9779220445199996</v>
      </c>
      <c r="E3315" s="3">
        <v>3</v>
      </c>
      <c r="F3315" s="2">
        <v>3</v>
      </c>
      <c r="G3315" s="4">
        <v>4</v>
      </c>
      <c r="H3315" s="13"/>
      <c r="I3315" s="15"/>
      <c r="J3315" s="19">
        <v>3</v>
      </c>
      <c r="K3315" s="2" t="s">
        <v>6642</v>
      </c>
      <c r="L3315" s="11" t="str">
        <f t="shared" si="53"/>
        <v>Ver Imagen</v>
      </c>
      <c r="M3315" t="s">
        <v>15</v>
      </c>
    </row>
    <row r="3316" spans="1:13" x14ac:dyDescent="0.25">
      <c r="A3316">
        <v>3316</v>
      </c>
      <c r="B3316" t="s">
        <v>6643</v>
      </c>
      <c r="C3316" s="1">
        <v>37.190639721099998</v>
      </c>
      <c r="D3316" s="1">
        <v>-6.9779673963300004</v>
      </c>
      <c r="E3316" s="3">
        <v>3</v>
      </c>
      <c r="F3316" s="2">
        <v>3</v>
      </c>
      <c r="G3316" s="4">
        <v>4</v>
      </c>
      <c r="H3316" s="13"/>
      <c r="I3316" s="15"/>
      <c r="J3316" s="19">
        <v>3</v>
      </c>
      <c r="K3316" s="2" t="s">
        <v>6644</v>
      </c>
      <c r="L3316" s="11" t="str">
        <f t="shared" si="53"/>
        <v>Ver Imagen</v>
      </c>
      <c r="M3316" t="s">
        <v>15</v>
      </c>
    </row>
    <row r="3317" spans="1:13" x14ac:dyDescent="0.25">
      <c r="A3317">
        <v>3317</v>
      </c>
      <c r="B3317" t="s">
        <v>6645</v>
      </c>
      <c r="C3317" s="1">
        <v>37.190442395700003</v>
      </c>
      <c r="D3317" s="1">
        <v>-6.9780174382900002</v>
      </c>
      <c r="E3317" s="3">
        <v>3</v>
      </c>
      <c r="F3317" s="2">
        <v>3</v>
      </c>
      <c r="G3317" s="4">
        <v>4</v>
      </c>
      <c r="H3317" s="13"/>
      <c r="I3317" s="15"/>
      <c r="J3317" s="19">
        <v>3</v>
      </c>
      <c r="K3317" s="2" t="s">
        <v>6646</v>
      </c>
      <c r="L3317" s="11" t="str">
        <f t="shared" si="53"/>
        <v>Ver Imagen</v>
      </c>
      <c r="M3317" t="s">
        <v>15</v>
      </c>
    </row>
    <row r="3318" spans="1:13" x14ac:dyDescent="0.25">
      <c r="A3318">
        <v>3318</v>
      </c>
      <c r="B3318" t="s">
        <v>6647</v>
      </c>
      <c r="C3318" s="1">
        <v>37.1902339759</v>
      </c>
      <c r="D3318" s="1">
        <v>-6.9780720724399998</v>
      </c>
      <c r="E3318" s="3">
        <v>3</v>
      </c>
      <c r="F3318" s="2">
        <v>3</v>
      </c>
      <c r="G3318" s="4">
        <v>4</v>
      </c>
      <c r="H3318" s="13"/>
      <c r="I3318" s="15"/>
      <c r="J3318" s="19">
        <v>3</v>
      </c>
      <c r="K3318" s="2" t="s">
        <v>6648</v>
      </c>
      <c r="L3318" s="11" t="str">
        <f t="shared" si="53"/>
        <v>Ver Imagen</v>
      </c>
      <c r="M3318" t="s">
        <v>15</v>
      </c>
    </row>
    <row r="3319" spans="1:13" x14ac:dyDescent="0.25">
      <c r="A3319">
        <v>3319</v>
      </c>
      <c r="B3319" t="s">
        <v>6649</v>
      </c>
      <c r="C3319" s="1">
        <v>37.189615514000003</v>
      </c>
      <c r="D3319" s="1">
        <v>-6.9782462604099997</v>
      </c>
      <c r="E3319" s="3">
        <v>3</v>
      </c>
      <c r="F3319" s="2">
        <v>3</v>
      </c>
      <c r="G3319" s="4">
        <v>4</v>
      </c>
      <c r="H3319" s="13"/>
      <c r="I3319" s="15"/>
      <c r="J3319" s="19">
        <v>3</v>
      </c>
      <c r="K3319" s="2" t="s">
        <v>6650</v>
      </c>
      <c r="L3319" s="11" t="str">
        <f t="shared" si="53"/>
        <v>Ver Imagen</v>
      </c>
      <c r="M3319" t="s">
        <v>15</v>
      </c>
    </row>
    <row r="3320" spans="1:13" x14ac:dyDescent="0.25">
      <c r="A3320">
        <v>3320</v>
      </c>
      <c r="B3320" t="s">
        <v>6651</v>
      </c>
      <c r="C3320" s="1">
        <v>37.189235989399997</v>
      </c>
      <c r="D3320" s="1">
        <v>-6.9783567924599996</v>
      </c>
      <c r="E3320" s="3">
        <v>2</v>
      </c>
      <c r="F3320" s="2">
        <v>3</v>
      </c>
      <c r="G3320" s="4">
        <v>3</v>
      </c>
      <c r="H3320" s="13"/>
      <c r="I3320" s="15"/>
      <c r="J3320" s="19">
        <v>3</v>
      </c>
      <c r="K3320" s="2" t="s">
        <v>6652</v>
      </c>
      <c r="L3320" s="11" t="str">
        <f t="shared" si="53"/>
        <v>Ver Imagen</v>
      </c>
      <c r="M3320" t="s">
        <v>15</v>
      </c>
    </row>
    <row r="3321" spans="1:13" x14ac:dyDescent="0.25">
      <c r="A3321">
        <v>3321</v>
      </c>
      <c r="B3321" t="s">
        <v>6653</v>
      </c>
      <c r="C3321" s="1">
        <v>37.1864657128</v>
      </c>
      <c r="D3321" s="1">
        <v>-6.9801650979799996</v>
      </c>
      <c r="E3321" s="3">
        <v>3</v>
      </c>
      <c r="F3321" s="2">
        <v>3</v>
      </c>
      <c r="G3321" s="4">
        <v>4</v>
      </c>
      <c r="H3321" s="13"/>
      <c r="I3321" s="15"/>
      <c r="J3321" s="19">
        <v>3</v>
      </c>
      <c r="K3321" s="2" t="s">
        <v>6654</v>
      </c>
      <c r="L3321" s="11" t="str">
        <f t="shared" si="53"/>
        <v>Ver Imagen</v>
      </c>
      <c r="M3321" t="s">
        <v>15</v>
      </c>
    </row>
    <row r="3322" spans="1:13" x14ac:dyDescent="0.25">
      <c r="A3322">
        <v>3322</v>
      </c>
      <c r="B3322" t="s">
        <v>6655</v>
      </c>
      <c r="C3322" s="1">
        <v>37.186357554300002</v>
      </c>
      <c r="D3322" s="1">
        <v>-6.9804007994299999</v>
      </c>
      <c r="E3322" s="3">
        <v>3</v>
      </c>
      <c r="F3322" s="2">
        <v>3</v>
      </c>
      <c r="G3322" s="4">
        <v>4</v>
      </c>
      <c r="H3322" s="13"/>
      <c r="I3322" s="15"/>
      <c r="J3322" s="19">
        <v>3</v>
      </c>
      <c r="K3322" s="2" t="s">
        <v>6656</v>
      </c>
      <c r="L3322" s="11" t="str">
        <f t="shared" si="53"/>
        <v>Ver Imagen</v>
      </c>
      <c r="M3322" t="s">
        <v>15</v>
      </c>
    </row>
    <row r="3323" spans="1:13" x14ac:dyDescent="0.25">
      <c r="A3323">
        <v>3323</v>
      </c>
      <c r="B3323" t="s">
        <v>6657</v>
      </c>
      <c r="C3323" s="1">
        <v>37.267607136000002</v>
      </c>
      <c r="D3323" s="1">
        <v>-6.9625251397900003</v>
      </c>
      <c r="E3323" s="3">
        <v>3</v>
      </c>
      <c r="F3323" s="2">
        <v>3</v>
      </c>
      <c r="G3323" s="4">
        <v>4</v>
      </c>
      <c r="H3323" s="13"/>
      <c r="I3323" s="15"/>
      <c r="J3323" s="19">
        <v>3</v>
      </c>
      <c r="K3323" s="2" t="s">
        <v>6658</v>
      </c>
      <c r="L3323" s="11" t="str">
        <f t="shared" si="53"/>
        <v>Ver Imagen</v>
      </c>
      <c r="M3323" t="s">
        <v>15</v>
      </c>
    </row>
    <row r="3324" spans="1:13" x14ac:dyDescent="0.25">
      <c r="A3324">
        <v>3324</v>
      </c>
      <c r="B3324" t="s">
        <v>6659</v>
      </c>
      <c r="C3324" s="1">
        <v>37.267620665099997</v>
      </c>
      <c r="D3324" s="1">
        <v>-6.9630266606499998</v>
      </c>
      <c r="E3324" s="3">
        <v>4</v>
      </c>
      <c r="F3324" s="2">
        <v>3</v>
      </c>
      <c r="G3324" s="4">
        <v>3</v>
      </c>
      <c r="H3324" s="13"/>
      <c r="I3324" s="15"/>
      <c r="J3324" s="19">
        <v>3</v>
      </c>
      <c r="K3324" s="2" t="s">
        <v>6660</v>
      </c>
      <c r="L3324" s="11" t="str">
        <f t="shared" si="53"/>
        <v>Ver Imagen</v>
      </c>
      <c r="M3324" t="s">
        <v>15</v>
      </c>
    </row>
    <row r="3325" spans="1:13" x14ac:dyDescent="0.25">
      <c r="A3325">
        <v>3325</v>
      </c>
      <c r="B3325" t="s">
        <v>6661</v>
      </c>
      <c r="C3325" s="1">
        <v>37.267642413200001</v>
      </c>
      <c r="D3325" s="1">
        <v>-6.9638071886999997</v>
      </c>
      <c r="E3325" s="3">
        <v>2</v>
      </c>
      <c r="F3325" s="2">
        <v>3</v>
      </c>
      <c r="G3325" s="4">
        <v>3</v>
      </c>
      <c r="H3325" s="13"/>
      <c r="I3325" s="15"/>
      <c r="J3325" s="19">
        <v>3</v>
      </c>
      <c r="K3325" s="2" t="s">
        <v>6662</v>
      </c>
      <c r="L3325" s="11" t="str">
        <f t="shared" si="53"/>
        <v>Ver Imagen</v>
      </c>
      <c r="M3325" t="s">
        <v>15</v>
      </c>
    </row>
    <row r="3326" spans="1:13" x14ac:dyDescent="0.25">
      <c r="A3326">
        <v>3326</v>
      </c>
      <c r="B3326" t="s">
        <v>6663</v>
      </c>
      <c r="C3326" s="1">
        <v>37.267685955600001</v>
      </c>
      <c r="D3326" s="1">
        <v>-6.9655613703799997</v>
      </c>
      <c r="E3326" s="3">
        <v>4</v>
      </c>
      <c r="F3326" s="2">
        <v>3</v>
      </c>
      <c r="G3326" s="4">
        <v>3</v>
      </c>
      <c r="H3326" s="13"/>
      <c r="I3326" s="15"/>
      <c r="J3326" s="19">
        <v>3</v>
      </c>
      <c r="K3326" s="2" t="s">
        <v>6664</v>
      </c>
      <c r="L3326" s="11" t="str">
        <f t="shared" si="53"/>
        <v>Ver Imagen</v>
      </c>
      <c r="M3326" t="s">
        <v>15</v>
      </c>
    </row>
    <row r="3327" spans="1:13" x14ac:dyDescent="0.25">
      <c r="A3327">
        <v>3327</v>
      </c>
      <c r="B3327" t="s">
        <v>6665</v>
      </c>
      <c r="C3327" s="1">
        <v>37.267706553700002</v>
      </c>
      <c r="D3327" s="1">
        <v>-6.9660915731099999</v>
      </c>
      <c r="E3327" s="3">
        <v>4</v>
      </c>
      <c r="F3327" s="2">
        <v>3</v>
      </c>
      <c r="G3327" s="4">
        <v>3</v>
      </c>
      <c r="H3327" s="13"/>
      <c r="I3327" s="15"/>
      <c r="J3327" s="19">
        <v>3</v>
      </c>
      <c r="K3327" s="2" t="s">
        <v>6666</v>
      </c>
      <c r="L3327" s="11" t="str">
        <f t="shared" si="53"/>
        <v>Ver Imagen</v>
      </c>
      <c r="M3327" t="s">
        <v>15</v>
      </c>
    </row>
    <row r="3328" spans="1:13" x14ac:dyDescent="0.25">
      <c r="A3328">
        <v>3328</v>
      </c>
      <c r="B3328" t="s">
        <v>6667</v>
      </c>
      <c r="C3328" s="1">
        <v>37.267718929600001</v>
      </c>
      <c r="D3328" s="1">
        <v>-6.9663604016500003</v>
      </c>
      <c r="E3328" s="3">
        <v>4</v>
      </c>
      <c r="F3328" s="2">
        <v>3</v>
      </c>
      <c r="G3328" s="4">
        <v>3</v>
      </c>
      <c r="H3328" s="13"/>
      <c r="I3328" s="15"/>
      <c r="J3328" s="19">
        <v>3</v>
      </c>
      <c r="K3328" s="2" t="s">
        <v>6668</v>
      </c>
      <c r="L3328" s="11" t="str">
        <f t="shared" si="53"/>
        <v>Ver Imagen</v>
      </c>
      <c r="M3328" t="s">
        <v>15</v>
      </c>
    </row>
    <row r="3329" spans="1:13" x14ac:dyDescent="0.25">
      <c r="A3329">
        <v>3329</v>
      </c>
      <c r="B3329" t="s">
        <v>6669</v>
      </c>
      <c r="C3329" s="1">
        <v>37.267760822500001</v>
      </c>
      <c r="D3329" s="1">
        <v>-6.9671315624899997</v>
      </c>
      <c r="E3329" s="3">
        <v>4</v>
      </c>
      <c r="F3329" s="2">
        <v>3</v>
      </c>
      <c r="G3329" s="4">
        <v>3</v>
      </c>
      <c r="H3329" s="13"/>
      <c r="I3329" s="15"/>
      <c r="J3329" s="19">
        <v>3</v>
      </c>
      <c r="K3329" s="2" t="s">
        <v>6670</v>
      </c>
      <c r="L3329" s="11" t="str">
        <f t="shared" si="53"/>
        <v>Ver Imagen</v>
      </c>
      <c r="M3329" t="s">
        <v>15</v>
      </c>
    </row>
    <row r="3330" spans="1:13" x14ac:dyDescent="0.25">
      <c r="A3330">
        <v>3330</v>
      </c>
      <c r="B3330" t="s">
        <v>6671</v>
      </c>
      <c r="C3330" s="1">
        <v>37.267777197299999</v>
      </c>
      <c r="D3330" s="1">
        <v>-6.9673853233600003</v>
      </c>
      <c r="E3330" s="3">
        <v>4</v>
      </c>
      <c r="F3330" s="2">
        <v>3</v>
      </c>
      <c r="G3330" s="4">
        <v>3</v>
      </c>
      <c r="H3330" s="13"/>
      <c r="I3330" s="15"/>
      <c r="J3330" s="19">
        <v>3</v>
      </c>
      <c r="K3330" s="2" t="s">
        <v>6672</v>
      </c>
      <c r="L3330" s="11" t="str">
        <f t="shared" si="53"/>
        <v>Ver Imagen</v>
      </c>
      <c r="M3330" t="s">
        <v>15</v>
      </c>
    </row>
    <row r="3331" spans="1:13" x14ac:dyDescent="0.25">
      <c r="A3331">
        <v>3331</v>
      </c>
      <c r="B3331" t="s">
        <v>6673</v>
      </c>
      <c r="C3331" s="1">
        <v>37.267790315900001</v>
      </c>
      <c r="D3331" s="1">
        <v>-6.9675738089000001</v>
      </c>
      <c r="E3331" s="3">
        <v>4</v>
      </c>
      <c r="F3331" s="2">
        <v>3</v>
      </c>
      <c r="G3331" s="4">
        <v>3</v>
      </c>
      <c r="H3331" s="13"/>
      <c r="I3331" s="15"/>
      <c r="J3331" s="19">
        <v>3</v>
      </c>
      <c r="K3331" s="2" t="s">
        <v>6674</v>
      </c>
      <c r="L3331" s="11" t="str">
        <f t="shared" si="53"/>
        <v>Ver Imagen</v>
      </c>
      <c r="M3331" t="s">
        <v>15</v>
      </c>
    </row>
    <row r="3332" spans="1:13" x14ac:dyDescent="0.25">
      <c r="A3332">
        <v>3332</v>
      </c>
      <c r="B3332" t="s">
        <v>6675</v>
      </c>
      <c r="C3332" s="1">
        <v>37.267884297400002</v>
      </c>
      <c r="D3332" s="1">
        <v>-6.9686450340199997</v>
      </c>
      <c r="E3332" s="3">
        <v>4</v>
      </c>
      <c r="F3332" s="2">
        <v>3</v>
      </c>
      <c r="G3332" s="4">
        <v>3</v>
      </c>
      <c r="H3332" s="13"/>
      <c r="I3332" s="15"/>
      <c r="J3332" s="19">
        <v>3</v>
      </c>
      <c r="K3332" s="2" t="s">
        <v>6676</v>
      </c>
      <c r="L3332" s="11" t="str">
        <f t="shared" si="53"/>
        <v>Ver Imagen</v>
      </c>
      <c r="M3332" t="s">
        <v>15</v>
      </c>
    </row>
    <row r="3333" spans="1:13" x14ac:dyDescent="0.25">
      <c r="A3333">
        <v>3333</v>
      </c>
      <c r="B3333" t="s">
        <v>6677</v>
      </c>
      <c r="C3333" s="1">
        <v>37.267930733100002</v>
      </c>
      <c r="D3333" s="1">
        <v>-6.9691336885900004</v>
      </c>
      <c r="E3333" s="3">
        <v>4</v>
      </c>
      <c r="F3333" s="2">
        <v>3</v>
      </c>
      <c r="G3333" s="4">
        <v>3</v>
      </c>
      <c r="H3333" s="13"/>
      <c r="I3333" s="15"/>
      <c r="J3333" s="19">
        <v>3</v>
      </c>
      <c r="K3333" s="2" t="s">
        <v>6678</v>
      </c>
      <c r="L3333" s="11" t="str">
        <f t="shared" si="53"/>
        <v>Ver Imagen</v>
      </c>
      <c r="M3333" t="s">
        <v>15</v>
      </c>
    </row>
    <row r="3334" spans="1:13" x14ac:dyDescent="0.25">
      <c r="A3334">
        <v>3334</v>
      </c>
      <c r="B3334" t="s">
        <v>6679</v>
      </c>
      <c r="C3334" s="1">
        <v>37.267958054700003</v>
      </c>
      <c r="D3334" s="1">
        <v>-6.9693953784999998</v>
      </c>
      <c r="E3334" s="3">
        <v>4</v>
      </c>
      <c r="F3334" s="2">
        <v>3</v>
      </c>
      <c r="G3334" s="4">
        <v>3</v>
      </c>
      <c r="H3334" s="13"/>
      <c r="I3334" s="15"/>
      <c r="J3334" s="19">
        <v>3</v>
      </c>
      <c r="K3334" s="2" t="s">
        <v>6680</v>
      </c>
      <c r="L3334" s="11" t="str">
        <f t="shared" si="53"/>
        <v>Ver Imagen</v>
      </c>
      <c r="M3334" t="s">
        <v>15</v>
      </c>
    </row>
    <row r="3335" spans="1:13" x14ac:dyDescent="0.25">
      <c r="A3335">
        <v>3335</v>
      </c>
      <c r="B3335" t="s">
        <v>6681</v>
      </c>
      <c r="C3335" s="1">
        <v>37.268105958500001</v>
      </c>
      <c r="D3335" s="1">
        <v>-6.9706401742399997</v>
      </c>
      <c r="E3335" s="3">
        <v>2</v>
      </c>
      <c r="F3335" s="2">
        <v>3</v>
      </c>
      <c r="G3335" s="4">
        <v>3</v>
      </c>
      <c r="H3335" s="13"/>
      <c r="I3335" s="15"/>
      <c r="J3335" s="19">
        <v>3</v>
      </c>
      <c r="K3335" s="2" t="s">
        <v>6682</v>
      </c>
      <c r="L3335" s="11" t="str">
        <f t="shared" si="53"/>
        <v>Ver Imagen</v>
      </c>
      <c r="M3335" t="s">
        <v>15</v>
      </c>
    </row>
    <row r="3336" spans="1:13" x14ac:dyDescent="0.25">
      <c r="A3336">
        <v>3336</v>
      </c>
      <c r="B3336" t="s">
        <v>6683</v>
      </c>
      <c r="C3336" s="1">
        <v>37.268288927</v>
      </c>
      <c r="D3336" s="1">
        <v>-6.9718896384200004</v>
      </c>
      <c r="E3336" s="3">
        <v>3</v>
      </c>
      <c r="F3336" s="2">
        <v>3</v>
      </c>
      <c r="G3336" s="4">
        <v>2</v>
      </c>
      <c r="H3336" s="13"/>
      <c r="I3336" s="15"/>
      <c r="J3336" s="19">
        <v>3</v>
      </c>
      <c r="K3336" s="2" t="s">
        <v>6684</v>
      </c>
      <c r="L3336" s="11" t="str">
        <f t="shared" si="53"/>
        <v>Ver Imagen</v>
      </c>
      <c r="M3336" t="s">
        <v>15</v>
      </c>
    </row>
    <row r="3337" spans="1:13" x14ac:dyDescent="0.25">
      <c r="A3337">
        <v>3337</v>
      </c>
      <c r="B3337" t="s">
        <v>6685</v>
      </c>
      <c r="C3337" s="1">
        <v>37.268370393399998</v>
      </c>
      <c r="D3337" s="1">
        <v>-6.9723686273599998</v>
      </c>
      <c r="E3337" s="3">
        <v>4</v>
      </c>
      <c r="F3337" s="2">
        <v>3</v>
      </c>
      <c r="G3337" s="4">
        <v>3</v>
      </c>
      <c r="H3337" s="13"/>
      <c r="I3337" s="15"/>
      <c r="J3337" s="19">
        <v>3</v>
      </c>
      <c r="K3337" s="2" t="s">
        <v>6686</v>
      </c>
      <c r="L3337" s="11" t="str">
        <f t="shared" si="53"/>
        <v>Ver Imagen</v>
      </c>
      <c r="M3337" t="s">
        <v>15</v>
      </c>
    </row>
    <row r="3338" spans="1:13" x14ac:dyDescent="0.25">
      <c r="A3338">
        <v>3338</v>
      </c>
      <c r="B3338" t="s">
        <v>6687</v>
      </c>
      <c r="C3338" s="1">
        <v>37.268415628200003</v>
      </c>
      <c r="D3338" s="1">
        <v>-6.9726238561700002</v>
      </c>
      <c r="E3338" s="3">
        <v>3</v>
      </c>
      <c r="F3338" s="2">
        <v>3</v>
      </c>
      <c r="G3338" s="4">
        <v>2</v>
      </c>
      <c r="H3338" s="13"/>
      <c r="I3338" s="15"/>
      <c r="J3338" s="19">
        <v>3</v>
      </c>
      <c r="K3338" s="2" t="s">
        <v>6688</v>
      </c>
      <c r="L3338" s="11" t="str">
        <f t="shared" si="53"/>
        <v>Ver Imagen</v>
      </c>
      <c r="M3338" t="s">
        <v>15</v>
      </c>
    </row>
    <row r="3339" spans="1:13" x14ac:dyDescent="0.25">
      <c r="A3339">
        <v>3339</v>
      </c>
      <c r="B3339" t="s">
        <v>6689</v>
      </c>
      <c r="C3339" s="1">
        <v>37.268512202300002</v>
      </c>
      <c r="D3339" s="1">
        <v>-6.9731424298600002</v>
      </c>
      <c r="E3339" s="3">
        <v>4</v>
      </c>
      <c r="F3339" s="2">
        <v>3</v>
      </c>
      <c r="G3339" s="4">
        <v>3</v>
      </c>
      <c r="H3339" s="13"/>
      <c r="I3339" s="15"/>
      <c r="J3339" s="19">
        <v>3</v>
      </c>
      <c r="K3339" s="2" t="s">
        <v>6690</v>
      </c>
      <c r="L3339" s="11" t="str">
        <f t="shared" si="53"/>
        <v>Ver Imagen</v>
      </c>
      <c r="M3339" t="s">
        <v>15</v>
      </c>
    </row>
    <row r="3340" spans="1:13" x14ac:dyDescent="0.25">
      <c r="A3340">
        <v>3340</v>
      </c>
      <c r="B3340" t="s">
        <v>6691</v>
      </c>
      <c r="C3340" s="1">
        <v>37.2685523747</v>
      </c>
      <c r="D3340" s="1">
        <v>-6.9733502559999998</v>
      </c>
      <c r="E3340" s="3">
        <v>2</v>
      </c>
      <c r="F3340" s="2">
        <v>3</v>
      </c>
      <c r="G3340" s="4">
        <v>3</v>
      </c>
      <c r="H3340" s="13"/>
      <c r="I3340" s="15"/>
      <c r="J3340" s="19">
        <v>3</v>
      </c>
      <c r="K3340" s="2" t="s">
        <v>6692</v>
      </c>
      <c r="L3340" s="11" t="str">
        <f t="shared" si="53"/>
        <v>Ver Imagen</v>
      </c>
      <c r="M3340" t="s">
        <v>15</v>
      </c>
    </row>
    <row r="3341" spans="1:13" x14ac:dyDescent="0.25">
      <c r="A3341">
        <v>3341</v>
      </c>
      <c r="B3341" t="s">
        <v>6693</v>
      </c>
      <c r="C3341" s="1">
        <v>37.269092229500004</v>
      </c>
      <c r="D3341" s="1">
        <v>-6.9757886573199999</v>
      </c>
      <c r="E3341" s="3">
        <v>4</v>
      </c>
      <c r="F3341" s="2">
        <v>3</v>
      </c>
      <c r="G3341" s="4">
        <v>3</v>
      </c>
      <c r="H3341" s="13"/>
      <c r="I3341" s="15"/>
      <c r="J3341" s="19">
        <v>3</v>
      </c>
      <c r="K3341" s="2" t="s">
        <v>6694</v>
      </c>
      <c r="L3341" s="11" t="str">
        <f t="shared" si="53"/>
        <v>Ver Imagen</v>
      </c>
      <c r="M3341" t="s">
        <v>15</v>
      </c>
    </row>
    <row r="3342" spans="1:13" x14ac:dyDescent="0.25">
      <c r="A3342">
        <v>3342</v>
      </c>
      <c r="B3342" t="s">
        <v>6695</v>
      </c>
      <c r="C3342" s="1">
        <v>37.269158217899999</v>
      </c>
      <c r="D3342" s="1">
        <v>-6.9760458727100003</v>
      </c>
      <c r="E3342" s="3">
        <v>4</v>
      </c>
      <c r="F3342" s="2">
        <v>3</v>
      </c>
      <c r="G3342" s="4">
        <v>3</v>
      </c>
      <c r="H3342" s="13"/>
      <c r="I3342" s="15"/>
      <c r="J3342" s="19">
        <v>3</v>
      </c>
      <c r="K3342" s="2" t="s">
        <v>6696</v>
      </c>
      <c r="L3342" s="11" t="str">
        <f t="shared" si="53"/>
        <v>Ver Imagen</v>
      </c>
      <c r="M3342" t="s">
        <v>15</v>
      </c>
    </row>
    <row r="3343" spans="1:13" x14ac:dyDescent="0.25">
      <c r="A3343">
        <v>3343</v>
      </c>
      <c r="B3343" t="s">
        <v>6697</v>
      </c>
      <c r="C3343" s="1">
        <v>37.269219509800003</v>
      </c>
      <c r="D3343" s="1">
        <v>-6.9762806148100003</v>
      </c>
      <c r="E3343" s="3">
        <v>4</v>
      </c>
      <c r="F3343" s="2">
        <v>3</v>
      </c>
      <c r="G3343" s="4">
        <v>3</v>
      </c>
      <c r="H3343" s="13"/>
      <c r="I3343" s="15"/>
      <c r="J3343" s="19">
        <v>3</v>
      </c>
      <c r="K3343" s="2" t="s">
        <v>6698</v>
      </c>
      <c r="L3343" s="11" t="str">
        <f t="shared" si="53"/>
        <v>Ver Imagen</v>
      </c>
      <c r="M3343" t="s">
        <v>15</v>
      </c>
    </row>
    <row r="3344" spans="1:13" x14ac:dyDescent="0.25">
      <c r="A3344">
        <v>3344</v>
      </c>
      <c r="B3344" t="s">
        <v>6699</v>
      </c>
      <c r="C3344" s="1">
        <v>37.269478402200001</v>
      </c>
      <c r="D3344" s="1">
        <v>-6.9772142061300002</v>
      </c>
      <c r="E3344" s="3">
        <v>2</v>
      </c>
      <c r="F3344" s="2">
        <v>3</v>
      </c>
      <c r="G3344" s="4">
        <v>3</v>
      </c>
      <c r="H3344" s="13"/>
      <c r="I3344" s="15"/>
      <c r="J3344" s="19">
        <v>3</v>
      </c>
      <c r="K3344" s="2" t="s">
        <v>6700</v>
      </c>
      <c r="L3344" s="11" t="str">
        <f t="shared" si="53"/>
        <v>Ver Imagen</v>
      </c>
      <c r="M3344" t="s">
        <v>15</v>
      </c>
    </row>
    <row r="3345" spans="1:13" x14ac:dyDescent="0.25">
      <c r="A3345">
        <v>3345</v>
      </c>
      <c r="B3345" t="s">
        <v>6701</v>
      </c>
      <c r="C3345" s="1">
        <v>37.269894857300002</v>
      </c>
      <c r="D3345" s="1">
        <v>-6.9786772808600004</v>
      </c>
      <c r="E3345" s="3">
        <v>4</v>
      </c>
      <c r="F3345" s="2">
        <v>3</v>
      </c>
      <c r="G3345" s="4">
        <v>3</v>
      </c>
      <c r="H3345" s="13"/>
      <c r="I3345" s="15"/>
      <c r="J3345" s="19">
        <v>3</v>
      </c>
      <c r="K3345" s="2" t="s">
        <v>6702</v>
      </c>
      <c r="L3345" s="11" t="str">
        <f t="shared" si="53"/>
        <v>Ver Imagen</v>
      </c>
      <c r="M3345" t="s">
        <v>15</v>
      </c>
    </row>
    <row r="3346" spans="1:13" x14ac:dyDescent="0.25">
      <c r="A3346">
        <v>3346</v>
      </c>
      <c r="B3346" t="s">
        <v>6703</v>
      </c>
      <c r="C3346" s="1">
        <v>37.270036315500001</v>
      </c>
      <c r="D3346" s="1">
        <v>-6.97916846704</v>
      </c>
      <c r="E3346" s="3">
        <v>4</v>
      </c>
      <c r="F3346" s="2">
        <v>3</v>
      </c>
      <c r="G3346" s="4">
        <v>3</v>
      </c>
      <c r="H3346" s="13"/>
      <c r="I3346" s="15"/>
      <c r="J3346" s="19">
        <v>3</v>
      </c>
      <c r="K3346" s="2" t="s">
        <v>6704</v>
      </c>
      <c r="L3346" s="11" t="str">
        <f t="shared" si="53"/>
        <v>Ver Imagen</v>
      </c>
      <c r="M3346" t="s">
        <v>15</v>
      </c>
    </row>
    <row r="3347" spans="1:13" x14ac:dyDescent="0.25">
      <c r="A3347">
        <v>3347</v>
      </c>
      <c r="B3347" t="s">
        <v>6705</v>
      </c>
      <c r="C3347" s="1">
        <v>37.2700979719</v>
      </c>
      <c r="D3347" s="1">
        <v>-6.9793829608099998</v>
      </c>
      <c r="E3347" s="3">
        <v>4</v>
      </c>
      <c r="F3347" s="2">
        <v>3</v>
      </c>
      <c r="G3347" s="4">
        <v>3</v>
      </c>
      <c r="H3347" s="13"/>
      <c r="I3347" s="15"/>
      <c r="J3347" s="19">
        <v>3</v>
      </c>
      <c r="K3347" s="2" t="s">
        <v>6706</v>
      </c>
      <c r="L3347" s="11" t="str">
        <f t="shared" si="53"/>
        <v>Ver Imagen</v>
      </c>
      <c r="M3347" t="s">
        <v>15</v>
      </c>
    </row>
    <row r="3348" spans="1:13" x14ac:dyDescent="0.25">
      <c r="A3348">
        <v>3348</v>
      </c>
      <c r="B3348" t="s">
        <v>6707</v>
      </c>
      <c r="C3348" s="1">
        <v>37.270163306800001</v>
      </c>
      <c r="D3348" s="1">
        <v>-6.9796109525299999</v>
      </c>
      <c r="E3348" s="3">
        <v>4</v>
      </c>
      <c r="F3348" s="2">
        <v>3</v>
      </c>
      <c r="G3348" s="4">
        <v>3</v>
      </c>
      <c r="H3348" s="13"/>
      <c r="I3348" s="15"/>
      <c r="J3348" s="19">
        <v>3</v>
      </c>
      <c r="K3348" s="2" t="s">
        <v>6708</v>
      </c>
      <c r="L3348" s="11" t="str">
        <f t="shared" si="53"/>
        <v>Ver Imagen</v>
      </c>
      <c r="M3348" t="s">
        <v>15</v>
      </c>
    </row>
    <row r="3349" spans="1:13" x14ac:dyDescent="0.25">
      <c r="A3349">
        <v>3349</v>
      </c>
      <c r="B3349" t="s">
        <v>6709</v>
      </c>
      <c r="C3349" s="1">
        <v>37.2709260771</v>
      </c>
      <c r="D3349" s="1">
        <v>-6.9822595443199997</v>
      </c>
      <c r="E3349" s="3">
        <v>2</v>
      </c>
      <c r="F3349" s="2">
        <v>3</v>
      </c>
      <c r="G3349" s="4">
        <v>3</v>
      </c>
      <c r="H3349" s="13"/>
      <c r="I3349" s="15"/>
      <c r="J3349" s="19">
        <v>3</v>
      </c>
      <c r="K3349" s="2" t="s">
        <v>6710</v>
      </c>
      <c r="L3349" s="11" t="str">
        <f t="shared" si="53"/>
        <v>Ver Imagen</v>
      </c>
      <c r="M3349" t="s">
        <v>15</v>
      </c>
    </row>
    <row r="3350" spans="1:13" x14ac:dyDescent="0.25">
      <c r="A3350">
        <v>3350</v>
      </c>
      <c r="B3350" t="s">
        <v>6711</v>
      </c>
      <c r="C3350" s="1">
        <v>37.271063947000002</v>
      </c>
      <c r="D3350" s="1">
        <v>-6.9827385261400003</v>
      </c>
      <c r="E3350" s="3">
        <v>3</v>
      </c>
      <c r="F3350" s="2">
        <v>3</v>
      </c>
      <c r="G3350" s="4">
        <v>4</v>
      </c>
      <c r="H3350" s="13"/>
      <c r="I3350" s="15"/>
      <c r="J3350" s="19">
        <v>3</v>
      </c>
      <c r="K3350" s="2" t="s">
        <v>6712</v>
      </c>
      <c r="L3350" s="11" t="str">
        <f t="shared" si="53"/>
        <v>Ver Imagen</v>
      </c>
      <c r="M3350" t="s">
        <v>15</v>
      </c>
    </row>
    <row r="3351" spans="1:13" x14ac:dyDescent="0.25">
      <c r="A3351">
        <v>3351</v>
      </c>
      <c r="B3351" t="s">
        <v>6713</v>
      </c>
      <c r="C3351" s="1">
        <v>37.271127952599997</v>
      </c>
      <c r="D3351" s="1">
        <v>-6.9829598600800002</v>
      </c>
      <c r="E3351" s="3">
        <v>4</v>
      </c>
      <c r="F3351" s="2">
        <v>3</v>
      </c>
      <c r="G3351" s="4">
        <v>3</v>
      </c>
      <c r="H3351" s="13"/>
      <c r="I3351" s="15"/>
      <c r="J3351" s="19">
        <v>3</v>
      </c>
      <c r="K3351" s="2" t="s">
        <v>6714</v>
      </c>
      <c r="L3351" s="11" t="str">
        <f t="shared" si="53"/>
        <v>Ver Imagen</v>
      </c>
      <c r="M3351" t="s">
        <v>15</v>
      </c>
    </row>
    <row r="3352" spans="1:13" x14ac:dyDescent="0.25">
      <c r="A3352">
        <v>3352</v>
      </c>
      <c r="B3352" t="s">
        <v>6715</v>
      </c>
      <c r="C3352" s="1">
        <v>37.271476575199998</v>
      </c>
      <c r="D3352" s="1">
        <v>-6.9841784343500004</v>
      </c>
      <c r="E3352" s="3">
        <v>3</v>
      </c>
      <c r="F3352" s="2">
        <v>3</v>
      </c>
      <c r="G3352" s="4">
        <v>2</v>
      </c>
      <c r="H3352" s="13"/>
      <c r="I3352" s="15"/>
      <c r="J3352" s="19">
        <v>3</v>
      </c>
      <c r="K3352" s="2" t="s">
        <v>6716</v>
      </c>
      <c r="L3352" s="11" t="str">
        <f t="shared" si="53"/>
        <v>Ver Imagen</v>
      </c>
      <c r="M3352" t="s">
        <v>15</v>
      </c>
    </row>
    <row r="3353" spans="1:13" x14ac:dyDescent="0.25">
      <c r="A3353">
        <v>3353</v>
      </c>
      <c r="B3353" t="s">
        <v>6717</v>
      </c>
      <c r="C3353" s="1">
        <v>37.271540664200003</v>
      </c>
      <c r="D3353" s="1">
        <v>-6.9844175250899996</v>
      </c>
      <c r="E3353" s="3">
        <v>3</v>
      </c>
      <c r="F3353" s="2">
        <v>3</v>
      </c>
      <c r="G3353" s="4">
        <v>2</v>
      </c>
      <c r="H3353" s="13"/>
      <c r="I3353" s="15"/>
      <c r="J3353" s="19">
        <v>3</v>
      </c>
      <c r="K3353" s="2" t="s">
        <v>6718</v>
      </c>
      <c r="L3353" s="11" t="str">
        <f t="shared" si="53"/>
        <v>Ver Imagen</v>
      </c>
      <c r="M3353" t="s">
        <v>15</v>
      </c>
    </row>
    <row r="3354" spans="1:13" x14ac:dyDescent="0.25">
      <c r="A3354">
        <v>3354</v>
      </c>
      <c r="B3354" t="s">
        <v>6719</v>
      </c>
      <c r="C3354" s="1">
        <v>37.271709819999998</v>
      </c>
      <c r="D3354" s="1">
        <v>-6.9851247164199997</v>
      </c>
      <c r="E3354" s="3">
        <v>3</v>
      </c>
      <c r="F3354" s="2">
        <v>3</v>
      </c>
      <c r="G3354" s="4">
        <v>2</v>
      </c>
      <c r="H3354" s="13"/>
      <c r="I3354" s="15"/>
      <c r="J3354" s="19">
        <v>3</v>
      </c>
      <c r="K3354" s="2" t="s">
        <v>6720</v>
      </c>
      <c r="L3354" s="11" t="str">
        <f t="shared" si="53"/>
        <v>Ver Imagen</v>
      </c>
      <c r="M3354" t="s">
        <v>15</v>
      </c>
    </row>
    <row r="3355" spans="1:13" x14ac:dyDescent="0.25">
      <c r="A3355">
        <v>3355</v>
      </c>
      <c r="B3355" t="s">
        <v>6721</v>
      </c>
      <c r="C3355" s="1">
        <v>37.271759960600001</v>
      </c>
      <c r="D3355" s="1">
        <v>-6.9853855917400001</v>
      </c>
      <c r="E3355" s="3">
        <v>3</v>
      </c>
      <c r="F3355" s="2">
        <v>3</v>
      </c>
      <c r="G3355" s="4">
        <v>2</v>
      </c>
      <c r="H3355" s="13"/>
      <c r="I3355" s="15"/>
      <c r="J3355" s="19">
        <v>3</v>
      </c>
      <c r="K3355" s="2" t="s">
        <v>6722</v>
      </c>
      <c r="L3355" s="11" t="str">
        <f t="shared" si="53"/>
        <v>Ver Imagen</v>
      </c>
      <c r="M3355" t="s">
        <v>15</v>
      </c>
    </row>
    <row r="3356" spans="1:13" x14ac:dyDescent="0.25">
      <c r="A3356">
        <v>3356</v>
      </c>
      <c r="B3356" t="s">
        <v>6723</v>
      </c>
      <c r="C3356" s="1">
        <v>37.271849381199999</v>
      </c>
      <c r="D3356" s="1">
        <v>-6.9861451366100003</v>
      </c>
      <c r="E3356" s="3">
        <v>2</v>
      </c>
      <c r="F3356" s="2">
        <v>3</v>
      </c>
      <c r="G3356" s="4">
        <v>3</v>
      </c>
      <c r="H3356" s="13"/>
      <c r="I3356" s="15"/>
      <c r="J3356" s="19">
        <v>3</v>
      </c>
      <c r="K3356" s="2" t="s">
        <v>6724</v>
      </c>
      <c r="L3356" s="11" t="str">
        <f t="shared" si="53"/>
        <v>Ver Imagen</v>
      </c>
      <c r="M3356" t="s">
        <v>15</v>
      </c>
    </row>
    <row r="3357" spans="1:13" x14ac:dyDescent="0.25">
      <c r="A3357">
        <v>3357</v>
      </c>
      <c r="B3357" t="s">
        <v>6725</v>
      </c>
      <c r="C3357" s="1">
        <v>37.271847565100003</v>
      </c>
      <c r="D3357" s="1">
        <v>-6.9866712406999998</v>
      </c>
      <c r="E3357" s="3">
        <v>3</v>
      </c>
      <c r="F3357" s="2">
        <v>3</v>
      </c>
      <c r="G3357" s="4">
        <v>2</v>
      </c>
      <c r="H3357" s="13"/>
      <c r="I3357" s="15"/>
      <c r="J3357" s="19">
        <v>3</v>
      </c>
      <c r="K3357" s="2" t="s">
        <v>6726</v>
      </c>
      <c r="L3357" s="11" t="str">
        <f t="shared" si="53"/>
        <v>Ver Imagen</v>
      </c>
      <c r="M3357" t="s">
        <v>15</v>
      </c>
    </row>
    <row r="3358" spans="1:13" x14ac:dyDescent="0.25">
      <c r="A3358">
        <v>3358</v>
      </c>
      <c r="B3358" t="s">
        <v>6727</v>
      </c>
      <c r="C3358" s="1">
        <v>37.269953748399999</v>
      </c>
      <c r="D3358" s="1">
        <v>-6.9896785456200003</v>
      </c>
      <c r="E3358" s="3">
        <v>2</v>
      </c>
      <c r="F3358" s="2">
        <v>3</v>
      </c>
      <c r="G3358" s="4">
        <v>3</v>
      </c>
      <c r="H3358" s="13"/>
      <c r="I3358" s="15"/>
      <c r="J3358" s="19">
        <v>3</v>
      </c>
      <c r="K3358" s="2" t="s">
        <v>6728</v>
      </c>
      <c r="L3358" s="11" t="str">
        <f t="shared" si="53"/>
        <v>Ver Imagen</v>
      </c>
      <c r="M3358" t="s">
        <v>15</v>
      </c>
    </row>
    <row r="3359" spans="1:13" x14ac:dyDescent="0.25">
      <c r="A3359">
        <v>3359</v>
      </c>
      <c r="B3359" t="s">
        <v>6729</v>
      </c>
      <c r="C3359" s="1">
        <v>37.269764327799997</v>
      </c>
      <c r="D3359" s="1">
        <v>-6.9898107015499997</v>
      </c>
      <c r="E3359" s="3">
        <v>2</v>
      </c>
      <c r="F3359" s="2">
        <v>3</v>
      </c>
      <c r="G3359" s="4">
        <v>3</v>
      </c>
      <c r="H3359" s="13"/>
      <c r="I3359" s="15"/>
      <c r="J3359" s="19">
        <v>3</v>
      </c>
      <c r="K3359" s="2" t="s">
        <v>6730</v>
      </c>
      <c r="L3359" s="11" t="str">
        <f t="shared" si="53"/>
        <v>Ver Imagen</v>
      </c>
      <c r="M3359" t="s">
        <v>15</v>
      </c>
    </row>
    <row r="3360" spans="1:13" x14ac:dyDescent="0.25">
      <c r="A3360">
        <v>3360</v>
      </c>
      <c r="B3360" t="s">
        <v>6731</v>
      </c>
      <c r="C3360" s="1">
        <v>37.2694114942</v>
      </c>
      <c r="D3360" s="1">
        <v>-6.9900588904200003</v>
      </c>
      <c r="E3360" s="3">
        <v>2</v>
      </c>
      <c r="F3360" s="2">
        <v>3</v>
      </c>
      <c r="G3360" s="4">
        <v>3</v>
      </c>
      <c r="H3360" s="13"/>
      <c r="I3360" s="15"/>
      <c r="J3360" s="19">
        <v>3</v>
      </c>
      <c r="K3360" s="2" t="s">
        <v>6732</v>
      </c>
      <c r="L3360" s="11" t="str">
        <f t="shared" si="53"/>
        <v>Ver Imagen</v>
      </c>
      <c r="M3360" t="s">
        <v>15</v>
      </c>
    </row>
    <row r="3361" spans="1:13" x14ac:dyDescent="0.25">
      <c r="A3361">
        <v>3361</v>
      </c>
      <c r="B3361" t="s">
        <v>6733</v>
      </c>
      <c r="C3361" s="1">
        <v>37.269069610000003</v>
      </c>
      <c r="D3361" s="1">
        <v>-6.9903030632899998</v>
      </c>
      <c r="E3361" s="3">
        <v>3</v>
      </c>
      <c r="F3361" s="2">
        <v>3</v>
      </c>
      <c r="G3361" s="4">
        <v>2</v>
      </c>
      <c r="H3361" s="13"/>
      <c r="I3361" s="15"/>
      <c r="J3361" s="19">
        <v>3</v>
      </c>
      <c r="K3361" s="2" t="s">
        <v>6734</v>
      </c>
      <c r="L3361" s="11" t="str">
        <f t="shared" si="53"/>
        <v>Ver Imagen</v>
      </c>
      <c r="M3361" t="s">
        <v>15</v>
      </c>
    </row>
    <row r="3362" spans="1:13" x14ac:dyDescent="0.25">
      <c r="A3362">
        <v>3362</v>
      </c>
      <c r="B3362" t="s">
        <v>6735</v>
      </c>
      <c r="C3362" s="1">
        <v>37.267820947799997</v>
      </c>
      <c r="D3362" s="1">
        <v>-6.9911829070999998</v>
      </c>
      <c r="E3362" s="3">
        <v>2</v>
      </c>
      <c r="F3362" s="2">
        <v>3</v>
      </c>
      <c r="G3362" s="4">
        <v>3</v>
      </c>
      <c r="H3362" s="13"/>
      <c r="I3362" s="15"/>
      <c r="J3362" s="19">
        <v>3</v>
      </c>
      <c r="K3362" s="2" t="s">
        <v>6736</v>
      </c>
      <c r="L3362" s="11" t="str">
        <f t="shared" si="53"/>
        <v>Ver Imagen</v>
      </c>
      <c r="M3362" t="s">
        <v>15</v>
      </c>
    </row>
    <row r="3363" spans="1:13" x14ac:dyDescent="0.25">
      <c r="A3363">
        <v>3363</v>
      </c>
      <c r="B3363" t="s">
        <v>6737</v>
      </c>
      <c r="C3363" s="1">
        <v>37.266349378199997</v>
      </c>
      <c r="D3363" s="1">
        <v>-6.9928629930800001</v>
      </c>
      <c r="E3363" s="3">
        <v>2</v>
      </c>
      <c r="F3363" s="2">
        <v>3</v>
      </c>
      <c r="G3363" s="4">
        <v>3</v>
      </c>
      <c r="H3363" s="13"/>
      <c r="I3363" s="15"/>
      <c r="J3363" s="19">
        <v>3</v>
      </c>
      <c r="K3363" s="2" t="s">
        <v>6738</v>
      </c>
      <c r="L3363" s="11" t="str">
        <f t="shared" si="53"/>
        <v>Ver Imagen</v>
      </c>
      <c r="M3363" t="s">
        <v>15</v>
      </c>
    </row>
    <row r="3364" spans="1:13" x14ac:dyDescent="0.25">
      <c r="A3364">
        <v>3364</v>
      </c>
      <c r="B3364" t="s">
        <v>6739</v>
      </c>
      <c r="C3364" s="1">
        <v>37.266246655300002</v>
      </c>
      <c r="D3364" s="1">
        <v>-6.9930714227699999</v>
      </c>
      <c r="E3364" s="3">
        <v>2</v>
      </c>
      <c r="F3364" s="2">
        <v>3</v>
      </c>
      <c r="G3364" s="4">
        <v>3</v>
      </c>
      <c r="H3364" s="13"/>
      <c r="I3364" s="15"/>
      <c r="J3364" s="19">
        <v>3</v>
      </c>
      <c r="K3364" s="2" t="s">
        <v>6740</v>
      </c>
      <c r="L3364" s="11" t="str">
        <f t="shared" si="53"/>
        <v>Ver Imagen</v>
      </c>
      <c r="M3364" t="s">
        <v>15</v>
      </c>
    </row>
    <row r="3365" spans="1:13" x14ac:dyDescent="0.25">
      <c r="A3365">
        <v>3365</v>
      </c>
      <c r="B3365" t="s">
        <v>6741</v>
      </c>
      <c r="C3365" s="1">
        <v>37.190363398400002</v>
      </c>
      <c r="D3365" s="1">
        <v>-6.9778619807200002</v>
      </c>
      <c r="E3365" s="3">
        <v>2</v>
      </c>
      <c r="F3365" s="2">
        <v>3</v>
      </c>
      <c r="G3365" s="4">
        <v>3</v>
      </c>
      <c r="H3365" s="13"/>
      <c r="I3365" s="15"/>
      <c r="J3365" s="19">
        <v>3</v>
      </c>
      <c r="K3365" s="2" t="s">
        <v>6742</v>
      </c>
      <c r="L3365" s="11" t="str">
        <f t="shared" si="53"/>
        <v>Ver Imagen</v>
      </c>
      <c r="M3365" t="s">
        <v>15</v>
      </c>
    </row>
    <row r="3366" spans="1:13" x14ac:dyDescent="0.25">
      <c r="A3366">
        <v>3366</v>
      </c>
      <c r="B3366" t="s">
        <v>6743</v>
      </c>
      <c r="C3366" s="1">
        <v>37.190606503600002</v>
      </c>
      <c r="D3366" s="1">
        <v>-6.9778006216800001</v>
      </c>
      <c r="E3366" s="3">
        <v>2</v>
      </c>
      <c r="F3366" s="2">
        <v>3</v>
      </c>
      <c r="G3366" s="4">
        <v>3</v>
      </c>
      <c r="H3366" s="13"/>
      <c r="I3366" s="15"/>
      <c r="J3366" s="19">
        <v>3</v>
      </c>
      <c r="K3366" s="2" t="s">
        <v>6744</v>
      </c>
      <c r="L3366" s="11" t="str">
        <f t="shared" si="53"/>
        <v>Ver Imagen</v>
      </c>
      <c r="M3366" t="s">
        <v>15</v>
      </c>
    </row>
    <row r="3367" spans="1:13" x14ac:dyDescent="0.25">
      <c r="A3367">
        <v>3367</v>
      </c>
      <c r="B3367" t="s">
        <v>6745</v>
      </c>
      <c r="C3367" s="1">
        <v>37.191208144000001</v>
      </c>
      <c r="D3367" s="1">
        <v>-6.9776617058600001</v>
      </c>
      <c r="E3367" s="3">
        <v>3</v>
      </c>
      <c r="F3367" s="2">
        <v>3</v>
      </c>
      <c r="G3367" s="4">
        <v>2</v>
      </c>
      <c r="H3367" s="13"/>
      <c r="I3367" s="15"/>
      <c r="J3367" s="19">
        <v>3</v>
      </c>
      <c r="K3367" s="2" t="s">
        <v>6746</v>
      </c>
      <c r="L3367" s="11" t="str">
        <f t="shared" si="53"/>
        <v>Ver Imagen</v>
      </c>
      <c r="M3367" t="s">
        <v>15</v>
      </c>
    </row>
    <row r="3368" spans="1:13" x14ac:dyDescent="0.25">
      <c r="A3368">
        <v>3368</v>
      </c>
      <c r="B3368" t="s">
        <v>6747</v>
      </c>
      <c r="C3368" s="1">
        <v>37.191763797900002</v>
      </c>
      <c r="D3368" s="1">
        <v>-6.9775622757400004</v>
      </c>
      <c r="E3368" s="3">
        <v>2</v>
      </c>
      <c r="F3368" s="2">
        <v>3</v>
      </c>
      <c r="G3368" s="4">
        <v>3</v>
      </c>
      <c r="H3368" s="13"/>
      <c r="I3368" s="15"/>
      <c r="J3368" s="19">
        <v>3</v>
      </c>
      <c r="K3368" s="2" t="s">
        <v>6748</v>
      </c>
      <c r="L3368" s="11" t="str">
        <f t="shared" si="53"/>
        <v>Ver Imagen</v>
      </c>
      <c r="M3368" t="s">
        <v>15</v>
      </c>
    </row>
    <row r="3369" spans="1:13" x14ac:dyDescent="0.25">
      <c r="A3369">
        <v>3369</v>
      </c>
      <c r="B3369" t="s">
        <v>6749</v>
      </c>
      <c r="C3369" s="1">
        <v>37.192772831699997</v>
      </c>
      <c r="D3369" s="1">
        <v>-6.9774729868899996</v>
      </c>
      <c r="E3369" s="3">
        <v>2</v>
      </c>
      <c r="F3369" s="2">
        <v>3</v>
      </c>
      <c r="G3369" s="4">
        <v>3</v>
      </c>
      <c r="H3369" s="13"/>
      <c r="I3369" s="15"/>
      <c r="J3369" s="19">
        <v>3</v>
      </c>
      <c r="K3369" s="2" t="s">
        <v>6750</v>
      </c>
      <c r="L3369" s="11" t="str">
        <f t="shared" ref="L3369:L3432" si="54">HYPERLINK("3\1\" &amp; K3369, "Ver Imagen")</f>
        <v>Ver Imagen</v>
      </c>
      <c r="M3369" t="s">
        <v>15</v>
      </c>
    </row>
    <row r="3370" spans="1:13" x14ac:dyDescent="0.25">
      <c r="A3370">
        <v>3370</v>
      </c>
      <c r="B3370" t="s">
        <v>6751</v>
      </c>
      <c r="C3370" s="1">
        <v>37.1931651855</v>
      </c>
      <c r="D3370" s="1">
        <v>-6.97747874557</v>
      </c>
      <c r="E3370" s="3">
        <v>3</v>
      </c>
      <c r="F3370" s="2">
        <v>3</v>
      </c>
      <c r="G3370" s="4">
        <v>2</v>
      </c>
      <c r="H3370" s="13"/>
      <c r="I3370" s="15"/>
      <c r="J3370" s="19">
        <v>3</v>
      </c>
      <c r="K3370" s="2" t="s">
        <v>6752</v>
      </c>
      <c r="L3370" s="11" t="str">
        <f t="shared" si="54"/>
        <v>Ver Imagen</v>
      </c>
      <c r="M3370" t="s">
        <v>15</v>
      </c>
    </row>
    <row r="3371" spans="1:13" x14ac:dyDescent="0.25">
      <c r="A3371">
        <v>3371</v>
      </c>
      <c r="B3371" t="s">
        <v>6753</v>
      </c>
      <c r="C3371" s="1">
        <v>37.193991973499998</v>
      </c>
      <c r="D3371" s="1">
        <v>-6.9775799891699997</v>
      </c>
      <c r="E3371" s="3">
        <v>3</v>
      </c>
      <c r="F3371" s="2">
        <v>3</v>
      </c>
      <c r="G3371" s="4">
        <v>4</v>
      </c>
      <c r="H3371" s="13"/>
      <c r="I3371" s="15"/>
      <c r="J3371" s="19">
        <v>3</v>
      </c>
      <c r="K3371" s="2" t="s">
        <v>6754</v>
      </c>
      <c r="L3371" s="11" t="str">
        <f t="shared" si="54"/>
        <v>Ver Imagen</v>
      </c>
      <c r="M3371" t="s">
        <v>15</v>
      </c>
    </row>
    <row r="3372" spans="1:13" x14ac:dyDescent="0.25">
      <c r="A3372">
        <v>3372</v>
      </c>
      <c r="B3372" t="s">
        <v>6755</v>
      </c>
      <c r="C3372" s="1">
        <v>37.264607929500002</v>
      </c>
      <c r="D3372" s="1">
        <v>-7.0011215058099996</v>
      </c>
      <c r="E3372" s="3">
        <v>4</v>
      </c>
      <c r="F3372" s="2">
        <v>3</v>
      </c>
      <c r="G3372" s="4">
        <v>3</v>
      </c>
      <c r="H3372" s="13"/>
      <c r="I3372" s="15"/>
      <c r="J3372" s="19">
        <v>3</v>
      </c>
      <c r="K3372" s="2" t="s">
        <v>6756</v>
      </c>
      <c r="L3372" s="11" t="str">
        <f t="shared" si="54"/>
        <v>Ver Imagen</v>
      </c>
      <c r="M3372" t="s">
        <v>15</v>
      </c>
    </row>
    <row r="3373" spans="1:13" x14ac:dyDescent="0.25">
      <c r="A3373">
        <v>3373</v>
      </c>
      <c r="B3373" t="s">
        <v>6757</v>
      </c>
      <c r="C3373" s="1">
        <v>37.264558803699998</v>
      </c>
      <c r="D3373" s="1">
        <v>-7.0013937751900004</v>
      </c>
      <c r="E3373" s="3">
        <v>3</v>
      </c>
      <c r="F3373" s="2">
        <v>3</v>
      </c>
      <c r="G3373" s="4">
        <v>2</v>
      </c>
      <c r="H3373" s="13"/>
      <c r="I3373" s="15"/>
      <c r="J3373" s="19">
        <v>3</v>
      </c>
      <c r="K3373" s="2" t="s">
        <v>6758</v>
      </c>
      <c r="L3373" s="11" t="str">
        <f t="shared" si="54"/>
        <v>Ver Imagen</v>
      </c>
      <c r="M3373" t="s">
        <v>15</v>
      </c>
    </row>
    <row r="3374" spans="1:13" x14ac:dyDescent="0.25">
      <c r="A3374">
        <v>3374</v>
      </c>
      <c r="B3374" t="s">
        <v>6759</v>
      </c>
      <c r="C3374" s="1">
        <v>37.196950375299998</v>
      </c>
      <c r="D3374" s="1">
        <v>-6.9791779205799997</v>
      </c>
      <c r="E3374" s="3">
        <v>3</v>
      </c>
      <c r="F3374" s="2">
        <v>3</v>
      </c>
      <c r="G3374" s="4">
        <v>2</v>
      </c>
      <c r="H3374" s="13"/>
      <c r="I3374" s="15"/>
      <c r="J3374" s="19">
        <v>3</v>
      </c>
      <c r="K3374" s="2" t="s">
        <v>6760</v>
      </c>
      <c r="L3374" s="11" t="str">
        <f t="shared" si="54"/>
        <v>Ver Imagen</v>
      </c>
      <c r="M3374" t="s">
        <v>15</v>
      </c>
    </row>
    <row r="3375" spans="1:13" x14ac:dyDescent="0.25">
      <c r="A3375">
        <v>3375</v>
      </c>
      <c r="B3375" t="s">
        <v>6761</v>
      </c>
      <c r="C3375" s="1">
        <v>37.264279895000001</v>
      </c>
      <c r="D3375" s="1">
        <v>-7.0029449889500004</v>
      </c>
      <c r="E3375" s="3">
        <v>2</v>
      </c>
      <c r="F3375" s="2">
        <v>3</v>
      </c>
      <c r="G3375" s="4">
        <v>3</v>
      </c>
      <c r="H3375" s="13"/>
      <c r="I3375" s="15"/>
      <c r="J3375" s="19">
        <v>3</v>
      </c>
      <c r="K3375" s="2" t="s">
        <v>6762</v>
      </c>
      <c r="L3375" s="11" t="str">
        <f t="shared" si="54"/>
        <v>Ver Imagen</v>
      </c>
      <c r="M3375" t="s">
        <v>15</v>
      </c>
    </row>
    <row r="3376" spans="1:13" x14ac:dyDescent="0.25">
      <c r="A3376">
        <v>3376</v>
      </c>
      <c r="B3376" t="s">
        <v>6763</v>
      </c>
      <c r="C3376" s="1">
        <v>37.264243085300002</v>
      </c>
      <c r="D3376" s="1">
        <v>-7.0031528592500001</v>
      </c>
      <c r="E3376" s="3">
        <v>2</v>
      </c>
      <c r="F3376" s="2">
        <v>3</v>
      </c>
      <c r="G3376" s="4">
        <v>3</v>
      </c>
      <c r="H3376" s="13"/>
      <c r="I3376" s="15"/>
      <c r="J3376" s="19">
        <v>3</v>
      </c>
      <c r="K3376" s="2" t="s">
        <v>6764</v>
      </c>
      <c r="L3376" s="11" t="str">
        <f t="shared" si="54"/>
        <v>Ver Imagen</v>
      </c>
      <c r="M3376" t="s">
        <v>15</v>
      </c>
    </row>
    <row r="3377" spans="1:13" x14ac:dyDescent="0.25">
      <c r="A3377">
        <v>3377</v>
      </c>
      <c r="B3377" t="s">
        <v>6765</v>
      </c>
      <c r="C3377" s="1">
        <v>37.264198866599997</v>
      </c>
      <c r="D3377" s="1">
        <v>-7.0034038130600003</v>
      </c>
      <c r="E3377" s="3">
        <v>2</v>
      </c>
      <c r="F3377" s="2">
        <v>3</v>
      </c>
      <c r="G3377" s="4">
        <v>3</v>
      </c>
      <c r="H3377" s="13"/>
      <c r="I3377" s="15"/>
      <c r="J3377" s="19">
        <v>3</v>
      </c>
      <c r="K3377" s="2" t="s">
        <v>6766</v>
      </c>
      <c r="L3377" s="11" t="str">
        <f t="shared" si="54"/>
        <v>Ver Imagen</v>
      </c>
      <c r="M3377" t="s">
        <v>15</v>
      </c>
    </row>
    <row r="3378" spans="1:13" x14ac:dyDescent="0.25">
      <c r="A3378">
        <v>3378</v>
      </c>
      <c r="B3378" t="s">
        <v>6767</v>
      </c>
      <c r="C3378" s="1">
        <v>37.264150559900003</v>
      </c>
      <c r="D3378" s="1">
        <v>-7.0036792870799998</v>
      </c>
      <c r="E3378" s="3">
        <v>2</v>
      </c>
      <c r="F3378" s="2">
        <v>3</v>
      </c>
      <c r="G3378" s="4">
        <v>3</v>
      </c>
      <c r="H3378" s="13"/>
      <c r="I3378" s="15"/>
      <c r="J3378" s="19">
        <v>3</v>
      </c>
      <c r="K3378" s="2" t="s">
        <v>6768</v>
      </c>
      <c r="L3378" s="11" t="str">
        <f t="shared" si="54"/>
        <v>Ver Imagen</v>
      </c>
      <c r="M3378" t="s">
        <v>15</v>
      </c>
    </row>
    <row r="3379" spans="1:13" x14ac:dyDescent="0.25">
      <c r="A3379">
        <v>3379</v>
      </c>
      <c r="B3379" t="s">
        <v>6769</v>
      </c>
      <c r="C3379" s="1">
        <v>37.264116165499999</v>
      </c>
      <c r="D3379" s="1">
        <v>-7.0038748008000002</v>
      </c>
      <c r="E3379" s="3">
        <v>2</v>
      </c>
      <c r="F3379" s="2">
        <v>3</v>
      </c>
      <c r="G3379" s="4">
        <v>3</v>
      </c>
      <c r="H3379" s="13"/>
      <c r="I3379" s="15"/>
      <c r="J3379" s="19">
        <v>3</v>
      </c>
      <c r="K3379" s="2" t="s">
        <v>6770</v>
      </c>
      <c r="L3379" s="11" t="str">
        <f t="shared" si="54"/>
        <v>Ver Imagen</v>
      </c>
      <c r="M3379" t="s">
        <v>15</v>
      </c>
    </row>
    <row r="3380" spans="1:13" x14ac:dyDescent="0.25">
      <c r="A3380">
        <v>3380</v>
      </c>
      <c r="B3380" t="s">
        <v>6771</v>
      </c>
      <c r="C3380" s="1">
        <v>37.264072568700001</v>
      </c>
      <c r="D3380" s="1">
        <v>-7.0041199273199997</v>
      </c>
      <c r="E3380" s="3">
        <v>2</v>
      </c>
      <c r="F3380" s="2">
        <v>3</v>
      </c>
      <c r="G3380" s="4">
        <v>3</v>
      </c>
      <c r="H3380" s="13"/>
      <c r="I3380" s="15"/>
      <c r="J3380" s="19">
        <v>3</v>
      </c>
      <c r="K3380" s="2" t="s">
        <v>6772</v>
      </c>
      <c r="L3380" s="11" t="str">
        <f t="shared" si="54"/>
        <v>Ver Imagen</v>
      </c>
      <c r="M3380" t="s">
        <v>15</v>
      </c>
    </row>
    <row r="3381" spans="1:13" x14ac:dyDescent="0.25">
      <c r="A3381">
        <v>3381</v>
      </c>
      <c r="B3381" t="s">
        <v>6773</v>
      </c>
      <c r="C3381" s="1">
        <v>37.264032378300001</v>
      </c>
      <c r="D3381" s="1">
        <v>-7.0043460933499997</v>
      </c>
      <c r="E3381" s="3">
        <v>4</v>
      </c>
      <c r="F3381" s="2">
        <v>3</v>
      </c>
      <c r="G3381" s="4">
        <v>3</v>
      </c>
      <c r="H3381" s="13"/>
      <c r="I3381" s="15"/>
      <c r="J3381" s="19">
        <v>3</v>
      </c>
      <c r="K3381" s="2" t="s">
        <v>6774</v>
      </c>
      <c r="L3381" s="11" t="str">
        <f t="shared" si="54"/>
        <v>Ver Imagen</v>
      </c>
      <c r="M3381" t="s">
        <v>15</v>
      </c>
    </row>
    <row r="3382" spans="1:13" x14ac:dyDescent="0.25">
      <c r="A3382">
        <v>3382</v>
      </c>
      <c r="B3382" t="s">
        <v>6775</v>
      </c>
      <c r="C3382" s="1">
        <v>37.263940630199997</v>
      </c>
      <c r="D3382" s="1">
        <v>-7.0048669244799999</v>
      </c>
      <c r="E3382" s="3">
        <v>2</v>
      </c>
      <c r="F3382" s="2">
        <v>3</v>
      </c>
      <c r="G3382" s="4">
        <v>3</v>
      </c>
      <c r="H3382" s="13"/>
      <c r="I3382" s="15"/>
      <c r="J3382" s="19">
        <v>3</v>
      </c>
      <c r="K3382" s="2" t="s">
        <v>6776</v>
      </c>
      <c r="L3382" s="11" t="str">
        <f t="shared" si="54"/>
        <v>Ver Imagen</v>
      </c>
      <c r="M3382" t="s">
        <v>15</v>
      </c>
    </row>
    <row r="3383" spans="1:13" x14ac:dyDescent="0.25">
      <c r="A3383">
        <v>3383</v>
      </c>
      <c r="B3383" t="s">
        <v>6777</v>
      </c>
      <c r="C3383" s="1">
        <v>37.263900848600002</v>
      </c>
      <c r="D3383" s="1">
        <v>-7.0050916078299998</v>
      </c>
      <c r="E3383" s="3">
        <v>2</v>
      </c>
      <c r="F3383" s="2">
        <v>3</v>
      </c>
      <c r="G3383" s="4">
        <v>3</v>
      </c>
      <c r="H3383" s="13"/>
      <c r="I3383" s="15"/>
      <c r="J3383" s="19">
        <v>3</v>
      </c>
      <c r="K3383" s="2" t="s">
        <v>6778</v>
      </c>
      <c r="L3383" s="11" t="str">
        <f t="shared" si="54"/>
        <v>Ver Imagen</v>
      </c>
      <c r="M3383" t="s">
        <v>15</v>
      </c>
    </row>
    <row r="3384" spans="1:13" x14ac:dyDescent="0.25">
      <c r="A3384">
        <v>3384</v>
      </c>
      <c r="B3384" t="s">
        <v>6779</v>
      </c>
      <c r="C3384" s="1">
        <v>37.263855808899997</v>
      </c>
      <c r="D3384" s="1">
        <v>-7.0053450551500003</v>
      </c>
      <c r="E3384" s="3">
        <v>2</v>
      </c>
      <c r="F3384" s="2">
        <v>3</v>
      </c>
      <c r="G3384" s="4">
        <v>3</v>
      </c>
      <c r="H3384" s="13"/>
      <c r="I3384" s="15"/>
      <c r="J3384" s="19">
        <v>3</v>
      </c>
      <c r="K3384" s="2" t="s">
        <v>6780</v>
      </c>
      <c r="L3384" s="11" t="str">
        <f t="shared" si="54"/>
        <v>Ver Imagen</v>
      </c>
      <c r="M3384" t="s">
        <v>15</v>
      </c>
    </row>
    <row r="3385" spans="1:13" x14ac:dyDescent="0.25">
      <c r="A3385">
        <v>3385</v>
      </c>
      <c r="B3385" t="s">
        <v>6781</v>
      </c>
      <c r="C3385" s="1">
        <v>37.263809694999999</v>
      </c>
      <c r="D3385" s="1">
        <v>-7.0056053340500002</v>
      </c>
      <c r="E3385" s="3">
        <v>2</v>
      </c>
      <c r="F3385" s="2">
        <v>3</v>
      </c>
      <c r="G3385" s="4">
        <v>3</v>
      </c>
      <c r="H3385" s="13"/>
      <c r="I3385" s="15"/>
      <c r="J3385" s="19">
        <v>3</v>
      </c>
      <c r="K3385" s="2" t="s">
        <v>6782</v>
      </c>
      <c r="L3385" s="11" t="str">
        <f t="shared" si="54"/>
        <v>Ver Imagen</v>
      </c>
      <c r="M3385" t="s">
        <v>15</v>
      </c>
    </row>
    <row r="3386" spans="1:13" x14ac:dyDescent="0.25">
      <c r="A3386">
        <v>3386</v>
      </c>
      <c r="B3386" t="s">
        <v>6783</v>
      </c>
      <c r="C3386" s="1">
        <v>37.263769031400003</v>
      </c>
      <c r="D3386" s="1">
        <v>-7.0058340207400001</v>
      </c>
      <c r="E3386" s="3">
        <v>2</v>
      </c>
      <c r="F3386" s="2">
        <v>3</v>
      </c>
      <c r="G3386" s="4">
        <v>3</v>
      </c>
      <c r="H3386" s="13"/>
      <c r="I3386" s="15"/>
      <c r="J3386" s="19">
        <v>3</v>
      </c>
      <c r="K3386" s="2" t="s">
        <v>6784</v>
      </c>
      <c r="L3386" s="11" t="str">
        <f t="shared" si="54"/>
        <v>Ver Imagen</v>
      </c>
      <c r="M3386" t="s">
        <v>15</v>
      </c>
    </row>
    <row r="3387" spans="1:13" x14ac:dyDescent="0.25">
      <c r="A3387">
        <v>3387</v>
      </c>
      <c r="B3387" t="s">
        <v>6785</v>
      </c>
      <c r="C3387" s="1">
        <v>37.263714626300001</v>
      </c>
      <c r="D3387" s="1">
        <v>-7.0061369887499998</v>
      </c>
      <c r="E3387" s="3">
        <v>2</v>
      </c>
      <c r="F3387" s="2">
        <v>3</v>
      </c>
      <c r="G3387" s="4">
        <v>3</v>
      </c>
      <c r="H3387" s="13"/>
      <c r="I3387" s="15"/>
      <c r="J3387" s="19">
        <v>3</v>
      </c>
      <c r="K3387" s="2" t="s">
        <v>6786</v>
      </c>
      <c r="L3387" s="11" t="str">
        <f t="shared" si="54"/>
        <v>Ver Imagen</v>
      </c>
      <c r="M3387" t="s">
        <v>15</v>
      </c>
    </row>
    <row r="3388" spans="1:13" x14ac:dyDescent="0.25">
      <c r="A3388">
        <v>3388</v>
      </c>
      <c r="B3388" t="s">
        <v>6787</v>
      </c>
      <c r="C3388" s="1">
        <v>37.263676428899998</v>
      </c>
      <c r="D3388" s="1">
        <v>-7.0063492609600004</v>
      </c>
      <c r="E3388" s="3">
        <v>2</v>
      </c>
      <c r="F3388" s="2">
        <v>3</v>
      </c>
      <c r="G3388" s="4">
        <v>3</v>
      </c>
      <c r="H3388" s="13"/>
      <c r="I3388" s="15"/>
      <c r="J3388" s="19">
        <v>3</v>
      </c>
      <c r="K3388" s="2" t="s">
        <v>6788</v>
      </c>
      <c r="L3388" s="11" t="str">
        <f t="shared" si="54"/>
        <v>Ver Imagen</v>
      </c>
      <c r="M3388" t="s">
        <v>15</v>
      </c>
    </row>
    <row r="3389" spans="1:13" x14ac:dyDescent="0.25">
      <c r="A3389">
        <v>3389</v>
      </c>
      <c r="B3389" t="s">
        <v>6789</v>
      </c>
      <c r="C3389" s="1">
        <v>37.263633676700003</v>
      </c>
      <c r="D3389" s="1">
        <v>-7.0065857985399997</v>
      </c>
      <c r="E3389" s="3">
        <v>2</v>
      </c>
      <c r="F3389" s="2">
        <v>3</v>
      </c>
      <c r="G3389" s="4">
        <v>3</v>
      </c>
      <c r="H3389" s="13"/>
      <c r="I3389" s="15"/>
      <c r="J3389" s="19">
        <v>3</v>
      </c>
      <c r="K3389" s="2" t="s">
        <v>6790</v>
      </c>
      <c r="L3389" s="11" t="str">
        <f t="shared" si="54"/>
        <v>Ver Imagen</v>
      </c>
      <c r="M3389" t="s">
        <v>15</v>
      </c>
    </row>
    <row r="3390" spans="1:13" x14ac:dyDescent="0.25">
      <c r="A3390">
        <v>3390</v>
      </c>
      <c r="B3390" t="s">
        <v>6791</v>
      </c>
      <c r="C3390" s="1">
        <v>37.1972644501</v>
      </c>
      <c r="D3390" s="1">
        <v>-6.97949745795</v>
      </c>
      <c r="E3390" s="3">
        <v>3</v>
      </c>
      <c r="F3390" s="2">
        <v>3</v>
      </c>
      <c r="G3390" s="4">
        <v>4</v>
      </c>
      <c r="H3390" s="13"/>
      <c r="I3390" s="15"/>
      <c r="J3390" s="19">
        <v>3</v>
      </c>
      <c r="K3390" s="2" t="s">
        <v>6792</v>
      </c>
      <c r="L3390" s="11" t="str">
        <f t="shared" si="54"/>
        <v>Ver Imagen</v>
      </c>
      <c r="M3390" t="s">
        <v>15</v>
      </c>
    </row>
    <row r="3391" spans="1:13" x14ac:dyDescent="0.25">
      <c r="A3391">
        <v>3391</v>
      </c>
      <c r="B3391" t="s">
        <v>6793</v>
      </c>
      <c r="C3391" s="1">
        <v>37.197433118500001</v>
      </c>
      <c r="D3391" s="1">
        <v>-6.9796843960599997</v>
      </c>
      <c r="E3391" s="3">
        <v>2</v>
      </c>
      <c r="F3391" s="2">
        <v>3</v>
      </c>
      <c r="G3391" s="4">
        <v>3</v>
      </c>
      <c r="H3391" s="13"/>
      <c r="I3391" s="15"/>
      <c r="J3391" s="19">
        <v>3</v>
      </c>
      <c r="K3391" s="2" t="s">
        <v>6794</v>
      </c>
      <c r="L3391" s="11" t="str">
        <f t="shared" si="54"/>
        <v>Ver Imagen</v>
      </c>
      <c r="M3391" t="s">
        <v>15</v>
      </c>
    </row>
    <row r="3392" spans="1:13" x14ac:dyDescent="0.25">
      <c r="A3392">
        <v>3392</v>
      </c>
      <c r="B3392" t="s">
        <v>6795</v>
      </c>
      <c r="C3392" s="1">
        <v>37.1975616677</v>
      </c>
      <c r="D3392" s="1">
        <v>-6.97983518793</v>
      </c>
      <c r="E3392" s="3">
        <v>2</v>
      </c>
      <c r="F3392" s="2">
        <v>3</v>
      </c>
      <c r="G3392" s="4">
        <v>3</v>
      </c>
      <c r="H3392" s="13"/>
      <c r="I3392" s="15"/>
      <c r="J3392" s="19">
        <v>3</v>
      </c>
      <c r="K3392" s="2" t="s">
        <v>6796</v>
      </c>
      <c r="L3392" s="11" t="str">
        <f t="shared" si="54"/>
        <v>Ver Imagen</v>
      </c>
      <c r="M3392" t="s">
        <v>15</v>
      </c>
    </row>
    <row r="3393" spans="1:13" x14ac:dyDescent="0.25">
      <c r="A3393">
        <v>3393</v>
      </c>
      <c r="B3393" t="s">
        <v>6797</v>
      </c>
      <c r="C3393" s="1">
        <v>37.198082489299999</v>
      </c>
      <c r="D3393" s="1">
        <v>-6.9805506967199999</v>
      </c>
      <c r="E3393" s="3">
        <v>2</v>
      </c>
      <c r="F3393" s="2">
        <v>3</v>
      </c>
      <c r="G3393" s="4">
        <v>3</v>
      </c>
      <c r="H3393" s="13"/>
      <c r="I3393" s="15"/>
      <c r="J3393" s="19">
        <v>3</v>
      </c>
      <c r="K3393" s="2" t="s">
        <v>6798</v>
      </c>
      <c r="L3393" s="11" t="str">
        <f t="shared" si="54"/>
        <v>Ver Imagen</v>
      </c>
      <c r="M3393" t="s">
        <v>15</v>
      </c>
    </row>
    <row r="3394" spans="1:13" x14ac:dyDescent="0.25">
      <c r="A3394">
        <v>3394</v>
      </c>
      <c r="B3394" t="s">
        <v>6799</v>
      </c>
      <c r="C3394" s="1">
        <v>37.198773392299998</v>
      </c>
      <c r="D3394" s="1">
        <v>-6.9818450452800001</v>
      </c>
      <c r="E3394" s="3">
        <v>2</v>
      </c>
      <c r="F3394" s="2">
        <v>3</v>
      </c>
      <c r="G3394" s="4">
        <v>3</v>
      </c>
      <c r="H3394" s="13"/>
      <c r="I3394" s="15"/>
      <c r="J3394" s="19">
        <v>3</v>
      </c>
      <c r="K3394" s="2" t="s">
        <v>6800</v>
      </c>
      <c r="L3394" s="11" t="str">
        <f t="shared" si="54"/>
        <v>Ver Imagen</v>
      </c>
      <c r="M3394" t="s">
        <v>15</v>
      </c>
    </row>
    <row r="3395" spans="1:13" x14ac:dyDescent="0.25">
      <c r="A3395">
        <v>3395</v>
      </c>
      <c r="B3395" t="s">
        <v>6801</v>
      </c>
      <c r="C3395" s="1">
        <v>37.198858296700003</v>
      </c>
      <c r="D3395" s="1">
        <v>-6.9820442566900001</v>
      </c>
      <c r="E3395" s="3">
        <v>2</v>
      </c>
      <c r="F3395" s="2">
        <v>3</v>
      </c>
      <c r="G3395" s="4">
        <v>3</v>
      </c>
      <c r="H3395" s="13"/>
      <c r="I3395" s="15"/>
      <c r="J3395" s="19">
        <v>3</v>
      </c>
      <c r="K3395" s="2" t="s">
        <v>6802</v>
      </c>
      <c r="L3395" s="11" t="str">
        <f t="shared" si="54"/>
        <v>Ver Imagen</v>
      </c>
      <c r="M3395" t="s">
        <v>15</v>
      </c>
    </row>
    <row r="3396" spans="1:13" x14ac:dyDescent="0.25">
      <c r="A3396">
        <v>3396</v>
      </c>
      <c r="B3396" t="s">
        <v>6803</v>
      </c>
      <c r="C3396" s="1">
        <v>37.198944782700003</v>
      </c>
      <c r="D3396" s="1">
        <v>-6.9822580840199997</v>
      </c>
      <c r="E3396" s="3">
        <v>2</v>
      </c>
      <c r="F3396" s="2">
        <v>3</v>
      </c>
      <c r="G3396" s="4">
        <v>3</v>
      </c>
      <c r="H3396" s="13"/>
      <c r="I3396" s="15"/>
      <c r="J3396" s="19">
        <v>3</v>
      </c>
      <c r="K3396" s="2" t="s">
        <v>6804</v>
      </c>
      <c r="L3396" s="11" t="str">
        <f t="shared" si="54"/>
        <v>Ver Imagen</v>
      </c>
      <c r="M3396" t="s">
        <v>15</v>
      </c>
    </row>
    <row r="3397" spans="1:13" x14ac:dyDescent="0.25">
      <c r="A3397">
        <v>3397</v>
      </c>
      <c r="B3397" t="s">
        <v>6805</v>
      </c>
      <c r="C3397" s="1">
        <v>37.2631275277</v>
      </c>
      <c r="D3397" s="1">
        <v>-7.0084962526099996</v>
      </c>
      <c r="E3397" s="3">
        <v>2</v>
      </c>
      <c r="F3397" s="2">
        <v>3</v>
      </c>
      <c r="G3397" s="4">
        <v>3</v>
      </c>
      <c r="H3397" s="13"/>
      <c r="I3397" s="15"/>
      <c r="J3397" s="19">
        <v>3</v>
      </c>
      <c r="K3397" s="2" t="s">
        <v>6806</v>
      </c>
      <c r="L3397" s="11" t="str">
        <f t="shared" si="54"/>
        <v>Ver Imagen</v>
      </c>
      <c r="M3397" t="s">
        <v>15</v>
      </c>
    </row>
    <row r="3398" spans="1:13" x14ac:dyDescent="0.25">
      <c r="A3398">
        <v>3398</v>
      </c>
      <c r="B3398" t="s">
        <v>6807</v>
      </c>
      <c r="C3398" s="1">
        <v>37.199352613000002</v>
      </c>
      <c r="D3398" s="1">
        <v>-6.9834346155000002</v>
      </c>
      <c r="E3398" s="3">
        <v>2</v>
      </c>
      <c r="F3398" s="2">
        <v>3</v>
      </c>
      <c r="G3398" s="4">
        <v>3</v>
      </c>
      <c r="H3398" s="13"/>
      <c r="I3398" s="15"/>
      <c r="J3398" s="19">
        <v>3</v>
      </c>
      <c r="K3398" s="2" t="s">
        <v>6808</v>
      </c>
      <c r="L3398" s="11" t="str">
        <f t="shared" si="54"/>
        <v>Ver Imagen</v>
      </c>
      <c r="M3398" t="s">
        <v>15</v>
      </c>
    </row>
    <row r="3399" spans="1:13" x14ac:dyDescent="0.25">
      <c r="A3399">
        <v>3399</v>
      </c>
      <c r="B3399" t="s">
        <v>6809</v>
      </c>
      <c r="C3399" s="1">
        <v>37.1994306235</v>
      </c>
      <c r="D3399" s="1">
        <v>-6.9836913903499998</v>
      </c>
      <c r="E3399" s="3">
        <v>2</v>
      </c>
      <c r="F3399" s="2">
        <v>3</v>
      </c>
      <c r="G3399" s="4">
        <v>3</v>
      </c>
      <c r="H3399" s="13"/>
      <c r="I3399" s="15"/>
      <c r="J3399" s="19">
        <v>3</v>
      </c>
      <c r="K3399" s="2" t="s">
        <v>6810</v>
      </c>
      <c r="L3399" s="11" t="str">
        <f t="shared" si="54"/>
        <v>Ver Imagen</v>
      </c>
      <c r="M3399" t="s">
        <v>15</v>
      </c>
    </row>
    <row r="3400" spans="1:13" x14ac:dyDescent="0.25">
      <c r="A3400">
        <v>3400</v>
      </c>
      <c r="B3400" t="s">
        <v>6811</v>
      </c>
      <c r="C3400" s="1">
        <v>37.199490491299997</v>
      </c>
      <c r="D3400" s="1">
        <v>-6.9838958097699999</v>
      </c>
      <c r="E3400" s="3">
        <v>2</v>
      </c>
      <c r="F3400" s="2">
        <v>3</v>
      </c>
      <c r="G3400" s="4">
        <v>3</v>
      </c>
      <c r="H3400" s="13"/>
      <c r="I3400" s="15"/>
      <c r="J3400" s="19">
        <v>3</v>
      </c>
      <c r="K3400" s="2" t="s">
        <v>6812</v>
      </c>
      <c r="L3400" s="11" t="str">
        <f t="shared" si="54"/>
        <v>Ver Imagen</v>
      </c>
      <c r="M3400" t="s">
        <v>15</v>
      </c>
    </row>
    <row r="3401" spans="1:13" x14ac:dyDescent="0.25">
      <c r="A3401">
        <v>3401</v>
      </c>
      <c r="B3401" t="s">
        <v>6813</v>
      </c>
      <c r="C3401" s="1">
        <v>37.261173914899999</v>
      </c>
      <c r="D3401" s="1">
        <v>-7.01095771569</v>
      </c>
      <c r="E3401" s="3">
        <v>2</v>
      </c>
      <c r="F3401" s="2">
        <v>3</v>
      </c>
      <c r="G3401" s="4">
        <v>3</v>
      </c>
      <c r="H3401" s="13"/>
      <c r="I3401" s="15"/>
      <c r="J3401" s="19">
        <v>3</v>
      </c>
      <c r="K3401" s="2" t="s">
        <v>6814</v>
      </c>
      <c r="L3401" s="11" t="str">
        <f t="shared" si="54"/>
        <v>Ver Imagen</v>
      </c>
      <c r="M3401" t="s">
        <v>15</v>
      </c>
    </row>
    <row r="3402" spans="1:13" x14ac:dyDescent="0.25">
      <c r="A3402">
        <v>3402</v>
      </c>
      <c r="B3402" t="s">
        <v>6815</v>
      </c>
      <c r="C3402" s="1">
        <v>37.200007475299998</v>
      </c>
      <c r="D3402" s="1">
        <v>-6.98587057615</v>
      </c>
      <c r="E3402" s="3">
        <v>3</v>
      </c>
      <c r="F3402" s="2">
        <v>3</v>
      </c>
      <c r="G3402" s="4">
        <v>4</v>
      </c>
      <c r="H3402" s="13"/>
      <c r="I3402" s="15"/>
      <c r="J3402" s="19">
        <v>3</v>
      </c>
      <c r="K3402" s="2" t="s">
        <v>6816</v>
      </c>
      <c r="L3402" s="11" t="str">
        <f t="shared" si="54"/>
        <v>Ver Imagen</v>
      </c>
      <c r="M3402" t="s">
        <v>15</v>
      </c>
    </row>
    <row r="3403" spans="1:13" x14ac:dyDescent="0.25">
      <c r="A3403">
        <v>3403</v>
      </c>
      <c r="B3403" t="s">
        <v>6817</v>
      </c>
      <c r="C3403" s="1">
        <v>37.260263776899997</v>
      </c>
      <c r="D3403" s="1">
        <v>-7.01154047135</v>
      </c>
      <c r="E3403" s="3">
        <v>3</v>
      </c>
      <c r="F3403" s="2">
        <v>3</v>
      </c>
      <c r="G3403" s="4">
        <v>2</v>
      </c>
      <c r="H3403" s="13"/>
      <c r="I3403" s="15"/>
      <c r="J3403" s="19">
        <v>3</v>
      </c>
      <c r="K3403" s="2" t="s">
        <v>6818</v>
      </c>
      <c r="L3403" s="11" t="str">
        <f t="shared" si="54"/>
        <v>Ver Imagen</v>
      </c>
      <c r="M3403" t="s">
        <v>15</v>
      </c>
    </row>
    <row r="3404" spans="1:13" x14ac:dyDescent="0.25">
      <c r="A3404">
        <v>3404</v>
      </c>
      <c r="B3404" t="s">
        <v>6819</v>
      </c>
      <c r="C3404" s="1">
        <v>37.200191611299999</v>
      </c>
      <c r="D3404" s="1">
        <v>-6.9866235672199997</v>
      </c>
      <c r="E3404" s="3">
        <v>2</v>
      </c>
      <c r="F3404" s="2">
        <v>3</v>
      </c>
      <c r="G3404" s="4">
        <v>3</v>
      </c>
      <c r="H3404" s="13"/>
      <c r="I3404" s="15"/>
      <c r="J3404" s="19">
        <v>3</v>
      </c>
      <c r="K3404" s="2" t="s">
        <v>6820</v>
      </c>
      <c r="L3404" s="11" t="str">
        <f t="shared" si="54"/>
        <v>Ver Imagen</v>
      </c>
      <c r="M3404" t="s">
        <v>15</v>
      </c>
    </row>
    <row r="3405" spans="1:13" x14ac:dyDescent="0.25">
      <c r="A3405">
        <v>3405</v>
      </c>
      <c r="B3405" t="s">
        <v>6821</v>
      </c>
      <c r="C3405" s="1">
        <v>37.259881104999998</v>
      </c>
      <c r="D3405" s="1">
        <v>-7.0117833489299999</v>
      </c>
      <c r="E3405" s="3">
        <v>2</v>
      </c>
      <c r="F3405" s="2">
        <v>3</v>
      </c>
      <c r="G3405" s="4">
        <v>3</v>
      </c>
      <c r="H3405" s="13"/>
      <c r="I3405" s="15"/>
      <c r="J3405" s="19">
        <v>3</v>
      </c>
      <c r="K3405" s="2" t="s">
        <v>6822</v>
      </c>
      <c r="L3405" s="11" t="str">
        <f t="shared" si="54"/>
        <v>Ver Imagen</v>
      </c>
      <c r="M3405" t="s">
        <v>15</v>
      </c>
    </row>
    <row r="3406" spans="1:13" x14ac:dyDescent="0.25">
      <c r="A3406">
        <v>3406</v>
      </c>
      <c r="B3406" t="s">
        <v>6823</v>
      </c>
      <c r="C3406" s="1">
        <v>37.200285919199999</v>
      </c>
      <c r="D3406" s="1">
        <v>-6.9870126183199996</v>
      </c>
      <c r="E3406" s="3">
        <v>2</v>
      </c>
      <c r="F3406" s="2">
        <v>3</v>
      </c>
      <c r="G3406" s="4">
        <v>3</v>
      </c>
      <c r="H3406" s="13"/>
      <c r="I3406" s="15"/>
      <c r="J3406" s="19">
        <v>3</v>
      </c>
      <c r="K3406" s="2" t="s">
        <v>6824</v>
      </c>
      <c r="L3406" s="11" t="str">
        <f t="shared" si="54"/>
        <v>Ver Imagen</v>
      </c>
      <c r="M3406" t="s">
        <v>15</v>
      </c>
    </row>
    <row r="3407" spans="1:13" x14ac:dyDescent="0.25">
      <c r="A3407">
        <v>3407</v>
      </c>
      <c r="B3407" t="s">
        <v>6825</v>
      </c>
      <c r="C3407" s="1">
        <v>37.200402343500002</v>
      </c>
      <c r="D3407" s="1">
        <v>-6.9875087648500003</v>
      </c>
      <c r="E3407" s="3">
        <v>2</v>
      </c>
      <c r="F3407" s="2">
        <v>3</v>
      </c>
      <c r="G3407" s="4">
        <v>3</v>
      </c>
      <c r="H3407" s="13"/>
      <c r="I3407" s="15"/>
      <c r="J3407" s="19">
        <v>3</v>
      </c>
      <c r="K3407" s="2" t="s">
        <v>6826</v>
      </c>
      <c r="L3407" s="11" t="str">
        <f t="shared" si="54"/>
        <v>Ver Imagen</v>
      </c>
      <c r="M3407" t="s">
        <v>15</v>
      </c>
    </row>
    <row r="3408" spans="1:13" x14ac:dyDescent="0.25">
      <c r="A3408">
        <v>3408</v>
      </c>
      <c r="B3408" t="s">
        <v>6827</v>
      </c>
      <c r="C3408" s="1">
        <v>37.200463919900002</v>
      </c>
      <c r="D3408" s="1">
        <v>-6.9877769184099998</v>
      </c>
      <c r="E3408" s="3">
        <v>2</v>
      </c>
      <c r="F3408" s="2">
        <v>3</v>
      </c>
      <c r="G3408" s="4">
        <v>3</v>
      </c>
      <c r="H3408" s="13"/>
      <c r="I3408" s="15"/>
      <c r="J3408" s="19">
        <v>3</v>
      </c>
      <c r="K3408" s="2" t="s">
        <v>6828</v>
      </c>
      <c r="L3408" s="11" t="str">
        <f t="shared" si="54"/>
        <v>Ver Imagen</v>
      </c>
      <c r="M3408" t="s">
        <v>15</v>
      </c>
    </row>
    <row r="3409" spans="1:13" x14ac:dyDescent="0.25">
      <c r="A3409">
        <v>3409</v>
      </c>
      <c r="B3409" t="s">
        <v>6829</v>
      </c>
      <c r="C3409" s="1">
        <v>37.2005873859</v>
      </c>
      <c r="D3409" s="1">
        <v>-6.9883230161899998</v>
      </c>
      <c r="E3409" s="3">
        <v>2</v>
      </c>
      <c r="F3409" s="2">
        <v>3</v>
      </c>
      <c r="G3409" s="4">
        <v>3</v>
      </c>
      <c r="H3409" s="13"/>
      <c r="I3409" s="15"/>
      <c r="J3409" s="19">
        <v>3</v>
      </c>
      <c r="K3409" s="2" t="s">
        <v>6830</v>
      </c>
      <c r="L3409" s="11" t="str">
        <f t="shared" si="54"/>
        <v>Ver Imagen</v>
      </c>
      <c r="M3409" t="s">
        <v>15</v>
      </c>
    </row>
    <row r="3410" spans="1:13" x14ac:dyDescent="0.25">
      <c r="A3410">
        <v>3410</v>
      </c>
      <c r="B3410" t="s">
        <v>6831</v>
      </c>
      <c r="C3410" s="1">
        <v>37.200792038899998</v>
      </c>
      <c r="D3410" s="1">
        <v>-6.9892323033099997</v>
      </c>
      <c r="E3410" s="3">
        <v>2</v>
      </c>
      <c r="F3410" s="2">
        <v>3</v>
      </c>
      <c r="G3410" s="4">
        <v>3</v>
      </c>
      <c r="H3410" s="13"/>
      <c r="I3410" s="15"/>
      <c r="J3410" s="19">
        <v>3</v>
      </c>
      <c r="K3410" s="2" t="s">
        <v>6832</v>
      </c>
      <c r="L3410" s="11" t="str">
        <f t="shared" si="54"/>
        <v>Ver Imagen</v>
      </c>
      <c r="M3410" t="s">
        <v>15</v>
      </c>
    </row>
    <row r="3411" spans="1:13" x14ac:dyDescent="0.25">
      <c r="A3411">
        <v>3411</v>
      </c>
      <c r="B3411" t="s">
        <v>6833</v>
      </c>
      <c r="C3411" s="1">
        <v>37.200845716700002</v>
      </c>
      <c r="D3411" s="1">
        <v>-6.9894605368600002</v>
      </c>
      <c r="E3411" s="3">
        <v>2</v>
      </c>
      <c r="F3411" s="2">
        <v>3</v>
      </c>
      <c r="G3411" s="4">
        <v>3</v>
      </c>
      <c r="H3411" s="13"/>
      <c r="I3411" s="15"/>
      <c r="J3411" s="19">
        <v>3</v>
      </c>
      <c r="K3411" s="2" t="s">
        <v>6834</v>
      </c>
      <c r="L3411" s="11" t="str">
        <f t="shared" si="54"/>
        <v>Ver Imagen</v>
      </c>
      <c r="M3411" t="s">
        <v>15</v>
      </c>
    </row>
    <row r="3412" spans="1:13" x14ac:dyDescent="0.25">
      <c r="A3412">
        <v>3412</v>
      </c>
      <c r="B3412" t="s">
        <v>6835</v>
      </c>
      <c r="C3412" s="1">
        <v>37.258424985200001</v>
      </c>
      <c r="D3412" s="1">
        <v>-7.0127097246799996</v>
      </c>
      <c r="E3412" s="3">
        <v>2</v>
      </c>
      <c r="F3412" s="2">
        <v>3</v>
      </c>
      <c r="G3412" s="4">
        <v>3</v>
      </c>
      <c r="H3412" s="13"/>
      <c r="I3412" s="15"/>
      <c r="J3412" s="19">
        <v>3</v>
      </c>
      <c r="K3412" s="2" t="s">
        <v>6836</v>
      </c>
      <c r="L3412" s="11" t="str">
        <f t="shared" si="54"/>
        <v>Ver Imagen</v>
      </c>
      <c r="M3412" t="s">
        <v>15</v>
      </c>
    </row>
    <row r="3413" spans="1:13" x14ac:dyDescent="0.25">
      <c r="A3413">
        <v>3413</v>
      </c>
      <c r="B3413" t="s">
        <v>6837</v>
      </c>
      <c r="C3413" s="1">
        <v>37.258244517400001</v>
      </c>
      <c r="D3413" s="1">
        <v>-7.0128253349199996</v>
      </c>
      <c r="E3413" s="3">
        <v>2</v>
      </c>
      <c r="F3413" s="2">
        <v>3</v>
      </c>
      <c r="G3413" s="4">
        <v>3</v>
      </c>
      <c r="H3413" s="13"/>
      <c r="I3413" s="15"/>
      <c r="J3413" s="19">
        <v>3</v>
      </c>
      <c r="K3413" s="2" t="s">
        <v>6838</v>
      </c>
      <c r="L3413" s="11" t="str">
        <f t="shared" si="54"/>
        <v>Ver Imagen</v>
      </c>
      <c r="M3413" t="s">
        <v>15</v>
      </c>
    </row>
    <row r="3414" spans="1:13" x14ac:dyDescent="0.25">
      <c r="A3414">
        <v>3414</v>
      </c>
      <c r="B3414" t="s">
        <v>6839</v>
      </c>
      <c r="C3414" s="1">
        <v>37.201070204600001</v>
      </c>
      <c r="D3414" s="1">
        <v>-6.9904997438200001</v>
      </c>
      <c r="E3414" s="3">
        <v>2</v>
      </c>
      <c r="F3414" s="2">
        <v>3</v>
      </c>
      <c r="G3414" s="4">
        <v>3</v>
      </c>
      <c r="H3414" s="13"/>
      <c r="I3414" s="15"/>
      <c r="J3414" s="19">
        <v>3</v>
      </c>
      <c r="K3414" s="2" t="s">
        <v>6840</v>
      </c>
      <c r="L3414" s="11" t="str">
        <f t="shared" si="54"/>
        <v>Ver Imagen</v>
      </c>
      <c r="M3414" t="s">
        <v>15</v>
      </c>
    </row>
    <row r="3415" spans="1:13" x14ac:dyDescent="0.25">
      <c r="A3415">
        <v>3415</v>
      </c>
      <c r="B3415" t="s">
        <v>6841</v>
      </c>
      <c r="C3415" s="1">
        <v>37.2011175202</v>
      </c>
      <c r="D3415" s="1">
        <v>-6.9907292617300003</v>
      </c>
      <c r="E3415" s="3">
        <v>2</v>
      </c>
      <c r="F3415" s="2">
        <v>3</v>
      </c>
      <c r="G3415" s="4">
        <v>3</v>
      </c>
      <c r="H3415" s="13"/>
      <c r="I3415" s="15"/>
      <c r="J3415" s="19">
        <v>3</v>
      </c>
      <c r="K3415" s="2" t="s">
        <v>6842</v>
      </c>
      <c r="L3415" s="11" t="str">
        <f t="shared" si="54"/>
        <v>Ver Imagen</v>
      </c>
      <c r="M3415" t="s">
        <v>15</v>
      </c>
    </row>
    <row r="3416" spans="1:13" x14ac:dyDescent="0.25">
      <c r="A3416">
        <v>3416</v>
      </c>
      <c r="B3416" t="s">
        <v>6843</v>
      </c>
      <c r="C3416" s="1">
        <v>37.201160829000003</v>
      </c>
      <c r="D3416" s="1">
        <v>-6.9909416171799998</v>
      </c>
      <c r="E3416" s="3">
        <v>2</v>
      </c>
      <c r="F3416" s="2">
        <v>3</v>
      </c>
      <c r="G3416" s="4">
        <v>3</v>
      </c>
      <c r="H3416" s="13"/>
      <c r="I3416" s="15"/>
      <c r="J3416" s="19">
        <v>3</v>
      </c>
      <c r="K3416" s="2" t="s">
        <v>6844</v>
      </c>
      <c r="L3416" s="11" t="str">
        <f t="shared" si="54"/>
        <v>Ver Imagen</v>
      </c>
      <c r="M3416" t="s">
        <v>15</v>
      </c>
    </row>
    <row r="3417" spans="1:13" x14ac:dyDescent="0.25">
      <c r="A3417">
        <v>3417</v>
      </c>
      <c r="B3417" t="s">
        <v>6845</v>
      </c>
      <c r="C3417" s="1">
        <v>37.2012229726</v>
      </c>
      <c r="D3417" s="1">
        <v>-6.9912503354800002</v>
      </c>
      <c r="E3417" s="3">
        <v>2</v>
      </c>
      <c r="F3417" s="2">
        <v>3</v>
      </c>
      <c r="G3417" s="4">
        <v>3</v>
      </c>
      <c r="H3417" s="13"/>
      <c r="I3417" s="15"/>
      <c r="J3417" s="19">
        <v>3</v>
      </c>
      <c r="K3417" s="2" t="s">
        <v>6846</v>
      </c>
      <c r="L3417" s="11" t="str">
        <f t="shared" si="54"/>
        <v>Ver Imagen</v>
      </c>
      <c r="M3417" t="s">
        <v>15</v>
      </c>
    </row>
    <row r="3418" spans="1:13" x14ac:dyDescent="0.25">
      <c r="A3418">
        <v>3418</v>
      </c>
      <c r="B3418" t="s">
        <v>6847</v>
      </c>
      <c r="C3418" s="1">
        <v>37.201264908100001</v>
      </c>
      <c r="D3418" s="1">
        <v>-6.9914609653599999</v>
      </c>
      <c r="E3418" s="3">
        <v>2</v>
      </c>
      <c r="F3418" s="2">
        <v>3</v>
      </c>
      <c r="G3418" s="4">
        <v>3</v>
      </c>
      <c r="H3418" s="13"/>
      <c r="I3418" s="15"/>
      <c r="J3418" s="19">
        <v>3</v>
      </c>
      <c r="K3418" s="2" t="s">
        <v>6848</v>
      </c>
      <c r="L3418" s="11" t="str">
        <f t="shared" si="54"/>
        <v>Ver Imagen</v>
      </c>
      <c r="M3418" t="s">
        <v>15</v>
      </c>
    </row>
    <row r="3419" spans="1:13" x14ac:dyDescent="0.25">
      <c r="A3419">
        <v>3419</v>
      </c>
      <c r="B3419" t="s">
        <v>6849</v>
      </c>
      <c r="C3419" s="1">
        <v>37.201308823200002</v>
      </c>
      <c r="D3419" s="1">
        <v>-6.9916834663599996</v>
      </c>
      <c r="E3419" s="3">
        <v>2</v>
      </c>
      <c r="F3419" s="2">
        <v>3</v>
      </c>
      <c r="G3419" s="4">
        <v>3</v>
      </c>
      <c r="H3419" s="13"/>
      <c r="I3419" s="15"/>
      <c r="J3419" s="19">
        <v>3</v>
      </c>
      <c r="K3419" s="2" t="s">
        <v>6850</v>
      </c>
      <c r="L3419" s="11" t="str">
        <f t="shared" si="54"/>
        <v>Ver Imagen</v>
      </c>
      <c r="M3419" t="s">
        <v>15</v>
      </c>
    </row>
    <row r="3420" spans="1:13" x14ac:dyDescent="0.25">
      <c r="A3420">
        <v>3420</v>
      </c>
      <c r="B3420" t="s">
        <v>6851</v>
      </c>
      <c r="C3420" s="1">
        <v>37.257520313400001</v>
      </c>
      <c r="D3420" s="1">
        <v>-7.0132806388300004</v>
      </c>
      <c r="E3420" s="3">
        <v>2</v>
      </c>
      <c r="F3420" s="2">
        <v>3</v>
      </c>
      <c r="G3420" s="4">
        <v>3</v>
      </c>
      <c r="H3420" s="13"/>
      <c r="I3420" s="15"/>
      <c r="J3420" s="19">
        <v>3</v>
      </c>
      <c r="K3420" s="2" t="s">
        <v>6852</v>
      </c>
      <c r="L3420" s="11" t="str">
        <f t="shared" si="54"/>
        <v>Ver Imagen</v>
      </c>
      <c r="M3420" t="s">
        <v>15</v>
      </c>
    </row>
    <row r="3421" spans="1:13" x14ac:dyDescent="0.25">
      <c r="A3421">
        <v>3421</v>
      </c>
      <c r="B3421" t="s">
        <v>6853</v>
      </c>
      <c r="C3421" s="1">
        <v>37.25731554</v>
      </c>
      <c r="D3421" s="1">
        <v>-7.0134115172299998</v>
      </c>
      <c r="E3421" s="3">
        <v>2</v>
      </c>
      <c r="F3421" s="2">
        <v>3</v>
      </c>
      <c r="G3421" s="4">
        <v>3</v>
      </c>
      <c r="H3421" s="13"/>
      <c r="I3421" s="15"/>
      <c r="J3421" s="19">
        <v>3</v>
      </c>
      <c r="K3421" s="2" t="s">
        <v>6854</v>
      </c>
      <c r="L3421" s="11" t="str">
        <f t="shared" si="54"/>
        <v>Ver Imagen</v>
      </c>
      <c r="M3421" t="s">
        <v>15</v>
      </c>
    </row>
    <row r="3422" spans="1:13" x14ac:dyDescent="0.25">
      <c r="A3422">
        <v>3422</v>
      </c>
      <c r="B3422" t="s">
        <v>6855</v>
      </c>
      <c r="C3422" s="1">
        <v>37.257155612399998</v>
      </c>
      <c r="D3422" s="1">
        <v>-7.0135140969499998</v>
      </c>
      <c r="E3422" s="3">
        <v>2</v>
      </c>
      <c r="F3422" s="2">
        <v>3</v>
      </c>
      <c r="G3422" s="4">
        <v>3</v>
      </c>
      <c r="H3422" s="13"/>
      <c r="I3422" s="15"/>
      <c r="J3422" s="19">
        <v>3</v>
      </c>
      <c r="K3422" s="2" t="s">
        <v>6856</v>
      </c>
      <c r="L3422" s="11" t="str">
        <f t="shared" si="54"/>
        <v>Ver Imagen</v>
      </c>
      <c r="M3422" t="s">
        <v>15</v>
      </c>
    </row>
    <row r="3423" spans="1:13" x14ac:dyDescent="0.25">
      <c r="A3423">
        <v>3423</v>
      </c>
      <c r="B3423" t="s">
        <v>6857</v>
      </c>
      <c r="C3423" s="1">
        <v>37.256985731699999</v>
      </c>
      <c r="D3423" s="1">
        <v>-7.01362252851</v>
      </c>
      <c r="E3423" s="3">
        <v>2</v>
      </c>
      <c r="F3423" s="2">
        <v>3</v>
      </c>
      <c r="G3423" s="4">
        <v>3</v>
      </c>
      <c r="H3423" s="13"/>
      <c r="I3423" s="15"/>
      <c r="J3423" s="19">
        <v>3</v>
      </c>
      <c r="K3423" s="2" t="s">
        <v>6858</v>
      </c>
      <c r="L3423" s="11" t="str">
        <f t="shared" si="54"/>
        <v>Ver Imagen</v>
      </c>
      <c r="M3423" t="s">
        <v>15</v>
      </c>
    </row>
    <row r="3424" spans="1:13" x14ac:dyDescent="0.25">
      <c r="A3424">
        <v>3424</v>
      </c>
      <c r="B3424" t="s">
        <v>6859</v>
      </c>
      <c r="C3424" s="1">
        <v>37.201443206900002</v>
      </c>
      <c r="D3424" s="1">
        <v>-6.9924021703000001</v>
      </c>
      <c r="E3424" s="3">
        <v>2</v>
      </c>
      <c r="F3424" s="2">
        <v>3</v>
      </c>
      <c r="G3424" s="4">
        <v>3</v>
      </c>
      <c r="H3424" s="13"/>
      <c r="I3424" s="15"/>
      <c r="J3424" s="19">
        <v>3</v>
      </c>
      <c r="K3424" s="2" t="s">
        <v>6860</v>
      </c>
      <c r="L3424" s="11" t="str">
        <f t="shared" si="54"/>
        <v>Ver Imagen</v>
      </c>
      <c r="M3424" t="s">
        <v>15</v>
      </c>
    </row>
    <row r="3425" spans="1:13" x14ac:dyDescent="0.25">
      <c r="A3425">
        <v>3425</v>
      </c>
      <c r="B3425" t="s">
        <v>6861</v>
      </c>
      <c r="C3425" s="1">
        <v>37.201672663799997</v>
      </c>
      <c r="D3425" s="1">
        <v>-6.9936348259900001</v>
      </c>
      <c r="E3425" s="3">
        <v>2</v>
      </c>
      <c r="F3425" s="2">
        <v>3</v>
      </c>
      <c r="G3425" s="4">
        <v>3</v>
      </c>
      <c r="H3425" s="13"/>
      <c r="I3425" s="15"/>
      <c r="J3425" s="19">
        <v>3</v>
      </c>
      <c r="K3425" s="2" t="s">
        <v>6862</v>
      </c>
      <c r="L3425" s="11" t="str">
        <f t="shared" si="54"/>
        <v>Ver Imagen</v>
      </c>
      <c r="M3425" t="s">
        <v>15</v>
      </c>
    </row>
    <row r="3426" spans="1:13" x14ac:dyDescent="0.25">
      <c r="A3426">
        <v>3426</v>
      </c>
      <c r="B3426" t="s">
        <v>6863</v>
      </c>
      <c r="C3426" s="1">
        <v>37.2017193983</v>
      </c>
      <c r="D3426" s="1">
        <v>-6.9938823502999998</v>
      </c>
      <c r="E3426" s="3">
        <v>2</v>
      </c>
      <c r="F3426" s="2">
        <v>3</v>
      </c>
      <c r="G3426" s="4">
        <v>3</v>
      </c>
      <c r="H3426" s="13"/>
      <c r="I3426" s="15"/>
      <c r="J3426" s="19">
        <v>3</v>
      </c>
      <c r="K3426" s="2" t="s">
        <v>6864</v>
      </c>
      <c r="L3426" s="11" t="str">
        <f t="shared" si="54"/>
        <v>Ver Imagen</v>
      </c>
      <c r="M3426" t="s">
        <v>15</v>
      </c>
    </row>
    <row r="3427" spans="1:13" x14ac:dyDescent="0.25">
      <c r="A3427">
        <v>3427</v>
      </c>
      <c r="B3427" t="s">
        <v>6865</v>
      </c>
      <c r="C3427" s="1">
        <v>37.2017712273</v>
      </c>
      <c r="D3427" s="1">
        <v>-6.9941630720200001</v>
      </c>
      <c r="E3427" s="3">
        <v>2</v>
      </c>
      <c r="F3427" s="2">
        <v>3</v>
      </c>
      <c r="G3427" s="4">
        <v>3</v>
      </c>
      <c r="H3427" s="13"/>
      <c r="I3427" s="15"/>
      <c r="J3427" s="19">
        <v>3</v>
      </c>
      <c r="K3427" s="2" t="s">
        <v>6866</v>
      </c>
      <c r="L3427" s="11" t="str">
        <f t="shared" si="54"/>
        <v>Ver Imagen</v>
      </c>
      <c r="M3427" t="s">
        <v>15</v>
      </c>
    </row>
    <row r="3428" spans="1:13" x14ac:dyDescent="0.25">
      <c r="A3428">
        <v>3428</v>
      </c>
      <c r="B3428" t="s">
        <v>6867</v>
      </c>
      <c r="C3428" s="1">
        <v>37.201810373800001</v>
      </c>
      <c r="D3428" s="1">
        <v>-6.99438191523</v>
      </c>
      <c r="E3428" s="3">
        <v>2</v>
      </c>
      <c r="F3428" s="2">
        <v>3</v>
      </c>
      <c r="G3428" s="4">
        <v>3</v>
      </c>
      <c r="H3428" s="13"/>
      <c r="I3428" s="15"/>
      <c r="J3428" s="19">
        <v>3</v>
      </c>
      <c r="K3428" s="2" t="s">
        <v>6868</v>
      </c>
      <c r="L3428" s="11" t="str">
        <f t="shared" si="54"/>
        <v>Ver Imagen</v>
      </c>
      <c r="M3428" t="s">
        <v>15</v>
      </c>
    </row>
    <row r="3429" spans="1:13" x14ac:dyDescent="0.25">
      <c r="A3429">
        <v>3429</v>
      </c>
      <c r="B3429" t="s">
        <v>6869</v>
      </c>
      <c r="C3429" s="1">
        <v>37.201900698099998</v>
      </c>
      <c r="D3429" s="1">
        <v>-6.9948999576800004</v>
      </c>
      <c r="E3429" s="3">
        <v>2</v>
      </c>
      <c r="F3429" s="2">
        <v>3</v>
      </c>
      <c r="G3429" s="4">
        <v>3</v>
      </c>
      <c r="H3429" s="13"/>
      <c r="I3429" s="15"/>
      <c r="J3429" s="19">
        <v>3</v>
      </c>
      <c r="K3429" s="2" t="s">
        <v>6870</v>
      </c>
      <c r="L3429" s="11" t="str">
        <f t="shared" si="54"/>
        <v>Ver Imagen</v>
      </c>
      <c r="M3429" t="s">
        <v>15</v>
      </c>
    </row>
    <row r="3430" spans="1:13" x14ac:dyDescent="0.25">
      <c r="A3430">
        <v>3430</v>
      </c>
      <c r="B3430" t="s">
        <v>6871</v>
      </c>
      <c r="C3430" s="1">
        <v>37.201937035900002</v>
      </c>
      <c r="D3430" s="1">
        <v>-6.9951135075300002</v>
      </c>
      <c r="E3430" s="3">
        <v>2</v>
      </c>
      <c r="F3430" s="2">
        <v>3</v>
      </c>
      <c r="G3430" s="4">
        <v>3</v>
      </c>
      <c r="H3430" s="13"/>
      <c r="I3430" s="15"/>
      <c r="J3430" s="19">
        <v>3</v>
      </c>
      <c r="K3430" s="2" t="s">
        <v>6872</v>
      </c>
      <c r="L3430" s="11" t="str">
        <f t="shared" si="54"/>
        <v>Ver Imagen</v>
      </c>
      <c r="M3430" t="s">
        <v>15</v>
      </c>
    </row>
    <row r="3431" spans="1:13" x14ac:dyDescent="0.25">
      <c r="A3431">
        <v>3431</v>
      </c>
      <c r="B3431" t="s">
        <v>6873</v>
      </c>
      <c r="C3431" s="1">
        <v>37.201981382</v>
      </c>
      <c r="D3431" s="1">
        <v>-6.9953786832000002</v>
      </c>
      <c r="E3431" s="3">
        <v>2</v>
      </c>
      <c r="F3431" s="2">
        <v>3</v>
      </c>
      <c r="G3431" s="4">
        <v>3</v>
      </c>
      <c r="H3431" s="13"/>
      <c r="I3431" s="15"/>
      <c r="J3431" s="19">
        <v>3</v>
      </c>
      <c r="K3431" s="2" t="s">
        <v>6874</v>
      </c>
      <c r="L3431" s="11" t="str">
        <f t="shared" si="54"/>
        <v>Ver Imagen</v>
      </c>
      <c r="M3431" t="s">
        <v>15</v>
      </c>
    </row>
    <row r="3432" spans="1:13" x14ac:dyDescent="0.25">
      <c r="A3432">
        <v>3432</v>
      </c>
      <c r="B3432" t="s">
        <v>6875</v>
      </c>
      <c r="C3432" s="1">
        <v>37.202114325499998</v>
      </c>
      <c r="D3432" s="1">
        <v>-6.99619891623</v>
      </c>
      <c r="E3432" s="3">
        <v>2</v>
      </c>
      <c r="F3432" s="2">
        <v>3</v>
      </c>
      <c r="G3432" s="4">
        <v>3</v>
      </c>
      <c r="H3432" s="13"/>
      <c r="I3432" s="15"/>
      <c r="J3432" s="19">
        <v>3</v>
      </c>
      <c r="K3432" s="2" t="s">
        <v>6876</v>
      </c>
      <c r="L3432" s="11" t="str">
        <f t="shared" si="54"/>
        <v>Ver Imagen</v>
      </c>
      <c r="M3432" t="s">
        <v>15</v>
      </c>
    </row>
    <row r="3433" spans="1:13" x14ac:dyDescent="0.25">
      <c r="A3433">
        <v>3433</v>
      </c>
      <c r="B3433" t="s">
        <v>6877</v>
      </c>
      <c r="C3433" s="1">
        <v>37.202441104000002</v>
      </c>
      <c r="D3433" s="1">
        <v>-6.9983942450100001</v>
      </c>
      <c r="E3433" s="3">
        <v>4</v>
      </c>
      <c r="F3433" s="2">
        <v>3</v>
      </c>
      <c r="G3433" s="4">
        <v>3</v>
      </c>
      <c r="H3433" s="13"/>
      <c r="I3433" s="15"/>
      <c r="J3433" s="19">
        <v>3</v>
      </c>
      <c r="K3433" s="2" t="s">
        <v>6878</v>
      </c>
      <c r="L3433" s="11" t="str">
        <f t="shared" ref="L3433:L3496" si="55">HYPERLINK("3\1\" &amp; K3433, "Ver Imagen")</f>
        <v>Ver Imagen</v>
      </c>
      <c r="M3433" t="s">
        <v>15</v>
      </c>
    </row>
    <row r="3434" spans="1:13" x14ac:dyDescent="0.25">
      <c r="A3434">
        <v>3434</v>
      </c>
      <c r="B3434" t="s">
        <v>6879</v>
      </c>
      <c r="C3434" s="1">
        <v>37.202512198800001</v>
      </c>
      <c r="D3434" s="1">
        <v>-6.9988895717600004</v>
      </c>
      <c r="E3434" s="3">
        <v>3</v>
      </c>
      <c r="F3434" s="2">
        <v>3</v>
      </c>
      <c r="G3434" s="4">
        <v>4</v>
      </c>
      <c r="H3434" s="13"/>
      <c r="I3434" s="15"/>
      <c r="J3434" s="19">
        <v>3</v>
      </c>
      <c r="K3434" s="2" t="s">
        <v>6880</v>
      </c>
      <c r="L3434" s="11" t="str">
        <f t="shared" si="55"/>
        <v>Ver Imagen</v>
      </c>
      <c r="M3434" t="s">
        <v>15</v>
      </c>
    </row>
    <row r="3435" spans="1:13" x14ac:dyDescent="0.25">
      <c r="A3435">
        <v>3435</v>
      </c>
      <c r="B3435" t="s">
        <v>6881</v>
      </c>
      <c r="C3435" s="1">
        <v>37.202581093799999</v>
      </c>
      <c r="D3435" s="1">
        <v>-6.9994069325500003</v>
      </c>
      <c r="E3435" s="3">
        <v>4</v>
      </c>
      <c r="F3435" s="2">
        <v>3</v>
      </c>
      <c r="G3435" s="4">
        <v>3</v>
      </c>
      <c r="H3435" s="13"/>
      <c r="I3435" s="15"/>
      <c r="J3435" s="19">
        <v>3</v>
      </c>
      <c r="K3435" s="2" t="s">
        <v>6882</v>
      </c>
      <c r="L3435" s="11" t="str">
        <f t="shared" si="55"/>
        <v>Ver Imagen</v>
      </c>
      <c r="M3435" t="s">
        <v>15</v>
      </c>
    </row>
    <row r="3436" spans="1:13" x14ac:dyDescent="0.25">
      <c r="A3436">
        <v>3436</v>
      </c>
      <c r="B3436" t="s">
        <v>6883</v>
      </c>
      <c r="C3436" s="1">
        <v>37.202647579500002</v>
      </c>
      <c r="D3436" s="1">
        <v>-6.99989528486</v>
      </c>
      <c r="E3436" s="3">
        <v>3</v>
      </c>
      <c r="F3436" s="2">
        <v>3</v>
      </c>
      <c r="G3436" s="4">
        <v>2</v>
      </c>
      <c r="H3436" s="13"/>
      <c r="I3436" s="15"/>
      <c r="J3436" s="19">
        <v>3</v>
      </c>
      <c r="K3436" s="2" t="s">
        <v>6884</v>
      </c>
      <c r="L3436" s="11" t="str">
        <f t="shared" si="55"/>
        <v>Ver Imagen</v>
      </c>
      <c r="M3436" t="s">
        <v>15</v>
      </c>
    </row>
    <row r="3437" spans="1:13" x14ac:dyDescent="0.25">
      <c r="A3437">
        <v>3437</v>
      </c>
      <c r="B3437" t="s">
        <v>6885</v>
      </c>
      <c r="C3437" s="1">
        <v>37.2026757577</v>
      </c>
      <c r="D3437" s="1">
        <v>-7.00011487016</v>
      </c>
      <c r="E3437" s="3">
        <v>3</v>
      </c>
      <c r="F3437" s="2">
        <v>3</v>
      </c>
      <c r="G3437" s="4">
        <v>2</v>
      </c>
      <c r="H3437" s="13"/>
      <c r="I3437" s="15"/>
      <c r="J3437" s="19">
        <v>3</v>
      </c>
      <c r="K3437" s="2" t="s">
        <v>6886</v>
      </c>
      <c r="L3437" s="11" t="str">
        <f t="shared" si="55"/>
        <v>Ver Imagen</v>
      </c>
      <c r="M3437" t="s">
        <v>15</v>
      </c>
    </row>
    <row r="3438" spans="1:13" x14ac:dyDescent="0.25">
      <c r="A3438">
        <v>3438</v>
      </c>
      <c r="B3438" t="s">
        <v>6887</v>
      </c>
      <c r="C3438" s="1">
        <v>37.202734304700002</v>
      </c>
      <c r="D3438" s="1">
        <v>-7.0005992125900001</v>
      </c>
      <c r="E3438" s="3">
        <v>4</v>
      </c>
      <c r="F3438" s="2">
        <v>3</v>
      </c>
      <c r="G3438" s="4">
        <v>3</v>
      </c>
      <c r="H3438" s="13"/>
      <c r="I3438" s="15"/>
      <c r="J3438" s="19">
        <v>3</v>
      </c>
      <c r="K3438" s="2" t="s">
        <v>6888</v>
      </c>
      <c r="L3438" s="11" t="str">
        <f t="shared" si="55"/>
        <v>Ver Imagen</v>
      </c>
      <c r="M3438" t="s">
        <v>15</v>
      </c>
    </row>
    <row r="3439" spans="1:13" x14ac:dyDescent="0.25">
      <c r="A3439">
        <v>3439</v>
      </c>
      <c r="B3439" t="s">
        <v>6889</v>
      </c>
      <c r="C3439" s="1">
        <v>37.202794930499998</v>
      </c>
      <c r="D3439" s="1">
        <v>-7.0011288137300003</v>
      </c>
      <c r="E3439" s="3">
        <v>4</v>
      </c>
      <c r="F3439" s="2">
        <v>3</v>
      </c>
      <c r="G3439" s="4">
        <v>3</v>
      </c>
      <c r="H3439" s="13"/>
      <c r="I3439" s="15"/>
      <c r="J3439" s="19">
        <v>3</v>
      </c>
      <c r="K3439" s="2" t="s">
        <v>6890</v>
      </c>
      <c r="L3439" s="11" t="str">
        <f t="shared" si="55"/>
        <v>Ver Imagen</v>
      </c>
      <c r="M3439" t="s">
        <v>15</v>
      </c>
    </row>
    <row r="3440" spans="1:13" x14ac:dyDescent="0.25">
      <c r="A3440">
        <v>3440</v>
      </c>
      <c r="B3440" t="s">
        <v>6891</v>
      </c>
      <c r="C3440" s="1">
        <v>37.202822507500002</v>
      </c>
      <c r="D3440" s="1">
        <v>-7.0013608594600001</v>
      </c>
      <c r="E3440" s="3">
        <v>3</v>
      </c>
      <c r="F3440" s="2">
        <v>3</v>
      </c>
      <c r="G3440" s="4">
        <v>2</v>
      </c>
      <c r="H3440" s="13"/>
      <c r="I3440" s="15"/>
      <c r="J3440" s="19">
        <v>3</v>
      </c>
      <c r="K3440" s="2" t="s">
        <v>6892</v>
      </c>
      <c r="L3440" s="11" t="str">
        <f t="shared" si="55"/>
        <v>Ver Imagen</v>
      </c>
      <c r="M3440" t="s">
        <v>15</v>
      </c>
    </row>
    <row r="3441" spans="1:13" x14ac:dyDescent="0.25">
      <c r="A3441">
        <v>3441</v>
      </c>
      <c r="B3441" t="s">
        <v>6893</v>
      </c>
      <c r="C3441" s="1">
        <v>37.2030421097</v>
      </c>
      <c r="D3441" s="1">
        <v>-7.0033391973199999</v>
      </c>
      <c r="E3441" s="3">
        <v>3</v>
      </c>
      <c r="F3441" s="2">
        <v>3</v>
      </c>
      <c r="G3441" s="4">
        <v>4</v>
      </c>
      <c r="H3441" s="13"/>
      <c r="I3441" s="15"/>
      <c r="J3441" s="19">
        <v>3</v>
      </c>
      <c r="K3441" s="2" t="s">
        <v>6894</v>
      </c>
      <c r="L3441" s="11" t="str">
        <f t="shared" si="55"/>
        <v>Ver Imagen</v>
      </c>
      <c r="M3441" t="s">
        <v>15</v>
      </c>
    </row>
    <row r="3442" spans="1:13" x14ac:dyDescent="0.25">
      <c r="A3442">
        <v>3442</v>
      </c>
      <c r="B3442" t="s">
        <v>6895</v>
      </c>
      <c r="C3442" s="1">
        <v>37.256436131800001</v>
      </c>
      <c r="D3442" s="1">
        <v>-7.0139723218599999</v>
      </c>
      <c r="E3442" s="3">
        <v>2</v>
      </c>
      <c r="F3442" s="2">
        <v>3</v>
      </c>
      <c r="G3442" s="4">
        <v>3</v>
      </c>
      <c r="H3442" s="13"/>
      <c r="I3442" s="15"/>
      <c r="J3442" s="19">
        <v>3</v>
      </c>
      <c r="K3442" s="2" t="s">
        <v>6896</v>
      </c>
      <c r="L3442" s="11" t="str">
        <f t="shared" si="55"/>
        <v>Ver Imagen</v>
      </c>
      <c r="M3442" t="s">
        <v>15</v>
      </c>
    </row>
    <row r="3443" spans="1:13" x14ac:dyDescent="0.25">
      <c r="A3443">
        <v>3443</v>
      </c>
      <c r="B3443" t="s">
        <v>6897</v>
      </c>
      <c r="C3443" s="1">
        <v>37.203195514000001</v>
      </c>
      <c r="D3443" s="1">
        <v>-7.0046442007199996</v>
      </c>
      <c r="E3443" s="3">
        <v>4</v>
      </c>
      <c r="F3443" s="2">
        <v>3</v>
      </c>
      <c r="G3443" s="4">
        <v>3</v>
      </c>
      <c r="H3443" s="13"/>
      <c r="I3443" s="15"/>
      <c r="J3443" s="19">
        <v>3</v>
      </c>
      <c r="K3443" s="2" t="s">
        <v>6898</v>
      </c>
      <c r="L3443" s="11" t="str">
        <f t="shared" si="55"/>
        <v>Ver Imagen</v>
      </c>
      <c r="M3443" t="s">
        <v>15</v>
      </c>
    </row>
    <row r="3444" spans="1:13" x14ac:dyDescent="0.25">
      <c r="A3444">
        <v>3444</v>
      </c>
      <c r="B3444" t="s">
        <v>6899</v>
      </c>
      <c r="C3444" s="1">
        <v>37.2032262082</v>
      </c>
      <c r="D3444" s="1">
        <v>-7.00488951098</v>
      </c>
      <c r="E3444" s="3">
        <v>2</v>
      </c>
      <c r="F3444" s="2">
        <v>3</v>
      </c>
      <c r="G3444" s="4">
        <v>3</v>
      </c>
      <c r="H3444" s="13"/>
      <c r="I3444" s="15"/>
      <c r="J3444" s="19">
        <v>3</v>
      </c>
      <c r="K3444" s="2" t="s">
        <v>6900</v>
      </c>
      <c r="L3444" s="11" t="str">
        <f t="shared" si="55"/>
        <v>Ver Imagen</v>
      </c>
      <c r="M3444" t="s">
        <v>15</v>
      </c>
    </row>
    <row r="3445" spans="1:13" x14ac:dyDescent="0.25">
      <c r="A3445">
        <v>3445</v>
      </c>
      <c r="B3445" t="s">
        <v>6901</v>
      </c>
      <c r="C3445" s="1">
        <v>37.203258507699999</v>
      </c>
      <c r="D3445" s="1">
        <v>-7.0051456666399998</v>
      </c>
      <c r="E3445" s="3">
        <v>2</v>
      </c>
      <c r="F3445" s="2">
        <v>3</v>
      </c>
      <c r="G3445" s="4">
        <v>3</v>
      </c>
      <c r="H3445" s="13"/>
      <c r="I3445" s="15"/>
      <c r="J3445" s="19">
        <v>3</v>
      </c>
      <c r="K3445" s="2" t="s">
        <v>6902</v>
      </c>
      <c r="L3445" s="11" t="str">
        <f t="shared" si="55"/>
        <v>Ver Imagen</v>
      </c>
      <c r="M3445" t="s">
        <v>15</v>
      </c>
    </row>
    <row r="3446" spans="1:13" x14ac:dyDescent="0.25">
      <c r="A3446">
        <v>3446</v>
      </c>
      <c r="B3446" t="s">
        <v>6903</v>
      </c>
      <c r="C3446" s="1">
        <v>37.203292994900004</v>
      </c>
      <c r="D3446" s="1">
        <v>-7.00541756383</v>
      </c>
      <c r="E3446" s="3">
        <v>2</v>
      </c>
      <c r="F3446" s="2">
        <v>3</v>
      </c>
      <c r="G3446" s="4">
        <v>3</v>
      </c>
      <c r="H3446" s="13"/>
      <c r="I3446" s="15"/>
      <c r="J3446" s="19">
        <v>3</v>
      </c>
      <c r="K3446" s="2" t="s">
        <v>6904</v>
      </c>
      <c r="L3446" s="11" t="str">
        <f t="shared" si="55"/>
        <v>Ver Imagen</v>
      </c>
      <c r="M3446" t="s">
        <v>15</v>
      </c>
    </row>
    <row r="3447" spans="1:13" x14ac:dyDescent="0.25">
      <c r="A3447">
        <v>3447</v>
      </c>
      <c r="B3447" t="s">
        <v>6905</v>
      </c>
      <c r="C3447" s="1">
        <v>37.255352860499997</v>
      </c>
      <c r="D3447" s="1">
        <v>-7.0146661365899998</v>
      </c>
      <c r="E3447" s="3">
        <v>2</v>
      </c>
      <c r="F3447" s="2">
        <v>3</v>
      </c>
      <c r="G3447" s="4">
        <v>3</v>
      </c>
      <c r="H3447" s="13"/>
      <c r="I3447" s="15"/>
      <c r="J3447" s="19">
        <v>3</v>
      </c>
      <c r="K3447" s="2" t="s">
        <v>6906</v>
      </c>
      <c r="L3447" s="11" t="str">
        <f t="shared" si="55"/>
        <v>Ver Imagen</v>
      </c>
      <c r="M3447" t="s">
        <v>15</v>
      </c>
    </row>
    <row r="3448" spans="1:13" x14ac:dyDescent="0.25">
      <c r="A3448">
        <v>3448</v>
      </c>
      <c r="B3448" t="s">
        <v>6907</v>
      </c>
      <c r="C3448" s="1">
        <v>37.203317963700002</v>
      </c>
      <c r="D3448" s="1">
        <v>-7.0056129190599998</v>
      </c>
      <c r="E3448" s="3">
        <v>2</v>
      </c>
      <c r="F3448" s="2">
        <v>3</v>
      </c>
      <c r="G3448" s="4">
        <v>3</v>
      </c>
      <c r="H3448" s="13"/>
      <c r="I3448" s="15"/>
      <c r="J3448" s="19">
        <v>3</v>
      </c>
      <c r="K3448" s="2" t="s">
        <v>6908</v>
      </c>
      <c r="L3448" s="11" t="str">
        <f t="shared" si="55"/>
        <v>Ver Imagen</v>
      </c>
      <c r="M3448" t="s">
        <v>15</v>
      </c>
    </row>
    <row r="3449" spans="1:13" x14ac:dyDescent="0.25">
      <c r="A3449">
        <v>3449</v>
      </c>
      <c r="B3449" t="s">
        <v>6909</v>
      </c>
      <c r="C3449" s="1">
        <v>37.254265230500003</v>
      </c>
      <c r="D3449" s="1">
        <v>-7.0153632224000004</v>
      </c>
      <c r="E3449" s="3">
        <v>3</v>
      </c>
      <c r="F3449" s="2">
        <v>3</v>
      </c>
      <c r="G3449" s="4">
        <v>4</v>
      </c>
      <c r="H3449" s="13"/>
      <c r="I3449" s="15"/>
      <c r="J3449" s="19">
        <v>3</v>
      </c>
      <c r="K3449" s="2" t="s">
        <v>6910</v>
      </c>
      <c r="L3449" s="11" t="str">
        <f t="shared" si="55"/>
        <v>Ver Imagen</v>
      </c>
      <c r="M3449" t="s">
        <v>15</v>
      </c>
    </row>
    <row r="3450" spans="1:13" x14ac:dyDescent="0.25">
      <c r="A3450">
        <v>3450</v>
      </c>
      <c r="B3450" t="s">
        <v>6911</v>
      </c>
      <c r="C3450" s="1">
        <v>37.254083520599998</v>
      </c>
      <c r="D3450" s="1">
        <v>-7.0154794890399996</v>
      </c>
      <c r="E3450" s="3">
        <v>3</v>
      </c>
      <c r="F3450" s="2">
        <v>3</v>
      </c>
      <c r="G3450" s="4">
        <v>4</v>
      </c>
      <c r="H3450" s="13"/>
      <c r="I3450" s="15"/>
      <c r="J3450" s="19">
        <v>3</v>
      </c>
      <c r="K3450" s="2" t="s">
        <v>6912</v>
      </c>
      <c r="L3450" s="11" t="str">
        <f t="shared" si="55"/>
        <v>Ver Imagen</v>
      </c>
      <c r="M3450" t="s">
        <v>15</v>
      </c>
    </row>
    <row r="3451" spans="1:13" x14ac:dyDescent="0.25">
      <c r="A3451">
        <v>3451</v>
      </c>
      <c r="B3451" t="s">
        <v>6913</v>
      </c>
      <c r="C3451" s="1">
        <v>37.2539031166</v>
      </c>
      <c r="D3451" s="1">
        <v>-7.0155956992500004</v>
      </c>
      <c r="E3451" s="3">
        <v>3</v>
      </c>
      <c r="F3451" s="2">
        <v>3</v>
      </c>
      <c r="G3451" s="4">
        <v>4</v>
      </c>
      <c r="H3451" s="13"/>
      <c r="I3451" s="15"/>
      <c r="J3451" s="19">
        <v>3</v>
      </c>
      <c r="K3451" s="2" t="s">
        <v>6914</v>
      </c>
      <c r="L3451" s="11" t="str">
        <f t="shared" si="55"/>
        <v>Ver Imagen</v>
      </c>
      <c r="M3451" t="s">
        <v>15</v>
      </c>
    </row>
    <row r="3452" spans="1:13" x14ac:dyDescent="0.25">
      <c r="A3452">
        <v>3452</v>
      </c>
      <c r="B3452" t="s">
        <v>6915</v>
      </c>
      <c r="C3452" s="1">
        <v>37.203486120699999</v>
      </c>
      <c r="D3452" s="1">
        <v>-7.0068863919800002</v>
      </c>
      <c r="E3452" s="3">
        <v>4</v>
      </c>
      <c r="F3452" s="2">
        <v>3</v>
      </c>
      <c r="G3452" s="4">
        <v>3</v>
      </c>
      <c r="H3452" s="13"/>
      <c r="I3452" s="15"/>
      <c r="J3452" s="19">
        <v>3</v>
      </c>
      <c r="K3452" s="2" t="s">
        <v>6916</v>
      </c>
      <c r="L3452" s="11" t="str">
        <f t="shared" si="55"/>
        <v>Ver Imagen</v>
      </c>
      <c r="M3452" t="s">
        <v>15</v>
      </c>
    </row>
    <row r="3453" spans="1:13" x14ac:dyDescent="0.25">
      <c r="A3453">
        <v>3453</v>
      </c>
      <c r="B3453" t="s">
        <v>6917</v>
      </c>
      <c r="C3453" s="1">
        <v>37.203555823999999</v>
      </c>
      <c r="D3453" s="1">
        <v>-7.0073833989600001</v>
      </c>
      <c r="E3453" s="3">
        <v>2</v>
      </c>
      <c r="F3453" s="2">
        <v>3</v>
      </c>
      <c r="G3453" s="4">
        <v>3</v>
      </c>
      <c r="H3453" s="13"/>
      <c r="I3453" s="15"/>
      <c r="J3453" s="19">
        <v>3</v>
      </c>
      <c r="K3453" s="2" t="s">
        <v>6918</v>
      </c>
      <c r="L3453" s="11" t="str">
        <f t="shared" si="55"/>
        <v>Ver Imagen</v>
      </c>
      <c r="M3453" t="s">
        <v>15</v>
      </c>
    </row>
    <row r="3454" spans="1:13" x14ac:dyDescent="0.25">
      <c r="A3454">
        <v>3454</v>
      </c>
      <c r="B3454" t="s">
        <v>6919</v>
      </c>
      <c r="C3454" s="1">
        <v>37.203632224800003</v>
      </c>
      <c r="D3454" s="1">
        <v>-7.0078962838900001</v>
      </c>
      <c r="E3454" s="3">
        <v>2</v>
      </c>
      <c r="F3454" s="2">
        <v>3</v>
      </c>
      <c r="G3454" s="4">
        <v>3</v>
      </c>
      <c r="H3454" s="13"/>
      <c r="I3454" s="15"/>
      <c r="J3454" s="19">
        <v>3</v>
      </c>
      <c r="K3454" s="2" t="s">
        <v>6920</v>
      </c>
      <c r="L3454" s="11" t="str">
        <f t="shared" si="55"/>
        <v>Ver Imagen</v>
      </c>
      <c r="M3454" t="s">
        <v>15</v>
      </c>
    </row>
    <row r="3455" spans="1:13" x14ac:dyDescent="0.25">
      <c r="A3455">
        <v>3455</v>
      </c>
      <c r="B3455" t="s">
        <v>6921</v>
      </c>
      <c r="C3455" s="1">
        <v>37.204013105599998</v>
      </c>
      <c r="D3455" s="1">
        <v>-7.0103326848199998</v>
      </c>
      <c r="E3455" s="3">
        <v>3</v>
      </c>
      <c r="F3455" s="2">
        <v>3</v>
      </c>
      <c r="G3455" s="4">
        <v>4</v>
      </c>
      <c r="H3455" s="13"/>
      <c r="I3455" s="15"/>
      <c r="J3455" s="19">
        <v>3</v>
      </c>
      <c r="K3455" s="2" t="s">
        <v>6922</v>
      </c>
      <c r="L3455" s="11" t="str">
        <f t="shared" si="55"/>
        <v>Ver Imagen</v>
      </c>
      <c r="M3455" t="s">
        <v>15</v>
      </c>
    </row>
    <row r="3456" spans="1:13" x14ac:dyDescent="0.25">
      <c r="A3456">
        <v>3456</v>
      </c>
      <c r="B3456" t="s">
        <v>6923</v>
      </c>
      <c r="C3456" s="1">
        <v>37.248112845800001</v>
      </c>
      <c r="D3456" s="1">
        <v>-7.0183739785599997</v>
      </c>
      <c r="E3456" s="3">
        <v>4</v>
      </c>
      <c r="F3456" s="2">
        <v>3</v>
      </c>
      <c r="G3456" s="4">
        <v>3</v>
      </c>
      <c r="H3456" s="13"/>
      <c r="I3456" s="15"/>
      <c r="J3456" s="19">
        <v>3</v>
      </c>
      <c r="K3456" s="2" t="s">
        <v>6924</v>
      </c>
      <c r="L3456" s="11" t="str">
        <f t="shared" si="55"/>
        <v>Ver Imagen</v>
      </c>
      <c r="M3456" t="s">
        <v>15</v>
      </c>
    </row>
    <row r="3457" spans="1:13" x14ac:dyDescent="0.25">
      <c r="A3457">
        <v>3457</v>
      </c>
      <c r="B3457" t="s">
        <v>6925</v>
      </c>
      <c r="C3457" s="1">
        <v>37.247911634700003</v>
      </c>
      <c r="D3457" s="1">
        <v>-7.0183813504500003</v>
      </c>
      <c r="E3457" s="3">
        <v>3</v>
      </c>
      <c r="F3457" s="2">
        <v>3</v>
      </c>
      <c r="G3457" s="4">
        <v>2</v>
      </c>
      <c r="H3457" s="13"/>
      <c r="I3457" s="15"/>
      <c r="J3457" s="19">
        <v>3</v>
      </c>
      <c r="K3457" s="2" t="s">
        <v>6926</v>
      </c>
      <c r="L3457" s="11" t="str">
        <f t="shared" si="55"/>
        <v>Ver Imagen</v>
      </c>
      <c r="M3457" t="s">
        <v>15</v>
      </c>
    </row>
    <row r="3458" spans="1:13" x14ac:dyDescent="0.25">
      <c r="A3458">
        <v>3458</v>
      </c>
      <c r="B3458" t="s">
        <v>6927</v>
      </c>
      <c r="C3458" s="1">
        <v>37.204497315600001</v>
      </c>
      <c r="D3458" s="1">
        <v>-7.0130844793999998</v>
      </c>
      <c r="E3458" s="3">
        <v>4</v>
      </c>
      <c r="F3458" s="2">
        <v>3</v>
      </c>
      <c r="G3458" s="4">
        <v>3</v>
      </c>
      <c r="H3458" s="13"/>
      <c r="I3458" s="15"/>
      <c r="J3458" s="19">
        <v>3</v>
      </c>
      <c r="K3458" s="2" t="s">
        <v>6928</v>
      </c>
      <c r="L3458" s="11" t="str">
        <f t="shared" si="55"/>
        <v>Ver Imagen</v>
      </c>
      <c r="M3458" t="s">
        <v>15</v>
      </c>
    </row>
    <row r="3459" spans="1:13" x14ac:dyDescent="0.25">
      <c r="A3459">
        <v>3459</v>
      </c>
      <c r="B3459" t="s">
        <v>6929</v>
      </c>
      <c r="C3459" s="1">
        <v>37.204545428499998</v>
      </c>
      <c r="D3459" s="1">
        <v>-7.0133403100200002</v>
      </c>
      <c r="E3459" s="3">
        <v>4</v>
      </c>
      <c r="F3459" s="2">
        <v>3</v>
      </c>
      <c r="G3459" s="4">
        <v>3</v>
      </c>
      <c r="H3459" s="13"/>
      <c r="I3459" s="15"/>
      <c r="J3459" s="19">
        <v>3</v>
      </c>
      <c r="K3459" s="2" t="s">
        <v>6930</v>
      </c>
      <c r="L3459" s="11" t="str">
        <f t="shared" si="55"/>
        <v>Ver Imagen</v>
      </c>
      <c r="M3459" t="s">
        <v>15</v>
      </c>
    </row>
    <row r="3460" spans="1:13" x14ac:dyDescent="0.25">
      <c r="A3460">
        <v>3460</v>
      </c>
      <c r="B3460" t="s">
        <v>6931</v>
      </c>
      <c r="C3460" s="1">
        <v>37.244445870600003</v>
      </c>
      <c r="D3460" s="1">
        <v>-7.0185062560700002</v>
      </c>
      <c r="E3460" s="3">
        <v>2</v>
      </c>
      <c r="F3460" s="2">
        <v>3</v>
      </c>
      <c r="G3460" s="4">
        <v>3</v>
      </c>
      <c r="H3460" s="13"/>
      <c r="I3460" s="15"/>
      <c r="J3460" s="19">
        <v>3</v>
      </c>
      <c r="K3460" s="2" t="s">
        <v>6932</v>
      </c>
      <c r="L3460" s="11" t="str">
        <f t="shared" si="55"/>
        <v>Ver Imagen</v>
      </c>
      <c r="M3460" t="s">
        <v>15</v>
      </c>
    </row>
    <row r="3461" spans="1:13" x14ac:dyDescent="0.25">
      <c r="A3461">
        <v>3461</v>
      </c>
      <c r="B3461" t="s">
        <v>6933</v>
      </c>
      <c r="C3461" s="1">
        <v>37.244245195799998</v>
      </c>
      <c r="D3461" s="1">
        <v>-7.0185149407900003</v>
      </c>
      <c r="E3461" s="3">
        <v>2</v>
      </c>
      <c r="F3461" s="2">
        <v>3</v>
      </c>
      <c r="G3461" s="4">
        <v>3</v>
      </c>
      <c r="H3461" s="13"/>
      <c r="I3461" s="15"/>
      <c r="J3461" s="19">
        <v>3</v>
      </c>
      <c r="K3461" s="2" t="s">
        <v>6934</v>
      </c>
      <c r="L3461" s="11" t="str">
        <f t="shared" si="55"/>
        <v>Ver Imagen</v>
      </c>
      <c r="M3461" t="s">
        <v>15</v>
      </c>
    </row>
    <row r="3462" spans="1:13" x14ac:dyDescent="0.25">
      <c r="A3462">
        <v>3462</v>
      </c>
      <c r="B3462" t="s">
        <v>6935</v>
      </c>
      <c r="C3462" s="1">
        <v>37.242835597899997</v>
      </c>
      <c r="D3462" s="1">
        <v>-7.0185719428900004</v>
      </c>
      <c r="E3462" s="3">
        <v>3</v>
      </c>
      <c r="F3462" s="2">
        <v>3</v>
      </c>
      <c r="G3462" s="4">
        <v>4</v>
      </c>
      <c r="H3462" s="13"/>
      <c r="I3462" s="15"/>
      <c r="J3462" s="19">
        <v>3</v>
      </c>
      <c r="K3462" s="2" t="s">
        <v>6936</v>
      </c>
      <c r="L3462" s="11" t="str">
        <f t="shared" si="55"/>
        <v>Ver Imagen</v>
      </c>
      <c r="M3462" t="s">
        <v>15</v>
      </c>
    </row>
    <row r="3463" spans="1:13" x14ac:dyDescent="0.25">
      <c r="A3463">
        <v>3463</v>
      </c>
      <c r="B3463" t="s">
        <v>6937</v>
      </c>
      <c r="C3463" s="1">
        <v>37.205558983700001</v>
      </c>
      <c r="D3463" s="1">
        <v>-7.0179765164700001</v>
      </c>
      <c r="E3463" s="3">
        <v>3</v>
      </c>
      <c r="F3463" s="2">
        <v>3</v>
      </c>
      <c r="G3463" s="4">
        <v>4</v>
      </c>
      <c r="H3463" s="13"/>
      <c r="I3463" s="15"/>
      <c r="J3463" s="19">
        <v>3</v>
      </c>
      <c r="K3463" s="2" t="s">
        <v>6938</v>
      </c>
      <c r="L3463" s="11" t="str">
        <f t="shared" si="55"/>
        <v>Ver Imagen</v>
      </c>
      <c r="M3463" t="s">
        <v>15</v>
      </c>
    </row>
    <row r="3464" spans="1:13" x14ac:dyDescent="0.25">
      <c r="A3464">
        <v>3464</v>
      </c>
      <c r="B3464" t="s">
        <v>6939</v>
      </c>
      <c r="C3464" s="1">
        <v>37.205630093300002</v>
      </c>
      <c r="D3464" s="1">
        <v>-7.0182119402399996</v>
      </c>
      <c r="E3464" s="3">
        <v>3</v>
      </c>
      <c r="F3464" s="2">
        <v>3</v>
      </c>
      <c r="G3464" s="4">
        <v>4</v>
      </c>
      <c r="H3464" s="13"/>
      <c r="I3464" s="15"/>
      <c r="J3464" s="19">
        <v>3</v>
      </c>
      <c r="K3464" s="2" t="s">
        <v>6940</v>
      </c>
      <c r="L3464" s="11" t="str">
        <f t="shared" si="55"/>
        <v>Ver Imagen</v>
      </c>
      <c r="M3464" t="s">
        <v>15</v>
      </c>
    </row>
    <row r="3465" spans="1:13" x14ac:dyDescent="0.25">
      <c r="A3465">
        <v>3465</v>
      </c>
      <c r="B3465" t="s">
        <v>6941</v>
      </c>
      <c r="C3465" s="1">
        <v>37.240423033600003</v>
      </c>
      <c r="D3465" s="1">
        <v>-7.0186599276599999</v>
      </c>
      <c r="E3465" s="3">
        <v>4</v>
      </c>
      <c r="F3465" s="2">
        <v>3</v>
      </c>
      <c r="G3465" s="4">
        <v>3</v>
      </c>
      <c r="H3465" s="13"/>
      <c r="I3465" s="15"/>
      <c r="J3465" s="19">
        <v>3</v>
      </c>
      <c r="K3465" s="2" t="s">
        <v>6942</v>
      </c>
      <c r="L3465" s="11" t="str">
        <f t="shared" si="55"/>
        <v>Ver Imagen</v>
      </c>
      <c r="M3465" t="s">
        <v>15</v>
      </c>
    </row>
    <row r="3466" spans="1:13" x14ac:dyDescent="0.25">
      <c r="A3466">
        <v>3466</v>
      </c>
      <c r="B3466" t="s">
        <v>6943</v>
      </c>
      <c r="C3466" s="1">
        <v>37.2059725628</v>
      </c>
      <c r="D3466" s="1">
        <v>-7.0191893299999997</v>
      </c>
      <c r="E3466" s="3">
        <v>4</v>
      </c>
      <c r="F3466" s="2">
        <v>3</v>
      </c>
      <c r="G3466" s="4">
        <v>3</v>
      </c>
      <c r="H3466" s="13"/>
      <c r="I3466" s="15"/>
      <c r="J3466" s="19">
        <v>3</v>
      </c>
      <c r="K3466" s="2" t="s">
        <v>6944</v>
      </c>
      <c r="L3466" s="11" t="str">
        <f t="shared" si="55"/>
        <v>Ver Imagen</v>
      </c>
      <c r="M3466" t="s">
        <v>15</v>
      </c>
    </row>
    <row r="3467" spans="1:13" x14ac:dyDescent="0.25">
      <c r="A3467">
        <v>3467</v>
      </c>
      <c r="B3467" t="s">
        <v>6945</v>
      </c>
      <c r="C3467" s="1">
        <v>37.240023364899997</v>
      </c>
      <c r="D3467" s="1">
        <v>-7.0186756585000003</v>
      </c>
      <c r="E3467" s="3">
        <v>4</v>
      </c>
      <c r="F3467" s="2">
        <v>3</v>
      </c>
      <c r="G3467" s="4">
        <v>3</v>
      </c>
      <c r="H3467" s="13"/>
      <c r="I3467" s="15"/>
      <c r="J3467" s="19">
        <v>3</v>
      </c>
      <c r="K3467" s="2" t="s">
        <v>6946</v>
      </c>
      <c r="L3467" s="11" t="str">
        <f t="shared" si="55"/>
        <v>Ver Imagen</v>
      </c>
      <c r="M3467" t="s">
        <v>15</v>
      </c>
    </row>
    <row r="3468" spans="1:13" x14ac:dyDescent="0.25">
      <c r="A3468">
        <v>3468</v>
      </c>
      <c r="B3468" t="s">
        <v>6947</v>
      </c>
      <c r="C3468" s="1">
        <v>37.239622445400002</v>
      </c>
      <c r="D3468" s="1">
        <v>-7.0186919268199999</v>
      </c>
      <c r="E3468" s="3">
        <v>2</v>
      </c>
      <c r="F3468" s="2">
        <v>3</v>
      </c>
      <c r="G3468" s="4">
        <v>3</v>
      </c>
      <c r="H3468" s="13"/>
      <c r="I3468" s="15"/>
      <c r="J3468" s="19">
        <v>3</v>
      </c>
      <c r="K3468" s="2" t="s">
        <v>6948</v>
      </c>
      <c r="L3468" s="11" t="str">
        <f t="shared" si="55"/>
        <v>Ver Imagen</v>
      </c>
      <c r="M3468" t="s">
        <v>15</v>
      </c>
    </row>
    <row r="3469" spans="1:13" x14ac:dyDescent="0.25">
      <c r="A3469">
        <v>3469</v>
      </c>
      <c r="B3469" t="s">
        <v>6949</v>
      </c>
      <c r="C3469" s="1">
        <v>37.239007109399999</v>
      </c>
      <c r="D3469" s="1">
        <v>-7.0187188213300002</v>
      </c>
      <c r="E3469" s="3">
        <v>2</v>
      </c>
      <c r="F3469" s="2">
        <v>3</v>
      </c>
      <c r="G3469" s="4">
        <v>3</v>
      </c>
      <c r="H3469" s="13"/>
      <c r="I3469" s="15"/>
      <c r="J3469" s="19">
        <v>3</v>
      </c>
      <c r="K3469" s="2" t="s">
        <v>6950</v>
      </c>
      <c r="L3469" s="11" t="str">
        <f t="shared" si="55"/>
        <v>Ver Imagen</v>
      </c>
      <c r="M3469" t="s">
        <v>15</v>
      </c>
    </row>
    <row r="3470" spans="1:13" x14ac:dyDescent="0.25">
      <c r="A3470">
        <v>3470</v>
      </c>
      <c r="B3470" t="s">
        <v>6951</v>
      </c>
      <c r="C3470" s="1">
        <v>37.2386290022</v>
      </c>
      <c r="D3470" s="1">
        <v>-7.0187349345200003</v>
      </c>
      <c r="E3470" s="3">
        <v>4</v>
      </c>
      <c r="F3470" s="2">
        <v>3</v>
      </c>
      <c r="G3470" s="4">
        <v>3</v>
      </c>
      <c r="H3470" s="13"/>
      <c r="I3470" s="15"/>
      <c r="J3470" s="19">
        <v>3</v>
      </c>
      <c r="K3470" s="2" t="s">
        <v>6952</v>
      </c>
      <c r="L3470" s="11" t="str">
        <f t="shared" si="55"/>
        <v>Ver Imagen</v>
      </c>
      <c r="M3470" t="s">
        <v>15</v>
      </c>
    </row>
    <row r="3471" spans="1:13" x14ac:dyDescent="0.25">
      <c r="A3471">
        <v>3471</v>
      </c>
      <c r="B3471" t="s">
        <v>6953</v>
      </c>
      <c r="C3471" s="1">
        <v>37.206918411700002</v>
      </c>
      <c r="D3471" s="1">
        <v>-7.02101268889</v>
      </c>
      <c r="E3471" s="3">
        <v>4</v>
      </c>
      <c r="F3471" s="2">
        <v>3</v>
      </c>
      <c r="G3471" s="4">
        <v>3</v>
      </c>
      <c r="H3471" s="13"/>
      <c r="I3471" s="15"/>
      <c r="J3471" s="19">
        <v>3</v>
      </c>
      <c r="K3471" s="2" t="s">
        <v>6954</v>
      </c>
      <c r="L3471" s="11" t="str">
        <f t="shared" si="55"/>
        <v>Ver Imagen</v>
      </c>
      <c r="M3471" t="s">
        <v>15</v>
      </c>
    </row>
    <row r="3472" spans="1:13" x14ac:dyDescent="0.25">
      <c r="A3472">
        <v>3472</v>
      </c>
      <c r="B3472" t="s">
        <v>6955</v>
      </c>
      <c r="C3472" s="1">
        <v>37.235559793699998</v>
      </c>
      <c r="D3472" s="1">
        <v>-7.0184245178899998</v>
      </c>
      <c r="E3472" s="3">
        <v>4</v>
      </c>
      <c r="F3472" s="2">
        <v>3</v>
      </c>
      <c r="G3472" s="4">
        <v>3</v>
      </c>
      <c r="H3472" s="13"/>
      <c r="I3472" s="15"/>
      <c r="J3472" s="19">
        <v>3</v>
      </c>
      <c r="K3472" s="2" t="s">
        <v>6956</v>
      </c>
      <c r="L3472" s="11" t="str">
        <f t="shared" si="55"/>
        <v>Ver Imagen</v>
      </c>
      <c r="M3472" t="s">
        <v>15</v>
      </c>
    </row>
    <row r="3473" spans="1:13" x14ac:dyDescent="0.25">
      <c r="A3473">
        <v>3473</v>
      </c>
      <c r="B3473" t="s">
        <v>6957</v>
      </c>
      <c r="C3473" s="1">
        <v>37.2091932696</v>
      </c>
      <c r="D3473" s="1">
        <v>-7.0231314429799996</v>
      </c>
      <c r="E3473" s="3">
        <v>4</v>
      </c>
      <c r="F3473" s="2">
        <v>3</v>
      </c>
      <c r="G3473" s="4">
        <v>3</v>
      </c>
      <c r="H3473" s="13"/>
      <c r="I3473" s="15"/>
      <c r="J3473" s="19">
        <v>3</v>
      </c>
      <c r="K3473" s="2" t="s">
        <v>6958</v>
      </c>
      <c r="L3473" s="11" t="str">
        <f t="shared" si="55"/>
        <v>Ver Imagen</v>
      </c>
      <c r="M3473" t="s">
        <v>15</v>
      </c>
    </row>
    <row r="3474" spans="1:13" x14ac:dyDescent="0.25">
      <c r="A3474">
        <v>3474</v>
      </c>
      <c r="B3474" t="s">
        <v>6959</v>
      </c>
      <c r="C3474" s="1">
        <v>37.210531541599998</v>
      </c>
      <c r="D3474" s="1">
        <v>-7.0236814088099999</v>
      </c>
      <c r="E3474" s="3">
        <v>2</v>
      </c>
      <c r="F3474" s="2">
        <v>3</v>
      </c>
      <c r="G3474" s="4">
        <v>3</v>
      </c>
      <c r="H3474" s="13"/>
      <c r="I3474" s="15"/>
      <c r="J3474" s="19">
        <v>3</v>
      </c>
      <c r="K3474" s="2" t="s">
        <v>6960</v>
      </c>
      <c r="L3474" s="11" t="str">
        <f t="shared" si="55"/>
        <v>Ver Imagen</v>
      </c>
      <c r="M3474" t="s">
        <v>15</v>
      </c>
    </row>
    <row r="3475" spans="1:13" x14ac:dyDescent="0.25">
      <c r="A3475">
        <v>3475</v>
      </c>
      <c r="B3475" t="s">
        <v>6961</v>
      </c>
      <c r="C3475" s="1">
        <v>37.230286529700003</v>
      </c>
      <c r="D3475" s="1">
        <v>-7.0202473857500003</v>
      </c>
      <c r="E3475" s="3">
        <v>4</v>
      </c>
      <c r="F3475" s="2">
        <v>3</v>
      </c>
      <c r="G3475" s="4">
        <v>3</v>
      </c>
      <c r="H3475" s="13"/>
      <c r="I3475" s="15"/>
      <c r="J3475" s="19">
        <v>3</v>
      </c>
      <c r="K3475" s="2" t="s">
        <v>6962</v>
      </c>
      <c r="L3475" s="11" t="str">
        <f t="shared" si="55"/>
        <v>Ver Imagen</v>
      </c>
      <c r="M3475" t="s">
        <v>15</v>
      </c>
    </row>
    <row r="3476" spans="1:13" x14ac:dyDescent="0.25">
      <c r="A3476">
        <v>3476</v>
      </c>
      <c r="B3476" t="s">
        <v>6963</v>
      </c>
      <c r="C3476" s="1">
        <v>37.229964452499999</v>
      </c>
      <c r="D3476" s="1">
        <v>-7.0204947774499997</v>
      </c>
      <c r="E3476" s="3">
        <v>2</v>
      </c>
      <c r="F3476" s="2">
        <v>3</v>
      </c>
      <c r="G3476" s="4">
        <v>3</v>
      </c>
      <c r="H3476" s="13"/>
      <c r="I3476" s="15"/>
      <c r="J3476" s="19">
        <v>3</v>
      </c>
      <c r="K3476" s="2" t="s">
        <v>6964</v>
      </c>
      <c r="L3476" s="11" t="str">
        <f t="shared" si="55"/>
        <v>Ver Imagen</v>
      </c>
      <c r="M3476" t="s">
        <v>15</v>
      </c>
    </row>
    <row r="3477" spans="1:13" x14ac:dyDescent="0.25">
      <c r="A3477">
        <v>3477</v>
      </c>
      <c r="B3477" t="s">
        <v>6965</v>
      </c>
      <c r="C3477" s="1">
        <v>37.229766420200001</v>
      </c>
      <c r="D3477" s="1">
        <v>-7.0206453873000001</v>
      </c>
      <c r="E3477" s="3">
        <v>4</v>
      </c>
      <c r="F3477" s="2">
        <v>3</v>
      </c>
      <c r="G3477" s="4">
        <v>3</v>
      </c>
      <c r="H3477" s="13"/>
      <c r="I3477" s="15"/>
      <c r="J3477" s="19">
        <v>3</v>
      </c>
      <c r="K3477" s="2" t="s">
        <v>6966</v>
      </c>
      <c r="L3477" s="11" t="str">
        <f t="shared" si="55"/>
        <v>Ver Imagen</v>
      </c>
      <c r="M3477" t="s">
        <v>15</v>
      </c>
    </row>
    <row r="3478" spans="1:13" x14ac:dyDescent="0.25">
      <c r="A3478">
        <v>3478</v>
      </c>
      <c r="B3478" t="s">
        <v>6967</v>
      </c>
      <c r="C3478" s="1">
        <v>37.229592969700001</v>
      </c>
      <c r="D3478" s="1">
        <v>-7.0207760671399999</v>
      </c>
      <c r="E3478" s="3">
        <v>4</v>
      </c>
      <c r="F3478" s="2">
        <v>3</v>
      </c>
      <c r="G3478" s="4">
        <v>3</v>
      </c>
      <c r="H3478" s="13"/>
      <c r="I3478" s="15"/>
      <c r="J3478" s="19">
        <v>3</v>
      </c>
      <c r="K3478" s="2" t="s">
        <v>6968</v>
      </c>
      <c r="L3478" s="11" t="str">
        <f t="shared" si="55"/>
        <v>Ver Imagen</v>
      </c>
      <c r="M3478" t="s">
        <v>15</v>
      </c>
    </row>
    <row r="3479" spans="1:13" x14ac:dyDescent="0.25">
      <c r="A3479">
        <v>3479</v>
      </c>
      <c r="B3479" t="s">
        <v>6969</v>
      </c>
      <c r="C3479" s="1">
        <v>37.229467306399997</v>
      </c>
      <c r="D3479" s="1">
        <v>-7.0208704126899999</v>
      </c>
      <c r="E3479" s="3">
        <v>4</v>
      </c>
      <c r="F3479" s="2">
        <v>3</v>
      </c>
      <c r="G3479" s="4">
        <v>3</v>
      </c>
      <c r="H3479" s="13"/>
      <c r="I3479" s="15"/>
      <c r="J3479" s="19">
        <v>3</v>
      </c>
      <c r="K3479" s="2" t="s">
        <v>6970</v>
      </c>
      <c r="L3479" s="11" t="str">
        <f t="shared" si="55"/>
        <v>Ver Imagen</v>
      </c>
      <c r="M3479" t="s">
        <v>15</v>
      </c>
    </row>
    <row r="3480" spans="1:13" x14ac:dyDescent="0.25">
      <c r="A3480">
        <v>3480</v>
      </c>
      <c r="B3480" t="s">
        <v>6971</v>
      </c>
      <c r="C3480" s="1">
        <v>37.229268064700001</v>
      </c>
      <c r="D3480" s="1">
        <v>-7.0210198400400001</v>
      </c>
      <c r="E3480" s="3">
        <v>4</v>
      </c>
      <c r="F3480" s="2">
        <v>3</v>
      </c>
      <c r="G3480" s="4">
        <v>3</v>
      </c>
      <c r="H3480" s="13"/>
      <c r="I3480" s="15"/>
      <c r="J3480" s="19">
        <v>3</v>
      </c>
      <c r="K3480" s="2" t="s">
        <v>6972</v>
      </c>
      <c r="L3480" s="11" t="str">
        <f t="shared" si="55"/>
        <v>Ver Imagen</v>
      </c>
      <c r="M3480" t="s">
        <v>15</v>
      </c>
    </row>
    <row r="3481" spans="1:13" x14ac:dyDescent="0.25">
      <c r="A3481">
        <v>3481</v>
      </c>
      <c r="B3481" t="s">
        <v>6973</v>
      </c>
      <c r="C3481" s="1">
        <v>37.227038376000003</v>
      </c>
      <c r="D3481" s="1">
        <v>-7.0226901024600004</v>
      </c>
      <c r="E3481" s="3">
        <v>3</v>
      </c>
      <c r="F3481" s="2">
        <v>3</v>
      </c>
      <c r="G3481" s="4">
        <v>2</v>
      </c>
      <c r="H3481" s="13"/>
      <c r="I3481" s="15"/>
      <c r="J3481" s="19">
        <v>3</v>
      </c>
      <c r="K3481" s="2" t="s">
        <v>6974</v>
      </c>
      <c r="L3481" s="11" t="str">
        <f t="shared" si="55"/>
        <v>Ver Imagen</v>
      </c>
      <c r="M3481" t="s">
        <v>15</v>
      </c>
    </row>
    <row r="3482" spans="1:13" x14ac:dyDescent="0.25">
      <c r="A3482">
        <v>3482</v>
      </c>
      <c r="B3482" t="s">
        <v>6975</v>
      </c>
      <c r="C3482" s="1">
        <v>37.226655044499999</v>
      </c>
      <c r="D3482" s="1">
        <v>-7.0229163502</v>
      </c>
      <c r="E3482" s="3">
        <v>3</v>
      </c>
      <c r="F3482" s="2">
        <v>3</v>
      </c>
      <c r="G3482" s="4">
        <v>2</v>
      </c>
      <c r="H3482" s="13"/>
      <c r="I3482" s="15"/>
      <c r="J3482" s="19">
        <v>3</v>
      </c>
      <c r="K3482" s="2" t="s">
        <v>6976</v>
      </c>
      <c r="L3482" s="11" t="str">
        <f t="shared" si="55"/>
        <v>Ver Imagen</v>
      </c>
      <c r="M3482" t="s">
        <v>15</v>
      </c>
    </row>
    <row r="3483" spans="1:13" x14ac:dyDescent="0.25">
      <c r="A3483">
        <v>3483</v>
      </c>
      <c r="B3483" t="s">
        <v>6977</v>
      </c>
      <c r="C3483" s="1">
        <v>37.215168434699997</v>
      </c>
      <c r="D3483" s="1">
        <v>-7.0233802186499998</v>
      </c>
      <c r="E3483" s="3">
        <v>2</v>
      </c>
      <c r="F3483" s="2">
        <v>3</v>
      </c>
      <c r="G3483" s="4">
        <v>3</v>
      </c>
      <c r="H3483" s="13"/>
      <c r="I3483" s="15"/>
      <c r="J3483" s="19">
        <v>3</v>
      </c>
      <c r="K3483" s="2" t="s">
        <v>6978</v>
      </c>
      <c r="L3483" s="11" t="str">
        <f t="shared" si="55"/>
        <v>Ver Imagen</v>
      </c>
      <c r="M3483" t="s">
        <v>15</v>
      </c>
    </row>
    <row r="3484" spans="1:13" x14ac:dyDescent="0.25">
      <c r="A3484">
        <v>3484</v>
      </c>
      <c r="B3484" t="s">
        <v>6979</v>
      </c>
      <c r="C3484" s="1">
        <v>37.216391331499999</v>
      </c>
      <c r="D3484" s="1">
        <v>-7.0231598923899998</v>
      </c>
      <c r="E3484" s="3">
        <v>3</v>
      </c>
      <c r="F3484" s="2">
        <v>3</v>
      </c>
      <c r="G3484" s="4">
        <v>2</v>
      </c>
      <c r="H3484" s="13"/>
      <c r="I3484" s="15"/>
      <c r="J3484" s="19">
        <v>3</v>
      </c>
      <c r="K3484" s="2" t="s">
        <v>6980</v>
      </c>
      <c r="L3484" s="11" t="str">
        <f t="shared" si="55"/>
        <v>Ver Imagen</v>
      </c>
      <c r="M3484" t="s">
        <v>15</v>
      </c>
    </row>
    <row r="3485" spans="1:13" x14ac:dyDescent="0.25">
      <c r="A3485">
        <v>3485</v>
      </c>
      <c r="B3485" t="s">
        <v>6981</v>
      </c>
      <c r="C3485" s="1">
        <v>37.216802949200002</v>
      </c>
      <c r="D3485" s="1">
        <v>-7.0230849710000003</v>
      </c>
      <c r="E3485" s="3">
        <v>2</v>
      </c>
      <c r="F3485" s="2">
        <v>3</v>
      </c>
      <c r="G3485" s="4">
        <v>3</v>
      </c>
      <c r="H3485" s="13"/>
      <c r="I3485" s="15"/>
      <c r="J3485" s="19">
        <v>3</v>
      </c>
      <c r="K3485" s="2" t="s">
        <v>6982</v>
      </c>
      <c r="L3485" s="11" t="str">
        <f t="shared" si="55"/>
        <v>Ver Imagen</v>
      </c>
      <c r="M3485" t="s">
        <v>15</v>
      </c>
    </row>
    <row r="3486" spans="1:13" x14ac:dyDescent="0.25">
      <c r="A3486">
        <v>3486</v>
      </c>
      <c r="B3486" t="s">
        <v>6983</v>
      </c>
      <c r="C3486" s="1">
        <v>37.217187559099997</v>
      </c>
      <c r="D3486" s="1">
        <v>-7.0230167880499996</v>
      </c>
      <c r="E3486" s="3">
        <v>2</v>
      </c>
      <c r="F3486" s="2">
        <v>3</v>
      </c>
      <c r="G3486" s="4">
        <v>3</v>
      </c>
      <c r="H3486" s="13"/>
      <c r="I3486" s="15"/>
      <c r="J3486" s="19">
        <v>3</v>
      </c>
      <c r="K3486" s="2" t="s">
        <v>6984</v>
      </c>
      <c r="L3486" s="11" t="str">
        <f t="shared" si="55"/>
        <v>Ver Imagen</v>
      </c>
      <c r="M3486" t="s">
        <v>15</v>
      </c>
    </row>
    <row r="3487" spans="1:13" x14ac:dyDescent="0.25">
      <c r="A3487">
        <v>3487</v>
      </c>
      <c r="B3487" t="s">
        <v>6985</v>
      </c>
      <c r="C3487" s="1">
        <v>37.217358027099998</v>
      </c>
      <c r="D3487" s="1">
        <v>-7.0229872977500003</v>
      </c>
      <c r="E3487" s="3">
        <v>3</v>
      </c>
      <c r="F3487" s="2">
        <v>3</v>
      </c>
      <c r="G3487" s="4">
        <v>2</v>
      </c>
      <c r="H3487" s="13"/>
      <c r="I3487" s="15"/>
      <c r="J3487" s="19">
        <v>3</v>
      </c>
      <c r="K3487" s="2" t="s">
        <v>6986</v>
      </c>
      <c r="L3487" s="11" t="str">
        <f t="shared" si="55"/>
        <v>Ver Imagen</v>
      </c>
      <c r="M3487" t="s">
        <v>15</v>
      </c>
    </row>
    <row r="3488" spans="1:13" x14ac:dyDescent="0.25">
      <c r="A3488">
        <v>3488</v>
      </c>
      <c r="B3488" t="s">
        <v>6987</v>
      </c>
      <c r="C3488" s="1">
        <v>37.217545521300003</v>
      </c>
      <c r="D3488" s="1">
        <v>-7.0229553756099996</v>
      </c>
      <c r="E3488" s="3">
        <v>4</v>
      </c>
      <c r="F3488" s="2">
        <v>3</v>
      </c>
      <c r="G3488" s="4">
        <v>3</v>
      </c>
      <c r="H3488" s="13"/>
      <c r="I3488" s="15"/>
      <c r="J3488" s="19">
        <v>3</v>
      </c>
      <c r="K3488" s="2" t="s">
        <v>6988</v>
      </c>
      <c r="L3488" s="11" t="str">
        <f t="shared" si="55"/>
        <v>Ver Imagen</v>
      </c>
      <c r="M3488" t="s">
        <v>15</v>
      </c>
    </row>
    <row r="3489" spans="1:13" x14ac:dyDescent="0.25">
      <c r="A3489">
        <v>3489</v>
      </c>
      <c r="B3489" t="s">
        <v>6989</v>
      </c>
      <c r="C3489" s="1">
        <v>37.223236912200001</v>
      </c>
      <c r="D3489" s="1">
        <v>-7.0232704656199996</v>
      </c>
      <c r="E3489" s="3">
        <v>2</v>
      </c>
      <c r="F3489" s="2">
        <v>3</v>
      </c>
      <c r="G3489" s="4">
        <v>3</v>
      </c>
      <c r="H3489" s="13"/>
      <c r="I3489" s="15"/>
      <c r="J3489" s="19">
        <v>3</v>
      </c>
      <c r="K3489" s="2" t="s">
        <v>6990</v>
      </c>
      <c r="L3489" s="11" t="str">
        <f t="shared" si="55"/>
        <v>Ver Imagen</v>
      </c>
      <c r="M3489" t="s">
        <v>15</v>
      </c>
    </row>
    <row r="3490" spans="1:13" x14ac:dyDescent="0.25">
      <c r="A3490">
        <v>3490</v>
      </c>
      <c r="B3490" t="s">
        <v>6991</v>
      </c>
      <c r="C3490" s="1">
        <v>37.222479311800001</v>
      </c>
      <c r="D3490" s="1">
        <v>-7.0231970095999996</v>
      </c>
      <c r="E3490" s="3">
        <v>2</v>
      </c>
      <c r="F3490" s="2">
        <v>3</v>
      </c>
      <c r="G3490" s="4">
        <v>3</v>
      </c>
      <c r="H3490" s="13"/>
      <c r="I3490" s="15"/>
      <c r="J3490" s="19">
        <v>3</v>
      </c>
      <c r="K3490" s="2" t="s">
        <v>6992</v>
      </c>
      <c r="L3490" s="11" t="str">
        <f t="shared" si="55"/>
        <v>Ver Imagen</v>
      </c>
      <c r="M3490" t="s">
        <v>15</v>
      </c>
    </row>
    <row r="3491" spans="1:13" x14ac:dyDescent="0.25">
      <c r="A3491">
        <v>3491</v>
      </c>
      <c r="B3491" t="s">
        <v>6993</v>
      </c>
      <c r="C3491" s="1">
        <v>37.220482520300003</v>
      </c>
      <c r="D3491" s="1">
        <v>-7.0230063882499998</v>
      </c>
      <c r="E3491" s="3">
        <v>3</v>
      </c>
      <c r="F3491" s="2">
        <v>3</v>
      </c>
      <c r="G3491" s="4">
        <v>4</v>
      </c>
      <c r="H3491" s="13"/>
      <c r="I3491" s="15"/>
      <c r="J3491" s="19">
        <v>3</v>
      </c>
      <c r="K3491" s="2" t="s">
        <v>6994</v>
      </c>
      <c r="L3491" s="11" t="str">
        <f t="shared" si="55"/>
        <v>Ver Imagen</v>
      </c>
      <c r="M3491" t="s">
        <v>15</v>
      </c>
    </row>
    <row r="3492" spans="1:13" x14ac:dyDescent="0.25">
      <c r="A3492">
        <v>3492</v>
      </c>
      <c r="B3492" t="s">
        <v>6995</v>
      </c>
      <c r="C3492" s="1">
        <v>37.220056099099999</v>
      </c>
      <c r="D3492" s="1">
        <v>-7.0229704711199998</v>
      </c>
      <c r="E3492" s="3">
        <v>4</v>
      </c>
      <c r="F3492" s="2">
        <v>3</v>
      </c>
      <c r="G3492" s="4">
        <v>3</v>
      </c>
      <c r="H3492" s="13"/>
      <c r="I3492" s="15"/>
      <c r="J3492" s="19">
        <v>3</v>
      </c>
      <c r="K3492" s="2" t="s">
        <v>6996</v>
      </c>
      <c r="L3492" s="11" t="str">
        <f t="shared" si="55"/>
        <v>Ver Imagen</v>
      </c>
      <c r="M3492" t="s">
        <v>15</v>
      </c>
    </row>
    <row r="3493" spans="1:13" x14ac:dyDescent="0.25">
      <c r="A3493">
        <v>3493</v>
      </c>
      <c r="B3493" t="s">
        <v>6997</v>
      </c>
      <c r="C3493" s="1">
        <v>37.219847287999997</v>
      </c>
      <c r="D3493" s="1">
        <v>-7.02295762341</v>
      </c>
      <c r="E3493" s="3">
        <v>4</v>
      </c>
      <c r="F3493" s="2">
        <v>3</v>
      </c>
      <c r="G3493" s="4">
        <v>3</v>
      </c>
      <c r="H3493" s="13"/>
      <c r="I3493" s="15"/>
      <c r="J3493" s="19">
        <v>3</v>
      </c>
      <c r="K3493" s="2" t="s">
        <v>6998</v>
      </c>
      <c r="L3493" s="11" t="str">
        <f t="shared" si="55"/>
        <v>Ver Imagen</v>
      </c>
      <c r="M3493" t="s">
        <v>15</v>
      </c>
    </row>
    <row r="3494" spans="1:13" x14ac:dyDescent="0.25">
      <c r="A3494">
        <v>3494</v>
      </c>
      <c r="B3494" t="s">
        <v>6999</v>
      </c>
      <c r="C3494" s="1">
        <v>37.219645947499998</v>
      </c>
      <c r="D3494" s="1">
        <v>-7.0229504898100004</v>
      </c>
      <c r="E3494" s="3">
        <v>4</v>
      </c>
      <c r="F3494" s="2">
        <v>3</v>
      </c>
      <c r="G3494" s="4">
        <v>3</v>
      </c>
      <c r="H3494" s="13"/>
      <c r="I3494" s="15"/>
      <c r="J3494" s="19">
        <v>3</v>
      </c>
      <c r="K3494" s="2" t="s">
        <v>7000</v>
      </c>
      <c r="L3494" s="11" t="str">
        <f t="shared" si="55"/>
        <v>Ver Imagen</v>
      </c>
      <c r="M3494" t="s">
        <v>15</v>
      </c>
    </row>
    <row r="3495" spans="1:13" x14ac:dyDescent="0.25">
      <c r="A3495">
        <v>3495</v>
      </c>
      <c r="B3495" t="s">
        <v>7001</v>
      </c>
      <c r="C3495" s="1">
        <v>37.218830161200003</v>
      </c>
      <c r="D3495" s="1">
        <v>-7.0229743138999998</v>
      </c>
      <c r="E3495" s="3">
        <v>2</v>
      </c>
      <c r="F3495" s="2">
        <v>3</v>
      </c>
      <c r="G3495" s="4">
        <v>3</v>
      </c>
      <c r="H3495" s="13"/>
      <c r="I3495" s="15"/>
      <c r="J3495" s="19">
        <v>3</v>
      </c>
      <c r="K3495" s="2" t="s">
        <v>7002</v>
      </c>
      <c r="L3495" s="11" t="str">
        <f t="shared" si="55"/>
        <v>Ver Imagen</v>
      </c>
      <c r="M3495" t="s">
        <v>15</v>
      </c>
    </row>
    <row r="3496" spans="1:13" x14ac:dyDescent="0.25">
      <c r="A3496">
        <v>3496</v>
      </c>
      <c r="B3496" t="s">
        <v>7003</v>
      </c>
      <c r="C3496" s="1">
        <v>37.215226551599997</v>
      </c>
      <c r="D3496" s="1">
        <v>-7.0235455444300001</v>
      </c>
      <c r="E3496" s="3">
        <v>4</v>
      </c>
      <c r="F3496" s="2">
        <v>3</v>
      </c>
      <c r="G3496" s="4">
        <v>3</v>
      </c>
      <c r="H3496" s="13"/>
      <c r="I3496" s="15"/>
      <c r="J3496" s="19">
        <v>3</v>
      </c>
      <c r="K3496" s="2" t="s">
        <v>7004</v>
      </c>
      <c r="L3496" s="11" t="str">
        <f t="shared" si="55"/>
        <v>Ver Imagen</v>
      </c>
      <c r="M3496" t="s">
        <v>15</v>
      </c>
    </row>
    <row r="3497" spans="1:13" x14ac:dyDescent="0.25">
      <c r="A3497">
        <v>3497</v>
      </c>
      <c r="B3497" t="s">
        <v>7005</v>
      </c>
      <c r="C3497" s="1">
        <v>37.214388880000001</v>
      </c>
      <c r="D3497" s="1">
        <v>-7.0236979288399999</v>
      </c>
      <c r="E3497" s="3">
        <v>4</v>
      </c>
      <c r="F3497" s="2">
        <v>3</v>
      </c>
      <c r="G3497" s="4">
        <v>3</v>
      </c>
      <c r="H3497" s="13"/>
      <c r="I3497" s="15"/>
      <c r="J3497" s="19">
        <v>3</v>
      </c>
      <c r="K3497" s="2" t="s">
        <v>7006</v>
      </c>
      <c r="L3497" s="11" t="str">
        <f t="shared" ref="L3497:L3560" si="56">HYPERLINK("3\1\" &amp; K3497, "Ver Imagen")</f>
        <v>Ver Imagen</v>
      </c>
      <c r="M3497" t="s">
        <v>15</v>
      </c>
    </row>
    <row r="3498" spans="1:13" x14ac:dyDescent="0.25">
      <c r="A3498">
        <v>3498</v>
      </c>
      <c r="B3498" t="s">
        <v>7007</v>
      </c>
      <c r="C3498" s="1">
        <v>37.212619836400002</v>
      </c>
      <c r="D3498" s="1">
        <v>-7.0239951517100003</v>
      </c>
      <c r="E3498" s="3">
        <v>4</v>
      </c>
      <c r="F3498" s="2">
        <v>3</v>
      </c>
      <c r="G3498" s="4">
        <v>3</v>
      </c>
      <c r="H3498" s="13"/>
      <c r="I3498" s="15"/>
      <c r="J3498" s="19">
        <v>3</v>
      </c>
      <c r="K3498" s="2" t="s">
        <v>7008</v>
      </c>
      <c r="L3498" s="11" t="str">
        <f t="shared" si="56"/>
        <v>Ver Imagen</v>
      </c>
      <c r="M3498" t="s">
        <v>15</v>
      </c>
    </row>
    <row r="3499" spans="1:13" x14ac:dyDescent="0.25">
      <c r="A3499">
        <v>3499</v>
      </c>
      <c r="B3499" t="s">
        <v>7009</v>
      </c>
      <c r="C3499" s="1">
        <v>37.211755709999998</v>
      </c>
      <c r="D3499" s="1">
        <v>-7.0240493499600003</v>
      </c>
      <c r="E3499" s="3">
        <v>4</v>
      </c>
      <c r="F3499" s="2">
        <v>3</v>
      </c>
      <c r="G3499" s="4">
        <v>3</v>
      </c>
      <c r="H3499" s="13"/>
      <c r="I3499" s="15"/>
      <c r="J3499" s="19">
        <v>3</v>
      </c>
      <c r="K3499" s="2" t="s">
        <v>7010</v>
      </c>
      <c r="L3499" s="11" t="str">
        <f t="shared" si="56"/>
        <v>Ver Imagen</v>
      </c>
      <c r="M3499" t="s">
        <v>15</v>
      </c>
    </row>
    <row r="3500" spans="1:13" x14ac:dyDescent="0.25">
      <c r="A3500">
        <v>3500</v>
      </c>
      <c r="B3500" t="s">
        <v>7011</v>
      </c>
      <c r="C3500" s="1">
        <v>37.211371371399999</v>
      </c>
      <c r="D3500" s="1">
        <v>-7.0240296650299996</v>
      </c>
      <c r="E3500" s="3">
        <v>4</v>
      </c>
      <c r="F3500" s="2">
        <v>3</v>
      </c>
      <c r="G3500" s="4">
        <v>3</v>
      </c>
      <c r="H3500" s="13"/>
      <c r="I3500" s="15"/>
      <c r="J3500" s="19">
        <v>3</v>
      </c>
      <c r="K3500" s="2" t="s">
        <v>7012</v>
      </c>
      <c r="L3500" s="11" t="str">
        <f t="shared" si="56"/>
        <v>Ver Imagen</v>
      </c>
      <c r="M3500" t="s">
        <v>15</v>
      </c>
    </row>
    <row r="3501" spans="1:13" x14ac:dyDescent="0.25">
      <c r="A3501">
        <v>3501</v>
      </c>
      <c r="B3501" t="s">
        <v>7013</v>
      </c>
      <c r="C3501" s="1">
        <v>37.211177509800002</v>
      </c>
      <c r="D3501" s="1">
        <v>-7.0240098720199997</v>
      </c>
      <c r="E3501" s="3">
        <v>4</v>
      </c>
      <c r="F3501" s="2">
        <v>3</v>
      </c>
      <c r="G3501" s="4">
        <v>3</v>
      </c>
      <c r="H3501" s="13"/>
      <c r="I3501" s="15"/>
      <c r="J3501" s="19">
        <v>3</v>
      </c>
      <c r="K3501" s="2" t="s">
        <v>7014</v>
      </c>
      <c r="L3501" s="11" t="str">
        <f t="shared" si="56"/>
        <v>Ver Imagen</v>
      </c>
      <c r="M3501" t="s">
        <v>15</v>
      </c>
    </row>
    <row r="3502" spans="1:13" x14ac:dyDescent="0.25">
      <c r="A3502">
        <v>3502</v>
      </c>
      <c r="B3502" t="s">
        <v>7015</v>
      </c>
      <c r="C3502" s="1">
        <v>37.210988619200002</v>
      </c>
      <c r="D3502" s="1">
        <v>-7.0239833525200002</v>
      </c>
      <c r="E3502" s="3">
        <v>4</v>
      </c>
      <c r="F3502" s="2">
        <v>3</v>
      </c>
      <c r="G3502" s="4">
        <v>3</v>
      </c>
      <c r="H3502" s="13"/>
      <c r="I3502" s="15"/>
      <c r="J3502" s="19">
        <v>3</v>
      </c>
      <c r="K3502" s="2" t="s">
        <v>7016</v>
      </c>
      <c r="L3502" s="11" t="str">
        <f t="shared" si="56"/>
        <v>Ver Imagen</v>
      </c>
      <c r="M3502" t="s">
        <v>15</v>
      </c>
    </row>
    <row r="3503" spans="1:13" x14ac:dyDescent="0.25">
      <c r="A3503">
        <v>3503</v>
      </c>
      <c r="B3503" t="s">
        <v>7017</v>
      </c>
      <c r="C3503" s="1">
        <v>37.2108011125</v>
      </c>
      <c r="D3503" s="1">
        <v>-7.0239490733199998</v>
      </c>
      <c r="E3503" s="3">
        <v>4</v>
      </c>
      <c r="F3503" s="2">
        <v>3</v>
      </c>
      <c r="G3503" s="4">
        <v>3</v>
      </c>
      <c r="H3503" s="13"/>
      <c r="I3503" s="15"/>
      <c r="J3503" s="19">
        <v>3</v>
      </c>
      <c r="K3503" s="2" t="s">
        <v>7018</v>
      </c>
      <c r="L3503" s="11" t="str">
        <f t="shared" si="56"/>
        <v>Ver Imagen</v>
      </c>
      <c r="M3503" t="s">
        <v>15</v>
      </c>
    </row>
    <row r="3504" spans="1:13" x14ac:dyDescent="0.25">
      <c r="A3504">
        <v>3504</v>
      </c>
      <c r="B3504" t="s">
        <v>7019</v>
      </c>
      <c r="C3504" s="1">
        <v>37.210581532200003</v>
      </c>
      <c r="D3504" s="1">
        <v>-7.0238988822900001</v>
      </c>
      <c r="E3504" s="3">
        <v>2</v>
      </c>
      <c r="F3504" s="2">
        <v>3</v>
      </c>
      <c r="G3504" s="4">
        <v>3</v>
      </c>
      <c r="H3504" s="13"/>
      <c r="I3504" s="15"/>
      <c r="J3504" s="19">
        <v>3</v>
      </c>
      <c r="K3504" s="2" t="s">
        <v>7020</v>
      </c>
      <c r="L3504" s="11" t="str">
        <f t="shared" si="56"/>
        <v>Ver Imagen</v>
      </c>
      <c r="M3504" t="s">
        <v>15</v>
      </c>
    </row>
    <row r="3505" spans="1:13" x14ac:dyDescent="0.25">
      <c r="A3505">
        <v>3505</v>
      </c>
      <c r="B3505" t="s">
        <v>7021</v>
      </c>
      <c r="C3505" s="1">
        <v>37.209594591200002</v>
      </c>
      <c r="D3505" s="1">
        <v>-7.0235547987800002</v>
      </c>
      <c r="E3505" s="3">
        <v>4</v>
      </c>
      <c r="F3505" s="2">
        <v>3</v>
      </c>
      <c r="G3505" s="4">
        <v>3</v>
      </c>
      <c r="H3505" s="13"/>
      <c r="I3505" s="15"/>
      <c r="J3505" s="19">
        <v>3</v>
      </c>
      <c r="K3505" s="2" t="s">
        <v>7022</v>
      </c>
      <c r="L3505" s="11" t="str">
        <f t="shared" si="56"/>
        <v>Ver Imagen</v>
      </c>
      <c r="M3505" t="s">
        <v>15</v>
      </c>
    </row>
    <row r="3506" spans="1:13" x14ac:dyDescent="0.25">
      <c r="A3506">
        <v>3506</v>
      </c>
      <c r="B3506" t="s">
        <v>7023</v>
      </c>
      <c r="C3506" s="1">
        <v>37.208320863399997</v>
      </c>
      <c r="D3506" s="1">
        <v>-7.0227742881399999</v>
      </c>
      <c r="E3506" s="3">
        <v>3</v>
      </c>
      <c r="F3506" s="2">
        <v>3</v>
      </c>
      <c r="G3506" s="4">
        <v>2</v>
      </c>
      <c r="H3506" s="13"/>
      <c r="I3506" s="15"/>
      <c r="J3506" s="19">
        <v>3</v>
      </c>
      <c r="K3506" s="2" t="s">
        <v>7024</v>
      </c>
      <c r="L3506" s="11" t="str">
        <f t="shared" si="56"/>
        <v>Ver Imagen</v>
      </c>
      <c r="M3506" t="s">
        <v>15</v>
      </c>
    </row>
    <row r="3507" spans="1:13" x14ac:dyDescent="0.25">
      <c r="A3507">
        <v>3507</v>
      </c>
      <c r="B3507" t="s">
        <v>7025</v>
      </c>
      <c r="C3507" s="1">
        <v>37.207993885900002</v>
      </c>
      <c r="D3507" s="1">
        <v>-7.0224979050899998</v>
      </c>
      <c r="E3507" s="3">
        <v>2</v>
      </c>
      <c r="F3507" s="2">
        <v>3</v>
      </c>
      <c r="G3507" s="4">
        <v>3</v>
      </c>
      <c r="H3507" s="13"/>
      <c r="I3507" s="15"/>
      <c r="J3507" s="19">
        <v>3</v>
      </c>
      <c r="K3507" s="2" t="s">
        <v>7026</v>
      </c>
      <c r="L3507" s="11" t="str">
        <f t="shared" si="56"/>
        <v>Ver Imagen</v>
      </c>
      <c r="M3507" t="s">
        <v>15</v>
      </c>
    </row>
    <row r="3508" spans="1:13" x14ac:dyDescent="0.25">
      <c r="A3508">
        <v>3508</v>
      </c>
      <c r="B3508" t="s">
        <v>7027</v>
      </c>
      <c r="C3508" s="1">
        <v>37.207839304799997</v>
      </c>
      <c r="D3508" s="1">
        <v>-7.0223545440699997</v>
      </c>
      <c r="E3508" s="3">
        <v>2</v>
      </c>
      <c r="F3508" s="2">
        <v>3</v>
      </c>
      <c r="G3508" s="4">
        <v>3</v>
      </c>
      <c r="H3508" s="13"/>
      <c r="I3508" s="15"/>
      <c r="J3508" s="19">
        <v>3</v>
      </c>
      <c r="K3508" s="2" t="s">
        <v>7028</v>
      </c>
      <c r="L3508" s="11" t="str">
        <f t="shared" si="56"/>
        <v>Ver Imagen</v>
      </c>
      <c r="M3508" t="s">
        <v>15</v>
      </c>
    </row>
    <row r="3509" spans="1:13" x14ac:dyDescent="0.25">
      <c r="A3509">
        <v>3509</v>
      </c>
      <c r="B3509" t="s">
        <v>7029</v>
      </c>
      <c r="C3509" s="1">
        <v>37.207650500500002</v>
      </c>
      <c r="D3509" s="1">
        <v>-7.0221669770000004</v>
      </c>
      <c r="E3509" s="3">
        <v>2</v>
      </c>
      <c r="F3509" s="2">
        <v>3</v>
      </c>
      <c r="G3509" s="4">
        <v>3</v>
      </c>
      <c r="H3509" s="13"/>
      <c r="I3509" s="15"/>
      <c r="J3509" s="19">
        <v>3</v>
      </c>
      <c r="K3509" s="2" t="s">
        <v>7030</v>
      </c>
      <c r="L3509" s="11" t="str">
        <f t="shared" si="56"/>
        <v>Ver Imagen</v>
      </c>
      <c r="M3509" t="s">
        <v>15</v>
      </c>
    </row>
    <row r="3510" spans="1:13" x14ac:dyDescent="0.25">
      <c r="A3510">
        <v>3510</v>
      </c>
      <c r="B3510" t="s">
        <v>7031</v>
      </c>
      <c r="C3510" s="1">
        <v>37.207523611299997</v>
      </c>
      <c r="D3510" s="1">
        <v>-7.0220331207699997</v>
      </c>
      <c r="E3510" s="3">
        <v>2</v>
      </c>
      <c r="F3510" s="2">
        <v>3</v>
      </c>
      <c r="G3510" s="4">
        <v>3</v>
      </c>
      <c r="H3510" s="13"/>
      <c r="I3510" s="15"/>
      <c r="J3510" s="19">
        <v>3</v>
      </c>
      <c r="K3510" s="2" t="s">
        <v>7032</v>
      </c>
      <c r="L3510" s="11" t="str">
        <f t="shared" si="56"/>
        <v>Ver Imagen</v>
      </c>
      <c r="M3510" t="s">
        <v>15</v>
      </c>
    </row>
    <row r="3511" spans="1:13" x14ac:dyDescent="0.25">
      <c r="A3511">
        <v>3511</v>
      </c>
      <c r="B3511" t="s">
        <v>7033</v>
      </c>
      <c r="C3511" s="1">
        <v>37.207364879099998</v>
      </c>
      <c r="D3511" s="1">
        <v>-7.0218572606</v>
      </c>
      <c r="E3511" s="3">
        <v>2</v>
      </c>
      <c r="F3511" s="2">
        <v>3</v>
      </c>
      <c r="G3511" s="4">
        <v>3</v>
      </c>
      <c r="H3511" s="13"/>
      <c r="I3511" s="15"/>
      <c r="J3511" s="19">
        <v>3</v>
      </c>
      <c r="K3511" s="2" t="s">
        <v>7034</v>
      </c>
      <c r="L3511" s="11" t="str">
        <f t="shared" si="56"/>
        <v>Ver Imagen</v>
      </c>
      <c r="M3511" t="s">
        <v>15</v>
      </c>
    </row>
    <row r="3512" spans="1:13" x14ac:dyDescent="0.25">
      <c r="A3512">
        <v>3512</v>
      </c>
      <c r="B3512" t="s">
        <v>7035</v>
      </c>
      <c r="C3512" s="1">
        <v>37.207218439999998</v>
      </c>
      <c r="D3512" s="1">
        <v>-7.0216866211599998</v>
      </c>
      <c r="E3512" s="3">
        <v>2</v>
      </c>
      <c r="F3512" s="2">
        <v>3</v>
      </c>
      <c r="G3512" s="4">
        <v>3</v>
      </c>
      <c r="H3512" s="13"/>
      <c r="I3512" s="15"/>
      <c r="J3512" s="19">
        <v>3</v>
      </c>
      <c r="K3512" s="2" t="s">
        <v>7036</v>
      </c>
      <c r="L3512" s="11" t="str">
        <f t="shared" si="56"/>
        <v>Ver Imagen</v>
      </c>
      <c r="M3512" t="s">
        <v>15</v>
      </c>
    </row>
    <row r="3513" spans="1:13" x14ac:dyDescent="0.25">
      <c r="A3513">
        <v>3513</v>
      </c>
      <c r="B3513" t="s">
        <v>7037</v>
      </c>
      <c r="C3513" s="1">
        <v>37.207076078599997</v>
      </c>
      <c r="D3513" s="1">
        <v>-7.0215119378099997</v>
      </c>
      <c r="E3513" s="3">
        <v>3</v>
      </c>
      <c r="F3513" s="2">
        <v>3</v>
      </c>
      <c r="G3513" s="4">
        <v>4</v>
      </c>
      <c r="H3513" s="13"/>
      <c r="I3513" s="15"/>
      <c r="J3513" s="19">
        <v>3</v>
      </c>
      <c r="K3513" s="2" t="s">
        <v>7038</v>
      </c>
      <c r="L3513" s="11" t="str">
        <f t="shared" si="56"/>
        <v>Ver Imagen</v>
      </c>
      <c r="M3513" t="s">
        <v>15</v>
      </c>
    </row>
    <row r="3514" spans="1:13" x14ac:dyDescent="0.25">
      <c r="A3514">
        <v>3514</v>
      </c>
      <c r="B3514" t="s">
        <v>7039</v>
      </c>
      <c r="C3514" s="1">
        <v>37.206912207199998</v>
      </c>
      <c r="D3514" s="1">
        <v>-7.0212962128200003</v>
      </c>
      <c r="E3514" s="3">
        <v>2</v>
      </c>
      <c r="F3514" s="2">
        <v>3</v>
      </c>
      <c r="G3514" s="4">
        <v>3</v>
      </c>
      <c r="H3514" s="13"/>
      <c r="I3514" s="15"/>
      <c r="J3514" s="19">
        <v>3</v>
      </c>
      <c r="K3514" s="2" t="s">
        <v>7040</v>
      </c>
      <c r="L3514" s="11" t="str">
        <f t="shared" si="56"/>
        <v>Ver Imagen</v>
      </c>
      <c r="M3514" t="s">
        <v>15</v>
      </c>
    </row>
    <row r="3515" spans="1:13" x14ac:dyDescent="0.25">
      <c r="A3515">
        <v>3515</v>
      </c>
      <c r="B3515" t="s">
        <v>7041</v>
      </c>
      <c r="C3515" s="1">
        <v>37.204534803599998</v>
      </c>
      <c r="D3515" s="1">
        <v>-7.0140529445800004</v>
      </c>
      <c r="E3515" s="3">
        <v>2</v>
      </c>
      <c r="F3515" s="2">
        <v>3</v>
      </c>
      <c r="G3515" s="4">
        <v>3</v>
      </c>
      <c r="H3515" s="13"/>
      <c r="I3515" s="15"/>
      <c r="J3515" s="19">
        <v>3</v>
      </c>
      <c r="K3515" s="2" t="s">
        <v>7042</v>
      </c>
      <c r="L3515" s="11" t="str">
        <f t="shared" si="56"/>
        <v>Ver Imagen</v>
      </c>
      <c r="M3515" t="s">
        <v>15</v>
      </c>
    </row>
    <row r="3516" spans="1:13" x14ac:dyDescent="0.25">
      <c r="A3516">
        <v>3516</v>
      </c>
      <c r="B3516" t="s">
        <v>7043</v>
      </c>
      <c r="C3516" s="1">
        <v>37.203480356100002</v>
      </c>
      <c r="D3516" s="1">
        <v>-7.0078506426900002</v>
      </c>
      <c r="E3516" s="3">
        <v>2</v>
      </c>
      <c r="F3516" s="2">
        <v>3</v>
      </c>
      <c r="G3516" s="4">
        <v>3</v>
      </c>
      <c r="H3516" s="13"/>
      <c r="I3516" s="15"/>
      <c r="J3516" s="19">
        <v>3</v>
      </c>
      <c r="K3516" s="2" t="s">
        <v>7044</v>
      </c>
      <c r="L3516" s="11" t="str">
        <f t="shared" si="56"/>
        <v>Ver Imagen</v>
      </c>
      <c r="M3516" t="s">
        <v>15</v>
      </c>
    </row>
    <row r="3517" spans="1:13" x14ac:dyDescent="0.25">
      <c r="A3517">
        <v>3517</v>
      </c>
      <c r="B3517" t="s">
        <v>7045</v>
      </c>
      <c r="C3517" s="1">
        <v>37.202954552500003</v>
      </c>
      <c r="D3517" s="1">
        <v>-7.0038611152300003</v>
      </c>
      <c r="E3517" s="3">
        <v>3</v>
      </c>
      <c r="F3517" s="2">
        <v>3</v>
      </c>
      <c r="G3517" s="4">
        <v>4</v>
      </c>
      <c r="H3517" s="13"/>
      <c r="I3517" s="15"/>
      <c r="J3517" s="19">
        <v>3</v>
      </c>
      <c r="K3517" s="2" t="s">
        <v>7046</v>
      </c>
      <c r="L3517" s="11" t="str">
        <f t="shared" si="56"/>
        <v>Ver Imagen</v>
      </c>
      <c r="M3517" t="s">
        <v>15</v>
      </c>
    </row>
    <row r="3518" spans="1:13" x14ac:dyDescent="0.25">
      <c r="A3518">
        <v>3518</v>
      </c>
      <c r="B3518" t="s">
        <v>7047</v>
      </c>
      <c r="C3518" s="1">
        <v>37.202243179200003</v>
      </c>
      <c r="D3518" s="1">
        <v>-6.9980782599199998</v>
      </c>
      <c r="E3518" s="3">
        <v>2</v>
      </c>
      <c r="F3518" s="2">
        <v>3</v>
      </c>
      <c r="G3518" s="4">
        <v>3</v>
      </c>
      <c r="H3518" s="13"/>
      <c r="I3518" s="15"/>
      <c r="J3518" s="19">
        <v>3</v>
      </c>
      <c r="K3518" s="2" t="s">
        <v>7048</v>
      </c>
      <c r="L3518" s="11" t="str">
        <f t="shared" si="56"/>
        <v>Ver Imagen</v>
      </c>
      <c r="M3518" t="s">
        <v>15</v>
      </c>
    </row>
    <row r="3519" spans="1:13" x14ac:dyDescent="0.25">
      <c r="A3519">
        <v>3519</v>
      </c>
      <c r="B3519" t="s">
        <v>7049</v>
      </c>
      <c r="C3519" s="1">
        <v>37.2007309643</v>
      </c>
      <c r="D3519" s="1">
        <v>-6.9896409754700004</v>
      </c>
      <c r="E3519" s="3">
        <v>2</v>
      </c>
      <c r="F3519" s="2">
        <v>3</v>
      </c>
      <c r="G3519" s="4">
        <v>3</v>
      </c>
      <c r="H3519" s="13"/>
      <c r="I3519" s="15"/>
      <c r="J3519" s="19">
        <v>3</v>
      </c>
      <c r="K3519" s="2" t="s">
        <v>7050</v>
      </c>
      <c r="L3519" s="11" t="str">
        <f t="shared" si="56"/>
        <v>Ver Imagen</v>
      </c>
      <c r="M3519" t="s">
        <v>15</v>
      </c>
    </row>
    <row r="3520" spans="1:13" x14ac:dyDescent="0.25">
      <c r="A3520">
        <v>3520</v>
      </c>
      <c r="B3520" t="s">
        <v>7051</v>
      </c>
      <c r="C3520" s="1">
        <v>37.224636259900002</v>
      </c>
      <c r="D3520" s="1">
        <v>-7.0232067643800002</v>
      </c>
      <c r="E3520" s="3">
        <v>2</v>
      </c>
      <c r="F3520" s="2">
        <v>3</v>
      </c>
      <c r="G3520" s="4">
        <v>3</v>
      </c>
      <c r="H3520" s="13"/>
      <c r="I3520" s="15"/>
      <c r="J3520" s="19">
        <v>3</v>
      </c>
      <c r="K3520" s="2" t="s">
        <v>7052</v>
      </c>
      <c r="L3520" s="11" t="str">
        <f t="shared" si="56"/>
        <v>Ver Imagen</v>
      </c>
      <c r="M3520" t="s">
        <v>15</v>
      </c>
    </row>
    <row r="3521" spans="1:13" x14ac:dyDescent="0.25">
      <c r="A3521">
        <v>3521</v>
      </c>
      <c r="B3521" t="s">
        <v>7053</v>
      </c>
      <c r="C3521" s="1">
        <v>37.228197083799998</v>
      </c>
      <c r="D3521" s="1">
        <v>-7.0216291012100003</v>
      </c>
      <c r="E3521" s="3">
        <v>3</v>
      </c>
      <c r="F3521" s="2">
        <v>3</v>
      </c>
      <c r="G3521" s="4">
        <v>2</v>
      </c>
      <c r="H3521" s="13"/>
      <c r="I3521" s="15"/>
      <c r="J3521" s="19">
        <v>3</v>
      </c>
      <c r="K3521" s="2" t="s">
        <v>7054</v>
      </c>
      <c r="L3521" s="11" t="str">
        <f t="shared" si="56"/>
        <v>Ver Imagen</v>
      </c>
      <c r="M3521" t="s">
        <v>15</v>
      </c>
    </row>
    <row r="3522" spans="1:13" x14ac:dyDescent="0.25">
      <c r="A3522">
        <v>3522</v>
      </c>
      <c r="B3522" t="s">
        <v>7055</v>
      </c>
      <c r="C3522" s="1">
        <v>37.231631559599997</v>
      </c>
      <c r="D3522" s="1">
        <v>-7.0190076600499998</v>
      </c>
      <c r="E3522" s="3">
        <v>3</v>
      </c>
      <c r="F3522" s="2">
        <v>3</v>
      </c>
      <c r="G3522" s="4">
        <v>4</v>
      </c>
      <c r="H3522" s="13"/>
      <c r="I3522" s="15"/>
      <c r="J3522" s="19">
        <v>3</v>
      </c>
      <c r="K3522" s="2" t="s">
        <v>7056</v>
      </c>
      <c r="L3522" s="11" t="str">
        <f t="shared" si="56"/>
        <v>Ver Imagen</v>
      </c>
      <c r="M3522" t="s">
        <v>15</v>
      </c>
    </row>
    <row r="3523" spans="1:13" x14ac:dyDescent="0.25">
      <c r="A3523">
        <v>3523</v>
      </c>
      <c r="B3523" t="s">
        <v>7057</v>
      </c>
      <c r="C3523" s="1">
        <v>37.2342919759</v>
      </c>
      <c r="D3523" s="1">
        <v>-7.0179998724999999</v>
      </c>
      <c r="E3523" s="3">
        <v>2</v>
      </c>
      <c r="F3523" s="2">
        <v>3</v>
      </c>
      <c r="G3523" s="4">
        <v>3</v>
      </c>
      <c r="H3523" s="13"/>
      <c r="I3523" s="15"/>
      <c r="J3523" s="19">
        <v>3</v>
      </c>
      <c r="K3523" s="2" t="s">
        <v>7058</v>
      </c>
      <c r="L3523" s="11" t="str">
        <f t="shared" si="56"/>
        <v>Ver Imagen</v>
      </c>
      <c r="M3523" t="s">
        <v>15</v>
      </c>
    </row>
    <row r="3524" spans="1:13" x14ac:dyDescent="0.25">
      <c r="A3524">
        <v>3524</v>
      </c>
      <c r="B3524" t="s">
        <v>7059</v>
      </c>
      <c r="C3524" s="1">
        <v>37.235514956400003</v>
      </c>
      <c r="D3524" s="1">
        <v>-7.0182399249999996</v>
      </c>
      <c r="E3524" s="3">
        <v>2</v>
      </c>
      <c r="F3524" s="2">
        <v>3</v>
      </c>
      <c r="G3524" s="4">
        <v>3</v>
      </c>
      <c r="H3524" s="13"/>
      <c r="I3524" s="15"/>
      <c r="J3524" s="19">
        <v>3</v>
      </c>
      <c r="K3524" s="2" t="s">
        <v>7060</v>
      </c>
      <c r="L3524" s="11" t="str">
        <f t="shared" si="56"/>
        <v>Ver Imagen</v>
      </c>
      <c r="M3524" t="s">
        <v>15</v>
      </c>
    </row>
    <row r="3525" spans="1:13" x14ac:dyDescent="0.25">
      <c r="A3525">
        <v>3525</v>
      </c>
      <c r="B3525" t="s">
        <v>7061</v>
      </c>
      <c r="C3525" s="1">
        <v>37.240779096700003</v>
      </c>
      <c r="D3525" s="1">
        <v>-7.0184529815300003</v>
      </c>
      <c r="E3525" s="3">
        <v>4</v>
      </c>
      <c r="F3525" s="2">
        <v>3</v>
      </c>
      <c r="G3525" s="4">
        <v>3</v>
      </c>
      <c r="H3525" s="13"/>
      <c r="I3525" s="15"/>
      <c r="J3525" s="19">
        <v>3</v>
      </c>
      <c r="K3525" s="2" t="s">
        <v>7062</v>
      </c>
      <c r="L3525" s="11" t="str">
        <f t="shared" si="56"/>
        <v>Ver Imagen</v>
      </c>
      <c r="M3525" t="s">
        <v>15</v>
      </c>
    </row>
    <row r="3526" spans="1:13" x14ac:dyDescent="0.25">
      <c r="A3526">
        <v>3526</v>
      </c>
      <c r="B3526" t="s">
        <v>7063</v>
      </c>
      <c r="C3526" s="1">
        <v>37.240950291600001</v>
      </c>
      <c r="D3526" s="1">
        <v>-7.0184478569099999</v>
      </c>
      <c r="E3526" s="3">
        <v>4</v>
      </c>
      <c r="F3526" s="2">
        <v>3</v>
      </c>
      <c r="G3526" s="4">
        <v>3</v>
      </c>
      <c r="H3526" s="13"/>
      <c r="I3526" s="15"/>
      <c r="J3526" s="19">
        <v>3</v>
      </c>
      <c r="K3526" s="2" t="s">
        <v>7064</v>
      </c>
      <c r="L3526" s="11" t="str">
        <f t="shared" si="56"/>
        <v>Ver Imagen</v>
      </c>
      <c r="M3526" t="s">
        <v>15</v>
      </c>
    </row>
    <row r="3527" spans="1:13" x14ac:dyDescent="0.25">
      <c r="A3527">
        <v>3527</v>
      </c>
      <c r="B3527" t="s">
        <v>7065</v>
      </c>
      <c r="C3527" s="1">
        <v>37.241138313500002</v>
      </c>
      <c r="D3527" s="1">
        <v>-7.0184419995900003</v>
      </c>
      <c r="E3527" s="3">
        <v>4</v>
      </c>
      <c r="F3527" s="2">
        <v>3</v>
      </c>
      <c r="G3527" s="4">
        <v>3</v>
      </c>
      <c r="H3527" s="13"/>
      <c r="I3527" s="15"/>
      <c r="J3527" s="19">
        <v>3</v>
      </c>
      <c r="K3527" s="2" t="s">
        <v>7066</v>
      </c>
      <c r="L3527" s="11" t="str">
        <f t="shared" si="56"/>
        <v>Ver Imagen</v>
      </c>
      <c r="M3527" t="s">
        <v>15</v>
      </c>
    </row>
    <row r="3528" spans="1:13" x14ac:dyDescent="0.25">
      <c r="A3528">
        <v>3528</v>
      </c>
      <c r="B3528" t="s">
        <v>7067</v>
      </c>
      <c r="C3528" s="1">
        <v>37.241542509600002</v>
      </c>
      <c r="D3528" s="1">
        <v>-7.0184281645100004</v>
      </c>
      <c r="E3528" s="3">
        <v>4</v>
      </c>
      <c r="F3528" s="2">
        <v>3</v>
      </c>
      <c r="G3528" s="4">
        <v>3</v>
      </c>
      <c r="H3528" s="13"/>
      <c r="I3528" s="15"/>
      <c r="J3528" s="19">
        <v>3</v>
      </c>
      <c r="K3528" s="2" t="s">
        <v>7068</v>
      </c>
      <c r="L3528" s="11" t="str">
        <f t="shared" si="56"/>
        <v>Ver Imagen</v>
      </c>
      <c r="M3528" t="s">
        <v>15</v>
      </c>
    </row>
    <row r="3529" spans="1:13" x14ac:dyDescent="0.25">
      <c r="A3529">
        <v>3529</v>
      </c>
      <c r="B3529" t="s">
        <v>7069</v>
      </c>
      <c r="C3529" s="1">
        <v>37.242153800600001</v>
      </c>
      <c r="D3529" s="1">
        <v>-7.0184047615600003</v>
      </c>
      <c r="E3529" s="3">
        <v>4</v>
      </c>
      <c r="F3529" s="2">
        <v>3</v>
      </c>
      <c r="G3529" s="4">
        <v>3</v>
      </c>
      <c r="H3529" s="13"/>
      <c r="I3529" s="15"/>
      <c r="J3529" s="19">
        <v>3</v>
      </c>
      <c r="K3529" s="2" t="s">
        <v>7070</v>
      </c>
      <c r="L3529" s="11" t="str">
        <f t="shared" si="56"/>
        <v>Ver Imagen</v>
      </c>
      <c r="M3529" t="s">
        <v>15</v>
      </c>
    </row>
    <row r="3530" spans="1:13" x14ac:dyDescent="0.25">
      <c r="A3530">
        <v>3530</v>
      </c>
      <c r="B3530" t="s">
        <v>7071</v>
      </c>
      <c r="C3530" s="1">
        <v>37.242347978799998</v>
      </c>
      <c r="D3530" s="1">
        <v>-7.0183969798200003</v>
      </c>
      <c r="E3530" s="3">
        <v>3</v>
      </c>
      <c r="F3530" s="2">
        <v>3</v>
      </c>
      <c r="G3530" s="4">
        <v>2</v>
      </c>
      <c r="H3530" s="13"/>
      <c r="I3530" s="15"/>
      <c r="J3530" s="19">
        <v>3</v>
      </c>
      <c r="K3530" s="2" t="s">
        <v>7072</v>
      </c>
      <c r="L3530" s="11" t="str">
        <f t="shared" si="56"/>
        <v>Ver Imagen</v>
      </c>
      <c r="M3530" t="s">
        <v>15</v>
      </c>
    </row>
    <row r="3531" spans="1:13" x14ac:dyDescent="0.25">
      <c r="A3531">
        <v>3531</v>
      </c>
      <c r="B3531" t="s">
        <v>7073</v>
      </c>
      <c r="C3531" s="1">
        <v>37.242550978399997</v>
      </c>
      <c r="D3531" s="1">
        <v>-7.0183889115699998</v>
      </c>
      <c r="E3531" s="3">
        <v>3</v>
      </c>
      <c r="F3531" s="2">
        <v>3</v>
      </c>
      <c r="G3531" s="4">
        <v>4</v>
      </c>
      <c r="H3531" s="13"/>
      <c r="I3531" s="15"/>
      <c r="J3531" s="19">
        <v>3</v>
      </c>
      <c r="K3531" s="2" t="s">
        <v>7074</v>
      </c>
      <c r="L3531" s="11" t="str">
        <f t="shared" si="56"/>
        <v>Ver Imagen</v>
      </c>
      <c r="M3531" t="s">
        <v>15</v>
      </c>
    </row>
    <row r="3532" spans="1:13" x14ac:dyDescent="0.25">
      <c r="A3532">
        <v>3532</v>
      </c>
      <c r="B3532" t="s">
        <v>7075</v>
      </c>
      <c r="C3532" s="1">
        <v>37.243776277800002</v>
      </c>
      <c r="D3532" s="1">
        <v>-7.0183379830500003</v>
      </c>
      <c r="E3532" s="3">
        <v>3</v>
      </c>
      <c r="F3532" s="2">
        <v>3</v>
      </c>
      <c r="G3532" s="4">
        <v>4</v>
      </c>
      <c r="H3532" s="13"/>
      <c r="I3532" s="15"/>
      <c r="J3532" s="19">
        <v>3</v>
      </c>
      <c r="K3532" s="2" t="s">
        <v>7076</v>
      </c>
      <c r="L3532" s="11" t="str">
        <f t="shared" si="56"/>
        <v>Ver Imagen</v>
      </c>
      <c r="M3532" t="s">
        <v>15</v>
      </c>
    </row>
    <row r="3533" spans="1:13" x14ac:dyDescent="0.25">
      <c r="A3533">
        <v>3533</v>
      </c>
      <c r="B3533" t="s">
        <v>7077</v>
      </c>
      <c r="C3533" s="1">
        <v>37.243952164699998</v>
      </c>
      <c r="D3533" s="1">
        <v>-7.0183327017200003</v>
      </c>
      <c r="E3533" s="3">
        <v>3</v>
      </c>
      <c r="F3533" s="2">
        <v>3</v>
      </c>
      <c r="G3533" s="4">
        <v>4</v>
      </c>
      <c r="H3533" s="13"/>
      <c r="I3533" s="15"/>
      <c r="J3533" s="19">
        <v>3</v>
      </c>
      <c r="K3533" s="2" t="s">
        <v>7078</v>
      </c>
      <c r="L3533" s="11" t="str">
        <f t="shared" si="56"/>
        <v>Ver Imagen</v>
      </c>
      <c r="M3533" t="s">
        <v>15</v>
      </c>
    </row>
    <row r="3534" spans="1:13" x14ac:dyDescent="0.25">
      <c r="A3534">
        <v>3534</v>
      </c>
      <c r="B3534" t="s">
        <v>7079</v>
      </c>
      <c r="C3534" s="1">
        <v>37.244402944299999</v>
      </c>
      <c r="D3534" s="1">
        <v>-7.01832065398</v>
      </c>
      <c r="E3534" s="3">
        <v>4</v>
      </c>
      <c r="F3534" s="2">
        <v>3</v>
      </c>
      <c r="G3534" s="4">
        <v>3</v>
      </c>
      <c r="H3534" s="13"/>
      <c r="I3534" s="15"/>
      <c r="J3534" s="19">
        <v>3</v>
      </c>
      <c r="K3534" s="2" t="s">
        <v>7080</v>
      </c>
      <c r="L3534" s="11" t="str">
        <f t="shared" si="56"/>
        <v>Ver Imagen</v>
      </c>
      <c r="M3534" t="s">
        <v>15</v>
      </c>
    </row>
    <row r="3535" spans="1:13" x14ac:dyDescent="0.25">
      <c r="A3535">
        <v>3535</v>
      </c>
      <c r="B3535" t="s">
        <v>7081</v>
      </c>
      <c r="C3535" s="1">
        <v>37.2449805113</v>
      </c>
      <c r="D3535" s="1">
        <v>-7.0182996025</v>
      </c>
      <c r="E3535" s="3">
        <v>3</v>
      </c>
      <c r="F3535" s="2">
        <v>3</v>
      </c>
      <c r="G3535" s="4">
        <v>4</v>
      </c>
      <c r="H3535" s="13"/>
      <c r="I3535" s="15"/>
      <c r="J3535" s="19">
        <v>3</v>
      </c>
      <c r="K3535" s="2" t="s">
        <v>7082</v>
      </c>
      <c r="L3535" s="11" t="str">
        <f t="shared" si="56"/>
        <v>Ver Imagen</v>
      </c>
      <c r="M3535" t="s">
        <v>15</v>
      </c>
    </row>
    <row r="3536" spans="1:13" x14ac:dyDescent="0.25">
      <c r="A3536">
        <v>3536</v>
      </c>
      <c r="B3536" t="s">
        <v>7083</v>
      </c>
      <c r="C3536" s="1">
        <v>37.245608883199999</v>
      </c>
      <c r="D3536" s="1">
        <v>-7.0182735756400003</v>
      </c>
      <c r="E3536" s="3">
        <v>4</v>
      </c>
      <c r="F3536" s="2">
        <v>3</v>
      </c>
      <c r="G3536" s="4">
        <v>3</v>
      </c>
      <c r="H3536" s="13"/>
      <c r="I3536" s="15"/>
      <c r="J3536" s="19">
        <v>3</v>
      </c>
      <c r="K3536" s="2" t="s">
        <v>7084</v>
      </c>
      <c r="L3536" s="11" t="str">
        <f t="shared" si="56"/>
        <v>Ver Imagen</v>
      </c>
      <c r="M3536" t="s">
        <v>15</v>
      </c>
    </row>
    <row r="3537" spans="1:13" x14ac:dyDescent="0.25">
      <c r="A3537">
        <v>3537</v>
      </c>
      <c r="B3537" t="s">
        <v>7085</v>
      </c>
      <c r="C3537" s="1">
        <v>37.246634736600001</v>
      </c>
      <c r="D3537" s="1">
        <v>-7.0182397731400004</v>
      </c>
      <c r="E3537" s="3">
        <v>3</v>
      </c>
      <c r="F3537" s="2">
        <v>3</v>
      </c>
      <c r="G3537" s="4">
        <v>4</v>
      </c>
      <c r="H3537" s="13"/>
      <c r="I3537" s="15"/>
      <c r="J3537" s="19">
        <v>3</v>
      </c>
      <c r="K3537" s="2" t="s">
        <v>7086</v>
      </c>
      <c r="L3537" s="11" t="str">
        <f t="shared" si="56"/>
        <v>Ver Imagen</v>
      </c>
      <c r="M3537" t="s">
        <v>15</v>
      </c>
    </row>
    <row r="3538" spans="1:13" x14ac:dyDescent="0.25">
      <c r="A3538">
        <v>3538</v>
      </c>
      <c r="B3538" t="s">
        <v>7087</v>
      </c>
      <c r="C3538" s="1">
        <v>37.2554320506</v>
      </c>
      <c r="D3538" s="1">
        <v>-7.0144196051599996</v>
      </c>
      <c r="E3538" s="3">
        <v>4</v>
      </c>
      <c r="F3538" s="2">
        <v>3</v>
      </c>
      <c r="G3538" s="4">
        <v>3</v>
      </c>
      <c r="H3538" s="13"/>
      <c r="I3538" s="15"/>
      <c r="J3538" s="19">
        <v>3</v>
      </c>
      <c r="K3538" s="2" t="s">
        <v>7088</v>
      </c>
      <c r="L3538" s="11" t="str">
        <f t="shared" si="56"/>
        <v>Ver Imagen</v>
      </c>
      <c r="M3538" t="s">
        <v>15</v>
      </c>
    </row>
    <row r="3539" spans="1:13" x14ac:dyDescent="0.25">
      <c r="A3539">
        <v>3539</v>
      </c>
      <c r="B3539" t="s">
        <v>7089</v>
      </c>
      <c r="C3539" s="1">
        <v>37.255650187800001</v>
      </c>
      <c r="D3539" s="1">
        <v>-7.0142829491600001</v>
      </c>
      <c r="E3539" s="3">
        <v>3</v>
      </c>
      <c r="F3539" s="2">
        <v>3</v>
      </c>
      <c r="G3539" s="4">
        <v>4</v>
      </c>
      <c r="H3539" s="13"/>
      <c r="I3539" s="15"/>
      <c r="J3539" s="19">
        <v>3</v>
      </c>
      <c r="K3539" s="2" t="s">
        <v>7090</v>
      </c>
      <c r="L3539" s="11" t="str">
        <f t="shared" si="56"/>
        <v>Ver Imagen</v>
      </c>
      <c r="M3539" t="s">
        <v>15</v>
      </c>
    </row>
    <row r="3540" spans="1:13" x14ac:dyDescent="0.25">
      <c r="A3540">
        <v>3540</v>
      </c>
      <c r="B3540" t="s">
        <v>7091</v>
      </c>
      <c r="C3540" s="1">
        <v>37.256507966400001</v>
      </c>
      <c r="D3540" s="1">
        <v>-7.0137341053600002</v>
      </c>
      <c r="E3540" s="3">
        <v>2</v>
      </c>
      <c r="F3540" s="2">
        <v>3</v>
      </c>
      <c r="G3540" s="4">
        <v>3</v>
      </c>
      <c r="H3540" s="13"/>
      <c r="I3540" s="15"/>
      <c r="J3540" s="19">
        <v>3</v>
      </c>
      <c r="K3540" s="2" t="s">
        <v>7092</v>
      </c>
      <c r="L3540" s="11" t="str">
        <f t="shared" si="56"/>
        <v>Ver Imagen</v>
      </c>
      <c r="M3540" t="s">
        <v>15</v>
      </c>
    </row>
    <row r="3541" spans="1:13" x14ac:dyDescent="0.25">
      <c r="A3541">
        <v>3541</v>
      </c>
      <c r="B3541" t="s">
        <v>7093</v>
      </c>
      <c r="C3541" s="1">
        <v>37.256696529499997</v>
      </c>
      <c r="D3541" s="1">
        <v>-7.0136134092600004</v>
      </c>
      <c r="E3541" s="3">
        <v>2</v>
      </c>
      <c r="F3541" s="2">
        <v>3</v>
      </c>
      <c r="G3541" s="4">
        <v>3</v>
      </c>
      <c r="H3541" s="13"/>
      <c r="I3541" s="15"/>
      <c r="J3541" s="19">
        <v>3</v>
      </c>
      <c r="K3541" s="2" t="s">
        <v>7094</v>
      </c>
      <c r="L3541" s="11" t="str">
        <f t="shared" si="56"/>
        <v>Ver Imagen</v>
      </c>
      <c r="M3541" t="s">
        <v>15</v>
      </c>
    </row>
    <row r="3542" spans="1:13" x14ac:dyDescent="0.25">
      <c r="A3542">
        <v>3542</v>
      </c>
      <c r="B3542" t="s">
        <v>7095</v>
      </c>
      <c r="C3542" s="1">
        <v>37.256876783999999</v>
      </c>
      <c r="D3542" s="1">
        <v>-7.0134982773900001</v>
      </c>
      <c r="E3542" s="3">
        <v>2</v>
      </c>
      <c r="F3542" s="2">
        <v>3</v>
      </c>
      <c r="G3542" s="4">
        <v>3</v>
      </c>
      <c r="H3542" s="13"/>
      <c r="I3542" s="15"/>
      <c r="J3542" s="19">
        <v>3</v>
      </c>
      <c r="K3542" s="2" t="s">
        <v>7096</v>
      </c>
      <c r="L3542" s="11" t="str">
        <f t="shared" si="56"/>
        <v>Ver Imagen</v>
      </c>
      <c r="M3542" t="s">
        <v>15</v>
      </c>
    </row>
    <row r="3543" spans="1:13" x14ac:dyDescent="0.25">
      <c r="A3543">
        <v>3543</v>
      </c>
      <c r="B3543" t="s">
        <v>7097</v>
      </c>
      <c r="C3543" s="1">
        <v>37.257953805299998</v>
      </c>
      <c r="D3543" s="1">
        <v>-7.0128119605399997</v>
      </c>
      <c r="E3543" s="3">
        <v>2</v>
      </c>
      <c r="F3543" s="2">
        <v>3</v>
      </c>
      <c r="G3543" s="4">
        <v>3</v>
      </c>
      <c r="H3543" s="13"/>
      <c r="I3543" s="15"/>
      <c r="J3543" s="19">
        <v>3</v>
      </c>
      <c r="K3543" s="2" t="s">
        <v>7098</v>
      </c>
      <c r="L3543" s="11" t="str">
        <f t="shared" si="56"/>
        <v>Ver Imagen</v>
      </c>
      <c r="M3543" t="s">
        <v>15</v>
      </c>
    </row>
    <row r="3544" spans="1:13" x14ac:dyDescent="0.25">
      <c r="A3544">
        <v>3544</v>
      </c>
      <c r="B3544" t="s">
        <v>7099</v>
      </c>
      <c r="C3544" s="1">
        <v>37.258136547399999</v>
      </c>
      <c r="D3544" s="1">
        <v>-7.0126954147999996</v>
      </c>
      <c r="E3544" s="3">
        <v>2</v>
      </c>
      <c r="F3544" s="2">
        <v>3</v>
      </c>
      <c r="G3544" s="4">
        <v>3</v>
      </c>
      <c r="H3544" s="13"/>
      <c r="I3544" s="15"/>
      <c r="J3544" s="19">
        <v>3</v>
      </c>
      <c r="K3544" s="2" t="s">
        <v>7100</v>
      </c>
      <c r="L3544" s="11" t="str">
        <f t="shared" si="56"/>
        <v>Ver Imagen</v>
      </c>
      <c r="M3544" t="s">
        <v>15</v>
      </c>
    </row>
    <row r="3545" spans="1:13" x14ac:dyDescent="0.25">
      <c r="A3545">
        <v>3545</v>
      </c>
      <c r="B3545" t="s">
        <v>7101</v>
      </c>
      <c r="C3545" s="1">
        <v>37.258371535599998</v>
      </c>
      <c r="D3545" s="1">
        <v>-7.01254605949</v>
      </c>
      <c r="E3545" s="3">
        <v>2</v>
      </c>
      <c r="F3545" s="2">
        <v>3</v>
      </c>
      <c r="G3545" s="4">
        <v>3</v>
      </c>
      <c r="H3545" s="13"/>
      <c r="I3545" s="15"/>
      <c r="J3545" s="19">
        <v>3</v>
      </c>
      <c r="K3545" s="2" t="s">
        <v>7102</v>
      </c>
      <c r="L3545" s="11" t="str">
        <f t="shared" si="56"/>
        <v>Ver Imagen</v>
      </c>
      <c r="M3545" t="s">
        <v>15</v>
      </c>
    </row>
    <row r="3546" spans="1:13" x14ac:dyDescent="0.25">
      <c r="A3546">
        <v>3546</v>
      </c>
      <c r="B3546" t="s">
        <v>7103</v>
      </c>
      <c r="C3546" s="1">
        <v>37.258863812500003</v>
      </c>
      <c r="D3546" s="1">
        <v>-7.0122337773799996</v>
      </c>
      <c r="E3546" s="3">
        <v>2</v>
      </c>
      <c r="F3546" s="2">
        <v>3</v>
      </c>
      <c r="G3546" s="4">
        <v>3</v>
      </c>
      <c r="H3546" s="13"/>
      <c r="I3546" s="15"/>
      <c r="J3546" s="19">
        <v>3</v>
      </c>
      <c r="K3546" s="2" t="s">
        <v>7104</v>
      </c>
      <c r="L3546" s="11" t="str">
        <f t="shared" si="56"/>
        <v>Ver Imagen</v>
      </c>
      <c r="M3546" t="s">
        <v>15</v>
      </c>
    </row>
    <row r="3547" spans="1:13" x14ac:dyDescent="0.25">
      <c r="A3547">
        <v>3547</v>
      </c>
      <c r="B3547" t="s">
        <v>7105</v>
      </c>
      <c r="C3547" s="1">
        <v>37.259800620599997</v>
      </c>
      <c r="D3547" s="1">
        <v>-7.0116324815100004</v>
      </c>
      <c r="E3547" s="3">
        <v>4</v>
      </c>
      <c r="F3547" s="2">
        <v>3</v>
      </c>
      <c r="G3547" s="4">
        <v>3</v>
      </c>
      <c r="H3547" s="13"/>
      <c r="I3547" s="15"/>
      <c r="J3547" s="19">
        <v>3</v>
      </c>
      <c r="K3547" s="2" t="s">
        <v>7106</v>
      </c>
      <c r="L3547" s="11" t="str">
        <f t="shared" si="56"/>
        <v>Ver Imagen</v>
      </c>
      <c r="M3547" t="s">
        <v>15</v>
      </c>
    </row>
    <row r="3548" spans="1:13" x14ac:dyDescent="0.25">
      <c r="A3548">
        <v>3548</v>
      </c>
      <c r="B3548" t="s">
        <v>7107</v>
      </c>
      <c r="C3548" s="1">
        <v>37.262563509700001</v>
      </c>
      <c r="D3548" s="1">
        <v>-7.0092948268299997</v>
      </c>
      <c r="E3548" s="3">
        <v>2</v>
      </c>
      <c r="F3548" s="2">
        <v>3</v>
      </c>
      <c r="G3548" s="4">
        <v>3</v>
      </c>
      <c r="H3548" s="13"/>
      <c r="I3548" s="15"/>
      <c r="J3548" s="19">
        <v>3</v>
      </c>
      <c r="K3548" s="2" t="s">
        <v>7108</v>
      </c>
      <c r="L3548" s="11" t="str">
        <f t="shared" si="56"/>
        <v>Ver Imagen</v>
      </c>
      <c r="M3548" t="s">
        <v>15</v>
      </c>
    </row>
    <row r="3549" spans="1:13" x14ac:dyDescent="0.25">
      <c r="A3549">
        <v>3549</v>
      </c>
      <c r="B3549" t="s">
        <v>7109</v>
      </c>
      <c r="C3549" s="1">
        <v>37.262910169400001</v>
      </c>
      <c r="D3549" s="1">
        <v>-7.0086666974699998</v>
      </c>
      <c r="E3549" s="3">
        <v>2</v>
      </c>
      <c r="F3549" s="2">
        <v>3</v>
      </c>
      <c r="G3549" s="4">
        <v>3</v>
      </c>
      <c r="H3549" s="13"/>
      <c r="I3549" s="15"/>
      <c r="J3549" s="19">
        <v>3</v>
      </c>
      <c r="K3549" s="2" t="s">
        <v>7110</v>
      </c>
      <c r="L3549" s="11" t="str">
        <f t="shared" si="56"/>
        <v>Ver Imagen</v>
      </c>
      <c r="M3549" t="s">
        <v>15</v>
      </c>
    </row>
    <row r="3550" spans="1:13" x14ac:dyDescent="0.25">
      <c r="A3550">
        <v>3550</v>
      </c>
      <c r="B3550" t="s">
        <v>7111</v>
      </c>
      <c r="C3550" s="1">
        <v>37.2633951571</v>
      </c>
      <c r="D3550" s="1">
        <v>-7.0072095775500003</v>
      </c>
      <c r="E3550" s="3">
        <v>3</v>
      </c>
      <c r="F3550" s="2">
        <v>3</v>
      </c>
      <c r="G3550" s="4">
        <v>4</v>
      </c>
      <c r="H3550" s="13"/>
      <c r="I3550" s="15"/>
      <c r="J3550" s="19">
        <v>3</v>
      </c>
      <c r="K3550" s="2" t="s">
        <v>7112</v>
      </c>
      <c r="L3550" s="11" t="str">
        <f t="shared" si="56"/>
        <v>Ver Imagen</v>
      </c>
      <c r="M3550" t="s">
        <v>15</v>
      </c>
    </row>
    <row r="3551" spans="1:13" x14ac:dyDescent="0.25">
      <c r="A3551">
        <v>3551</v>
      </c>
      <c r="B3551" t="s">
        <v>7113</v>
      </c>
      <c r="C3551" s="1">
        <v>37.263528262299999</v>
      </c>
      <c r="D3551" s="1">
        <v>-7.0065193381200004</v>
      </c>
      <c r="E3551" s="3">
        <v>4</v>
      </c>
      <c r="F3551" s="2">
        <v>3</v>
      </c>
      <c r="G3551" s="4">
        <v>3</v>
      </c>
      <c r="H3551" s="13"/>
      <c r="I3551" s="15"/>
      <c r="J3551" s="19">
        <v>3</v>
      </c>
      <c r="K3551" s="2" t="s">
        <v>7114</v>
      </c>
      <c r="L3551" s="11" t="str">
        <f t="shared" si="56"/>
        <v>Ver Imagen</v>
      </c>
      <c r="M3551" t="s">
        <v>15</v>
      </c>
    </row>
    <row r="3552" spans="1:13" x14ac:dyDescent="0.25">
      <c r="A3552">
        <v>3552</v>
      </c>
      <c r="B3552" t="s">
        <v>7115</v>
      </c>
      <c r="C3552" s="1">
        <v>37.270020440400003</v>
      </c>
      <c r="D3552" s="1">
        <v>-6.9894576391600003</v>
      </c>
      <c r="E3552" s="3">
        <v>4</v>
      </c>
      <c r="F3552" s="2">
        <v>3</v>
      </c>
      <c r="G3552" s="4">
        <v>3</v>
      </c>
      <c r="H3552" s="13"/>
      <c r="I3552" s="15"/>
      <c r="J3552" s="19">
        <v>3</v>
      </c>
      <c r="K3552" s="2" t="s">
        <v>7116</v>
      </c>
      <c r="L3552" s="11" t="str">
        <f t="shared" si="56"/>
        <v>Ver Imagen</v>
      </c>
      <c r="M3552" t="s">
        <v>15</v>
      </c>
    </row>
    <row r="3553" spans="1:13" x14ac:dyDescent="0.25">
      <c r="A3553">
        <v>3553</v>
      </c>
      <c r="B3553" t="s">
        <v>7117</v>
      </c>
      <c r="C3553" s="1">
        <v>37.271278919399997</v>
      </c>
      <c r="D3553" s="1">
        <v>-6.9882614891600001</v>
      </c>
      <c r="E3553" s="3">
        <v>2</v>
      </c>
      <c r="F3553" s="2">
        <v>3</v>
      </c>
      <c r="G3553" s="4">
        <v>3</v>
      </c>
      <c r="H3553" s="13"/>
      <c r="I3553" s="15"/>
      <c r="J3553" s="19">
        <v>3</v>
      </c>
      <c r="K3553" s="2" t="s">
        <v>7118</v>
      </c>
      <c r="L3553" s="11" t="str">
        <f t="shared" si="56"/>
        <v>Ver Imagen</v>
      </c>
      <c r="M3553" t="s">
        <v>15</v>
      </c>
    </row>
    <row r="3554" spans="1:13" x14ac:dyDescent="0.25">
      <c r="A3554">
        <v>3554</v>
      </c>
      <c r="B3554" t="s">
        <v>7119</v>
      </c>
      <c r="C3554" s="1">
        <v>37.271386074200002</v>
      </c>
      <c r="D3554" s="1">
        <v>-6.9880589219899996</v>
      </c>
      <c r="E3554" s="3">
        <v>2</v>
      </c>
      <c r="F3554" s="2">
        <v>3</v>
      </c>
      <c r="G3554" s="4">
        <v>3</v>
      </c>
      <c r="H3554" s="13"/>
      <c r="I3554" s="15"/>
      <c r="J3554" s="19">
        <v>3</v>
      </c>
      <c r="K3554" s="2" t="s">
        <v>7120</v>
      </c>
      <c r="L3554" s="11" t="str">
        <f t="shared" si="56"/>
        <v>Ver Imagen</v>
      </c>
      <c r="M3554" t="s">
        <v>15</v>
      </c>
    </row>
    <row r="3555" spans="1:13" x14ac:dyDescent="0.25">
      <c r="A3555">
        <v>3555</v>
      </c>
      <c r="B3555" t="s">
        <v>7121</v>
      </c>
      <c r="C3555" s="1">
        <v>37.271483795599998</v>
      </c>
      <c r="D3555" s="1">
        <v>-6.9878373468500001</v>
      </c>
      <c r="E3555" s="3">
        <v>2</v>
      </c>
      <c r="F3555" s="2">
        <v>3</v>
      </c>
      <c r="G3555" s="4">
        <v>3</v>
      </c>
      <c r="H3555" s="13"/>
      <c r="I3555" s="15"/>
      <c r="J3555" s="19">
        <v>3</v>
      </c>
      <c r="K3555" s="2" t="s">
        <v>7122</v>
      </c>
      <c r="L3555" s="11" t="str">
        <f t="shared" si="56"/>
        <v>Ver Imagen</v>
      </c>
      <c r="M3555" t="s">
        <v>15</v>
      </c>
    </row>
    <row r="3556" spans="1:13" x14ac:dyDescent="0.25">
      <c r="A3556">
        <v>3556</v>
      </c>
      <c r="B3556" t="s">
        <v>7123</v>
      </c>
      <c r="C3556" s="1">
        <v>37.271571352000002</v>
      </c>
      <c r="D3556" s="1">
        <v>-6.9875882981400004</v>
      </c>
      <c r="E3556" s="3">
        <v>2</v>
      </c>
      <c r="F3556" s="2">
        <v>3</v>
      </c>
      <c r="G3556" s="4">
        <v>3</v>
      </c>
      <c r="H3556" s="13"/>
      <c r="I3556" s="15"/>
      <c r="J3556" s="19">
        <v>3</v>
      </c>
      <c r="K3556" s="2" t="s">
        <v>7124</v>
      </c>
      <c r="L3556" s="11" t="str">
        <f t="shared" si="56"/>
        <v>Ver Imagen</v>
      </c>
      <c r="M3556" t="s">
        <v>15</v>
      </c>
    </row>
    <row r="3557" spans="1:13" x14ac:dyDescent="0.25">
      <c r="A3557">
        <v>3557</v>
      </c>
      <c r="B3557" t="s">
        <v>7125</v>
      </c>
      <c r="C3557" s="1">
        <v>37.271636474799998</v>
      </c>
      <c r="D3557" s="1">
        <v>-6.98734644449</v>
      </c>
      <c r="E3557" s="3">
        <v>2</v>
      </c>
      <c r="F3557" s="2">
        <v>3</v>
      </c>
      <c r="G3557" s="4">
        <v>3</v>
      </c>
      <c r="H3557" s="13"/>
      <c r="I3557" s="15"/>
      <c r="J3557" s="19">
        <v>3</v>
      </c>
      <c r="K3557" s="2" t="s">
        <v>7126</v>
      </c>
      <c r="L3557" s="11" t="str">
        <f t="shared" si="56"/>
        <v>Ver Imagen</v>
      </c>
      <c r="M3557" t="s">
        <v>15</v>
      </c>
    </row>
    <row r="3558" spans="1:13" x14ac:dyDescent="0.25">
      <c r="A3558">
        <v>3558</v>
      </c>
      <c r="B3558" t="s">
        <v>7127</v>
      </c>
      <c r="C3558" s="1">
        <v>37.271733925500001</v>
      </c>
      <c r="D3558" s="1">
        <v>-6.9865746149700003</v>
      </c>
      <c r="E3558" s="3">
        <v>2</v>
      </c>
      <c r="F3558" s="2">
        <v>3</v>
      </c>
      <c r="G3558" s="4">
        <v>3</v>
      </c>
      <c r="H3558" s="13"/>
      <c r="I3558" s="15"/>
      <c r="J3558" s="19">
        <v>3</v>
      </c>
      <c r="K3558" s="2" t="s">
        <v>7128</v>
      </c>
      <c r="L3558" s="11" t="str">
        <f t="shared" si="56"/>
        <v>Ver Imagen</v>
      </c>
      <c r="M3558" t="s">
        <v>15</v>
      </c>
    </row>
    <row r="3559" spans="1:13" x14ac:dyDescent="0.25">
      <c r="A3559">
        <v>3559</v>
      </c>
      <c r="B3559" t="s">
        <v>7129</v>
      </c>
      <c r="C3559" s="1">
        <v>37.2717361411</v>
      </c>
      <c r="D3559" s="1">
        <v>-6.9863682065999999</v>
      </c>
      <c r="E3559" s="3">
        <v>2</v>
      </c>
      <c r="F3559" s="2">
        <v>3</v>
      </c>
      <c r="G3559" s="4">
        <v>3</v>
      </c>
      <c r="H3559" s="13"/>
      <c r="I3559" s="15"/>
      <c r="J3559" s="19">
        <v>3</v>
      </c>
      <c r="K3559" s="2" t="s">
        <v>7130</v>
      </c>
      <c r="L3559" s="11" t="str">
        <f t="shared" si="56"/>
        <v>Ver Imagen</v>
      </c>
      <c r="M3559" t="s">
        <v>15</v>
      </c>
    </row>
    <row r="3560" spans="1:13" x14ac:dyDescent="0.25">
      <c r="A3560">
        <v>3560</v>
      </c>
      <c r="B3560" t="s">
        <v>7131</v>
      </c>
      <c r="C3560" s="1">
        <v>37.271725279999998</v>
      </c>
      <c r="D3560" s="1">
        <v>-6.98608784304</v>
      </c>
      <c r="E3560" s="3">
        <v>2</v>
      </c>
      <c r="F3560" s="2">
        <v>3</v>
      </c>
      <c r="G3560" s="4">
        <v>3</v>
      </c>
      <c r="H3560" s="13"/>
      <c r="I3560" s="15"/>
      <c r="J3560" s="19">
        <v>3</v>
      </c>
      <c r="K3560" s="2" t="s">
        <v>7132</v>
      </c>
      <c r="L3560" s="11" t="str">
        <f t="shared" si="56"/>
        <v>Ver Imagen</v>
      </c>
      <c r="M3560" t="s">
        <v>15</v>
      </c>
    </row>
    <row r="3561" spans="1:13" x14ac:dyDescent="0.25">
      <c r="A3561">
        <v>3561</v>
      </c>
      <c r="B3561" t="s">
        <v>7133</v>
      </c>
      <c r="C3561" s="1">
        <v>37.271706189</v>
      </c>
      <c r="D3561" s="1">
        <v>-6.9858660376300001</v>
      </c>
      <c r="E3561" s="3">
        <v>2</v>
      </c>
      <c r="F3561" s="2">
        <v>3</v>
      </c>
      <c r="G3561" s="4">
        <v>3</v>
      </c>
      <c r="H3561" s="13"/>
      <c r="I3561" s="15"/>
      <c r="J3561" s="19">
        <v>3</v>
      </c>
      <c r="K3561" s="2" t="s">
        <v>7134</v>
      </c>
      <c r="L3561" s="11" t="str">
        <f t="shared" ref="L3561:L3564" si="57">HYPERLINK("3\1\" &amp; K3561, "Ver Imagen")</f>
        <v>Ver Imagen</v>
      </c>
      <c r="M3561" t="s">
        <v>15</v>
      </c>
    </row>
    <row r="3562" spans="1:13" x14ac:dyDescent="0.25">
      <c r="A3562">
        <v>3562</v>
      </c>
      <c r="B3562" t="s">
        <v>7135</v>
      </c>
      <c r="C3562" s="1">
        <v>37.271591462899998</v>
      </c>
      <c r="D3562" s="1">
        <v>-6.9851460084600001</v>
      </c>
      <c r="E3562" s="3">
        <v>2</v>
      </c>
      <c r="F3562" s="2">
        <v>3</v>
      </c>
      <c r="G3562" s="4">
        <v>3</v>
      </c>
      <c r="H3562" s="13"/>
      <c r="I3562" s="15"/>
      <c r="J3562" s="19">
        <v>3</v>
      </c>
      <c r="K3562" s="2" t="s">
        <v>7136</v>
      </c>
      <c r="L3562" s="11" t="str">
        <f t="shared" si="57"/>
        <v>Ver Imagen</v>
      </c>
      <c r="M3562" t="s">
        <v>15</v>
      </c>
    </row>
    <row r="3563" spans="1:13" x14ac:dyDescent="0.25">
      <c r="A3563">
        <v>3563</v>
      </c>
      <c r="B3563" t="s">
        <v>7137</v>
      </c>
      <c r="C3563" s="1">
        <v>37.2715356004</v>
      </c>
      <c r="D3563" s="1">
        <v>-6.9848944813299996</v>
      </c>
      <c r="E3563" s="3">
        <v>2</v>
      </c>
      <c r="F3563" s="2">
        <v>3</v>
      </c>
      <c r="G3563" s="4">
        <v>3</v>
      </c>
      <c r="H3563" s="13"/>
      <c r="I3563" s="15"/>
      <c r="J3563" s="19">
        <v>3</v>
      </c>
      <c r="K3563" s="2" t="s">
        <v>7138</v>
      </c>
      <c r="L3563" s="11" t="str">
        <f t="shared" si="57"/>
        <v>Ver Imagen</v>
      </c>
      <c r="M3563" t="s">
        <v>15</v>
      </c>
    </row>
    <row r="3564" spans="1:13" x14ac:dyDescent="0.25">
      <c r="A3564">
        <v>3564</v>
      </c>
      <c r="B3564" t="s">
        <v>7139</v>
      </c>
      <c r="C3564" s="1">
        <v>37.271410157200002</v>
      </c>
      <c r="D3564" s="1">
        <v>-6.9843965647799999</v>
      </c>
      <c r="E3564" s="3">
        <v>2</v>
      </c>
      <c r="F3564" s="2">
        <v>3</v>
      </c>
      <c r="G3564" s="4">
        <v>3</v>
      </c>
      <c r="H3564" s="13"/>
      <c r="I3564" s="15"/>
      <c r="J3564" s="19">
        <v>3</v>
      </c>
      <c r="K3564" s="2" t="s">
        <v>7140</v>
      </c>
      <c r="L3564" s="11" t="str">
        <f t="shared" si="57"/>
        <v>Ver Imagen</v>
      </c>
      <c r="M3564" t="s">
        <v>15</v>
      </c>
    </row>
    <row r="3565" spans="1:13" x14ac:dyDescent="0.25">
      <c r="A3565">
        <v>3565</v>
      </c>
      <c r="B3565" t="s">
        <v>7141</v>
      </c>
      <c r="C3565" s="1">
        <v>37.447329644</v>
      </c>
      <c r="D3565" s="1">
        <v>-7.1268471452500002</v>
      </c>
      <c r="E3565" s="3">
        <v>4</v>
      </c>
      <c r="F3565" s="2">
        <v>4</v>
      </c>
      <c r="G3565" s="4">
        <v>4</v>
      </c>
      <c r="H3565" s="13"/>
      <c r="I3565" s="15"/>
      <c r="J3565" s="19">
        <v>4</v>
      </c>
      <c r="K3565" s="2" t="s">
        <v>7142</v>
      </c>
      <c r="L3565" s="11" t="str">
        <f t="shared" ref="L3565:L3596" si="58">HYPERLINK("4\0\" &amp; K3565, "Ver Imagen")</f>
        <v>Ver Imagen</v>
      </c>
      <c r="M3565" t="s">
        <v>15</v>
      </c>
    </row>
    <row r="3566" spans="1:13" x14ac:dyDescent="0.25">
      <c r="A3566">
        <v>3566</v>
      </c>
      <c r="B3566" t="s">
        <v>7143</v>
      </c>
      <c r="C3566" s="1">
        <v>37.447221136000003</v>
      </c>
      <c r="D3566" s="1">
        <v>-7.1272099034499998</v>
      </c>
      <c r="E3566" s="3">
        <v>4</v>
      </c>
      <c r="F3566" s="2">
        <v>4</v>
      </c>
      <c r="G3566" s="4">
        <v>4</v>
      </c>
      <c r="H3566" s="13"/>
      <c r="I3566" s="15"/>
      <c r="J3566" s="19">
        <v>4</v>
      </c>
      <c r="K3566" s="2" t="s">
        <v>7144</v>
      </c>
      <c r="L3566" s="11" t="str">
        <f t="shared" si="58"/>
        <v>Ver Imagen</v>
      </c>
      <c r="M3566" t="s">
        <v>15</v>
      </c>
    </row>
    <row r="3567" spans="1:13" x14ac:dyDescent="0.25">
      <c r="A3567">
        <v>3567</v>
      </c>
      <c r="B3567" t="s">
        <v>7145</v>
      </c>
      <c r="C3567" s="1">
        <v>37.466056610899997</v>
      </c>
      <c r="D3567" s="1">
        <v>-7.1822795457900002</v>
      </c>
      <c r="E3567" s="3">
        <v>4</v>
      </c>
      <c r="F3567" s="2">
        <v>4</v>
      </c>
      <c r="G3567" s="4">
        <v>4</v>
      </c>
      <c r="H3567" s="13"/>
      <c r="I3567" s="15"/>
      <c r="J3567" s="19">
        <v>4</v>
      </c>
      <c r="K3567" s="2" t="s">
        <v>7146</v>
      </c>
      <c r="L3567" s="11" t="str">
        <f t="shared" si="58"/>
        <v>Ver Imagen</v>
      </c>
      <c r="M3567" t="s">
        <v>15</v>
      </c>
    </row>
    <row r="3568" spans="1:13" x14ac:dyDescent="0.25">
      <c r="A3568">
        <v>3568</v>
      </c>
      <c r="B3568" t="s">
        <v>7147</v>
      </c>
      <c r="C3568" s="1">
        <v>37.462921701399999</v>
      </c>
      <c r="D3568" s="1">
        <v>-7.1766363580899997</v>
      </c>
      <c r="E3568" s="3">
        <v>4</v>
      </c>
      <c r="F3568" s="2">
        <v>4</v>
      </c>
      <c r="G3568" s="4">
        <v>4</v>
      </c>
      <c r="H3568" s="13"/>
      <c r="I3568" s="15"/>
      <c r="J3568" s="19">
        <v>4</v>
      </c>
      <c r="K3568" s="2" t="s">
        <v>7148</v>
      </c>
      <c r="L3568" s="11" t="str">
        <f t="shared" si="58"/>
        <v>Ver Imagen</v>
      </c>
      <c r="M3568" t="s">
        <v>15</v>
      </c>
    </row>
    <row r="3569" spans="1:13" x14ac:dyDescent="0.25">
      <c r="A3569">
        <v>3569</v>
      </c>
      <c r="B3569" t="s">
        <v>7149</v>
      </c>
      <c r="C3569" s="1">
        <v>37.273962744999999</v>
      </c>
      <c r="D3569" s="1">
        <v>-6.9913094128599997</v>
      </c>
      <c r="E3569" s="3">
        <v>4</v>
      </c>
      <c r="F3569" s="2">
        <v>4</v>
      </c>
      <c r="G3569" s="4">
        <v>4</v>
      </c>
      <c r="H3569" s="13"/>
      <c r="I3569" s="15"/>
      <c r="J3569" s="19">
        <v>4</v>
      </c>
      <c r="K3569" s="2" t="s">
        <v>7150</v>
      </c>
      <c r="L3569" s="11" t="str">
        <f t="shared" si="58"/>
        <v>Ver Imagen</v>
      </c>
      <c r="M3569" t="s">
        <v>15</v>
      </c>
    </row>
    <row r="3570" spans="1:13" x14ac:dyDescent="0.25">
      <c r="A3570">
        <v>3570</v>
      </c>
      <c r="B3570" t="s">
        <v>7151</v>
      </c>
      <c r="C3570" s="1">
        <v>37.2758245773</v>
      </c>
      <c r="D3570" s="1">
        <v>-6.9910112582500004</v>
      </c>
      <c r="E3570" s="3">
        <v>4</v>
      </c>
      <c r="F3570" s="2">
        <v>4</v>
      </c>
      <c r="G3570" s="4">
        <v>4</v>
      </c>
      <c r="H3570" s="13"/>
      <c r="I3570" s="15"/>
      <c r="J3570" s="19">
        <v>4</v>
      </c>
      <c r="K3570" s="2" t="s">
        <v>7152</v>
      </c>
      <c r="L3570" s="11" t="str">
        <f t="shared" si="58"/>
        <v>Ver Imagen</v>
      </c>
      <c r="M3570" t="s">
        <v>15</v>
      </c>
    </row>
    <row r="3571" spans="1:13" x14ac:dyDescent="0.25">
      <c r="A3571">
        <v>3571</v>
      </c>
      <c r="B3571" t="s">
        <v>7153</v>
      </c>
      <c r="C3571" s="1">
        <v>37.277424735099999</v>
      </c>
      <c r="D3571" s="1">
        <v>-6.9921291357799999</v>
      </c>
      <c r="E3571" s="3">
        <v>4</v>
      </c>
      <c r="F3571" s="2">
        <v>4</v>
      </c>
      <c r="G3571" s="4">
        <v>4</v>
      </c>
      <c r="H3571" s="13"/>
      <c r="I3571" s="15"/>
      <c r="J3571" s="19">
        <v>4</v>
      </c>
      <c r="K3571" s="2" t="s">
        <v>7154</v>
      </c>
      <c r="L3571" s="11" t="str">
        <f t="shared" si="58"/>
        <v>Ver Imagen</v>
      </c>
      <c r="M3571" t="s">
        <v>15</v>
      </c>
    </row>
    <row r="3572" spans="1:13" x14ac:dyDescent="0.25">
      <c r="A3572">
        <v>3572</v>
      </c>
      <c r="B3572" t="s">
        <v>7155</v>
      </c>
      <c r="C3572" s="1">
        <v>37.279940480199997</v>
      </c>
      <c r="D3572" s="1">
        <v>-6.9987809735799997</v>
      </c>
      <c r="E3572" s="3">
        <v>4</v>
      </c>
      <c r="F3572" s="2">
        <v>4</v>
      </c>
      <c r="G3572" s="4">
        <v>4</v>
      </c>
      <c r="H3572" s="13"/>
      <c r="I3572" s="15"/>
      <c r="J3572" s="19">
        <v>4</v>
      </c>
      <c r="K3572" s="2" t="s">
        <v>7156</v>
      </c>
      <c r="L3572" s="11" t="str">
        <f t="shared" si="58"/>
        <v>Ver Imagen</v>
      </c>
      <c r="M3572" t="s">
        <v>15</v>
      </c>
    </row>
    <row r="3573" spans="1:13" x14ac:dyDescent="0.25">
      <c r="A3573">
        <v>3573</v>
      </c>
      <c r="B3573" t="s">
        <v>7157</v>
      </c>
      <c r="C3573" s="1">
        <v>37.280146668900002</v>
      </c>
      <c r="D3573" s="1">
        <v>-6.9997203646199999</v>
      </c>
      <c r="E3573" s="3">
        <v>4</v>
      </c>
      <c r="F3573" s="2">
        <v>4</v>
      </c>
      <c r="G3573" s="4">
        <v>4</v>
      </c>
      <c r="H3573" s="13"/>
      <c r="I3573" s="15"/>
      <c r="J3573" s="19">
        <v>4</v>
      </c>
      <c r="K3573" s="2" t="s">
        <v>7158</v>
      </c>
      <c r="L3573" s="11" t="str">
        <f t="shared" si="58"/>
        <v>Ver Imagen</v>
      </c>
      <c r="M3573" t="s">
        <v>15</v>
      </c>
    </row>
    <row r="3574" spans="1:13" x14ac:dyDescent="0.25">
      <c r="A3574">
        <v>3574</v>
      </c>
      <c r="B3574" t="s">
        <v>7159</v>
      </c>
      <c r="C3574" s="1">
        <v>37.280580245300001</v>
      </c>
      <c r="D3574" s="1">
        <v>-7.0003674240200002</v>
      </c>
      <c r="E3574" s="3">
        <v>4</v>
      </c>
      <c r="F3574" s="2">
        <v>4</v>
      </c>
      <c r="G3574" s="4">
        <v>4</v>
      </c>
      <c r="H3574" s="13"/>
      <c r="I3574" s="15"/>
      <c r="J3574" s="19">
        <v>4</v>
      </c>
      <c r="K3574" s="2" t="s">
        <v>7160</v>
      </c>
      <c r="L3574" s="11" t="str">
        <f t="shared" si="58"/>
        <v>Ver Imagen</v>
      </c>
      <c r="M3574" t="s">
        <v>15</v>
      </c>
    </row>
    <row r="3575" spans="1:13" x14ac:dyDescent="0.25">
      <c r="A3575">
        <v>3575</v>
      </c>
      <c r="B3575" t="s">
        <v>7161</v>
      </c>
      <c r="C3575" s="1">
        <v>37.457922639000003</v>
      </c>
      <c r="D3575" s="1">
        <v>-7.1142548511600001</v>
      </c>
      <c r="E3575" s="3">
        <v>4</v>
      </c>
      <c r="F3575" s="2">
        <v>4</v>
      </c>
      <c r="G3575" s="4">
        <v>4</v>
      </c>
      <c r="H3575" s="13"/>
      <c r="I3575" s="15"/>
      <c r="J3575" s="19">
        <v>4</v>
      </c>
      <c r="K3575" s="2" t="s">
        <v>7162</v>
      </c>
      <c r="L3575" s="11" t="str">
        <f t="shared" si="58"/>
        <v>Ver Imagen</v>
      </c>
      <c r="M3575" t="s">
        <v>15</v>
      </c>
    </row>
    <row r="3576" spans="1:13" x14ac:dyDescent="0.25">
      <c r="A3576">
        <v>3576</v>
      </c>
      <c r="B3576" t="s">
        <v>7163</v>
      </c>
      <c r="C3576" s="1">
        <v>37.456747762500001</v>
      </c>
      <c r="D3576" s="1">
        <v>-7.1138164888400004</v>
      </c>
      <c r="E3576" s="3">
        <v>4</v>
      </c>
      <c r="F3576" s="2">
        <v>4</v>
      </c>
      <c r="G3576" s="4">
        <v>4</v>
      </c>
      <c r="H3576" s="13"/>
      <c r="I3576" s="15"/>
      <c r="J3576" s="19">
        <v>4</v>
      </c>
      <c r="K3576" s="2" t="s">
        <v>7164</v>
      </c>
      <c r="L3576" s="11" t="str">
        <f t="shared" si="58"/>
        <v>Ver Imagen</v>
      </c>
      <c r="M3576" t="s">
        <v>15</v>
      </c>
    </row>
    <row r="3577" spans="1:13" x14ac:dyDescent="0.25">
      <c r="A3577">
        <v>3577</v>
      </c>
      <c r="B3577" t="s">
        <v>7165</v>
      </c>
      <c r="C3577" s="1">
        <v>37.456534442299997</v>
      </c>
      <c r="D3577" s="1">
        <v>-7.1137378206999999</v>
      </c>
      <c r="E3577" s="3">
        <v>4</v>
      </c>
      <c r="F3577" s="2">
        <v>4</v>
      </c>
      <c r="G3577" s="4">
        <v>4</v>
      </c>
      <c r="H3577" s="13"/>
      <c r="I3577" s="15"/>
      <c r="J3577" s="19">
        <v>4</v>
      </c>
      <c r="K3577" s="2" t="s">
        <v>7166</v>
      </c>
      <c r="L3577" s="11" t="str">
        <f t="shared" si="58"/>
        <v>Ver Imagen</v>
      </c>
      <c r="M3577" t="s">
        <v>15</v>
      </c>
    </row>
    <row r="3578" spans="1:13" x14ac:dyDescent="0.25">
      <c r="A3578">
        <v>3578</v>
      </c>
      <c r="B3578" t="s">
        <v>7167</v>
      </c>
      <c r="C3578" s="1">
        <v>37.454631853099997</v>
      </c>
      <c r="D3578" s="1">
        <v>-7.1129497858599997</v>
      </c>
      <c r="E3578" s="3">
        <v>4</v>
      </c>
      <c r="F3578" s="2">
        <v>4</v>
      </c>
      <c r="G3578" s="4">
        <v>4</v>
      </c>
      <c r="H3578" s="13"/>
      <c r="I3578" s="15"/>
      <c r="J3578" s="19">
        <v>4</v>
      </c>
      <c r="K3578" s="2" t="s">
        <v>7168</v>
      </c>
      <c r="L3578" s="11" t="str">
        <f t="shared" si="58"/>
        <v>Ver Imagen</v>
      </c>
      <c r="M3578" t="s">
        <v>15</v>
      </c>
    </row>
    <row r="3579" spans="1:13" x14ac:dyDescent="0.25">
      <c r="A3579">
        <v>3579</v>
      </c>
      <c r="B3579" t="s">
        <v>7169</v>
      </c>
      <c r="C3579" s="1">
        <v>37.452586995799997</v>
      </c>
      <c r="D3579" s="1">
        <v>-7.1118410021300003</v>
      </c>
      <c r="E3579" s="3">
        <v>4</v>
      </c>
      <c r="F3579" s="2">
        <v>4</v>
      </c>
      <c r="G3579" s="4">
        <v>4</v>
      </c>
      <c r="H3579" s="13"/>
      <c r="I3579" s="15"/>
      <c r="J3579" s="19">
        <v>4</v>
      </c>
      <c r="K3579" s="2" t="s">
        <v>7170</v>
      </c>
      <c r="L3579" s="11" t="str">
        <f t="shared" si="58"/>
        <v>Ver Imagen</v>
      </c>
      <c r="M3579" t="s">
        <v>15</v>
      </c>
    </row>
    <row r="3580" spans="1:13" x14ac:dyDescent="0.25">
      <c r="A3580">
        <v>3580</v>
      </c>
      <c r="B3580" t="s">
        <v>7171</v>
      </c>
      <c r="C3580" s="1">
        <v>37.451635244199998</v>
      </c>
      <c r="D3580" s="1">
        <v>-7.1113077149299997</v>
      </c>
      <c r="E3580" s="3">
        <v>4</v>
      </c>
      <c r="F3580" s="2">
        <v>4</v>
      </c>
      <c r="G3580" s="4">
        <v>4</v>
      </c>
      <c r="H3580" s="13"/>
      <c r="I3580" s="15"/>
      <c r="J3580" s="19">
        <v>4</v>
      </c>
      <c r="K3580" s="2" t="s">
        <v>7172</v>
      </c>
      <c r="L3580" s="11" t="str">
        <f t="shared" si="58"/>
        <v>Ver Imagen</v>
      </c>
      <c r="M3580" t="s">
        <v>15</v>
      </c>
    </row>
    <row r="3581" spans="1:13" x14ac:dyDescent="0.25">
      <c r="A3581">
        <v>3581</v>
      </c>
      <c r="B3581" t="s">
        <v>7173</v>
      </c>
      <c r="C3581" s="1">
        <v>37.450965112399999</v>
      </c>
      <c r="D3581" s="1">
        <v>-7.1107934760999996</v>
      </c>
      <c r="E3581" s="3">
        <v>4</v>
      </c>
      <c r="F3581" s="2">
        <v>4</v>
      </c>
      <c r="G3581" s="4">
        <v>4</v>
      </c>
      <c r="H3581" s="13"/>
      <c r="I3581" s="15"/>
      <c r="J3581" s="19">
        <v>4</v>
      </c>
      <c r="K3581" s="2" t="s">
        <v>7174</v>
      </c>
      <c r="L3581" s="11" t="str">
        <f t="shared" si="58"/>
        <v>Ver Imagen</v>
      </c>
      <c r="M3581" t="s">
        <v>15</v>
      </c>
    </row>
    <row r="3582" spans="1:13" x14ac:dyDescent="0.25">
      <c r="A3582">
        <v>3582</v>
      </c>
      <c r="B3582" t="s">
        <v>7175</v>
      </c>
      <c r="C3582" s="1">
        <v>37.449273859100003</v>
      </c>
      <c r="D3582" s="1">
        <v>-7.1100277912500003</v>
      </c>
      <c r="E3582" s="3">
        <v>4</v>
      </c>
      <c r="F3582" s="2">
        <v>4</v>
      </c>
      <c r="G3582" s="4">
        <v>4</v>
      </c>
      <c r="H3582" s="13"/>
      <c r="I3582" s="15"/>
      <c r="J3582" s="19">
        <v>4</v>
      </c>
      <c r="K3582" s="2" t="s">
        <v>7176</v>
      </c>
      <c r="L3582" s="11" t="str">
        <f t="shared" si="58"/>
        <v>Ver Imagen</v>
      </c>
      <c r="M3582" t="s">
        <v>15</v>
      </c>
    </row>
    <row r="3583" spans="1:13" x14ac:dyDescent="0.25">
      <c r="A3583">
        <v>3583</v>
      </c>
      <c r="B3583" t="s">
        <v>7177</v>
      </c>
      <c r="C3583" s="1">
        <v>37.207256967699998</v>
      </c>
      <c r="D3583" s="1">
        <v>-7.0219109312299999</v>
      </c>
      <c r="E3583" s="3">
        <v>4</v>
      </c>
      <c r="F3583" s="2">
        <v>4</v>
      </c>
      <c r="G3583" s="4">
        <v>4</v>
      </c>
      <c r="H3583" s="13"/>
      <c r="I3583" s="15"/>
      <c r="J3583" s="19">
        <v>4</v>
      </c>
      <c r="K3583" s="2" t="s">
        <v>7178</v>
      </c>
      <c r="L3583" s="11" t="str">
        <f t="shared" si="58"/>
        <v>Ver Imagen</v>
      </c>
      <c r="M3583" t="s">
        <v>15</v>
      </c>
    </row>
    <row r="3584" spans="1:13" x14ac:dyDescent="0.25">
      <c r="A3584">
        <v>3584</v>
      </c>
      <c r="B3584" t="s">
        <v>7179</v>
      </c>
      <c r="C3584" s="1">
        <v>37.279477270900003</v>
      </c>
      <c r="D3584" s="1">
        <v>-7.14501996021</v>
      </c>
      <c r="E3584" s="3">
        <v>4</v>
      </c>
      <c r="F3584" s="2">
        <v>4</v>
      </c>
      <c r="G3584" s="4">
        <v>4</v>
      </c>
      <c r="H3584" s="13"/>
      <c r="I3584" s="15"/>
      <c r="J3584" s="19">
        <v>4</v>
      </c>
      <c r="K3584" s="2" t="s">
        <v>7180</v>
      </c>
      <c r="L3584" s="11" t="str">
        <f t="shared" si="58"/>
        <v>Ver Imagen</v>
      </c>
      <c r="M3584" t="s">
        <v>15</v>
      </c>
    </row>
    <row r="3585" spans="1:13" x14ac:dyDescent="0.25">
      <c r="A3585">
        <v>3585</v>
      </c>
      <c r="B3585" t="s">
        <v>7181</v>
      </c>
      <c r="C3585" s="1">
        <v>37.278811964299997</v>
      </c>
      <c r="D3585" s="1">
        <v>-7.1444694769600003</v>
      </c>
      <c r="E3585" s="3">
        <v>4</v>
      </c>
      <c r="F3585" s="2">
        <v>4</v>
      </c>
      <c r="G3585" s="4">
        <v>4</v>
      </c>
      <c r="H3585" s="13"/>
      <c r="I3585" s="15"/>
      <c r="J3585" s="19">
        <v>4</v>
      </c>
      <c r="K3585" s="2" t="s">
        <v>7182</v>
      </c>
      <c r="L3585" s="11" t="str">
        <f t="shared" si="58"/>
        <v>Ver Imagen</v>
      </c>
      <c r="M3585" t="s">
        <v>15</v>
      </c>
    </row>
    <row r="3586" spans="1:13" x14ac:dyDescent="0.25">
      <c r="A3586">
        <v>3586</v>
      </c>
      <c r="B3586" t="s">
        <v>7183</v>
      </c>
      <c r="C3586" s="1">
        <v>37.268436222600002</v>
      </c>
      <c r="D3586" s="1">
        <v>-7.1364638122499997</v>
      </c>
      <c r="E3586" s="3">
        <v>4</v>
      </c>
      <c r="F3586" s="2">
        <v>4</v>
      </c>
      <c r="G3586" s="4">
        <v>4</v>
      </c>
      <c r="H3586" s="13"/>
      <c r="I3586" s="15"/>
      <c r="J3586" s="19">
        <v>4</v>
      </c>
      <c r="K3586" s="2" t="s">
        <v>7184</v>
      </c>
      <c r="L3586" s="11" t="str">
        <f t="shared" si="58"/>
        <v>Ver Imagen</v>
      </c>
      <c r="M3586" t="s">
        <v>15</v>
      </c>
    </row>
    <row r="3587" spans="1:13" x14ac:dyDescent="0.25">
      <c r="A3587">
        <v>3587</v>
      </c>
      <c r="B3587" t="s">
        <v>7185</v>
      </c>
      <c r="C3587" s="1">
        <v>37.268207327900001</v>
      </c>
      <c r="D3587" s="1">
        <v>-7.1354869353200003</v>
      </c>
      <c r="E3587" s="3">
        <v>4</v>
      </c>
      <c r="F3587" s="2">
        <v>4</v>
      </c>
      <c r="G3587" s="4">
        <v>4</v>
      </c>
      <c r="H3587" s="13"/>
      <c r="I3587" s="15"/>
      <c r="J3587" s="19">
        <v>4</v>
      </c>
      <c r="K3587" s="2" t="s">
        <v>7186</v>
      </c>
      <c r="L3587" s="11" t="str">
        <f t="shared" si="58"/>
        <v>Ver Imagen</v>
      </c>
      <c r="M3587" t="s">
        <v>15</v>
      </c>
    </row>
    <row r="3588" spans="1:13" x14ac:dyDescent="0.25">
      <c r="A3588">
        <v>3588</v>
      </c>
      <c r="B3588" t="s">
        <v>7187</v>
      </c>
      <c r="C3588" s="1">
        <v>37.264839353200003</v>
      </c>
      <c r="D3588" s="1">
        <v>-7.1321178299900003</v>
      </c>
      <c r="E3588" s="3">
        <v>4</v>
      </c>
      <c r="F3588" s="2">
        <v>4</v>
      </c>
      <c r="G3588" s="4">
        <v>4</v>
      </c>
      <c r="H3588" s="13"/>
      <c r="I3588" s="15"/>
      <c r="J3588" s="19">
        <v>4</v>
      </c>
      <c r="K3588" s="2" t="s">
        <v>7188</v>
      </c>
      <c r="L3588" s="11" t="str">
        <f t="shared" si="58"/>
        <v>Ver Imagen</v>
      </c>
      <c r="M3588" t="s">
        <v>15</v>
      </c>
    </row>
    <row r="3589" spans="1:13" x14ac:dyDescent="0.25">
      <c r="A3589">
        <v>3589</v>
      </c>
      <c r="B3589" t="s">
        <v>7189</v>
      </c>
      <c r="C3589" s="1">
        <v>37.2448170308</v>
      </c>
      <c r="D3589" s="1">
        <v>-7.0915858945599997</v>
      </c>
      <c r="E3589" s="3">
        <v>4</v>
      </c>
      <c r="F3589" s="2">
        <v>4</v>
      </c>
      <c r="G3589" s="4">
        <v>4</v>
      </c>
      <c r="H3589" s="13"/>
      <c r="I3589" s="15"/>
      <c r="J3589" s="19">
        <v>4</v>
      </c>
      <c r="K3589" s="2" t="s">
        <v>7190</v>
      </c>
      <c r="L3589" s="11" t="str">
        <f t="shared" si="58"/>
        <v>Ver Imagen</v>
      </c>
      <c r="M3589" t="s">
        <v>15</v>
      </c>
    </row>
    <row r="3590" spans="1:13" x14ac:dyDescent="0.25">
      <c r="A3590">
        <v>3590</v>
      </c>
      <c r="B3590" t="s">
        <v>7191</v>
      </c>
      <c r="C3590" s="1">
        <v>37.2450282207</v>
      </c>
      <c r="D3590" s="1">
        <v>-7.09204151454</v>
      </c>
      <c r="E3590" s="3">
        <v>4</v>
      </c>
      <c r="F3590" s="2">
        <v>4</v>
      </c>
      <c r="G3590" s="4">
        <v>4</v>
      </c>
      <c r="H3590" s="13"/>
      <c r="I3590" s="15"/>
      <c r="J3590" s="19">
        <v>4</v>
      </c>
      <c r="K3590" s="2" t="s">
        <v>7192</v>
      </c>
      <c r="L3590" s="11" t="str">
        <f t="shared" si="58"/>
        <v>Ver Imagen</v>
      </c>
      <c r="M3590" t="s">
        <v>15</v>
      </c>
    </row>
    <row r="3591" spans="1:13" x14ac:dyDescent="0.25">
      <c r="A3591">
        <v>3591</v>
      </c>
      <c r="B3591" t="s">
        <v>7193</v>
      </c>
      <c r="C3591" s="1">
        <v>37.245348442299999</v>
      </c>
      <c r="D3591" s="1">
        <v>-7.0931948472700004</v>
      </c>
      <c r="E3591" s="3">
        <v>4</v>
      </c>
      <c r="F3591" s="2">
        <v>4</v>
      </c>
      <c r="G3591" s="4">
        <v>4</v>
      </c>
      <c r="H3591" s="13"/>
      <c r="I3591" s="15"/>
      <c r="J3591" s="19">
        <v>4</v>
      </c>
      <c r="K3591" s="2" t="s">
        <v>7194</v>
      </c>
      <c r="L3591" s="11" t="str">
        <f t="shared" si="58"/>
        <v>Ver Imagen</v>
      </c>
      <c r="M3591" t="s">
        <v>15</v>
      </c>
    </row>
    <row r="3592" spans="1:13" x14ac:dyDescent="0.25">
      <c r="A3592">
        <v>3592</v>
      </c>
      <c r="B3592" t="s">
        <v>7195</v>
      </c>
      <c r="C3592" s="1">
        <v>37.245382688100001</v>
      </c>
      <c r="D3592" s="1">
        <v>-7.0934706248500001</v>
      </c>
      <c r="E3592" s="3">
        <v>4</v>
      </c>
      <c r="F3592" s="2">
        <v>4</v>
      </c>
      <c r="G3592" s="4">
        <v>4</v>
      </c>
      <c r="H3592" s="13"/>
      <c r="I3592" s="15"/>
      <c r="J3592" s="19">
        <v>4</v>
      </c>
      <c r="K3592" s="2" t="s">
        <v>7196</v>
      </c>
      <c r="L3592" s="11" t="str">
        <f t="shared" si="58"/>
        <v>Ver Imagen</v>
      </c>
      <c r="M3592" t="s">
        <v>15</v>
      </c>
    </row>
    <row r="3593" spans="1:13" x14ac:dyDescent="0.25">
      <c r="A3593">
        <v>3593</v>
      </c>
      <c r="B3593" t="s">
        <v>7197</v>
      </c>
      <c r="C3593" s="1">
        <v>37.258938835899997</v>
      </c>
      <c r="D3593" s="1">
        <v>-7.12407741064</v>
      </c>
      <c r="E3593" s="3">
        <v>4</v>
      </c>
      <c r="F3593" s="2">
        <v>4</v>
      </c>
      <c r="G3593" s="4">
        <v>4</v>
      </c>
      <c r="H3593" s="13"/>
      <c r="I3593" s="15"/>
      <c r="J3593" s="19">
        <v>4</v>
      </c>
      <c r="K3593" s="2" t="s">
        <v>7198</v>
      </c>
      <c r="L3593" s="11" t="str">
        <f t="shared" si="58"/>
        <v>Ver Imagen</v>
      </c>
      <c r="M3593" t="s">
        <v>15</v>
      </c>
    </row>
    <row r="3594" spans="1:13" x14ac:dyDescent="0.25">
      <c r="A3594">
        <v>3594</v>
      </c>
      <c r="B3594" t="s">
        <v>7199</v>
      </c>
      <c r="C3594" s="1">
        <v>37.478219465199999</v>
      </c>
      <c r="D3594" s="1">
        <v>-7.1275331798400003</v>
      </c>
      <c r="E3594" s="3">
        <v>4</v>
      </c>
      <c r="F3594" s="2">
        <v>4</v>
      </c>
      <c r="G3594" s="4">
        <v>4</v>
      </c>
      <c r="H3594" s="13"/>
      <c r="I3594" s="15"/>
      <c r="J3594" s="19">
        <v>4</v>
      </c>
      <c r="K3594" s="2" t="s">
        <v>7200</v>
      </c>
      <c r="L3594" s="11" t="str">
        <f t="shared" si="58"/>
        <v>Ver Imagen</v>
      </c>
      <c r="M3594" t="s">
        <v>15</v>
      </c>
    </row>
    <row r="3595" spans="1:13" x14ac:dyDescent="0.25">
      <c r="A3595">
        <v>3595</v>
      </c>
      <c r="B3595" t="s">
        <v>7201</v>
      </c>
      <c r="C3595" s="1">
        <v>37.472546837800003</v>
      </c>
      <c r="D3595" s="1">
        <v>-7.1264004540299997</v>
      </c>
      <c r="E3595" s="3">
        <v>4</v>
      </c>
      <c r="F3595" s="2">
        <v>4</v>
      </c>
      <c r="G3595" s="4">
        <v>4</v>
      </c>
      <c r="H3595" s="13"/>
      <c r="I3595" s="15"/>
      <c r="J3595" s="19">
        <v>4</v>
      </c>
      <c r="K3595" s="2" t="s">
        <v>7202</v>
      </c>
      <c r="L3595" s="11" t="str">
        <f t="shared" si="58"/>
        <v>Ver Imagen</v>
      </c>
      <c r="M3595" t="s">
        <v>15</v>
      </c>
    </row>
    <row r="3596" spans="1:13" x14ac:dyDescent="0.25">
      <c r="A3596">
        <v>3596</v>
      </c>
      <c r="B3596" t="s">
        <v>7203</v>
      </c>
      <c r="C3596" s="1">
        <v>37.468307405099999</v>
      </c>
      <c r="D3596" s="1">
        <v>-7.1234880190399998</v>
      </c>
      <c r="E3596" s="3">
        <v>4</v>
      </c>
      <c r="F3596" s="2">
        <v>4</v>
      </c>
      <c r="G3596" s="4">
        <v>4</v>
      </c>
      <c r="H3596" s="13"/>
      <c r="I3596" s="15"/>
      <c r="J3596" s="19">
        <v>4</v>
      </c>
      <c r="K3596" s="2" t="s">
        <v>7204</v>
      </c>
      <c r="L3596" s="11" t="str">
        <f t="shared" si="58"/>
        <v>Ver Imagen</v>
      </c>
      <c r="M3596" t="s">
        <v>15</v>
      </c>
    </row>
    <row r="3597" spans="1:13" x14ac:dyDescent="0.25">
      <c r="A3597">
        <v>3597</v>
      </c>
      <c r="B3597" t="s">
        <v>7205</v>
      </c>
      <c r="C3597" s="1">
        <v>37.495447050999999</v>
      </c>
      <c r="D3597" s="1">
        <v>-7.2702593042799997</v>
      </c>
      <c r="E3597" s="3">
        <v>4</v>
      </c>
      <c r="F3597" s="2">
        <v>4</v>
      </c>
      <c r="G3597" s="4">
        <v>4</v>
      </c>
      <c r="H3597" s="13"/>
      <c r="I3597" s="15"/>
      <c r="J3597" s="19">
        <v>4</v>
      </c>
      <c r="K3597" s="2" t="s">
        <v>7206</v>
      </c>
      <c r="L3597" s="11" t="str">
        <f t="shared" ref="L3597:L3615" si="59">HYPERLINK("4\0\" &amp; K3597, "Ver Imagen")</f>
        <v>Ver Imagen</v>
      </c>
      <c r="M3597" t="s">
        <v>15</v>
      </c>
    </row>
    <row r="3598" spans="1:13" x14ac:dyDescent="0.25">
      <c r="A3598">
        <v>3598</v>
      </c>
      <c r="B3598" t="s">
        <v>7207</v>
      </c>
      <c r="C3598" s="1">
        <v>37.495427425599999</v>
      </c>
      <c r="D3598" s="1">
        <v>-7.2689573253599997</v>
      </c>
      <c r="E3598" s="3">
        <v>4</v>
      </c>
      <c r="F3598" s="2">
        <v>4</v>
      </c>
      <c r="G3598" s="4">
        <v>4</v>
      </c>
      <c r="H3598" s="13"/>
      <c r="I3598" s="15"/>
      <c r="J3598" s="19">
        <v>4</v>
      </c>
      <c r="K3598" s="2" t="s">
        <v>7208</v>
      </c>
      <c r="L3598" s="11" t="str">
        <f t="shared" si="59"/>
        <v>Ver Imagen</v>
      </c>
      <c r="M3598" t="s">
        <v>15</v>
      </c>
    </row>
    <row r="3599" spans="1:13" x14ac:dyDescent="0.25">
      <c r="A3599">
        <v>3599</v>
      </c>
      <c r="B3599" t="s">
        <v>7209</v>
      </c>
      <c r="C3599" s="1">
        <v>37.198814976199998</v>
      </c>
      <c r="D3599" s="1">
        <v>-6.9823619370800003</v>
      </c>
      <c r="E3599" s="3">
        <v>4</v>
      </c>
      <c r="F3599" s="2">
        <v>4</v>
      </c>
      <c r="G3599" s="4">
        <v>4</v>
      </c>
      <c r="H3599" s="13"/>
      <c r="I3599" s="15"/>
      <c r="J3599" s="19">
        <v>4</v>
      </c>
      <c r="K3599" s="2" t="s">
        <v>7210</v>
      </c>
      <c r="L3599" s="11" t="str">
        <f t="shared" si="59"/>
        <v>Ver Imagen</v>
      </c>
      <c r="M3599" t="s">
        <v>15</v>
      </c>
    </row>
    <row r="3600" spans="1:13" x14ac:dyDescent="0.25">
      <c r="A3600">
        <v>3600</v>
      </c>
      <c r="B3600" t="s">
        <v>7211</v>
      </c>
      <c r="C3600" s="1">
        <v>37.1876023696</v>
      </c>
      <c r="D3600" s="1">
        <v>-6.9791044865599998</v>
      </c>
      <c r="E3600" s="3">
        <v>4</v>
      </c>
      <c r="F3600" s="2">
        <v>4</v>
      </c>
      <c r="G3600" s="4">
        <v>4</v>
      </c>
      <c r="H3600" s="13"/>
      <c r="I3600" s="15"/>
      <c r="J3600" s="19">
        <v>4</v>
      </c>
      <c r="K3600" s="2" t="s">
        <v>7212</v>
      </c>
      <c r="L3600" s="11" t="str">
        <f t="shared" si="59"/>
        <v>Ver Imagen</v>
      </c>
      <c r="M3600" t="s">
        <v>15</v>
      </c>
    </row>
    <row r="3601" spans="1:13" x14ac:dyDescent="0.25">
      <c r="A3601">
        <v>3601</v>
      </c>
      <c r="B3601" t="s">
        <v>7213</v>
      </c>
      <c r="C3601" s="1">
        <v>37.1859783337</v>
      </c>
      <c r="D3601" s="1">
        <v>-6.97982040685</v>
      </c>
      <c r="E3601" s="3">
        <v>4</v>
      </c>
      <c r="F3601" s="2">
        <v>4</v>
      </c>
      <c r="G3601" s="4">
        <v>4</v>
      </c>
      <c r="H3601" s="13"/>
      <c r="I3601" s="15"/>
      <c r="J3601" s="19">
        <v>4</v>
      </c>
      <c r="K3601" s="2" t="s">
        <v>7214</v>
      </c>
      <c r="L3601" s="11" t="str">
        <f t="shared" si="59"/>
        <v>Ver Imagen</v>
      </c>
      <c r="M3601" t="s">
        <v>15</v>
      </c>
    </row>
    <row r="3602" spans="1:13" x14ac:dyDescent="0.25">
      <c r="A3602">
        <v>3602</v>
      </c>
      <c r="B3602" t="s">
        <v>7215</v>
      </c>
      <c r="C3602" s="1">
        <v>37.186162063099999</v>
      </c>
      <c r="D3602" s="1">
        <v>-6.9797385274700003</v>
      </c>
      <c r="E3602" s="3">
        <v>4</v>
      </c>
      <c r="F3602" s="2">
        <v>4</v>
      </c>
      <c r="G3602" s="4">
        <v>4</v>
      </c>
      <c r="H3602" s="13"/>
      <c r="I3602" s="15"/>
      <c r="J3602" s="19">
        <v>4</v>
      </c>
      <c r="K3602" s="2" t="s">
        <v>7216</v>
      </c>
      <c r="L3602" s="11" t="str">
        <f t="shared" si="59"/>
        <v>Ver Imagen</v>
      </c>
      <c r="M3602" t="s">
        <v>15</v>
      </c>
    </row>
    <row r="3603" spans="1:13" x14ac:dyDescent="0.25">
      <c r="A3603">
        <v>3603</v>
      </c>
      <c r="B3603" t="s">
        <v>7217</v>
      </c>
      <c r="C3603" s="1">
        <v>37.199565823199997</v>
      </c>
      <c r="D3603" s="1">
        <v>-6.9841631269200004</v>
      </c>
      <c r="E3603" s="3">
        <v>4</v>
      </c>
      <c r="F3603" s="2">
        <v>4</v>
      </c>
      <c r="G3603" s="4">
        <v>4</v>
      </c>
      <c r="H3603" s="13"/>
      <c r="I3603" s="15"/>
      <c r="J3603" s="19">
        <v>4</v>
      </c>
      <c r="K3603" s="2" t="s">
        <v>7218</v>
      </c>
      <c r="L3603" s="11" t="str">
        <f t="shared" si="59"/>
        <v>Ver Imagen</v>
      </c>
      <c r="M3603" t="s">
        <v>15</v>
      </c>
    </row>
    <row r="3604" spans="1:13" x14ac:dyDescent="0.25">
      <c r="A3604">
        <v>3604</v>
      </c>
      <c r="B3604" t="s">
        <v>7219</v>
      </c>
      <c r="C3604" s="1">
        <v>37.202855208800003</v>
      </c>
      <c r="D3604" s="1">
        <v>-7.0016253727700004</v>
      </c>
      <c r="E3604" s="3">
        <v>4</v>
      </c>
      <c r="F3604" s="2">
        <v>4</v>
      </c>
      <c r="G3604" s="4">
        <v>4</v>
      </c>
      <c r="H3604" s="13"/>
      <c r="I3604" s="15"/>
      <c r="J3604" s="19">
        <v>4</v>
      </c>
      <c r="K3604" s="2" t="s">
        <v>7220</v>
      </c>
      <c r="L3604" s="11" t="str">
        <f t="shared" si="59"/>
        <v>Ver Imagen</v>
      </c>
      <c r="M3604" t="s">
        <v>15</v>
      </c>
    </row>
    <row r="3605" spans="1:13" x14ac:dyDescent="0.25">
      <c r="A3605">
        <v>3605</v>
      </c>
      <c r="B3605" t="s">
        <v>7221</v>
      </c>
      <c r="C3605" s="1">
        <v>37.252677315</v>
      </c>
      <c r="D3605" s="1">
        <v>-7.0163821215400004</v>
      </c>
      <c r="E3605" s="3">
        <v>4</v>
      </c>
      <c r="F3605" s="2">
        <v>4</v>
      </c>
      <c r="G3605" s="4">
        <v>4</v>
      </c>
      <c r="H3605" s="13"/>
      <c r="I3605" s="15"/>
      <c r="J3605" s="19">
        <v>4</v>
      </c>
      <c r="K3605" s="2" t="s">
        <v>7222</v>
      </c>
      <c r="L3605" s="11" t="str">
        <f t="shared" si="59"/>
        <v>Ver Imagen</v>
      </c>
      <c r="M3605" t="s">
        <v>15</v>
      </c>
    </row>
    <row r="3606" spans="1:13" x14ac:dyDescent="0.25">
      <c r="A3606">
        <v>3606</v>
      </c>
      <c r="B3606" t="s">
        <v>7223</v>
      </c>
      <c r="C3606" s="1">
        <v>37.247698166299998</v>
      </c>
      <c r="D3606" s="1">
        <v>-7.0183892345399999</v>
      </c>
      <c r="E3606" s="3">
        <v>4</v>
      </c>
      <c r="F3606" s="2">
        <v>4</v>
      </c>
      <c r="G3606" s="4">
        <v>4</v>
      </c>
      <c r="H3606" s="13"/>
      <c r="I3606" s="15"/>
      <c r="J3606" s="19">
        <v>4</v>
      </c>
      <c r="K3606" s="2" t="s">
        <v>7224</v>
      </c>
      <c r="L3606" s="11" t="str">
        <f t="shared" si="59"/>
        <v>Ver Imagen</v>
      </c>
      <c r="M3606" t="s">
        <v>15</v>
      </c>
    </row>
    <row r="3607" spans="1:13" x14ac:dyDescent="0.25">
      <c r="A3607">
        <v>3607</v>
      </c>
      <c r="B3607" t="s">
        <v>7225</v>
      </c>
      <c r="C3607" s="1">
        <v>37.2317323555</v>
      </c>
      <c r="D3607" s="1">
        <v>-7.01914393715</v>
      </c>
      <c r="E3607" s="3">
        <v>4</v>
      </c>
      <c r="F3607" s="2">
        <v>4</v>
      </c>
      <c r="G3607" s="4">
        <v>4</v>
      </c>
      <c r="H3607" s="13"/>
      <c r="I3607" s="15"/>
      <c r="J3607" s="19">
        <v>4</v>
      </c>
      <c r="K3607" s="2" t="s">
        <v>7226</v>
      </c>
      <c r="L3607" s="11" t="str">
        <f t="shared" si="59"/>
        <v>Ver Imagen</v>
      </c>
      <c r="M3607" t="s">
        <v>15</v>
      </c>
    </row>
    <row r="3608" spans="1:13" x14ac:dyDescent="0.25">
      <c r="A3608">
        <v>3608</v>
      </c>
      <c r="B3608" t="s">
        <v>7227</v>
      </c>
      <c r="C3608" s="1">
        <v>37.205101020599997</v>
      </c>
      <c r="D3608" s="1">
        <v>-7.0168002411900003</v>
      </c>
      <c r="E3608" s="3">
        <v>4</v>
      </c>
      <c r="F3608" s="2">
        <v>4</v>
      </c>
      <c r="G3608" s="4">
        <v>4</v>
      </c>
      <c r="H3608" s="13"/>
      <c r="I3608" s="15"/>
      <c r="J3608" s="19">
        <v>4</v>
      </c>
      <c r="K3608" s="2" t="s">
        <v>7228</v>
      </c>
      <c r="L3608" s="11" t="str">
        <f t="shared" si="59"/>
        <v>Ver Imagen</v>
      </c>
      <c r="M3608" t="s">
        <v>15</v>
      </c>
    </row>
    <row r="3609" spans="1:13" x14ac:dyDescent="0.25">
      <c r="A3609">
        <v>3609</v>
      </c>
      <c r="B3609" t="s">
        <v>7229</v>
      </c>
      <c r="C3609" s="1">
        <v>37.251818809100001</v>
      </c>
      <c r="D3609" s="1">
        <v>-7.0167172335099997</v>
      </c>
      <c r="E3609" s="3">
        <v>4</v>
      </c>
      <c r="F3609" s="2">
        <v>4</v>
      </c>
      <c r="G3609" s="4">
        <v>4</v>
      </c>
      <c r="H3609" s="13"/>
      <c r="I3609" s="15"/>
      <c r="J3609" s="19">
        <v>4</v>
      </c>
      <c r="K3609" s="2" t="s">
        <v>7230</v>
      </c>
      <c r="L3609" s="11" t="str">
        <f t="shared" si="59"/>
        <v>Ver Imagen</v>
      </c>
      <c r="M3609" t="s">
        <v>15</v>
      </c>
    </row>
    <row r="3610" spans="1:13" x14ac:dyDescent="0.25">
      <c r="A3610">
        <v>3610</v>
      </c>
      <c r="B3610" t="s">
        <v>7231</v>
      </c>
      <c r="C3610" s="1">
        <v>37.263340757800002</v>
      </c>
      <c r="D3610" s="1">
        <v>-7.0074522353099997</v>
      </c>
      <c r="E3610" s="3">
        <v>4</v>
      </c>
      <c r="F3610" s="2">
        <v>4</v>
      </c>
      <c r="G3610" s="4">
        <v>4</v>
      </c>
      <c r="H3610" s="13"/>
      <c r="I3610" s="15"/>
      <c r="J3610" s="19">
        <v>4</v>
      </c>
      <c r="K3610" s="2" t="s">
        <v>7232</v>
      </c>
      <c r="L3610" s="11" t="str">
        <f t="shared" si="59"/>
        <v>Ver Imagen</v>
      </c>
      <c r="M3610" t="s">
        <v>15</v>
      </c>
    </row>
    <row r="3611" spans="1:13" x14ac:dyDescent="0.25">
      <c r="A3611">
        <v>3611</v>
      </c>
      <c r="B3611" t="s">
        <v>7233</v>
      </c>
      <c r="C3611" s="1">
        <v>37.271218055600002</v>
      </c>
      <c r="D3611" s="1">
        <v>-6.9837089604299996</v>
      </c>
      <c r="E3611" s="3">
        <v>4</v>
      </c>
      <c r="F3611" s="2">
        <v>4</v>
      </c>
      <c r="G3611" s="4">
        <v>4</v>
      </c>
      <c r="H3611" s="13"/>
      <c r="I3611" s="15"/>
      <c r="J3611" s="19">
        <v>4</v>
      </c>
      <c r="K3611" s="2" t="s">
        <v>7234</v>
      </c>
      <c r="L3611" s="11" t="str">
        <f t="shared" si="59"/>
        <v>Ver Imagen</v>
      </c>
      <c r="M3611" t="s">
        <v>15</v>
      </c>
    </row>
    <row r="3612" spans="1:13" x14ac:dyDescent="0.25">
      <c r="A3612">
        <v>3612</v>
      </c>
      <c r="B3612" t="s">
        <v>7235</v>
      </c>
      <c r="C3612" s="1">
        <v>37.271140384500001</v>
      </c>
      <c r="D3612" s="1">
        <v>-6.9834432092399998</v>
      </c>
      <c r="E3612" s="3">
        <v>4</v>
      </c>
      <c r="F3612" s="2">
        <v>4</v>
      </c>
      <c r="G3612" s="4">
        <v>4</v>
      </c>
      <c r="H3612" s="13"/>
      <c r="I3612" s="15"/>
      <c r="J3612" s="19">
        <v>4</v>
      </c>
      <c r="K3612" s="2" t="s">
        <v>7236</v>
      </c>
      <c r="L3612" s="11" t="str">
        <f t="shared" si="59"/>
        <v>Ver Imagen</v>
      </c>
      <c r="M3612" t="s">
        <v>15</v>
      </c>
    </row>
    <row r="3613" spans="1:13" x14ac:dyDescent="0.25">
      <c r="A3613">
        <v>3613</v>
      </c>
      <c r="B3613" t="s">
        <v>7237</v>
      </c>
      <c r="C3613" s="1">
        <v>37.271006868000001</v>
      </c>
      <c r="D3613" s="1">
        <v>-6.9829789587000004</v>
      </c>
      <c r="E3613" s="3">
        <v>4</v>
      </c>
      <c r="F3613" s="2">
        <v>4</v>
      </c>
      <c r="G3613" s="4">
        <v>4</v>
      </c>
      <c r="H3613" s="13"/>
      <c r="I3613" s="15"/>
      <c r="J3613" s="19">
        <v>4</v>
      </c>
      <c r="K3613" s="2" t="s">
        <v>7238</v>
      </c>
      <c r="L3613" s="11" t="str">
        <f t="shared" si="59"/>
        <v>Ver Imagen</v>
      </c>
      <c r="M3613" t="s">
        <v>15</v>
      </c>
    </row>
    <row r="3614" spans="1:13" x14ac:dyDescent="0.25">
      <c r="A3614">
        <v>3614</v>
      </c>
      <c r="B3614" t="s">
        <v>7239</v>
      </c>
      <c r="C3614" s="1">
        <v>37.270118881800002</v>
      </c>
      <c r="D3614" s="1">
        <v>-6.9798796814899999</v>
      </c>
      <c r="E3614" s="3">
        <v>4</v>
      </c>
      <c r="F3614" s="2">
        <v>4</v>
      </c>
      <c r="G3614" s="4">
        <v>4</v>
      </c>
      <c r="H3614" s="13"/>
      <c r="I3614" s="15"/>
      <c r="J3614" s="19">
        <v>4</v>
      </c>
      <c r="K3614" s="2" t="s">
        <v>7240</v>
      </c>
      <c r="L3614" s="11" t="str">
        <f t="shared" si="59"/>
        <v>Ver Imagen</v>
      </c>
      <c r="M3614" t="s">
        <v>15</v>
      </c>
    </row>
    <row r="3615" spans="1:13" x14ac:dyDescent="0.25">
      <c r="A3615">
        <v>3615</v>
      </c>
      <c r="B3615" t="s">
        <v>7241</v>
      </c>
      <c r="C3615" s="1">
        <v>37.269757611999999</v>
      </c>
      <c r="D3615" s="1">
        <v>-6.9786193223100002</v>
      </c>
      <c r="E3615" s="3">
        <v>4</v>
      </c>
      <c r="F3615" s="2">
        <v>4</v>
      </c>
      <c r="G3615" s="4">
        <v>4</v>
      </c>
      <c r="H3615" s="13"/>
      <c r="I3615" s="15"/>
      <c r="J3615" s="19">
        <v>4</v>
      </c>
      <c r="K3615" s="2" t="s">
        <v>7242</v>
      </c>
      <c r="L3615" s="11" t="str">
        <f t="shared" si="59"/>
        <v>Ver Imagen</v>
      </c>
      <c r="M3615" t="s">
        <v>15</v>
      </c>
    </row>
    <row r="3616" spans="1:13" x14ac:dyDescent="0.25">
      <c r="A3616">
        <v>3616</v>
      </c>
      <c r="B3616" t="s">
        <v>7243</v>
      </c>
      <c r="C3616" s="1">
        <v>37.218616669200003</v>
      </c>
      <c r="D3616" s="1">
        <v>-7.12543685262</v>
      </c>
      <c r="E3616" s="3">
        <v>3</v>
      </c>
      <c r="F3616" s="2">
        <v>4</v>
      </c>
      <c r="G3616" s="4">
        <v>4</v>
      </c>
      <c r="H3616" s="13"/>
      <c r="I3616" s="15"/>
      <c r="J3616" s="19">
        <v>4</v>
      </c>
      <c r="K3616" s="2" t="s">
        <v>7244</v>
      </c>
      <c r="L3616" s="11" t="str">
        <f t="shared" ref="L3616:L3679" si="60">HYPERLINK("4\1\" &amp; K3616, "Ver Imagen")</f>
        <v>Ver Imagen</v>
      </c>
      <c r="M3616" t="s">
        <v>15</v>
      </c>
    </row>
    <row r="3617" spans="1:13" x14ac:dyDescent="0.25">
      <c r="A3617">
        <v>3617</v>
      </c>
      <c r="B3617" t="s">
        <v>7245</v>
      </c>
      <c r="C3617" s="1">
        <v>37.2111367101</v>
      </c>
      <c r="D3617" s="1">
        <v>-7.0553138756699996</v>
      </c>
      <c r="E3617" s="3">
        <v>3</v>
      </c>
      <c r="F3617" s="2">
        <v>4</v>
      </c>
      <c r="G3617" s="4">
        <v>4</v>
      </c>
      <c r="H3617" s="13"/>
      <c r="I3617" s="15"/>
      <c r="J3617" s="19">
        <v>4</v>
      </c>
      <c r="K3617" s="2" t="s">
        <v>7246</v>
      </c>
      <c r="L3617" s="11" t="str">
        <f t="shared" si="60"/>
        <v>Ver Imagen</v>
      </c>
      <c r="M3617" t="s">
        <v>15</v>
      </c>
    </row>
    <row r="3618" spans="1:13" x14ac:dyDescent="0.25">
      <c r="A3618">
        <v>3618</v>
      </c>
      <c r="B3618" t="s">
        <v>7247</v>
      </c>
      <c r="C3618" s="1">
        <v>37.210800652899998</v>
      </c>
      <c r="D3618" s="1">
        <v>-7.0520575668100003</v>
      </c>
      <c r="E3618" s="3">
        <v>3</v>
      </c>
      <c r="F3618" s="2">
        <v>4</v>
      </c>
      <c r="G3618" s="4">
        <v>4</v>
      </c>
      <c r="H3618" s="13"/>
      <c r="I3618" s="15"/>
      <c r="J3618" s="19">
        <v>4</v>
      </c>
      <c r="K3618" s="2" t="s">
        <v>7248</v>
      </c>
      <c r="L3618" s="11" t="str">
        <f t="shared" si="60"/>
        <v>Ver Imagen</v>
      </c>
      <c r="M3618" t="s">
        <v>15</v>
      </c>
    </row>
    <row r="3619" spans="1:13" x14ac:dyDescent="0.25">
      <c r="A3619">
        <v>3619</v>
      </c>
      <c r="B3619" t="s">
        <v>7249</v>
      </c>
      <c r="C3619" s="1">
        <v>37.204379124299997</v>
      </c>
      <c r="D3619" s="1">
        <v>-7.0275423002100004</v>
      </c>
      <c r="E3619" s="3">
        <v>3</v>
      </c>
      <c r="F3619" s="2">
        <v>4</v>
      </c>
      <c r="G3619" s="4">
        <v>4</v>
      </c>
      <c r="H3619" s="13"/>
      <c r="I3619" s="15"/>
      <c r="J3619" s="19">
        <v>4</v>
      </c>
      <c r="K3619" s="2" t="s">
        <v>7250</v>
      </c>
      <c r="L3619" s="11" t="str">
        <f t="shared" si="60"/>
        <v>Ver Imagen</v>
      </c>
      <c r="M3619" t="s">
        <v>15</v>
      </c>
    </row>
    <row r="3620" spans="1:13" x14ac:dyDescent="0.25">
      <c r="A3620">
        <v>3620</v>
      </c>
      <c r="B3620" t="s">
        <v>7251</v>
      </c>
      <c r="C3620" s="1">
        <v>37.278246988600003</v>
      </c>
      <c r="D3620" s="1">
        <v>-7.1440451552299997</v>
      </c>
      <c r="E3620" s="3">
        <v>4</v>
      </c>
      <c r="F3620" s="2">
        <v>4</v>
      </c>
      <c r="G3620" s="4">
        <v>3</v>
      </c>
      <c r="H3620" s="13"/>
      <c r="I3620" s="15"/>
      <c r="J3620" s="19">
        <v>4</v>
      </c>
      <c r="K3620" s="2" t="s">
        <v>7252</v>
      </c>
      <c r="L3620" s="11" t="str">
        <f t="shared" si="60"/>
        <v>Ver Imagen</v>
      </c>
      <c r="M3620" t="s">
        <v>15</v>
      </c>
    </row>
    <row r="3621" spans="1:13" x14ac:dyDescent="0.25">
      <c r="A3621">
        <v>3621</v>
      </c>
      <c r="B3621" t="s">
        <v>7253</v>
      </c>
      <c r="C3621" s="1">
        <v>37.277922298100002</v>
      </c>
      <c r="D3621" s="1">
        <v>-7.1437853208600002</v>
      </c>
      <c r="E3621" s="3">
        <v>3</v>
      </c>
      <c r="F3621" s="2">
        <v>4</v>
      </c>
      <c r="G3621" s="4">
        <v>4</v>
      </c>
      <c r="H3621" s="13"/>
      <c r="I3621" s="15"/>
      <c r="J3621" s="19">
        <v>4</v>
      </c>
      <c r="K3621" s="2" t="s">
        <v>7254</v>
      </c>
      <c r="L3621" s="11" t="str">
        <f t="shared" si="60"/>
        <v>Ver Imagen</v>
      </c>
      <c r="M3621" t="s">
        <v>15</v>
      </c>
    </row>
    <row r="3622" spans="1:13" x14ac:dyDescent="0.25">
      <c r="A3622">
        <v>3622</v>
      </c>
      <c r="B3622" t="s">
        <v>7255</v>
      </c>
      <c r="C3622" s="1">
        <v>37.273520784399999</v>
      </c>
      <c r="D3622" s="1">
        <v>-7.1420196308200001</v>
      </c>
      <c r="E3622" s="3">
        <v>4</v>
      </c>
      <c r="F3622" s="2">
        <v>4</v>
      </c>
      <c r="G3622" s="4">
        <v>3</v>
      </c>
      <c r="H3622" s="13"/>
      <c r="I3622" s="15"/>
      <c r="J3622" s="19">
        <v>4</v>
      </c>
      <c r="K3622" s="2" t="s">
        <v>7256</v>
      </c>
      <c r="L3622" s="11" t="str">
        <f t="shared" si="60"/>
        <v>Ver Imagen</v>
      </c>
      <c r="M3622" t="s">
        <v>15</v>
      </c>
    </row>
    <row r="3623" spans="1:13" x14ac:dyDescent="0.25">
      <c r="A3623">
        <v>3623</v>
      </c>
      <c r="B3623" t="s">
        <v>7257</v>
      </c>
      <c r="C3623" s="1">
        <v>37.269457938099997</v>
      </c>
      <c r="D3623" s="1">
        <v>-7.1391181989500003</v>
      </c>
      <c r="E3623" s="3">
        <v>3</v>
      </c>
      <c r="F3623" s="2">
        <v>4</v>
      </c>
      <c r="G3623" s="4">
        <v>4</v>
      </c>
      <c r="H3623" s="13"/>
      <c r="I3623" s="15"/>
      <c r="J3623" s="19">
        <v>4</v>
      </c>
      <c r="K3623" s="2" t="s">
        <v>7258</v>
      </c>
      <c r="L3623" s="11" t="str">
        <f t="shared" si="60"/>
        <v>Ver Imagen</v>
      </c>
      <c r="M3623" t="s">
        <v>15</v>
      </c>
    </row>
    <row r="3624" spans="1:13" x14ac:dyDescent="0.25">
      <c r="A3624">
        <v>3624</v>
      </c>
      <c r="B3624" t="s">
        <v>7259</v>
      </c>
      <c r="C3624" s="1">
        <v>37.268990816399999</v>
      </c>
      <c r="D3624" s="1">
        <v>-7.1384083480299996</v>
      </c>
      <c r="E3624" s="3">
        <v>4</v>
      </c>
      <c r="F3624" s="2">
        <v>4</v>
      </c>
      <c r="G3624" s="4">
        <v>3</v>
      </c>
      <c r="H3624" s="13"/>
      <c r="I3624" s="15"/>
      <c r="J3624" s="19">
        <v>4</v>
      </c>
      <c r="K3624" s="2" t="s">
        <v>7260</v>
      </c>
      <c r="L3624" s="11" t="str">
        <f t="shared" si="60"/>
        <v>Ver Imagen</v>
      </c>
      <c r="M3624" t="s">
        <v>15</v>
      </c>
    </row>
    <row r="3625" spans="1:13" x14ac:dyDescent="0.25">
      <c r="A3625">
        <v>3625</v>
      </c>
      <c r="B3625" t="s">
        <v>7261</v>
      </c>
      <c r="C3625" s="1">
        <v>37.261575601700002</v>
      </c>
      <c r="D3625" s="1">
        <v>-7.1300585273200001</v>
      </c>
      <c r="E3625" s="3">
        <v>4</v>
      </c>
      <c r="F3625" s="2">
        <v>4</v>
      </c>
      <c r="G3625" s="4">
        <v>3</v>
      </c>
      <c r="H3625" s="13"/>
      <c r="I3625" s="15"/>
      <c r="J3625" s="19">
        <v>4</v>
      </c>
      <c r="K3625" s="2" t="s">
        <v>7262</v>
      </c>
      <c r="L3625" s="11" t="str">
        <f t="shared" si="60"/>
        <v>Ver Imagen</v>
      </c>
      <c r="M3625" t="s">
        <v>15</v>
      </c>
    </row>
    <row r="3626" spans="1:13" x14ac:dyDescent="0.25">
      <c r="A3626">
        <v>3626</v>
      </c>
      <c r="B3626" t="s">
        <v>7263</v>
      </c>
      <c r="C3626" s="1">
        <v>37.223965984099998</v>
      </c>
      <c r="D3626" s="1">
        <v>-7.1252718182199999</v>
      </c>
      <c r="E3626" s="3">
        <v>4</v>
      </c>
      <c r="F3626" s="2">
        <v>4</v>
      </c>
      <c r="G3626" s="4">
        <v>3</v>
      </c>
      <c r="H3626" s="13"/>
      <c r="I3626" s="15"/>
      <c r="J3626" s="19">
        <v>4</v>
      </c>
      <c r="K3626" s="2" t="s">
        <v>7264</v>
      </c>
      <c r="L3626" s="11" t="str">
        <f t="shared" si="60"/>
        <v>Ver Imagen</v>
      </c>
      <c r="M3626" t="s">
        <v>15</v>
      </c>
    </row>
    <row r="3627" spans="1:13" x14ac:dyDescent="0.25">
      <c r="A3627">
        <v>3627</v>
      </c>
      <c r="B3627" t="s">
        <v>7265</v>
      </c>
      <c r="C3627" s="1">
        <v>37.495471466600002</v>
      </c>
      <c r="D3627" s="1">
        <v>-7.27002868798</v>
      </c>
      <c r="E3627" s="3">
        <v>3</v>
      </c>
      <c r="F3627" s="2">
        <v>4</v>
      </c>
      <c r="G3627" s="4">
        <v>4</v>
      </c>
      <c r="H3627" s="13"/>
      <c r="I3627" s="15"/>
      <c r="J3627" s="19">
        <v>4</v>
      </c>
      <c r="K3627" s="2" t="s">
        <v>7266</v>
      </c>
      <c r="L3627" s="11" t="str">
        <f t="shared" si="60"/>
        <v>Ver Imagen</v>
      </c>
      <c r="M3627" t="s">
        <v>15</v>
      </c>
    </row>
    <row r="3628" spans="1:13" x14ac:dyDescent="0.25">
      <c r="A3628">
        <v>3628</v>
      </c>
      <c r="B3628" t="s">
        <v>7267</v>
      </c>
      <c r="C3628" s="1">
        <v>37.267172094199999</v>
      </c>
      <c r="D3628" s="1">
        <v>-6.9917322931300001</v>
      </c>
      <c r="E3628" s="3">
        <v>4</v>
      </c>
      <c r="F3628" s="2">
        <v>4</v>
      </c>
      <c r="G3628" s="4">
        <v>3</v>
      </c>
      <c r="H3628" s="13"/>
      <c r="I3628" s="15"/>
      <c r="J3628" s="19">
        <v>4</v>
      </c>
      <c r="K3628" s="2" t="s">
        <v>7268</v>
      </c>
      <c r="L3628" s="11" t="str">
        <f t="shared" si="60"/>
        <v>Ver Imagen</v>
      </c>
      <c r="M3628" t="s">
        <v>15</v>
      </c>
    </row>
    <row r="3629" spans="1:13" x14ac:dyDescent="0.25">
      <c r="A3629">
        <v>3629</v>
      </c>
      <c r="B3629" t="s">
        <v>7269</v>
      </c>
      <c r="C3629" s="1">
        <v>37.247274025599999</v>
      </c>
      <c r="D3629" s="1">
        <v>-7.0184055510299999</v>
      </c>
      <c r="E3629" s="3">
        <v>4</v>
      </c>
      <c r="F3629" s="2">
        <v>4</v>
      </c>
      <c r="G3629" s="4">
        <v>3</v>
      </c>
      <c r="H3629" s="13"/>
      <c r="I3629" s="15"/>
      <c r="J3629" s="19">
        <v>4</v>
      </c>
      <c r="K3629" s="2" t="s">
        <v>7270</v>
      </c>
      <c r="L3629" s="11" t="str">
        <f t="shared" si="60"/>
        <v>Ver Imagen</v>
      </c>
      <c r="M3629" t="s">
        <v>15</v>
      </c>
    </row>
    <row r="3630" spans="1:13" x14ac:dyDescent="0.25">
      <c r="A3630">
        <v>3630</v>
      </c>
      <c r="B3630" t="s">
        <v>7271</v>
      </c>
      <c r="C3630" s="1">
        <v>37.204166083200001</v>
      </c>
      <c r="D3630" s="1">
        <v>-7.0120655629400002</v>
      </c>
      <c r="E3630" s="3">
        <v>3</v>
      </c>
      <c r="F3630" s="2">
        <v>4</v>
      </c>
      <c r="G3630" s="4">
        <v>4</v>
      </c>
      <c r="H3630" s="13"/>
      <c r="I3630" s="15"/>
      <c r="J3630" s="19">
        <v>4</v>
      </c>
      <c r="K3630" s="2" t="s">
        <v>7272</v>
      </c>
      <c r="L3630" s="11" t="str">
        <f t="shared" si="60"/>
        <v>Ver Imagen</v>
      </c>
      <c r="M3630" t="s">
        <v>15</v>
      </c>
    </row>
    <row r="3631" spans="1:13" x14ac:dyDescent="0.25">
      <c r="A3631">
        <v>3631</v>
      </c>
      <c r="B3631" t="s">
        <v>7273</v>
      </c>
      <c r="C3631" s="1">
        <v>37.446613295200002</v>
      </c>
      <c r="D3631" s="1">
        <v>-7.1320170107700003</v>
      </c>
      <c r="E3631" s="3">
        <v>3</v>
      </c>
      <c r="F3631" s="2">
        <v>4</v>
      </c>
      <c r="G3631" s="4">
        <v>4</v>
      </c>
      <c r="H3631" s="13"/>
      <c r="I3631" s="15"/>
      <c r="J3631" s="19">
        <v>4</v>
      </c>
      <c r="K3631" s="2" t="s">
        <v>7274</v>
      </c>
      <c r="L3631" s="11" t="str">
        <f t="shared" si="60"/>
        <v>Ver Imagen</v>
      </c>
      <c r="M3631" t="s">
        <v>15</v>
      </c>
    </row>
    <row r="3632" spans="1:13" x14ac:dyDescent="0.25">
      <c r="A3632">
        <v>3632</v>
      </c>
      <c r="B3632" t="s">
        <v>7275</v>
      </c>
      <c r="C3632" s="1">
        <v>37.447264765200003</v>
      </c>
      <c r="D3632" s="1">
        <v>-7.1269836869000001</v>
      </c>
      <c r="E3632" s="3">
        <v>4</v>
      </c>
      <c r="F3632" s="2">
        <v>5</v>
      </c>
      <c r="G3632" s="4">
        <v>4</v>
      </c>
      <c r="H3632" s="13"/>
      <c r="I3632" s="15"/>
      <c r="J3632" s="19">
        <v>4</v>
      </c>
      <c r="K3632" s="2" t="s">
        <v>7276</v>
      </c>
      <c r="L3632" s="11" t="str">
        <f t="shared" si="60"/>
        <v>Ver Imagen</v>
      </c>
      <c r="M3632" t="s">
        <v>15</v>
      </c>
    </row>
    <row r="3633" spans="1:13" x14ac:dyDescent="0.25">
      <c r="A3633">
        <v>3633</v>
      </c>
      <c r="B3633" t="s">
        <v>7277</v>
      </c>
      <c r="C3633" s="1">
        <v>37.447187934900001</v>
      </c>
      <c r="D3633" s="1">
        <v>-7.1274658401000002</v>
      </c>
      <c r="E3633" s="3">
        <v>4</v>
      </c>
      <c r="F3633" s="2">
        <v>5</v>
      </c>
      <c r="G3633" s="4">
        <v>4</v>
      </c>
      <c r="H3633" s="13"/>
      <c r="I3633" s="15"/>
      <c r="J3633" s="19">
        <v>4</v>
      </c>
      <c r="K3633" s="2" t="s">
        <v>7278</v>
      </c>
      <c r="L3633" s="11" t="str">
        <f t="shared" si="60"/>
        <v>Ver Imagen</v>
      </c>
      <c r="M3633" t="s">
        <v>15</v>
      </c>
    </row>
    <row r="3634" spans="1:13" x14ac:dyDescent="0.25">
      <c r="A3634">
        <v>3634</v>
      </c>
      <c r="B3634" t="s">
        <v>7279</v>
      </c>
      <c r="C3634" s="1">
        <v>37.447158960099998</v>
      </c>
      <c r="D3634" s="1">
        <v>-7.12774900447</v>
      </c>
      <c r="E3634" s="3">
        <v>4</v>
      </c>
      <c r="F3634" s="2">
        <v>4</v>
      </c>
      <c r="G3634" s="4">
        <v>3</v>
      </c>
      <c r="H3634" s="13"/>
      <c r="I3634" s="15"/>
      <c r="J3634" s="19">
        <v>4</v>
      </c>
      <c r="K3634" s="2" t="s">
        <v>7280</v>
      </c>
      <c r="L3634" s="11" t="str">
        <f t="shared" si="60"/>
        <v>Ver Imagen</v>
      </c>
      <c r="M3634" t="s">
        <v>15</v>
      </c>
    </row>
    <row r="3635" spans="1:13" x14ac:dyDescent="0.25">
      <c r="A3635">
        <v>3635</v>
      </c>
      <c r="B3635" t="s">
        <v>7281</v>
      </c>
      <c r="C3635" s="1">
        <v>37.4471450717</v>
      </c>
      <c r="D3635" s="1">
        <v>-7.12896618092</v>
      </c>
      <c r="E3635" s="3">
        <v>4</v>
      </c>
      <c r="F3635" s="2">
        <v>5</v>
      </c>
      <c r="G3635" s="4">
        <v>4</v>
      </c>
      <c r="H3635" s="13"/>
      <c r="I3635" s="15"/>
      <c r="J3635" s="19">
        <v>4</v>
      </c>
      <c r="K3635" s="2" t="s">
        <v>7282</v>
      </c>
      <c r="L3635" s="11" t="str">
        <f t="shared" si="60"/>
        <v>Ver Imagen</v>
      </c>
      <c r="M3635" t="s">
        <v>15</v>
      </c>
    </row>
    <row r="3636" spans="1:13" x14ac:dyDescent="0.25">
      <c r="A3636">
        <v>3636</v>
      </c>
      <c r="B3636" t="s">
        <v>7283</v>
      </c>
      <c r="C3636" s="1">
        <v>37.4470435673</v>
      </c>
      <c r="D3636" s="1">
        <v>-7.1300083677000003</v>
      </c>
      <c r="E3636" s="3">
        <v>4</v>
      </c>
      <c r="F3636" s="2">
        <v>5</v>
      </c>
      <c r="G3636" s="4">
        <v>4</v>
      </c>
      <c r="H3636" s="13"/>
      <c r="I3636" s="15"/>
      <c r="J3636" s="19">
        <v>4</v>
      </c>
      <c r="K3636" s="2" t="s">
        <v>7284</v>
      </c>
      <c r="L3636" s="11" t="str">
        <f t="shared" si="60"/>
        <v>Ver Imagen</v>
      </c>
      <c r="M3636" t="s">
        <v>15</v>
      </c>
    </row>
    <row r="3637" spans="1:13" x14ac:dyDescent="0.25">
      <c r="A3637">
        <v>3637</v>
      </c>
      <c r="B3637" t="s">
        <v>7285</v>
      </c>
      <c r="C3637" s="1">
        <v>37.446983592800002</v>
      </c>
      <c r="D3637" s="1">
        <v>-7.1302322681200003</v>
      </c>
      <c r="E3637" s="3">
        <v>4</v>
      </c>
      <c r="F3637" s="2">
        <v>5</v>
      </c>
      <c r="G3637" s="4">
        <v>4</v>
      </c>
      <c r="H3637" s="13"/>
      <c r="I3637" s="15"/>
      <c r="J3637" s="19">
        <v>4</v>
      </c>
      <c r="K3637" s="2" t="s">
        <v>7286</v>
      </c>
      <c r="L3637" s="11" t="str">
        <f t="shared" si="60"/>
        <v>Ver Imagen</v>
      </c>
      <c r="M3637" t="s">
        <v>15</v>
      </c>
    </row>
    <row r="3638" spans="1:13" x14ac:dyDescent="0.25">
      <c r="A3638">
        <v>3638</v>
      </c>
      <c r="B3638" t="s">
        <v>7287</v>
      </c>
      <c r="C3638" s="1">
        <v>37.448509402399999</v>
      </c>
      <c r="D3638" s="1">
        <v>-7.14374260633</v>
      </c>
      <c r="E3638" s="3">
        <v>3</v>
      </c>
      <c r="F3638" s="2">
        <v>4</v>
      </c>
      <c r="G3638" s="4">
        <v>4</v>
      </c>
      <c r="H3638" s="13"/>
      <c r="I3638" s="15"/>
      <c r="J3638" s="19">
        <v>4</v>
      </c>
      <c r="K3638" s="2" t="s">
        <v>7288</v>
      </c>
      <c r="L3638" s="11" t="str">
        <f t="shared" si="60"/>
        <v>Ver Imagen</v>
      </c>
      <c r="M3638" t="s">
        <v>15</v>
      </c>
    </row>
    <row r="3639" spans="1:13" x14ac:dyDescent="0.25">
      <c r="A3639">
        <v>3639</v>
      </c>
      <c r="B3639" t="s">
        <v>7289</v>
      </c>
      <c r="C3639" s="1">
        <v>37.448581096799998</v>
      </c>
      <c r="D3639" s="1">
        <v>-7.1449703835399996</v>
      </c>
      <c r="E3639" s="3">
        <v>3</v>
      </c>
      <c r="F3639" s="2">
        <v>4</v>
      </c>
      <c r="G3639" s="4">
        <v>4</v>
      </c>
      <c r="H3639" s="13"/>
      <c r="I3639" s="15"/>
      <c r="J3639" s="19">
        <v>4</v>
      </c>
      <c r="K3639" s="2" t="s">
        <v>7290</v>
      </c>
      <c r="L3639" s="11" t="str">
        <f t="shared" si="60"/>
        <v>Ver Imagen</v>
      </c>
      <c r="M3639" t="s">
        <v>15</v>
      </c>
    </row>
    <row r="3640" spans="1:13" x14ac:dyDescent="0.25">
      <c r="A3640">
        <v>3640</v>
      </c>
      <c r="B3640" t="s">
        <v>7291</v>
      </c>
      <c r="C3640" s="1">
        <v>37.448594069999999</v>
      </c>
      <c r="D3640" s="1">
        <v>-7.1451857962199998</v>
      </c>
      <c r="E3640" s="3">
        <v>3</v>
      </c>
      <c r="F3640" s="2">
        <v>4</v>
      </c>
      <c r="G3640" s="4">
        <v>4</v>
      </c>
      <c r="H3640" s="13"/>
      <c r="I3640" s="15"/>
      <c r="J3640" s="19">
        <v>4</v>
      </c>
      <c r="K3640" s="2" t="s">
        <v>7292</v>
      </c>
      <c r="L3640" s="11" t="str">
        <f t="shared" si="60"/>
        <v>Ver Imagen</v>
      </c>
      <c r="M3640" t="s">
        <v>15</v>
      </c>
    </row>
    <row r="3641" spans="1:13" x14ac:dyDescent="0.25">
      <c r="A3641">
        <v>3641</v>
      </c>
      <c r="B3641" t="s">
        <v>7293</v>
      </c>
      <c r="C3641" s="1">
        <v>37.449357266900002</v>
      </c>
      <c r="D3641" s="1">
        <v>-7.1511418620300002</v>
      </c>
      <c r="E3641" s="3">
        <v>3</v>
      </c>
      <c r="F3641" s="2">
        <v>4</v>
      </c>
      <c r="G3641" s="4">
        <v>4</v>
      </c>
      <c r="H3641" s="13"/>
      <c r="I3641" s="15"/>
      <c r="J3641" s="19">
        <v>4</v>
      </c>
      <c r="K3641" s="2" t="s">
        <v>7294</v>
      </c>
      <c r="L3641" s="11" t="str">
        <f t="shared" si="60"/>
        <v>Ver Imagen</v>
      </c>
      <c r="M3641" t="s">
        <v>15</v>
      </c>
    </row>
    <row r="3642" spans="1:13" x14ac:dyDescent="0.25">
      <c r="A3642">
        <v>3642</v>
      </c>
      <c r="B3642" t="s">
        <v>7295</v>
      </c>
      <c r="C3642" s="1">
        <v>37.449460151799997</v>
      </c>
      <c r="D3642" s="1">
        <v>-7.1513595243200001</v>
      </c>
      <c r="E3642" s="3">
        <v>3</v>
      </c>
      <c r="F3642" s="2">
        <v>4</v>
      </c>
      <c r="G3642" s="4">
        <v>4</v>
      </c>
      <c r="H3642" s="13"/>
      <c r="I3642" s="15"/>
      <c r="J3642" s="19">
        <v>4</v>
      </c>
      <c r="K3642" s="2" t="s">
        <v>7296</v>
      </c>
      <c r="L3642" s="11" t="str">
        <f t="shared" si="60"/>
        <v>Ver Imagen</v>
      </c>
      <c r="M3642" t="s">
        <v>15</v>
      </c>
    </row>
    <row r="3643" spans="1:13" x14ac:dyDescent="0.25">
      <c r="A3643">
        <v>3643</v>
      </c>
      <c r="B3643" t="s">
        <v>7297</v>
      </c>
      <c r="C3643" s="1">
        <v>37.4495751308</v>
      </c>
      <c r="D3643" s="1">
        <v>-7.1515644730899997</v>
      </c>
      <c r="E3643" s="3">
        <v>4</v>
      </c>
      <c r="F3643" s="2">
        <v>4</v>
      </c>
      <c r="G3643" s="4">
        <v>5</v>
      </c>
      <c r="H3643" s="13"/>
      <c r="I3643" s="15"/>
      <c r="J3643" s="19">
        <v>4</v>
      </c>
      <c r="K3643" s="2" t="s">
        <v>7298</v>
      </c>
      <c r="L3643" s="11" t="str">
        <f t="shared" si="60"/>
        <v>Ver Imagen</v>
      </c>
      <c r="M3643" t="s">
        <v>15</v>
      </c>
    </row>
    <row r="3644" spans="1:13" x14ac:dyDescent="0.25">
      <c r="A3644">
        <v>3644</v>
      </c>
      <c r="B3644" t="s">
        <v>7299</v>
      </c>
      <c r="C3644" s="1">
        <v>37.462432842399998</v>
      </c>
      <c r="D3644" s="1">
        <v>-7.1758382765800004</v>
      </c>
      <c r="E3644" s="3">
        <v>3</v>
      </c>
      <c r="F3644" s="2">
        <v>4</v>
      </c>
      <c r="G3644" s="4">
        <v>4</v>
      </c>
      <c r="H3644" s="13"/>
      <c r="I3644" s="15"/>
      <c r="J3644" s="19">
        <v>4</v>
      </c>
      <c r="K3644" s="2" t="s">
        <v>7300</v>
      </c>
      <c r="L3644" s="11" t="str">
        <f t="shared" si="60"/>
        <v>Ver Imagen</v>
      </c>
      <c r="M3644" t="s">
        <v>15</v>
      </c>
    </row>
    <row r="3645" spans="1:13" x14ac:dyDescent="0.25">
      <c r="A3645">
        <v>3645</v>
      </c>
      <c r="B3645" t="s">
        <v>7301</v>
      </c>
      <c r="C3645" s="1">
        <v>37.4556673027</v>
      </c>
      <c r="D3645" s="1">
        <v>-7.1663911521000001</v>
      </c>
      <c r="E3645" s="3">
        <v>3</v>
      </c>
      <c r="F3645" s="2">
        <v>4</v>
      </c>
      <c r="G3645" s="4">
        <v>4</v>
      </c>
      <c r="H3645" s="13"/>
      <c r="I3645" s="15"/>
      <c r="J3645" s="19">
        <v>4</v>
      </c>
      <c r="K3645" s="2" t="s">
        <v>7302</v>
      </c>
      <c r="L3645" s="11" t="str">
        <f t="shared" si="60"/>
        <v>Ver Imagen</v>
      </c>
      <c r="M3645" t="s">
        <v>15</v>
      </c>
    </row>
    <row r="3646" spans="1:13" x14ac:dyDescent="0.25">
      <c r="A3646">
        <v>3646</v>
      </c>
      <c r="B3646" t="s">
        <v>7303</v>
      </c>
      <c r="C3646" s="1">
        <v>37.4606036355</v>
      </c>
      <c r="D3646" s="1">
        <v>-7.1728277050599996</v>
      </c>
      <c r="E3646" s="3">
        <v>3</v>
      </c>
      <c r="F3646" s="2">
        <v>4</v>
      </c>
      <c r="G3646" s="4">
        <v>4</v>
      </c>
      <c r="H3646" s="13"/>
      <c r="I3646" s="15"/>
      <c r="J3646" s="19">
        <v>4</v>
      </c>
      <c r="K3646" s="2" t="s">
        <v>7304</v>
      </c>
      <c r="L3646" s="11" t="str">
        <f t="shared" si="60"/>
        <v>Ver Imagen</v>
      </c>
      <c r="M3646" t="s">
        <v>15</v>
      </c>
    </row>
    <row r="3647" spans="1:13" x14ac:dyDescent="0.25">
      <c r="A3647">
        <v>3647</v>
      </c>
      <c r="B3647" t="s">
        <v>7305</v>
      </c>
      <c r="C3647" s="1">
        <v>37.462543341</v>
      </c>
      <c r="D3647" s="1">
        <v>-7.1760180743099999</v>
      </c>
      <c r="E3647" s="3">
        <v>3</v>
      </c>
      <c r="F3647" s="2">
        <v>4</v>
      </c>
      <c r="G3647" s="4">
        <v>4</v>
      </c>
      <c r="H3647" s="13"/>
      <c r="I3647" s="15"/>
      <c r="J3647" s="19">
        <v>4</v>
      </c>
      <c r="K3647" s="2" t="s">
        <v>7306</v>
      </c>
      <c r="L3647" s="11" t="str">
        <f t="shared" si="60"/>
        <v>Ver Imagen</v>
      </c>
      <c r="M3647" t="s">
        <v>15</v>
      </c>
    </row>
    <row r="3648" spans="1:13" x14ac:dyDescent="0.25">
      <c r="A3648">
        <v>3648</v>
      </c>
      <c r="B3648" t="s">
        <v>7307</v>
      </c>
      <c r="C3648" s="1">
        <v>37.463884492600002</v>
      </c>
      <c r="D3648" s="1">
        <v>-7.1782965164699997</v>
      </c>
      <c r="E3648" s="3">
        <v>3</v>
      </c>
      <c r="F3648" s="2">
        <v>4</v>
      </c>
      <c r="G3648" s="4">
        <v>4</v>
      </c>
      <c r="H3648" s="13"/>
      <c r="I3648" s="15"/>
      <c r="J3648" s="19">
        <v>4</v>
      </c>
      <c r="K3648" s="2" t="s">
        <v>7308</v>
      </c>
      <c r="L3648" s="11" t="str">
        <f t="shared" si="60"/>
        <v>Ver Imagen</v>
      </c>
      <c r="M3648" t="s">
        <v>15</v>
      </c>
    </row>
    <row r="3649" spans="1:13" x14ac:dyDescent="0.25">
      <c r="A3649">
        <v>3649</v>
      </c>
      <c r="B3649" t="s">
        <v>7309</v>
      </c>
      <c r="C3649" s="1">
        <v>37.464350421200002</v>
      </c>
      <c r="D3649" s="1">
        <v>-7.1791692316800004</v>
      </c>
      <c r="E3649" s="3">
        <v>4</v>
      </c>
      <c r="F3649" s="2">
        <v>4</v>
      </c>
      <c r="G3649" s="4">
        <v>5</v>
      </c>
      <c r="H3649" s="13"/>
      <c r="I3649" s="15"/>
      <c r="J3649" s="19">
        <v>4</v>
      </c>
      <c r="K3649" s="2" t="s">
        <v>7310</v>
      </c>
      <c r="L3649" s="11" t="str">
        <f t="shared" si="60"/>
        <v>Ver Imagen</v>
      </c>
      <c r="M3649" t="s">
        <v>15</v>
      </c>
    </row>
    <row r="3650" spans="1:13" x14ac:dyDescent="0.25">
      <c r="A3650">
        <v>3650</v>
      </c>
      <c r="B3650" t="s">
        <v>7311</v>
      </c>
      <c r="C3650" s="1">
        <v>37.464584202399998</v>
      </c>
      <c r="D3650" s="1">
        <v>-7.1795713623999999</v>
      </c>
      <c r="E3650" s="3">
        <v>3</v>
      </c>
      <c r="F3650" s="2">
        <v>4</v>
      </c>
      <c r="G3650" s="4">
        <v>4</v>
      </c>
      <c r="H3650" s="13"/>
      <c r="I3650" s="15"/>
      <c r="J3650" s="19">
        <v>4</v>
      </c>
      <c r="K3650" s="2" t="s">
        <v>7312</v>
      </c>
      <c r="L3650" s="11" t="str">
        <f t="shared" si="60"/>
        <v>Ver Imagen</v>
      </c>
      <c r="M3650" t="s">
        <v>15</v>
      </c>
    </row>
    <row r="3651" spans="1:13" x14ac:dyDescent="0.25">
      <c r="A3651">
        <v>3651</v>
      </c>
      <c r="B3651" t="s">
        <v>7313</v>
      </c>
      <c r="C3651" s="1">
        <v>37.464840613299998</v>
      </c>
      <c r="D3651" s="1">
        <v>-7.1800152194900004</v>
      </c>
      <c r="E3651" s="3">
        <v>4</v>
      </c>
      <c r="F3651" s="2">
        <v>4</v>
      </c>
      <c r="G3651" s="4">
        <v>5</v>
      </c>
      <c r="H3651" s="13"/>
      <c r="I3651" s="15"/>
      <c r="J3651" s="19">
        <v>4</v>
      </c>
      <c r="K3651" s="2" t="s">
        <v>7314</v>
      </c>
      <c r="L3651" s="11" t="str">
        <f t="shared" si="60"/>
        <v>Ver Imagen</v>
      </c>
      <c r="M3651" t="s">
        <v>15</v>
      </c>
    </row>
    <row r="3652" spans="1:13" x14ac:dyDescent="0.25">
      <c r="A3652">
        <v>3652</v>
      </c>
      <c r="B3652" t="s">
        <v>7315</v>
      </c>
      <c r="C3652" s="1">
        <v>37.464970093200002</v>
      </c>
      <c r="D3652" s="1">
        <v>-7.1802514570899998</v>
      </c>
      <c r="E3652" s="3">
        <v>4</v>
      </c>
      <c r="F3652" s="2">
        <v>4</v>
      </c>
      <c r="G3652" s="4">
        <v>5</v>
      </c>
      <c r="H3652" s="13"/>
      <c r="I3652" s="15"/>
      <c r="J3652" s="19">
        <v>4</v>
      </c>
      <c r="K3652" s="2" t="s">
        <v>7316</v>
      </c>
      <c r="L3652" s="11" t="str">
        <f t="shared" si="60"/>
        <v>Ver Imagen</v>
      </c>
      <c r="M3652" t="s">
        <v>15</v>
      </c>
    </row>
    <row r="3653" spans="1:13" x14ac:dyDescent="0.25">
      <c r="A3653">
        <v>3653</v>
      </c>
      <c r="B3653" t="s">
        <v>7317</v>
      </c>
      <c r="C3653" s="1">
        <v>37.466305645299997</v>
      </c>
      <c r="D3653" s="1">
        <v>-7.1827404683499996</v>
      </c>
      <c r="E3653" s="3">
        <v>3</v>
      </c>
      <c r="F3653" s="2">
        <v>4</v>
      </c>
      <c r="G3653" s="4">
        <v>4</v>
      </c>
      <c r="H3653" s="13"/>
      <c r="I3653" s="15"/>
      <c r="J3653" s="19">
        <v>4</v>
      </c>
      <c r="K3653" s="2" t="s">
        <v>7318</v>
      </c>
      <c r="L3653" s="11" t="str">
        <f t="shared" si="60"/>
        <v>Ver Imagen</v>
      </c>
      <c r="M3653" t="s">
        <v>15</v>
      </c>
    </row>
    <row r="3654" spans="1:13" x14ac:dyDescent="0.25">
      <c r="A3654">
        <v>3654</v>
      </c>
      <c r="B3654" t="s">
        <v>7319</v>
      </c>
      <c r="C3654" s="1">
        <v>37.466847421899999</v>
      </c>
      <c r="D3654" s="1">
        <v>-7.1837829048000001</v>
      </c>
      <c r="E3654" s="3">
        <v>3</v>
      </c>
      <c r="F3654" s="2">
        <v>4</v>
      </c>
      <c r="G3654" s="4">
        <v>4</v>
      </c>
      <c r="H3654" s="13"/>
      <c r="I3654" s="15"/>
      <c r="J3654" s="19">
        <v>4</v>
      </c>
      <c r="K3654" s="2" t="s">
        <v>7320</v>
      </c>
      <c r="L3654" s="11" t="str">
        <f t="shared" si="60"/>
        <v>Ver Imagen</v>
      </c>
      <c r="M3654" t="s">
        <v>15</v>
      </c>
    </row>
    <row r="3655" spans="1:13" x14ac:dyDescent="0.25">
      <c r="A3655">
        <v>3655</v>
      </c>
      <c r="B3655" t="s">
        <v>7321</v>
      </c>
      <c r="C3655" s="1">
        <v>37.467049944300001</v>
      </c>
      <c r="D3655" s="1">
        <v>-7.18419336941</v>
      </c>
      <c r="E3655" s="3">
        <v>3</v>
      </c>
      <c r="F3655" s="2">
        <v>4</v>
      </c>
      <c r="G3655" s="4">
        <v>4</v>
      </c>
      <c r="H3655" s="13"/>
      <c r="I3655" s="15"/>
      <c r="J3655" s="19">
        <v>4</v>
      </c>
      <c r="K3655" s="2" t="s">
        <v>7322</v>
      </c>
      <c r="L3655" s="11" t="str">
        <f t="shared" si="60"/>
        <v>Ver Imagen</v>
      </c>
      <c r="M3655" t="s">
        <v>15</v>
      </c>
    </row>
    <row r="3656" spans="1:13" x14ac:dyDescent="0.25">
      <c r="A3656">
        <v>3656</v>
      </c>
      <c r="B3656" t="s">
        <v>7323</v>
      </c>
      <c r="C3656" s="1">
        <v>37.452368833199998</v>
      </c>
      <c r="D3656" s="1">
        <v>-7.1117201009700004</v>
      </c>
      <c r="E3656" s="3">
        <v>4</v>
      </c>
      <c r="F3656" s="2">
        <v>5</v>
      </c>
      <c r="G3656" s="4">
        <v>4</v>
      </c>
      <c r="H3656" s="13"/>
      <c r="I3656" s="15"/>
      <c r="J3656" s="19">
        <v>4</v>
      </c>
      <c r="K3656" s="2" t="s">
        <v>7324</v>
      </c>
      <c r="L3656" s="11" t="str">
        <f t="shared" si="60"/>
        <v>Ver Imagen</v>
      </c>
      <c r="M3656" t="s">
        <v>15</v>
      </c>
    </row>
    <row r="3657" spans="1:13" x14ac:dyDescent="0.25">
      <c r="A3657">
        <v>3657</v>
      </c>
      <c r="B3657" t="s">
        <v>7325</v>
      </c>
      <c r="C3657" s="1">
        <v>37.274176864700003</v>
      </c>
      <c r="D3657" s="1">
        <v>-6.9913078776599997</v>
      </c>
      <c r="E3657" s="3">
        <v>3</v>
      </c>
      <c r="F3657" s="2">
        <v>4</v>
      </c>
      <c r="G3657" s="4">
        <v>4</v>
      </c>
      <c r="H3657" s="13"/>
      <c r="I3657" s="15"/>
      <c r="J3657" s="19">
        <v>4</v>
      </c>
      <c r="K3657" s="2" t="s">
        <v>7326</v>
      </c>
      <c r="L3657" s="11" t="str">
        <f t="shared" si="60"/>
        <v>Ver Imagen</v>
      </c>
      <c r="M3657" t="s">
        <v>15</v>
      </c>
    </row>
    <row r="3658" spans="1:13" x14ac:dyDescent="0.25">
      <c r="A3658">
        <v>3658</v>
      </c>
      <c r="B3658" t="s">
        <v>7327</v>
      </c>
      <c r="C3658" s="1">
        <v>37.277252683699999</v>
      </c>
      <c r="D3658" s="1">
        <v>-6.9919785708199997</v>
      </c>
      <c r="E3658" s="3">
        <v>3</v>
      </c>
      <c r="F3658" s="2">
        <v>4</v>
      </c>
      <c r="G3658" s="4">
        <v>4</v>
      </c>
      <c r="H3658" s="13"/>
      <c r="I3658" s="15"/>
      <c r="J3658" s="19">
        <v>4</v>
      </c>
      <c r="K3658" s="2" t="s">
        <v>7328</v>
      </c>
      <c r="L3658" s="11" t="str">
        <f t="shared" si="60"/>
        <v>Ver Imagen</v>
      </c>
      <c r="M3658" t="s">
        <v>15</v>
      </c>
    </row>
    <row r="3659" spans="1:13" x14ac:dyDescent="0.25">
      <c r="A3659">
        <v>3659</v>
      </c>
      <c r="B3659" t="s">
        <v>7329</v>
      </c>
      <c r="C3659" s="1">
        <v>37.277563394700003</v>
      </c>
      <c r="D3659" s="1">
        <v>-6.9922525897299996</v>
      </c>
      <c r="E3659" s="3">
        <v>4</v>
      </c>
      <c r="F3659" s="2">
        <v>4</v>
      </c>
      <c r="G3659" s="4">
        <v>3</v>
      </c>
      <c r="H3659" s="13"/>
      <c r="I3659" s="15"/>
      <c r="J3659" s="19">
        <v>4</v>
      </c>
      <c r="K3659" s="2" t="s">
        <v>7330</v>
      </c>
      <c r="L3659" s="11" t="str">
        <f t="shared" si="60"/>
        <v>Ver Imagen</v>
      </c>
      <c r="M3659" t="s">
        <v>15</v>
      </c>
    </row>
    <row r="3660" spans="1:13" x14ac:dyDescent="0.25">
      <c r="A3660">
        <v>3660</v>
      </c>
      <c r="B3660" t="s">
        <v>7331</v>
      </c>
      <c r="C3660" s="1">
        <v>37.2778885213</v>
      </c>
      <c r="D3660" s="1">
        <v>-6.9925555589800004</v>
      </c>
      <c r="E3660" s="3">
        <v>4</v>
      </c>
      <c r="F3660" s="2">
        <v>5</v>
      </c>
      <c r="G3660" s="4">
        <v>4</v>
      </c>
      <c r="H3660" s="13"/>
      <c r="I3660" s="15"/>
      <c r="J3660" s="19">
        <v>4</v>
      </c>
      <c r="K3660" s="2" t="s">
        <v>7332</v>
      </c>
      <c r="L3660" s="11" t="str">
        <f t="shared" si="60"/>
        <v>Ver Imagen</v>
      </c>
      <c r="M3660" t="s">
        <v>15</v>
      </c>
    </row>
    <row r="3661" spans="1:13" x14ac:dyDescent="0.25">
      <c r="A3661">
        <v>3661</v>
      </c>
      <c r="B3661" t="s">
        <v>7333</v>
      </c>
      <c r="C3661" s="1">
        <v>37.279891176699998</v>
      </c>
      <c r="D3661" s="1">
        <v>-6.99849943216</v>
      </c>
      <c r="E3661" s="3">
        <v>4</v>
      </c>
      <c r="F3661" s="2">
        <v>3</v>
      </c>
      <c r="G3661" s="4">
        <v>4</v>
      </c>
      <c r="H3661" s="13"/>
      <c r="I3661" s="15"/>
      <c r="J3661" s="19">
        <v>4</v>
      </c>
      <c r="K3661" s="2" t="s">
        <v>7334</v>
      </c>
      <c r="L3661" s="11" t="str">
        <f t="shared" si="60"/>
        <v>Ver Imagen</v>
      </c>
      <c r="M3661" t="s">
        <v>15</v>
      </c>
    </row>
    <row r="3662" spans="1:13" x14ac:dyDescent="0.25">
      <c r="A3662">
        <v>3662</v>
      </c>
      <c r="B3662" t="s">
        <v>7335</v>
      </c>
      <c r="C3662" s="1">
        <v>37.280271391500001</v>
      </c>
      <c r="D3662" s="1">
        <v>-6.9999970025799998</v>
      </c>
      <c r="E3662" s="3">
        <v>4</v>
      </c>
      <c r="F3662" s="2">
        <v>3</v>
      </c>
      <c r="G3662" s="4">
        <v>4</v>
      </c>
      <c r="H3662" s="13"/>
      <c r="I3662" s="15"/>
      <c r="J3662" s="19">
        <v>4</v>
      </c>
      <c r="K3662" s="2" t="s">
        <v>7336</v>
      </c>
      <c r="L3662" s="11" t="str">
        <f t="shared" si="60"/>
        <v>Ver Imagen</v>
      </c>
      <c r="M3662" t="s">
        <v>15</v>
      </c>
    </row>
    <row r="3663" spans="1:13" x14ac:dyDescent="0.25">
      <c r="A3663">
        <v>3663</v>
      </c>
      <c r="B3663" t="s">
        <v>7337</v>
      </c>
      <c r="C3663" s="1">
        <v>37.280451036300001</v>
      </c>
      <c r="D3663" s="1">
        <v>-7.0001381252600003</v>
      </c>
      <c r="E3663" s="3">
        <v>3</v>
      </c>
      <c r="F3663" s="2">
        <v>4</v>
      </c>
      <c r="G3663" s="4">
        <v>4</v>
      </c>
      <c r="H3663" s="13"/>
      <c r="I3663" s="15"/>
      <c r="J3663" s="19">
        <v>4</v>
      </c>
      <c r="K3663" s="2" t="s">
        <v>7338</v>
      </c>
      <c r="L3663" s="11" t="str">
        <f t="shared" si="60"/>
        <v>Ver Imagen</v>
      </c>
      <c r="M3663" t="s">
        <v>15</v>
      </c>
    </row>
    <row r="3664" spans="1:13" x14ac:dyDescent="0.25">
      <c r="A3664">
        <v>3664</v>
      </c>
      <c r="B3664" t="s">
        <v>7339</v>
      </c>
      <c r="C3664" s="1">
        <v>37.280523471499997</v>
      </c>
      <c r="D3664" s="1">
        <v>-7.0009184493900003</v>
      </c>
      <c r="E3664" s="3">
        <v>3</v>
      </c>
      <c r="F3664" s="2">
        <v>4</v>
      </c>
      <c r="G3664" s="4">
        <v>4</v>
      </c>
      <c r="H3664" s="13"/>
      <c r="I3664" s="15"/>
      <c r="J3664" s="19">
        <v>4</v>
      </c>
      <c r="K3664" s="2" t="s">
        <v>7340</v>
      </c>
      <c r="L3664" s="11" t="str">
        <f t="shared" si="60"/>
        <v>Ver Imagen</v>
      </c>
      <c r="M3664" t="s">
        <v>15</v>
      </c>
    </row>
    <row r="3665" spans="1:13" x14ac:dyDescent="0.25">
      <c r="A3665">
        <v>3665</v>
      </c>
      <c r="B3665" t="s">
        <v>7341</v>
      </c>
      <c r="C3665" s="1">
        <v>37.278188187399998</v>
      </c>
      <c r="D3665" s="1">
        <v>-7.0103825331599996</v>
      </c>
      <c r="E3665" s="3">
        <v>3</v>
      </c>
      <c r="F3665" s="2">
        <v>4</v>
      </c>
      <c r="G3665" s="4">
        <v>4</v>
      </c>
      <c r="H3665" s="13"/>
      <c r="I3665" s="15"/>
      <c r="J3665" s="19">
        <v>4</v>
      </c>
      <c r="K3665" s="2" t="s">
        <v>7342</v>
      </c>
      <c r="L3665" s="11" t="str">
        <f t="shared" si="60"/>
        <v>Ver Imagen</v>
      </c>
      <c r="M3665" t="s">
        <v>15</v>
      </c>
    </row>
    <row r="3666" spans="1:13" x14ac:dyDescent="0.25">
      <c r="A3666">
        <v>3666</v>
      </c>
      <c r="B3666" t="s">
        <v>7343</v>
      </c>
      <c r="C3666" s="1">
        <v>37.276816646999997</v>
      </c>
      <c r="D3666" s="1">
        <v>-7.0128893997899997</v>
      </c>
      <c r="E3666" s="3">
        <v>3</v>
      </c>
      <c r="F3666" s="2">
        <v>4</v>
      </c>
      <c r="G3666" s="4">
        <v>4</v>
      </c>
      <c r="H3666" s="13"/>
      <c r="I3666" s="15"/>
      <c r="J3666" s="19">
        <v>4</v>
      </c>
      <c r="K3666" s="2" t="s">
        <v>7344</v>
      </c>
      <c r="L3666" s="11" t="str">
        <f t="shared" si="60"/>
        <v>Ver Imagen</v>
      </c>
      <c r="M3666" t="s">
        <v>15</v>
      </c>
    </row>
    <row r="3667" spans="1:13" x14ac:dyDescent="0.25">
      <c r="A3667">
        <v>3667</v>
      </c>
      <c r="B3667" t="s">
        <v>7345</v>
      </c>
      <c r="C3667" s="1">
        <v>37.3193613742</v>
      </c>
      <c r="D3667" s="1">
        <v>-7.0714958904099996</v>
      </c>
      <c r="E3667" s="3">
        <v>3</v>
      </c>
      <c r="F3667" s="2">
        <v>4</v>
      </c>
      <c r="G3667" s="4">
        <v>4</v>
      </c>
      <c r="H3667" s="13"/>
      <c r="I3667" s="15"/>
      <c r="J3667" s="19">
        <v>4</v>
      </c>
      <c r="K3667" s="2" t="s">
        <v>7346</v>
      </c>
      <c r="L3667" s="11" t="str">
        <f t="shared" si="60"/>
        <v>Ver Imagen</v>
      </c>
      <c r="M3667" t="s">
        <v>15</v>
      </c>
    </row>
    <row r="3668" spans="1:13" x14ac:dyDescent="0.25">
      <c r="A3668">
        <v>3668</v>
      </c>
      <c r="B3668" t="s">
        <v>7347</v>
      </c>
      <c r="C3668" s="1">
        <v>37.455202889200002</v>
      </c>
      <c r="D3668" s="1">
        <v>-7.1132196971399999</v>
      </c>
      <c r="E3668" s="3">
        <v>4</v>
      </c>
      <c r="F3668" s="2">
        <v>4</v>
      </c>
      <c r="G3668" s="4">
        <v>5</v>
      </c>
      <c r="H3668" s="13"/>
      <c r="I3668" s="15"/>
      <c r="J3668" s="19">
        <v>4</v>
      </c>
      <c r="K3668" s="2" t="s">
        <v>7348</v>
      </c>
      <c r="L3668" s="11" t="str">
        <f t="shared" si="60"/>
        <v>Ver Imagen</v>
      </c>
      <c r="M3668" t="s">
        <v>15</v>
      </c>
    </row>
    <row r="3669" spans="1:13" x14ac:dyDescent="0.25">
      <c r="A3669">
        <v>3669</v>
      </c>
      <c r="B3669" t="s">
        <v>7349</v>
      </c>
      <c r="C3669" s="1">
        <v>37.450795676600002</v>
      </c>
      <c r="D3669" s="1">
        <v>-7.1106840226700001</v>
      </c>
      <c r="E3669" s="3">
        <v>4</v>
      </c>
      <c r="F3669" s="2">
        <v>5</v>
      </c>
      <c r="G3669" s="4">
        <v>4</v>
      </c>
      <c r="H3669" s="13"/>
      <c r="I3669" s="15"/>
      <c r="J3669" s="19">
        <v>4</v>
      </c>
      <c r="K3669" s="2" t="s">
        <v>7350</v>
      </c>
      <c r="L3669" s="11" t="str">
        <f t="shared" si="60"/>
        <v>Ver Imagen</v>
      </c>
      <c r="M3669" t="s">
        <v>15</v>
      </c>
    </row>
    <row r="3670" spans="1:13" x14ac:dyDescent="0.25">
      <c r="A3670">
        <v>3670</v>
      </c>
      <c r="B3670" t="s">
        <v>7351</v>
      </c>
      <c r="C3670" s="1">
        <v>37.450418470499997</v>
      </c>
      <c r="D3670" s="1">
        <v>-7.1105160635300004</v>
      </c>
      <c r="E3670" s="3">
        <v>4</v>
      </c>
      <c r="F3670" s="2">
        <v>3</v>
      </c>
      <c r="G3670" s="4">
        <v>4</v>
      </c>
      <c r="H3670" s="13"/>
      <c r="I3670" s="15"/>
      <c r="J3670" s="19">
        <v>4</v>
      </c>
      <c r="K3670" s="2" t="s">
        <v>7352</v>
      </c>
      <c r="L3670" s="11" t="str">
        <f t="shared" si="60"/>
        <v>Ver Imagen</v>
      </c>
      <c r="M3670" t="s">
        <v>15</v>
      </c>
    </row>
    <row r="3671" spans="1:13" x14ac:dyDescent="0.25">
      <c r="A3671">
        <v>3672</v>
      </c>
      <c r="B3671" t="s">
        <v>7353</v>
      </c>
      <c r="C3671" s="1">
        <v>37.267472411100002</v>
      </c>
      <c r="D3671" s="1">
        <v>-6.96177595187</v>
      </c>
      <c r="E3671" s="3">
        <v>4</v>
      </c>
      <c r="F3671" s="2">
        <v>3</v>
      </c>
      <c r="G3671" s="4">
        <v>4</v>
      </c>
      <c r="H3671" s="13"/>
      <c r="I3671" s="15"/>
      <c r="J3671" s="19">
        <v>4</v>
      </c>
      <c r="K3671" s="2" t="s">
        <v>7354</v>
      </c>
      <c r="L3671" s="11" t="str">
        <f t="shared" si="60"/>
        <v>Ver Imagen</v>
      </c>
      <c r="M3671" t="s">
        <v>15</v>
      </c>
    </row>
    <row r="3672" spans="1:13" x14ac:dyDescent="0.25">
      <c r="A3672">
        <v>3673</v>
      </c>
      <c r="B3672" t="s">
        <v>7355</v>
      </c>
      <c r="C3672" s="1">
        <v>37.266759030899998</v>
      </c>
      <c r="D3672" s="1">
        <v>-6.9581509289200003</v>
      </c>
      <c r="E3672" s="3">
        <v>3</v>
      </c>
      <c r="F3672" s="2">
        <v>4</v>
      </c>
      <c r="G3672" s="4">
        <v>4</v>
      </c>
      <c r="H3672" s="13"/>
      <c r="I3672" s="15"/>
      <c r="J3672" s="19">
        <v>4</v>
      </c>
      <c r="K3672" s="2" t="s">
        <v>7356</v>
      </c>
      <c r="L3672" s="11" t="str">
        <f t="shared" si="60"/>
        <v>Ver Imagen</v>
      </c>
      <c r="M3672" t="s">
        <v>15</v>
      </c>
    </row>
    <row r="3673" spans="1:13" x14ac:dyDescent="0.25">
      <c r="A3673">
        <v>3674</v>
      </c>
      <c r="B3673" t="s">
        <v>7357</v>
      </c>
      <c r="C3673" s="1">
        <v>37.202789570100002</v>
      </c>
      <c r="D3673" s="1">
        <v>-7.0150337916699996</v>
      </c>
      <c r="E3673" s="3">
        <v>3</v>
      </c>
      <c r="F3673" s="2">
        <v>4</v>
      </c>
      <c r="G3673" s="4">
        <v>4</v>
      </c>
      <c r="H3673" s="13"/>
      <c r="I3673" s="15"/>
      <c r="J3673" s="19">
        <v>4</v>
      </c>
      <c r="K3673" s="2" t="s">
        <v>7358</v>
      </c>
      <c r="L3673" s="11" t="str">
        <f t="shared" si="60"/>
        <v>Ver Imagen</v>
      </c>
      <c r="M3673" t="s">
        <v>15</v>
      </c>
    </row>
    <row r="3674" spans="1:13" x14ac:dyDescent="0.25">
      <c r="A3674">
        <v>3675</v>
      </c>
      <c r="B3674" t="s">
        <v>7359</v>
      </c>
      <c r="C3674" s="1">
        <v>37.2071010481</v>
      </c>
      <c r="D3674" s="1">
        <v>-7.0217337008199996</v>
      </c>
      <c r="E3674" s="3">
        <v>4</v>
      </c>
      <c r="F3674" s="2">
        <v>3</v>
      </c>
      <c r="G3674" s="4">
        <v>4</v>
      </c>
      <c r="H3674" s="13"/>
      <c r="I3674" s="15"/>
      <c r="J3674" s="19">
        <v>4</v>
      </c>
      <c r="K3674" s="2" t="s">
        <v>7360</v>
      </c>
      <c r="L3674" s="11" t="str">
        <f t="shared" si="60"/>
        <v>Ver Imagen</v>
      </c>
      <c r="M3674" t="s">
        <v>15</v>
      </c>
    </row>
    <row r="3675" spans="1:13" x14ac:dyDescent="0.25">
      <c r="A3675">
        <v>3676</v>
      </c>
      <c r="B3675" t="s">
        <v>7361</v>
      </c>
      <c r="C3675" s="1">
        <v>37.207436638799997</v>
      </c>
      <c r="D3675" s="1">
        <v>-7.0220961505000004</v>
      </c>
      <c r="E3675" s="3">
        <v>4</v>
      </c>
      <c r="F3675" s="2">
        <v>3</v>
      </c>
      <c r="G3675" s="4">
        <v>4</v>
      </c>
      <c r="H3675" s="13"/>
      <c r="I3675" s="15"/>
      <c r="J3675" s="19">
        <v>4</v>
      </c>
      <c r="K3675" s="2" t="s">
        <v>7362</v>
      </c>
      <c r="L3675" s="11" t="str">
        <f t="shared" si="60"/>
        <v>Ver Imagen</v>
      </c>
      <c r="M3675" t="s">
        <v>15</v>
      </c>
    </row>
    <row r="3676" spans="1:13" x14ac:dyDescent="0.25">
      <c r="A3676">
        <v>3677</v>
      </c>
      <c r="B3676" t="s">
        <v>7363</v>
      </c>
      <c r="C3676" s="1">
        <v>37.211124898100003</v>
      </c>
      <c r="D3676" s="1">
        <v>-7.0447727874600004</v>
      </c>
      <c r="E3676" s="3">
        <v>4</v>
      </c>
      <c r="F3676" s="2">
        <v>4</v>
      </c>
      <c r="G3676" s="4">
        <v>3</v>
      </c>
      <c r="H3676" s="13"/>
      <c r="I3676" s="15"/>
      <c r="J3676" s="19">
        <v>4</v>
      </c>
      <c r="K3676" s="2" t="s">
        <v>7364</v>
      </c>
      <c r="L3676" s="11" t="str">
        <f t="shared" si="60"/>
        <v>Ver Imagen</v>
      </c>
      <c r="M3676" t="s">
        <v>15</v>
      </c>
    </row>
    <row r="3677" spans="1:13" x14ac:dyDescent="0.25">
      <c r="A3677">
        <v>3678</v>
      </c>
      <c r="B3677" t="s">
        <v>7365</v>
      </c>
      <c r="C3677" s="1">
        <v>37.204468354100001</v>
      </c>
      <c r="D3677" s="1">
        <v>-7.0277888181100003</v>
      </c>
      <c r="E3677" s="3">
        <v>4</v>
      </c>
      <c r="F3677" s="2">
        <v>3</v>
      </c>
      <c r="G3677" s="4">
        <v>4</v>
      </c>
      <c r="H3677" s="13"/>
      <c r="I3677" s="15"/>
      <c r="J3677" s="19">
        <v>4</v>
      </c>
      <c r="K3677" s="2" t="s">
        <v>7366</v>
      </c>
      <c r="L3677" s="11" t="str">
        <f t="shared" si="60"/>
        <v>Ver Imagen</v>
      </c>
      <c r="M3677" t="s">
        <v>15</v>
      </c>
    </row>
    <row r="3678" spans="1:13" x14ac:dyDescent="0.25">
      <c r="A3678">
        <v>3679</v>
      </c>
      <c r="B3678" t="s">
        <v>7367</v>
      </c>
      <c r="C3678" s="1">
        <v>37.278620915600001</v>
      </c>
      <c r="D3678" s="1">
        <v>-7.1443271300699998</v>
      </c>
      <c r="E3678" s="3">
        <v>4</v>
      </c>
      <c r="F3678" s="2">
        <v>3</v>
      </c>
      <c r="G3678" s="4">
        <v>4</v>
      </c>
      <c r="H3678" s="13"/>
      <c r="I3678" s="15"/>
      <c r="J3678" s="19">
        <v>4</v>
      </c>
      <c r="K3678" s="2" t="s">
        <v>7368</v>
      </c>
      <c r="L3678" s="11" t="str">
        <f t="shared" si="60"/>
        <v>Ver Imagen</v>
      </c>
      <c r="M3678" t="s">
        <v>15</v>
      </c>
    </row>
    <row r="3679" spans="1:13" x14ac:dyDescent="0.25">
      <c r="A3679">
        <v>3680</v>
      </c>
      <c r="B3679" t="s">
        <v>7369</v>
      </c>
      <c r="C3679" s="1">
        <v>37.273707774499997</v>
      </c>
      <c r="D3679" s="1">
        <v>-7.1420991674599996</v>
      </c>
      <c r="E3679" s="3">
        <v>5</v>
      </c>
      <c r="F3679" s="2">
        <v>4</v>
      </c>
      <c r="G3679" s="4">
        <v>4</v>
      </c>
      <c r="H3679" s="13"/>
      <c r="I3679" s="15"/>
      <c r="J3679" s="19">
        <v>4</v>
      </c>
      <c r="K3679" s="2" t="s">
        <v>7370</v>
      </c>
      <c r="L3679" s="11" t="str">
        <f t="shared" si="60"/>
        <v>Ver Imagen</v>
      </c>
      <c r="M3679" t="s">
        <v>15</v>
      </c>
    </row>
    <row r="3680" spans="1:13" x14ac:dyDescent="0.25">
      <c r="A3680">
        <v>3681</v>
      </c>
      <c r="B3680" t="s">
        <v>7371</v>
      </c>
      <c r="C3680" s="1">
        <v>37.273329530399998</v>
      </c>
      <c r="D3680" s="1">
        <v>-7.1419357263299998</v>
      </c>
      <c r="E3680" s="3">
        <v>5</v>
      </c>
      <c r="F3680" s="2">
        <v>4</v>
      </c>
      <c r="G3680" s="4">
        <v>4</v>
      </c>
      <c r="H3680" s="13"/>
      <c r="I3680" s="15"/>
      <c r="J3680" s="19">
        <v>4</v>
      </c>
      <c r="K3680" s="2" t="s">
        <v>7372</v>
      </c>
      <c r="L3680" s="11" t="str">
        <f t="shared" ref="L3680:L3743" si="61">HYPERLINK("4\1\" &amp; K3680, "Ver Imagen")</f>
        <v>Ver Imagen</v>
      </c>
      <c r="M3680" t="s">
        <v>15</v>
      </c>
    </row>
    <row r="3681" spans="1:13" x14ac:dyDescent="0.25">
      <c r="A3681">
        <v>3682</v>
      </c>
      <c r="B3681" t="s">
        <v>7373</v>
      </c>
      <c r="C3681" s="1">
        <v>37.272770215000001</v>
      </c>
      <c r="D3681" s="1">
        <v>-7.1416587686500002</v>
      </c>
      <c r="E3681" s="3">
        <v>5</v>
      </c>
      <c r="F3681" s="2">
        <v>4</v>
      </c>
      <c r="G3681" s="4">
        <v>4</v>
      </c>
      <c r="H3681" s="13"/>
      <c r="I3681" s="15"/>
      <c r="J3681" s="19">
        <v>4</v>
      </c>
      <c r="K3681" s="2" t="s">
        <v>7374</v>
      </c>
      <c r="L3681" s="11" t="str">
        <f t="shared" si="61"/>
        <v>Ver Imagen</v>
      </c>
      <c r="M3681" t="s">
        <v>15</v>
      </c>
    </row>
    <row r="3682" spans="1:13" x14ac:dyDescent="0.25">
      <c r="A3682">
        <v>3683</v>
      </c>
      <c r="B3682" t="s">
        <v>7375</v>
      </c>
      <c r="C3682" s="1">
        <v>37.270158966700002</v>
      </c>
      <c r="D3682" s="1">
        <v>-7.13969102151</v>
      </c>
      <c r="E3682" s="3">
        <v>4</v>
      </c>
      <c r="F3682" s="2">
        <v>3</v>
      </c>
      <c r="G3682" s="4">
        <v>4</v>
      </c>
      <c r="H3682" s="13"/>
      <c r="I3682" s="15"/>
      <c r="J3682" s="19">
        <v>4</v>
      </c>
      <c r="K3682" s="2" t="s">
        <v>7376</v>
      </c>
      <c r="L3682" s="11" t="str">
        <f t="shared" si="61"/>
        <v>Ver Imagen</v>
      </c>
      <c r="M3682" t="s">
        <v>15</v>
      </c>
    </row>
    <row r="3683" spans="1:13" x14ac:dyDescent="0.25">
      <c r="A3683">
        <v>3684</v>
      </c>
      <c r="B3683" t="s">
        <v>7377</v>
      </c>
      <c r="C3683" s="1">
        <v>37.269990672600002</v>
      </c>
      <c r="D3683" s="1">
        <v>-7.1395727130599997</v>
      </c>
      <c r="E3683" s="3">
        <v>4</v>
      </c>
      <c r="F3683" s="2">
        <v>3</v>
      </c>
      <c r="G3683" s="4">
        <v>4</v>
      </c>
      <c r="H3683" s="13"/>
      <c r="I3683" s="15"/>
      <c r="J3683" s="19">
        <v>4</v>
      </c>
      <c r="K3683" s="2" t="s">
        <v>7378</v>
      </c>
      <c r="L3683" s="11" t="str">
        <f t="shared" si="61"/>
        <v>Ver Imagen</v>
      </c>
      <c r="M3683" t="s">
        <v>15</v>
      </c>
    </row>
    <row r="3684" spans="1:13" x14ac:dyDescent="0.25">
      <c r="A3684">
        <v>3685</v>
      </c>
      <c r="B3684" t="s">
        <v>7379</v>
      </c>
      <c r="C3684" s="1">
        <v>37.2687942341</v>
      </c>
      <c r="D3684" s="1">
        <v>-7.1379424055199996</v>
      </c>
      <c r="E3684" s="3">
        <v>4</v>
      </c>
      <c r="F3684" s="2">
        <v>3</v>
      </c>
      <c r="G3684" s="4">
        <v>4</v>
      </c>
      <c r="H3684" s="13"/>
      <c r="I3684" s="15"/>
      <c r="J3684" s="19">
        <v>4</v>
      </c>
      <c r="K3684" s="2" t="s">
        <v>7380</v>
      </c>
      <c r="L3684" s="11" t="str">
        <f t="shared" si="61"/>
        <v>Ver Imagen</v>
      </c>
      <c r="M3684" t="s">
        <v>15</v>
      </c>
    </row>
    <row r="3685" spans="1:13" x14ac:dyDescent="0.25">
      <c r="A3685">
        <v>3686</v>
      </c>
      <c r="B3685" t="s">
        <v>7381</v>
      </c>
      <c r="C3685" s="1">
        <v>37.268717873299998</v>
      </c>
      <c r="D3685" s="1">
        <v>-7.1376879682199998</v>
      </c>
      <c r="E3685" s="3">
        <v>5</v>
      </c>
      <c r="F3685" s="2">
        <v>4</v>
      </c>
      <c r="G3685" s="4">
        <v>4</v>
      </c>
      <c r="H3685" s="13"/>
      <c r="I3685" s="15"/>
      <c r="J3685" s="19">
        <v>4</v>
      </c>
      <c r="K3685" s="2" t="s">
        <v>7382</v>
      </c>
      <c r="L3685" s="11" t="str">
        <f t="shared" si="61"/>
        <v>Ver Imagen</v>
      </c>
      <c r="M3685" t="s">
        <v>15</v>
      </c>
    </row>
    <row r="3686" spans="1:13" x14ac:dyDescent="0.25">
      <c r="A3686">
        <v>3687</v>
      </c>
      <c r="B3686" t="s">
        <v>7383</v>
      </c>
      <c r="C3686" s="1">
        <v>37.268652094499998</v>
      </c>
      <c r="D3686" s="1">
        <v>-7.1374250132499997</v>
      </c>
      <c r="E3686" s="3">
        <v>5</v>
      </c>
      <c r="F3686" s="2">
        <v>4</v>
      </c>
      <c r="G3686" s="4">
        <v>4</v>
      </c>
      <c r="H3686" s="13"/>
      <c r="I3686" s="15"/>
      <c r="J3686" s="19">
        <v>4</v>
      </c>
      <c r="K3686" s="2" t="s">
        <v>7384</v>
      </c>
      <c r="L3686" s="11" t="str">
        <f t="shared" si="61"/>
        <v>Ver Imagen</v>
      </c>
      <c r="M3686" t="s">
        <v>15</v>
      </c>
    </row>
    <row r="3687" spans="1:13" x14ac:dyDescent="0.25">
      <c r="A3687">
        <v>3688</v>
      </c>
      <c r="B3687" t="s">
        <v>7385</v>
      </c>
      <c r="C3687" s="1">
        <v>37.267843907299998</v>
      </c>
      <c r="D3687" s="1">
        <v>-7.1345781613900003</v>
      </c>
      <c r="E3687" s="3">
        <v>5</v>
      </c>
      <c r="F3687" s="2">
        <v>4</v>
      </c>
      <c r="G3687" s="4">
        <v>4</v>
      </c>
      <c r="H3687" s="13"/>
      <c r="I3687" s="15"/>
      <c r="J3687" s="19">
        <v>4</v>
      </c>
      <c r="K3687" s="2" t="s">
        <v>7386</v>
      </c>
      <c r="L3687" s="11" t="str">
        <f t="shared" si="61"/>
        <v>Ver Imagen</v>
      </c>
      <c r="M3687" t="s">
        <v>15</v>
      </c>
    </row>
    <row r="3688" spans="1:13" x14ac:dyDescent="0.25">
      <c r="A3688">
        <v>3689</v>
      </c>
      <c r="B3688" t="s">
        <v>7387</v>
      </c>
      <c r="C3688" s="1">
        <v>37.264473872300002</v>
      </c>
      <c r="D3688" s="1">
        <v>-7.1318905156000003</v>
      </c>
      <c r="E3688" s="3">
        <v>5</v>
      </c>
      <c r="F3688" s="2">
        <v>4</v>
      </c>
      <c r="G3688" s="4">
        <v>4</v>
      </c>
      <c r="H3688" s="13"/>
      <c r="I3688" s="15"/>
      <c r="J3688" s="19">
        <v>4</v>
      </c>
      <c r="K3688" s="2" t="s">
        <v>7388</v>
      </c>
      <c r="L3688" s="11" t="str">
        <f t="shared" si="61"/>
        <v>Ver Imagen</v>
      </c>
      <c r="M3688" t="s">
        <v>15</v>
      </c>
    </row>
    <row r="3689" spans="1:13" x14ac:dyDescent="0.25">
      <c r="A3689">
        <v>3690</v>
      </c>
      <c r="B3689" t="s">
        <v>7389</v>
      </c>
      <c r="C3689" s="1">
        <v>37.262314653799997</v>
      </c>
      <c r="D3689" s="1">
        <v>-7.1305394585900004</v>
      </c>
      <c r="E3689" s="3">
        <v>5</v>
      </c>
      <c r="F3689" s="2">
        <v>4</v>
      </c>
      <c r="G3689" s="4">
        <v>4</v>
      </c>
      <c r="H3689" s="13"/>
      <c r="I3689" s="15"/>
      <c r="J3689" s="19">
        <v>4</v>
      </c>
      <c r="K3689" s="2" t="s">
        <v>7390</v>
      </c>
      <c r="L3689" s="11" t="str">
        <f t="shared" si="61"/>
        <v>Ver Imagen</v>
      </c>
      <c r="M3689" t="s">
        <v>15</v>
      </c>
    </row>
    <row r="3690" spans="1:13" x14ac:dyDescent="0.25">
      <c r="A3690">
        <v>3691</v>
      </c>
      <c r="B3690" t="s">
        <v>7391</v>
      </c>
      <c r="C3690" s="1">
        <v>37.227665786499998</v>
      </c>
      <c r="D3690" s="1">
        <v>-7.1265803303300004</v>
      </c>
      <c r="E3690" s="3">
        <v>4</v>
      </c>
      <c r="F3690" s="2">
        <v>3</v>
      </c>
      <c r="G3690" s="4">
        <v>4</v>
      </c>
      <c r="H3690" s="13"/>
      <c r="I3690" s="15"/>
      <c r="J3690" s="19">
        <v>4</v>
      </c>
      <c r="K3690" s="2" t="s">
        <v>7392</v>
      </c>
      <c r="L3690" s="11" t="str">
        <f t="shared" si="61"/>
        <v>Ver Imagen</v>
      </c>
      <c r="M3690" t="s">
        <v>15</v>
      </c>
    </row>
    <row r="3691" spans="1:13" x14ac:dyDescent="0.25">
      <c r="A3691">
        <v>3692</v>
      </c>
      <c r="B3691" t="s">
        <v>7393</v>
      </c>
      <c r="C3691" s="1">
        <v>37.4402433745</v>
      </c>
      <c r="D3691" s="1">
        <v>-7.0881555519599999</v>
      </c>
      <c r="E3691" s="3">
        <v>4</v>
      </c>
      <c r="F3691" s="2">
        <v>3</v>
      </c>
      <c r="G3691" s="4">
        <v>4</v>
      </c>
      <c r="H3691" s="13"/>
      <c r="I3691" s="15"/>
      <c r="J3691" s="19">
        <v>4</v>
      </c>
      <c r="K3691" s="2" t="s">
        <v>7394</v>
      </c>
      <c r="L3691" s="11" t="str">
        <f t="shared" si="61"/>
        <v>Ver Imagen</v>
      </c>
      <c r="M3691" t="s">
        <v>15</v>
      </c>
    </row>
    <row r="3692" spans="1:13" x14ac:dyDescent="0.25">
      <c r="A3692">
        <v>3693</v>
      </c>
      <c r="B3692" t="s">
        <v>7395</v>
      </c>
      <c r="C3692" s="1">
        <v>37.439820326700001</v>
      </c>
      <c r="D3692" s="1">
        <v>-7.08728118302</v>
      </c>
      <c r="E3692" s="3">
        <v>4</v>
      </c>
      <c r="F3692" s="2">
        <v>3</v>
      </c>
      <c r="G3692" s="4">
        <v>4</v>
      </c>
      <c r="H3692" s="13"/>
      <c r="I3692" s="15"/>
      <c r="J3692" s="19">
        <v>4</v>
      </c>
      <c r="K3692" s="2" t="s">
        <v>7396</v>
      </c>
      <c r="L3692" s="11" t="str">
        <f t="shared" si="61"/>
        <v>Ver Imagen</v>
      </c>
      <c r="M3692" t="s">
        <v>15</v>
      </c>
    </row>
    <row r="3693" spans="1:13" x14ac:dyDescent="0.25">
      <c r="A3693">
        <v>3694</v>
      </c>
      <c r="B3693" t="s">
        <v>7397</v>
      </c>
      <c r="C3693" s="1">
        <v>37.437917059199997</v>
      </c>
      <c r="D3693" s="1">
        <v>-7.0824749534700002</v>
      </c>
      <c r="E3693" s="3">
        <v>4</v>
      </c>
      <c r="F3693" s="2">
        <v>3</v>
      </c>
      <c r="G3693" s="4">
        <v>4</v>
      </c>
      <c r="H3693" s="13"/>
      <c r="I3693" s="15"/>
      <c r="J3693" s="19">
        <v>4</v>
      </c>
      <c r="K3693" s="2" t="s">
        <v>7398</v>
      </c>
      <c r="L3693" s="11" t="str">
        <f t="shared" si="61"/>
        <v>Ver Imagen</v>
      </c>
      <c r="M3693" t="s">
        <v>15</v>
      </c>
    </row>
    <row r="3694" spans="1:13" x14ac:dyDescent="0.25">
      <c r="A3694">
        <v>3695</v>
      </c>
      <c r="B3694" t="s">
        <v>7399</v>
      </c>
      <c r="C3694" s="1">
        <v>37.4373648897</v>
      </c>
      <c r="D3694" s="1">
        <v>-7.0809226814399997</v>
      </c>
      <c r="E3694" s="3">
        <v>4</v>
      </c>
      <c r="F3694" s="2">
        <v>3</v>
      </c>
      <c r="G3694" s="4">
        <v>4</v>
      </c>
      <c r="H3694" s="13"/>
      <c r="I3694" s="15"/>
      <c r="J3694" s="19">
        <v>4</v>
      </c>
      <c r="K3694" s="2" t="s">
        <v>7400</v>
      </c>
      <c r="L3694" s="11" t="str">
        <f t="shared" si="61"/>
        <v>Ver Imagen</v>
      </c>
      <c r="M3694" t="s">
        <v>15</v>
      </c>
    </row>
    <row r="3695" spans="1:13" x14ac:dyDescent="0.25">
      <c r="A3695">
        <v>3696</v>
      </c>
      <c r="B3695" t="s">
        <v>7401</v>
      </c>
      <c r="C3695" s="1">
        <v>37.435520323399999</v>
      </c>
      <c r="D3695" s="1">
        <v>-7.0742930822799996</v>
      </c>
      <c r="E3695" s="3">
        <v>4</v>
      </c>
      <c r="F3695" s="2">
        <v>4</v>
      </c>
      <c r="G3695" s="4">
        <v>5</v>
      </c>
      <c r="H3695" s="13"/>
      <c r="I3695" s="15"/>
      <c r="J3695" s="19">
        <v>4</v>
      </c>
      <c r="K3695" s="2" t="s">
        <v>7402</v>
      </c>
      <c r="L3695" s="11" t="str">
        <f t="shared" si="61"/>
        <v>Ver Imagen</v>
      </c>
      <c r="M3695" t="s">
        <v>15</v>
      </c>
    </row>
    <row r="3696" spans="1:13" x14ac:dyDescent="0.25">
      <c r="A3696">
        <v>3697</v>
      </c>
      <c r="B3696" t="s">
        <v>7403</v>
      </c>
      <c r="C3696" s="1">
        <v>37.4352432827</v>
      </c>
      <c r="D3696" s="1">
        <v>-7.0712409685299997</v>
      </c>
      <c r="E3696" s="3">
        <v>4</v>
      </c>
      <c r="F3696" s="2">
        <v>3</v>
      </c>
      <c r="G3696" s="4">
        <v>4</v>
      </c>
      <c r="H3696" s="13"/>
      <c r="I3696" s="15"/>
      <c r="J3696" s="19">
        <v>4</v>
      </c>
      <c r="K3696" s="2" t="s">
        <v>7404</v>
      </c>
      <c r="L3696" s="11" t="str">
        <f t="shared" si="61"/>
        <v>Ver Imagen</v>
      </c>
      <c r="M3696" t="s">
        <v>15</v>
      </c>
    </row>
    <row r="3697" spans="1:13" x14ac:dyDescent="0.25">
      <c r="A3697">
        <v>3698</v>
      </c>
      <c r="B3697" t="s">
        <v>7405</v>
      </c>
      <c r="C3697" s="1">
        <v>37.233847903799997</v>
      </c>
      <c r="D3697" s="1">
        <v>-7.0660532953599997</v>
      </c>
      <c r="E3697" s="3">
        <v>4</v>
      </c>
      <c r="F3697" s="2">
        <v>3</v>
      </c>
      <c r="G3697" s="4">
        <v>4</v>
      </c>
      <c r="H3697" s="13"/>
      <c r="I3697" s="15"/>
      <c r="J3697" s="19">
        <v>4</v>
      </c>
      <c r="K3697" s="2" t="s">
        <v>7406</v>
      </c>
      <c r="L3697" s="11" t="str">
        <f t="shared" si="61"/>
        <v>Ver Imagen</v>
      </c>
      <c r="M3697" t="s">
        <v>15</v>
      </c>
    </row>
    <row r="3698" spans="1:13" x14ac:dyDescent="0.25">
      <c r="A3698">
        <v>3699</v>
      </c>
      <c r="B3698" t="s">
        <v>7407</v>
      </c>
      <c r="C3698" s="1">
        <v>37.233872882999997</v>
      </c>
      <c r="D3698" s="1">
        <v>-7.0662768040600001</v>
      </c>
      <c r="E3698" s="3">
        <v>4</v>
      </c>
      <c r="F3698" s="2">
        <v>3</v>
      </c>
      <c r="G3698" s="4">
        <v>4</v>
      </c>
      <c r="H3698" s="13"/>
      <c r="I3698" s="15"/>
      <c r="J3698" s="19">
        <v>4</v>
      </c>
      <c r="K3698" s="2" t="s">
        <v>7408</v>
      </c>
      <c r="L3698" s="11" t="str">
        <f t="shared" si="61"/>
        <v>Ver Imagen</v>
      </c>
      <c r="M3698" t="s">
        <v>15</v>
      </c>
    </row>
    <row r="3699" spans="1:13" x14ac:dyDescent="0.25">
      <c r="A3699">
        <v>3700</v>
      </c>
      <c r="B3699" t="s">
        <v>7409</v>
      </c>
      <c r="C3699" s="1">
        <v>37.233920345400001</v>
      </c>
      <c r="D3699" s="1">
        <v>-7.0664539740899999</v>
      </c>
      <c r="E3699" s="3">
        <v>4</v>
      </c>
      <c r="F3699" s="2">
        <v>3</v>
      </c>
      <c r="G3699" s="4">
        <v>4</v>
      </c>
      <c r="H3699" s="13"/>
      <c r="I3699" s="15"/>
      <c r="J3699" s="19">
        <v>4</v>
      </c>
      <c r="K3699" s="2" t="s">
        <v>7410</v>
      </c>
      <c r="L3699" s="11" t="str">
        <f t="shared" si="61"/>
        <v>Ver Imagen</v>
      </c>
      <c r="M3699" t="s">
        <v>15</v>
      </c>
    </row>
    <row r="3700" spans="1:13" x14ac:dyDescent="0.25">
      <c r="A3700">
        <v>3701</v>
      </c>
      <c r="B3700" t="s">
        <v>7411</v>
      </c>
      <c r="C3700" s="1">
        <v>37.233877761899997</v>
      </c>
      <c r="D3700" s="1">
        <v>-7.0666647479</v>
      </c>
      <c r="E3700" s="3">
        <v>4</v>
      </c>
      <c r="F3700" s="2">
        <v>3</v>
      </c>
      <c r="G3700" s="4">
        <v>4</v>
      </c>
      <c r="H3700" s="13"/>
      <c r="I3700" s="15"/>
      <c r="J3700" s="19">
        <v>4</v>
      </c>
      <c r="K3700" s="2" t="s">
        <v>7412</v>
      </c>
      <c r="L3700" s="11" t="str">
        <f t="shared" si="61"/>
        <v>Ver Imagen</v>
      </c>
      <c r="M3700" t="s">
        <v>15</v>
      </c>
    </row>
    <row r="3701" spans="1:13" x14ac:dyDescent="0.25">
      <c r="A3701">
        <v>3702</v>
      </c>
      <c r="B3701" t="s">
        <v>7413</v>
      </c>
      <c r="C3701" s="1">
        <v>37.235159558399999</v>
      </c>
      <c r="D3701" s="1">
        <v>-7.0732964249799997</v>
      </c>
      <c r="E3701" s="3">
        <v>4</v>
      </c>
      <c r="F3701" s="2">
        <v>3</v>
      </c>
      <c r="G3701" s="4">
        <v>4</v>
      </c>
      <c r="H3701" s="13"/>
      <c r="I3701" s="15"/>
      <c r="J3701" s="19">
        <v>4</v>
      </c>
      <c r="K3701" s="2" t="s">
        <v>7414</v>
      </c>
      <c r="L3701" s="11" t="str">
        <f t="shared" si="61"/>
        <v>Ver Imagen</v>
      </c>
      <c r="M3701" t="s">
        <v>15</v>
      </c>
    </row>
    <row r="3702" spans="1:13" x14ac:dyDescent="0.25">
      <c r="A3702">
        <v>3703</v>
      </c>
      <c r="B3702" t="s">
        <v>7415</v>
      </c>
      <c r="C3702" s="1">
        <v>37.235759551000001</v>
      </c>
      <c r="D3702" s="1">
        <v>-7.0743751913499997</v>
      </c>
      <c r="E3702" s="3">
        <v>4</v>
      </c>
      <c r="F3702" s="2">
        <v>3</v>
      </c>
      <c r="G3702" s="4">
        <v>4</v>
      </c>
      <c r="H3702" s="13"/>
      <c r="I3702" s="15"/>
      <c r="J3702" s="19">
        <v>4</v>
      </c>
      <c r="K3702" s="2" t="s">
        <v>7416</v>
      </c>
      <c r="L3702" s="11" t="str">
        <f t="shared" si="61"/>
        <v>Ver Imagen</v>
      </c>
      <c r="M3702" t="s">
        <v>15</v>
      </c>
    </row>
    <row r="3703" spans="1:13" x14ac:dyDescent="0.25">
      <c r="A3703">
        <v>3704</v>
      </c>
      <c r="B3703" t="s">
        <v>7417</v>
      </c>
      <c r="C3703" s="1">
        <v>37.236211243600003</v>
      </c>
      <c r="D3703" s="1">
        <v>-7.0751808886800003</v>
      </c>
      <c r="E3703" s="3">
        <v>4</v>
      </c>
      <c r="F3703" s="2">
        <v>3</v>
      </c>
      <c r="G3703" s="4">
        <v>4</v>
      </c>
      <c r="H3703" s="13"/>
      <c r="I3703" s="15"/>
      <c r="J3703" s="19">
        <v>4</v>
      </c>
      <c r="K3703" s="2" t="s">
        <v>7418</v>
      </c>
      <c r="L3703" s="11" t="str">
        <f t="shared" si="61"/>
        <v>Ver Imagen</v>
      </c>
      <c r="M3703" t="s">
        <v>15</v>
      </c>
    </row>
    <row r="3704" spans="1:13" x14ac:dyDescent="0.25">
      <c r="A3704">
        <v>3705</v>
      </c>
      <c r="B3704" t="s">
        <v>7419</v>
      </c>
      <c r="C3704" s="1">
        <v>37.237028753899999</v>
      </c>
      <c r="D3704" s="1">
        <v>-7.0766445714800001</v>
      </c>
      <c r="E3704" s="3">
        <v>4</v>
      </c>
      <c r="F3704" s="2">
        <v>3</v>
      </c>
      <c r="G3704" s="4">
        <v>4</v>
      </c>
      <c r="H3704" s="13"/>
      <c r="I3704" s="15"/>
      <c r="J3704" s="19">
        <v>4</v>
      </c>
      <c r="K3704" s="2" t="s">
        <v>7420</v>
      </c>
      <c r="L3704" s="11" t="str">
        <f t="shared" si="61"/>
        <v>Ver Imagen</v>
      </c>
      <c r="M3704" t="s">
        <v>15</v>
      </c>
    </row>
    <row r="3705" spans="1:13" x14ac:dyDescent="0.25">
      <c r="A3705">
        <v>3706</v>
      </c>
      <c r="B3705" t="s">
        <v>7421</v>
      </c>
      <c r="C3705" s="1">
        <v>37.242960300900002</v>
      </c>
      <c r="D3705" s="1">
        <v>-7.0876689519699996</v>
      </c>
      <c r="E3705" s="3">
        <v>4</v>
      </c>
      <c r="F3705" s="2">
        <v>3</v>
      </c>
      <c r="G3705" s="4">
        <v>4</v>
      </c>
      <c r="H3705" s="13"/>
      <c r="I3705" s="15"/>
      <c r="J3705" s="19">
        <v>4</v>
      </c>
      <c r="K3705" s="2" t="s">
        <v>7422</v>
      </c>
      <c r="L3705" s="11" t="str">
        <f t="shared" si="61"/>
        <v>Ver Imagen</v>
      </c>
      <c r="M3705" t="s">
        <v>15</v>
      </c>
    </row>
    <row r="3706" spans="1:13" x14ac:dyDescent="0.25">
      <c r="A3706">
        <v>3707</v>
      </c>
      <c r="B3706" t="s">
        <v>7423</v>
      </c>
      <c r="C3706" s="1">
        <v>37.243414279900001</v>
      </c>
      <c r="D3706" s="1">
        <v>-7.0888017165999999</v>
      </c>
      <c r="E3706" s="3">
        <v>4</v>
      </c>
      <c r="F3706" s="2">
        <v>3</v>
      </c>
      <c r="G3706" s="4">
        <v>4</v>
      </c>
      <c r="H3706" s="13"/>
      <c r="I3706" s="15"/>
      <c r="J3706" s="19">
        <v>4</v>
      </c>
      <c r="K3706" s="2" t="s">
        <v>7424</v>
      </c>
      <c r="L3706" s="11" t="str">
        <f t="shared" si="61"/>
        <v>Ver Imagen</v>
      </c>
      <c r="M3706" t="s">
        <v>15</v>
      </c>
    </row>
    <row r="3707" spans="1:13" x14ac:dyDescent="0.25">
      <c r="A3707">
        <v>3708</v>
      </c>
      <c r="B3707" t="s">
        <v>7425</v>
      </c>
      <c r="C3707" s="1">
        <v>37.2438328629</v>
      </c>
      <c r="D3707" s="1">
        <v>-7.0896328993899997</v>
      </c>
      <c r="E3707" s="3">
        <v>4</v>
      </c>
      <c r="F3707" s="2">
        <v>3</v>
      </c>
      <c r="G3707" s="4">
        <v>4</v>
      </c>
      <c r="H3707" s="13"/>
      <c r="I3707" s="15"/>
      <c r="J3707" s="19">
        <v>4</v>
      </c>
      <c r="K3707" s="2" t="s">
        <v>7426</v>
      </c>
      <c r="L3707" s="11" t="str">
        <f t="shared" si="61"/>
        <v>Ver Imagen</v>
      </c>
      <c r="M3707" t="s">
        <v>15</v>
      </c>
    </row>
    <row r="3708" spans="1:13" x14ac:dyDescent="0.25">
      <c r="A3708">
        <v>3709</v>
      </c>
      <c r="B3708" t="s">
        <v>7427</v>
      </c>
      <c r="C3708" s="1">
        <v>37.244052946799997</v>
      </c>
      <c r="D3708" s="1">
        <v>-7.0900697531199999</v>
      </c>
      <c r="E3708" s="3">
        <v>4</v>
      </c>
      <c r="F3708" s="2">
        <v>3</v>
      </c>
      <c r="G3708" s="4">
        <v>4</v>
      </c>
      <c r="H3708" s="13"/>
      <c r="I3708" s="15"/>
      <c r="J3708" s="19">
        <v>4</v>
      </c>
      <c r="K3708" s="2" t="s">
        <v>7428</v>
      </c>
      <c r="L3708" s="11" t="str">
        <f t="shared" si="61"/>
        <v>Ver Imagen</v>
      </c>
      <c r="M3708" t="s">
        <v>15</v>
      </c>
    </row>
    <row r="3709" spans="1:13" x14ac:dyDescent="0.25">
      <c r="A3709">
        <v>3710</v>
      </c>
      <c r="B3709" t="s">
        <v>7429</v>
      </c>
      <c r="C3709" s="1">
        <v>37.244160561800001</v>
      </c>
      <c r="D3709" s="1">
        <v>-7.0902849570199997</v>
      </c>
      <c r="E3709" s="3">
        <v>4</v>
      </c>
      <c r="F3709" s="2">
        <v>3</v>
      </c>
      <c r="G3709" s="4">
        <v>4</v>
      </c>
      <c r="H3709" s="13"/>
      <c r="I3709" s="15"/>
      <c r="J3709" s="19">
        <v>4</v>
      </c>
      <c r="K3709" s="2" t="s">
        <v>7430</v>
      </c>
      <c r="L3709" s="11" t="str">
        <f t="shared" si="61"/>
        <v>Ver Imagen</v>
      </c>
      <c r="M3709" t="s">
        <v>15</v>
      </c>
    </row>
    <row r="3710" spans="1:13" x14ac:dyDescent="0.25">
      <c r="A3710">
        <v>3711</v>
      </c>
      <c r="B3710" t="s">
        <v>7431</v>
      </c>
      <c r="C3710" s="1">
        <v>37.244268552500003</v>
      </c>
      <c r="D3710" s="1">
        <v>-7.09049949022</v>
      </c>
      <c r="E3710" s="3">
        <v>4</v>
      </c>
      <c r="F3710" s="2">
        <v>3</v>
      </c>
      <c r="G3710" s="4">
        <v>4</v>
      </c>
      <c r="H3710" s="13"/>
      <c r="I3710" s="15"/>
      <c r="J3710" s="19">
        <v>4</v>
      </c>
      <c r="K3710" s="2" t="s">
        <v>7432</v>
      </c>
      <c r="L3710" s="11" t="str">
        <f t="shared" si="61"/>
        <v>Ver Imagen</v>
      </c>
      <c r="M3710" t="s">
        <v>15</v>
      </c>
    </row>
    <row r="3711" spans="1:13" x14ac:dyDescent="0.25">
      <c r="A3711">
        <v>3712</v>
      </c>
      <c r="B3711" t="s">
        <v>7433</v>
      </c>
      <c r="C3711" s="1">
        <v>37.2443754496</v>
      </c>
      <c r="D3711" s="1">
        <v>-7.0907129376200002</v>
      </c>
      <c r="E3711" s="3">
        <v>4</v>
      </c>
      <c r="F3711" s="2">
        <v>3</v>
      </c>
      <c r="G3711" s="4">
        <v>4</v>
      </c>
      <c r="H3711" s="13"/>
      <c r="I3711" s="15"/>
      <c r="J3711" s="19">
        <v>4</v>
      </c>
      <c r="K3711" s="2" t="s">
        <v>7434</v>
      </c>
      <c r="L3711" s="11" t="str">
        <f t="shared" si="61"/>
        <v>Ver Imagen</v>
      </c>
      <c r="M3711" t="s">
        <v>15</v>
      </c>
    </row>
    <row r="3712" spans="1:13" x14ac:dyDescent="0.25">
      <c r="A3712">
        <v>3713</v>
      </c>
      <c r="B3712" t="s">
        <v>7435</v>
      </c>
      <c r="C3712" s="1">
        <v>37.244699470199997</v>
      </c>
      <c r="D3712" s="1">
        <v>-7.0913528107500001</v>
      </c>
      <c r="E3712" s="3">
        <v>4</v>
      </c>
      <c r="F3712" s="2">
        <v>3</v>
      </c>
      <c r="G3712" s="4">
        <v>4</v>
      </c>
      <c r="H3712" s="13"/>
      <c r="I3712" s="15"/>
      <c r="J3712" s="19">
        <v>4</v>
      </c>
      <c r="K3712" s="2" t="s">
        <v>7436</v>
      </c>
      <c r="L3712" s="11" t="str">
        <f t="shared" si="61"/>
        <v>Ver Imagen</v>
      </c>
      <c r="M3712" t="s">
        <v>15</v>
      </c>
    </row>
    <row r="3713" spans="1:13" x14ac:dyDescent="0.25">
      <c r="A3713">
        <v>3714</v>
      </c>
      <c r="B3713" t="s">
        <v>7437</v>
      </c>
      <c r="C3713" s="1">
        <v>37.245180878699998</v>
      </c>
      <c r="D3713" s="1">
        <v>-7.0924641901300003</v>
      </c>
      <c r="E3713" s="3">
        <v>4</v>
      </c>
      <c r="F3713" s="2">
        <v>3</v>
      </c>
      <c r="G3713" s="4">
        <v>4</v>
      </c>
      <c r="H3713" s="13"/>
      <c r="I3713" s="15"/>
      <c r="J3713" s="19">
        <v>4</v>
      </c>
      <c r="K3713" s="2" t="s">
        <v>7438</v>
      </c>
      <c r="L3713" s="11" t="str">
        <f t="shared" si="61"/>
        <v>Ver Imagen</v>
      </c>
      <c r="M3713" t="s">
        <v>15</v>
      </c>
    </row>
    <row r="3714" spans="1:13" x14ac:dyDescent="0.25">
      <c r="A3714">
        <v>3715</v>
      </c>
      <c r="B3714" t="s">
        <v>7439</v>
      </c>
      <c r="C3714" s="1">
        <v>37.245406704099999</v>
      </c>
      <c r="D3714" s="1">
        <v>-7.0937097192499996</v>
      </c>
      <c r="E3714" s="3">
        <v>4</v>
      </c>
      <c r="F3714" s="2">
        <v>3</v>
      </c>
      <c r="G3714" s="4">
        <v>4</v>
      </c>
      <c r="H3714" s="13"/>
      <c r="I3714" s="15"/>
      <c r="J3714" s="19">
        <v>4</v>
      </c>
      <c r="K3714" s="2" t="s">
        <v>7440</v>
      </c>
      <c r="L3714" s="11" t="str">
        <f t="shared" si="61"/>
        <v>Ver Imagen</v>
      </c>
      <c r="M3714" t="s">
        <v>15</v>
      </c>
    </row>
    <row r="3715" spans="1:13" x14ac:dyDescent="0.25">
      <c r="A3715">
        <v>3716</v>
      </c>
      <c r="B3715" t="s">
        <v>7441</v>
      </c>
      <c r="C3715" s="1">
        <v>37.245449673499998</v>
      </c>
      <c r="D3715" s="1">
        <v>-7.09423117543</v>
      </c>
      <c r="E3715" s="3">
        <v>4</v>
      </c>
      <c r="F3715" s="2">
        <v>3</v>
      </c>
      <c r="G3715" s="4">
        <v>4</v>
      </c>
      <c r="H3715" s="13"/>
      <c r="I3715" s="15"/>
      <c r="J3715" s="19">
        <v>4</v>
      </c>
      <c r="K3715" s="2" t="s">
        <v>7442</v>
      </c>
      <c r="L3715" s="11" t="str">
        <f t="shared" si="61"/>
        <v>Ver Imagen</v>
      </c>
      <c r="M3715" t="s">
        <v>15</v>
      </c>
    </row>
    <row r="3716" spans="1:13" x14ac:dyDescent="0.25">
      <c r="A3716">
        <v>3717</v>
      </c>
      <c r="B3716" t="s">
        <v>7443</v>
      </c>
      <c r="C3716" s="1">
        <v>37.246165619400003</v>
      </c>
      <c r="D3716" s="1">
        <v>-7.0986237175199998</v>
      </c>
      <c r="E3716" s="3">
        <v>4</v>
      </c>
      <c r="F3716" s="2">
        <v>3</v>
      </c>
      <c r="G3716" s="4">
        <v>4</v>
      </c>
      <c r="H3716" s="13"/>
      <c r="I3716" s="15"/>
      <c r="J3716" s="19">
        <v>4</v>
      </c>
      <c r="K3716" s="2" t="s">
        <v>7444</v>
      </c>
      <c r="L3716" s="11" t="str">
        <f t="shared" si="61"/>
        <v>Ver Imagen</v>
      </c>
      <c r="M3716" t="s">
        <v>15</v>
      </c>
    </row>
    <row r="3717" spans="1:13" x14ac:dyDescent="0.25">
      <c r="A3717">
        <v>3718</v>
      </c>
      <c r="B3717" t="s">
        <v>7445</v>
      </c>
      <c r="C3717" s="1">
        <v>37.246284484199997</v>
      </c>
      <c r="D3717" s="1">
        <v>-7.0988333051900003</v>
      </c>
      <c r="E3717" s="3">
        <v>4</v>
      </c>
      <c r="F3717" s="2">
        <v>3</v>
      </c>
      <c r="G3717" s="4">
        <v>4</v>
      </c>
      <c r="H3717" s="13"/>
      <c r="I3717" s="15"/>
      <c r="J3717" s="19">
        <v>4</v>
      </c>
      <c r="K3717" s="2" t="s">
        <v>7446</v>
      </c>
      <c r="L3717" s="11" t="str">
        <f t="shared" si="61"/>
        <v>Ver Imagen</v>
      </c>
      <c r="M3717" t="s">
        <v>15</v>
      </c>
    </row>
    <row r="3718" spans="1:13" x14ac:dyDescent="0.25">
      <c r="A3718">
        <v>3719</v>
      </c>
      <c r="B3718" t="s">
        <v>7447</v>
      </c>
      <c r="C3718" s="1">
        <v>37.246795190100002</v>
      </c>
      <c r="D3718" s="1">
        <v>-7.0996355597500003</v>
      </c>
      <c r="E3718" s="3">
        <v>4</v>
      </c>
      <c r="F3718" s="2">
        <v>3</v>
      </c>
      <c r="G3718" s="4">
        <v>4</v>
      </c>
      <c r="H3718" s="13"/>
      <c r="I3718" s="15"/>
      <c r="J3718" s="19">
        <v>4</v>
      </c>
      <c r="K3718" s="2" t="s">
        <v>7448</v>
      </c>
      <c r="L3718" s="11" t="str">
        <f t="shared" si="61"/>
        <v>Ver Imagen</v>
      </c>
      <c r="M3718" t="s">
        <v>15</v>
      </c>
    </row>
    <row r="3719" spans="1:13" x14ac:dyDescent="0.25">
      <c r="A3719">
        <v>3720</v>
      </c>
      <c r="B3719" t="s">
        <v>7449</v>
      </c>
      <c r="C3719" s="1">
        <v>37.247049680400004</v>
      </c>
      <c r="D3719" s="1">
        <v>-7.1000207012700001</v>
      </c>
      <c r="E3719" s="3">
        <v>4</v>
      </c>
      <c r="F3719" s="2">
        <v>3</v>
      </c>
      <c r="G3719" s="4">
        <v>4</v>
      </c>
      <c r="H3719" s="13"/>
      <c r="I3719" s="15"/>
      <c r="J3719" s="19">
        <v>4</v>
      </c>
      <c r="K3719" s="2" t="s">
        <v>7450</v>
      </c>
      <c r="L3719" s="11" t="str">
        <f t="shared" si="61"/>
        <v>Ver Imagen</v>
      </c>
      <c r="M3719" t="s">
        <v>15</v>
      </c>
    </row>
    <row r="3720" spans="1:13" x14ac:dyDescent="0.25">
      <c r="A3720">
        <v>3721</v>
      </c>
      <c r="B3720" t="s">
        <v>7451</v>
      </c>
      <c r="C3720" s="1">
        <v>37.248422620200003</v>
      </c>
      <c r="D3720" s="1">
        <v>-7.1018806882299996</v>
      </c>
      <c r="E3720" s="3">
        <v>4</v>
      </c>
      <c r="F3720" s="2">
        <v>3</v>
      </c>
      <c r="G3720" s="4">
        <v>4</v>
      </c>
      <c r="H3720" s="13"/>
      <c r="I3720" s="15"/>
      <c r="J3720" s="19">
        <v>4</v>
      </c>
      <c r="K3720" s="2" t="s">
        <v>7452</v>
      </c>
      <c r="L3720" s="11" t="str">
        <f t="shared" si="61"/>
        <v>Ver Imagen</v>
      </c>
      <c r="M3720" t="s">
        <v>15</v>
      </c>
    </row>
    <row r="3721" spans="1:13" x14ac:dyDescent="0.25">
      <c r="A3721">
        <v>3722</v>
      </c>
      <c r="B3721" t="s">
        <v>7453</v>
      </c>
      <c r="C3721" s="1">
        <v>37.248786894399998</v>
      </c>
      <c r="D3721" s="1">
        <v>-7.1021282667900003</v>
      </c>
      <c r="E3721" s="3">
        <v>4</v>
      </c>
      <c r="F3721" s="2">
        <v>3</v>
      </c>
      <c r="G3721" s="4">
        <v>4</v>
      </c>
      <c r="H3721" s="13"/>
      <c r="I3721" s="15"/>
      <c r="J3721" s="19">
        <v>4</v>
      </c>
      <c r="K3721" s="2" t="s">
        <v>7454</v>
      </c>
      <c r="L3721" s="11" t="str">
        <f t="shared" si="61"/>
        <v>Ver Imagen</v>
      </c>
      <c r="M3721" t="s">
        <v>15</v>
      </c>
    </row>
    <row r="3722" spans="1:13" x14ac:dyDescent="0.25">
      <c r="A3722">
        <v>3723</v>
      </c>
      <c r="B3722" t="s">
        <v>7455</v>
      </c>
      <c r="C3722" s="1">
        <v>37.258857403299999</v>
      </c>
      <c r="D3722" s="1">
        <v>-7.1230666191900003</v>
      </c>
      <c r="E3722" s="3">
        <v>4</v>
      </c>
      <c r="F3722" s="2">
        <v>3</v>
      </c>
      <c r="G3722" s="4">
        <v>4</v>
      </c>
      <c r="H3722" s="13"/>
      <c r="I3722" s="15"/>
      <c r="J3722" s="19">
        <v>4</v>
      </c>
      <c r="K3722" s="2" t="s">
        <v>7456</v>
      </c>
      <c r="L3722" s="11" t="str">
        <f t="shared" si="61"/>
        <v>Ver Imagen</v>
      </c>
      <c r="M3722" t="s">
        <v>15</v>
      </c>
    </row>
    <row r="3723" spans="1:13" x14ac:dyDescent="0.25">
      <c r="A3723">
        <v>3724</v>
      </c>
      <c r="B3723" t="s">
        <v>7457</v>
      </c>
      <c r="C3723" s="1">
        <v>37.259078867200003</v>
      </c>
      <c r="D3723" s="1">
        <v>-7.1250543822300001</v>
      </c>
      <c r="E3723" s="3">
        <v>4</v>
      </c>
      <c r="F3723" s="2">
        <v>3</v>
      </c>
      <c r="G3723" s="4">
        <v>4</v>
      </c>
      <c r="H3723" s="13"/>
      <c r="I3723" s="15"/>
      <c r="J3723" s="19">
        <v>4</v>
      </c>
      <c r="K3723" s="2" t="s">
        <v>7458</v>
      </c>
      <c r="L3723" s="11" t="str">
        <f t="shared" si="61"/>
        <v>Ver Imagen</v>
      </c>
      <c r="M3723" t="s">
        <v>15</v>
      </c>
    </row>
    <row r="3724" spans="1:13" x14ac:dyDescent="0.25">
      <c r="A3724">
        <v>3725</v>
      </c>
      <c r="B3724" t="s">
        <v>7459</v>
      </c>
      <c r="C3724" s="1">
        <v>37.480332424099998</v>
      </c>
      <c r="D3724" s="1">
        <v>-7.1277918034200001</v>
      </c>
      <c r="E3724" s="3">
        <v>4</v>
      </c>
      <c r="F3724" s="2">
        <v>3</v>
      </c>
      <c r="G3724" s="4">
        <v>4</v>
      </c>
      <c r="H3724" s="13"/>
      <c r="I3724" s="15"/>
      <c r="J3724" s="19">
        <v>4</v>
      </c>
      <c r="K3724" s="2" t="s">
        <v>7460</v>
      </c>
      <c r="L3724" s="11" t="str">
        <f t="shared" si="61"/>
        <v>Ver Imagen</v>
      </c>
      <c r="M3724" t="s">
        <v>15</v>
      </c>
    </row>
    <row r="3725" spans="1:13" x14ac:dyDescent="0.25">
      <c r="A3725">
        <v>3726</v>
      </c>
      <c r="B3725" t="s">
        <v>7461</v>
      </c>
      <c r="C3725" s="1">
        <v>37.478550568499998</v>
      </c>
      <c r="D3725" s="1">
        <v>-7.1277931101499998</v>
      </c>
      <c r="E3725" s="3">
        <v>4</v>
      </c>
      <c r="F3725" s="2">
        <v>3</v>
      </c>
      <c r="G3725" s="4">
        <v>4</v>
      </c>
      <c r="H3725" s="13"/>
      <c r="I3725" s="15"/>
      <c r="J3725" s="19">
        <v>4</v>
      </c>
      <c r="K3725" s="2" t="s">
        <v>7462</v>
      </c>
      <c r="L3725" s="11" t="str">
        <f t="shared" si="61"/>
        <v>Ver Imagen</v>
      </c>
      <c r="M3725" t="s">
        <v>15</v>
      </c>
    </row>
    <row r="3726" spans="1:13" x14ac:dyDescent="0.25">
      <c r="A3726">
        <v>3727</v>
      </c>
      <c r="B3726" t="s">
        <v>7463</v>
      </c>
      <c r="C3726" s="1">
        <v>37.477925921800001</v>
      </c>
      <c r="D3726" s="1">
        <v>-7.1271924362299997</v>
      </c>
      <c r="E3726" s="3">
        <v>4</v>
      </c>
      <c r="F3726" s="2">
        <v>3</v>
      </c>
      <c r="G3726" s="4">
        <v>4</v>
      </c>
      <c r="H3726" s="13"/>
      <c r="I3726" s="15"/>
      <c r="J3726" s="19">
        <v>4</v>
      </c>
      <c r="K3726" s="2" t="s">
        <v>7464</v>
      </c>
      <c r="L3726" s="11" t="str">
        <f t="shared" si="61"/>
        <v>Ver Imagen</v>
      </c>
      <c r="M3726" t="s">
        <v>15</v>
      </c>
    </row>
    <row r="3727" spans="1:13" x14ac:dyDescent="0.25">
      <c r="A3727">
        <v>3728</v>
      </c>
      <c r="B3727" t="s">
        <v>7465</v>
      </c>
      <c r="C3727" s="1">
        <v>37.477521992299998</v>
      </c>
      <c r="D3727" s="1">
        <v>-7.1266270150300004</v>
      </c>
      <c r="E3727" s="3">
        <v>4</v>
      </c>
      <c r="F3727" s="2">
        <v>3</v>
      </c>
      <c r="G3727" s="4">
        <v>4</v>
      </c>
      <c r="H3727" s="13"/>
      <c r="I3727" s="15"/>
      <c r="J3727" s="19">
        <v>4</v>
      </c>
      <c r="K3727" s="2" t="s">
        <v>7466</v>
      </c>
      <c r="L3727" s="11" t="str">
        <f t="shared" si="61"/>
        <v>Ver Imagen</v>
      </c>
      <c r="M3727" t="s">
        <v>15</v>
      </c>
    </row>
    <row r="3728" spans="1:13" x14ac:dyDescent="0.25">
      <c r="A3728">
        <v>3729</v>
      </c>
      <c r="B3728" t="s">
        <v>7467</v>
      </c>
      <c r="C3728" s="1">
        <v>37.477383197499996</v>
      </c>
      <c r="D3728" s="1">
        <v>-7.12641831009</v>
      </c>
      <c r="E3728" s="3">
        <v>4</v>
      </c>
      <c r="F3728" s="2">
        <v>3</v>
      </c>
      <c r="G3728" s="4">
        <v>4</v>
      </c>
      <c r="H3728" s="13"/>
      <c r="I3728" s="15"/>
      <c r="J3728" s="19">
        <v>4</v>
      </c>
      <c r="K3728" s="2" t="s">
        <v>7468</v>
      </c>
      <c r="L3728" s="11" t="str">
        <f t="shared" si="61"/>
        <v>Ver Imagen</v>
      </c>
      <c r="M3728" t="s">
        <v>15</v>
      </c>
    </row>
    <row r="3729" spans="1:13" x14ac:dyDescent="0.25">
      <c r="A3729">
        <v>3730</v>
      </c>
      <c r="B3729" t="s">
        <v>7469</v>
      </c>
      <c r="C3729" s="1">
        <v>37.476147162799997</v>
      </c>
      <c r="D3729" s="1">
        <v>-7.1257753463000002</v>
      </c>
      <c r="E3729" s="3">
        <v>4</v>
      </c>
      <c r="F3729" s="2">
        <v>3</v>
      </c>
      <c r="G3729" s="4">
        <v>4</v>
      </c>
      <c r="H3729" s="13"/>
      <c r="I3729" s="15"/>
      <c r="J3729" s="19">
        <v>4</v>
      </c>
      <c r="K3729" s="2" t="s">
        <v>7470</v>
      </c>
      <c r="L3729" s="11" t="str">
        <f t="shared" si="61"/>
        <v>Ver Imagen</v>
      </c>
      <c r="M3729" t="s">
        <v>15</v>
      </c>
    </row>
    <row r="3730" spans="1:13" x14ac:dyDescent="0.25">
      <c r="A3730">
        <v>3731</v>
      </c>
      <c r="B3730" t="s">
        <v>7471</v>
      </c>
      <c r="C3730" s="1">
        <v>37.475372016599998</v>
      </c>
      <c r="D3730" s="1">
        <v>-7.1259228747999996</v>
      </c>
      <c r="E3730" s="3">
        <v>4</v>
      </c>
      <c r="F3730" s="2">
        <v>3</v>
      </c>
      <c r="G3730" s="4">
        <v>4</v>
      </c>
      <c r="H3730" s="13"/>
      <c r="I3730" s="15"/>
      <c r="J3730" s="19">
        <v>4</v>
      </c>
      <c r="K3730" s="2" t="s">
        <v>7472</v>
      </c>
      <c r="L3730" s="11" t="str">
        <f t="shared" si="61"/>
        <v>Ver Imagen</v>
      </c>
      <c r="M3730" t="s">
        <v>15</v>
      </c>
    </row>
    <row r="3731" spans="1:13" x14ac:dyDescent="0.25">
      <c r="A3731">
        <v>3732</v>
      </c>
      <c r="B3731" t="s">
        <v>7473</v>
      </c>
      <c r="C3731" s="1">
        <v>37.474765401500001</v>
      </c>
      <c r="D3731" s="1">
        <v>-7.1260567440699996</v>
      </c>
      <c r="E3731" s="3">
        <v>4</v>
      </c>
      <c r="F3731" s="2">
        <v>3</v>
      </c>
      <c r="G3731" s="4">
        <v>4</v>
      </c>
      <c r="H3731" s="13"/>
      <c r="I3731" s="15"/>
      <c r="J3731" s="19">
        <v>4</v>
      </c>
      <c r="K3731" s="2" t="s">
        <v>7474</v>
      </c>
      <c r="L3731" s="11" t="str">
        <f t="shared" si="61"/>
        <v>Ver Imagen</v>
      </c>
      <c r="M3731" t="s">
        <v>15</v>
      </c>
    </row>
    <row r="3732" spans="1:13" x14ac:dyDescent="0.25">
      <c r="A3732">
        <v>3733</v>
      </c>
      <c r="B3732" t="s">
        <v>7475</v>
      </c>
      <c r="C3732" s="1">
        <v>37.473755216900003</v>
      </c>
      <c r="D3732" s="1">
        <v>-7.1262768984199996</v>
      </c>
      <c r="E3732" s="3">
        <v>4</v>
      </c>
      <c r="F3732" s="2">
        <v>3</v>
      </c>
      <c r="G3732" s="4">
        <v>4</v>
      </c>
      <c r="H3732" s="13"/>
      <c r="I3732" s="15"/>
      <c r="J3732" s="19">
        <v>4</v>
      </c>
      <c r="K3732" s="2" t="s">
        <v>7476</v>
      </c>
      <c r="L3732" s="11" t="str">
        <f t="shared" si="61"/>
        <v>Ver Imagen</v>
      </c>
      <c r="M3732" t="s">
        <v>15</v>
      </c>
    </row>
    <row r="3733" spans="1:13" x14ac:dyDescent="0.25">
      <c r="A3733">
        <v>3734</v>
      </c>
      <c r="B3733" t="s">
        <v>7477</v>
      </c>
      <c r="C3733" s="1">
        <v>37.472965358000003</v>
      </c>
      <c r="D3733" s="1">
        <v>-7.1264069903899996</v>
      </c>
      <c r="E3733" s="3">
        <v>4</v>
      </c>
      <c r="F3733" s="2">
        <v>3</v>
      </c>
      <c r="G3733" s="4">
        <v>4</v>
      </c>
      <c r="H3733" s="13"/>
      <c r="I3733" s="15"/>
      <c r="J3733" s="19">
        <v>4</v>
      </c>
      <c r="K3733" s="2" t="s">
        <v>7478</v>
      </c>
      <c r="L3733" s="11" t="str">
        <f t="shared" si="61"/>
        <v>Ver Imagen</v>
      </c>
      <c r="M3733" t="s">
        <v>15</v>
      </c>
    </row>
    <row r="3734" spans="1:13" x14ac:dyDescent="0.25">
      <c r="A3734">
        <v>3735</v>
      </c>
      <c r="B3734" t="s">
        <v>7479</v>
      </c>
      <c r="C3734" s="1">
        <v>37.472344098900003</v>
      </c>
      <c r="D3734" s="1">
        <v>-7.1263594703599997</v>
      </c>
      <c r="E3734" s="3">
        <v>4</v>
      </c>
      <c r="F3734" s="2">
        <v>3</v>
      </c>
      <c r="G3734" s="4">
        <v>4</v>
      </c>
      <c r="H3734" s="13"/>
      <c r="I3734" s="15"/>
      <c r="J3734" s="19">
        <v>4</v>
      </c>
      <c r="K3734" s="2" t="s">
        <v>7480</v>
      </c>
      <c r="L3734" s="11" t="str">
        <f t="shared" si="61"/>
        <v>Ver Imagen</v>
      </c>
      <c r="M3734" t="s">
        <v>15</v>
      </c>
    </row>
    <row r="3735" spans="1:13" x14ac:dyDescent="0.25">
      <c r="A3735">
        <v>3736</v>
      </c>
      <c r="B3735" t="s">
        <v>7481</v>
      </c>
      <c r="C3735" s="1">
        <v>37.4719894459</v>
      </c>
      <c r="D3735" s="1">
        <v>-7.1261876428599997</v>
      </c>
      <c r="E3735" s="3">
        <v>4</v>
      </c>
      <c r="F3735" s="2">
        <v>3</v>
      </c>
      <c r="G3735" s="4">
        <v>4</v>
      </c>
      <c r="H3735" s="13"/>
      <c r="I3735" s="15"/>
      <c r="J3735" s="19">
        <v>4</v>
      </c>
      <c r="K3735" s="2" t="s">
        <v>7482</v>
      </c>
      <c r="L3735" s="11" t="str">
        <f t="shared" si="61"/>
        <v>Ver Imagen</v>
      </c>
      <c r="M3735" t="s">
        <v>15</v>
      </c>
    </row>
    <row r="3736" spans="1:13" x14ac:dyDescent="0.25">
      <c r="A3736">
        <v>3737</v>
      </c>
      <c r="B3736" t="s">
        <v>7483</v>
      </c>
      <c r="C3736" s="1">
        <v>37.471472608600003</v>
      </c>
      <c r="D3736" s="1">
        <v>-7.1257911239</v>
      </c>
      <c r="E3736" s="3">
        <v>4</v>
      </c>
      <c r="F3736" s="2">
        <v>3</v>
      </c>
      <c r="G3736" s="4">
        <v>4</v>
      </c>
      <c r="H3736" s="13"/>
      <c r="I3736" s="15"/>
      <c r="J3736" s="19">
        <v>4</v>
      </c>
      <c r="K3736" s="2" t="s">
        <v>7484</v>
      </c>
      <c r="L3736" s="11" t="str">
        <f t="shared" si="61"/>
        <v>Ver Imagen</v>
      </c>
      <c r="M3736" t="s">
        <v>15</v>
      </c>
    </row>
    <row r="3737" spans="1:13" x14ac:dyDescent="0.25">
      <c r="A3737">
        <v>3738</v>
      </c>
      <c r="B3737" t="s">
        <v>7485</v>
      </c>
      <c r="C3737" s="1">
        <v>37.471286272699999</v>
      </c>
      <c r="D3737" s="1">
        <v>-7.1256380483399999</v>
      </c>
      <c r="E3737" s="3">
        <v>4</v>
      </c>
      <c r="F3737" s="2">
        <v>3</v>
      </c>
      <c r="G3737" s="4">
        <v>4</v>
      </c>
      <c r="H3737" s="13"/>
      <c r="I3737" s="15"/>
      <c r="J3737" s="19">
        <v>4</v>
      </c>
      <c r="K3737" s="2" t="s">
        <v>7486</v>
      </c>
      <c r="L3737" s="11" t="str">
        <f t="shared" si="61"/>
        <v>Ver Imagen</v>
      </c>
      <c r="M3737" t="s">
        <v>15</v>
      </c>
    </row>
    <row r="3738" spans="1:13" x14ac:dyDescent="0.25">
      <c r="A3738">
        <v>3739</v>
      </c>
      <c r="B3738" t="s">
        <v>7487</v>
      </c>
      <c r="C3738" s="1">
        <v>37.469383878800002</v>
      </c>
      <c r="D3738" s="1">
        <v>-7.1242048167099998</v>
      </c>
      <c r="E3738" s="3">
        <v>5</v>
      </c>
      <c r="F3738" s="2">
        <v>4</v>
      </c>
      <c r="G3738" s="4">
        <v>4</v>
      </c>
      <c r="H3738" s="13"/>
      <c r="I3738" s="15"/>
      <c r="J3738" s="19">
        <v>4</v>
      </c>
      <c r="K3738" s="2" t="s">
        <v>7488</v>
      </c>
      <c r="L3738" s="11" t="str">
        <f t="shared" si="61"/>
        <v>Ver Imagen</v>
      </c>
      <c r="M3738" t="s">
        <v>15</v>
      </c>
    </row>
    <row r="3739" spans="1:13" x14ac:dyDescent="0.25">
      <c r="A3739">
        <v>3740</v>
      </c>
      <c r="B3739" t="s">
        <v>7489</v>
      </c>
      <c r="C3739" s="1">
        <v>37.467754138300002</v>
      </c>
      <c r="D3739" s="1">
        <v>-7.1231435576099997</v>
      </c>
      <c r="E3739" s="3">
        <v>4</v>
      </c>
      <c r="F3739" s="2">
        <v>3</v>
      </c>
      <c r="G3739" s="4">
        <v>4</v>
      </c>
      <c r="H3739" s="13"/>
      <c r="I3739" s="15"/>
      <c r="J3739" s="19">
        <v>4</v>
      </c>
      <c r="K3739" s="2" t="s">
        <v>7490</v>
      </c>
      <c r="L3739" s="11" t="str">
        <f t="shared" si="61"/>
        <v>Ver Imagen</v>
      </c>
      <c r="M3739" t="s">
        <v>15</v>
      </c>
    </row>
    <row r="3740" spans="1:13" x14ac:dyDescent="0.25">
      <c r="A3740">
        <v>3741</v>
      </c>
      <c r="B3740" t="s">
        <v>7491</v>
      </c>
      <c r="C3740" s="1">
        <v>37.198188054200003</v>
      </c>
      <c r="D3740" s="1">
        <v>-6.9810306048099999</v>
      </c>
      <c r="E3740" s="3">
        <v>4</v>
      </c>
      <c r="F3740" s="2">
        <v>3</v>
      </c>
      <c r="G3740" s="4">
        <v>4</v>
      </c>
      <c r="H3740" s="13"/>
      <c r="I3740" s="15"/>
      <c r="J3740" s="19">
        <v>4</v>
      </c>
      <c r="K3740" s="2" t="s">
        <v>7492</v>
      </c>
      <c r="L3740" s="11" t="str">
        <f t="shared" si="61"/>
        <v>Ver Imagen</v>
      </c>
      <c r="M3740" t="s">
        <v>15</v>
      </c>
    </row>
    <row r="3741" spans="1:13" x14ac:dyDescent="0.25">
      <c r="A3741">
        <v>3742</v>
      </c>
      <c r="B3741" t="s">
        <v>7493</v>
      </c>
      <c r="C3741" s="1">
        <v>37.194966547</v>
      </c>
      <c r="D3741" s="1">
        <v>-6.9780588095200002</v>
      </c>
      <c r="E3741" s="3">
        <v>4</v>
      </c>
      <c r="F3741" s="2">
        <v>3</v>
      </c>
      <c r="G3741" s="4">
        <v>4</v>
      </c>
      <c r="H3741" s="13"/>
      <c r="I3741" s="15"/>
      <c r="J3741" s="19">
        <v>4</v>
      </c>
      <c r="K3741" s="2" t="s">
        <v>7494</v>
      </c>
      <c r="L3741" s="11" t="str">
        <f t="shared" si="61"/>
        <v>Ver Imagen</v>
      </c>
      <c r="M3741" t="s">
        <v>15</v>
      </c>
    </row>
    <row r="3742" spans="1:13" x14ac:dyDescent="0.25">
      <c r="A3742">
        <v>3743</v>
      </c>
      <c r="B3742" t="s">
        <v>7495</v>
      </c>
      <c r="C3742" s="1">
        <v>37.193258421899998</v>
      </c>
      <c r="D3742" s="1">
        <v>-6.9776518922299999</v>
      </c>
      <c r="E3742" s="3">
        <v>4</v>
      </c>
      <c r="F3742" s="2">
        <v>3</v>
      </c>
      <c r="G3742" s="4">
        <v>4</v>
      </c>
      <c r="H3742" s="13"/>
      <c r="I3742" s="15"/>
      <c r="J3742" s="19">
        <v>4</v>
      </c>
      <c r="K3742" s="2" t="s">
        <v>7496</v>
      </c>
      <c r="L3742" s="11" t="str">
        <f t="shared" si="61"/>
        <v>Ver Imagen</v>
      </c>
      <c r="M3742" t="s">
        <v>15</v>
      </c>
    </row>
    <row r="3743" spans="1:13" x14ac:dyDescent="0.25">
      <c r="A3743">
        <v>3744</v>
      </c>
      <c r="B3743" t="s">
        <v>7497</v>
      </c>
      <c r="C3743" s="1">
        <v>37.192406003400002</v>
      </c>
      <c r="D3743" s="1">
        <v>-6.9776581446100003</v>
      </c>
      <c r="E3743" s="3">
        <v>4</v>
      </c>
      <c r="F3743" s="2">
        <v>3</v>
      </c>
      <c r="G3743" s="4">
        <v>4</v>
      </c>
      <c r="H3743" s="13"/>
      <c r="I3743" s="15"/>
      <c r="J3743" s="19">
        <v>4</v>
      </c>
      <c r="K3743" s="2" t="s">
        <v>7498</v>
      </c>
      <c r="L3743" s="11" t="str">
        <f t="shared" si="61"/>
        <v>Ver Imagen</v>
      </c>
      <c r="M3743" t="s">
        <v>15</v>
      </c>
    </row>
    <row r="3744" spans="1:13" x14ac:dyDescent="0.25">
      <c r="A3744">
        <v>3745</v>
      </c>
      <c r="B3744" t="s">
        <v>7499</v>
      </c>
      <c r="C3744" s="1">
        <v>37.191783203299998</v>
      </c>
      <c r="D3744" s="1">
        <v>-6.9777298114599997</v>
      </c>
      <c r="E3744" s="3">
        <v>4</v>
      </c>
      <c r="F3744" s="2">
        <v>3</v>
      </c>
      <c r="G3744" s="4">
        <v>4</v>
      </c>
      <c r="H3744" s="13"/>
      <c r="I3744" s="15"/>
      <c r="J3744" s="19">
        <v>4</v>
      </c>
      <c r="K3744" s="2" t="s">
        <v>7500</v>
      </c>
      <c r="L3744" s="11" t="str">
        <f t="shared" ref="L3744:L3807" si="62">HYPERLINK("4\1\" &amp; K3744, "Ver Imagen")</f>
        <v>Ver Imagen</v>
      </c>
      <c r="M3744" t="s">
        <v>15</v>
      </c>
    </row>
    <row r="3745" spans="1:13" x14ac:dyDescent="0.25">
      <c r="A3745">
        <v>3746</v>
      </c>
      <c r="B3745" t="s">
        <v>7501</v>
      </c>
      <c r="C3745" s="1">
        <v>37.189992561399997</v>
      </c>
      <c r="D3745" s="1">
        <v>-6.9781378384400004</v>
      </c>
      <c r="E3745" s="3">
        <v>4</v>
      </c>
      <c r="F3745" s="2">
        <v>3</v>
      </c>
      <c r="G3745" s="4">
        <v>4</v>
      </c>
      <c r="H3745" s="13"/>
      <c r="I3745" s="15"/>
      <c r="J3745" s="19">
        <v>4</v>
      </c>
      <c r="K3745" s="2" t="s">
        <v>7502</v>
      </c>
      <c r="L3745" s="11" t="str">
        <f t="shared" si="62"/>
        <v>Ver Imagen</v>
      </c>
      <c r="M3745" t="s">
        <v>15</v>
      </c>
    </row>
    <row r="3746" spans="1:13" x14ac:dyDescent="0.25">
      <c r="A3746">
        <v>3747</v>
      </c>
      <c r="B3746" t="s">
        <v>7503</v>
      </c>
      <c r="C3746" s="1">
        <v>37.267593896299999</v>
      </c>
      <c r="D3746" s="1">
        <v>-6.9620331901799997</v>
      </c>
      <c r="E3746" s="3">
        <v>4</v>
      </c>
      <c r="F3746" s="2">
        <v>3</v>
      </c>
      <c r="G3746" s="4">
        <v>4</v>
      </c>
      <c r="H3746" s="13"/>
      <c r="I3746" s="15"/>
      <c r="J3746" s="19">
        <v>4</v>
      </c>
      <c r="K3746" s="2" t="s">
        <v>7504</v>
      </c>
      <c r="L3746" s="11" t="str">
        <f t="shared" si="62"/>
        <v>Ver Imagen</v>
      </c>
      <c r="M3746" t="s">
        <v>15</v>
      </c>
    </row>
    <row r="3747" spans="1:13" x14ac:dyDescent="0.25">
      <c r="A3747">
        <v>3748</v>
      </c>
      <c r="B3747" t="s">
        <v>7505</v>
      </c>
      <c r="C3747" s="1">
        <v>37.267599838700001</v>
      </c>
      <c r="D3747" s="1">
        <v>-6.9622472989800004</v>
      </c>
      <c r="E3747" s="3">
        <v>4</v>
      </c>
      <c r="F3747" s="2">
        <v>3</v>
      </c>
      <c r="G3747" s="4">
        <v>4</v>
      </c>
      <c r="H3747" s="13"/>
      <c r="I3747" s="15"/>
      <c r="J3747" s="19">
        <v>4</v>
      </c>
      <c r="K3747" s="2" t="s">
        <v>7506</v>
      </c>
      <c r="L3747" s="11" t="str">
        <f t="shared" si="62"/>
        <v>Ver Imagen</v>
      </c>
      <c r="M3747" t="s">
        <v>15</v>
      </c>
    </row>
    <row r="3748" spans="1:13" x14ac:dyDescent="0.25">
      <c r="A3748">
        <v>3749</v>
      </c>
      <c r="B3748" t="s">
        <v>7507</v>
      </c>
      <c r="C3748" s="1">
        <v>37.267628660200003</v>
      </c>
      <c r="D3748" s="1">
        <v>-6.9632732403200004</v>
      </c>
      <c r="E3748" s="3">
        <v>4</v>
      </c>
      <c r="F3748" s="2">
        <v>3</v>
      </c>
      <c r="G3748" s="4">
        <v>4</v>
      </c>
      <c r="H3748" s="13"/>
      <c r="I3748" s="15"/>
      <c r="J3748" s="19">
        <v>4</v>
      </c>
      <c r="K3748" s="2" t="s">
        <v>7508</v>
      </c>
      <c r="L3748" s="11" t="str">
        <f t="shared" si="62"/>
        <v>Ver Imagen</v>
      </c>
      <c r="M3748" t="s">
        <v>15</v>
      </c>
    </row>
    <row r="3749" spans="1:13" x14ac:dyDescent="0.25">
      <c r="A3749">
        <v>3750</v>
      </c>
      <c r="B3749" t="s">
        <v>7509</v>
      </c>
      <c r="C3749" s="1">
        <v>37.269286724099999</v>
      </c>
      <c r="D3749" s="1">
        <v>-6.9765311797200003</v>
      </c>
      <c r="E3749" s="3">
        <v>4</v>
      </c>
      <c r="F3749" s="2">
        <v>3</v>
      </c>
      <c r="G3749" s="4">
        <v>4</v>
      </c>
      <c r="H3749" s="13"/>
      <c r="I3749" s="15"/>
      <c r="J3749" s="19">
        <v>4</v>
      </c>
      <c r="K3749" s="2" t="s">
        <v>7510</v>
      </c>
      <c r="L3749" s="11" t="str">
        <f t="shared" si="62"/>
        <v>Ver Imagen</v>
      </c>
      <c r="M3749" t="s">
        <v>15</v>
      </c>
    </row>
    <row r="3750" spans="1:13" x14ac:dyDescent="0.25">
      <c r="A3750">
        <v>3751</v>
      </c>
      <c r="B3750" t="s">
        <v>7511</v>
      </c>
      <c r="C3750" s="1">
        <v>37.266870755799999</v>
      </c>
      <c r="D3750" s="1">
        <v>-6.9920699967299997</v>
      </c>
      <c r="E3750" s="3">
        <v>5</v>
      </c>
      <c r="F3750" s="2">
        <v>4</v>
      </c>
      <c r="G3750" s="4">
        <v>4</v>
      </c>
      <c r="H3750" s="13"/>
      <c r="I3750" s="15"/>
      <c r="J3750" s="19">
        <v>4</v>
      </c>
      <c r="K3750" s="2" t="s">
        <v>7512</v>
      </c>
      <c r="L3750" s="11" t="str">
        <f t="shared" si="62"/>
        <v>Ver Imagen</v>
      </c>
      <c r="M3750" t="s">
        <v>15</v>
      </c>
    </row>
    <row r="3751" spans="1:13" x14ac:dyDescent="0.25">
      <c r="A3751">
        <v>3752</v>
      </c>
      <c r="B3751" t="s">
        <v>7513</v>
      </c>
      <c r="C3751" s="1">
        <v>37.265918095099998</v>
      </c>
      <c r="D3751" s="1">
        <v>-6.9939657051499999</v>
      </c>
      <c r="E3751" s="3">
        <v>4</v>
      </c>
      <c r="F3751" s="2">
        <v>3</v>
      </c>
      <c r="G3751" s="4">
        <v>4</v>
      </c>
      <c r="H3751" s="13"/>
      <c r="I3751" s="15"/>
      <c r="J3751" s="19">
        <v>4</v>
      </c>
      <c r="K3751" s="2" t="s">
        <v>7514</v>
      </c>
      <c r="L3751" s="11" t="str">
        <f t="shared" si="62"/>
        <v>Ver Imagen</v>
      </c>
      <c r="M3751" t="s">
        <v>15</v>
      </c>
    </row>
    <row r="3752" spans="1:13" x14ac:dyDescent="0.25">
      <c r="A3752">
        <v>3753</v>
      </c>
      <c r="B3752" t="s">
        <v>7515</v>
      </c>
      <c r="C3752" s="1">
        <v>37.192395569399999</v>
      </c>
      <c r="D3752" s="1">
        <v>-6.9774921060799997</v>
      </c>
      <c r="E3752" s="3">
        <v>4</v>
      </c>
      <c r="F3752" s="2">
        <v>3</v>
      </c>
      <c r="G3752" s="4">
        <v>4</v>
      </c>
      <c r="H3752" s="13"/>
      <c r="I3752" s="15"/>
      <c r="J3752" s="19">
        <v>4</v>
      </c>
      <c r="K3752" s="2" t="s">
        <v>7516</v>
      </c>
      <c r="L3752" s="11" t="str">
        <f t="shared" si="62"/>
        <v>Ver Imagen</v>
      </c>
      <c r="M3752" t="s">
        <v>15</v>
      </c>
    </row>
    <row r="3753" spans="1:13" x14ac:dyDescent="0.25">
      <c r="A3753">
        <v>3754</v>
      </c>
      <c r="B3753" t="s">
        <v>7517</v>
      </c>
      <c r="C3753" s="1">
        <v>37.264865126899998</v>
      </c>
      <c r="D3753" s="1">
        <v>-6.9996562735300003</v>
      </c>
      <c r="E3753" s="3">
        <v>4</v>
      </c>
      <c r="F3753" s="2">
        <v>5</v>
      </c>
      <c r="G3753" s="4">
        <v>4</v>
      </c>
      <c r="H3753" s="13"/>
      <c r="I3753" s="15"/>
      <c r="J3753" s="19">
        <v>4</v>
      </c>
      <c r="K3753" s="2" t="s">
        <v>7518</v>
      </c>
      <c r="L3753" s="11" t="str">
        <f t="shared" si="62"/>
        <v>Ver Imagen</v>
      </c>
      <c r="M3753" t="s">
        <v>15</v>
      </c>
    </row>
    <row r="3754" spans="1:13" x14ac:dyDescent="0.25">
      <c r="A3754">
        <v>3755</v>
      </c>
      <c r="B3754" t="s">
        <v>7519</v>
      </c>
      <c r="C3754" s="1">
        <v>37.195697733000003</v>
      </c>
      <c r="D3754" s="1">
        <v>-6.9782311359299998</v>
      </c>
      <c r="E3754" s="3">
        <v>4</v>
      </c>
      <c r="F3754" s="2">
        <v>3</v>
      </c>
      <c r="G3754" s="4">
        <v>4</v>
      </c>
      <c r="H3754" s="13"/>
      <c r="I3754" s="15"/>
      <c r="J3754" s="19">
        <v>4</v>
      </c>
      <c r="K3754" s="2" t="s">
        <v>7520</v>
      </c>
      <c r="L3754" s="11" t="str">
        <f t="shared" si="62"/>
        <v>Ver Imagen</v>
      </c>
      <c r="M3754" t="s">
        <v>15</v>
      </c>
    </row>
    <row r="3755" spans="1:13" x14ac:dyDescent="0.25">
      <c r="A3755">
        <v>3756</v>
      </c>
      <c r="B3755" t="s">
        <v>7521</v>
      </c>
      <c r="C3755" s="1">
        <v>37.203072257999999</v>
      </c>
      <c r="D3755" s="1">
        <v>-7.0035943733400003</v>
      </c>
      <c r="E3755" s="3">
        <v>4</v>
      </c>
      <c r="F3755" s="2">
        <v>3</v>
      </c>
      <c r="G3755" s="4">
        <v>4</v>
      </c>
      <c r="H3755" s="13"/>
      <c r="I3755" s="15"/>
      <c r="J3755" s="19">
        <v>4</v>
      </c>
      <c r="K3755" s="2" t="s">
        <v>7522</v>
      </c>
      <c r="L3755" s="11" t="str">
        <f t="shared" si="62"/>
        <v>Ver Imagen</v>
      </c>
      <c r="M3755" t="s">
        <v>15</v>
      </c>
    </row>
    <row r="3756" spans="1:13" x14ac:dyDescent="0.25">
      <c r="A3756">
        <v>3757</v>
      </c>
      <c r="B3756" t="s">
        <v>7523</v>
      </c>
      <c r="C3756" s="1">
        <v>37.252857844600001</v>
      </c>
      <c r="D3756" s="1">
        <v>-7.0162665460399998</v>
      </c>
      <c r="E3756" s="3">
        <v>4</v>
      </c>
      <c r="F3756" s="2">
        <v>3</v>
      </c>
      <c r="G3756" s="4">
        <v>4</v>
      </c>
      <c r="H3756" s="13"/>
      <c r="I3756" s="15"/>
      <c r="J3756" s="19">
        <v>4</v>
      </c>
      <c r="K3756" s="2" t="s">
        <v>7524</v>
      </c>
      <c r="L3756" s="11" t="str">
        <f t="shared" si="62"/>
        <v>Ver Imagen</v>
      </c>
      <c r="M3756" t="s">
        <v>15</v>
      </c>
    </row>
    <row r="3757" spans="1:13" x14ac:dyDescent="0.25">
      <c r="A3757">
        <v>3758</v>
      </c>
      <c r="B3757" t="s">
        <v>7525</v>
      </c>
      <c r="C3757" s="1">
        <v>37.203780786499998</v>
      </c>
      <c r="D3757" s="1">
        <v>-7.0088738402099997</v>
      </c>
      <c r="E3757" s="3">
        <v>4</v>
      </c>
      <c r="F3757" s="2">
        <v>3</v>
      </c>
      <c r="G3757" s="4">
        <v>4</v>
      </c>
      <c r="H3757" s="13"/>
      <c r="I3757" s="15"/>
      <c r="J3757" s="19">
        <v>4</v>
      </c>
      <c r="K3757" s="2" t="s">
        <v>7526</v>
      </c>
      <c r="L3757" s="11" t="str">
        <f t="shared" si="62"/>
        <v>Ver Imagen</v>
      </c>
      <c r="M3757" t="s">
        <v>15</v>
      </c>
    </row>
    <row r="3758" spans="1:13" x14ac:dyDescent="0.25">
      <c r="A3758">
        <v>3759</v>
      </c>
      <c r="B3758" t="s">
        <v>7527</v>
      </c>
      <c r="C3758" s="1">
        <v>37.250488993099999</v>
      </c>
      <c r="D3758" s="1">
        <v>-7.0177637220599998</v>
      </c>
      <c r="E3758" s="3">
        <v>4</v>
      </c>
      <c r="F3758" s="2">
        <v>3</v>
      </c>
      <c r="G3758" s="4">
        <v>4</v>
      </c>
      <c r="H3758" s="13"/>
      <c r="I3758" s="15"/>
      <c r="J3758" s="19">
        <v>4</v>
      </c>
      <c r="K3758" s="2" t="s">
        <v>7528</v>
      </c>
      <c r="L3758" s="11" t="str">
        <f t="shared" si="62"/>
        <v>Ver Imagen</v>
      </c>
      <c r="M3758" t="s">
        <v>15</v>
      </c>
    </row>
    <row r="3759" spans="1:13" x14ac:dyDescent="0.25">
      <c r="A3759">
        <v>3760</v>
      </c>
      <c r="B3759" t="s">
        <v>7529</v>
      </c>
      <c r="C3759" s="1">
        <v>37.247504147599997</v>
      </c>
      <c r="D3759" s="1">
        <v>-7.0183962482300002</v>
      </c>
      <c r="E3759" s="3">
        <v>4</v>
      </c>
      <c r="F3759" s="2">
        <v>3</v>
      </c>
      <c r="G3759" s="4">
        <v>4</v>
      </c>
      <c r="H3759" s="13"/>
      <c r="I3759" s="15"/>
      <c r="J3759" s="19">
        <v>4</v>
      </c>
      <c r="K3759" s="2" t="s">
        <v>7530</v>
      </c>
      <c r="L3759" s="11" t="str">
        <f t="shared" si="62"/>
        <v>Ver Imagen</v>
      </c>
      <c r="M3759" t="s">
        <v>15</v>
      </c>
    </row>
    <row r="3760" spans="1:13" x14ac:dyDescent="0.25">
      <c r="A3760">
        <v>3761</v>
      </c>
      <c r="B3760" t="s">
        <v>7531</v>
      </c>
      <c r="C3760" s="1">
        <v>37.246712279400001</v>
      </c>
      <c r="D3760" s="1">
        <v>-7.0184259294600002</v>
      </c>
      <c r="E3760" s="3">
        <v>4</v>
      </c>
      <c r="F3760" s="2">
        <v>3</v>
      </c>
      <c r="G3760" s="4">
        <v>4</v>
      </c>
      <c r="H3760" s="13"/>
      <c r="I3760" s="15"/>
      <c r="J3760" s="19">
        <v>4</v>
      </c>
      <c r="K3760" s="2" t="s">
        <v>7532</v>
      </c>
      <c r="L3760" s="11" t="str">
        <f t="shared" si="62"/>
        <v>Ver Imagen</v>
      </c>
      <c r="M3760" t="s">
        <v>15</v>
      </c>
    </row>
    <row r="3761" spans="1:13" x14ac:dyDescent="0.25">
      <c r="A3761">
        <v>3762</v>
      </c>
      <c r="B3761" t="s">
        <v>7533</v>
      </c>
      <c r="C3761" s="1">
        <v>37.2432474318</v>
      </c>
      <c r="D3761" s="1">
        <v>-7.0185583438999997</v>
      </c>
      <c r="E3761" s="3">
        <v>4</v>
      </c>
      <c r="F3761" s="2">
        <v>3</v>
      </c>
      <c r="G3761" s="4">
        <v>4</v>
      </c>
      <c r="H3761" s="13"/>
      <c r="I3761" s="15"/>
      <c r="J3761" s="19">
        <v>4</v>
      </c>
      <c r="K3761" s="2" t="s">
        <v>7534</v>
      </c>
      <c r="L3761" s="11" t="str">
        <f t="shared" si="62"/>
        <v>Ver Imagen</v>
      </c>
      <c r="M3761" t="s">
        <v>15</v>
      </c>
    </row>
    <row r="3762" spans="1:13" x14ac:dyDescent="0.25">
      <c r="A3762">
        <v>3763</v>
      </c>
      <c r="B3762" t="s">
        <v>7535</v>
      </c>
      <c r="C3762" s="1">
        <v>37.205359925899998</v>
      </c>
      <c r="D3762" s="1">
        <v>-7.0172448687399998</v>
      </c>
      <c r="E3762" s="3">
        <v>4</v>
      </c>
      <c r="F3762" s="2">
        <v>3</v>
      </c>
      <c r="G3762" s="4">
        <v>4</v>
      </c>
      <c r="H3762" s="13"/>
      <c r="I3762" s="15"/>
      <c r="J3762" s="19">
        <v>4</v>
      </c>
      <c r="K3762" s="2" t="s">
        <v>7536</v>
      </c>
      <c r="L3762" s="11" t="str">
        <f t="shared" si="62"/>
        <v>Ver Imagen</v>
      </c>
      <c r="M3762" t="s">
        <v>15</v>
      </c>
    </row>
    <row r="3763" spans="1:13" x14ac:dyDescent="0.25">
      <c r="A3763">
        <v>3764</v>
      </c>
      <c r="B3763" t="s">
        <v>7537</v>
      </c>
      <c r="C3763" s="1">
        <v>37.236968555700003</v>
      </c>
      <c r="D3763" s="1">
        <v>-7.0187208762799997</v>
      </c>
      <c r="E3763" s="3">
        <v>4</v>
      </c>
      <c r="F3763" s="2">
        <v>3</v>
      </c>
      <c r="G3763" s="4">
        <v>4</v>
      </c>
      <c r="H3763" s="13"/>
      <c r="I3763" s="15"/>
      <c r="J3763" s="19">
        <v>4</v>
      </c>
      <c r="K3763" s="2" t="s">
        <v>7538</v>
      </c>
      <c r="L3763" s="11" t="str">
        <f t="shared" si="62"/>
        <v>Ver Imagen</v>
      </c>
      <c r="M3763" t="s">
        <v>15</v>
      </c>
    </row>
    <row r="3764" spans="1:13" x14ac:dyDescent="0.25">
      <c r="A3764">
        <v>3765</v>
      </c>
      <c r="B3764" t="s">
        <v>7539</v>
      </c>
      <c r="C3764" s="1">
        <v>37.236775552200001</v>
      </c>
      <c r="D3764" s="1">
        <v>-7.0186967941100002</v>
      </c>
      <c r="E3764" s="3">
        <v>4</v>
      </c>
      <c r="F3764" s="2">
        <v>3</v>
      </c>
      <c r="G3764" s="4">
        <v>4</v>
      </c>
      <c r="H3764" s="13"/>
      <c r="I3764" s="15"/>
      <c r="J3764" s="19">
        <v>4</v>
      </c>
      <c r="K3764" s="2" t="s">
        <v>7540</v>
      </c>
      <c r="L3764" s="11" t="str">
        <f t="shared" si="62"/>
        <v>Ver Imagen</v>
      </c>
      <c r="M3764" t="s">
        <v>15</v>
      </c>
    </row>
    <row r="3765" spans="1:13" x14ac:dyDescent="0.25">
      <c r="A3765">
        <v>3766</v>
      </c>
      <c r="B3765" t="s">
        <v>7541</v>
      </c>
      <c r="C3765" s="1">
        <v>37.236579842799998</v>
      </c>
      <c r="D3765" s="1">
        <v>-7.0186661185199997</v>
      </c>
      <c r="E3765" s="3">
        <v>4</v>
      </c>
      <c r="F3765" s="2">
        <v>3</v>
      </c>
      <c r="G3765" s="4">
        <v>4</v>
      </c>
      <c r="H3765" s="13"/>
      <c r="I3765" s="15"/>
      <c r="J3765" s="19">
        <v>4</v>
      </c>
      <c r="K3765" s="2" t="s">
        <v>7542</v>
      </c>
      <c r="L3765" s="11" t="str">
        <f t="shared" si="62"/>
        <v>Ver Imagen</v>
      </c>
      <c r="M3765" t="s">
        <v>15</v>
      </c>
    </row>
    <row r="3766" spans="1:13" x14ac:dyDescent="0.25">
      <c r="A3766">
        <v>3767</v>
      </c>
      <c r="B3766" t="s">
        <v>7543</v>
      </c>
      <c r="C3766" s="1">
        <v>37.221868848100002</v>
      </c>
      <c r="D3766" s="1">
        <v>-7.0231339848300003</v>
      </c>
      <c r="E3766" s="3">
        <v>4</v>
      </c>
      <c r="F3766" s="2">
        <v>3</v>
      </c>
      <c r="G3766" s="4">
        <v>4</v>
      </c>
      <c r="H3766" s="13"/>
      <c r="I3766" s="15"/>
      <c r="J3766" s="19">
        <v>4</v>
      </c>
      <c r="K3766" s="2" t="s">
        <v>7544</v>
      </c>
      <c r="L3766" s="11" t="str">
        <f t="shared" si="62"/>
        <v>Ver Imagen</v>
      </c>
      <c r="M3766" t="s">
        <v>15</v>
      </c>
    </row>
    <row r="3767" spans="1:13" x14ac:dyDescent="0.25">
      <c r="A3767">
        <v>3768</v>
      </c>
      <c r="B3767" t="s">
        <v>7545</v>
      </c>
      <c r="C3767" s="1">
        <v>37.221646231199998</v>
      </c>
      <c r="D3767" s="1">
        <v>-7.0231120785599996</v>
      </c>
      <c r="E3767" s="3">
        <v>4</v>
      </c>
      <c r="F3767" s="2">
        <v>3</v>
      </c>
      <c r="G3767" s="4">
        <v>4</v>
      </c>
      <c r="H3767" s="13"/>
      <c r="I3767" s="15"/>
      <c r="J3767" s="19">
        <v>4</v>
      </c>
      <c r="K3767" s="2" t="s">
        <v>7546</v>
      </c>
      <c r="L3767" s="11" t="str">
        <f t="shared" si="62"/>
        <v>Ver Imagen</v>
      </c>
      <c r="M3767" t="s">
        <v>15</v>
      </c>
    </row>
    <row r="3768" spans="1:13" x14ac:dyDescent="0.25">
      <c r="A3768">
        <v>3769</v>
      </c>
      <c r="B3768" t="s">
        <v>7547</v>
      </c>
      <c r="C3768" s="1">
        <v>37.221214673799999</v>
      </c>
      <c r="D3768" s="1">
        <v>-7.0230714257500004</v>
      </c>
      <c r="E3768" s="3">
        <v>4</v>
      </c>
      <c r="F3768" s="2">
        <v>3</v>
      </c>
      <c r="G3768" s="4">
        <v>4</v>
      </c>
      <c r="H3768" s="13"/>
      <c r="I3768" s="15"/>
      <c r="J3768" s="19">
        <v>4</v>
      </c>
      <c r="K3768" s="2" t="s">
        <v>7548</v>
      </c>
      <c r="L3768" s="11" t="str">
        <f t="shared" si="62"/>
        <v>Ver Imagen</v>
      </c>
      <c r="M3768" t="s">
        <v>15</v>
      </c>
    </row>
    <row r="3769" spans="1:13" x14ac:dyDescent="0.25">
      <c r="A3769">
        <v>3770</v>
      </c>
      <c r="B3769" t="s">
        <v>7549</v>
      </c>
      <c r="C3769" s="1">
        <v>37.2210234223</v>
      </c>
      <c r="D3769" s="1">
        <v>-7.0230542371100002</v>
      </c>
      <c r="E3769" s="3">
        <v>4</v>
      </c>
      <c r="F3769" s="2">
        <v>3</v>
      </c>
      <c r="G3769" s="4">
        <v>4</v>
      </c>
      <c r="H3769" s="13"/>
      <c r="I3769" s="15"/>
      <c r="J3769" s="19">
        <v>4</v>
      </c>
      <c r="K3769" s="2" t="s">
        <v>7550</v>
      </c>
      <c r="L3769" s="11" t="str">
        <f t="shared" si="62"/>
        <v>Ver Imagen</v>
      </c>
      <c r="M3769" t="s">
        <v>15</v>
      </c>
    </row>
    <row r="3770" spans="1:13" x14ac:dyDescent="0.25">
      <c r="A3770">
        <v>3771</v>
      </c>
      <c r="B3770" t="s">
        <v>7551</v>
      </c>
      <c r="C3770" s="1">
        <v>37.220634645700002</v>
      </c>
      <c r="D3770" s="1">
        <v>-7.0230199341999997</v>
      </c>
      <c r="E3770" s="3">
        <v>4</v>
      </c>
      <c r="F3770" s="2">
        <v>3</v>
      </c>
      <c r="G3770" s="4">
        <v>4</v>
      </c>
      <c r="H3770" s="13"/>
      <c r="I3770" s="15"/>
      <c r="J3770" s="19">
        <v>4</v>
      </c>
      <c r="K3770" s="2" t="s">
        <v>7552</v>
      </c>
      <c r="L3770" s="11" t="str">
        <f t="shared" si="62"/>
        <v>Ver Imagen</v>
      </c>
      <c r="M3770" t="s">
        <v>15</v>
      </c>
    </row>
    <row r="3771" spans="1:13" x14ac:dyDescent="0.25">
      <c r="A3771">
        <v>3772</v>
      </c>
      <c r="B3771" t="s">
        <v>7553</v>
      </c>
      <c r="C3771" s="1">
        <v>37.220242495800001</v>
      </c>
      <c r="D3771" s="1">
        <v>-7.0229852810500004</v>
      </c>
      <c r="E3771" s="3">
        <v>4</v>
      </c>
      <c r="F3771" s="2">
        <v>3</v>
      </c>
      <c r="G3771" s="4">
        <v>4</v>
      </c>
      <c r="H3771" s="13"/>
      <c r="I3771" s="15"/>
      <c r="J3771" s="19">
        <v>4</v>
      </c>
      <c r="K3771" s="2" t="s">
        <v>7554</v>
      </c>
      <c r="L3771" s="11" t="str">
        <f t="shared" si="62"/>
        <v>Ver Imagen</v>
      </c>
      <c r="M3771" t="s">
        <v>15</v>
      </c>
    </row>
    <row r="3772" spans="1:13" x14ac:dyDescent="0.25">
      <c r="A3772">
        <v>3773</v>
      </c>
      <c r="B3772" t="s">
        <v>7555</v>
      </c>
      <c r="C3772" s="1">
        <v>37.218182752600001</v>
      </c>
      <c r="D3772" s="1">
        <v>-7.0230403313099998</v>
      </c>
      <c r="E3772" s="3">
        <v>4</v>
      </c>
      <c r="F3772" s="2">
        <v>3</v>
      </c>
      <c r="G3772" s="4">
        <v>4</v>
      </c>
      <c r="H3772" s="13"/>
      <c r="I3772" s="15"/>
      <c r="J3772" s="19">
        <v>4</v>
      </c>
      <c r="K3772" s="2" t="s">
        <v>7556</v>
      </c>
      <c r="L3772" s="11" t="str">
        <f t="shared" si="62"/>
        <v>Ver Imagen</v>
      </c>
      <c r="M3772" t="s">
        <v>15</v>
      </c>
    </row>
    <row r="3773" spans="1:13" x14ac:dyDescent="0.25">
      <c r="A3773">
        <v>3774</v>
      </c>
      <c r="B3773" t="s">
        <v>7557</v>
      </c>
      <c r="C3773" s="1">
        <v>37.2171841384</v>
      </c>
      <c r="D3773" s="1">
        <v>-7.0232047356700003</v>
      </c>
      <c r="E3773" s="3">
        <v>4</v>
      </c>
      <c r="F3773" s="2">
        <v>3</v>
      </c>
      <c r="G3773" s="4">
        <v>4</v>
      </c>
      <c r="H3773" s="13"/>
      <c r="I3773" s="15"/>
      <c r="J3773" s="19">
        <v>4</v>
      </c>
      <c r="K3773" s="2" t="s">
        <v>7558</v>
      </c>
      <c r="L3773" s="11" t="str">
        <f t="shared" si="62"/>
        <v>Ver Imagen</v>
      </c>
      <c r="M3773" t="s">
        <v>15</v>
      </c>
    </row>
    <row r="3774" spans="1:13" x14ac:dyDescent="0.25">
      <c r="A3774">
        <v>3775</v>
      </c>
      <c r="B3774" t="s">
        <v>7559</v>
      </c>
      <c r="C3774" s="1">
        <v>37.215988728500001</v>
      </c>
      <c r="D3774" s="1">
        <v>-7.0234166893400003</v>
      </c>
      <c r="E3774" s="3">
        <v>4</v>
      </c>
      <c r="F3774" s="2">
        <v>3</v>
      </c>
      <c r="G3774" s="4">
        <v>4</v>
      </c>
      <c r="H3774" s="13"/>
      <c r="I3774" s="15"/>
      <c r="J3774" s="19">
        <v>4</v>
      </c>
      <c r="K3774" s="2" t="s">
        <v>7560</v>
      </c>
      <c r="L3774" s="11" t="str">
        <f t="shared" si="62"/>
        <v>Ver Imagen</v>
      </c>
      <c r="M3774" t="s">
        <v>15</v>
      </c>
    </row>
    <row r="3775" spans="1:13" x14ac:dyDescent="0.25">
      <c r="A3775">
        <v>3776</v>
      </c>
      <c r="B3775" t="s">
        <v>7561</v>
      </c>
      <c r="C3775" s="1">
        <v>37.215791436799996</v>
      </c>
      <c r="D3775" s="1">
        <v>-7.0234502894100004</v>
      </c>
      <c r="E3775" s="3">
        <v>4</v>
      </c>
      <c r="F3775" s="2">
        <v>3</v>
      </c>
      <c r="G3775" s="4">
        <v>4</v>
      </c>
      <c r="H3775" s="13"/>
      <c r="I3775" s="15"/>
      <c r="J3775" s="19">
        <v>4</v>
      </c>
      <c r="K3775" s="2" t="s">
        <v>7562</v>
      </c>
      <c r="L3775" s="11" t="str">
        <f t="shared" si="62"/>
        <v>Ver Imagen</v>
      </c>
      <c r="M3775" t="s">
        <v>15</v>
      </c>
    </row>
    <row r="3776" spans="1:13" x14ac:dyDescent="0.25">
      <c r="A3776">
        <v>3777</v>
      </c>
      <c r="B3776" t="s">
        <v>7563</v>
      </c>
      <c r="C3776" s="1">
        <v>37.2147908874</v>
      </c>
      <c r="D3776" s="1">
        <v>-7.0236223043899999</v>
      </c>
      <c r="E3776" s="3">
        <v>4</v>
      </c>
      <c r="F3776" s="2">
        <v>3</v>
      </c>
      <c r="G3776" s="4">
        <v>4</v>
      </c>
      <c r="H3776" s="13"/>
      <c r="I3776" s="15"/>
      <c r="J3776" s="19">
        <v>4</v>
      </c>
      <c r="K3776" s="2" t="s">
        <v>7564</v>
      </c>
      <c r="L3776" s="11" t="str">
        <f t="shared" si="62"/>
        <v>Ver Imagen</v>
      </c>
      <c r="M3776" t="s">
        <v>15</v>
      </c>
    </row>
    <row r="3777" spans="1:13" x14ac:dyDescent="0.25">
      <c r="A3777">
        <v>3778</v>
      </c>
      <c r="B3777" t="s">
        <v>7565</v>
      </c>
      <c r="C3777" s="1">
        <v>37.2145465284</v>
      </c>
      <c r="D3777" s="1">
        <v>-7.0236677940999996</v>
      </c>
      <c r="E3777" s="3">
        <v>4</v>
      </c>
      <c r="F3777" s="2">
        <v>3</v>
      </c>
      <c r="G3777" s="4">
        <v>4</v>
      </c>
      <c r="H3777" s="13"/>
      <c r="I3777" s="15"/>
      <c r="J3777" s="19">
        <v>4</v>
      </c>
      <c r="K3777" s="2" t="s">
        <v>7566</v>
      </c>
      <c r="L3777" s="11" t="str">
        <f t="shared" si="62"/>
        <v>Ver Imagen</v>
      </c>
      <c r="M3777" t="s">
        <v>15</v>
      </c>
    </row>
    <row r="3778" spans="1:13" x14ac:dyDescent="0.25">
      <c r="A3778">
        <v>3779</v>
      </c>
      <c r="B3778" t="s">
        <v>7567</v>
      </c>
      <c r="C3778" s="1">
        <v>37.214200621099998</v>
      </c>
      <c r="D3778" s="1">
        <v>-7.0237341759299996</v>
      </c>
      <c r="E3778" s="3">
        <v>4</v>
      </c>
      <c r="F3778" s="2">
        <v>3</v>
      </c>
      <c r="G3778" s="4">
        <v>4</v>
      </c>
      <c r="H3778" s="13"/>
      <c r="I3778" s="15"/>
      <c r="J3778" s="19">
        <v>4</v>
      </c>
      <c r="K3778" s="2" t="s">
        <v>7568</v>
      </c>
      <c r="L3778" s="11" t="str">
        <f t="shared" si="62"/>
        <v>Ver Imagen</v>
      </c>
      <c r="M3778" t="s">
        <v>15</v>
      </c>
    </row>
    <row r="3779" spans="1:13" x14ac:dyDescent="0.25">
      <c r="A3779">
        <v>3780</v>
      </c>
      <c r="B3779" t="s">
        <v>7569</v>
      </c>
      <c r="C3779" s="1">
        <v>37.213371695900001</v>
      </c>
      <c r="D3779" s="1">
        <v>-7.0238818074499996</v>
      </c>
      <c r="E3779" s="3">
        <v>4</v>
      </c>
      <c r="F3779" s="2">
        <v>3</v>
      </c>
      <c r="G3779" s="4">
        <v>4</v>
      </c>
      <c r="H3779" s="13"/>
      <c r="I3779" s="15"/>
      <c r="J3779" s="19">
        <v>4</v>
      </c>
      <c r="K3779" s="2" t="s">
        <v>7570</v>
      </c>
      <c r="L3779" s="11" t="str">
        <f t="shared" si="62"/>
        <v>Ver Imagen</v>
      </c>
      <c r="M3779" t="s">
        <v>15</v>
      </c>
    </row>
    <row r="3780" spans="1:13" x14ac:dyDescent="0.25">
      <c r="A3780">
        <v>3781</v>
      </c>
      <c r="B3780" t="s">
        <v>7571</v>
      </c>
      <c r="C3780" s="1">
        <v>37.212419308599998</v>
      </c>
      <c r="D3780" s="1">
        <v>-7.0240180262000003</v>
      </c>
      <c r="E3780" s="3">
        <v>4</v>
      </c>
      <c r="F3780" s="2">
        <v>3</v>
      </c>
      <c r="G3780" s="4">
        <v>4</v>
      </c>
      <c r="H3780" s="13"/>
      <c r="I3780" s="15"/>
      <c r="J3780" s="19">
        <v>4</v>
      </c>
      <c r="K3780" s="2" t="s">
        <v>7572</v>
      </c>
      <c r="L3780" s="11" t="str">
        <f t="shared" si="62"/>
        <v>Ver Imagen</v>
      </c>
      <c r="M3780" t="s">
        <v>15</v>
      </c>
    </row>
    <row r="3781" spans="1:13" x14ac:dyDescent="0.25">
      <c r="A3781">
        <v>3782</v>
      </c>
      <c r="B3781" t="s">
        <v>7573</v>
      </c>
      <c r="C3781" s="1">
        <v>37.209789024400003</v>
      </c>
      <c r="D3781" s="1">
        <v>-7.0236374396999999</v>
      </c>
      <c r="E3781" s="3">
        <v>4</v>
      </c>
      <c r="F3781" s="2">
        <v>3</v>
      </c>
      <c r="G3781" s="4">
        <v>4</v>
      </c>
      <c r="H3781" s="13"/>
      <c r="I3781" s="15"/>
      <c r="J3781" s="19">
        <v>4</v>
      </c>
      <c r="K3781" s="2" t="s">
        <v>7574</v>
      </c>
      <c r="L3781" s="11" t="str">
        <f t="shared" si="62"/>
        <v>Ver Imagen</v>
      </c>
      <c r="M3781" t="s">
        <v>15</v>
      </c>
    </row>
    <row r="3782" spans="1:13" x14ac:dyDescent="0.25">
      <c r="A3782">
        <v>3783</v>
      </c>
      <c r="B3782" t="s">
        <v>7575</v>
      </c>
      <c r="C3782" s="1">
        <v>37.241352578499999</v>
      </c>
      <c r="D3782" s="1">
        <v>-7.01843492303</v>
      </c>
      <c r="E3782" s="3">
        <v>4</v>
      </c>
      <c r="F3782" s="2">
        <v>3</v>
      </c>
      <c r="G3782" s="4">
        <v>4</v>
      </c>
      <c r="H3782" s="13"/>
      <c r="I3782" s="15"/>
      <c r="J3782" s="19">
        <v>4</v>
      </c>
      <c r="K3782" s="2" t="s">
        <v>7576</v>
      </c>
      <c r="L3782" s="11" t="str">
        <f t="shared" si="62"/>
        <v>Ver Imagen</v>
      </c>
      <c r="M3782" t="s">
        <v>15</v>
      </c>
    </row>
    <row r="3783" spans="1:13" x14ac:dyDescent="0.25">
      <c r="A3783">
        <v>3784</v>
      </c>
      <c r="B3783" t="s">
        <v>7577</v>
      </c>
      <c r="C3783" s="1">
        <v>37.241757465799999</v>
      </c>
      <c r="D3783" s="1">
        <v>-7.0184203419699998</v>
      </c>
      <c r="E3783" s="3">
        <v>4</v>
      </c>
      <c r="F3783" s="2">
        <v>3</v>
      </c>
      <c r="G3783" s="4">
        <v>4</v>
      </c>
      <c r="H3783" s="13"/>
      <c r="I3783" s="15"/>
      <c r="J3783" s="19">
        <v>4</v>
      </c>
      <c r="K3783" s="2" t="s">
        <v>7578</v>
      </c>
      <c r="L3783" s="11" t="str">
        <f t="shared" si="62"/>
        <v>Ver Imagen</v>
      </c>
      <c r="M3783" t="s">
        <v>15</v>
      </c>
    </row>
    <row r="3784" spans="1:13" x14ac:dyDescent="0.25">
      <c r="A3784">
        <v>3785</v>
      </c>
      <c r="B3784" t="s">
        <v>7579</v>
      </c>
      <c r="C3784" s="1">
        <v>37.243158528599999</v>
      </c>
      <c r="D3784" s="1">
        <v>-7.0183634572700004</v>
      </c>
      <c r="E3784" s="3">
        <v>4</v>
      </c>
      <c r="F3784" s="2">
        <v>3</v>
      </c>
      <c r="G3784" s="4">
        <v>4</v>
      </c>
      <c r="H3784" s="13"/>
      <c r="I3784" s="15"/>
      <c r="J3784" s="19">
        <v>4</v>
      </c>
      <c r="K3784" s="2" t="s">
        <v>7580</v>
      </c>
      <c r="L3784" s="11" t="str">
        <f t="shared" si="62"/>
        <v>Ver Imagen</v>
      </c>
      <c r="M3784" t="s">
        <v>15</v>
      </c>
    </row>
    <row r="3785" spans="1:13" x14ac:dyDescent="0.25">
      <c r="A3785">
        <v>3786</v>
      </c>
      <c r="B3785" t="s">
        <v>7581</v>
      </c>
      <c r="C3785" s="1">
        <v>37.243353251099997</v>
      </c>
      <c r="D3785" s="1">
        <v>-7.0183549112100003</v>
      </c>
      <c r="E3785" s="3">
        <v>4</v>
      </c>
      <c r="F3785" s="2">
        <v>3</v>
      </c>
      <c r="G3785" s="4">
        <v>4</v>
      </c>
      <c r="H3785" s="13"/>
      <c r="I3785" s="15"/>
      <c r="J3785" s="19">
        <v>4</v>
      </c>
      <c r="K3785" s="2" t="s">
        <v>7582</v>
      </c>
      <c r="L3785" s="11" t="str">
        <f t="shared" si="62"/>
        <v>Ver Imagen</v>
      </c>
      <c r="M3785" t="s">
        <v>15</v>
      </c>
    </row>
    <row r="3786" spans="1:13" x14ac:dyDescent="0.25">
      <c r="A3786">
        <v>3787</v>
      </c>
      <c r="B3786" t="s">
        <v>7583</v>
      </c>
      <c r="C3786" s="1">
        <v>37.245421167400004</v>
      </c>
      <c r="D3786" s="1">
        <v>-7.0182808563699997</v>
      </c>
      <c r="E3786" s="3">
        <v>4</v>
      </c>
      <c r="F3786" s="2">
        <v>3</v>
      </c>
      <c r="G3786" s="4">
        <v>4</v>
      </c>
      <c r="H3786" s="13"/>
      <c r="I3786" s="15"/>
      <c r="J3786" s="19">
        <v>4</v>
      </c>
      <c r="K3786" s="2" t="s">
        <v>7584</v>
      </c>
      <c r="L3786" s="11" t="str">
        <f t="shared" si="62"/>
        <v>Ver Imagen</v>
      </c>
      <c r="M3786" t="s">
        <v>15</v>
      </c>
    </row>
    <row r="3787" spans="1:13" x14ac:dyDescent="0.25">
      <c r="A3787">
        <v>3788</v>
      </c>
      <c r="B3787" t="s">
        <v>7585</v>
      </c>
      <c r="C3787" s="1">
        <v>37.251642300999997</v>
      </c>
      <c r="D3787" s="1">
        <v>-7.01682977869</v>
      </c>
      <c r="E3787" s="3">
        <v>4</v>
      </c>
      <c r="F3787" s="2">
        <v>3</v>
      </c>
      <c r="G3787" s="4">
        <v>4</v>
      </c>
      <c r="H3787" s="13"/>
      <c r="I3787" s="15"/>
      <c r="J3787" s="19">
        <v>4</v>
      </c>
      <c r="K3787" s="2" t="s">
        <v>7586</v>
      </c>
      <c r="L3787" s="11" t="str">
        <f t="shared" si="62"/>
        <v>Ver Imagen</v>
      </c>
      <c r="M3787" t="s">
        <v>15</v>
      </c>
    </row>
    <row r="3788" spans="1:13" x14ac:dyDescent="0.25">
      <c r="A3788">
        <v>3789</v>
      </c>
      <c r="B3788" t="s">
        <v>7587</v>
      </c>
      <c r="C3788" s="1">
        <v>37.255246076500001</v>
      </c>
      <c r="D3788" s="1">
        <v>-7.0145354844299996</v>
      </c>
      <c r="E3788" s="3">
        <v>4</v>
      </c>
      <c r="F3788" s="2">
        <v>3</v>
      </c>
      <c r="G3788" s="4">
        <v>4</v>
      </c>
      <c r="H3788" s="13"/>
      <c r="I3788" s="15"/>
      <c r="J3788" s="19">
        <v>4</v>
      </c>
      <c r="K3788" s="2" t="s">
        <v>7588</v>
      </c>
      <c r="L3788" s="11" t="str">
        <f t="shared" si="62"/>
        <v>Ver Imagen</v>
      </c>
      <c r="M3788" t="s">
        <v>15</v>
      </c>
    </row>
    <row r="3789" spans="1:13" x14ac:dyDescent="0.25">
      <c r="A3789">
        <v>3790</v>
      </c>
      <c r="B3789" t="s">
        <v>7589</v>
      </c>
      <c r="C3789" s="1">
        <v>37.255796350300002</v>
      </c>
      <c r="D3789" s="1">
        <v>-7.01419036311</v>
      </c>
      <c r="E3789" s="3">
        <v>4</v>
      </c>
      <c r="F3789" s="2">
        <v>3</v>
      </c>
      <c r="G3789" s="4">
        <v>4</v>
      </c>
      <c r="H3789" s="13"/>
      <c r="I3789" s="15"/>
      <c r="J3789" s="19">
        <v>4</v>
      </c>
      <c r="K3789" s="2" t="s">
        <v>7590</v>
      </c>
      <c r="L3789" s="11" t="str">
        <f t="shared" si="62"/>
        <v>Ver Imagen</v>
      </c>
      <c r="M3789" t="s">
        <v>15</v>
      </c>
    </row>
    <row r="3790" spans="1:13" x14ac:dyDescent="0.25">
      <c r="A3790">
        <v>3791</v>
      </c>
      <c r="B3790" t="s">
        <v>7591</v>
      </c>
      <c r="C3790" s="1">
        <v>37.257648231899999</v>
      </c>
      <c r="D3790" s="1">
        <v>-7.01300677479</v>
      </c>
      <c r="E3790" s="3">
        <v>4</v>
      </c>
      <c r="F3790" s="2">
        <v>3</v>
      </c>
      <c r="G3790" s="4">
        <v>4</v>
      </c>
      <c r="H3790" s="13"/>
      <c r="I3790" s="15"/>
      <c r="J3790" s="19">
        <v>4</v>
      </c>
      <c r="K3790" s="2" t="s">
        <v>7592</v>
      </c>
      <c r="L3790" s="11" t="str">
        <f t="shared" si="62"/>
        <v>Ver Imagen</v>
      </c>
      <c r="M3790" t="s">
        <v>15</v>
      </c>
    </row>
    <row r="3791" spans="1:13" x14ac:dyDescent="0.25">
      <c r="A3791">
        <v>3792</v>
      </c>
      <c r="B3791" t="s">
        <v>7593</v>
      </c>
      <c r="C3791" s="1">
        <v>37.2577900478</v>
      </c>
      <c r="D3791" s="1">
        <v>-7.0129164265900004</v>
      </c>
      <c r="E3791" s="3">
        <v>4</v>
      </c>
      <c r="F3791" s="2">
        <v>3</v>
      </c>
      <c r="G3791" s="4">
        <v>4</v>
      </c>
      <c r="H3791" s="13"/>
      <c r="I3791" s="15"/>
      <c r="J3791" s="19">
        <v>4</v>
      </c>
      <c r="K3791" s="2" t="s">
        <v>7594</v>
      </c>
      <c r="L3791" s="11" t="str">
        <f t="shared" si="62"/>
        <v>Ver Imagen</v>
      </c>
      <c r="M3791" t="s">
        <v>15</v>
      </c>
    </row>
    <row r="3792" spans="1:13" x14ac:dyDescent="0.25">
      <c r="A3792">
        <v>3793</v>
      </c>
      <c r="B3792" t="s">
        <v>7595</v>
      </c>
      <c r="C3792" s="1">
        <v>37.259995785500003</v>
      </c>
      <c r="D3792" s="1">
        <v>-7.0115090710899999</v>
      </c>
      <c r="E3792" s="3">
        <v>4</v>
      </c>
      <c r="F3792" s="2">
        <v>3</v>
      </c>
      <c r="G3792" s="4">
        <v>4</v>
      </c>
      <c r="H3792" s="13"/>
      <c r="I3792" s="15"/>
      <c r="J3792" s="19">
        <v>4</v>
      </c>
      <c r="K3792" s="2" t="s">
        <v>7596</v>
      </c>
      <c r="L3792" s="11" t="str">
        <f t="shared" si="62"/>
        <v>Ver Imagen</v>
      </c>
      <c r="M3792" t="s">
        <v>15</v>
      </c>
    </row>
    <row r="3793" spans="1:13" x14ac:dyDescent="0.25">
      <c r="A3793">
        <v>3794</v>
      </c>
      <c r="B3793" t="s">
        <v>7597</v>
      </c>
      <c r="C3793" s="1">
        <v>37.263019744799998</v>
      </c>
      <c r="D3793" s="1">
        <v>-7.00842203856</v>
      </c>
      <c r="E3793" s="3">
        <v>4</v>
      </c>
      <c r="F3793" s="2">
        <v>3</v>
      </c>
      <c r="G3793" s="4">
        <v>4</v>
      </c>
      <c r="H3793" s="13"/>
      <c r="I3793" s="15"/>
      <c r="J3793" s="19">
        <v>4</v>
      </c>
      <c r="K3793" s="2" t="s">
        <v>7598</v>
      </c>
      <c r="L3793" s="11" t="str">
        <f t="shared" si="62"/>
        <v>Ver Imagen</v>
      </c>
      <c r="M3793" t="s">
        <v>15</v>
      </c>
    </row>
    <row r="3794" spans="1:13" x14ac:dyDescent="0.25">
      <c r="A3794">
        <v>3795</v>
      </c>
      <c r="B3794" t="s">
        <v>7599</v>
      </c>
      <c r="C3794" s="1">
        <v>37.2712822839</v>
      </c>
      <c r="D3794" s="1">
        <v>-6.9839323385999998</v>
      </c>
      <c r="E3794" s="3">
        <v>5</v>
      </c>
      <c r="F3794" s="2">
        <v>4</v>
      </c>
      <c r="G3794" s="4">
        <v>4</v>
      </c>
      <c r="H3794" s="13"/>
      <c r="I3794" s="15"/>
      <c r="J3794" s="19">
        <v>4</v>
      </c>
      <c r="K3794" s="2" t="s">
        <v>7600</v>
      </c>
      <c r="L3794" s="11" t="str">
        <f t="shared" si="62"/>
        <v>Ver Imagen</v>
      </c>
      <c r="M3794" t="s">
        <v>15</v>
      </c>
    </row>
    <row r="3795" spans="1:13" x14ac:dyDescent="0.25">
      <c r="A3795">
        <v>3796</v>
      </c>
      <c r="B3795" t="s">
        <v>7601</v>
      </c>
      <c r="C3795" s="1">
        <v>37.2710731592</v>
      </c>
      <c r="D3795" s="1">
        <v>-6.9832102298600001</v>
      </c>
      <c r="E3795" s="3">
        <v>4</v>
      </c>
      <c r="F3795" s="2">
        <v>3</v>
      </c>
      <c r="G3795" s="4">
        <v>4</v>
      </c>
      <c r="H3795" s="13"/>
      <c r="I3795" s="15"/>
      <c r="J3795" s="19">
        <v>4</v>
      </c>
      <c r="K3795" s="2" t="s">
        <v>7602</v>
      </c>
      <c r="L3795" s="11" t="str">
        <f t="shared" si="62"/>
        <v>Ver Imagen</v>
      </c>
      <c r="M3795" t="s">
        <v>15</v>
      </c>
    </row>
    <row r="3796" spans="1:13" x14ac:dyDescent="0.25">
      <c r="A3796">
        <v>3797</v>
      </c>
      <c r="B3796" t="s">
        <v>7603</v>
      </c>
      <c r="C3796" s="1">
        <v>37.270867183100002</v>
      </c>
      <c r="D3796" s="1">
        <v>-6.9824911545699999</v>
      </c>
      <c r="E3796" s="3">
        <v>4</v>
      </c>
      <c r="F3796" s="2">
        <v>3</v>
      </c>
      <c r="G3796" s="4">
        <v>4</v>
      </c>
      <c r="H3796" s="13"/>
      <c r="I3796" s="15"/>
      <c r="J3796" s="19">
        <v>4</v>
      </c>
      <c r="K3796" s="2" t="s">
        <v>7604</v>
      </c>
      <c r="L3796" s="11" t="str">
        <f t="shared" si="62"/>
        <v>Ver Imagen</v>
      </c>
      <c r="M3796" t="s">
        <v>15</v>
      </c>
    </row>
    <row r="3797" spans="1:13" x14ac:dyDescent="0.25">
      <c r="A3797">
        <v>3798</v>
      </c>
      <c r="B3797" t="s">
        <v>7605</v>
      </c>
      <c r="C3797" s="1">
        <v>37.269897309999998</v>
      </c>
      <c r="D3797" s="1">
        <v>-6.9791054688900003</v>
      </c>
      <c r="E3797" s="3">
        <v>4</v>
      </c>
      <c r="F3797" s="2">
        <v>3</v>
      </c>
      <c r="G3797" s="4">
        <v>4</v>
      </c>
      <c r="H3797" s="13"/>
      <c r="I3797" s="15"/>
      <c r="J3797" s="19">
        <v>4</v>
      </c>
      <c r="K3797" s="2" t="s">
        <v>7606</v>
      </c>
      <c r="L3797" s="11" t="str">
        <f t="shared" si="62"/>
        <v>Ver Imagen</v>
      </c>
      <c r="M3797" t="s">
        <v>15</v>
      </c>
    </row>
    <row r="3798" spans="1:13" x14ac:dyDescent="0.25">
      <c r="A3798">
        <v>3799</v>
      </c>
      <c r="B3798" t="s">
        <v>7607</v>
      </c>
      <c r="C3798" s="1">
        <v>37.448608358900003</v>
      </c>
      <c r="D3798" s="1">
        <v>-7.1454678062600001</v>
      </c>
      <c r="E3798" s="3">
        <v>4</v>
      </c>
      <c r="F3798" s="2">
        <v>4</v>
      </c>
      <c r="G3798" s="4">
        <v>5</v>
      </c>
      <c r="H3798" s="13"/>
      <c r="I3798" s="15"/>
      <c r="J3798" s="19">
        <v>4</v>
      </c>
      <c r="K3798" s="2" t="s">
        <v>7608</v>
      </c>
      <c r="L3798" s="11" t="str">
        <f t="shared" si="62"/>
        <v>Ver Imagen</v>
      </c>
      <c r="M3798" t="s">
        <v>15</v>
      </c>
    </row>
    <row r="3799" spans="1:13" x14ac:dyDescent="0.25">
      <c r="A3799">
        <v>3800</v>
      </c>
      <c r="B3799" t="s">
        <v>7609</v>
      </c>
      <c r="C3799" s="1">
        <v>37.464493792200003</v>
      </c>
      <c r="D3799" s="1">
        <v>-7.1794191304300004</v>
      </c>
      <c r="E3799" s="3">
        <v>4</v>
      </c>
      <c r="F3799" s="2">
        <v>4</v>
      </c>
      <c r="G3799" s="4">
        <v>5</v>
      </c>
      <c r="H3799" s="13"/>
      <c r="I3799" s="15"/>
      <c r="J3799" s="19">
        <v>4</v>
      </c>
      <c r="K3799" s="2" t="s">
        <v>7610</v>
      </c>
      <c r="L3799" s="11" t="str">
        <f t="shared" si="62"/>
        <v>Ver Imagen</v>
      </c>
      <c r="M3799" t="s">
        <v>15</v>
      </c>
    </row>
    <row r="3800" spans="1:13" x14ac:dyDescent="0.25">
      <c r="A3800">
        <v>3801</v>
      </c>
      <c r="B3800" t="s">
        <v>7611</v>
      </c>
      <c r="C3800" s="1">
        <v>37.466729768500002</v>
      </c>
      <c r="D3800" s="1">
        <v>-7.18354670103</v>
      </c>
      <c r="E3800" s="3">
        <v>4</v>
      </c>
      <c r="F3800" s="2">
        <v>4</v>
      </c>
      <c r="G3800" s="4">
        <v>5</v>
      </c>
      <c r="H3800" s="13"/>
      <c r="I3800" s="15"/>
      <c r="J3800" s="19">
        <v>4</v>
      </c>
      <c r="K3800" s="2" t="s">
        <v>7612</v>
      </c>
      <c r="L3800" s="11" t="str">
        <f t="shared" si="62"/>
        <v>Ver Imagen</v>
      </c>
      <c r="M3800" t="s">
        <v>15</v>
      </c>
    </row>
    <row r="3801" spans="1:13" x14ac:dyDescent="0.25">
      <c r="A3801">
        <v>3802</v>
      </c>
      <c r="B3801" t="s">
        <v>7613</v>
      </c>
      <c r="C3801" s="1">
        <v>37.490103055699997</v>
      </c>
      <c r="D3801" s="1">
        <v>-7.2592219176999997</v>
      </c>
      <c r="E3801" s="3">
        <v>4</v>
      </c>
      <c r="F3801" s="2">
        <v>4</v>
      </c>
      <c r="G3801" s="4">
        <v>5</v>
      </c>
      <c r="H3801" s="13"/>
      <c r="I3801" s="15"/>
      <c r="J3801" s="19">
        <v>4</v>
      </c>
      <c r="K3801" s="2" t="s">
        <v>7614</v>
      </c>
      <c r="L3801" s="11" t="str">
        <f t="shared" si="62"/>
        <v>Ver Imagen</v>
      </c>
      <c r="M3801" t="s">
        <v>15</v>
      </c>
    </row>
    <row r="3802" spans="1:13" x14ac:dyDescent="0.25">
      <c r="A3802">
        <v>3803</v>
      </c>
      <c r="B3802" t="s">
        <v>7615</v>
      </c>
      <c r="C3802" s="1">
        <v>37.273564581199999</v>
      </c>
      <c r="D3802" s="1">
        <v>-6.99126632705</v>
      </c>
      <c r="E3802" s="3">
        <v>4</v>
      </c>
      <c r="F3802" s="2">
        <v>4</v>
      </c>
      <c r="G3802" s="4">
        <v>5</v>
      </c>
      <c r="H3802" s="13"/>
      <c r="I3802" s="15"/>
      <c r="J3802" s="19">
        <v>4</v>
      </c>
      <c r="K3802" s="2" t="s">
        <v>7616</v>
      </c>
      <c r="L3802" s="11" t="str">
        <f t="shared" si="62"/>
        <v>Ver Imagen</v>
      </c>
      <c r="M3802" t="s">
        <v>15</v>
      </c>
    </row>
    <row r="3803" spans="1:13" x14ac:dyDescent="0.25">
      <c r="A3803">
        <v>3804</v>
      </c>
      <c r="B3803" t="s">
        <v>7617</v>
      </c>
      <c r="C3803" s="1">
        <v>37.276055164600002</v>
      </c>
      <c r="D3803" s="1">
        <v>-6.9908467110599997</v>
      </c>
      <c r="E3803" s="3">
        <v>4</v>
      </c>
      <c r="F3803" s="2">
        <v>4</v>
      </c>
      <c r="G3803" s="4">
        <v>5</v>
      </c>
      <c r="H3803" s="13"/>
      <c r="I3803" s="15"/>
      <c r="J3803" s="19">
        <v>4</v>
      </c>
      <c r="K3803" s="2" t="s">
        <v>7618</v>
      </c>
      <c r="L3803" s="11" t="str">
        <f t="shared" si="62"/>
        <v>Ver Imagen</v>
      </c>
      <c r="M3803" t="s">
        <v>15</v>
      </c>
    </row>
    <row r="3804" spans="1:13" x14ac:dyDescent="0.25">
      <c r="A3804">
        <v>3805</v>
      </c>
      <c r="B3804" t="s">
        <v>7619</v>
      </c>
      <c r="C3804" s="1">
        <v>37.280086998400002</v>
      </c>
      <c r="D3804" s="1">
        <v>-6.9994781365399996</v>
      </c>
      <c r="E3804" s="3">
        <v>5</v>
      </c>
      <c r="F3804" s="2">
        <v>4</v>
      </c>
      <c r="G3804" s="4">
        <v>4</v>
      </c>
      <c r="H3804" s="13"/>
      <c r="I3804" s="15"/>
      <c r="J3804" s="19">
        <v>4</v>
      </c>
      <c r="K3804" s="2" t="s">
        <v>7620</v>
      </c>
      <c r="L3804" s="11" t="str">
        <f t="shared" si="62"/>
        <v>Ver Imagen</v>
      </c>
      <c r="M3804" t="s">
        <v>15</v>
      </c>
    </row>
    <row r="3805" spans="1:13" x14ac:dyDescent="0.25">
      <c r="A3805">
        <v>3806</v>
      </c>
      <c r="B3805" t="s">
        <v>7621</v>
      </c>
      <c r="C3805" s="1">
        <v>37.2802182378</v>
      </c>
      <c r="D3805" s="1">
        <v>-6.9999257012799996</v>
      </c>
      <c r="E3805" s="3">
        <v>5</v>
      </c>
      <c r="F3805" s="2">
        <v>4</v>
      </c>
      <c r="G3805" s="4">
        <v>4</v>
      </c>
      <c r="H3805" s="13"/>
      <c r="I3805" s="15"/>
      <c r="J3805" s="19">
        <v>4</v>
      </c>
      <c r="K3805" s="2" t="s">
        <v>7622</v>
      </c>
      <c r="L3805" s="11" t="str">
        <f t="shared" si="62"/>
        <v>Ver Imagen</v>
      </c>
      <c r="M3805" t="s">
        <v>15</v>
      </c>
    </row>
    <row r="3806" spans="1:13" x14ac:dyDescent="0.25">
      <c r="A3806">
        <v>3807</v>
      </c>
      <c r="B3806" t="s">
        <v>7623</v>
      </c>
      <c r="C3806" s="1">
        <v>37.4539103177</v>
      </c>
      <c r="D3806" s="1">
        <v>-7.1125578029499996</v>
      </c>
      <c r="E3806" s="3">
        <v>5</v>
      </c>
      <c r="F3806" s="2">
        <v>4</v>
      </c>
      <c r="G3806" s="4">
        <v>4</v>
      </c>
      <c r="H3806" s="13"/>
      <c r="I3806" s="15"/>
      <c r="J3806" s="19">
        <v>4</v>
      </c>
      <c r="K3806" s="2" t="s">
        <v>7624</v>
      </c>
      <c r="L3806" s="11" t="str">
        <f t="shared" si="62"/>
        <v>Ver Imagen</v>
      </c>
      <c r="M3806" t="s">
        <v>15</v>
      </c>
    </row>
    <row r="3807" spans="1:13" x14ac:dyDescent="0.25">
      <c r="A3807">
        <v>3808</v>
      </c>
      <c r="B3807" t="s">
        <v>7625</v>
      </c>
      <c r="C3807" s="1">
        <v>37.453527905000001</v>
      </c>
      <c r="D3807" s="1">
        <v>-7.1123490303999999</v>
      </c>
      <c r="E3807" s="3">
        <v>4</v>
      </c>
      <c r="F3807" s="2">
        <v>4</v>
      </c>
      <c r="G3807" s="4">
        <v>5</v>
      </c>
      <c r="H3807" s="13"/>
      <c r="I3807" s="15"/>
      <c r="J3807" s="19">
        <v>4</v>
      </c>
      <c r="K3807" s="2" t="s">
        <v>7626</v>
      </c>
      <c r="L3807" s="11" t="str">
        <f t="shared" si="62"/>
        <v>Ver Imagen</v>
      </c>
      <c r="M3807" t="s">
        <v>15</v>
      </c>
    </row>
    <row r="3808" spans="1:13" x14ac:dyDescent="0.25">
      <c r="A3808">
        <v>3809</v>
      </c>
      <c r="B3808" t="s">
        <v>7627</v>
      </c>
      <c r="C3808" s="1">
        <v>37.450018553900001</v>
      </c>
      <c r="D3808" s="1">
        <v>-7.11038754454</v>
      </c>
      <c r="E3808" s="3">
        <v>4</v>
      </c>
      <c r="F3808" s="2">
        <v>4</v>
      </c>
      <c r="G3808" s="4">
        <v>5</v>
      </c>
      <c r="H3808" s="13"/>
      <c r="I3808" s="15"/>
      <c r="J3808" s="19">
        <v>4</v>
      </c>
      <c r="K3808" s="2" t="s">
        <v>7628</v>
      </c>
      <c r="L3808" s="11" t="str">
        <f t="shared" ref="L3808:L3871" si="63">HYPERLINK("4\1\" &amp; K3808, "Ver Imagen")</f>
        <v>Ver Imagen</v>
      </c>
      <c r="M3808" t="s">
        <v>15</v>
      </c>
    </row>
    <row r="3809" spans="1:13" x14ac:dyDescent="0.25">
      <c r="A3809">
        <v>3810</v>
      </c>
      <c r="B3809" t="s">
        <v>7629</v>
      </c>
      <c r="C3809" s="1">
        <v>37.449829983500003</v>
      </c>
      <c r="D3809" s="1">
        <v>-7.1103189797599997</v>
      </c>
      <c r="E3809" s="3">
        <v>4</v>
      </c>
      <c r="F3809" s="2">
        <v>4</v>
      </c>
      <c r="G3809" s="4">
        <v>5</v>
      </c>
      <c r="H3809" s="13"/>
      <c r="I3809" s="15"/>
      <c r="J3809" s="19">
        <v>4</v>
      </c>
      <c r="K3809" s="2" t="s">
        <v>7630</v>
      </c>
      <c r="L3809" s="11" t="str">
        <f t="shared" si="63"/>
        <v>Ver Imagen</v>
      </c>
      <c r="M3809" t="s">
        <v>15</v>
      </c>
    </row>
    <row r="3810" spans="1:13" x14ac:dyDescent="0.25">
      <c r="A3810">
        <v>3811</v>
      </c>
      <c r="B3810" t="s">
        <v>7631</v>
      </c>
      <c r="C3810" s="1">
        <v>37.449635384499999</v>
      </c>
      <c r="D3810" s="1">
        <v>-7.1102255797199998</v>
      </c>
      <c r="E3810" s="3">
        <v>4</v>
      </c>
      <c r="F3810" s="2">
        <v>4</v>
      </c>
      <c r="G3810" s="4">
        <v>5</v>
      </c>
      <c r="H3810" s="13"/>
      <c r="I3810" s="15"/>
      <c r="J3810" s="19">
        <v>4</v>
      </c>
      <c r="K3810" s="2" t="s">
        <v>7632</v>
      </c>
      <c r="L3810" s="11" t="str">
        <f t="shared" si="63"/>
        <v>Ver Imagen</v>
      </c>
      <c r="M3810" t="s">
        <v>15</v>
      </c>
    </row>
    <row r="3811" spans="1:13" x14ac:dyDescent="0.25">
      <c r="A3811">
        <v>3812</v>
      </c>
      <c r="B3811" t="s">
        <v>7633</v>
      </c>
      <c r="C3811" s="1">
        <v>37.268789635300003</v>
      </c>
      <c r="D3811" s="1">
        <v>-6.9750118796600002</v>
      </c>
      <c r="E3811" s="3">
        <v>4</v>
      </c>
      <c r="F3811" s="2">
        <v>4</v>
      </c>
      <c r="G3811" s="4">
        <v>5</v>
      </c>
      <c r="H3811" s="13"/>
      <c r="I3811" s="15"/>
      <c r="J3811" s="19">
        <v>4</v>
      </c>
      <c r="K3811" s="2" t="s">
        <v>7634</v>
      </c>
      <c r="L3811" s="11" t="str">
        <f t="shared" si="63"/>
        <v>Ver Imagen</v>
      </c>
      <c r="M3811" t="s">
        <v>15</v>
      </c>
    </row>
    <row r="3812" spans="1:13" x14ac:dyDescent="0.25">
      <c r="A3812">
        <v>3813</v>
      </c>
      <c r="B3812" t="s">
        <v>7635</v>
      </c>
      <c r="C3812" s="1">
        <v>37.268378359099998</v>
      </c>
      <c r="D3812" s="1">
        <v>-6.9730776348000001</v>
      </c>
      <c r="E3812" s="3">
        <v>4</v>
      </c>
      <c r="F3812" s="2">
        <v>4</v>
      </c>
      <c r="G3812" s="4">
        <v>5</v>
      </c>
      <c r="H3812" s="13"/>
      <c r="I3812" s="15"/>
      <c r="J3812" s="19">
        <v>4</v>
      </c>
      <c r="K3812" s="2" t="s">
        <v>7636</v>
      </c>
      <c r="L3812" s="11" t="str">
        <f t="shared" si="63"/>
        <v>Ver Imagen</v>
      </c>
      <c r="M3812" t="s">
        <v>15</v>
      </c>
    </row>
    <row r="3813" spans="1:13" x14ac:dyDescent="0.25">
      <c r="A3813">
        <v>3814</v>
      </c>
      <c r="B3813" t="s">
        <v>7637</v>
      </c>
      <c r="C3813" s="1">
        <v>37.495462736699999</v>
      </c>
      <c r="D3813" s="1">
        <v>-7.2692276577500001</v>
      </c>
      <c r="E3813" s="3">
        <v>4</v>
      </c>
      <c r="F3813" s="2">
        <v>4</v>
      </c>
      <c r="G3813" s="4">
        <v>5</v>
      </c>
      <c r="H3813" s="13"/>
      <c r="I3813" s="15"/>
      <c r="J3813" s="19">
        <v>4</v>
      </c>
      <c r="K3813" s="2" t="s">
        <v>7638</v>
      </c>
      <c r="L3813" s="11" t="str">
        <f t="shared" si="63"/>
        <v>Ver Imagen</v>
      </c>
      <c r="M3813" t="s">
        <v>15</v>
      </c>
    </row>
    <row r="3814" spans="1:13" x14ac:dyDescent="0.25">
      <c r="A3814">
        <v>3815</v>
      </c>
      <c r="B3814" t="s">
        <v>7639</v>
      </c>
      <c r="C3814" s="1">
        <v>37.4471411265</v>
      </c>
      <c r="D3814" s="1">
        <v>-7.1280079789300004</v>
      </c>
      <c r="E3814" s="3">
        <v>4</v>
      </c>
      <c r="F3814" s="2">
        <v>4</v>
      </c>
      <c r="G3814" s="4">
        <v>3</v>
      </c>
      <c r="H3814" s="13"/>
      <c r="I3814" s="15"/>
      <c r="J3814" s="19">
        <v>4</v>
      </c>
      <c r="K3814" s="2" t="s">
        <v>7640</v>
      </c>
      <c r="L3814" s="11" t="str">
        <f t="shared" si="63"/>
        <v>Ver Imagen</v>
      </c>
      <c r="M3814" t="s">
        <v>15</v>
      </c>
    </row>
    <row r="3815" spans="1:13" x14ac:dyDescent="0.25">
      <c r="A3815">
        <v>3816</v>
      </c>
      <c r="B3815" t="s">
        <v>7641</v>
      </c>
      <c r="C3815" s="1">
        <v>37.4669439113</v>
      </c>
      <c r="D3815" s="1">
        <v>-7.1839806036600002</v>
      </c>
      <c r="E3815" s="3">
        <v>3</v>
      </c>
      <c r="F3815" s="2">
        <v>4</v>
      </c>
      <c r="G3815" s="4">
        <v>4</v>
      </c>
      <c r="H3815" s="13"/>
      <c r="I3815" s="15"/>
      <c r="J3815" s="19">
        <v>4</v>
      </c>
      <c r="K3815" s="2" t="s">
        <v>7642</v>
      </c>
      <c r="L3815" s="11" t="str">
        <f t="shared" si="63"/>
        <v>Ver Imagen</v>
      </c>
      <c r="M3815" t="s">
        <v>15</v>
      </c>
    </row>
    <row r="3816" spans="1:13" x14ac:dyDescent="0.25">
      <c r="A3816">
        <v>3817</v>
      </c>
      <c r="B3816" t="s">
        <v>7643</v>
      </c>
      <c r="C3816" s="1">
        <v>37.273410440500001</v>
      </c>
      <c r="D3816" s="1">
        <v>-6.9913537851700003</v>
      </c>
      <c r="E3816" s="3">
        <v>3</v>
      </c>
      <c r="F3816" s="2">
        <v>4</v>
      </c>
      <c r="G3816" s="4">
        <v>4</v>
      </c>
      <c r="H3816" s="13"/>
      <c r="I3816" s="15"/>
      <c r="J3816" s="19">
        <v>4</v>
      </c>
      <c r="K3816" s="2" t="s">
        <v>7644</v>
      </c>
      <c r="L3816" s="11" t="str">
        <f t="shared" si="63"/>
        <v>Ver Imagen</v>
      </c>
      <c r="M3816" t="s">
        <v>15</v>
      </c>
    </row>
    <row r="3817" spans="1:13" x14ac:dyDescent="0.25">
      <c r="A3817">
        <v>3818</v>
      </c>
      <c r="B3817" t="s">
        <v>7645</v>
      </c>
      <c r="C3817" s="1">
        <v>37.274963627399998</v>
      </c>
      <c r="D3817" s="1">
        <v>-6.9911985076100001</v>
      </c>
      <c r="E3817" s="3">
        <v>3</v>
      </c>
      <c r="F3817" s="2">
        <v>4</v>
      </c>
      <c r="G3817" s="4">
        <v>4</v>
      </c>
      <c r="H3817" s="13"/>
      <c r="I3817" s="15"/>
      <c r="J3817" s="19">
        <v>4</v>
      </c>
      <c r="K3817" s="2" t="s">
        <v>7646</v>
      </c>
      <c r="L3817" s="11" t="str">
        <f t="shared" si="63"/>
        <v>Ver Imagen</v>
      </c>
      <c r="M3817" t="s">
        <v>15</v>
      </c>
    </row>
    <row r="3818" spans="1:13" x14ac:dyDescent="0.25">
      <c r="A3818">
        <v>3819</v>
      </c>
      <c r="B3818" t="s">
        <v>7647</v>
      </c>
      <c r="C3818" s="1">
        <v>37.275593556300002</v>
      </c>
      <c r="D3818" s="1">
        <v>-6.9911276510600002</v>
      </c>
      <c r="E3818" s="3">
        <v>3</v>
      </c>
      <c r="F3818" s="2">
        <v>4</v>
      </c>
      <c r="G3818" s="4">
        <v>4</v>
      </c>
      <c r="H3818" s="13"/>
      <c r="I3818" s="15"/>
      <c r="J3818" s="19">
        <v>4</v>
      </c>
      <c r="K3818" s="2" t="s">
        <v>7648</v>
      </c>
      <c r="L3818" s="11" t="str">
        <f t="shared" si="63"/>
        <v>Ver Imagen</v>
      </c>
      <c r="M3818" t="s">
        <v>15</v>
      </c>
    </row>
    <row r="3819" spans="1:13" x14ac:dyDescent="0.25">
      <c r="A3819">
        <v>3820</v>
      </c>
      <c r="B3819" t="s">
        <v>7649</v>
      </c>
      <c r="C3819" s="1">
        <v>37.276536661400002</v>
      </c>
      <c r="D3819" s="1">
        <v>-6.9913859504699998</v>
      </c>
      <c r="E3819" s="3">
        <v>3</v>
      </c>
      <c r="F3819" s="2">
        <v>4</v>
      </c>
      <c r="G3819" s="4">
        <v>4</v>
      </c>
      <c r="H3819" s="13"/>
      <c r="I3819" s="15"/>
      <c r="J3819" s="19">
        <v>4</v>
      </c>
      <c r="K3819" s="2" t="s">
        <v>7650</v>
      </c>
      <c r="L3819" s="11" t="str">
        <f t="shared" si="63"/>
        <v>Ver Imagen</v>
      </c>
      <c r="M3819" t="s">
        <v>15</v>
      </c>
    </row>
    <row r="3820" spans="1:13" x14ac:dyDescent="0.25">
      <c r="A3820">
        <v>3821</v>
      </c>
      <c r="B3820" t="s">
        <v>7651</v>
      </c>
      <c r="C3820" s="1">
        <v>37.2769009565</v>
      </c>
      <c r="D3820" s="1">
        <v>-6.9916723308200002</v>
      </c>
      <c r="E3820" s="3">
        <v>3</v>
      </c>
      <c r="F3820" s="2">
        <v>4</v>
      </c>
      <c r="G3820" s="4">
        <v>4</v>
      </c>
      <c r="H3820" s="13"/>
      <c r="I3820" s="15"/>
      <c r="J3820" s="19">
        <v>4</v>
      </c>
      <c r="K3820" s="2" t="s">
        <v>7652</v>
      </c>
      <c r="L3820" s="11" t="str">
        <f t="shared" si="63"/>
        <v>Ver Imagen</v>
      </c>
      <c r="M3820" t="s">
        <v>15</v>
      </c>
    </row>
    <row r="3821" spans="1:13" x14ac:dyDescent="0.25">
      <c r="A3821">
        <v>3822</v>
      </c>
      <c r="B3821" t="s">
        <v>7653</v>
      </c>
      <c r="C3821" s="1">
        <v>37.277730987600002</v>
      </c>
      <c r="D3821" s="1">
        <v>-6.9924025800600003</v>
      </c>
      <c r="E3821" s="3">
        <v>4</v>
      </c>
      <c r="F3821" s="2">
        <v>4</v>
      </c>
      <c r="G3821" s="4">
        <v>3</v>
      </c>
      <c r="H3821" s="13"/>
      <c r="I3821" s="15"/>
      <c r="J3821" s="19">
        <v>4</v>
      </c>
      <c r="K3821" s="2" t="s">
        <v>7654</v>
      </c>
      <c r="L3821" s="11" t="str">
        <f t="shared" si="63"/>
        <v>Ver Imagen</v>
      </c>
      <c r="M3821" t="s">
        <v>15</v>
      </c>
    </row>
    <row r="3822" spans="1:13" x14ac:dyDescent="0.25">
      <c r="A3822">
        <v>3823</v>
      </c>
      <c r="B3822" t="s">
        <v>7655</v>
      </c>
      <c r="C3822" s="1">
        <v>37.2803935102</v>
      </c>
      <c r="D3822" s="1">
        <v>-7.0049959122800001</v>
      </c>
      <c r="E3822" s="3">
        <v>3</v>
      </c>
      <c r="F3822" s="2">
        <v>4</v>
      </c>
      <c r="G3822" s="4">
        <v>4</v>
      </c>
      <c r="H3822" s="13"/>
      <c r="I3822" s="15"/>
      <c r="J3822" s="19">
        <v>4</v>
      </c>
      <c r="K3822" s="2" t="s">
        <v>7656</v>
      </c>
      <c r="L3822" s="11" t="str">
        <f t="shared" si="63"/>
        <v>Ver Imagen</v>
      </c>
      <c r="M3822" t="s">
        <v>15</v>
      </c>
    </row>
    <row r="3823" spans="1:13" x14ac:dyDescent="0.25">
      <c r="A3823">
        <v>3824</v>
      </c>
      <c r="B3823" t="s">
        <v>7657</v>
      </c>
      <c r="C3823" s="1">
        <v>37.316092050500004</v>
      </c>
      <c r="D3823" s="1">
        <v>-7.0691746891799996</v>
      </c>
      <c r="E3823" s="3">
        <v>3</v>
      </c>
      <c r="F3823" s="2">
        <v>4</v>
      </c>
      <c r="G3823" s="4">
        <v>4</v>
      </c>
      <c r="H3823" s="13"/>
      <c r="I3823" s="15"/>
      <c r="J3823" s="19">
        <v>4</v>
      </c>
      <c r="K3823" s="2" t="s">
        <v>7658</v>
      </c>
      <c r="L3823" s="11" t="str">
        <f t="shared" si="63"/>
        <v>Ver Imagen</v>
      </c>
      <c r="M3823" t="s">
        <v>15</v>
      </c>
    </row>
    <row r="3824" spans="1:13" x14ac:dyDescent="0.25">
      <c r="A3824">
        <v>3825</v>
      </c>
      <c r="B3824" t="s">
        <v>7659</v>
      </c>
      <c r="C3824" s="1">
        <v>37.457163583000003</v>
      </c>
      <c r="D3824" s="1">
        <v>-7.11396894629</v>
      </c>
      <c r="E3824" s="3">
        <v>3</v>
      </c>
      <c r="F3824" s="2">
        <v>4</v>
      </c>
      <c r="G3824" s="4">
        <v>4</v>
      </c>
      <c r="H3824" s="13"/>
      <c r="I3824" s="15"/>
      <c r="J3824" s="19">
        <v>4</v>
      </c>
      <c r="K3824" s="2" t="s">
        <v>7660</v>
      </c>
      <c r="L3824" s="11" t="str">
        <f t="shared" si="63"/>
        <v>Ver Imagen</v>
      </c>
      <c r="M3824" t="s">
        <v>15</v>
      </c>
    </row>
    <row r="3825" spans="1:13" x14ac:dyDescent="0.25">
      <c r="A3825">
        <v>3826</v>
      </c>
      <c r="B3825" t="s">
        <v>7661</v>
      </c>
      <c r="C3825" s="1">
        <v>37.456941445299996</v>
      </c>
      <c r="D3825" s="1">
        <v>-7.1138876700300004</v>
      </c>
      <c r="E3825" s="3">
        <v>3</v>
      </c>
      <c r="F3825" s="2">
        <v>4</v>
      </c>
      <c r="G3825" s="4">
        <v>4</v>
      </c>
      <c r="H3825" s="13"/>
      <c r="I3825" s="15"/>
      <c r="J3825" s="19">
        <v>4</v>
      </c>
      <c r="K3825" s="2" t="s">
        <v>7662</v>
      </c>
      <c r="L3825" s="11" t="str">
        <f t="shared" si="63"/>
        <v>Ver Imagen</v>
      </c>
      <c r="M3825" t="s">
        <v>15</v>
      </c>
    </row>
    <row r="3826" spans="1:13" x14ac:dyDescent="0.25">
      <c r="A3826">
        <v>3827</v>
      </c>
      <c r="B3826" t="s">
        <v>7663</v>
      </c>
      <c r="C3826" s="1">
        <v>37.456364687899999</v>
      </c>
      <c r="D3826" s="1">
        <v>-7.1136770981200002</v>
      </c>
      <c r="E3826" s="3">
        <v>4</v>
      </c>
      <c r="F3826" s="2">
        <v>4</v>
      </c>
      <c r="G3826" s="4">
        <v>3</v>
      </c>
      <c r="H3826" s="13"/>
      <c r="I3826" s="15"/>
      <c r="J3826" s="19">
        <v>4</v>
      </c>
      <c r="K3826" s="2" t="s">
        <v>7664</v>
      </c>
      <c r="L3826" s="11" t="str">
        <f t="shared" si="63"/>
        <v>Ver Imagen</v>
      </c>
      <c r="M3826" t="s">
        <v>15</v>
      </c>
    </row>
    <row r="3827" spans="1:13" x14ac:dyDescent="0.25">
      <c r="A3827">
        <v>3828</v>
      </c>
      <c r="B3827" t="s">
        <v>7665</v>
      </c>
      <c r="C3827" s="1">
        <v>37.4559509523</v>
      </c>
      <c r="D3827" s="1">
        <v>-7.1135260763700003</v>
      </c>
      <c r="E3827" s="3">
        <v>4</v>
      </c>
      <c r="F3827" s="2">
        <v>4</v>
      </c>
      <c r="G3827" s="4">
        <v>3</v>
      </c>
      <c r="H3827" s="13"/>
      <c r="I3827" s="15"/>
      <c r="J3827" s="19">
        <v>4</v>
      </c>
      <c r="K3827" s="2" t="s">
        <v>7666</v>
      </c>
      <c r="L3827" s="11" t="str">
        <f t="shared" si="63"/>
        <v>Ver Imagen</v>
      </c>
      <c r="M3827" t="s">
        <v>15</v>
      </c>
    </row>
    <row r="3828" spans="1:13" x14ac:dyDescent="0.25">
      <c r="A3828">
        <v>3829</v>
      </c>
      <c r="B3828" t="s">
        <v>7667</v>
      </c>
      <c r="C3828" s="1">
        <v>37.453316470200001</v>
      </c>
      <c r="D3828" s="1">
        <v>-7.1122360126200004</v>
      </c>
      <c r="E3828" s="3">
        <v>3</v>
      </c>
      <c r="F3828" s="2">
        <v>4</v>
      </c>
      <c r="G3828" s="4">
        <v>4</v>
      </c>
      <c r="H3828" s="13"/>
      <c r="I3828" s="15"/>
      <c r="J3828" s="19">
        <v>4</v>
      </c>
      <c r="K3828" s="2" t="s">
        <v>7668</v>
      </c>
      <c r="L3828" s="11" t="str">
        <f t="shared" si="63"/>
        <v>Ver Imagen</v>
      </c>
      <c r="M3828" t="s">
        <v>15</v>
      </c>
    </row>
    <row r="3829" spans="1:13" x14ac:dyDescent="0.25">
      <c r="A3829">
        <v>3830</v>
      </c>
      <c r="B3829" t="s">
        <v>7669</v>
      </c>
      <c r="C3829" s="1">
        <v>37.452961085600002</v>
      </c>
      <c r="D3829" s="1">
        <v>-7.11204652218</v>
      </c>
      <c r="E3829" s="3">
        <v>3</v>
      </c>
      <c r="F3829" s="2">
        <v>4</v>
      </c>
      <c r="G3829" s="4">
        <v>4</v>
      </c>
      <c r="H3829" s="13"/>
      <c r="I3829" s="15"/>
      <c r="J3829" s="19">
        <v>4</v>
      </c>
      <c r="K3829" s="2" t="s">
        <v>7670</v>
      </c>
      <c r="L3829" s="11" t="str">
        <f t="shared" si="63"/>
        <v>Ver Imagen</v>
      </c>
      <c r="M3829" t="s">
        <v>15</v>
      </c>
    </row>
    <row r="3830" spans="1:13" x14ac:dyDescent="0.25">
      <c r="A3830">
        <v>3831</v>
      </c>
      <c r="B3830" t="s">
        <v>7671</v>
      </c>
      <c r="C3830" s="1">
        <v>37.452212971500003</v>
      </c>
      <c r="D3830" s="1">
        <v>-7.11163461714</v>
      </c>
      <c r="E3830" s="3">
        <v>3</v>
      </c>
      <c r="F3830" s="2">
        <v>4</v>
      </c>
      <c r="G3830" s="4">
        <v>4</v>
      </c>
      <c r="H3830" s="13"/>
      <c r="I3830" s="15"/>
      <c r="J3830" s="19">
        <v>4</v>
      </c>
      <c r="K3830" s="2" t="s">
        <v>7672</v>
      </c>
      <c r="L3830" s="11" t="str">
        <f t="shared" si="63"/>
        <v>Ver Imagen</v>
      </c>
      <c r="M3830" t="s">
        <v>15</v>
      </c>
    </row>
    <row r="3831" spans="1:13" x14ac:dyDescent="0.25">
      <c r="A3831">
        <v>3832</v>
      </c>
      <c r="B3831" t="s">
        <v>7673</v>
      </c>
      <c r="C3831" s="1">
        <v>37.449081056300003</v>
      </c>
      <c r="D3831" s="1">
        <v>-7.1099196238299998</v>
      </c>
      <c r="E3831" s="3">
        <v>3</v>
      </c>
      <c r="F3831" s="2">
        <v>4</v>
      </c>
      <c r="G3831" s="4">
        <v>4</v>
      </c>
      <c r="H3831" s="13"/>
      <c r="I3831" s="15"/>
      <c r="J3831" s="19">
        <v>4</v>
      </c>
      <c r="K3831" s="2" t="s">
        <v>7674</v>
      </c>
      <c r="L3831" s="11" t="str">
        <f t="shared" si="63"/>
        <v>Ver Imagen</v>
      </c>
      <c r="M3831" t="s">
        <v>15</v>
      </c>
    </row>
    <row r="3832" spans="1:13" x14ac:dyDescent="0.25">
      <c r="A3832">
        <v>3833</v>
      </c>
      <c r="B3832" t="s">
        <v>7675</v>
      </c>
      <c r="C3832" s="1">
        <v>37.268163879500001</v>
      </c>
      <c r="D3832" s="1">
        <v>-6.9718693588000002</v>
      </c>
      <c r="E3832" s="3">
        <v>4</v>
      </c>
      <c r="F3832" s="2">
        <v>4</v>
      </c>
      <c r="G3832" s="4">
        <v>3</v>
      </c>
      <c r="H3832" s="13"/>
      <c r="I3832" s="15"/>
      <c r="J3832" s="19">
        <v>4</v>
      </c>
      <c r="K3832" s="2" t="s">
        <v>7676</v>
      </c>
      <c r="L3832" s="11" t="str">
        <f t="shared" si="63"/>
        <v>Ver Imagen</v>
      </c>
      <c r="M3832" t="s">
        <v>15</v>
      </c>
    </row>
    <row r="3833" spans="1:13" x14ac:dyDescent="0.25">
      <c r="A3833">
        <v>3834</v>
      </c>
      <c r="B3833" t="s">
        <v>7677</v>
      </c>
      <c r="C3833" s="1">
        <v>37.266655398300003</v>
      </c>
      <c r="D3833" s="1">
        <v>-6.9574632845500002</v>
      </c>
      <c r="E3833" s="3">
        <v>3</v>
      </c>
      <c r="F3833" s="2">
        <v>4</v>
      </c>
      <c r="G3833" s="4">
        <v>4</v>
      </c>
      <c r="H3833" s="13"/>
      <c r="I3833" s="15"/>
      <c r="J3833" s="19">
        <v>4</v>
      </c>
      <c r="K3833" s="2" t="s">
        <v>7678</v>
      </c>
      <c r="L3833" s="11" t="str">
        <f t="shared" si="63"/>
        <v>Ver Imagen</v>
      </c>
      <c r="M3833" t="s">
        <v>15</v>
      </c>
    </row>
    <row r="3834" spans="1:13" x14ac:dyDescent="0.25">
      <c r="A3834">
        <v>3835</v>
      </c>
      <c r="B3834" t="s">
        <v>7679</v>
      </c>
      <c r="C3834" s="1">
        <v>37.204580126300002</v>
      </c>
      <c r="D3834" s="1">
        <v>-7.02800256004</v>
      </c>
      <c r="E3834" s="3">
        <v>5</v>
      </c>
      <c r="F3834" s="2">
        <v>4</v>
      </c>
      <c r="G3834" s="4">
        <v>4</v>
      </c>
      <c r="H3834" s="13"/>
      <c r="I3834" s="15"/>
      <c r="J3834" s="19">
        <v>4</v>
      </c>
      <c r="K3834" s="2" t="s">
        <v>7680</v>
      </c>
      <c r="L3834" s="11" t="str">
        <f t="shared" si="63"/>
        <v>Ver Imagen</v>
      </c>
      <c r="M3834" t="s">
        <v>15</v>
      </c>
    </row>
    <row r="3835" spans="1:13" x14ac:dyDescent="0.25">
      <c r="A3835">
        <v>3836</v>
      </c>
      <c r="B3835" t="s">
        <v>7681</v>
      </c>
      <c r="C3835" s="1">
        <v>37.268546240299997</v>
      </c>
      <c r="D3835" s="1">
        <v>-7.1369599731199997</v>
      </c>
      <c r="E3835" s="3">
        <v>5</v>
      </c>
      <c r="F3835" s="2">
        <v>4</v>
      </c>
      <c r="G3835" s="4">
        <v>4</v>
      </c>
      <c r="H3835" s="13"/>
      <c r="I3835" s="15"/>
      <c r="J3835" s="19">
        <v>4</v>
      </c>
      <c r="K3835" s="2" t="s">
        <v>7682</v>
      </c>
      <c r="L3835" s="11" t="str">
        <f t="shared" si="63"/>
        <v>Ver Imagen</v>
      </c>
      <c r="M3835" t="s">
        <v>15</v>
      </c>
    </row>
    <row r="3836" spans="1:13" x14ac:dyDescent="0.25">
      <c r="A3836">
        <v>3837</v>
      </c>
      <c r="B3836" t="s">
        <v>7683</v>
      </c>
      <c r="C3836" s="1">
        <v>37.268326255600002</v>
      </c>
      <c r="D3836" s="1">
        <v>-7.1359682189000004</v>
      </c>
      <c r="E3836" s="3">
        <v>5</v>
      </c>
      <c r="F3836" s="2">
        <v>4</v>
      </c>
      <c r="G3836" s="4">
        <v>4</v>
      </c>
      <c r="H3836" s="13"/>
      <c r="I3836" s="15"/>
      <c r="J3836" s="19">
        <v>4</v>
      </c>
      <c r="K3836" s="2" t="s">
        <v>7684</v>
      </c>
      <c r="L3836" s="11" t="str">
        <f t="shared" si="63"/>
        <v>Ver Imagen</v>
      </c>
      <c r="M3836" t="s">
        <v>15</v>
      </c>
    </row>
    <row r="3837" spans="1:13" x14ac:dyDescent="0.25">
      <c r="A3837">
        <v>3838</v>
      </c>
      <c r="B3837" t="s">
        <v>7685</v>
      </c>
      <c r="C3837" s="1">
        <v>37.268053686599998</v>
      </c>
      <c r="D3837" s="1">
        <v>-7.1350291871399998</v>
      </c>
      <c r="E3837" s="3">
        <v>5</v>
      </c>
      <c r="F3837" s="2">
        <v>4</v>
      </c>
      <c r="G3837" s="4">
        <v>4</v>
      </c>
      <c r="H3837" s="13"/>
      <c r="I3837" s="15"/>
      <c r="J3837" s="19">
        <v>4</v>
      </c>
      <c r="K3837" s="2" t="s">
        <v>7686</v>
      </c>
      <c r="L3837" s="11" t="str">
        <f t="shared" si="63"/>
        <v>Ver Imagen</v>
      </c>
      <c r="M3837" t="s">
        <v>15</v>
      </c>
    </row>
    <row r="3838" spans="1:13" x14ac:dyDescent="0.25">
      <c r="A3838">
        <v>3839</v>
      </c>
      <c r="B3838" t="s">
        <v>7687</v>
      </c>
      <c r="C3838" s="1">
        <v>37.2646664241</v>
      </c>
      <c r="D3838" s="1">
        <v>-7.1320091254899998</v>
      </c>
      <c r="E3838" s="3">
        <v>5</v>
      </c>
      <c r="F3838" s="2">
        <v>4</v>
      </c>
      <c r="G3838" s="4">
        <v>4</v>
      </c>
      <c r="H3838" s="13"/>
      <c r="I3838" s="15"/>
      <c r="J3838" s="19">
        <v>4</v>
      </c>
      <c r="K3838" s="2" t="s">
        <v>7688</v>
      </c>
      <c r="L3838" s="11" t="str">
        <f t="shared" si="63"/>
        <v>Ver Imagen</v>
      </c>
      <c r="M3838" t="s">
        <v>15</v>
      </c>
    </row>
    <row r="3839" spans="1:13" x14ac:dyDescent="0.25">
      <c r="A3839">
        <v>3840</v>
      </c>
      <c r="B3839" t="s">
        <v>7689</v>
      </c>
      <c r="C3839" s="1">
        <v>37.221229505099998</v>
      </c>
      <c r="D3839" s="1">
        <v>-7.0539042925500004</v>
      </c>
      <c r="E3839" s="3">
        <v>4</v>
      </c>
      <c r="F3839" s="2">
        <v>4</v>
      </c>
      <c r="G3839" s="4">
        <v>3</v>
      </c>
      <c r="H3839" s="13"/>
      <c r="I3839" s="15"/>
      <c r="J3839" s="19">
        <v>4</v>
      </c>
      <c r="K3839" s="2" t="s">
        <v>7690</v>
      </c>
      <c r="L3839" s="11" t="str">
        <f t="shared" si="63"/>
        <v>Ver Imagen</v>
      </c>
      <c r="M3839" t="s">
        <v>15</v>
      </c>
    </row>
    <row r="3840" spans="1:13" x14ac:dyDescent="0.25">
      <c r="A3840">
        <v>3841</v>
      </c>
      <c r="B3840" t="s">
        <v>7691</v>
      </c>
      <c r="C3840" s="1">
        <v>37.435426608699998</v>
      </c>
      <c r="D3840" s="1">
        <v>-7.0732497807000003</v>
      </c>
      <c r="E3840" s="3">
        <v>4</v>
      </c>
      <c r="F3840" s="2">
        <v>4</v>
      </c>
      <c r="G3840" s="4">
        <v>5</v>
      </c>
      <c r="H3840" s="13"/>
      <c r="I3840" s="15"/>
      <c r="J3840" s="19">
        <v>4</v>
      </c>
      <c r="K3840" s="2" t="s">
        <v>7692</v>
      </c>
      <c r="L3840" s="11" t="str">
        <f t="shared" si="63"/>
        <v>Ver Imagen</v>
      </c>
      <c r="M3840" t="s">
        <v>15</v>
      </c>
    </row>
    <row r="3841" spans="1:13" x14ac:dyDescent="0.25">
      <c r="A3841">
        <v>3842</v>
      </c>
      <c r="B3841" t="s">
        <v>7693</v>
      </c>
      <c r="C3841" s="1">
        <v>37.435318246999998</v>
      </c>
      <c r="D3841" s="1">
        <v>-7.0719894499700002</v>
      </c>
      <c r="E3841" s="3">
        <v>4</v>
      </c>
      <c r="F3841" s="2">
        <v>4</v>
      </c>
      <c r="G3841" s="4">
        <v>3</v>
      </c>
      <c r="H3841" s="13"/>
      <c r="I3841" s="15"/>
      <c r="J3841" s="19">
        <v>4</v>
      </c>
      <c r="K3841" s="2" t="s">
        <v>7694</v>
      </c>
      <c r="L3841" s="11" t="str">
        <f t="shared" si="63"/>
        <v>Ver Imagen</v>
      </c>
      <c r="M3841" t="s">
        <v>15</v>
      </c>
    </row>
    <row r="3842" spans="1:13" x14ac:dyDescent="0.25">
      <c r="A3842">
        <v>3843</v>
      </c>
      <c r="B3842" t="s">
        <v>7695</v>
      </c>
      <c r="C3842" s="1">
        <v>37.435271035299998</v>
      </c>
      <c r="D3842" s="1">
        <v>-7.0714992302799997</v>
      </c>
      <c r="E3842" s="3">
        <v>5</v>
      </c>
      <c r="F3842" s="2">
        <v>4</v>
      </c>
      <c r="G3842" s="4">
        <v>4</v>
      </c>
      <c r="H3842" s="13"/>
      <c r="I3842" s="15"/>
      <c r="J3842" s="19">
        <v>4</v>
      </c>
      <c r="K3842" s="2" t="s">
        <v>7696</v>
      </c>
      <c r="L3842" s="11" t="str">
        <f t="shared" si="63"/>
        <v>Ver Imagen</v>
      </c>
      <c r="M3842" t="s">
        <v>15</v>
      </c>
    </row>
    <row r="3843" spans="1:13" x14ac:dyDescent="0.25">
      <c r="A3843">
        <v>3844</v>
      </c>
      <c r="B3843" t="s">
        <v>7697</v>
      </c>
      <c r="C3843" s="1">
        <v>37.243948678199999</v>
      </c>
      <c r="D3843" s="1">
        <v>-7.0898626526599999</v>
      </c>
      <c r="E3843" s="3">
        <v>3</v>
      </c>
      <c r="F3843" s="2">
        <v>4</v>
      </c>
      <c r="G3843" s="4">
        <v>4</v>
      </c>
      <c r="H3843" s="13"/>
      <c r="I3843" s="15"/>
      <c r="J3843" s="19">
        <v>4</v>
      </c>
      <c r="K3843" s="2" t="s">
        <v>7698</v>
      </c>
      <c r="L3843" s="11" t="str">
        <f t="shared" si="63"/>
        <v>Ver Imagen</v>
      </c>
      <c r="M3843" t="s">
        <v>15</v>
      </c>
    </row>
    <row r="3844" spans="1:13" x14ac:dyDescent="0.25">
      <c r="A3844">
        <v>3845</v>
      </c>
      <c r="B3844" t="s">
        <v>7699</v>
      </c>
      <c r="C3844" s="1">
        <v>37.245428770899998</v>
      </c>
      <c r="D3844" s="1">
        <v>-7.0939676072499998</v>
      </c>
      <c r="E3844" s="3">
        <v>5</v>
      </c>
      <c r="F3844" s="2">
        <v>4</v>
      </c>
      <c r="G3844" s="4">
        <v>4</v>
      </c>
      <c r="H3844" s="13"/>
      <c r="I3844" s="15"/>
      <c r="J3844" s="19">
        <v>4</v>
      </c>
      <c r="K3844" s="2" t="s">
        <v>7700</v>
      </c>
      <c r="L3844" s="11" t="str">
        <f t="shared" si="63"/>
        <v>Ver Imagen</v>
      </c>
      <c r="M3844" t="s">
        <v>15</v>
      </c>
    </row>
    <row r="3845" spans="1:13" x14ac:dyDescent="0.25">
      <c r="A3845">
        <v>3846</v>
      </c>
      <c r="B3845" t="s">
        <v>7701</v>
      </c>
      <c r="C3845" s="1">
        <v>37.2493200073</v>
      </c>
      <c r="D3845" s="1">
        <v>-7.1024388241400001</v>
      </c>
      <c r="E3845" s="3">
        <v>3</v>
      </c>
      <c r="F3845" s="2">
        <v>4</v>
      </c>
      <c r="G3845" s="4">
        <v>4</v>
      </c>
      <c r="H3845" s="13"/>
      <c r="I3845" s="15"/>
      <c r="J3845" s="19">
        <v>4</v>
      </c>
      <c r="K3845" s="2" t="s">
        <v>7702</v>
      </c>
      <c r="L3845" s="11" t="str">
        <f t="shared" si="63"/>
        <v>Ver Imagen</v>
      </c>
      <c r="M3845" t="s">
        <v>15</v>
      </c>
    </row>
    <row r="3846" spans="1:13" x14ac:dyDescent="0.25">
      <c r="A3846">
        <v>3847</v>
      </c>
      <c r="B3846" t="s">
        <v>7703</v>
      </c>
      <c r="C3846" s="1">
        <v>37.254993649699998</v>
      </c>
      <c r="D3846" s="1">
        <v>-7.1131585774800001</v>
      </c>
      <c r="E3846" s="3">
        <v>3</v>
      </c>
      <c r="F3846" s="2">
        <v>4</v>
      </c>
      <c r="G3846" s="4">
        <v>4</v>
      </c>
      <c r="H3846" s="13"/>
      <c r="I3846" s="15"/>
      <c r="J3846" s="19">
        <v>4</v>
      </c>
      <c r="K3846" s="2" t="s">
        <v>7704</v>
      </c>
      <c r="L3846" s="11" t="str">
        <f t="shared" si="63"/>
        <v>Ver Imagen</v>
      </c>
      <c r="M3846" t="s">
        <v>15</v>
      </c>
    </row>
    <row r="3847" spans="1:13" x14ac:dyDescent="0.25">
      <c r="A3847">
        <v>3848</v>
      </c>
      <c r="B3847" t="s">
        <v>7705</v>
      </c>
      <c r="C3847" s="1">
        <v>37.258961337800002</v>
      </c>
      <c r="D3847" s="1">
        <v>-7.1243196695400002</v>
      </c>
      <c r="E3847" s="3">
        <v>4</v>
      </c>
      <c r="F3847" s="2">
        <v>4</v>
      </c>
      <c r="G3847" s="4">
        <v>5</v>
      </c>
      <c r="H3847" s="13"/>
      <c r="I3847" s="15"/>
      <c r="J3847" s="19">
        <v>4</v>
      </c>
      <c r="K3847" s="2" t="s">
        <v>7706</v>
      </c>
      <c r="L3847" s="11" t="str">
        <f t="shared" si="63"/>
        <v>Ver Imagen</v>
      </c>
      <c r="M3847" t="s">
        <v>15</v>
      </c>
    </row>
    <row r="3848" spans="1:13" x14ac:dyDescent="0.25">
      <c r="A3848">
        <v>3849</v>
      </c>
      <c r="B3848" t="s">
        <v>7707</v>
      </c>
      <c r="C3848" s="1">
        <v>37.440037752599999</v>
      </c>
      <c r="D3848" s="1">
        <v>-7.0877339554700001</v>
      </c>
      <c r="E3848" s="3">
        <v>4</v>
      </c>
      <c r="F3848" s="2">
        <v>4</v>
      </c>
      <c r="G3848" s="4">
        <v>3</v>
      </c>
      <c r="H3848" s="13"/>
      <c r="I3848" s="15"/>
      <c r="J3848" s="19">
        <v>4</v>
      </c>
      <c r="K3848" s="2" t="s">
        <v>7708</v>
      </c>
      <c r="L3848" s="11" t="str">
        <f t="shared" si="63"/>
        <v>Ver Imagen</v>
      </c>
      <c r="M3848" t="s">
        <v>15</v>
      </c>
    </row>
    <row r="3849" spans="1:13" x14ac:dyDescent="0.25">
      <c r="A3849">
        <v>3850</v>
      </c>
      <c r="B3849" t="s">
        <v>7709</v>
      </c>
      <c r="C3849" s="1">
        <v>37.4787379415</v>
      </c>
      <c r="D3849" s="1">
        <v>-7.1278849314799997</v>
      </c>
      <c r="E3849" s="3">
        <v>4</v>
      </c>
      <c r="F3849" s="2">
        <v>4</v>
      </c>
      <c r="G3849" s="4">
        <v>3</v>
      </c>
      <c r="H3849" s="13"/>
      <c r="I3849" s="15"/>
      <c r="J3849" s="19">
        <v>4</v>
      </c>
      <c r="K3849" s="2" t="s">
        <v>7710</v>
      </c>
      <c r="L3849" s="11" t="str">
        <f t="shared" si="63"/>
        <v>Ver Imagen</v>
      </c>
      <c r="M3849" t="s">
        <v>15</v>
      </c>
    </row>
    <row r="3850" spans="1:13" x14ac:dyDescent="0.25">
      <c r="A3850">
        <v>3851</v>
      </c>
      <c r="B3850" t="s">
        <v>7711</v>
      </c>
      <c r="C3850" s="1">
        <v>37.477106576600001</v>
      </c>
      <c r="D3850" s="1">
        <v>-7.1260708886900002</v>
      </c>
      <c r="E3850" s="3">
        <v>5</v>
      </c>
      <c r="F3850" s="2">
        <v>4</v>
      </c>
      <c r="G3850" s="4">
        <v>4</v>
      </c>
      <c r="H3850" s="13"/>
      <c r="I3850" s="15"/>
      <c r="J3850" s="19">
        <v>4</v>
      </c>
      <c r="K3850" s="2" t="s">
        <v>7712</v>
      </c>
      <c r="L3850" s="11" t="str">
        <f t="shared" si="63"/>
        <v>Ver Imagen</v>
      </c>
      <c r="M3850" t="s">
        <v>15</v>
      </c>
    </row>
    <row r="3851" spans="1:13" x14ac:dyDescent="0.25">
      <c r="A3851">
        <v>3852</v>
      </c>
      <c r="B3851" t="s">
        <v>7713</v>
      </c>
      <c r="C3851" s="1">
        <v>37.476948350299999</v>
      </c>
      <c r="D3851" s="1">
        <v>-7.1259372970700001</v>
      </c>
      <c r="E3851" s="3">
        <v>4</v>
      </c>
      <c r="F3851" s="2">
        <v>4</v>
      </c>
      <c r="G3851" s="4">
        <v>5</v>
      </c>
      <c r="H3851" s="13"/>
      <c r="I3851" s="15"/>
      <c r="J3851" s="19">
        <v>4</v>
      </c>
      <c r="K3851" s="2" t="s">
        <v>7714</v>
      </c>
      <c r="L3851" s="11" t="str">
        <f t="shared" si="63"/>
        <v>Ver Imagen</v>
      </c>
      <c r="M3851" t="s">
        <v>15</v>
      </c>
    </row>
    <row r="3852" spans="1:13" x14ac:dyDescent="0.25">
      <c r="A3852">
        <v>3853</v>
      </c>
      <c r="B3852" t="s">
        <v>7715</v>
      </c>
      <c r="C3852" s="1">
        <v>37.468487608899999</v>
      </c>
      <c r="D3852" s="1">
        <v>-7.1236034911799999</v>
      </c>
      <c r="E3852" s="3">
        <v>4</v>
      </c>
      <c r="F3852" s="2">
        <v>4</v>
      </c>
      <c r="G3852" s="4">
        <v>5</v>
      </c>
      <c r="H3852" s="13"/>
      <c r="I3852" s="15"/>
      <c r="J3852" s="19">
        <v>4</v>
      </c>
      <c r="K3852" s="2" t="s">
        <v>7716</v>
      </c>
      <c r="L3852" s="11" t="str">
        <f t="shared" si="63"/>
        <v>Ver Imagen</v>
      </c>
      <c r="M3852" t="s">
        <v>15</v>
      </c>
    </row>
    <row r="3853" spans="1:13" x14ac:dyDescent="0.25">
      <c r="A3853">
        <v>3854</v>
      </c>
      <c r="B3853" t="s">
        <v>7717</v>
      </c>
      <c r="C3853" s="1">
        <v>37.4953476361</v>
      </c>
      <c r="D3853" s="1">
        <v>-7.2711960815600003</v>
      </c>
      <c r="E3853" s="3">
        <v>5</v>
      </c>
      <c r="F3853" s="2">
        <v>4</v>
      </c>
      <c r="G3853" s="4">
        <v>4</v>
      </c>
      <c r="H3853" s="13"/>
      <c r="I3853" s="15"/>
      <c r="J3853" s="19">
        <v>4</v>
      </c>
      <c r="K3853" s="2" t="s">
        <v>7718</v>
      </c>
      <c r="L3853" s="11" t="str">
        <f t="shared" si="63"/>
        <v>Ver Imagen</v>
      </c>
      <c r="M3853" t="s">
        <v>15</v>
      </c>
    </row>
    <row r="3854" spans="1:13" x14ac:dyDescent="0.25">
      <c r="A3854">
        <v>3855</v>
      </c>
      <c r="B3854" t="s">
        <v>7719</v>
      </c>
      <c r="C3854" s="1">
        <v>37.193419833100002</v>
      </c>
      <c r="D3854" s="1">
        <v>-6.9776642567799998</v>
      </c>
      <c r="E3854" s="3">
        <v>3</v>
      </c>
      <c r="F3854" s="2">
        <v>4</v>
      </c>
      <c r="G3854" s="4">
        <v>4</v>
      </c>
      <c r="H3854" s="13"/>
      <c r="I3854" s="15"/>
      <c r="J3854" s="19">
        <v>4</v>
      </c>
      <c r="K3854" s="2" t="s">
        <v>7720</v>
      </c>
      <c r="L3854" s="11" t="str">
        <f t="shared" si="63"/>
        <v>Ver Imagen</v>
      </c>
      <c r="M3854" t="s">
        <v>15</v>
      </c>
    </row>
    <row r="3855" spans="1:13" x14ac:dyDescent="0.25">
      <c r="A3855">
        <v>3856</v>
      </c>
      <c r="B3855" t="s">
        <v>7721</v>
      </c>
      <c r="C3855" s="1">
        <v>37.186608464700001</v>
      </c>
      <c r="D3855" s="1">
        <v>-6.9796009374199999</v>
      </c>
      <c r="E3855" s="3">
        <v>4</v>
      </c>
      <c r="F3855" s="2">
        <v>4</v>
      </c>
      <c r="G3855" s="4">
        <v>5</v>
      </c>
      <c r="H3855" s="13"/>
      <c r="I3855" s="15"/>
      <c r="J3855" s="19">
        <v>4</v>
      </c>
      <c r="K3855" s="2" t="s">
        <v>7722</v>
      </c>
      <c r="L3855" s="11" t="str">
        <f t="shared" si="63"/>
        <v>Ver Imagen</v>
      </c>
      <c r="M3855" t="s">
        <v>15</v>
      </c>
    </row>
    <row r="3856" spans="1:13" x14ac:dyDescent="0.25">
      <c r="A3856">
        <v>3857</v>
      </c>
      <c r="B3856" t="s">
        <v>7723</v>
      </c>
      <c r="C3856" s="1">
        <v>37.267358033800001</v>
      </c>
      <c r="D3856" s="1">
        <v>-6.9582329332399997</v>
      </c>
      <c r="E3856" s="3">
        <v>4</v>
      </c>
      <c r="F3856" s="2">
        <v>4</v>
      </c>
      <c r="G3856" s="4">
        <v>3</v>
      </c>
      <c r="H3856" s="13"/>
      <c r="I3856" s="15"/>
      <c r="J3856" s="19">
        <v>4</v>
      </c>
      <c r="K3856" s="2" t="s">
        <v>7724</v>
      </c>
      <c r="L3856" s="11" t="str">
        <f t="shared" si="63"/>
        <v>Ver Imagen</v>
      </c>
      <c r="M3856" t="s">
        <v>15</v>
      </c>
    </row>
    <row r="3857" spans="1:13" x14ac:dyDescent="0.25">
      <c r="A3857">
        <v>3858</v>
      </c>
      <c r="B3857" t="s">
        <v>7725</v>
      </c>
      <c r="C3857" s="1">
        <v>37.269417466699998</v>
      </c>
      <c r="D3857" s="1">
        <v>-6.9769977701599997</v>
      </c>
      <c r="E3857" s="3">
        <v>4</v>
      </c>
      <c r="F3857" s="2">
        <v>4</v>
      </c>
      <c r="G3857" s="4">
        <v>3</v>
      </c>
      <c r="H3857" s="13"/>
      <c r="I3857" s="15"/>
      <c r="J3857" s="19">
        <v>4</v>
      </c>
      <c r="K3857" s="2" t="s">
        <v>7726</v>
      </c>
      <c r="L3857" s="11" t="str">
        <f t="shared" si="63"/>
        <v>Ver Imagen</v>
      </c>
      <c r="M3857" t="s">
        <v>15</v>
      </c>
    </row>
    <row r="3858" spans="1:13" x14ac:dyDescent="0.25">
      <c r="A3858">
        <v>3859</v>
      </c>
      <c r="B3858" t="s">
        <v>7727</v>
      </c>
      <c r="C3858" s="1">
        <v>37.270238487599997</v>
      </c>
      <c r="D3858" s="1">
        <v>-6.9798723380199998</v>
      </c>
      <c r="E3858" s="3">
        <v>5</v>
      </c>
      <c r="F3858" s="2">
        <v>4</v>
      </c>
      <c r="G3858" s="4">
        <v>4</v>
      </c>
      <c r="H3858" s="13"/>
      <c r="I3858" s="15"/>
      <c r="J3858" s="19">
        <v>4</v>
      </c>
      <c r="K3858" s="2" t="s">
        <v>7728</v>
      </c>
      <c r="L3858" s="11" t="str">
        <f t="shared" si="63"/>
        <v>Ver Imagen</v>
      </c>
      <c r="M3858" t="s">
        <v>15</v>
      </c>
    </row>
    <row r="3859" spans="1:13" x14ac:dyDescent="0.25">
      <c r="A3859">
        <v>3860</v>
      </c>
      <c r="B3859" t="s">
        <v>7729</v>
      </c>
      <c r="C3859" s="1">
        <v>37.270305886800003</v>
      </c>
      <c r="D3859" s="1">
        <v>-6.9801063715599998</v>
      </c>
      <c r="E3859" s="3">
        <v>3</v>
      </c>
      <c r="F3859" s="2">
        <v>4</v>
      </c>
      <c r="G3859" s="4">
        <v>4</v>
      </c>
      <c r="H3859" s="13"/>
      <c r="I3859" s="15"/>
      <c r="J3859" s="19">
        <v>4</v>
      </c>
      <c r="K3859" s="2" t="s">
        <v>7730</v>
      </c>
      <c r="L3859" s="11" t="str">
        <f t="shared" si="63"/>
        <v>Ver Imagen</v>
      </c>
      <c r="M3859" t="s">
        <v>15</v>
      </c>
    </row>
    <row r="3860" spans="1:13" x14ac:dyDescent="0.25">
      <c r="A3860">
        <v>3861</v>
      </c>
      <c r="B3860" t="s">
        <v>7731</v>
      </c>
      <c r="C3860" s="1">
        <v>37.271260056099997</v>
      </c>
      <c r="D3860" s="1">
        <v>-6.9834164901899998</v>
      </c>
      <c r="E3860" s="3">
        <v>4</v>
      </c>
      <c r="F3860" s="2">
        <v>4</v>
      </c>
      <c r="G3860" s="4">
        <v>3</v>
      </c>
      <c r="H3860" s="13"/>
      <c r="I3860" s="15"/>
      <c r="J3860" s="19">
        <v>4</v>
      </c>
      <c r="K3860" s="2" t="s">
        <v>7732</v>
      </c>
      <c r="L3860" s="11" t="str">
        <f t="shared" si="63"/>
        <v>Ver Imagen</v>
      </c>
      <c r="M3860" t="s">
        <v>15</v>
      </c>
    </row>
    <row r="3861" spans="1:13" x14ac:dyDescent="0.25">
      <c r="A3861">
        <v>3862</v>
      </c>
      <c r="B3861" t="s">
        <v>7733</v>
      </c>
      <c r="C3861" s="1">
        <v>37.266727068900003</v>
      </c>
      <c r="D3861" s="1">
        <v>-6.99225815459</v>
      </c>
      <c r="E3861" s="3">
        <v>4</v>
      </c>
      <c r="F3861" s="2">
        <v>4</v>
      </c>
      <c r="G3861" s="4">
        <v>3</v>
      </c>
      <c r="H3861" s="13"/>
      <c r="I3861" s="15"/>
      <c r="J3861" s="19">
        <v>4</v>
      </c>
      <c r="K3861" s="2" t="s">
        <v>7734</v>
      </c>
      <c r="L3861" s="11" t="str">
        <f t="shared" si="63"/>
        <v>Ver Imagen</v>
      </c>
      <c r="M3861" t="s">
        <v>15</v>
      </c>
    </row>
    <row r="3862" spans="1:13" x14ac:dyDescent="0.25">
      <c r="A3862">
        <v>3863</v>
      </c>
      <c r="B3862" t="s">
        <v>7735</v>
      </c>
      <c r="C3862" s="1">
        <v>37.265655191</v>
      </c>
      <c r="D3862" s="1">
        <v>-6.9952056164699998</v>
      </c>
      <c r="E3862" s="3">
        <v>5</v>
      </c>
      <c r="F3862" s="2">
        <v>4</v>
      </c>
      <c r="G3862" s="4">
        <v>4</v>
      </c>
      <c r="H3862" s="13"/>
      <c r="I3862" s="15"/>
      <c r="J3862" s="19">
        <v>4</v>
      </c>
      <c r="K3862" s="2" t="s">
        <v>7736</v>
      </c>
      <c r="L3862" s="11" t="str">
        <f t="shared" si="63"/>
        <v>Ver Imagen</v>
      </c>
      <c r="M3862" t="s">
        <v>15</v>
      </c>
    </row>
    <row r="3863" spans="1:13" x14ac:dyDescent="0.25">
      <c r="A3863">
        <v>3864</v>
      </c>
      <c r="B3863" t="s">
        <v>7737</v>
      </c>
      <c r="C3863" s="1">
        <v>37.265141611899999</v>
      </c>
      <c r="D3863" s="1">
        <v>-6.9979507014899998</v>
      </c>
      <c r="E3863" s="3">
        <v>4</v>
      </c>
      <c r="F3863" s="2">
        <v>4</v>
      </c>
      <c r="G3863" s="4">
        <v>3</v>
      </c>
      <c r="H3863" s="13"/>
      <c r="I3863" s="15"/>
      <c r="J3863" s="19">
        <v>4</v>
      </c>
      <c r="K3863" s="2" t="s">
        <v>7738</v>
      </c>
      <c r="L3863" s="11" t="str">
        <f t="shared" si="63"/>
        <v>Ver Imagen</v>
      </c>
      <c r="M3863" t="s">
        <v>15</v>
      </c>
    </row>
    <row r="3864" spans="1:13" x14ac:dyDescent="0.25">
      <c r="A3864">
        <v>3865</v>
      </c>
      <c r="B3864" t="s">
        <v>7739</v>
      </c>
      <c r="C3864" s="1">
        <v>37.194192452999999</v>
      </c>
      <c r="D3864" s="1">
        <v>-6.9776278315300004</v>
      </c>
      <c r="E3864" s="3">
        <v>3</v>
      </c>
      <c r="F3864" s="2">
        <v>4</v>
      </c>
      <c r="G3864" s="4">
        <v>4</v>
      </c>
      <c r="H3864" s="13"/>
      <c r="I3864" s="15"/>
      <c r="J3864" s="19">
        <v>4</v>
      </c>
      <c r="K3864" s="2" t="s">
        <v>7740</v>
      </c>
      <c r="L3864" s="11" t="str">
        <f t="shared" si="63"/>
        <v>Ver Imagen</v>
      </c>
      <c r="M3864" t="s">
        <v>15</v>
      </c>
    </row>
    <row r="3865" spans="1:13" x14ac:dyDescent="0.25">
      <c r="A3865">
        <v>3866</v>
      </c>
      <c r="B3865" t="s">
        <v>7741</v>
      </c>
      <c r="C3865" s="1">
        <v>37.264951433199997</v>
      </c>
      <c r="D3865" s="1">
        <v>-6.9991606773499999</v>
      </c>
      <c r="E3865" s="3">
        <v>4</v>
      </c>
      <c r="F3865" s="2">
        <v>4</v>
      </c>
      <c r="G3865" s="4">
        <v>3</v>
      </c>
      <c r="H3865" s="13"/>
      <c r="I3865" s="15"/>
      <c r="J3865" s="19">
        <v>4</v>
      </c>
      <c r="K3865" s="2" t="s">
        <v>7742</v>
      </c>
      <c r="L3865" s="11" t="str">
        <f t="shared" si="63"/>
        <v>Ver Imagen</v>
      </c>
      <c r="M3865" t="s">
        <v>15</v>
      </c>
    </row>
    <row r="3866" spans="1:13" x14ac:dyDescent="0.25">
      <c r="A3866">
        <v>3867</v>
      </c>
      <c r="B3866" t="s">
        <v>7743</v>
      </c>
      <c r="C3866" s="1">
        <v>37.264910383900002</v>
      </c>
      <c r="D3866" s="1">
        <v>-6.9993997183100003</v>
      </c>
      <c r="E3866" s="3">
        <v>4</v>
      </c>
      <c r="F3866" s="2">
        <v>4</v>
      </c>
      <c r="G3866" s="4">
        <v>3</v>
      </c>
      <c r="H3866" s="13"/>
      <c r="I3866" s="15"/>
      <c r="J3866" s="19">
        <v>4</v>
      </c>
      <c r="K3866" s="2" t="s">
        <v>7744</v>
      </c>
      <c r="L3866" s="11" t="str">
        <f t="shared" si="63"/>
        <v>Ver Imagen</v>
      </c>
      <c r="M3866" t="s">
        <v>15</v>
      </c>
    </row>
    <row r="3867" spans="1:13" x14ac:dyDescent="0.25">
      <c r="A3867">
        <v>3868</v>
      </c>
      <c r="B3867" t="s">
        <v>7745</v>
      </c>
      <c r="C3867" s="1">
        <v>37.264818879499998</v>
      </c>
      <c r="D3867" s="1">
        <v>-6.9999235741700003</v>
      </c>
      <c r="E3867" s="3">
        <v>4</v>
      </c>
      <c r="F3867" s="2">
        <v>4</v>
      </c>
      <c r="G3867" s="4">
        <v>3</v>
      </c>
      <c r="H3867" s="13"/>
      <c r="I3867" s="15"/>
      <c r="J3867" s="19">
        <v>4</v>
      </c>
      <c r="K3867" s="2" t="s">
        <v>7746</v>
      </c>
      <c r="L3867" s="11" t="str">
        <f t="shared" si="63"/>
        <v>Ver Imagen</v>
      </c>
      <c r="M3867" t="s">
        <v>15</v>
      </c>
    </row>
    <row r="3868" spans="1:13" x14ac:dyDescent="0.25">
      <c r="A3868">
        <v>3869</v>
      </c>
      <c r="B3868" t="s">
        <v>7747</v>
      </c>
      <c r="C3868" s="1">
        <v>37.1958700494</v>
      </c>
      <c r="D3868" s="1">
        <v>-6.9783332736999997</v>
      </c>
      <c r="E3868" s="3">
        <v>3</v>
      </c>
      <c r="F3868" s="2">
        <v>4</v>
      </c>
      <c r="G3868" s="4">
        <v>4</v>
      </c>
      <c r="H3868" s="13"/>
      <c r="I3868" s="15"/>
      <c r="J3868" s="19">
        <v>4</v>
      </c>
      <c r="K3868" s="2" t="s">
        <v>7748</v>
      </c>
      <c r="L3868" s="11" t="str">
        <f t="shared" si="63"/>
        <v>Ver Imagen</v>
      </c>
      <c r="M3868" t="s">
        <v>15</v>
      </c>
    </row>
    <row r="3869" spans="1:13" x14ac:dyDescent="0.25">
      <c r="A3869">
        <v>3870</v>
      </c>
      <c r="B3869" t="s">
        <v>7749</v>
      </c>
      <c r="C3869" s="1">
        <v>37.196477002500004</v>
      </c>
      <c r="D3869" s="1">
        <v>-6.9787618056899996</v>
      </c>
      <c r="E3869" s="3">
        <v>3</v>
      </c>
      <c r="F3869" s="2">
        <v>4</v>
      </c>
      <c r="G3869" s="4">
        <v>4</v>
      </c>
      <c r="H3869" s="13"/>
      <c r="I3869" s="15"/>
      <c r="J3869" s="19">
        <v>4</v>
      </c>
      <c r="K3869" s="2" t="s">
        <v>7750</v>
      </c>
      <c r="L3869" s="11" t="str">
        <f t="shared" si="63"/>
        <v>Ver Imagen</v>
      </c>
      <c r="M3869" t="s">
        <v>15</v>
      </c>
    </row>
    <row r="3870" spans="1:13" x14ac:dyDescent="0.25">
      <c r="A3870">
        <v>3871</v>
      </c>
      <c r="B3870" t="s">
        <v>7751</v>
      </c>
      <c r="C3870" s="1">
        <v>37.264651823000001</v>
      </c>
      <c r="D3870" s="1">
        <v>-7.0008775744899996</v>
      </c>
      <c r="E3870" s="3">
        <v>4</v>
      </c>
      <c r="F3870" s="2">
        <v>4</v>
      </c>
      <c r="G3870" s="4">
        <v>3</v>
      </c>
      <c r="H3870" s="13"/>
      <c r="I3870" s="15"/>
      <c r="J3870" s="19">
        <v>4</v>
      </c>
      <c r="K3870" s="2" t="s">
        <v>7752</v>
      </c>
      <c r="L3870" s="11" t="str">
        <f t="shared" si="63"/>
        <v>Ver Imagen</v>
      </c>
      <c r="M3870" t="s">
        <v>15</v>
      </c>
    </row>
    <row r="3871" spans="1:13" x14ac:dyDescent="0.25">
      <c r="A3871">
        <v>3872</v>
      </c>
      <c r="B3871" t="s">
        <v>7753</v>
      </c>
      <c r="C3871" s="1">
        <v>37.198336408899998</v>
      </c>
      <c r="D3871" s="1">
        <v>-6.9809756700900003</v>
      </c>
      <c r="E3871" s="3">
        <v>3</v>
      </c>
      <c r="F3871" s="2">
        <v>4</v>
      </c>
      <c r="G3871" s="4">
        <v>4</v>
      </c>
      <c r="H3871" s="13"/>
      <c r="I3871" s="15"/>
      <c r="J3871" s="19">
        <v>4</v>
      </c>
      <c r="K3871" s="2" t="s">
        <v>7754</v>
      </c>
      <c r="L3871" s="11" t="str">
        <f t="shared" si="63"/>
        <v>Ver Imagen</v>
      </c>
      <c r="M3871" t="s">
        <v>15</v>
      </c>
    </row>
    <row r="3872" spans="1:13" x14ac:dyDescent="0.25">
      <c r="A3872">
        <v>3873</v>
      </c>
      <c r="B3872" t="s">
        <v>7755</v>
      </c>
      <c r="C3872" s="1">
        <v>37.261992521899998</v>
      </c>
      <c r="D3872" s="1">
        <v>-7.0102735786799997</v>
      </c>
      <c r="E3872" s="3">
        <v>3</v>
      </c>
      <c r="F3872" s="2">
        <v>4</v>
      </c>
      <c r="G3872" s="4">
        <v>4</v>
      </c>
      <c r="H3872" s="13"/>
      <c r="I3872" s="15"/>
      <c r="J3872" s="19">
        <v>4</v>
      </c>
      <c r="K3872" s="2" t="s">
        <v>7756</v>
      </c>
      <c r="L3872" s="11" t="str">
        <f t="shared" ref="L3872:L3930" si="64">HYPERLINK("4\1\" &amp; K3872, "Ver Imagen")</f>
        <v>Ver Imagen</v>
      </c>
      <c r="M3872" t="s">
        <v>15</v>
      </c>
    </row>
    <row r="3873" spans="1:13" x14ac:dyDescent="0.25">
      <c r="A3873">
        <v>3874</v>
      </c>
      <c r="B3873" t="s">
        <v>7757</v>
      </c>
      <c r="C3873" s="1">
        <v>37.261817189699997</v>
      </c>
      <c r="D3873" s="1">
        <v>-7.0104433332199996</v>
      </c>
      <c r="E3873" s="3">
        <v>3</v>
      </c>
      <c r="F3873" s="2">
        <v>4</v>
      </c>
      <c r="G3873" s="4">
        <v>4</v>
      </c>
      <c r="H3873" s="13"/>
      <c r="I3873" s="15"/>
      <c r="J3873" s="19">
        <v>4</v>
      </c>
      <c r="K3873" s="2" t="s">
        <v>7758</v>
      </c>
      <c r="L3873" s="11" t="str">
        <f t="shared" si="64"/>
        <v>Ver Imagen</v>
      </c>
      <c r="M3873" t="s">
        <v>15</v>
      </c>
    </row>
    <row r="3874" spans="1:13" x14ac:dyDescent="0.25">
      <c r="A3874">
        <v>3875</v>
      </c>
      <c r="B3874" t="s">
        <v>7759</v>
      </c>
      <c r="C3874" s="1">
        <v>37.200673946899997</v>
      </c>
      <c r="D3874" s="1">
        <v>-6.98871386162</v>
      </c>
      <c r="E3874" s="3">
        <v>5</v>
      </c>
      <c r="F3874" s="2">
        <v>4</v>
      </c>
      <c r="G3874" s="4">
        <v>4</v>
      </c>
      <c r="H3874" s="13"/>
      <c r="I3874" s="15"/>
      <c r="J3874" s="19">
        <v>4</v>
      </c>
      <c r="K3874" s="2" t="s">
        <v>7760</v>
      </c>
      <c r="L3874" s="11" t="str">
        <f t="shared" si="64"/>
        <v>Ver Imagen</v>
      </c>
      <c r="M3874" t="s">
        <v>15</v>
      </c>
    </row>
    <row r="3875" spans="1:13" x14ac:dyDescent="0.25">
      <c r="A3875">
        <v>3876</v>
      </c>
      <c r="B3875" t="s">
        <v>7761</v>
      </c>
      <c r="C3875" s="1">
        <v>37.200736419199998</v>
      </c>
      <c r="D3875" s="1">
        <v>-6.9889930364500001</v>
      </c>
      <c r="E3875" s="3">
        <v>5</v>
      </c>
      <c r="F3875" s="2">
        <v>4</v>
      </c>
      <c r="G3875" s="4">
        <v>4</v>
      </c>
      <c r="H3875" s="13"/>
      <c r="I3875" s="15"/>
      <c r="J3875" s="19">
        <v>4</v>
      </c>
      <c r="K3875" s="2" t="s">
        <v>7762</v>
      </c>
      <c r="L3875" s="11" t="str">
        <f t="shared" si="64"/>
        <v>Ver Imagen</v>
      </c>
      <c r="M3875" t="s">
        <v>15</v>
      </c>
    </row>
    <row r="3876" spans="1:13" x14ac:dyDescent="0.25">
      <c r="A3876">
        <v>3877</v>
      </c>
      <c r="B3876" t="s">
        <v>7763</v>
      </c>
      <c r="C3876" s="1">
        <v>37.202258712800003</v>
      </c>
      <c r="D3876" s="1">
        <v>-6.9971284989999996</v>
      </c>
      <c r="E3876" s="3">
        <v>5</v>
      </c>
      <c r="F3876" s="2">
        <v>4</v>
      </c>
      <c r="G3876" s="4">
        <v>4</v>
      </c>
      <c r="H3876" s="13"/>
      <c r="I3876" s="15"/>
      <c r="J3876" s="19">
        <v>4</v>
      </c>
      <c r="K3876" s="2" t="s">
        <v>7764</v>
      </c>
      <c r="L3876" s="11" t="str">
        <f t="shared" si="64"/>
        <v>Ver Imagen</v>
      </c>
      <c r="M3876" t="s">
        <v>15</v>
      </c>
    </row>
    <row r="3877" spans="1:13" x14ac:dyDescent="0.25">
      <c r="A3877">
        <v>3878</v>
      </c>
      <c r="B3877" t="s">
        <v>7765</v>
      </c>
      <c r="C3877" s="1">
        <v>37.202330945299998</v>
      </c>
      <c r="D3877" s="1">
        <v>-6.9976464515199996</v>
      </c>
      <c r="E3877" s="3">
        <v>5</v>
      </c>
      <c r="F3877" s="2">
        <v>4</v>
      </c>
      <c r="G3877" s="4">
        <v>4</v>
      </c>
      <c r="H3877" s="13"/>
      <c r="I3877" s="15"/>
      <c r="J3877" s="19">
        <v>4</v>
      </c>
      <c r="K3877" s="2" t="s">
        <v>7766</v>
      </c>
      <c r="L3877" s="11" t="str">
        <f t="shared" si="64"/>
        <v>Ver Imagen</v>
      </c>
      <c r="M3877" t="s">
        <v>15</v>
      </c>
    </row>
    <row r="3878" spans="1:13" x14ac:dyDescent="0.25">
      <c r="A3878">
        <v>3879</v>
      </c>
      <c r="B3878" t="s">
        <v>7767</v>
      </c>
      <c r="C3878" s="1">
        <v>37.202616890500003</v>
      </c>
      <c r="D3878" s="1">
        <v>-6.9996678873400002</v>
      </c>
      <c r="E3878" s="3">
        <v>4</v>
      </c>
      <c r="F3878" s="2">
        <v>4</v>
      </c>
      <c r="G3878" s="4">
        <v>3</v>
      </c>
      <c r="H3878" s="13"/>
      <c r="I3878" s="15"/>
      <c r="J3878" s="19">
        <v>4</v>
      </c>
      <c r="K3878" s="2" t="s">
        <v>7768</v>
      </c>
      <c r="L3878" s="11" t="str">
        <f t="shared" si="64"/>
        <v>Ver Imagen</v>
      </c>
      <c r="M3878" t="s">
        <v>15</v>
      </c>
    </row>
    <row r="3879" spans="1:13" x14ac:dyDescent="0.25">
      <c r="A3879">
        <v>3880</v>
      </c>
      <c r="B3879" t="s">
        <v>7769</v>
      </c>
      <c r="C3879" s="1">
        <v>37.203163088700002</v>
      </c>
      <c r="D3879" s="1">
        <v>-7.0043818869200001</v>
      </c>
      <c r="E3879" s="3">
        <v>5</v>
      </c>
      <c r="F3879" s="2">
        <v>4</v>
      </c>
      <c r="G3879" s="4">
        <v>4</v>
      </c>
      <c r="H3879" s="13"/>
      <c r="I3879" s="15"/>
      <c r="J3879" s="19">
        <v>4</v>
      </c>
      <c r="K3879" s="2" t="s">
        <v>7770</v>
      </c>
      <c r="L3879" s="11" t="str">
        <f t="shared" si="64"/>
        <v>Ver Imagen</v>
      </c>
      <c r="M3879" t="s">
        <v>15</v>
      </c>
    </row>
    <row r="3880" spans="1:13" x14ac:dyDescent="0.25">
      <c r="A3880">
        <v>3881</v>
      </c>
      <c r="B3880" t="s">
        <v>7771</v>
      </c>
      <c r="C3880" s="1">
        <v>37.203351820800002</v>
      </c>
      <c r="D3880" s="1">
        <v>-7.0058729303599998</v>
      </c>
      <c r="E3880" s="3">
        <v>5</v>
      </c>
      <c r="F3880" s="2">
        <v>4</v>
      </c>
      <c r="G3880" s="4">
        <v>4</v>
      </c>
      <c r="H3880" s="13"/>
      <c r="I3880" s="15"/>
      <c r="J3880" s="19">
        <v>4</v>
      </c>
      <c r="K3880" s="2" t="s">
        <v>7772</v>
      </c>
      <c r="L3880" s="11" t="str">
        <f t="shared" si="64"/>
        <v>Ver Imagen</v>
      </c>
      <c r="M3880" t="s">
        <v>15</v>
      </c>
    </row>
    <row r="3881" spans="1:13" x14ac:dyDescent="0.25">
      <c r="A3881">
        <v>3882</v>
      </c>
      <c r="B3881" t="s">
        <v>7773</v>
      </c>
      <c r="C3881" s="1">
        <v>37.254649160600003</v>
      </c>
      <c r="D3881" s="1">
        <v>-7.0151190505400001</v>
      </c>
      <c r="E3881" s="3">
        <v>4</v>
      </c>
      <c r="F3881" s="2">
        <v>4</v>
      </c>
      <c r="G3881" s="4">
        <v>5</v>
      </c>
      <c r="H3881" s="13"/>
      <c r="I3881" s="15"/>
      <c r="J3881" s="19">
        <v>4</v>
      </c>
      <c r="K3881" s="2" t="s">
        <v>7774</v>
      </c>
      <c r="L3881" s="11" t="str">
        <f t="shared" si="64"/>
        <v>Ver Imagen</v>
      </c>
      <c r="M3881" t="s">
        <v>15</v>
      </c>
    </row>
    <row r="3882" spans="1:13" x14ac:dyDescent="0.25">
      <c r="A3882">
        <v>3883</v>
      </c>
      <c r="B3882" t="s">
        <v>7775</v>
      </c>
      <c r="C3882" s="1">
        <v>37.203380489899999</v>
      </c>
      <c r="D3882" s="1">
        <v>-7.0060937804999996</v>
      </c>
      <c r="E3882" s="3">
        <v>5</v>
      </c>
      <c r="F3882" s="2">
        <v>4</v>
      </c>
      <c r="G3882" s="4">
        <v>4</v>
      </c>
      <c r="H3882" s="13"/>
      <c r="I3882" s="15"/>
      <c r="J3882" s="19">
        <v>4</v>
      </c>
      <c r="K3882" s="2" t="s">
        <v>7776</v>
      </c>
      <c r="L3882" s="11" t="str">
        <f t="shared" si="64"/>
        <v>Ver Imagen</v>
      </c>
      <c r="M3882" t="s">
        <v>15</v>
      </c>
    </row>
    <row r="3883" spans="1:13" x14ac:dyDescent="0.25">
      <c r="A3883">
        <v>3884</v>
      </c>
      <c r="B3883" t="s">
        <v>7777</v>
      </c>
      <c r="C3883" s="1">
        <v>37.203447841799999</v>
      </c>
      <c r="D3883" s="1">
        <v>-7.0066056702699999</v>
      </c>
      <c r="E3883" s="3">
        <v>5</v>
      </c>
      <c r="F3883" s="2">
        <v>4</v>
      </c>
      <c r="G3883" s="4">
        <v>4</v>
      </c>
      <c r="H3883" s="13"/>
      <c r="I3883" s="15"/>
      <c r="J3883" s="19">
        <v>4</v>
      </c>
      <c r="K3883" s="2" t="s">
        <v>7778</v>
      </c>
      <c r="L3883" s="11" t="str">
        <f t="shared" si="64"/>
        <v>Ver Imagen</v>
      </c>
      <c r="M3883" t="s">
        <v>15</v>
      </c>
    </row>
    <row r="3884" spans="1:13" x14ac:dyDescent="0.25">
      <c r="A3884">
        <v>3885</v>
      </c>
      <c r="B3884" t="s">
        <v>7779</v>
      </c>
      <c r="C3884" s="1">
        <v>37.251400528600001</v>
      </c>
      <c r="D3884" s="1">
        <v>-7.0172012095299996</v>
      </c>
      <c r="E3884" s="3">
        <v>3</v>
      </c>
      <c r="F3884" s="2">
        <v>4</v>
      </c>
      <c r="G3884" s="4">
        <v>4</v>
      </c>
      <c r="H3884" s="13"/>
      <c r="I3884" s="15"/>
      <c r="J3884" s="19">
        <v>4</v>
      </c>
      <c r="K3884" s="2" t="s">
        <v>7780</v>
      </c>
      <c r="L3884" s="11" t="str">
        <f t="shared" si="64"/>
        <v>Ver Imagen</v>
      </c>
      <c r="M3884" t="s">
        <v>15</v>
      </c>
    </row>
    <row r="3885" spans="1:13" x14ac:dyDescent="0.25">
      <c r="A3885">
        <v>3886</v>
      </c>
      <c r="B3885" t="s">
        <v>7781</v>
      </c>
      <c r="C3885" s="1">
        <v>37.203902687800003</v>
      </c>
      <c r="D3885" s="1">
        <v>-7.0096495804599996</v>
      </c>
      <c r="E3885" s="3">
        <v>3</v>
      </c>
      <c r="F3885" s="2">
        <v>4</v>
      </c>
      <c r="G3885" s="4">
        <v>4</v>
      </c>
      <c r="H3885" s="13"/>
      <c r="I3885" s="15"/>
      <c r="J3885" s="19">
        <v>4</v>
      </c>
      <c r="K3885" s="2" t="s">
        <v>7782</v>
      </c>
      <c r="L3885" s="11" t="str">
        <f t="shared" si="64"/>
        <v>Ver Imagen</v>
      </c>
      <c r="M3885" t="s">
        <v>15</v>
      </c>
    </row>
    <row r="3886" spans="1:13" x14ac:dyDescent="0.25">
      <c r="A3886">
        <v>3887</v>
      </c>
      <c r="B3886" t="s">
        <v>7783</v>
      </c>
      <c r="C3886" s="1">
        <v>37.250661005600001</v>
      </c>
      <c r="D3886" s="1">
        <v>-7.0176606363599996</v>
      </c>
      <c r="E3886" s="3">
        <v>5</v>
      </c>
      <c r="F3886" s="2">
        <v>4</v>
      </c>
      <c r="G3886" s="4">
        <v>4</v>
      </c>
      <c r="H3886" s="13"/>
      <c r="I3886" s="15"/>
      <c r="J3886" s="19">
        <v>4</v>
      </c>
      <c r="K3886" s="2" t="s">
        <v>7784</v>
      </c>
      <c r="L3886" s="11" t="str">
        <f t="shared" si="64"/>
        <v>Ver Imagen</v>
      </c>
      <c r="M3886" t="s">
        <v>15</v>
      </c>
    </row>
    <row r="3887" spans="1:13" x14ac:dyDescent="0.25">
      <c r="A3887">
        <v>3888</v>
      </c>
      <c r="B3887" t="s">
        <v>7785</v>
      </c>
      <c r="C3887" s="1">
        <v>37.248506414600001</v>
      </c>
      <c r="D3887" s="1">
        <v>-7.0183546969500004</v>
      </c>
      <c r="E3887" s="3">
        <v>5</v>
      </c>
      <c r="F3887" s="2">
        <v>4</v>
      </c>
      <c r="G3887" s="4">
        <v>4</v>
      </c>
      <c r="H3887" s="13"/>
      <c r="I3887" s="15"/>
      <c r="J3887" s="19">
        <v>4</v>
      </c>
      <c r="K3887" s="2" t="s">
        <v>7786</v>
      </c>
      <c r="L3887" s="11" t="str">
        <f t="shared" si="64"/>
        <v>Ver Imagen</v>
      </c>
      <c r="M3887" t="s">
        <v>15</v>
      </c>
    </row>
    <row r="3888" spans="1:13" x14ac:dyDescent="0.25">
      <c r="A3888">
        <v>3889</v>
      </c>
      <c r="B3888" t="s">
        <v>7787</v>
      </c>
      <c r="C3888" s="1">
        <v>37.248270219600002</v>
      </c>
      <c r="D3888" s="1">
        <v>-7.0183676961400003</v>
      </c>
      <c r="E3888" s="3">
        <v>5</v>
      </c>
      <c r="F3888" s="2">
        <v>4</v>
      </c>
      <c r="G3888" s="4">
        <v>4</v>
      </c>
      <c r="H3888" s="13"/>
      <c r="I3888" s="15"/>
      <c r="J3888" s="19">
        <v>4</v>
      </c>
      <c r="K3888" s="2" t="s">
        <v>7788</v>
      </c>
      <c r="L3888" s="11" t="str">
        <f t="shared" si="64"/>
        <v>Ver Imagen</v>
      </c>
      <c r="M3888" t="s">
        <v>15</v>
      </c>
    </row>
    <row r="3889" spans="1:13" x14ac:dyDescent="0.25">
      <c r="A3889">
        <v>3890</v>
      </c>
      <c r="B3889" t="s">
        <v>7789</v>
      </c>
      <c r="C3889" s="1">
        <v>37.2468993783</v>
      </c>
      <c r="D3889" s="1">
        <v>-7.0184194933799997</v>
      </c>
      <c r="E3889" s="3">
        <v>4</v>
      </c>
      <c r="F3889" s="2">
        <v>4</v>
      </c>
      <c r="G3889" s="4">
        <v>5</v>
      </c>
      <c r="H3889" s="13"/>
      <c r="I3889" s="15"/>
      <c r="J3889" s="19">
        <v>4</v>
      </c>
      <c r="K3889" s="2" t="s">
        <v>7790</v>
      </c>
      <c r="L3889" s="11" t="str">
        <f t="shared" si="64"/>
        <v>Ver Imagen</v>
      </c>
      <c r="M3889" t="s">
        <v>15</v>
      </c>
    </row>
    <row r="3890" spans="1:13" x14ac:dyDescent="0.25">
      <c r="A3890">
        <v>3891</v>
      </c>
      <c r="B3890" t="s">
        <v>7791</v>
      </c>
      <c r="C3890" s="1">
        <v>37.204460816800001</v>
      </c>
      <c r="D3890" s="1">
        <v>-7.0128881013599997</v>
      </c>
      <c r="E3890" s="3">
        <v>4</v>
      </c>
      <c r="F3890" s="2">
        <v>4</v>
      </c>
      <c r="G3890" s="4">
        <v>5</v>
      </c>
      <c r="H3890" s="13"/>
      <c r="I3890" s="15"/>
      <c r="J3890" s="19">
        <v>4</v>
      </c>
      <c r="K3890" s="2" t="s">
        <v>7792</v>
      </c>
      <c r="L3890" s="11" t="str">
        <f t="shared" si="64"/>
        <v>Ver Imagen</v>
      </c>
      <c r="M3890" t="s">
        <v>15</v>
      </c>
    </row>
    <row r="3891" spans="1:13" x14ac:dyDescent="0.25">
      <c r="A3891">
        <v>3892</v>
      </c>
      <c r="B3891" t="s">
        <v>7793</v>
      </c>
      <c r="C3891" s="1">
        <v>37.245294791200003</v>
      </c>
      <c r="D3891" s="1">
        <v>-7.0184750082800003</v>
      </c>
      <c r="E3891" s="3">
        <v>3</v>
      </c>
      <c r="F3891" s="2">
        <v>4</v>
      </c>
      <c r="G3891" s="4">
        <v>4</v>
      </c>
      <c r="H3891" s="13"/>
      <c r="I3891" s="15"/>
      <c r="J3891" s="19">
        <v>4</v>
      </c>
      <c r="K3891" s="2" t="s">
        <v>7794</v>
      </c>
      <c r="L3891" s="11" t="str">
        <f t="shared" si="64"/>
        <v>Ver Imagen</v>
      </c>
      <c r="M3891" t="s">
        <v>15</v>
      </c>
    </row>
    <row r="3892" spans="1:13" x14ac:dyDescent="0.25">
      <c r="A3892">
        <v>3893</v>
      </c>
      <c r="B3892" t="s">
        <v>7795</v>
      </c>
      <c r="C3892" s="1">
        <v>37.245058130799997</v>
      </c>
      <c r="D3892" s="1">
        <v>-7.0184824287999996</v>
      </c>
      <c r="E3892" s="3">
        <v>5</v>
      </c>
      <c r="F3892" s="2">
        <v>4</v>
      </c>
      <c r="G3892" s="4">
        <v>4</v>
      </c>
      <c r="H3892" s="13"/>
      <c r="I3892" s="15"/>
      <c r="J3892" s="19">
        <v>4</v>
      </c>
      <c r="K3892" s="2" t="s">
        <v>7796</v>
      </c>
      <c r="L3892" s="11" t="str">
        <f t="shared" si="64"/>
        <v>Ver Imagen</v>
      </c>
      <c r="M3892" t="s">
        <v>15</v>
      </c>
    </row>
    <row r="3893" spans="1:13" x14ac:dyDescent="0.25">
      <c r="A3893">
        <v>3894</v>
      </c>
      <c r="B3893" t="s">
        <v>7797</v>
      </c>
      <c r="C3893" s="1">
        <v>37.244647876400002</v>
      </c>
      <c r="D3893" s="1">
        <v>-7.0184980300399999</v>
      </c>
      <c r="E3893" s="3">
        <v>4</v>
      </c>
      <c r="F3893" s="2">
        <v>4</v>
      </c>
      <c r="G3893" s="4">
        <v>3</v>
      </c>
      <c r="H3893" s="13"/>
      <c r="I3893" s="15"/>
      <c r="J3893" s="19">
        <v>4</v>
      </c>
      <c r="K3893" s="2" t="s">
        <v>7798</v>
      </c>
      <c r="L3893" s="11" t="str">
        <f t="shared" si="64"/>
        <v>Ver Imagen</v>
      </c>
      <c r="M3893" t="s">
        <v>15</v>
      </c>
    </row>
    <row r="3894" spans="1:13" x14ac:dyDescent="0.25">
      <c r="A3894">
        <v>3895</v>
      </c>
      <c r="B3894" t="s">
        <v>7799</v>
      </c>
      <c r="C3894" s="1">
        <v>37.243681218699997</v>
      </c>
      <c r="D3894" s="1">
        <v>-7.0185394724799997</v>
      </c>
      <c r="E3894" s="3">
        <v>3</v>
      </c>
      <c r="F3894" s="2">
        <v>4</v>
      </c>
      <c r="G3894" s="4">
        <v>4</v>
      </c>
      <c r="H3894" s="13"/>
      <c r="I3894" s="15"/>
      <c r="J3894" s="19">
        <v>4</v>
      </c>
      <c r="K3894" s="2" t="s">
        <v>7800</v>
      </c>
      <c r="L3894" s="11" t="str">
        <f t="shared" si="64"/>
        <v>Ver Imagen</v>
      </c>
      <c r="M3894" t="s">
        <v>15</v>
      </c>
    </row>
    <row r="3895" spans="1:13" x14ac:dyDescent="0.25">
      <c r="A3895">
        <v>3896</v>
      </c>
      <c r="B3895" t="s">
        <v>7801</v>
      </c>
      <c r="C3895" s="1">
        <v>37.243446651100001</v>
      </c>
      <c r="D3895" s="1">
        <v>-7.0185503230500004</v>
      </c>
      <c r="E3895" s="3">
        <v>5</v>
      </c>
      <c r="F3895" s="2">
        <v>4</v>
      </c>
      <c r="G3895" s="4">
        <v>4</v>
      </c>
      <c r="H3895" s="13"/>
      <c r="I3895" s="15"/>
      <c r="J3895" s="19">
        <v>4</v>
      </c>
      <c r="K3895" s="2" t="s">
        <v>7802</v>
      </c>
      <c r="L3895" s="11" t="str">
        <f t="shared" si="64"/>
        <v>Ver Imagen</v>
      </c>
      <c r="M3895" t="s">
        <v>15</v>
      </c>
    </row>
    <row r="3896" spans="1:13" x14ac:dyDescent="0.25">
      <c r="A3896">
        <v>3897</v>
      </c>
      <c r="B3896" t="s">
        <v>7803</v>
      </c>
      <c r="C3896" s="1">
        <v>37.243038178399999</v>
      </c>
      <c r="D3896" s="1">
        <v>-7.0185654617299997</v>
      </c>
      <c r="E3896" s="3">
        <v>4</v>
      </c>
      <c r="F3896" s="2">
        <v>4</v>
      </c>
      <c r="G3896" s="4">
        <v>5</v>
      </c>
      <c r="H3896" s="13"/>
      <c r="I3896" s="15"/>
      <c r="J3896" s="19">
        <v>4</v>
      </c>
      <c r="K3896" s="2" t="s">
        <v>7804</v>
      </c>
      <c r="L3896" s="11" t="str">
        <f t="shared" si="64"/>
        <v>Ver Imagen</v>
      </c>
      <c r="M3896" t="s">
        <v>15</v>
      </c>
    </row>
    <row r="3897" spans="1:13" x14ac:dyDescent="0.25">
      <c r="A3897">
        <v>3898</v>
      </c>
      <c r="B3897" t="s">
        <v>7805</v>
      </c>
      <c r="C3897" s="1">
        <v>37.242219530900002</v>
      </c>
      <c r="D3897" s="1">
        <v>-7.0185880411600001</v>
      </c>
      <c r="E3897" s="3">
        <v>5</v>
      </c>
      <c r="F3897" s="2">
        <v>4</v>
      </c>
      <c r="G3897" s="4">
        <v>4</v>
      </c>
      <c r="H3897" s="13"/>
      <c r="I3897" s="15"/>
      <c r="J3897" s="19">
        <v>4</v>
      </c>
      <c r="K3897" s="2" t="s">
        <v>7806</v>
      </c>
      <c r="L3897" s="11" t="str">
        <f t="shared" si="64"/>
        <v>Ver Imagen</v>
      </c>
      <c r="M3897" t="s">
        <v>15</v>
      </c>
    </row>
    <row r="3898" spans="1:13" x14ac:dyDescent="0.25">
      <c r="A3898">
        <v>3899</v>
      </c>
      <c r="B3898" t="s">
        <v>7807</v>
      </c>
      <c r="C3898" s="1">
        <v>37.241425612999997</v>
      </c>
      <c r="D3898" s="1">
        <v>-7.0186188496500002</v>
      </c>
      <c r="E3898" s="3">
        <v>4</v>
      </c>
      <c r="F3898" s="2">
        <v>4</v>
      </c>
      <c r="G3898" s="4">
        <v>3</v>
      </c>
      <c r="H3898" s="13"/>
      <c r="I3898" s="15"/>
      <c r="J3898" s="19">
        <v>4</v>
      </c>
      <c r="K3898" s="2" t="s">
        <v>7808</v>
      </c>
      <c r="L3898" s="11" t="str">
        <f t="shared" si="64"/>
        <v>Ver Imagen</v>
      </c>
      <c r="M3898" t="s">
        <v>15</v>
      </c>
    </row>
    <row r="3899" spans="1:13" x14ac:dyDescent="0.25">
      <c r="A3899">
        <v>3900</v>
      </c>
      <c r="B3899" t="s">
        <v>7809</v>
      </c>
      <c r="C3899" s="1">
        <v>37.240827165600003</v>
      </c>
      <c r="D3899" s="1">
        <v>-7.0186442232599999</v>
      </c>
      <c r="E3899" s="3">
        <v>4</v>
      </c>
      <c r="F3899" s="2">
        <v>4</v>
      </c>
      <c r="G3899" s="4">
        <v>3</v>
      </c>
      <c r="H3899" s="13"/>
      <c r="I3899" s="15"/>
      <c r="J3899" s="19">
        <v>4</v>
      </c>
      <c r="K3899" s="2" t="s">
        <v>7810</v>
      </c>
      <c r="L3899" s="11" t="str">
        <f t="shared" si="64"/>
        <v>Ver Imagen</v>
      </c>
      <c r="M3899" t="s">
        <v>15</v>
      </c>
    </row>
    <row r="3900" spans="1:13" x14ac:dyDescent="0.25">
      <c r="A3900">
        <v>3901</v>
      </c>
      <c r="B3900" t="s">
        <v>7811</v>
      </c>
      <c r="C3900" s="1">
        <v>37.236406155399997</v>
      </c>
      <c r="D3900" s="1">
        <v>-7.0186341510999997</v>
      </c>
      <c r="E3900" s="3">
        <v>5</v>
      </c>
      <c r="F3900" s="2">
        <v>4</v>
      </c>
      <c r="G3900" s="4">
        <v>4</v>
      </c>
      <c r="H3900" s="13"/>
      <c r="I3900" s="15"/>
      <c r="J3900" s="19">
        <v>4</v>
      </c>
      <c r="K3900" s="2" t="s">
        <v>7812</v>
      </c>
      <c r="L3900" s="11" t="str">
        <f t="shared" si="64"/>
        <v>Ver Imagen</v>
      </c>
      <c r="M3900" t="s">
        <v>15</v>
      </c>
    </row>
    <row r="3901" spans="1:13" x14ac:dyDescent="0.25">
      <c r="A3901">
        <v>3902</v>
      </c>
      <c r="B3901" t="s">
        <v>7813</v>
      </c>
      <c r="C3901" s="1">
        <v>37.2361509877</v>
      </c>
      <c r="D3901" s="1">
        <v>-7.0185784122300001</v>
      </c>
      <c r="E3901" s="3">
        <v>5</v>
      </c>
      <c r="F3901" s="2">
        <v>4</v>
      </c>
      <c r="G3901" s="4">
        <v>4</v>
      </c>
      <c r="H3901" s="13"/>
      <c r="I3901" s="15"/>
      <c r="J3901" s="19">
        <v>4</v>
      </c>
      <c r="K3901" s="2" t="s">
        <v>7814</v>
      </c>
      <c r="L3901" s="11" t="str">
        <f t="shared" si="64"/>
        <v>Ver Imagen</v>
      </c>
      <c r="M3901" t="s">
        <v>15</v>
      </c>
    </row>
    <row r="3902" spans="1:13" x14ac:dyDescent="0.25">
      <c r="A3902">
        <v>3903</v>
      </c>
      <c r="B3902" t="s">
        <v>7815</v>
      </c>
      <c r="C3902" s="1">
        <v>37.231167534299999</v>
      </c>
      <c r="D3902" s="1">
        <v>-7.0195742509699999</v>
      </c>
      <c r="E3902" s="3">
        <v>5</v>
      </c>
      <c r="F3902" s="2">
        <v>4</v>
      </c>
      <c r="G3902" s="4">
        <v>4</v>
      </c>
      <c r="H3902" s="13"/>
      <c r="I3902" s="15"/>
      <c r="J3902" s="19">
        <v>4</v>
      </c>
      <c r="K3902" s="2" t="s">
        <v>7816</v>
      </c>
      <c r="L3902" s="11" t="str">
        <f t="shared" si="64"/>
        <v>Ver Imagen</v>
      </c>
      <c r="M3902" t="s">
        <v>15</v>
      </c>
    </row>
    <row r="3903" spans="1:13" x14ac:dyDescent="0.25">
      <c r="A3903">
        <v>3904</v>
      </c>
      <c r="B3903" t="s">
        <v>7817</v>
      </c>
      <c r="C3903" s="1">
        <v>37.221417800200001</v>
      </c>
      <c r="D3903" s="1">
        <v>-7.0230902977999996</v>
      </c>
      <c r="E3903" s="3">
        <v>4</v>
      </c>
      <c r="F3903" s="2">
        <v>4</v>
      </c>
      <c r="G3903" s="4">
        <v>5</v>
      </c>
      <c r="H3903" s="13"/>
      <c r="I3903" s="15"/>
      <c r="J3903" s="19">
        <v>4</v>
      </c>
      <c r="K3903" s="2" t="s">
        <v>7818</v>
      </c>
      <c r="L3903" s="11" t="str">
        <f t="shared" si="64"/>
        <v>Ver Imagen</v>
      </c>
      <c r="M3903" t="s">
        <v>15</v>
      </c>
    </row>
    <row r="3904" spans="1:13" x14ac:dyDescent="0.25">
      <c r="A3904">
        <v>3905</v>
      </c>
      <c r="B3904" t="s">
        <v>7819</v>
      </c>
      <c r="C3904" s="1">
        <v>37.220818696499997</v>
      </c>
      <c r="D3904" s="1">
        <v>-7.0230361868799998</v>
      </c>
      <c r="E3904" s="3">
        <v>4</v>
      </c>
      <c r="F3904" s="2">
        <v>4</v>
      </c>
      <c r="G3904" s="4">
        <v>5</v>
      </c>
      <c r="H3904" s="13"/>
      <c r="I3904" s="15"/>
      <c r="J3904" s="19">
        <v>4</v>
      </c>
      <c r="K3904" s="2" t="s">
        <v>7820</v>
      </c>
      <c r="L3904" s="11" t="str">
        <f t="shared" si="64"/>
        <v>Ver Imagen</v>
      </c>
      <c r="M3904" t="s">
        <v>15</v>
      </c>
    </row>
    <row r="3905" spans="1:13" x14ac:dyDescent="0.25">
      <c r="A3905">
        <v>3906</v>
      </c>
      <c r="B3905" t="s">
        <v>7821</v>
      </c>
      <c r="C3905" s="1">
        <v>37.217614382500003</v>
      </c>
      <c r="D3905" s="1">
        <v>-7.0231300709399997</v>
      </c>
      <c r="E3905" s="3">
        <v>4</v>
      </c>
      <c r="F3905" s="2">
        <v>4</v>
      </c>
      <c r="G3905" s="4">
        <v>3</v>
      </c>
      <c r="H3905" s="13"/>
      <c r="I3905" s="15"/>
      <c r="J3905" s="19">
        <v>4</v>
      </c>
      <c r="K3905" s="2" t="s">
        <v>7822</v>
      </c>
      <c r="L3905" s="11" t="str">
        <f t="shared" si="64"/>
        <v>Ver Imagen</v>
      </c>
      <c r="M3905" t="s">
        <v>15</v>
      </c>
    </row>
    <row r="3906" spans="1:13" x14ac:dyDescent="0.25">
      <c r="A3906">
        <v>3907</v>
      </c>
      <c r="B3906" t="s">
        <v>7823</v>
      </c>
      <c r="C3906" s="1">
        <v>37.217393479499997</v>
      </c>
      <c r="D3906" s="1">
        <v>-7.0231676532999998</v>
      </c>
      <c r="E3906" s="3">
        <v>3</v>
      </c>
      <c r="F3906" s="2">
        <v>4</v>
      </c>
      <c r="G3906" s="4">
        <v>4</v>
      </c>
      <c r="H3906" s="13"/>
      <c r="I3906" s="15"/>
      <c r="J3906" s="19">
        <v>4</v>
      </c>
      <c r="K3906" s="2" t="s">
        <v>7824</v>
      </c>
      <c r="L3906" s="11" t="str">
        <f t="shared" si="64"/>
        <v>Ver Imagen</v>
      </c>
      <c r="M3906" t="s">
        <v>15</v>
      </c>
    </row>
    <row r="3907" spans="1:13" x14ac:dyDescent="0.25">
      <c r="A3907">
        <v>3908</v>
      </c>
      <c r="B3907" t="s">
        <v>7825</v>
      </c>
      <c r="C3907" s="1">
        <v>37.216824601900001</v>
      </c>
      <c r="D3907" s="1">
        <v>-7.0232701301900002</v>
      </c>
      <c r="E3907" s="3">
        <v>3</v>
      </c>
      <c r="F3907" s="2">
        <v>4</v>
      </c>
      <c r="G3907" s="4">
        <v>4</v>
      </c>
      <c r="H3907" s="13"/>
      <c r="I3907" s="15"/>
      <c r="J3907" s="19">
        <v>4</v>
      </c>
      <c r="K3907" s="2" t="s">
        <v>7826</v>
      </c>
      <c r="L3907" s="11" t="str">
        <f t="shared" si="64"/>
        <v>Ver Imagen</v>
      </c>
      <c r="M3907" t="s">
        <v>15</v>
      </c>
    </row>
    <row r="3908" spans="1:13" x14ac:dyDescent="0.25">
      <c r="A3908">
        <v>3909</v>
      </c>
      <c r="B3908" t="s">
        <v>7827</v>
      </c>
      <c r="C3908" s="1">
        <v>37.215399082499999</v>
      </c>
      <c r="D3908" s="1">
        <v>-7.0235166060900003</v>
      </c>
      <c r="E3908" s="3">
        <v>4</v>
      </c>
      <c r="F3908" s="2">
        <v>4</v>
      </c>
      <c r="G3908" s="4">
        <v>3</v>
      </c>
      <c r="H3908" s="13"/>
      <c r="I3908" s="15"/>
      <c r="J3908" s="19">
        <v>4</v>
      </c>
      <c r="K3908" s="2" t="s">
        <v>7828</v>
      </c>
      <c r="L3908" s="11" t="str">
        <f t="shared" si="64"/>
        <v>Ver Imagen</v>
      </c>
      <c r="M3908" t="s">
        <v>15</v>
      </c>
    </row>
    <row r="3909" spans="1:13" x14ac:dyDescent="0.25">
      <c r="A3909">
        <v>3910</v>
      </c>
      <c r="B3909" t="s">
        <v>7829</v>
      </c>
      <c r="C3909" s="1">
        <v>37.204434307100001</v>
      </c>
      <c r="D3909" s="1">
        <v>-7.0135300114000003</v>
      </c>
      <c r="E3909" s="3">
        <v>3</v>
      </c>
      <c r="F3909" s="2">
        <v>4</v>
      </c>
      <c r="G3909" s="4">
        <v>4</v>
      </c>
      <c r="H3909" s="13"/>
      <c r="I3909" s="15"/>
      <c r="J3909" s="19">
        <v>4</v>
      </c>
      <c r="K3909" s="2" t="s">
        <v>7830</v>
      </c>
      <c r="L3909" s="11" t="str">
        <f t="shared" si="64"/>
        <v>Ver Imagen</v>
      </c>
      <c r="M3909" t="s">
        <v>15</v>
      </c>
    </row>
    <row r="3910" spans="1:13" x14ac:dyDescent="0.25">
      <c r="A3910">
        <v>3911</v>
      </c>
      <c r="B3910" t="s">
        <v>7831</v>
      </c>
      <c r="C3910" s="1">
        <v>37.204392186500002</v>
      </c>
      <c r="D3910" s="1">
        <v>-7.0133036193800002</v>
      </c>
      <c r="E3910" s="3">
        <v>3</v>
      </c>
      <c r="F3910" s="2">
        <v>4</v>
      </c>
      <c r="G3910" s="4">
        <v>4</v>
      </c>
      <c r="H3910" s="13"/>
      <c r="I3910" s="15"/>
      <c r="J3910" s="19">
        <v>4</v>
      </c>
      <c r="K3910" s="2" t="s">
        <v>7832</v>
      </c>
      <c r="L3910" s="11" t="str">
        <f t="shared" si="64"/>
        <v>Ver Imagen</v>
      </c>
      <c r="M3910" t="s">
        <v>15</v>
      </c>
    </row>
    <row r="3911" spans="1:13" x14ac:dyDescent="0.25">
      <c r="A3911">
        <v>3912</v>
      </c>
      <c r="B3911" t="s">
        <v>7833</v>
      </c>
      <c r="C3911" s="1">
        <v>37.204351825700002</v>
      </c>
      <c r="D3911" s="1">
        <v>-7.0130841963800004</v>
      </c>
      <c r="E3911" s="3">
        <v>3</v>
      </c>
      <c r="F3911" s="2">
        <v>4</v>
      </c>
      <c r="G3911" s="4">
        <v>4</v>
      </c>
      <c r="H3911" s="13"/>
      <c r="I3911" s="15"/>
      <c r="J3911" s="19">
        <v>4</v>
      </c>
      <c r="K3911" s="2" t="s">
        <v>7834</v>
      </c>
      <c r="L3911" s="11" t="str">
        <f t="shared" si="64"/>
        <v>Ver Imagen</v>
      </c>
      <c r="M3911" t="s">
        <v>15</v>
      </c>
    </row>
    <row r="3912" spans="1:13" x14ac:dyDescent="0.25">
      <c r="A3912">
        <v>3913</v>
      </c>
      <c r="B3912" t="s">
        <v>7835</v>
      </c>
      <c r="C3912" s="1">
        <v>37.203905347999999</v>
      </c>
      <c r="D3912" s="1">
        <v>-7.0105494081000002</v>
      </c>
      <c r="E3912" s="3">
        <v>4</v>
      </c>
      <c r="F3912" s="2">
        <v>4</v>
      </c>
      <c r="G3912" s="4">
        <v>3</v>
      </c>
      <c r="H3912" s="13"/>
      <c r="I3912" s="15"/>
      <c r="J3912" s="19">
        <v>4</v>
      </c>
      <c r="K3912" s="2" t="s">
        <v>7836</v>
      </c>
      <c r="L3912" s="11" t="str">
        <f t="shared" si="64"/>
        <v>Ver Imagen</v>
      </c>
      <c r="M3912" t="s">
        <v>15</v>
      </c>
    </row>
    <row r="3913" spans="1:13" x14ac:dyDescent="0.25">
      <c r="A3913">
        <v>3914</v>
      </c>
      <c r="B3913" t="s">
        <v>7837</v>
      </c>
      <c r="C3913" s="1">
        <v>37.203200401499998</v>
      </c>
      <c r="D3913" s="1">
        <v>-7.0058219892200002</v>
      </c>
      <c r="E3913" s="3">
        <v>4</v>
      </c>
      <c r="F3913" s="2">
        <v>4</v>
      </c>
      <c r="G3913" s="4">
        <v>3</v>
      </c>
      <c r="H3913" s="13"/>
      <c r="I3913" s="15"/>
      <c r="J3913" s="19">
        <v>4</v>
      </c>
      <c r="K3913" s="2" t="s">
        <v>7838</v>
      </c>
      <c r="L3913" s="11" t="str">
        <f t="shared" si="64"/>
        <v>Ver Imagen</v>
      </c>
      <c r="M3913" t="s">
        <v>15</v>
      </c>
    </row>
    <row r="3914" spans="1:13" x14ac:dyDescent="0.25">
      <c r="A3914">
        <v>3915</v>
      </c>
      <c r="B3914" t="s">
        <v>7839</v>
      </c>
      <c r="C3914" s="1">
        <v>37.203169446799997</v>
      </c>
      <c r="D3914" s="1">
        <v>-7.0055948842899998</v>
      </c>
      <c r="E3914" s="3">
        <v>4</v>
      </c>
      <c r="F3914" s="2">
        <v>4</v>
      </c>
      <c r="G3914" s="4">
        <v>3</v>
      </c>
      <c r="H3914" s="13"/>
      <c r="I3914" s="15"/>
      <c r="J3914" s="19">
        <v>4</v>
      </c>
      <c r="K3914" s="2" t="s">
        <v>7840</v>
      </c>
      <c r="L3914" s="11" t="str">
        <f t="shared" si="64"/>
        <v>Ver Imagen</v>
      </c>
      <c r="M3914" t="s">
        <v>15</v>
      </c>
    </row>
    <row r="3915" spans="1:13" x14ac:dyDescent="0.25">
      <c r="A3915">
        <v>3916</v>
      </c>
      <c r="B3915" t="s">
        <v>7841</v>
      </c>
      <c r="C3915" s="1">
        <v>37.202982614100002</v>
      </c>
      <c r="D3915" s="1">
        <v>-7.0041123458600003</v>
      </c>
      <c r="E3915" s="3">
        <v>3</v>
      </c>
      <c r="F3915" s="2">
        <v>4</v>
      </c>
      <c r="G3915" s="4">
        <v>4</v>
      </c>
      <c r="H3915" s="13"/>
      <c r="I3915" s="15"/>
      <c r="J3915" s="19">
        <v>4</v>
      </c>
      <c r="K3915" s="2" t="s">
        <v>7842</v>
      </c>
      <c r="L3915" s="11" t="str">
        <f t="shared" si="64"/>
        <v>Ver Imagen</v>
      </c>
      <c r="M3915" t="s">
        <v>15</v>
      </c>
    </row>
    <row r="3916" spans="1:13" x14ac:dyDescent="0.25">
      <c r="A3916">
        <v>3917</v>
      </c>
      <c r="B3916" t="s">
        <v>7843</v>
      </c>
      <c r="C3916" s="1">
        <v>37.2027357431</v>
      </c>
      <c r="D3916" s="1">
        <v>-7.0018921696699996</v>
      </c>
      <c r="E3916" s="3">
        <v>3</v>
      </c>
      <c r="F3916" s="2">
        <v>4</v>
      </c>
      <c r="G3916" s="4">
        <v>4</v>
      </c>
      <c r="H3916" s="13"/>
      <c r="I3916" s="15"/>
      <c r="J3916" s="19">
        <v>4</v>
      </c>
      <c r="K3916" s="2" t="s">
        <v>7844</v>
      </c>
      <c r="L3916" s="11" t="str">
        <f t="shared" si="64"/>
        <v>Ver Imagen</v>
      </c>
      <c r="M3916" t="s">
        <v>15</v>
      </c>
    </row>
    <row r="3917" spans="1:13" x14ac:dyDescent="0.25">
      <c r="A3917">
        <v>3918</v>
      </c>
      <c r="B3917" t="s">
        <v>7845</v>
      </c>
      <c r="C3917" s="1">
        <v>37.201940321000002</v>
      </c>
      <c r="D3917" s="1">
        <v>-6.9960827855299996</v>
      </c>
      <c r="E3917" s="3">
        <v>4</v>
      </c>
      <c r="F3917" s="2">
        <v>4</v>
      </c>
      <c r="G3917" s="4">
        <v>3</v>
      </c>
      <c r="H3917" s="13"/>
      <c r="I3917" s="15"/>
      <c r="J3917" s="19">
        <v>4</v>
      </c>
      <c r="K3917" s="2" t="s">
        <v>7846</v>
      </c>
      <c r="L3917" s="11" t="str">
        <f t="shared" si="64"/>
        <v>Ver Imagen</v>
      </c>
      <c r="M3917" t="s">
        <v>15</v>
      </c>
    </row>
    <row r="3918" spans="1:13" x14ac:dyDescent="0.25">
      <c r="A3918">
        <v>3919</v>
      </c>
      <c r="B3918" t="s">
        <v>7847</v>
      </c>
      <c r="C3918" s="1">
        <v>37.229879241200003</v>
      </c>
      <c r="D3918" s="1">
        <v>-7.02035050843</v>
      </c>
      <c r="E3918" s="3">
        <v>4</v>
      </c>
      <c r="F3918" s="2">
        <v>4</v>
      </c>
      <c r="G3918" s="4">
        <v>3</v>
      </c>
      <c r="H3918" s="13"/>
      <c r="I3918" s="15"/>
      <c r="J3918" s="19">
        <v>4</v>
      </c>
      <c r="K3918" s="2" t="s">
        <v>7848</v>
      </c>
      <c r="L3918" s="11" t="str">
        <f t="shared" si="64"/>
        <v>Ver Imagen</v>
      </c>
      <c r="M3918" t="s">
        <v>15</v>
      </c>
    </row>
    <row r="3919" spans="1:13" x14ac:dyDescent="0.25">
      <c r="A3919">
        <v>3920</v>
      </c>
      <c r="B3919" t="s">
        <v>7849</v>
      </c>
      <c r="C3919" s="1">
        <v>37.230058411199998</v>
      </c>
      <c r="D3919" s="1">
        <v>-7.02021279608</v>
      </c>
      <c r="E3919" s="3">
        <v>4</v>
      </c>
      <c r="F3919" s="2">
        <v>4</v>
      </c>
      <c r="G3919" s="4">
        <v>3</v>
      </c>
      <c r="H3919" s="13"/>
      <c r="I3919" s="15"/>
      <c r="J3919" s="19">
        <v>4</v>
      </c>
      <c r="K3919" s="2" t="s">
        <v>7850</v>
      </c>
      <c r="L3919" s="11" t="str">
        <f t="shared" si="64"/>
        <v>Ver Imagen</v>
      </c>
      <c r="M3919" t="s">
        <v>15</v>
      </c>
    </row>
    <row r="3920" spans="1:13" x14ac:dyDescent="0.25">
      <c r="A3920">
        <v>3921</v>
      </c>
      <c r="B3920" t="s">
        <v>7851</v>
      </c>
      <c r="C3920" s="1">
        <v>37.230279109800001</v>
      </c>
      <c r="D3920" s="1">
        <v>-7.0200424423100003</v>
      </c>
      <c r="E3920" s="3">
        <v>4</v>
      </c>
      <c r="F3920" s="2">
        <v>4</v>
      </c>
      <c r="G3920" s="4">
        <v>3</v>
      </c>
      <c r="H3920" s="13"/>
      <c r="I3920" s="15"/>
      <c r="J3920" s="19">
        <v>4</v>
      </c>
      <c r="K3920" s="2" t="s">
        <v>7852</v>
      </c>
      <c r="L3920" s="11" t="str">
        <f t="shared" si="64"/>
        <v>Ver Imagen</v>
      </c>
      <c r="M3920" t="s">
        <v>15</v>
      </c>
    </row>
    <row r="3921" spans="1:13" x14ac:dyDescent="0.25">
      <c r="A3921">
        <v>3922</v>
      </c>
      <c r="B3921" t="s">
        <v>7853</v>
      </c>
      <c r="C3921" s="1">
        <v>37.230638663500002</v>
      </c>
      <c r="D3921" s="1">
        <v>-7.0197657516499996</v>
      </c>
      <c r="E3921" s="3">
        <v>4</v>
      </c>
      <c r="F3921" s="2">
        <v>4</v>
      </c>
      <c r="G3921" s="4">
        <v>3</v>
      </c>
      <c r="H3921" s="13"/>
      <c r="I3921" s="15"/>
      <c r="J3921" s="19">
        <v>4</v>
      </c>
      <c r="K3921" s="2" t="s">
        <v>7854</v>
      </c>
      <c r="L3921" s="11" t="str">
        <f t="shared" si="64"/>
        <v>Ver Imagen</v>
      </c>
      <c r="M3921" t="s">
        <v>15</v>
      </c>
    </row>
    <row r="3922" spans="1:13" x14ac:dyDescent="0.25">
      <c r="A3922">
        <v>3923</v>
      </c>
      <c r="B3922" t="s">
        <v>7855</v>
      </c>
      <c r="C3922" s="1">
        <v>37.230779553300003</v>
      </c>
      <c r="D3922" s="1">
        <v>-7.0196574461900001</v>
      </c>
      <c r="E3922" s="3">
        <v>4</v>
      </c>
      <c r="F3922" s="2">
        <v>4</v>
      </c>
      <c r="G3922" s="4">
        <v>3</v>
      </c>
      <c r="H3922" s="13"/>
      <c r="I3922" s="15"/>
      <c r="J3922" s="19">
        <v>4</v>
      </c>
      <c r="K3922" s="2" t="s">
        <v>7856</v>
      </c>
      <c r="L3922" s="11" t="str">
        <f t="shared" si="64"/>
        <v>Ver Imagen</v>
      </c>
      <c r="M3922" t="s">
        <v>15</v>
      </c>
    </row>
    <row r="3923" spans="1:13" x14ac:dyDescent="0.25">
      <c r="A3923">
        <v>3924</v>
      </c>
      <c r="B3923" t="s">
        <v>7857</v>
      </c>
      <c r="C3923" s="1">
        <v>37.230927216300003</v>
      </c>
      <c r="D3923" s="1">
        <v>-7.0195440479200002</v>
      </c>
      <c r="E3923" s="3">
        <v>4</v>
      </c>
      <c r="F3923" s="2">
        <v>4</v>
      </c>
      <c r="G3923" s="4">
        <v>3</v>
      </c>
      <c r="H3923" s="13"/>
      <c r="I3923" s="15"/>
      <c r="J3923" s="19">
        <v>4</v>
      </c>
      <c r="K3923" s="2" t="s">
        <v>7858</v>
      </c>
      <c r="L3923" s="11" t="str">
        <f t="shared" si="64"/>
        <v>Ver Imagen</v>
      </c>
      <c r="M3923" t="s">
        <v>15</v>
      </c>
    </row>
    <row r="3924" spans="1:13" x14ac:dyDescent="0.25">
      <c r="A3924">
        <v>3925</v>
      </c>
      <c r="B3924" t="s">
        <v>7859</v>
      </c>
      <c r="C3924" s="1">
        <v>37.248448982100001</v>
      </c>
      <c r="D3924" s="1">
        <v>-7.0181609967299998</v>
      </c>
      <c r="E3924" s="3">
        <v>4</v>
      </c>
      <c r="F3924" s="2">
        <v>4</v>
      </c>
      <c r="G3924" s="4">
        <v>3</v>
      </c>
      <c r="H3924" s="13"/>
      <c r="I3924" s="15"/>
      <c r="J3924" s="19">
        <v>4</v>
      </c>
      <c r="K3924" s="2" t="s">
        <v>7860</v>
      </c>
      <c r="L3924" s="11" t="str">
        <f t="shared" si="64"/>
        <v>Ver Imagen</v>
      </c>
      <c r="M3924" t="s">
        <v>15</v>
      </c>
    </row>
    <row r="3925" spans="1:13" x14ac:dyDescent="0.25">
      <c r="A3925">
        <v>3926</v>
      </c>
      <c r="B3925" t="s">
        <v>7861</v>
      </c>
      <c r="C3925" s="1">
        <v>37.2496339506</v>
      </c>
      <c r="D3925" s="1">
        <v>-7.0179601865899999</v>
      </c>
      <c r="E3925" s="3">
        <v>3</v>
      </c>
      <c r="F3925" s="2">
        <v>4</v>
      </c>
      <c r="G3925" s="4">
        <v>4</v>
      </c>
      <c r="H3925" s="13"/>
      <c r="I3925" s="15"/>
      <c r="J3925" s="19">
        <v>4</v>
      </c>
      <c r="K3925" s="2" t="s">
        <v>7862</v>
      </c>
      <c r="L3925" s="11" t="str">
        <f t="shared" si="64"/>
        <v>Ver Imagen</v>
      </c>
      <c r="M3925" t="s">
        <v>15</v>
      </c>
    </row>
    <row r="3926" spans="1:13" x14ac:dyDescent="0.25">
      <c r="A3926">
        <v>3927</v>
      </c>
      <c r="B3926" t="s">
        <v>7863</v>
      </c>
      <c r="C3926" s="1">
        <v>37.254192600300001</v>
      </c>
      <c r="D3926" s="1">
        <v>-7.01520826389</v>
      </c>
      <c r="E3926" s="3">
        <v>3</v>
      </c>
      <c r="F3926" s="2">
        <v>4</v>
      </c>
      <c r="G3926" s="4">
        <v>4</v>
      </c>
      <c r="H3926" s="13"/>
      <c r="I3926" s="15"/>
      <c r="J3926" s="19">
        <v>4</v>
      </c>
      <c r="K3926" s="2" t="s">
        <v>7864</v>
      </c>
      <c r="L3926" s="11" t="str">
        <f t="shared" si="64"/>
        <v>Ver Imagen</v>
      </c>
      <c r="M3926" t="s">
        <v>15</v>
      </c>
    </row>
    <row r="3927" spans="1:13" x14ac:dyDescent="0.25">
      <c r="A3927">
        <v>3928</v>
      </c>
      <c r="B3927" t="s">
        <v>7865</v>
      </c>
      <c r="C3927" s="1">
        <v>37.254521277199999</v>
      </c>
      <c r="D3927" s="1">
        <v>-7.0149969350700001</v>
      </c>
      <c r="E3927" s="3">
        <v>4</v>
      </c>
      <c r="F3927" s="2">
        <v>4</v>
      </c>
      <c r="G3927" s="4">
        <v>3</v>
      </c>
      <c r="H3927" s="13"/>
      <c r="I3927" s="15"/>
      <c r="J3927" s="19">
        <v>4</v>
      </c>
      <c r="K3927" s="2" t="s">
        <v>7866</v>
      </c>
      <c r="L3927" s="11" t="str">
        <f t="shared" si="64"/>
        <v>Ver Imagen</v>
      </c>
      <c r="M3927" t="s">
        <v>15</v>
      </c>
    </row>
    <row r="3928" spans="1:13" x14ac:dyDescent="0.25">
      <c r="A3928">
        <v>3929</v>
      </c>
      <c r="B3928" t="s">
        <v>7867</v>
      </c>
      <c r="C3928" s="1">
        <v>37.263117804399997</v>
      </c>
      <c r="D3928" s="1">
        <v>-7.00817947003</v>
      </c>
      <c r="E3928" s="3">
        <v>4</v>
      </c>
      <c r="F3928" s="2">
        <v>4</v>
      </c>
      <c r="G3928" s="4">
        <v>3</v>
      </c>
      <c r="H3928" s="13"/>
      <c r="I3928" s="15"/>
      <c r="J3928" s="19">
        <v>4</v>
      </c>
      <c r="K3928" s="2" t="s">
        <v>7868</v>
      </c>
      <c r="L3928" s="11" t="str">
        <f t="shared" si="64"/>
        <v>Ver Imagen</v>
      </c>
      <c r="M3928" t="s">
        <v>15</v>
      </c>
    </row>
    <row r="3929" spans="1:13" x14ac:dyDescent="0.25">
      <c r="A3929">
        <v>3930</v>
      </c>
      <c r="B3929" t="s">
        <v>7869</v>
      </c>
      <c r="C3929" s="1">
        <v>37.263478605899998</v>
      </c>
      <c r="D3929" s="1">
        <v>-7.0067907717100004</v>
      </c>
      <c r="E3929" s="3">
        <v>4</v>
      </c>
      <c r="F3929" s="2">
        <v>4</v>
      </c>
      <c r="G3929" s="4">
        <v>3</v>
      </c>
      <c r="H3929" s="13"/>
      <c r="I3929" s="15"/>
      <c r="J3929" s="19">
        <v>4</v>
      </c>
      <c r="K3929" s="2" t="s">
        <v>7870</v>
      </c>
      <c r="L3929" s="11" t="str">
        <f t="shared" si="64"/>
        <v>Ver Imagen</v>
      </c>
      <c r="M3929" t="s">
        <v>15</v>
      </c>
    </row>
    <row r="3930" spans="1:13" x14ac:dyDescent="0.25">
      <c r="A3930">
        <v>3931</v>
      </c>
      <c r="B3930" t="s">
        <v>7871</v>
      </c>
      <c r="C3930" s="1">
        <v>37.270800284499998</v>
      </c>
      <c r="D3930" s="1">
        <v>-6.9822550399400001</v>
      </c>
      <c r="E3930" s="3">
        <v>3</v>
      </c>
      <c r="F3930" s="2">
        <v>4</v>
      </c>
      <c r="G3930" s="4">
        <v>4</v>
      </c>
      <c r="H3930" s="13"/>
      <c r="I3930" s="15"/>
      <c r="J3930" s="19">
        <v>4</v>
      </c>
      <c r="K3930" s="2" t="s">
        <v>7872</v>
      </c>
      <c r="L3930" s="11" t="str">
        <f t="shared" si="64"/>
        <v>Ver Imagen</v>
      </c>
      <c r="M3930" t="s">
        <v>15</v>
      </c>
    </row>
    <row r="3931" spans="1:13" x14ac:dyDescent="0.25">
      <c r="A3931">
        <v>3932</v>
      </c>
      <c r="B3931" t="s">
        <v>7873</v>
      </c>
      <c r="C3931" s="1">
        <v>37.456176667599998</v>
      </c>
      <c r="D3931" s="1">
        <v>-7.1136105797500004</v>
      </c>
      <c r="E3931" s="3">
        <v>5</v>
      </c>
      <c r="F3931" s="2">
        <v>5</v>
      </c>
      <c r="G3931" s="4">
        <v>5</v>
      </c>
      <c r="H3931" s="13"/>
      <c r="I3931" s="15"/>
      <c r="J3931" s="19">
        <v>5</v>
      </c>
      <c r="K3931" s="2" t="s">
        <v>7874</v>
      </c>
      <c r="L3931" s="11" t="str">
        <f t="shared" ref="L3931:L3944" si="65">HYPERLINK("5\0\" &amp; K3931, "Ver Imagen")</f>
        <v>Ver Imagen</v>
      </c>
      <c r="M3931" t="s">
        <v>15</v>
      </c>
    </row>
    <row r="3932" spans="1:13" x14ac:dyDescent="0.25">
      <c r="A3932">
        <v>3933</v>
      </c>
      <c r="B3932" t="s">
        <v>7875</v>
      </c>
      <c r="C3932" s="1">
        <v>37.455604473400001</v>
      </c>
      <c r="D3932" s="1">
        <v>-7.1133878514399997</v>
      </c>
      <c r="E3932" s="3">
        <v>5</v>
      </c>
      <c r="F3932" s="2">
        <v>5</v>
      </c>
      <c r="G3932" s="4">
        <v>5</v>
      </c>
      <c r="H3932" s="13"/>
      <c r="I3932" s="15"/>
      <c r="J3932" s="19">
        <v>5</v>
      </c>
      <c r="K3932" s="2" t="s">
        <v>7876</v>
      </c>
      <c r="L3932" s="11" t="str">
        <f t="shared" si="65"/>
        <v>Ver Imagen</v>
      </c>
      <c r="M3932" t="s">
        <v>15</v>
      </c>
    </row>
    <row r="3933" spans="1:13" x14ac:dyDescent="0.25">
      <c r="A3933">
        <v>3934</v>
      </c>
      <c r="B3933" t="s">
        <v>7877</v>
      </c>
      <c r="C3933" s="1">
        <v>37.454808798599998</v>
      </c>
      <c r="D3933" s="1">
        <v>-7.1130373630600001</v>
      </c>
      <c r="E3933" s="3">
        <v>5</v>
      </c>
      <c r="F3933" s="2">
        <v>5</v>
      </c>
      <c r="G3933" s="4">
        <v>5</v>
      </c>
      <c r="H3933" s="13"/>
      <c r="I3933" s="15"/>
      <c r="J3933" s="19">
        <v>5</v>
      </c>
      <c r="K3933" s="2" t="s">
        <v>7878</v>
      </c>
      <c r="L3933" s="11" t="str">
        <f t="shared" si="65"/>
        <v>Ver Imagen</v>
      </c>
      <c r="M3933" t="s">
        <v>15</v>
      </c>
    </row>
    <row r="3934" spans="1:13" x14ac:dyDescent="0.25">
      <c r="A3934">
        <v>3935</v>
      </c>
      <c r="B3934" t="s">
        <v>7879</v>
      </c>
      <c r="C3934" s="1">
        <v>37.454462034000002</v>
      </c>
      <c r="D3934" s="1">
        <v>-7.1128600472699999</v>
      </c>
      <c r="E3934" s="3">
        <v>5</v>
      </c>
      <c r="F3934" s="2">
        <v>5</v>
      </c>
      <c r="G3934" s="4">
        <v>5</v>
      </c>
      <c r="H3934" s="13"/>
      <c r="I3934" s="15"/>
      <c r="J3934" s="19">
        <v>5</v>
      </c>
      <c r="K3934" s="2" t="s">
        <v>7880</v>
      </c>
      <c r="L3934" s="11" t="str">
        <f t="shared" si="65"/>
        <v>Ver Imagen</v>
      </c>
      <c r="M3934" t="s">
        <v>15</v>
      </c>
    </row>
    <row r="3935" spans="1:13" x14ac:dyDescent="0.25">
      <c r="A3935">
        <v>3936</v>
      </c>
      <c r="B3935" t="s">
        <v>7881</v>
      </c>
      <c r="C3935" s="1">
        <v>37.454275823400003</v>
      </c>
      <c r="D3935" s="1">
        <v>-7.1127576442300002</v>
      </c>
      <c r="E3935" s="3">
        <v>5</v>
      </c>
      <c r="F3935" s="2">
        <v>5</v>
      </c>
      <c r="G3935" s="4">
        <v>5</v>
      </c>
      <c r="H3935" s="13"/>
      <c r="I3935" s="15"/>
      <c r="J3935" s="19">
        <v>5</v>
      </c>
      <c r="K3935" s="2" t="s">
        <v>7882</v>
      </c>
      <c r="L3935" s="11" t="str">
        <f t="shared" si="65"/>
        <v>Ver Imagen</v>
      </c>
      <c r="M3935" t="s">
        <v>15</v>
      </c>
    </row>
    <row r="3936" spans="1:13" x14ac:dyDescent="0.25">
      <c r="A3936">
        <v>3937</v>
      </c>
      <c r="B3936" t="s">
        <v>7883</v>
      </c>
      <c r="C3936" s="1">
        <v>37.450623465699998</v>
      </c>
      <c r="D3936" s="1">
        <v>-7.11059612729</v>
      </c>
      <c r="E3936" s="3">
        <v>5</v>
      </c>
      <c r="F3936" s="2">
        <v>5</v>
      </c>
      <c r="G3936" s="4">
        <v>5</v>
      </c>
      <c r="H3936" s="13"/>
      <c r="I3936" s="15"/>
      <c r="J3936" s="19">
        <v>5</v>
      </c>
      <c r="K3936" s="2" t="s">
        <v>7884</v>
      </c>
      <c r="L3936" s="11" t="str">
        <f t="shared" si="65"/>
        <v>Ver Imagen</v>
      </c>
      <c r="M3936" t="s">
        <v>15</v>
      </c>
    </row>
    <row r="3937" spans="1:13" x14ac:dyDescent="0.25">
      <c r="A3937">
        <v>3938</v>
      </c>
      <c r="B3937" t="s">
        <v>7885</v>
      </c>
      <c r="C3937" s="1">
        <v>37.450239091199997</v>
      </c>
      <c r="D3937" s="1">
        <v>-7.1104579866800002</v>
      </c>
      <c r="E3937" s="3">
        <v>5</v>
      </c>
      <c r="F3937" s="2">
        <v>5</v>
      </c>
      <c r="G3937" s="4">
        <v>5</v>
      </c>
      <c r="H3937" s="13"/>
      <c r="I3937" s="15"/>
      <c r="J3937" s="19">
        <v>5</v>
      </c>
      <c r="K3937" s="2" t="s">
        <v>7886</v>
      </c>
      <c r="L3937" s="11" t="str">
        <f t="shared" si="65"/>
        <v>Ver Imagen</v>
      </c>
      <c r="M3937" t="s">
        <v>15</v>
      </c>
    </row>
    <row r="3938" spans="1:13" x14ac:dyDescent="0.25">
      <c r="A3938">
        <v>3939</v>
      </c>
      <c r="B3938" t="s">
        <v>7887</v>
      </c>
      <c r="C3938" s="1">
        <v>37.213251286499997</v>
      </c>
      <c r="D3938" s="1">
        <v>-7.0648337651800004</v>
      </c>
      <c r="E3938" s="3">
        <v>5</v>
      </c>
      <c r="F3938" s="2">
        <v>5</v>
      </c>
      <c r="G3938" s="4">
        <v>5</v>
      </c>
      <c r="H3938" s="13"/>
      <c r="I3938" s="15"/>
      <c r="J3938" s="19">
        <v>5</v>
      </c>
      <c r="K3938" s="2" t="s">
        <v>7888</v>
      </c>
      <c r="L3938" s="11" t="str">
        <f t="shared" si="65"/>
        <v>Ver Imagen</v>
      </c>
      <c r="M3938" t="s">
        <v>15</v>
      </c>
    </row>
    <row r="3939" spans="1:13" x14ac:dyDescent="0.25">
      <c r="A3939">
        <v>3940</v>
      </c>
      <c r="B3939" t="s">
        <v>7889</v>
      </c>
      <c r="C3939" s="1">
        <v>37.213161532000001</v>
      </c>
      <c r="D3939" s="1">
        <v>-7.0646476186499996</v>
      </c>
      <c r="E3939" s="3">
        <v>5</v>
      </c>
      <c r="F3939" s="2">
        <v>5</v>
      </c>
      <c r="G3939" s="4">
        <v>5</v>
      </c>
      <c r="H3939" s="13"/>
      <c r="I3939" s="15"/>
      <c r="J3939" s="19">
        <v>5</v>
      </c>
      <c r="K3939" s="2" t="s">
        <v>7890</v>
      </c>
      <c r="L3939" s="11" t="str">
        <f t="shared" si="65"/>
        <v>Ver Imagen</v>
      </c>
      <c r="M3939" t="s">
        <v>15</v>
      </c>
    </row>
    <row r="3940" spans="1:13" x14ac:dyDescent="0.25">
      <c r="A3940">
        <v>3941</v>
      </c>
      <c r="B3940" t="s">
        <v>7891</v>
      </c>
      <c r="C3940" s="1">
        <v>37.468852637399998</v>
      </c>
      <c r="D3940" s="1">
        <v>-7.1238461906300001</v>
      </c>
      <c r="E3940" s="3">
        <v>5</v>
      </c>
      <c r="F3940" s="2">
        <v>5</v>
      </c>
      <c r="G3940" s="4">
        <v>5</v>
      </c>
      <c r="H3940" s="13"/>
      <c r="I3940" s="15"/>
      <c r="J3940" s="19">
        <v>5</v>
      </c>
      <c r="K3940" s="2" t="s">
        <v>7892</v>
      </c>
      <c r="L3940" s="11" t="str">
        <f t="shared" si="65"/>
        <v>Ver Imagen</v>
      </c>
      <c r="M3940" t="s">
        <v>15</v>
      </c>
    </row>
    <row r="3941" spans="1:13" x14ac:dyDescent="0.25">
      <c r="A3941">
        <v>3942</v>
      </c>
      <c r="B3941" t="s">
        <v>7893</v>
      </c>
      <c r="C3941" s="1">
        <v>37.187036661599997</v>
      </c>
      <c r="D3941" s="1">
        <v>-6.9794642829700004</v>
      </c>
      <c r="E3941" s="3">
        <v>5</v>
      </c>
      <c r="F3941" s="2">
        <v>5</v>
      </c>
      <c r="G3941" s="4">
        <v>5</v>
      </c>
      <c r="H3941" s="13"/>
      <c r="I3941" s="15"/>
      <c r="J3941" s="19">
        <v>5</v>
      </c>
      <c r="K3941" s="2" t="s">
        <v>7894</v>
      </c>
      <c r="L3941" s="11" t="str">
        <f t="shared" si="65"/>
        <v>Ver Imagen</v>
      </c>
      <c r="M3941" t="s">
        <v>15</v>
      </c>
    </row>
    <row r="3942" spans="1:13" x14ac:dyDescent="0.25">
      <c r="A3942">
        <v>3943</v>
      </c>
      <c r="B3942" t="s">
        <v>7895</v>
      </c>
      <c r="C3942" s="1">
        <v>37.204148234599998</v>
      </c>
      <c r="D3942" s="1">
        <v>-7.0111197444700002</v>
      </c>
      <c r="E3942" s="3">
        <v>5</v>
      </c>
      <c r="F3942" s="2">
        <v>5</v>
      </c>
      <c r="G3942" s="4">
        <v>5</v>
      </c>
      <c r="H3942" s="13"/>
      <c r="I3942" s="15"/>
      <c r="J3942" s="19">
        <v>5</v>
      </c>
      <c r="K3942" s="2" t="s">
        <v>7896</v>
      </c>
      <c r="L3942" s="11" t="str">
        <f t="shared" si="65"/>
        <v>Ver Imagen</v>
      </c>
      <c r="M3942" t="s">
        <v>15</v>
      </c>
    </row>
    <row r="3943" spans="1:13" x14ac:dyDescent="0.25">
      <c r="A3943">
        <v>3944</v>
      </c>
      <c r="B3943" t="s">
        <v>7897</v>
      </c>
      <c r="C3943" s="1">
        <v>37.242037004700002</v>
      </c>
      <c r="D3943" s="1">
        <v>-7.0185940635800002</v>
      </c>
      <c r="E3943" s="3">
        <v>5</v>
      </c>
      <c r="F3943" s="2">
        <v>5</v>
      </c>
      <c r="G3943" s="4">
        <v>5</v>
      </c>
      <c r="H3943" s="13"/>
      <c r="I3943" s="15"/>
      <c r="J3943" s="19">
        <v>5</v>
      </c>
      <c r="K3943" s="2" t="s">
        <v>7898</v>
      </c>
      <c r="L3943" s="11" t="str">
        <f t="shared" si="65"/>
        <v>Ver Imagen</v>
      </c>
      <c r="M3943" t="s">
        <v>15</v>
      </c>
    </row>
    <row r="3944" spans="1:13" x14ac:dyDescent="0.25">
      <c r="A3944">
        <v>3945</v>
      </c>
      <c r="B3944" t="s">
        <v>7899</v>
      </c>
      <c r="C3944" s="1">
        <v>37.253975818500003</v>
      </c>
      <c r="D3944" s="1">
        <v>-7.0153466037100003</v>
      </c>
      <c r="E3944" s="3">
        <v>5</v>
      </c>
      <c r="F3944" s="2">
        <v>5</v>
      </c>
      <c r="G3944" s="4">
        <v>5</v>
      </c>
      <c r="H3944" s="13"/>
      <c r="I3944" s="15"/>
      <c r="J3944" s="19">
        <v>5</v>
      </c>
      <c r="K3944" s="2" t="s">
        <v>7900</v>
      </c>
      <c r="L3944" s="11" t="str">
        <f t="shared" si="65"/>
        <v>Ver Imagen</v>
      </c>
      <c r="M3944" t="s">
        <v>15</v>
      </c>
    </row>
    <row r="3945" spans="1:13" x14ac:dyDescent="0.25">
      <c r="A3945">
        <v>3946</v>
      </c>
      <c r="B3945" t="s">
        <v>7901</v>
      </c>
      <c r="C3945" s="1">
        <v>37.451116187300002</v>
      </c>
      <c r="D3945" s="1">
        <v>-7.1542270568699999</v>
      </c>
      <c r="E3945" s="3">
        <v>4</v>
      </c>
      <c r="F3945" s="2">
        <v>5</v>
      </c>
      <c r="G3945" s="4">
        <v>5</v>
      </c>
      <c r="H3945" s="13"/>
      <c r="I3945" s="15"/>
      <c r="J3945" s="19">
        <v>5</v>
      </c>
      <c r="K3945" s="2" t="s">
        <v>7902</v>
      </c>
      <c r="L3945" s="11" t="str">
        <f t="shared" ref="L3945:L3976" si="66">HYPERLINK("5\1\" &amp; K3945, "Ver Imagen")</f>
        <v>Ver Imagen</v>
      </c>
      <c r="M3945" t="s">
        <v>15</v>
      </c>
    </row>
    <row r="3946" spans="1:13" x14ac:dyDescent="0.25">
      <c r="A3946">
        <v>3947</v>
      </c>
      <c r="B3946" t="s">
        <v>7903</v>
      </c>
      <c r="C3946" s="1">
        <v>37.465640173600001</v>
      </c>
      <c r="D3946" s="1">
        <v>-7.1815094256499998</v>
      </c>
      <c r="E3946" s="3">
        <v>4</v>
      </c>
      <c r="F3946" s="2">
        <v>5</v>
      </c>
      <c r="G3946" s="4">
        <v>5</v>
      </c>
      <c r="H3946" s="13"/>
      <c r="I3946" s="15"/>
      <c r="J3946" s="19">
        <v>5</v>
      </c>
      <c r="K3946" s="2" t="s">
        <v>7904</v>
      </c>
      <c r="L3946" s="11" t="str">
        <f t="shared" si="66"/>
        <v>Ver Imagen</v>
      </c>
      <c r="M3946" t="s">
        <v>15</v>
      </c>
    </row>
    <row r="3947" spans="1:13" x14ac:dyDescent="0.25">
      <c r="A3947">
        <v>3948</v>
      </c>
      <c r="B3947" t="s">
        <v>7905</v>
      </c>
      <c r="C3947" s="1">
        <v>37.458116646400001</v>
      </c>
      <c r="D3947" s="1">
        <v>-7.11434482668</v>
      </c>
      <c r="E3947" s="3">
        <v>5</v>
      </c>
      <c r="F3947" s="2">
        <v>5</v>
      </c>
      <c r="G3947" s="4">
        <v>4</v>
      </c>
      <c r="H3947" s="13"/>
      <c r="I3947" s="15"/>
      <c r="J3947" s="19">
        <v>5</v>
      </c>
      <c r="K3947" s="2" t="s">
        <v>7906</v>
      </c>
      <c r="L3947" s="11" t="str">
        <f t="shared" si="66"/>
        <v>Ver Imagen</v>
      </c>
      <c r="M3947" t="s">
        <v>15</v>
      </c>
    </row>
    <row r="3948" spans="1:13" x14ac:dyDescent="0.25">
      <c r="A3948">
        <v>3949</v>
      </c>
      <c r="B3948" t="s">
        <v>7907</v>
      </c>
      <c r="C3948" s="1">
        <v>37.266601832600003</v>
      </c>
      <c r="D3948" s="1">
        <v>-6.9924371449600002</v>
      </c>
      <c r="E3948" s="3">
        <v>5</v>
      </c>
      <c r="F3948" s="2">
        <v>5</v>
      </c>
      <c r="G3948" s="4">
        <v>4</v>
      </c>
      <c r="H3948" s="13"/>
      <c r="I3948" s="15"/>
      <c r="J3948" s="19">
        <v>5</v>
      </c>
      <c r="K3948" s="2" t="s">
        <v>7908</v>
      </c>
      <c r="L3948" s="11" t="str">
        <f t="shared" si="66"/>
        <v>Ver Imagen</v>
      </c>
      <c r="M3948" t="s">
        <v>15</v>
      </c>
    </row>
    <row r="3949" spans="1:13" x14ac:dyDescent="0.25">
      <c r="A3949">
        <v>3950</v>
      </c>
      <c r="B3949" t="s">
        <v>7909</v>
      </c>
      <c r="C3949" s="1">
        <v>37.448934142699997</v>
      </c>
      <c r="D3949" s="1">
        <v>-7.14969086288</v>
      </c>
      <c r="E3949" s="3">
        <v>4</v>
      </c>
      <c r="F3949" s="2">
        <v>5</v>
      </c>
      <c r="G3949" s="4">
        <v>5</v>
      </c>
      <c r="H3949" s="13"/>
      <c r="I3949" s="15"/>
      <c r="J3949" s="19">
        <v>5</v>
      </c>
      <c r="K3949" s="2" t="s">
        <v>7910</v>
      </c>
      <c r="L3949" s="11" t="str">
        <f t="shared" si="66"/>
        <v>Ver Imagen</v>
      </c>
      <c r="M3949" t="s">
        <v>15</v>
      </c>
    </row>
    <row r="3950" spans="1:13" x14ac:dyDescent="0.25">
      <c r="A3950">
        <v>3951</v>
      </c>
      <c r="B3950" t="s">
        <v>7911</v>
      </c>
      <c r="C3950" s="1">
        <v>37.495089083300002</v>
      </c>
      <c r="D3950" s="1">
        <v>-7.2675236462199999</v>
      </c>
      <c r="E3950" s="3">
        <v>4</v>
      </c>
      <c r="F3950" s="2">
        <v>5</v>
      </c>
      <c r="G3950" s="4">
        <v>5</v>
      </c>
      <c r="H3950" s="13"/>
      <c r="I3950" s="15"/>
      <c r="J3950" s="19">
        <v>5</v>
      </c>
      <c r="K3950" s="2" t="s">
        <v>7912</v>
      </c>
      <c r="L3950" s="11" t="str">
        <f t="shared" si="66"/>
        <v>Ver Imagen</v>
      </c>
      <c r="M3950" t="s">
        <v>15</v>
      </c>
    </row>
    <row r="3951" spans="1:13" x14ac:dyDescent="0.25">
      <c r="A3951">
        <v>3952</v>
      </c>
      <c r="B3951" t="s">
        <v>7913</v>
      </c>
      <c r="C3951" s="1">
        <v>37.455777152300001</v>
      </c>
      <c r="D3951" s="1">
        <v>-7.1134574650899998</v>
      </c>
      <c r="E3951" s="3">
        <v>5</v>
      </c>
      <c r="F3951" s="2">
        <v>5</v>
      </c>
      <c r="G3951" s="4">
        <v>4</v>
      </c>
      <c r="H3951" s="13"/>
      <c r="I3951" s="15"/>
      <c r="J3951" s="19">
        <v>5</v>
      </c>
      <c r="K3951" s="2" t="s">
        <v>7914</v>
      </c>
      <c r="L3951" s="11" t="str">
        <f t="shared" si="66"/>
        <v>Ver Imagen</v>
      </c>
      <c r="M3951" t="s">
        <v>15</v>
      </c>
    </row>
    <row r="3952" spans="1:13" x14ac:dyDescent="0.25">
      <c r="A3952">
        <v>3953</v>
      </c>
      <c r="B3952" t="s">
        <v>7915</v>
      </c>
      <c r="C3952" s="1">
        <v>37.455413479400001</v>
      </c>
      <c r="D3952" s="1">
        <v>-7.1133098879099999</v>
      </c>
      <c r="E3952" s="3">
        <v>5</v>
      </c>
      <c r="F3952" s="2">
        <v>4</v>
      </c>
      <c r="G3952" s="4">
        <v>5</v>
      </c>
      <c r="H3952" s="13"/>
      <c r="I3952" s="15"/>
      <c r="J3952" s="19">
        <v>5</v>
      </c>
      <c r="K3952" s="2" t="s">
        <v>7916</v>
      </c>
      <c r="L3952" s="11" t="str">
        <f t="shared" si="66"/>
        <v>Ver Imagen</v>
      </c>
      <c r="M3952" t="s">
        <v>15</v>
      </c>
    </row>
    <row r="3953" spans="1:13" x14ac:dyDescent="0.25">
      <c r="A3953">
        <v>3954</v>
      </c>
      <c r="B3953" t="s">
        <v>7917</v>
      </c>
      <c r="C3953" s="1">
        <v>37.454072113800002</v>
      </c>
      <c r="D3953" s="1">
        <v>-7.1126459457099998</v>
      </c>
      <c r="E3953" s="3">
        <v>5</v>
      </c>
      <c r="F3953" s="2">
        <v>4</v>
      </c>
      <c r="G3953" s="4">
        <v>5</v>
      </c>
      <c r="H3953" s="13"/>
      <c r="I3953" s="15"/>
      <c r="J3953" s="19">
        <v>5</v>
      </c>
      <c r="K3953" s="2" t="s">
        <v>7918</v>
      </c>
      <c r="L3953" s="11" t="str">
        <f t="shared" si="66"/>
        <v>Ver Imagen</v>
      </c>
      <c r="M3953" t="s">
        <v>15</v>
      </c>
    </row>
    <row r="3954" spans="1:13" x14ac:dyDescent="0.25">
      <c r="A3954">
        <v>3955</v>
      </c>
      <c r="B3954" t="s">
        <v>7919</v>
      </c>
      <c r="C3954" s="1">
        <v>37.452772306</v>
      </c>
      <c r="D3954" s="1">
        <v>-7.1119426990000001</v>
      </c>
      <c r="E3954" s="3">
        <v>4</v>
      </c>
      <c r="F3954" s="2">
        <v>5</v>
      </c>
      <c r="G3954" s="4">
        <v>5</v>
      </c>
      <c r="H3954" s="13"/>
      <c r="I3954" s="15"/>
      <c r="J3954" s="19">
        <v>5</v>
      </c>
      <c r="K3954" s="2" t="s">
        <v>7920</v>
      </c>
      <c r="L3954" s="11" t="str">
        <f t="shared" si="66"/>
        <v>Ver Imagen</v>
      </c>
      <c r="M3954" t="s">
        <v>15</v>
      </c>
    </row>
    <row r="3955" spans="1:13" x14ac:dyDescent="0.25">
      <c r="A3955">
        <v>3956</v>
      </c>
      <c r="B3955" t="s">
        <v>7921</v>
      </c>
      <c r="C3955" s="1">
        <v>37.452031665600003</v>
      </c>
      <c r="D3955" s="1">
        <v>-7.1115366080199998</v>
      </c>
      <c r="E3955" s="3">
        <v>5</v>
      </c>
      <c r="F3955" s="2">
        <v>4</v>
      </c>
      <c r="G3955" s="4">
        <v>5</v>
      </c>
      <c r="H3955" s="13"/>
      <c r="I3955" s="15"/>
      <c r="J3955" s="19">
        <v>5</v>
      </c>
      <c r="K3955" s="2" t="s">
        <v>7922</v>
      </c>
      <c r="L3955" s="11" t="str">
        <f t="shared" si="66"/>
        <v>Ver Imagen</v>
      </c>
      <c r="M3955" t="s">
        <v>15</v>
      </c>
    </row>
    <row r="3956" spans="1:13" x14ac:dyDescent="0.25">
      <c r="A3956">
        <v>3957</v>
      </c>
      <c r="B3956" t="s">
        <v>7923</v>
      </c>
      <c r="C3956" s="1">
        <v>37.451320361400001</v>
      </c>
      <c r="D3956" s="1">
        <v>-7.1110737112400004</v>
      </c>
      <c r="E3956" s="3">
        <v>5</v>
      </c>
      <c r="F3956" s="2">
        <v>4</v>
      </c>
      <c r="G3956" s="4">
        <v>5</v>
      </c>
      <c r="H3956" s="13"/>
      <c r="I3956" s="15"/>
      <c r="J3956" s="19">
        <v>5</v>
      </c>
      <c r="K3956" s="2" t="s">
        <v>7924</v>
      </c>
      <c r="L3956" s="11" t="str">
        <f t="shared" si="66"/>
        <v>Ver Imagen</v>
      </c>
      <c r="M3956" t="s">
        <v>15</v>
      </c>
    </row>
    <row r="3957" spans="1:13" x14ac:dyDescent="0.25">
      <c r="A3957">
        <v>3958</v>
      </c>
      <c r="B3957" t="s">
        <v>7925</v>
      </c>
      <c r="C3957" s="1">
        <v>37.213062205900002</v>
      </c>
      <c r="D3957" s="1">
        <v>-7.0643811620900001</v>
      </c>
      <c r="E3957" s="3">
        <v>5</v>
      </c>
      <c r="F3957" s="2">
        <v>4</v>
      </c>
      <c r="G3957" s="4">
        <v>5</v>
      </c>
      <c r="H3957" s="13"/>
      <c r="I3957" s="15"/>
      <c r="J3957" s="19">
        <v>5</v>
      </c>
      <c r="K3957" s="2" t="s">
        <v>7926</v>
      </c>
      <c r="L3957" s="11" t="str">
        <f t="shared" si="66"/>
        <v>Ver Imagen</v>
      </c>
      <c r="M3957" t="s">
        <v>15</v>
      </c>
    </row>
    <row r="3958" spans="1:13" x14ac:dyDescent="0.25">
      <c r="A3958">
        <v>3959</v>
      </c>
      <c r="B3958" t="s">
        <v>7927</v>
      </c>
      <c r="C3958" s="1">
        <v>37.213124738899999</v>
      </c>
      <c r="D3958" s="1">
        <v>-7.0641431506899997</v>
      </c>
      <c r="E3958" s="3">
        <v>5</v>
      </c>
      <c r="F3958" s="2">
        <v>4</v>
      </c>
      <c r="G3958" s="4">
        <v>5</v>
      </c>
      <c r="H3958" s="13"/>
      <c r="I3958" s="15"/>
      <c r="J3958" s="19">
        <v>5</v>
      </c>
      <c r="K3958" s="2" t="s">
        <v>7928</v>
      </c>
      <c r="L3958" s="11" t="str">
        <f t="shared" si="66"/>
        <v>Ver Imagen</v>
      </c>
      <c r="M3958" t="s">
        <v>15</v>
      </c>
    </row>
    <row r="3959" spans="1:13" x14ac:dyDescent="0.25">
      <c r="A3959">
        <v>3960</v>
      </c>
      <c r="B3959" t="s">
        <v>7929</v>
      </c>
      <c r="C3959" s="1">
        <v>37.213224074000003</v>
      </c>
      <c r="D3959" s="1">
        <v>-7.06366603785</v>
      </c>
      <c r="E3959" s="3">
        <v>5</v>
      </c>
      <c r="F3959" s="2">
        <v>4</v>
      </c>
      <c r="G3959" s="4">
        <v>5</v>
      </c>
      <c r="H3959" s="13"/>
      <c r="I3959" s="15"/>
      <c r="J3959" s="19">
        <v>5</v>
      </c>
      <c r="K3959" s="2" t="s">
        <v>7930</v>
      </c>
      <c r="L3959" s="11" t="str">
        <f t="shared" si="66"/>
        <v>Ver Imagen</v>
      </c>
      <c r="M3959" t="s">
        <v>15</v>
      </c>
    </row>
    <row r="3960" spans="1:13" x14ac:dyDescent="0.25">
      <c r="A3960">
        <v>3961</v>
      </c>
      <c r="B3960" t="s">
        <v>7931</v>
      </c>
      <c r="C3960" s="1">
        <v>37.227470770300002</v>
      </c>
      <c r="D3960" s="1">
        <v>-7.1265228591799996</v>
      </c>
      <c r="E3960" s="3">
        <v>5</v>
      </c>
      <c r="F3960" s="2">
        <v>4</v>
      </c>
      <c r="G3960" s="4">
        <v>5</v>
      </c>
      <c r="H3960" s="13"/>
      <c r="I3960" s="15"/>
      <c r="J3960" s="19">
        <v>5</v>
      </c>
      <c r="K3960" s="2" t="s">
        <v>7932</v>
      </c>
      <c r="L3960" s="11" t="str">
        <f t="shared" si="66"/>
        <v>Ver Imagen</v>
      </c>
      <c r="M3960" t="s">
        <v>15</v>
      </c>
    </row>
    <row r="3961" spans="1:13" x14ac:dyDescent="0.25">
      <c r="A3961">
        <v>3962</v>
      </c>
      <c r="B3961" t="s">
        <v>7933</v>
      </c>
      <c r="C3961" s="1">
        <v>37.227273177299999</v>
      </c>
      <c r="D3961" s="1">
        <v>-7.12646463955</v>
      </c>
      <c r="E3961" s="3">
        <v>5</v>
      </c>
      <c r="F3961" s="2">
        <v>4</v>
      </c>
      <c r="G3961" s="4">
        <v>5</v>
      </c>
      <c r="H3961" s="13"/>
      <c r="I3961" s="15"/>
      <c r="J3961" s="19">
        <v>5</v>
      </c>
      <c r="K3961" s="2" t="s">
        <v>7934</v>
      </c>
      <c r="L3961" s="11" t="str">
        <f t="shared" si="66"/>
        <v>Ver Imagen</v>
      </c>
      <c r="M3961" t="s">
        <v>15</v>
      </c>
    </row>
    <row r="3962" spans="1:13" x14ac:dyDescent="0.25">
      <c r="A3962">
        <v>3963</v>
      </c>
      <c r="B3962" t="s">
        <v>7935</v>
      </c>
      <c r="C3962" s="1">
        <v>37.435551700300003</v>
      </c>
      <c r="D3962" s="1">
        <v>-7.0750546183800003</v>
      </c>
      <c r="E3962" s="3">
        <v>5</v>
      </c>
      <c r="F3962" s="2">
        <v>4</v>
      </c>
      <c r="G3962" s="4">
        <v>5</v>
      </c>
      <c r="H3962" s="13"/>
      <c r="I3962" s="15"/>
      <c r="J3962" s="19">
        <v>5</v>
      </c>
      <c r="K3962" s="2" t="s">
        <v>7936</v>
      </c>
      <c r="L3962" s="11" t="str">
        <f t="shared" si="66"/>
        <v>Ver Imagen</v>
      </c>
      <c r="M3962" t="s">
        <v>15</v>
      </c>
    </row>
    <row r="3963" spans="1:13" x14ac:dyDescent="0.25">
      <c r="A3963">
        <v>3964</v>
      </c>
      <c r="B3963" t="s">
        <v>7937</v>
      </c>
      <c r="C3963" s="1">
        <v>37.4354710024</v>
      </c>
      <c r="D3963" s="1">
        <v>-7.0737735649999998</v>
      </c>
      <c r="E3963" s="3">
        <v>5</v>
      </c>
      <c r="F3963" s="2">
        <v>4</v>
      </c>
      <c r="G3963" s="4">
        <v>5</v>
      </c>
      <c r="H3963" s="13"/>
      <c r="I3963" s="15"/>
      <c r="J3963" s="19">
        <v>5</v>
      </c>
      <c r="K3963" s="2" t="s">
        <v>7938</v>
      </c>
      <c r="L3963" s="11" t="str">
        <f t="shared" si="66"/>
        <v>Ver Imagen</v>
      </c>
      <c r="M3963" t="s">
        <v>15</v>
      </c>
    </row>
    <row r="3964" spans="1:13" x14ac:dyDescent="0.25">
      <c r="A3964">
        <v>3965</v>
      </c>
      <c r="B3964" t="s">
        <v>7939</v>
      </c>
      <c r="C3964" s="1">
        <v>37.435447368200002</v>
      </c>
      <c r="D3964" s="1">
        <v>-7.0734994034999996</v>
      </c>
      <c r="E3964" s="3">
        <v>5</v>
      </c>
      <c r="F3964" s="2">
        <v>4</v>
      </c>
      <c r="G3964" s="4">
        <v>5</v>
      </c>
      <c r="H3964" s="13"/>
      <c r="I3964" s="15"/>
      <c r="J3964" s="19">
        <v>5</v>
      </c>
      <c r="K3964" s="2" t="s">
        <v>7940</v>
      </c>
      <c r="L3964" s="11" t="str">
        <f t="shared" si="66"/>
        <v>Ver Imagen</v>
      </c>
      <c r="M3964" t="s">
        <v>15</v>
      </c>
    </row>
    <row r="3965" spans="1:13" x14ac:dyDescent="0.25">
      <c r="A3965">
        <v>3966</v>
      </c>
      <c r="B3965" t="s">
        <v>7941</v>
      </c>
      <c r="C3965" s="1">
        <v>37.435366084800002</v>
      </c>
      <c r="D3965" s="1">
        <v>-7.0725195976600004</v>
      </c>
      <c r="E3965" s="3">
        <v>5</v>
      </c>
      <c r="F3965" s="2">
        <v>4</v>
      </c>
      <c r="G3965" s="4">
        <v>5</v>
      </c>
      <c r="H3965" s="13"/>
      <c r="I3965" s="15"/>
      <c r="J3965" s="19">
        <v>5</v>
      </c>
      <c r="K3965" s="2" t="s">
        <v>7942</v>
      </c>
      <c r="L3965" s="11" t="str">
        <f t="shared" si="66"/>
        <v>Ver Imagen</v>
      </c>
      <c r="M3965" t="s">
        <v>15</v>
      </c>
    </row>
    <row r="3966" spans="1:13" x14ac:dyDescent="0.25">
      <c r="A3966">
        <v>3967</v>
      </c>
      <c r="B3966" t="s">
        <v>7943</v>
      </c>
      <c r="C3966" s="1">
        <v>37.244493214499997</v>
      </c>
      <c r="D3966" s="1">
        <v>-7.0909456554999997</v>
      </c>
      <c r="E3966" s="3">
        <v>5</v>
      </c>
      <c r="F3966" s="2">
        <v>4</v>
      </c>
      <c r="G3966" s="4">
        <v>5</v>
      </c>
      <c r="H3966" s="13"/>
      <c r="I3966" s="15"/>
      <c r="J3966" s="19">
        <v>5</v>
      </c>
      <c r="K3966" s="2" t="s">
        <v>7944</v>
      </c>
      <c r="L3966" s="11" t="str">
        <f t="shared" si="66"/>
        <v>Ver Imagen</v>
      </c>
      <c r="M3966" t="s">
        <v>15</v>
      </c>
    </row>
    <row r="3967" spans="1:13" x14ac:dyDescent="0.25">
      <c r="A3967">
        <v>3968</v>
      </c>
      <c r="B3967" t="s">
        <v>7945</v>
      </c>
      <c r="C3967" s="1">
        <v>37.244590958700002</v>
      </c>
      <c r="D3967" s="1">
        <v>-7.0911390993900003</v>
      </c>
      <c r="E3967" s="3">
        <v>5</v>
      </c>
      <c r="F3967" s="2">
        <v>4</v>
      </c>
      <c r="G3967" s="4">
        <v>5</v>
      </c>
      <c r="H3967" s="13"/>
      <c r="I3967" s="15"/>
      <c r="J3967" s="19">
        <v>5</v>
      </c>
      <c r="K3967" s="2" t="s">
        <v>7946</v>
      </c>
      <c r="L3967" s="11" t="str">
        <f t="shared" si="66"/>
        <v>Ver Imagen</v>
      </c>
      <c r="M3967" t="s">
        <v>15</v>
      </c>
    </row>
    <row r="3968" spans="1:13" x14ac:dyDescent="0.25">
      <c r="A3968">
        <v>3969</v>
      </c>
      <c r="B3968" t="s">
        <v>7947</v>
      </c>
      <c r="C3968" s="1">
        <v>37.469203980899998</v>
      </c>
      <c r="D3968" s="1">
        <v>-7.1240828434700001</v>
      </c>
      <c r="E3968" s="3">
        <v>5</v>
      </c>
      <c r="F3968" s="2">
        <v>4</v>
      </c>
      <c r="G3968" s="4">
        <v>5</v>
      </c>
      <c r="H3968" s="13"/>
      <c r="I3968" s="15"/>
      <c r="J3968" s="19">
        <v>5</v>
      </c>
      <c r="K3968" s="2" t="s">
        <v>7948</v>
      </c>
      <c r="L3968" s="11" t="str">
        <f t="shared" si="66"/>
        <v>Ver Imagen</v>
      </c>
      <c r="M3968" t="s">
        <v>15</v>
      </c>
    </row>
    <row r="3969" spans="1:13" x14ac:dyDescent="0.25">
      <c r="A3969">
        <v>3970</v>
      </c>
      <c r="B3969" t="s">
        <v>7949</v>
      </c>
      <c r="C3969" s="1">
        <v>37.469020231099996</v>
      </c>
      <c r="D3969" s="1">
        <v>-7.1239589931899996</v>
      </c>
      <c r="E3969" s="3">
        <v>5</v>
      </c>
      <c r="F3969" s="2">
        <v>4</v>
      </c>
      <c r="G3969" s="4">
        <v>5</v>
      </c>
      <c r="H3969" s="13"/>
      <c r="I3969" s="15"/>
      <c r="J3969" s="19">
        <v>5</v>
      </c>
      <c r="K3969" s="2" t="s">
        <v>7950</v>
      </c>
      <c r="L3969" s="11" t="str">
        <f t="shared" si="66"/>
        <v>Ver Imagen</v>
      </c>
      <c r="M3969" t="s">
        <v>15</v>
      </c>
    </row>
    <row r="3970" spans="1:13" x14ac:dyDescent="0.25">
      <c r="A3970">
        <v>3971</v>
      </c>
      <c r="B3970" t="s">
        <v>7951</v>
      </c>
      <c r="C3970" s="1">
        <v>37.4686576836</v>
      </c>
      <c r="D3970" s="1">
        <v>-7.1237155539400003</v>
      </c>
      <c r="E3970" s="3">
        <v>5</v>
      </c>
      <c r="F3970" s="2">
        <v>4</v>
      </c>
      <c r="G3970" s="4">
        <v>5</v>
      </c>
      <c r="H3970" s="13"/>
      <c r="I3970" s="15"/>
      <c r="J3970" s="19">
        <v>5</v>
      </c>
      <c r="K3970" s="2" t="s">
        <v>7952</v>
      </c>
      <c r="L3970" s="11" t="str">
        <f t="shared" si="66"/>
        <v>Ver Imagen</v>
      </c>
      <c r="M3970" t="s">
        <v>15</v>
      </c>
    </row>
    <row r="3971" spans="1:13" x14ac:dyDescent="0.25">
      <c r="A3971">
        <v>3972</v>
      </c>
      <c r="B3971" t="s">
        <v>7953</v>
      </c>
      <c r="C3971" s="1">
        <v>37.495193525300003</v>
      </c>
      <c r="D3971" s="1">
        <v>-7.2680698097000001</v>
      </c>
      <c r="E3971" s="3">
        <v>5</v>
      </c>
      <c r="F3971" s="2">
        <v>4</v>
      </c>
      <c r="G3971" s="4">
        <v>5</v>
      </c>
      <c r="H3971" s="13"/>
      <c r="I3971" s="15"/>
      <c r="J3971" s="19">
        <v>5</v>
      </c>
      <c r="K3971" s="2" t="s">
        <v>7954</v>
      </c>
      <c r="L3971" s="11" t="str">
        <f t="shared" si="66"/>
        <v>Ver Imagen</v>
      </c>
      <c r="M3971" t="s">
        <v>15</v>
      </c>
    </row>
    <row r="3972" spans="1:13" x14ac:dyDescent="0.25">
      <c r="A3972">
        <v>3973</v>
      </c>
      <c r="B3972" t="s">
        <v>7955</v>
      </c>
      <c r="C3972" s="1">
        <v>37.495108869200003</v>
      </c>
      <c r="D3972" s="1">
        <v>-7.2678224734699999</v>
      </c>
      <c r="E3972" s="3">
        <v>5</v>
      </c>
      <c r="F3972" s="2">
        <v>4</v>
      </c>
      <c r="G3972" s="4">
        <v>5</v>
      </c>
      <c r="H3972" s="13"/>
      <c r="I3972" s="15"/>
      <c r="J3972" s="19">
        <v>5</v>
      </c>
      <c r="K3972" s="2" t="s">
        <v>7956</v>
      </c>
      <c r="L3972" s="11" t="str">
        <f t="shared" si="66"/>
        <v>Ver Imagen</v>
      </c>
      <c r="M3972" t="s">
        <v>15</v>
      </c>
    </row>
    <row r="3973" spans="1:13" x14ac:dyDescent="0.25">
      <c r="A3973">
        <v>3974</v>
      </c>
      <c r="B3973" t="s">
        <v>7957</v>
      </c>
      <c r="C3973" s="1">
        <v>37.495518933600003</v>
      </c>
      <c r="D3973" s="1">
        <v>-7.26790009598</v>
      </c>
      <c r="E3973" s="3">
        <v>5</v>
      </c>
      <c r="F3973" s="2">
        <v>4</v>
      </c>
      <c r="G3973" s="4">
        <v>5</v>
      </c>
      <c r="H3973" s="13"/>
      <c r="I3973" s="15"/>
      <c r="J3973" s="19">
        <v>5</v>
      </c>
      <c r="K3973" s="2" t="s">
        <v>7958</v>
      </c>
      <c r="L3973" s="11" t="str">
        <f t="shared" si="66"/>
        <v>Ver Imagen</v>
      </c>
      <c r="M3973" t="s">
        <v>15</v>
      </c>
    </row>
    <row r="3974" spans="1:13" x14ac:dyDescent="0.25">
      <c r="A3974">
        <v>3975</v>
      </c>
      <c r="B3974" t="s">
        <v>7959</v>
      </c>
      <c r="C3974" s="1">
        <v>37.186877912299998</v>
      </c>
      <c r="D3974" s="1">
        <v>-6.9796059510499999</v>
      </c>
      <c r="E3974" s="3">
        <v>5</v>
      </c>
      <c r="F3974" s="2">
        <v>4</v>
      </c>
      <c r="G3974" s="4">
        <v>5</v>
      </c>
      <c r="H3974" s="13"/>
      <c r="I3974" s="15"/>
      <c r="J3974" s="19">
        <v>5</v>
      </c>
      <c r="K3974" s="2" t="s">
        <v>7960</v>
      </c>
      <c r="L3974" s="11" t="str">
        <f t="shared" si="66"/>
        <v>Ver Imagen</v>
      </c>
      <c r="M3974" t="s">
        <v>15</v>
      </c>
    </row>
    <row r="3975" spans="1:13" x14ac:dyDescent="0.25">
      <c r="A3975">
        <v>3976</v>
      </c>
      <c r="B3975" t="s">
        <v>7961</v>
      </c>
      <c r="C3975" s="1">
        <v>37.186736564500002</v>
      </c>
      <c r="D3975" s="1">
        <v>-6.9797515352400001</v>
      </c>
      <c r="E3975" s="3">
        <v>5</v>
      </c>
      <c r="F3975" s="2">
        <v>4</v>
      </c>
      <c r="G3975" s="4">
        <v>5</v>
      </c>
      <c r="H3975" s="13"/>
      <c r="I3975" s="15"/>
      <c r="J3975" s="19">
        <v>5</v>
      </c>
      <c r="K3975" s="2" t="s">
        <v>7962</v>
      </c>
      <c r="L3975" s="11" t="str">
        <f t="shared" si="66"/>
        <v>Ver Imagen</v>
      </c>
      <c r="M3975" t="s">
        <v>15</v>
      </c>
    </row>
    <row r="3976" spans="1:13" x14ac:dyDescent="0.25">
      <c r="A3976">
        <v>3977</v>
      </c>
      <c r="B3976" t="s">
        <v>7963</v>
      </c>
      <c r="C3976" s="1">
        <v>37.185995494499998</v>
      </c>
      <c r="D3976" s="1">
        <v>-6.9804521127600001</v>
      </c>
      <c r="E3976" s="3">
        <v>5</v>
      </c>
      <c r="F3976" s="2">
        <v>4</v>
      </c>
      <c r="G3976" s="4">
        <v>5</v>
      </c>
      <c r="H3976" s="13"/>
      <c r="I3976" s="15"/>
      <c r="J3976" s="19">
        <v>5</v>
      </c>
      <c r="K3976" s="2" t="s">
        <v>7964</v>
      </c>
      <c r="L3976" s="11" t="str">
        <f t="shared" si="66"/>
        <v>Ver Imagen</v>
      </c>
      <c r="M3976" t="s">
        <v>15</v>
      </c>
    </row>
    <row r="3977" spans="1:13" x14ac:dyDescent="0.25">
      <c r="A3977">
        <v>3978</v>
      </c>
      <c r="B3977" t="s">
        <v>7965</v>
      </c>
      <c r="C3977" s="1">
        <v>37.2714017634</v>
      </c>
      <c r="D3977" s="1">
        <v>-6.9839129403199998</v>
      </c>
      <c r="E3977" s="3">
        <v>5</v>
      </c>
      <c r="F3977" s="2">
        <v>4</v>
      </c>
      <c r="G3977" s="4">
        <v>5</v>
      </c>
      <c r="H3977" s="13"/>
      <c r="I3977" s="15"/>
      <c r="J3977" s="19">
        <v>5</v>
      </c>
      <c r="K3977" s="2" t="s">
        <v>7966</v>
      </c>
      <c r="L3977" s="11" t="str">
        <f t="shared" ref="L3977:L3995" si="67">HYPERLINK("5\1\" &amp; K3977, "Ver Imagen")</f>
        <v>Ver Imagen</v>
      </c>
      <c r="M3977" t="s">
        <v>15</v>
      </c>
    </row>
    <row r="3978" spans="1:13" x14ac:dyDescent="0.25">
      <c r="A3978">
        <v>3979</v>
      </c>
      <c r="B3978" t="s">
        <v>7967</v>
      </c>
      <c r="C3978" s="1">
        <v>37.186930418000003</v>
      </c>
      <c r="D3978" s="1">
        <v>-6.9793605614700001</v>
      </c>
      <c r="E3978" s="3">
        <v>5</v>
      </c>
      <c r="F3978" s="2">
        <v>4</v>
      </c>
      <c r="G3978" s="4">
        <v>5</v>
      </c>
      <c r="H3978" s="13"/>
      <c r="I3978" s="15"/>
      <c r="J3978" s="19">
        <v>5</v>
      </c>
      <c r="K3978" s="2" t="s">
        <v>7968</v>
      </c>
      <c r="L3978" s="11" t="str">
        <f t="shared" si="67"/>
        <v>Ver Imagen</v>
      </c>
      <c r="M3978" t="s">
        <v>15</v>
      </c>
    </row>
    <row r="3979" spans="1:13" x14ac:dyDescent="0.25">
      <c r="A3979">
        <v>3980</v>
      </c>
      <c r="B3979" t="s">
        <v>7969</v>
      </c>
      <c r="C3979" s="1">
        <v>37.187071773100001</v>
      </c>
      <c r="D3979" s="1">
        <v>-6.9792338623100001</v>
      </c>
      <c r="E3979" s="3">
        <v>5</v>
      </c>
      <c r="F3979" s="2">
        <v>4</v>
      </c>
      <c r="G3979" s="4">
        <v>5</v>
      </c>
      <c r="H3979" s="13"/>
      <c r="I3979" s="15"/>
      <c r="J3979" s="19">
        <v>5</v>
      </c>
      <c r="K3979" s="2" t="s">
        <v>7970</v>
      </c>
      <c r="L3979" s="11" t="str">
        <f t="shared" si="67"/>
        <v>Ver Imagen</v>
      </c>
      <c r="M3979" t="s">
        <v>15</v>
      </c>
    </row>
    <row r="3980" spans="1:13" x14ac:dyDescent="0.25">
      <c r="A3980">
        <v>3981</v>
      </c>
      <c r="B3980" t="s">
        <v>7971</v>
      </c>
      <c r="C3980" s="1">
        <v>37.201591689399997</v>
      </c>
      <c r="D3980" s="1">
        <v>-6.99320601267</v>
      </c>
      <c r="E3980" s="3">
        <v>5</v>
      </c>
      <c r="F3980" s="2">
        <v>4</v>
      </c>
      <c r="G3980" s="4">
        <v>5</v>
      </c>
      <c r="H3980" s="13"/>
      <c r="I3980" s="15"/>
      <c r="J3980" s="19">
        <v>5</v>
      </c>
      <c r="K3980" s="2" t="s">
        <v>7972</v>
      </c>
      <c r="L3980" s="11" t="str">
        <f t="shared" si="67"/>
        <v>Ver Imagen</v>
      </c>
      <c r="M3980" t="s">
        <v>15</v>
      </c>
    </row>
    <row r="3981" spans="1:13" x14ac:dyDescent="0.25">
      <c r="A3981">
        <v>3982</v>
      </c>
      <c r="B3981" t="s">
        <v>7973</v>
      </c>
      <c r="C3981" s="1">
        <v>37.202300255700003</v>
      </c>
      <c r="D3981" s="1">
        <v>-6.9974274110300003</v>
      </c>
      <c r="E3981" s="3">
        <v>5</v>
      </c>
      <c r="F3981" s="2">
        <v>4</v>
      </c>
      <c r="G3981" s="4">
        <v>5</v>
      </c>
      <c r="H3981" s="13"/>
      <c r="I3981" s="15"/>
      <c r="J3981" s="19">
        <v>5</v>
      </c>
      <c r="K3981" s="2" t="s">
        <v>7974</v>
      </c>
      <c r="L3981" s="11" t="str">
        <f t="shared" si="67"/>
        <v>Ver Imagen</v>
      </c>
      <c r="M3981" t="s">
        <v>15</v>
      </c>
    </row>
    <row r="3982" spans="1:13" x14ac:dyDescent="0.25">
      <c r="A3982">
        <v>3983</v>
      </c>
      <c r="B3982" t="s">
        <v>7975</v>
      </c>
      <c r="C3982" s="1">
        <v>37.202767697699997</v>
      </c>
      <c r="D3982" s="1">
        <v>-7.0008909504099996</v>
      </c>
      <c r="E3982" s="3">
        <v>5</v>
      </c>
      <c r="F3982" s="2">
        <v>4</v>
      </c>
      <c r="G3982" s="4">
        <v>5</v>
      </c>
      <c r="H3982" s="13"/>
      <c r="I3982" s="15"/>
      <c r="J3982" s="19">
        <v>5</v>
      </c>
      <c r="K3982" s="2" t="s">
        <v>7976</v>
      </c>
      <c r="L3982" s="11" t="str">
        <f t="shared" si="67"/>
        <v>Ver Imagen</v>
      </c>
      <c r="M3982" t="s">
        <v>15</v>
      </c>
    </row>
    <row r="3983" spans="1:13" x14ac:dyDescent="0.25">
      <c r="A3983">
        <v>3984</v>
      </c>
      <c r="B3983" t="s">
        <v>7977</v>
      </c>
      <c r="C3983" s="1">
        <v>37.203134648099997</v>
      </c>
      <c r="D3983" s="1">
        <v>-7.0041443563800003</v>
      </c>
      <c r="E3983" s="3">
        <v>5</v>
      </c>
      <c r="F3983" s="2">
        <v>4</v>
      </c>
      <c r="G3983" s="4">
        <v>5</v>
      </c>
      <c r="H3983" s="13"/>
      <c r="I3983" s="15"/>
      <c r="J3983" s="19">
        <v>5</v>
      </c>
      <c r="K3983" s="2" t="s">
        <v>7978</v>
      </c>
      <c r="L3983" s="11" t="str">
        <f t="shared" si="67"/>
        <v>Ver Imagen</v>
      </c>
      <c r="M3983" t="s">
        <v>15</v>
      </c>
    </row>
    <row r="3984" spans="1:13" x14ac:dyDescent="0.25">
      <c r="A3984">
        <v>3985</v>
      </c>
      <c r="B3984" t="s">
        <v>7979</v>
      </c>
      <c r="C3984" s="1">
        <v>37.252484124399999</v>
      </c>
      <c r="D3984" s="1">
        <v>-7.0165061804700004</v>
      </c>
      <c r="E3984" s="3">
        <v>5</v>
      </c>
      <c r="F3984" s="2">
        <v>4</v>
      </c>
      <c r="G3984" s="4">
        <v>5</v>
      </c>
      <c r="H3984" s="13"/>
      <c r="I3984" s="15"/>
      <c r="J3984" s="19">
        <v>5</v>
      </c>
      <c r="K3984" s="2" t="s">
        <v>7980</v>
      </c>
      <c r="L3984" s="11" t="str">
        <f t="shared" si="67"/>
        <v>Ver Imagen</v>
      </c>
      <c r="M3984" t="s">
        <v>15</v>
      </c>
    </row>
    <row r="3985" spans="1:13" x14ac:dyDescent="0.25">
      <c r="A3985">
        <v>3986</v>
      </c>
      <c r="B3985" t="s">
        <v>7981</v>
      </c>
      <c r="C3985" s="1">
        <v>37.252114236300002</v>
      </c>
      <c r="D3985" s="1">
        <v>-7.0167422043899998</v>
      </c>
      <c r="E3985" s="3">
        <v>5</v>
      </c>
      <c r="F3985" s="2">
        <v>4</v>
      </c>
      <c r="G3985" s="4">
        <v>5</v>
      </c>
      <c r="H3985" s="13"/>
      <c r="I3985" s="15"/>
      <c r="J3985" s="19">
        <v>5</v>
      </c>
      <c r="K3985" s="2" t="s">
        <v>7982</v>
      </c>
      <c r="L3985" s="11" t="str">
        <f t="shared" si="67"/>
        <v>Ver Imagen</v>
      </c>
      <c r="M3985" t="s">
        <v>15</v>
      </c>
    </row>
    <row r="3986" spans="1:13" x14ac:dyDescent="0.25">
      <c r="A3986">
        <v>3987</v>
      </c>
      <c r="B3986" t="s">
        <v>7983</v>
      </c>
      <c r="C3986" s="1">
        <v>37.204318274000002</v>
      </c>
      <c r="D3986" s="1">
        <v>-7.0120991506200001</v>
      </c>
      <c r="E3986" s="3">
        <v>5</v>
      </c>
      <c r="F3986" s="2">
        <v>4</v>
      </c>
      <c r="G3986" s="4">
        <v>5</v>
      </c>
      <c r="H3986" s="13"/>
      <c r="I3986" s="15"/>
      <c r="J3986" s="19">
        <v>5</v>
      </c>
      <c r="K3986" s="2" t="s">
        <v>7984</v>
      </c>
      <c r="L3986" s="11" t="str">
        <f t="shared" si="67"/>
        <v>Ver Imagen</v>
      </c>
      <c r="M3986" t="s">
        <v>15</v>
      </c>
    </row>
    <row r="3987" spans="1:13" x14ac:dyDescent="0.25">
      <c r="A3987">
        <v>3988</v>
      </c>
      <c r="B3987" t="s">
        <v>7985</v>
      </c>
      <c r="C3987" s="1">
        <v>37.247079404099999</v>
      </c>
      <c r="D3987" s="1">
        <v>-7.0184132655699996</v>
      </c>
      <c r="E3987" s="3">
        <v>5</v>
      </c>
      <c r="F3987" s="2">
        <v>4</v>
      </c>
      <c r="G3987" s="4">
        <v>5</v>
      </c>
      <c r="H3987" s="13"/>
      <c r="I3987" s="15"/>
      <c r="J3987" s="19">
        <v>5</v>
      </c>
      <c r="K3987" s="2" t="s">
        <v>7986</v>
      </c>
      <c r="L3987" s="11" t="str">
        <f t="shared" si="67"/>
        <v>Ver Imagen</v>
      </c>
      <c r="M3987" t="s">
        <v>15</v>
      </c>
    </row>
    <row r="3988" spans="1:13" x14ac:dyDescent="0.25">
      <c r="A3988">
        <v>3989</v>
      </c>
      <c r="B3988" t="s">
        <v>7987</v>
      </c>
      <c r="C3988" s="1">
        <v>37.2394274153</v>
      </c>
      <c r="D3988" s="1">
        <v>-7.0187001999599996</v>
      </c>
      <c r="E3988" s="3">
        <v>5</v>
      </c>
      <c r="F3988" s="2">
        <v>4</v>
      </c>
      <c r="G3988" s="4">
        <v>5</v>
      </c>
      <c r="H3988" s="13"/>
      <c r="I3988" s="15"/>
      <c r="J3988" s="19">
        <v>5</v>
      </c>
      <c r="K3988" s="2" t="s">
        <v>7988</v>
      </c>
      <c r="L3988" s="11" t="str">
        <f t="shared" si="67"/>
        <v>Ver Imagen</v>
      </c>
      <c r="M3988" t="s">
        <v>15</v>
      </c>
    </row>
    <row r="3989" spans="1:13" x14ac:dyDescent="0.25">
      <c r="A3989">
        <v>3990</v>
      </c>
      <c r="B3989" t="s">
        <v>7989</v>
      </c>
      <c r="C3989" s="1">
        <v>37.230699834600003</v>
      </c>
      <c r="D3989" s="1">
        <v>-7.0199336687300002</v>
      </c>
      <c r="E3989" s="3">
        <v>5</v>
      </c>
      <c r="F3989" s="2">
        <v>4</v>
      </c>
      <c r="G3989" s="4">
        <v>5</v>
      </c>
      <c r="H3989" s="13"/>
      <c r="I3989" s="15"/>
      <c r="J3989" s="19">
        <v>5</v>
      </c>
      <c r="K3989" s="2" t="s">
        <v>7990</v>
      </c>
      <c r="L3989" s="11" t="str">
        <f t="shared" si="67"/>
        <v>Ver Imagen</v>
      </c>
      <c r="M3989" t="s">
        <v>15</v>
      </c>
    </row>
    <row r="3990" spans="1:13" x14ac:dyDescent="0.25">
      <c r="A3990">
        <v>3991</v>
      </c>
      <c r="B3990" t="s">
        <v>7991</v>
      </c>
      <c r="C3990" s="1">
        <v>37.250044621599997</v>
      </c>
      <c r="D3990" s="1">
        <v>-7.0177958552000002</v>
      </c>
      <c r="E3990" s="3">
        <v>5</v>
      </c>
      <c r="F3990" s="2">
        <v>4</v>
      </c>
      <c r="G3990" s="4">
        <v>5</v>
      </c>
      <c r="H3990" s="13"/>
      <c r="I3990" s="15"/>
      <c r="J3990" s="19">
        <v>5</v>
      </c>
      <c r="K3990" s="2" t="s">
        <v>7992</v>
      </c>
      <c r="L3990" s="11" t="str">
        <f t="shared" si="67"/>
        <v>Ver Imagen</v>
      </c>
      <c r="M3990" t="s">
        <v>15</v>
      </c>
    </row>
    <row r="3991" spans="1:13" x14ac:dyDescent="0.25">
      <c r="A3991">
        <v>3992</v>
      </c>
      <c r="B3991" t="s">
        <v>7993</v>
      </c>
      <c r="C3991" s="1">
        <v>37.253794219100001</v>
      </c>
      <c r="D3991" s="1">
        <v>-7.0154627350399998</v>
      </c>
      <c r="E3991" s="3">
        <v>5</v>
      </c>
      <c r="F3991" s="2">
        <v>4</v>
      </c>
      <c r="G3991" s="4">
        <v>5</v>
      </c>
      <c r="H3991" s="13"/>
      <c r="I3991" s="15"/>
      <c r="J3991" s="19">
        <v>5</v>
      </c>
      <c r="K3991" s="2" t="s">
        <v>7994</v>
      </c>
      <c r="L3991" s="11" t="str">
        <f t="shared" si="67"/>
        <v>Ver Imagen</v>
      </c>
      <c r="M3991" t="s">
        <v>15</v>
      </c>
    </row>
    <row r="3992" spans="1:13" x14ac:dyDescent="0.25">
      <c r="A3992">
        <v>3993</v>
      </c>
      <c r="B3992" t="s">
        <v>7995</v>
      </c>
      <c r="C3992" s="1">
        <v>37.261850512800002</v>
      </c>
      <c r="D3992" s="1">
        <v>-7.0101917289199998</v>
      </c>
      <c r="E3992" s="3">
        <v>5</v>
      </c>
      <c r="F3992" s="2">
        <v>4</v>
      </c>
      <c r="G3992" s="4">
        <v>5</v>
      </c>
      <c r="H3992" s="13"/>
      <c r="I3992" s="15"/>
      <c r="J3992" s="19">
        <v>5</v>
      </c>
      <c r="K3992" s="2" t="s">
        <v>7996</v>
      </c>
      <c r="L3992" s="11" t="str">
        <f t="shared" si="67"/>
        <v>Ver Imagen</v>
      </c>
      <c r="M3992" t="s">
        <v>15</v>
      </c>
    </row>
    <row r="3993" spans="1:13" x14ac:dyDescent="0.25">
      <c r="A3993">
        <v>3994</v>
      </c>
      <c r="B3993" t="s">
        <v>7997</v>
      </c>
      <c r="C3993" s="1">
        <v>37.187381739499997</v>
      </c>
      <c r="D3993" s="1">
        <v>-6.9792049169699997</v>
      </c>
      <c r="E3993" s="3">
        <v>4</v>
      </c>
      <c r="F3993" s="2">
        <v>5</v>
      </c>
      <c r="G3993" s="4">
        <v>5</v>
      </c>
      <c r="H3993" s="13"/>
      <c r="I3993" s="15"/>
      <c r="J3993" s="19">
        <v>5</v>
      </c>
      <c r="K3993" s="2" t="s">
        <v>7998</v>
      </c>
      <c r="L3993" s="11" t="str">
        <f t="shared" si="67"/>
        <v>Ver Imagen</v>
      </c>
      <c r="M3993" t="s">
        <v>15</v>
      </c>
    </row>
    <row r="3994" spans="1:13" x14ac:dyDescent="0.25">
      <c r="A3994">
        <v>3995</v>
      </c>
      <c r="B3994" t="s">
        <v>7999</v>
      </c>
      <c r="C3994" s="1">
        <v>37.2657005951</v>
      </c>
      <c r="D3994" s="1">
        <v>-6.9949531247200003</v>
      </c>
      <c r="E3994" s="3">
        <v>5</v>
      </c>
      <c r="F3994" s="2">
        <v>5</v>
      </c>
      <c r="G3994" s="4">
        <v>4</v>
      </c>
      <c r="H3994" s="13"/>
      <c r="I3994" s="15"/>
      <c r="J3994" s="19">
        <v>5</v>
      </c>
      <c r="K3994" s="2" t="s">
        <v>8000</v>
      </c>
      <c r="L3994" s="11" t="str">
        <f t="shared" si="67"/>
        <v>Ver Imagen</v>
      </c>
      <c r="M3994" t="s">
        <v>15</v>
      </c>
    </row>
    <row r="3995" spans="1:13" ht="15.75" customHeight="1" thickBot="1" x14ac:dyDescent="0.3">
      <c r="A3995">
        <v>3996</v>
      </c>
      <c r="B3995" t="s">
        <v>8001</v>
      </c>
      <c r="C3995" s="1">
        <v>37.230860532999998</v>
      </c>
      <c r="D3995" s="1">
        <v>-7.01981149596</v>
      </c>
      <c r="E3995" s="3">
        <v>5</v>
      </c>
      <c r="F3995" s="2">
        <v>5</v>
      </c>
      <c r="G3995" s="4">
        <v>4</v>
      </c>
      <c r="H3995" s="13"/>
      <c r="I3995" s="15"/>
      <c r="J3995" s="19">
        <v>5</v>
      </c>
      <c r="K3995" s="2" t="s">
        <v>8002</v>
      </c>
      <c r="L3995" s="11" t="str">
        <f t="shared" si="67"/>
        <v>Ver Imagen</v>
      </c>
      <c r="M3995" t="s">
        <v>15</v>
      </c>
    </row>
    <row r="3996" spans="1:13" x14ac:dyDescent="0.25">
      <c r="A3996" s="23">
        <v>3997</v>
      </c>
      <c r="B3996" s="24" t="s">
        <v>8003</v>
      </c>
      <c r="C3996" s="25">
        <v>37.482943332600001</v>
      </c>
      <c r="D3996" s="25">
        <v>-7.2198985349799996</v>
      </c>
      <c r="E3996" s="26">
        <v>1</v>
      </c>
      <c r="F3996" s="27">
        <v>3</v>
      </c>
      <c r="G3996" s="28">
        <v>1</v>
      </c>
      <c r="H3996" s="29">
        <v>2</v>
      </c>
      <c r="I3996" s="30">
        <v>2</v>
      </c>
      <c r="J3996" s="31">
        <v>2</v>
      </c>
      <c r="K3996" s="27" t="s">
        <v>8004</v>
      </c>
      <c r="L3996" s="32" t="str">
        <f t="shared" ref="L3996:L4059" si="68">HYPERLINK("NoConsenso\" &amp; K3996, "Ver Imagen")</f>
        <v>Ver Imagen</v>
      </c>
      <c r="M3996" t="s">
        <v>8005</v>
      </c>
    </row>
    <row r="3997" spans="1:13" x14ac:dyDescent="0.25">
      <c r="A3997" s="33">
        <v>3998</v>
      </c>
      <c r="B3997" t="s">
        <v>8006</v>
      </c>
      <c r="C3997" s="1">
        <v>37.483110811700001</v>
      </c>
      <c r="D3997" s="1">
        <v>-7.2207443646299998</v>
      </c>
      <c r="E3997" s="3">
        <v>1</v>
      </c>
      <c r="F3997" s="2">
        <v>3</v>
      </c>
      <c r="G3997" s="4">
        <v>1</v>
      </c>
      <c r="H3997" s="13">
        <v>2</v>
      </c>
      <c r="I3997" s="34">
        <v>2</v>
      </c>
      <c r="J3997" s="35">
        <v>2</v>
      </c>
      <c r="K3997" s="2" t="s">
        <v>8007</v>
      </c>
      <c r="L3997" s="36" t="str">
        <f t="shared" si="68"/>
        <v>Ver Imagen</v>
      </c>
      <c r="M3997" t="s">
        <v>8005</v>
      </c>
    </row>
    <row r="3998" spans="1:13" x14ac:dyDescent="0.25">
      <c r="A3998" s="33">
        <v>3999</v>
      </c>
      <c r="B3998" t="s">
        <v>8008</v>
      </c>
      <c r="C3998" s="1">
        <v>37.483537333500003</v>
      </c>
      <c r="D3998" s="1">
        <v>-7.2229085960699999</v>
      </c>
      <c r="E3998" s="3">
        <v>1</v>
      </c>
      <c r="F3998" s="2">
        <v>3</v>
      </c>
      <c r="G3998" s="4">
        <v>1</v>
      </c>
      <c r="H3998" s="13">
        <v>1</v>
      </c>
      <c r="I3998" s="34">
        <v>2</v>
      </c>
      <c r="J3998" s="35">
        <v>1</v>
      </c>
      <c r="K3998" s="2" t="s">
        <v>8009</v>
      </c>
      <c r="L3998" s="36" t="str">
        <f t="shared" si="68"/>
        <v>Ver Imagen</v>
      </c>
      <c r="M3998" t="s">
        <v>8005</v>
      </c>
    </row>
    <row r="3999" spans="1:13" x14ac:dyDescent="0.25">
      <c r="A3999" s="33">
        <v>4000</v>
      </c>
      <c r="B3999" t="s">
        <v>8010</v>
      </c>
      <c r="C3999" s="1">
        <v>37.485022211199997</v>
      </c>
      <c r="D3999" s="1">
        <v>-7.2305648962299998</v>
      </c>
      <c r="E3999" s="3">
        <v>1</v>
      </c>
      <c r="F3999" s="2">
        <v>3</v>
      </c>
      <c r="G3999" s="4">
        <v>1</v>
      </c>
      <c r="H3999" s="13">
        <v>2</v>
      </c>
      <c r="I3999" s="34">
        <v>3</v>
      </c>
      <c r="J3999" s="35">
        <v>2</v>
      </c>
      <c r="K3999" s="2" t="s">
        <v>8011</v>
      </c>
      <c r="L3999" s="36" t="str">
        <f t="shared" si="68"/>
        <v>Ver Imagen</v>
      </c>
      <c r="M3999" t="s">
        <v>8005</v>
      </c>
    </row>
    <row r="4000" spans="1:13" x14ac:dyDescent="0.25">
      <c r="A4000" s="33">
        <v>4001</v>
      </c>
      <c r="B4000" t="s">
        <v>8012</v>
      </c>
      <c r="C4000" s="1">
        <v>37.485637992100003</v>
      </c>
      <c r="D4000" s="1">
        <v>-7.2337929219400001</v>
      </c>
      <c r="E4000" s="3">
        <v>1</v>
      </c>
      <c r="F4000" s="2">
        <v>3</v>
      </c>
      <c r="G4000" s="4">
        <v>1</v>
      </c>
      <c r="H4000" s="13">
        <v>2</v>
      </c>
      <c r="I4000" s="34">
        <v>2</v>
      </c>
      <c r="J4000" s="35">
        <v>2</v>
      </c>
      <c r="K4000" s="2" t="s">
        <v>8013</v>
      </c>
      <c r="L4000" s="36" t="str">
        <f t="shared" si="68"/>
        <v>Ver Imagen</v>
      </c>
      <c r="M4000" t="s">
        <v>8005</v>
      </c>
    </row>
    <row r="4001" spans="1:13" x14ac:dyDescent="0.25">
      <c r="A4001" s="33">
        <v>4002</v>
      </c>
      <c r="B4001" t="s">
        <v>8014</v>
      </c>
      <c r="C4001" s="1">
        <v>37.487010880699998</v>
      </c>
      <c r="D4001" s="1">
        <v>-7.2411830776299997</v>
      </c>
      <c r="E4001" s="3">
        <v>1</v>
      </c>
      <c r="F4001" s="2">
        <v>3</v>
      </c>
      <c r="G4001" s="4">
        <v>1</v>
      </c>
      <c r="H4001" s="13">
        <v>2</v>
      </c>
      <c r="I4001" s="34">
        <v>2</v>
      </c>
      <c r="J4001" s="35">
        <v>2</v>
      </c>
      <c r="K4001" s="2" t="s">
        <v>8015</v>
      </c>
      <c r="L4001" s="36" t="str">
        <f t="shared" si="68"/>
        <v>Ver Imagen</v>
      </c>
      <c r="M4001" t="s">
        <v>8005</v>
      </c>
    </row>
    <row r="4002" spans="1:13" x14ac:dyDescent="0.25">
      <c r="A4002" s="33">
        <v>4003</v>
      </c>
      <c r="B4002" t="s">
        <v>8016</v>
      </c>
      <c r="C4002" s="1">
        <v>37.487174332800002</v>
      </c>
      <c r="D4002" s="1">
        <v>-7.2429624946200004</v>
      </c>
      <c r="E4002" s="3">
        <v>1</v>
      </c>
      <c r="F4002" s="2">
        <v>3</v>
      </c>
      <c r="G4002" s="4">
        <v>1</v>
      </c>
      <c r="H4002" s="13">
        <v>2</v>
      </c>
      <c r="I4002" s="34">
        <v>2</v>
      </c>
      <c r="J4002" s="35">
        <v>2</v>
      </c>
      <c r="K4002" s="2" t="s">
        <v>8017</v>
      </c>
      <c r="L4002" s="36" t="str">
        <f t="shared" si="68"/>
        <v>Ver Imagen</v>
      </c>
      <c r="M4002" t="s">
        <v>8005</v>
      </c>
    </row>
    <row r="4003" spans="1:13" x14ac:dyDescent="0.25">
      <c r="A4003" s="33">
        <v>4004</v>
      </c>
      <c r="B4003" t="s">
        <v>8018</v>
      </c>
      <c r="C4003" s="1">
        <v>37.279669582899999</v>
      </c>
      <c r="D4003" s="1">
        <v>-6.9972994238000004</v>
      </c>
      <c r="E4003" s="3">
        <v>1</v>
      </c>
      <c r="F4003" s="2">
        <v>1</v>
      </c>
      <c r="G4003" s="4">
        <v>3</v>
      </c>
      <c r="H4003" s="13">
        <v>2</v>
      </c>
      <c r="I4003" s="34">
        <v>1</v>
      </c>
      <c r="J4003" s="35">
        <v>1</v>
      </c>
      <c r="K4003" s="2" t="s">
        <v>8019</v>
      </c>
      <c r="L4003" s="36" t="str">
        <f t="shared" si="68"/>
        <v>Ver Imagen</v>
      </c>
      <c r="M4003" t="s">
        <v>8005</v>
      </c>
    </row>
    <row r="4004" spans="1:13" x14ac:dyDescent="0.25">
      <c r="A4004" s="33">
        <v>4005</v>
      </c>
      <c r="B4004" t="s">
        <v>8020</v>
      </c>
      <c r="C4004" s="1">
        <v>37.267369426499997</v>
      </c>
      <c r="D4004" s="1">
        <v>-6.9604849482000004</v>
      </c>
      <c r="E4004" s="3">
        <v>1</v>
      </c>
      <c r="F4004" s="2">
        <v>3</v>
      </c>
      <c r="G4004" s="4">
        <v>1</v>
      </c>
      <c r="H4004" s="13">
        <v>2</v>
      </c>
      <c r="I4004" s="34">
        <v>2</v>
      </c>
      <c r="J4004" s="35">
        <v>2</v>
      </c>
      <c r="K4004" s="2" t="s">
        <v>8021</v>
      </c>
      <c r="L4004" s="36" t="str">
        <f t="shared" si="68"/>
        <v>Ver Imagen</v>
      </c>
      <c r="M4004" t="s">
        <v>8005</v>
      </c>
    </row>
    <row r="4005" spans="1:13" x14ac:dyDescent="0.25">
      <c r="A4005" s="33">
        <v>4006</v>
      </c>
      <c r="B4005" t="s">
        <v>8022</v>
      </c>
      <c r="C4005" s="1">
        <v>37.189671995099999</v>
      </c>
      <c r="D4005" s="1">
        <v>-6.9880815476600002</v>
      </c>
      <c r="E4005" s="3">
        <v>1</v>
      </c>
      <c r="F4005" s="2">
        <v>3</v>
      </c>
      <c r="G4005" s="4">
        <v>3</v>
      </c>
      <c r="H4005" s="13">
        <v>2</v>
      </c>
      <c r="I4005" s="34">
        <v>1</v>
      </c>
      <c r="J4005" s="35">
        <v>2</v>
      </c>
      <c r="K4005" s="2" t="s">
        <v>8023</v>
      </c>
      <c r="L4005" s="36" t="str">
        <f t="shared" si="68"/>
        <v>Ver Imagen</v>
      </c>
      <c r="M4005" t="s">
        <v>8005</v>
      </c>
    </row>
    <row r="4006" spans="1:13" x14ac:dyDescent="0.25">
      <c r="A4006" s="33">
        <v>4007</v>
      </c>
      <c r="B4006" t="s">
        <v>8024</v>
      </c>
      <c r="C4006" s="1">
        <v>37.191302991000001</v>
      </c>
      <c r="D4006" s="1">
        <v>-6.9916181010000003</v>
      </c>
      <c r="E4006" s="3">
        <v>1</v>
      </c>
      <c r="F4006" s="2">
        <v>2</v>
      </c>
      <c r="G4006" s="4">
        <v>3</v>
      </c>
      <c r="H4006" s="13">
        <v>1</v>
      </c>
      <c r="I4006" s="34">
        <v>2</v>
      </c>
      <c r="J4006" s="35">
        <v>2</v>
      </c>
      <c r="K4006" s="2" t="s">
        <v>8025</v>
      </c>
      <c r="L4006" s="36" t="str">
        <f t="shared" si="68"/>
        <v>Ver Imagen</v>
      </c>
      <c r="M4006" t="s">
        <v>8005</v>
      </c>
    </row>
    <row r="4007" spans="1:13" x14ac:dyDescent="0.25">
      <c r="A4007" s="33">
        <v>4008</v>
      </c>
      <c r="B4007" t="s">
        <v>8026</v>
      </c>
      <c r="C4007" s="1">
        <v>37.194216439800002</v>
      </c>
      <c r="D4007" s="1">
        <v>-6.9982314308899998</v>
      </c>
      <c r="E4007" s="3">
        <v>1</v>
      </c>
      <c r="F4007" s="2">
        <v>3</v>
      </c>
      <c r="G4007" s="4">
        <v>2</v>
      </c>
      <c r="H4007" s="13">
        <v>2</v>
      </c>
      <c r="I4007" s="34">
        <v>2</v>
      </c>
      <c r="J4007" s="35">
        <v>2</v>
      </c>
      <c r="K4007" s="2" t="s">
        <v>8027</v>
      </c>
      <c r="L4007" s="36" t="str">
        <f t="shared" si="68"/>
        <v>Ver Imagen</v>
      </c>
      <c r="M4007" t="s">
        <v>8005</v>
      </c>
    </row>
    <row r="4008" spans="1:13" x14ac:dyDescent="0.25">
      <c r="A4008" s="33">
        <v>4009</v>
      </c>
      <c r="B4008" t="s">
        <v>8028</v>
      </c>
      <c r="C4008" s="1">
        <v>37.218208611400001</v>
      </c>
      <c r="D4008" s="1">
        <v>-7.12298624689</v>
      </c>
      <c r="E4008" s="3">
        <v>1</v>
      </c>
      <c r="F4008" s="2">
        <v>2</v>
      </c>
      <c r="G4008" s="4">
        <v>3</v>
      </c>
      <c r="H4008" s="13">
        <v>1</v>
      </c>
      <c r="I4008" s="34">
        <v>1</v>
      </c>
      <c r="J4008" s="35">
        <v>1</v>
      </c>
      <c r="K4008" s="2" t="s">
        <v>8029</v>
      </c>
      <c r="L4008" s="36" t="str">
        <f t="shared" si="68"/>
        <v>Ver Imagen</v>
      </c>
      <c r="M4008" t="s">
        <v>8005</v>
      </c>
    </row>
    <row r="4009" spans="1:13" x14ac:dyDescent="0.25">
      <c r="A4009" s="33">
        <v>4010</v>
      </c>
      <c r="B4009" t="s">
        <v>8030</v>
      </c>
      <c r="C4009" s="1">
        <v>37.218126982999998</v>
      </c>
      <c r="D4009" s="1">
        <v>-7.1187505239900002</v>
      </c>
      <c r="E4009" s="3">
        <v>1</v>
      </c>
      <c r="F4009" s="2">
        <v>3</v>
      </c>
      <c r="G4009" s="4">
        <v>3</v>
      </c>
      <c r="H4009" s="13">
        <v>2</v>
      </c>
      <c r="I4009" s="34">
        <v>2</v>
      </c>
      <c r="J4009" s="35">
        <v>2</v>
      </c>
      <c r="K4009" s="2" t="s">
        <v>8031</v>
      </c>
      <c r="L4009" s="36" t="str">
        <f t="shared" si="68"/>
        <v>Ver Imagen</v>
      </c>
      <c r="M4009" t="s">
        <v>8005</v>
      </c>
    </row>
    <row r="4010" spans="1:13" x14ac:dyDescent="0.25">
      <c r="A4010" s="33">
        <v>4011</v>
      </c>
      <c r="B4010" t="s">
        <v>8032</v>
      </c>
      <c r="C4010" s="1">
        <v>37.217626067600001</v>
      </c>
      <c r="D4010" s="1">
        <v>-7.1092040251000004</v>
      </c>
      <c r="E4010" s="3">
        <v>1</v>
      </c>
      <c r="F4010" s="2">
        <v>1</v>
      </c>
      <c r="G4010" s="4">
        <v>3</v>
      </c>
      <c r="H4010" s="13">
        <v>1</v>
      </c>
      <c r="I4010" s="34">
        <v>1</v>
      </c>
      <c r="J4010" s="35">
        <v>1</v>
      </c>
      <c r="K4010" s="2" t="s">
        <v>8033</v>
      </c>
      <c r="L4010" s="36" t="str">
        <f t="shared" si="68"/>
        <v>Ver Imagen</v>
      </c>
      <c r="M4010" t="s">
        <v>8005</v>
      </c>
    </row>
    <row r="4011" spans="1:13" x14ac:dyDescent="0.25">
      <c r="A4011" s="33">
        <v>4012</v>
      </c>
      <c r="B4011" t="s">
        <v>8034</v>
      </c>
      <c r="C4011" s="1">
        <v>37.217491377199998</v>
      </c>
      <c r="D4011" s="1">
        <v>-7.1082108991400004</v>
      </c>
      <c r="E4011" s="3">
        <v>1</v>
      </c>
      <c r="F4011" s="2">
        <v>2</v>
      </c>
      <c r="G4011" s="4">
        <v>3</v>
      </c>
      <c r="H4011" s="13">
        <v>2</v>
      </c>
      <c r="I4011" s="34">
        <v>2</v>
      </c>
      <c r="J4011" s="35">
        <v>2</v>
      </c>
      <c r="K4011" s="2" t="s">
        <v>8035</v>
      </c>
      <c r="L4011" s="36" t="str">
        <f t="shared" si="68"/>
        <v>Ver Imagen</v>
      </c>
      <c r="M4011" t="s">
        <v>8005</v>
      </c>
    </row>
    <row r="4012" spans="1:13" x14ac:dyDescent="0.25">
      <c r="A4012" s="33">
        <v>4013</v>
      </c>
      <c r="B4012" t="s">
        <v>8036</v>
      </c>
      <c r="C4012" s="1">
        <v>37.216979223000003</v>
      </c>
      <c r="D4012" s="1">
        <v>-7.0988991863799997</v>
      </c>
      <c r="E4012" s="3">
        <v>1</v>
      </c>
      <c r="F4012" s="2">
        <v>1</v>
      </c>
      <c r="G4012" s="4">
        <v>3</v>
      </c>
      <c r="H4012" s="13">
        <v>1</v>
      </c>
      <c r="I4012" s="34">
        <v>1</v>
      </c>
      <c r="J4012" s="35">
        <v>1</v>
      </c>
      <c r="K4012" s="2" t="s">
        <v>8037</v>
      </c>
      <c r="L4012" s="36" t="str">
        <f t="shared" si="68"/>
        <v>Ver Imagen</v>
      </c>
      <c r="M4012" t="s">
        <v>8005</v>
      </c>
    </row>
    <row r="4013" spans="1:13" x14ac:dyDescent="0.25">
      <c r="A4013" s="33">
        <v>4014</v>
      </c>
      <c r="B4013" t="s">
        <v>8038</v>
      </c>
      <c r="C4013" s="1">
        <v>37.216033425299997</v>
      </c>
      <c r="D4013" s="1">
        <v>-7.0863714253200003</v>
      </c>
      <c r="E4013" s="3">
        <v>1</v>
      </c>
      <c r="F4013" s="2">
        <v>2</v>
      </c>
      <c r="G4013" s="4">
        <v>3</v>
      </c>
      <c r="H4013" s="13">
        <v>1</v>
      </c>
      <c r="I4013" s="34">
        <v>1</v>
      </c>
      <c r="J4013" s="35">
        <v>1</v>
      </c>
      <c r="K4013" s="2" t="s">
        <v>8039</v>
      </c>
      <c r="L4013" s="36" t="str">
        <f t="shared" si="68"/>
        <v>Ver Imagen</v>
      </c>
      <c r="M4013" t="s">
        <v>8005</v>
      </c>
    </row>
    <row r="4014" spans="1:13" x14ac:dyDescent="0.25">
      <c r="A4014" s="33">
        <v>4015</v>
      </c>
      <c r="B4014" t="s">
        <v>8040</v>
      </c>
      <c r="C4014" s="1">
        <v>37.215454465400001</v>
      </c>
      <c r="D4014" s="1">
        <v>-7.0812427280100003</v>
      </c>
      <c r="E4014" s="3">
        <v>1</v>
      </c>
      <c r="F4014" s="2">
        <v>2</v>
      </c>
      <c r="G4014" s="4">
        <v>3</v>
      </c>
      <c r="H4014" s="13">
        <v>2</v>
      </c>
      <c r="I4014" s="34">
        <v>2</v>
      </c>
      <c r="J4014" s="35">
        <v>2</v>
      </c>
      <c r="K4014" s="2" t="s">
        <v>8041</v>
      </c>
      <c r="L4014" s="36" t="str">
        <f t="shared" si="68"/>
        <v>Ver Imagen</v>
      </c>
      <c r="M4014" t="s">
        <v>8005</v>
      </c>
    </row>
    <row r="4015" spans="1:13" x14ac:dyDescent="0.25">
      <c r="A4015" s="33">
        <v>4016</v>
      </c>
      <c r="B4015" t="s">
        <v>8042</v>
      </c>
      <c r="C4015" s="1">
        <v>37.215383432499998</v>
      </c>
      <c r="D4015" s="1">
        <v>-7.0810003518100002</v>
      </c>
      <c r="E4015" s="3">
        <v>1</v>
      </c>
      <c r="F4015" s="2">
        <v>2</v>
      </c>
      <c r="G4015" s="4">
        <v>3</v>
      </c>
      <c r="H4015" s="13">
        <v>1</v>
      </c>
      <c r="I4015" s="34">
        <v>2</v>
      </c>
      <c r="J4015" s="35">
        <v>2</v>
      </c>
      <c r="K4015" s="2" t="s">
        <v>8043</v>
      </c>
      <c r="L4015" s="36" t="str">
        <f t="shared" si="68"/>
        <v>Ver Imagen</v>
      </c>
      <c r="M4015" t="s">
        <v>8005</v>
      </c>
    </row>
    <row r="4016" spans="1:13" x14ac:dyDescent="0.25">
      <c r="A4016" s="33">
        <v>4017</v>
      </c>
      <c r="B4016" t="s">
        <v>8044</v>
      </c>
      <c r="C4016" s="1">
        <v>37.215304962499999</v>
      </c>
      <c r="D4016" s="1">
        <v>-7.0807341513899997</v>
      </c>
      <c r="E4016" s="3">
        <v>1</v>
      </c>
      <c r="F4016" s="2">
        <v>2</v>
      </c>
      <c r="G4016" s="4">
        <v>3</v>
      </c>
      <c r="H4016" s="13">
        <v>1</v>
      </c>
      <c r="I4016" s="34">
        <v>1</v>
      </c>
      <c r="J4016" s="35">
        <v>1</v>
      </c>
      <c r="K4016" s="2" t="s">
        <v>8045</v>
      </c>
      <c r="L4016" s="36" t="str">
        <f t="shared" si="68"/>
        <v>Ver Imagen</v>
      </c>
      <c r="M4016" t="s">
        <v>8005</v>
      </c>
    </row>
    <row r="4017" spans="1:13" x14ac:dyDescent="0.25">
      <c r="A4017" s="33">
        <v>4018</v>
      </c>
      <c r="B4017" t="s">
        <v>8046</v>
      </c>
      <c r="C4017" s="1">
        <v>37.214514163099999</v>
      </c>
      <c r="D4017" s="1">
        <v>-7.0771109475099996</v>
      </c>
      <c r="E4017" s="3">
        <v>1</v>
      </c>
      <c r="F4017" s="2">
        <v>1</v>
      </c>
      <c r="G4017" s="4">
        <v>3</v>
      </c>
      <c r="H4017" s="13">
        <v>1</v>
      </c>
      <c r="I4017" s="34">
        <v>1</v>
      </c>
      <c r="J4017" s="35">
        <v>1</v>
      </c>
      <c r="K4017" s="2" t="s">
        <v>8047</v>
      </c>
      <c r="L4017" s="36" t="str">
        <f t="shared" si="68"/>
        <v>Ver Imagen</v>
      </c>
      <c r="M4017" t="s">
        <v>8005</v>
      </c>
    </row>
    <row r="4018" spans="1:13" x14ac:dyDescent="0.25">
      <c r="A4018" s="33">
        <v>4019</v>
      </c>
      <c r="B4018" t="s">
        <v>8048</v>
      </c>
      <c r="C4018" s="1">
        <v>37.213782197999997</v>
      </c>
      <c r="D4018" s="1">
        <v>-7.0726664589299997</v>
      </c>
      <c r="E4018" s="3">
        <v>1</v>
      </c>
      <c r="F4018" s="2">
        <v>2</v>
      </c>
      <c r="G4018" s="4">
        <v>3</v>
      </c>
      <c r="H4018" s="13">
        <v>2</v>
      </c>
      <c r="I4018" s="34">
        <v>2</v>
      </c>
      <c r="J4018" s="35">
        <v>2</v>
      </c>
      <c r="K4018" s="2" t="s">
        <v>8049</v>
      </c>
      <c r="L4018" s="36" t="str">
        <f t="shared" si="68"/>
        <v>Ver Imagen</v>
      </c>
      <c r="M4018" t="s">
        <v>8005</v>
      </c>
    </row>
    <row r="4019" spans="1:13" x14ac:dyDescent="0.25">
      <c r="A4019" s="33">
        <v>4020</v>
      </c>
      <c r="B4019" t="s">
        <v>8050</v>
      </c>
      <c r="C4019" s="1">
        <v>37.213033067700003</v>
      </c>
      <c r="D4019" s="1">
        <v>-7.0619315891500003</v>
      </c>
      <c r="E4019" s="3">
        <v>1</v>
      </c>
      <c r="F4019" s="2">
        <v>2</v>
      </c>
      <c r="G4019" s="4">
        <v>3</v>
      </c>
      <c r="H4019" s="13">
        <v>2</v>
      </c>
      <c r="I4019" s="34">
        <v>3</v>
      </c>
      <c r="J4019" s="37">
        <v>3</v>
      </c>
      <c r="K4019" s="2" t="s">
        <v>8051</v>
      </c>
      <c r="L4019" s="36" t="str">
        <f t="shared" si="68"/>
        <v>Ver Imagen</v>
      </c>
      <c r="M4019" s="37" t="s">
        <v>8052</v>
      </c>
    </row>
    <row r="4020" spans="1:13" x14ac:dyDescent="0.25">
      <c r="A4020" s="33">
        <v>4021</v>
      </c>
      <c r="B4020" t="s">
        <v>8053</v>
      </c>
      <c r="C4020" s="1">
        <v>37.201539770700002</v>
      </c>
      <c r="D4020" s="1">
        <v>-7.0197043756699999</v>
      </c>
      <c r="E4020" s="3">
        <v>1</v>
      </c>
      <c r="F4020" s="2">
        <v>2</v>
      </c>
      <c r="G4020" s="4">
        <v>3</v>
      </c>
      <c r="H4020" s="13">
        <v>2</v>
      </c>
      <c r="I4020" s="34">
        <v>2</v>
      </c>
      <c r="J4020" s="35">
        <v>2</v>
      </c>
      <c r="K4020" s="2" t="s">
        <v>8054</v>
      </c>
      <c r="L4020" s="36" t="str">
        <f t="shared" si="68"/>
        <v>Ver Imagen</v>
      </c>
      <c r="M4020" t="s">
        <v>8005</v>
      </c>
    </row>
    <row r="4021" spans="1:13" x14ac:dyDescent="0.25">
      <c r="A4021" s="33">
        <v>4022</v>
      </c>
      <c r="B4021" t="s">
        <v>8055</v>
      </c>
      <c r="C4021" s="1">
        <v>37.2876639037</v>
      </c>
      <c r="D4021" s="1">
        <v>-7.14124621731</v>
      </c>
      <c r="E4021" s="3">
        <v>1</v>
      </c>
      <c r="F4021" s="2">
        <v>2</v>
      </c>
      <c r="G4021" s="4">
        <v>3</v>
      </c>
      <c r="H4021" s="13">
        <v>2</v>
      </c>
      <c r="I4021" s="34">
        <v>2</v>
      </c>
      <c r="J4021" s="35">
        <v>2</v>
      </c>
      <c r="K4021" s="2" t="s">
        <v>8056</v>
      </c>
      <c r="L4021" s="36" t="str">
        <f t="shared" si="68"/>
        <v>Ver Imagen</v>
      </c>
      <c r="M4021" t="s">
        <v>8005</v>
      </c>
    </row>
    <row r="4022" spans="1:13" x14ac:dyDescent="0.25">
      <c r="A4022" s="33">
        <v>4023</v>
      </c>
      <c r="B4022" t="s">
        <v>8057</v>
      </c>
      <c r="C4022" s="1">
        <v>37.285472066300002</v>
      </c>
      <c r="D4022" s="1">
        <v>-7.1423377428199997</v>
      </c>
      <c r="E4022" s="3">
        <v>1</v>
      </c>
      <c r="F4022" s="2">
        <v>2</v>
      </c>
      <c r="G4022" s="4">
        <v>3</v>
      </c>
      <c r="H4022" s="13">
        <v>2</v>
      </c>
      <c r="I4022" s="34">
        <v>2</v>
      </c>
      <c r="J4022" s="35">
        <v>2</v>
      </c>
      <c r="K4022" s="2" t="s">
        <v>8058</v>
      </c>
      <c r="L4022" s="36" t="str">
        <f t="shared" si="68"/>
        <v>Ver Imagen</v>
      </c>
      <c r="M4022" t="s">
        <v>8005</v>
      </c>
    </row>
    <row r="4023" spans="1:13" x14ac:dyDescent="0.25">
      <c r="A4023" s="33">
        <v>4024</v>
      </c>
      <c r="B4023" t="s">
        <v>8059</v>
      </c>
      <c r="C4023" s="1">
        <v>37.279909794799998</v>
      </c>
      <c r="D4023" s="1">
        <v>-7.1458459692499998</v>
      </c>
      <c r="E4023" s="3">
        <v>1</v>
      </c>
      <c r="F4023" s="2">
        <v>3</v>
      </c>
      <c r="G4023" s="4">
        <v>3</v>
      </c>
      <c r="H4023" s="13">
        <v>2</v>
      </c>
      <c r="I4023" s="34">
        <v>2</v>
      </c>
      <c r="J4023" s="35">
        <v>2</v>
      </c>
      <c r="K4023" s="2" t="s">
        <v>8060</v>
      </c>
      <c r="L4023" s="36" t="str">
        <f t="shared" si="68"/>
        <v>Ver Imagen</v>
      </c>
      <c r="M4023" t="s">
        <v>8005</v>
      </c>
    </row>
    <row r="4024" spans="1:13" x14ac:dyDescent="0.25">
      <c r="A4024" s="33">
        <v>4025</v>
      </c>
      <c r="B4024" t="s">
        <v>8061</v>
      </c>
      <c r="C4024" s="1">
        <v>37.231667635299999</v>
      </c>
      <c r="D4024" s="1">
        <v>-7.1271118212499998</v>
      </c>
      <c r="E4024" s="3">
        <v>1</v>
      </c>
      <c r="F4024" s="2">
        <v>2</v>
      </c>
      <c r="G4024" s="4">
        <v>3</v>
      </c>
      <c r="H4024" s="13">
        <v>1</v>
      </c>
      <c r="I4024" s="34">
        <v>2</v>
      </c>
      <c r="J4024" s="35">
        <v>2</v>
      </c>
      <c r="K4024" s="2" t="s">
        <v>8062</v>
      </c>
      <c r="L4024" s="36" t="str">
        <f t="shared" si="68"/>
        <v>Ver Imagen</v>
      </c>
      <c r="M4024" t="s">
        <v>8005</v>
      </c>
    </row>
    <row r="4025" spans="1:13" x14ac:dyDescent="0.25">
      <c r="A4025" s="33">
        <v>4026</v>
      </c>
      <c r="B4025" t="s">
        <v>8063</v>
      </c>
      <c r="C4025" s="1">
        <v>37.439302403100001</v>
      </c>
      <c r="D4025" s="1">
        <v>-7.0861815230699996</v>
      </c>
      <c r="E4025" s="3">
        <v>3</v>
      </c>
      <c r="F4025" s="2">
        <v>2</v>
      </c>
      <c r="G4025" s="4">
        <v>1</v>
      </c>
      <c r="H4025" s="13">
        <v>2</v>
      </c>
      <c r="I4025" s="34">
        <v>2</v>
      </c>
      <c r="J4025" s="35">
        <v>2</v>
      </c>
      <c r="K4025" s="2" t="s">
        <v>8064</v>
      </c>
      <c r="L4025" s="36" t="str">
        <f t="shared" si="68"/>
        <v>Ver Imagen</v>
      </c>
      <c r="M4025" t="s">
        <v>8005</v>
      </c>
    </row>
    <row r="4026" spans="1:13" x14ac:dyDescent="0.25">
      <c r="A4026" s="33">
        <v>4027</v>
      </c>
      <c r="B4026" t="s">
        <v>8065</v>
      </c>
      <c r="C4026" s="1">
        <v>37.435543081699997</v>
      </c>
      <c r="D4026" s="1">
        <v>-7.0753042170600002</v>
      </c>
      <c r="E4026" s="3">
        <v>3</v>
      </c>
      <c r="F4026" s="2">
        <v>3</v>
      </c>
      <c r="G4026" s="4">
        <v>1</v>
      </c>
      <c r="H4026" s="13">
        <v>2</v>
      </c>
      <c r="I4026" s="34">
        <v>3</v>
      </c>
      <c r="J4026" s="35">
        <v>3</v>
      </c>
      <c r="K4026" s="2" t="s">
        <v>8066</v>
      </c>
      <c r="L4026" s="36" t="str">
        <f t="shared" si="68"/>
        <v>Ver Imagen</v>
      </c>
      <c r="M4026" t="s">
        <v>8005</v>
      </c>
    </row>
    <row r="4027" spans="1:13" x14ac:dyDescent="0.25">
      <c r="A4027" s="33">
        <v>4028</v>
      </c>
      <c r="B4027" t="s">
        <v>8067</v>
      </c>
      <c r="C4027" s="1">
        <v>37.221540128199997</v>
      </c>
      <c r="D4027" s="1">
        <v>-7.0545680201099996</v>
      </c>
      <c r="E4027" s="3">
        <v>3</v>
      </c>
      <c r="F4027" s="2">
        <v>2</v>
      </c>
      <c r="G4027" s="4">
        <v>1</v>
      </c>
      <c r="H4027" s="13">
        <v>2</v>
      </c>
      <c r="I4027" s="34">
        <v>2</v>
      </c>
      <c r="J4027" s="35">
        <v>2</v>
      </c>
      <c r="K4027" s="2" t="s">
        <v>8068</v>
      </c>
      <c r="L4027" s="36" t="str">
        <f t="shared" si="68"/>
        <v>Ver Imagen</v>
      </c>
      <c r="M4027" t="s">
        <v>8005</v>
      </c>
    </row>
    <row r="4028" spans="1:13" x14ac:dyDescent="0.25">
      <c r="A4028" s="33">
        <v>4029</v>
      </c>
      <c r="B4028" t="s">
        <v>8069</v>
      </c>
      <c r="C4028" s="1">
        <v>37.435209700400002</v>
      </c>
      <c r="D4028" s="1">
        <v>-7.0709827171599997</v>
      </c>
      <c r="E4028" s="3">
        <v>3</v>
      </c>
      <c r="F4028" s="2">
        <v>2</v>
      </c>
      <c r="G4028" s="4">
        <v>1</v>
      </c>
      <c r="H4028" s="13">
        <v>2</v>
      </c>
      <c r="I4028" s="34">
        <v>1</v>
      </c>
      <c r="J4028" s="35">
        <v>2</v>
      </c>
      <c r="K4028" s="2" t="s">
        <v>8070</v>
      </c>
      <c r="L4028" s="36" t="str">
        <f t="shared" si="68"/>
        <v>Ver Imagen</v>
      </c>
      <c r="M4028" t="s">
        <v>8005</v>
      </c>
    </row>
    <row r="4029" spans="1:13" x14ac:dyDescent="0.25">
      <c r="A4029" s="33">
        <v>4030</v>
      </c>
      <c r="B4029" t="s">
        <v>8071</v>
      </c>
      <c r="C4029" s="1">
        <v>37.433316419299999</v>
      </c>
      <c r="D4029" s="1">
        <v>-7.06570817326</v>
      </c>
      <c r="E4029" s="3">
        <v>3</v>
      </c>
      <c r="F4029" s="2">
        <v>3</v>
      </c>
      <c r="G4029" s="4">
        <v>1</v>
      </c>
      <c r="H4029" s="13">
        <v>1</v>
      </c>
      <c r="I4029" s="34">
        <v>1</v>
      </c>
      <c r="J4029" s="37">
        <v>2</v>
      </c>
      <c r="K4029" s="2" t="s">
        <v>8072</v>
      </c>
      <c r="L4029" s="36" t="str">
        <f t="shared" si="68"/>
        <v>Ver Imagen</v>
      </c>
      <c r="M4029" s="37" t="s">
        <v>8052</v>
      </c>
    </row>
    <row r="4030" spans="1:13" x14ac:dyDescent="0.25">
      <c r="A4030" s="33">
        <v>4031</v>
      </c>
      <c r="B4030" t="s">
        <v>8073</v>
      </c>
      <c r="C4030" s="1">
        <v>37.433125874700004</v>
      </c>
      <c r="D4030" s="1">
        <v>-7.06529395992</v>
      </c>
      <c r="E4030" s="3">
        <v>2</v>
      </c>
      <c r="F4030" s="2">
        <v>3</v>
      </c>
      <c r="G4030" s="4">
        <v>1</v>
      </c>
      <c r="H4030" s="13">
        <v>3</v>
      </c>
      <c r="I4030" s="34">
        <v>2</v>
      </c>
      <c r="J4030" s="35">
        <v>2</v>
      </c>
      <c r="K4030" s="2" t="s">
        <v>8074</v>
      </c>
      <c r="L4030" s="36" t="str">
        <f t="shared" si="68"/>
        <v>Ver Imagen</v>
      </c>
      <c r="M4030" t="s">
        <v>8005</v>
      </c>
    </row>
    <row r="4031" spans="1:13" x14ac:dyDescent="0.25">
      <c r="A4031" s="33">
        <v>4032</v>
      </c>
      <c r="B4031" t="s">
        <v>8075</v>
      </c>
      <c r="C4031" s="1">
        <v>37.270134270500002</v>
      </c>
      <c r="D4031" s="1">
        <v>-6.9895535603700001</v>
      </c>
      <c r="E4031" s="3">
        <v>1</v>
      </c>
      <c r="F4031" s="2">
        <v>2</v>
      </c>
      <c r="G4031" s="4">
        <v>3</v>
      </c>
      <c r="H4031" s="13">
        <v>2</v>
      </c>
      <c r="I4031" s="34">
        <v>1</v>
      </c>
      <c r="J4031" s="35">
        <v>2</v>
      </c>
      <c r="K4031" s="2" t="s">
        <v>8076</v>
      </c>
      <c r="L4031" s="36" t="str">
        <f t="shared" si="68"/>
        <v>Ver Imagen</v>
      </c>
      <c r="M4031" t="s">
        <v>8005</v>
      </c>
    </row>
    <row r="4032" spans="1:13" x14ac:dyDescent="0.25">
      <c r="A4032" s="33">
        <v>4033</v>
      </c>
      <c r="B4032" t="s">
        <v>8077</v>
      </c>
      <c r="C4032" s="1">
        <v>37.263351762600003</v>
      </c>
      <c r="D4032" s="1">
        <v>-7.0078477448600003</v>
      </c>
      <c r="E4032" s="3">
        <v>1</v>
      </c>
      <c r="F4032" s="2">
        <v>2</v>
      </c>
      <c r="G4032" s="4">
        <v>3</v>
      </c>
      <c r="H4032" s="13">
        <v>1</v>
      </c>
      <c r="I4032" s="34">
        <v>3</v>
      </c>
      <c r="J4032" s="37">
        <v>3</v>
      </c>
      <c r="K4032" s="2" t="s">
        <v>8078</v>
      </c>
      <c r="L4032" s="36" t="str">
        <f t="shared" si="68"/>
        <v>Ver Imagen</v>
      </c>
      <c r="M4032" s="37" t="s">
        <v>8052</v>
      </c>
    </row>
    <row r="4033" spans="1:13" x14ac:dyDescent="0.25">
      <c r="A4033" s="33">
        <v>4034</v>
      </c>
      <c r="B4033" t="s">
        <v>8079</v>
      </c>
      <c r="C4033" s="1">
        <v>37.2632936953</v>
      </c>
      <c r="D4033" s="1">
        <v>-7.0080358455900003</v>
      </c>
      <c r="E4033" s="3">
        <v>1</v>
      </c>
      <c r="F4033" s="2">
        <v>2</v>
      </c>
      <c r="G4033" s="4">
        <v>3</v>
      </c>
      <c r="H4033" s="13">
        <v>2</v>
      </c>
      <c r="I4033" s="34">
        <v>1</v>
      </c>
      <c r="J4033" s="35">
        <v>2</v>
      </c>
      <c r="K4033" s="2" t="s">
        <v>8080</v>
      </c>
      <c r="L4033" s="36" t="str">
        <f t="shared" si="68"/>
        <v>Ver Imagen</v>
      </c>
      <c r="M4033" t="s">
        <v>8005</v>
      </c>
    </row>
    <row r="4034" spans="1:13" x14ac:dyDescent="0.25">
      <c r="A4034" s="33">
        <v>4035</v>
      </c>
      <c r="B4034" t="s">
        <v>8081</v>
      </c>
      <c r="C4034" s="1">
        <v>37.263208622599997</v>
      </c>
      <c r="D4034" s="1">
        <v>-7.0082842895399997</v>
      </c>
      <c r="E4034" s="3">
        <v>1</v>
      </c>
      <c r="F4034" s="2">
        <v>2</v>
      </c>
      <c r="G4034" s="4">
        <v>3</v>
      </c>
      <c r="H4034" s="13">
        <v>2</v>
      </c>
      <c r="I4034" s="34">
        <v>2</v>
      </c>
      <c r="J4034" s="35">
        <v>2</v>
      </c>
      <c r="K4034" s="2" t="s">
        <v>8082</v>
      </c>
      <c r="L4034" s="36" t="str">
        <f t="shared" si="68"/>
        <v>Ver Imagen</v>
      </c>
      <c r="M4034" t="s">
        <v>8005</v>
      </c>
    </row>
    <row r="4035" spans="1:13" x14ac:dyDescent="0.25">
      <c r="A4035" s="33">
        <v>4036</v>
      </c>
      <c r="B4035" t="s">
        <v>8083</v>
      </c>
      <c r="C4035" s="1">
        <v>37.263022368000001</v>
      </c>
      <c r="D4035" s="1">
        <v>-7.0087419856000004</v>
      </c>
      <c r="E4035" s="3">
        <v>1</v>
      </c>
      <c r="F4035" s="2">
        <v>2</v>
      </c>
      <c r="G4035" s="4">
        <v>3</v>
      </c>
      <c r="H4035" s="13">
        <v>2</v>
      </c>
      <c r="I4035" s="34">
        <v>2</v>
      </c>
      <c r="J4035" s="35">
        <v>2</v>
      </c>
      <c r="K4035" s="2" t="s">
        <v>8084</v>
      </c>
      <c r="L4035" s="36" t="str">
        <f t="shared" si="68"/>
        <v>Ver Imagen</v>
      </c>
      <c r="M4035" t="s">
        <v>8005</v>
      </c>
    </row>
    <row r="4036" spans="1:13" x14ac:dyDescent="0.25">
      <c r="A4036" s="33">
        <v>4037</v>
      </c>
      <c r="B4036" t="s">
        <v>8085</v>
      </c>
      <c r="C4036" s="1">
        <v>37.202016534599998</v>
      </c>
      <c r="D4036" s="1">
        <v>-6.9955922041500003</v>
      </c>
      <c r="E4036" s="3">
        <v>1</v>
      </c>
      <c r="F4036" s="2">
        <v>2</v>
      </c>
      <c r="G4036" s="4">
        <v>3</v>
      </c>
      <c r="H4036" s="13">
        <v>2</v>
      </c>
      <c r="I4036" s="34">
        <v>2</v>
      </c>
      <c r="J4036" s="35">
        <v>2</v>
      </c>
      <c r="K4036" s="2" t="s">
        <v>8086</v>
      </c>
      <c r="L4036" s="36" t="str">
        <f t="shared" si="68"/>
        <v>Ver Imagen</v>
      </c>
      <c r="M4036" t="s">
        <v>8005</v>
      </c>
    </row>
    <row r="4037" spans="1:13" x14ac:dyDescent="0.25">
      <c r="A4037" s="33">
        <v>4038</v>
      </c>
      <c r="B4037" t="s">
        <v>8087</v>
      </c>
      <c r="C4037" s="1">
        <v>37.202070375200002</v>
      </c>
      <c r="D4037" s="1">
        <v>-6.99592415545</v>
      </c>
      <c r="E4037" s="3">
        <v>1</v>
      </c>
      <c r="F4037" s="2">
        <v>2</v>
      </c>
      <c r="G4037" s="4">
        <v>3</v>
      </c>
      <c r="H4037" s="13">
        <v>2</v>
      </c>
      <c r="I4037" s="34">
        <v>2</v>
      </c>
      <c r="J4037" s="35">
        <v>2</v>
      </c>
      <c r="K4037" s="2" t="s">
        <v>8088</v>
      </c>
      <c r="L4037" s="36" t="str">
        <f t="shared" si="68"/>
        <v>Ver Imagen</v>
      </c>
      <c r="M4037" t="s">
        <v>8005</v>
      </c>
    </row>
    <row r="4038" spans="1:13" x14ac:dyDescent="0.25">
      <c r="A4038" s="33">
        <v>4039</v>
      </c>
      <c r="B4038" t="s">
        <v>8089</v>
      </c>
      <c r="C4038" s="1">
        <v>37.204790169699997</v>
      </c>
      <c r="D4038" s="1">
        <v>-7.0145658392600003</v>
      </c>
      <c r="E4038" s="3">
        <v>1</v>
      </c>
      <c r="F4038" s="2">
        <v>2</v>
      </c>
      <c r="G4038" s="4">
        <v>3</v>
      </c>
      <c r="H4038" s="13">
        <v>2</v>
      </c>
      <c r="I4038" s="34">
        <v>1</v>
      </c>
      <c r="J4038" s="35">
        <v>2</v>
      </c>
      <c r="K4038" s="2" t="s">
        <v>8090</v>
      </c>
      <c r="L4038" s="36" t="str">
        <f t="shared" si="68"/>
        <v>Ver Imagen</v>
      </c>
      <c r="M4038" t="s">
        <v>8005</v>
      </c>
    </row>
    <row r="4039" spans="1:13" x14ac:dyDescent="0.25">
      <c r="A4039" s="33">
        <v>4040</v>
      </c>
      <c r="B4039" t="s">
        <v>8091</v>
      </c>
      <c r="C4039" s="1">
        <v>37.2048840052</v>
      </c>
      <c r="D4039" s="1">
        <v>-7.0150415456699999</v>
      </c>
      <c r="E4039" s="3">
        <v>1</v>
      </c>
      <c r="F4039" s="2">
        <v>2</v>
      </c>
      <c r="G4039" s="4">
        <v>3</v>
      </c>
      <c r="H4039" s="13">
        <v>2</v>
      </c>
      <c r="I4039" s="34">
        <v>1</v>
      </c>
      <c r="J4039" s="35">
        <v>2</v>
      </c>
      <c r="K4039" s="2" t="s">
        <v>8092</v>
      </c>
      <c r="L4039" s="36" t="str">
        <f t="shared" si="68"/>
        <v>Ver Imagen</v>
      </c>
      <c r="M4039" t="s">
        <v>8005</v>
      </c>
    </row>
    <row r="4040" spans="1:13" x14ac:dyDescent="0.25">
      <c r="A4040" s="33">
        <v>4041</v>
      </c>
      <c r="B4040" t="s">
        <v>8093</v>
      </c>
      <c r="C4040" s="1">
        <v>37.205027983999997</v>
      </c>
      <c r="D4040" s="1">
        <v>-7.0157720371799996</v>
      </c>
      <c r="E4040" s="3">
        <v>1</v>
      </c>
      <c r="F4040" s="2">
        <v>2</v>
      </c>
      <c r="G4040" s="4">
        <v>3</v>
      </c>
      <c r="H4040" s="13">
        <v>2</v>
      </c>
      <c r="I4040" s="34">
        <v>1</v>
      </c>
      <c r="J4040" s="35">
        <v>2</v>
      </c>
      <c r="K4040" s="2" t="s">
        <v>8094</v>
      </c>
      <c r="L4040" s="36" t="str">
        <f t="shared" si="68"/>
        <v>Ver Imagen</v>
      </c>
      <c r="M4040" t="s">
        <v>8005</v>
      </c>
    </row>
    <row r="4041" spans="1:13" x14ac:dyDescent="0.25">
      <c r="A4041" s="33">
        <v>4042</v>
      </c>
      <c r="B4041" t="s">
        <v>8095</v>
      </c>
      <c r="C4041" s="1">
        <v>37.2054792709</v>
      </c>
      <c r="D4041" s="1">
        <v>-7.0176976158200004</v>
      </c>
      <c r="E4041" s="3">
        <v>1</v>
      </c>
      <c r="F4041" s="2">
        <v>2</v>
      </c>
      <c r="G4041" s="4">
        <v>3</v>
      </c>
      <c r="H4041" s="13">
        <v>2</v>
      </c>
      <c r="I4041" s="34">
        <v>2</v>
      </c>
      <c r="J4041" s="35">
        <v>2</v>
      </c>
      <c r="K4041" s="2" t="s">
        <v>8096</v>
      </c>
      <c r="L4041" s="36" t="str">
        <f t="shared" si="68"/>
        <v>Ver Imagen</v>
      </c>
      <c r="M4041" t="s">
        <v>8005</v>
      </c>
    </row>
    <row r="4042" spans="1:13" x14ac:dyDescent="0.25">
      <c r="A4042" s="33">
        <v>4043</v>
      </c>
      <c r="B4042" t="s">
        <v>8097</v>
      </c>
      <c r="C4042" s="1">
        <v>37.2289104846</v>
      </c>
      <c r="D4042" s="1">
        <v>-7.0212888106999998</v>
      </c>
      <c r="E4042" s="3">
        <v>3</v>
      </c>
      <c r="F4042" s="2">
        <v>2</v>
      </c>
      <c r="G4042" s="4">
        <v>1</v>
      </c>
      <c r="H4042" s="13">
        <v>1</v>
      </c>
      <c r="I4042" s="34">
        <v>2</v>
      </c>
      <c r="J4042" s="35">
        <v>2</v>
      </c>
      <c r="K4042" s="2" t="s">
        <v>8098</v>
      </c>
      <c r="L4042" s="36" t="str">
        <f t="shared" si="68"/>
        <v>Ver Imagen</v>
      </c>
      <c r="M4042" t="s">
        <v>8005</v>
      </c>
    </row>
    <row r="4043" spans="1:13" x14ac:dyDescent="0.25">
      <c r="A4043" s="33">
        <v>4044</v>
      </c>
      <c r="B4043" t="s">
        <v>8099</v>
      </c>
      <c r="C4043" s="1">
        <v>37.228779005</v>
      </c>
      <c r="D4043" s="1">
        <v>-7.0213879009399998</v>
      </c>
      <c r="E4043" s="3">
        <v>3</v>
      </c>
      <c r="F4043" s="2">
        <v>2</v>
      </c>
      <c r="G4043" s="4">
        <v>1</v>
      </c>
      <c r="H4043" s="13">
        <v>1</v>
      </c>
      <c r="I4043" s="34">
        <v>2</v>
      </c>
      <c r="J4043" s="35">
        <v>2</v>
      </c>
      <c r="K4043" s="2" t="s">
        <v>8100</v>
      </c>
      <c r="L4043" s="36" t="str">
        <f t="shared" si="68"/>
        <v>Ver Imagen</v>
      </c>
      <c r="M4043" t="s">
        <v>8005</v>
      </c>
    </row>
    <row r="4044" spans="1:13" x14ac:dyDescent="0.25">
      <c r="A4044" s="33">
        <v>4045</v>
      </c>
      <c r="B4044" t="s">
        <v>8101</v>
      </c>
      <c r="C4044" s="1">
        <v>37.222669823499999</v>
      </c>
      <c r="D4044" s="1">
        <v>-7.0232163677399999</v>
      </c>
      <c r="E4044" s="3">
        <v>1</v>
      </c>
      <c r="F4044" s="2">
        <v>2</v>
      </c>
      <c r="G4044" s="4">
        <v>3</v>
      </c>
      <c r="H4044" s="13">
        <v>2</v>
      </c>
      <c r="I4044" s="34">
        <v>2</v>
      </c>
      <c r="J4044" s="35">
        <v>2</v>
      </c>
      <c r="K4044" s="2" t="s">
        <v>8102</v>
      </c>
      <c r="L4044" s="36" t="str">
        <f t="shared" si="68"/>
        <v>Ver Imagen</v>
      </c>
      <c r="M4044" t="s">
        <v>8005</v>
      </c>
    </row>
    <row r="4045" spans="1:13" x14ac:dyDescent="0.25">
      <c r="A4045" s="33">
        <v>4046</v>
      </c>
      <c r="B4045" t="s">
        <v>8103</v>
      </c>
      <c r="C4045" s="1">
        <v>37.2199968786</v>
      </c>
      <c r="D4045" s="1">
        <v>-7.0227887855100004</v>
      </c>
      <c r="E4045" s="3">
        <v>1</v>
      </c>
      <c r="F4045" s="2">
        <v>2</v>
      </c>
      <c r="G4045" s="4">
        <v>3</v>
      </c>
      <c r="H4045" s="13">
        <v>2</v>
      </c>
      <c r="I4045" s="34">
        <v>1</v>
      </c>
      <c r="J4045" s="35">
        <v>2</v>
      </c>
      <c r="K4045" s="2" t="s">
        <v>8104</v>
      </c>
      <c r="L4045" s="36" t="str">
        <f t="shared" si="68"/>
        <v>Ver Imagen</v>
      </c>
      <c r="M4045" t="s">
        <v>8005</v>
      </c>
    </row>
    <row r="4046" spans="1:13" x14ac:dyDescent="0.25">
      <c r="A4046" s="33">
        <v>4047</v>
      </c>
      <c r="B4046" t="s">
        <v>8105</v>
      </c>
      <c r="C4046" s="1">
        <v>37.220977784600002</v>
      </c>
      <c r="D4046" s="1">
        <v>-7.0228653112300004</v>
      </c>
      <c r="E4046" s="3">
        <v>1</v>
      </c>
      <c r="F4046" s="2">
        <v>2</v>
      </c>
      <c r="G4046" s="4">
        <v>3</v>
      </c>
      <c r="H4046" s="13">
        <v>2</v>
      </c>
      <c r="I4046" s="34">
        <v>1</v>
      </c>
      <c r="J4046" s="35">
        <v>2</v>
      </c>
      <c r="K4046" s="2" t="s">
        <v>8106</v>
      </c>
      <c r="L4046" s="36" t="str">
        <f t="shared" si="68"/>
        <v>Ver Imagen</v>
      </c>
      <c r="M4046" t="s">
        <v>8005</v>
      </c>
    </row>
    <row r="4047" spans="1:13" x14ac:dyDescent="0.25">
      <c r="A4047" s="33">
        <v>4048</v>
      </c>
      <c r="B4047" t="s">
        <v>8107</v>
      </c>
      <c r="C4047" s="1">
        <v>37.221212997099997</v>
      </c>
      <c r="D4047" s="1">
        <v>-7.0228880493199997</v>
      </c>
      <c r="E4047" s="3">
        <v>1</v>
      </c>
      <c r="F4047" s="2">
        <v>2</v>
      </c>
      <c r="G4047" s="4">
        <v>3</v>
      </c>
      <c r="H4047" s="13">
        <v>2</v>
      </c>
      <c r="I4047" s="34">
        <v>1</v>
      </c>
      <c r="J4047" s="35">
        <v>2</v>
      </c>
      <c r="K4047" s="2" t="s">
        <v>8108</v>
      </c>
      <c r="L4047" s="36" t="str">
        <f t="shared" si="68"/>
        <v>Ver Imagen</v>
      </c>
      <c r="M4047" t="s">
        <v>8005</v>
      </c>
    </row>
    <row r="4048" spans="1:13" x14ac:dyDescent="0.25">
      <c r="A4048" s="33">
        <v>4049</v>
      </c>
      <c r="B4048" t="s">
        <v>8109</v>
      </c>
      <c r="C4048" s="1">
        <v>37.446426192499999</v>
      </c>
      <c r="D4048" s="1">
        <v>-7.1332344158499996</v>
      </c>
      <c r="E4048" s="3">
        <v>1</v>
      </c>
      <c r="F4048" s="2">
        <v>3</v>
      </c>
      <c r="G4048" s="4">
        <v>2</v>
      </c>
      <c r="H4048" s="13">
        <v>3</v>
      </c>
      <c r="I4048" s="34">
        <v>2</v>
      </c>
      <c r="J4048" s="37">
        <v>3</v>
      </c>
      <c r="K4048" s="2" t="s">
        <v>8110</v>
      </c>
      <c r="L4048" s="36" t="str">
        <f t="shared" si="68"/>
        <v>Ver Imagen</v>
      </c>
      <c r="M4048" s="37" t="s">
        <v>8052</v>
      </c>
    </row>
    <row r="4049" spans="1:13" x14ac:dyDescent="0.25">
      <c r="A4049" s="33">
        <v>4050</v>
      </c>
      <c r="B4049" t="s">
        <v>8111</v>
      </c>
      <c r="C4049" s="1">
        <v>37.446388626599997</v>
      </c>
      <c r="D4049" s="1">
        <v>-7.1334844241299997</v>
      </c>
      <c r="E4049" s="3">
        <v>1</v>
      </c>
      <c r="F4049" s="2">
        <v>3</v>
      </c>
      <c r="G4049" s="4">
        <v>2</v>
      </c>
      <c r="H4049" s="13">
        <v>2</v>
      </c>
      <c r="I4049" s="34">
        <v>2</v>
      </c>
      <c r="J4049" s="35">
        <v>2</v>
      </c>
      <c r="K4049" s="2" t="s">
        <v>8112</v>
      </c>
      <c r="L4049" s="36" t="str">
        <f t="shared" si="68"/>
        <v>Ver Imagen</v>
      </c>
      <c r="M4049" t="s">
        <v>8005</v>
      </c>
    </row>
    <row r="4050" spans="1:13" x14ac:dyDescent="0.25">
      <c r="A4050" s="33">
        <v>4051</v>
      </c>
      <c r="B4050" t="s">
        <v>8113</v>
      </c>
      <c r="C4050" s="1">
        <v>37.448725272399997</v>
      </c>
      <c r="D4050" s="1">
        <v>-7.1479807467800001</v>
      </c>
      <c r="E4050" s="3">
        <v>1</v>
      </c>
      <c r="F4050" s="2">
        <v>3</v>
      </c>
      <c r="G4050" s="4">
        <v>2</v>
      </c>
      <c r="H4050" s="13">
        <v>2</v>
      </c>
      <c r="I4050" s="34">
        <v>2</v>
      </c>
      <c r="J4050" s="35">
        <v>2</v>
      </c>
      <c r="K4050" s="2" t="s">
        <v>8114</v>
      </c>
      <c r="L4050" s="36" t="str">
        <f t="shared" si="68"/>
        <v>Ver Imagen</v>
      </c>
      <c r="M4050" t="s">
        <v>8005</v>
      </c>
    </row>
    <row r="4051" spans="1:13" x14ac:dyDescent="0.25">
      <c r="A4051" s="33">
        <v>4052</v>
      </c>
      <c r="B4051" t="s">
        <v>8115</v>
      </c>
      <c r="C4051" s="1">
        <v>37.451611906399997</v>
      </c>
      <c r="D4051" s="1">
        <v>-7.1564370179200001</v>
      </c>
      <c r="E4051" s="3">
        <v>2</v>
      </c>
      <c r="F4051" s="2">
        <v>3</v>
      </c>
      <c r="G4051" s="4">
        <v>4</v>
      </c>
      <c r="H4051" s="13">
        <v>2</v>
      </c>
      <c r="I4051" s="34">
        <v>3</v>
      </c>
      <c r="J4051" s="35">
        <v>3</v>
      </c>
      <c r="K4051" s="2" t="s">
        <v>8116</v>
      </c>
      <c r="L4051" s="36" t="str">
        <f t="shared" si="68"/>
        <v>Ver Imagen</v>
      </c>
      <c r="M4051" t="s">
        <v>8005</v>
      </c>
    </row>
    <row r="4052" spans="1:13" x14ac:dyDescent="0.25">
      <c r="A4052" s="33">
        <v>4053</v>
      </c>
      <c r="B4052" t="s">
        <v>8117</v>
      </c>
      <c r="C4052" s="1">
        <v>37.467422612</v>
      </c>
      <c r="D4052" s="1">
        <v>-7.1848963071999998</v>
      </c>
      <c r="E4052" s="3">
        <v>1</v>
      </c>
      <c r="F4052" s="2">
        <v>3</v>
      </c>
      <c r="G4052" s="4">
        <v>2</v>
      </c>
      <c r="H4052" s="13">
        <v>2</v>
      </c>
      <c r="I4052" s="34">
        <v>2</v>
      </c>
      <c r="J4052" s="35">
        <v>2</v>
      </c>
      <c r="K4052" s="2" t="s">
        <v>8118</v>
      </c>
      <c r="L4052" s="36" t="str">
        <f t="shared" si="68"/>
        <v>Ver Imagen</v>
      </c>
      <c r="M4052" t="s">
        <v>8005</v>
      </c>
    </row>
    <row r="4053" spans="1:13" x14ac:dyDescent="0.25">
      <c r="A4053" s="33">
        <v>4054</v>
      </c>
      <c r="B4053" t="s">
        <v>8119</v>
      </c>
      <c r="C4053" s="1">
        <v>37.484354579799998</v>
      </c>
      <c r="D4053" s="1">
        <v>-7.22714698348</v>
      </c>
      <c r="E4053" s="3">
        <v>2</v>
      </c>
      <c r="F4053" s="2">
        <v>1</v>
      </c>
      <c r="G4053" s="4">
        <v>3</v>
      </c>
      <c r="H4053" s="13">
        <v>1</v>
      </c>
      <c r="I4053" s="34">
        <v>1</v>
      </c>
      <c r="J4053" s="35">
        <v>1</v>
      </c>
      <c r="K4053" s="2" t="s">
        <v>8120</v>
      </c>
      <c r="L4053" s="36" t="str">
        <f t="shared" si="68"/>
        <v>Ver Imagen</v>
      </c>
      <c r="M4053" t="s">
        <v>8005</v>
      </c>
    </row>
    <row r="4054" spans="1:13" x14ac:dyDescent="0.25">
      <c r="A4054" s="33">
        <v>4055</v>
      </c>
      <c r="B4054" t="s">
        <v>8121</v>
      </c>
      <c r="C4054" s="1">
        <v>37.492702502299998</v>
      </c>
      <c r="D4054" s="1">
        <v>-7.2623383489300002</v>
      </c>
      <c r="E4054" s="3">
        <v>2</v>
      </c>
      <c r="F4054" s="2">
        <v>3</v>
      </c>
      <c r="G4054" s="4">
        <v>4</v>
      </c>
      <c r="H4054" s="13">
        <v>2</v>
      </c>
      <c r="I4054" s="34">
        <v>3</v>
      </c>
      <c r="J4054" s="35">
        <v>3</v>
      </c>
      <c r="K4054" s="2" t="s">
        <v>8122</v>
      </c>
      <c r="L4054" s="36" t="str">
        <f t="shared" si="68"/>
        <v>Ver Imagen</v>
      </c>
      <c r="M4054" t="s">
        <v>8005</v>
      </c>
    </row>
    <row r="4055" spans="1:13" x14ac:dyDescent="0.25">
      <c r="A4055" s="33">
        <v>4056</v>
      </c>
      <c r="B4055" t="s">
        <v>8123</v>
      </c>
      <c r="C4055" s="1">
        <v>37.494677487200001</v>
      </c>
      <c r="D4055" s="1">
        <v>-7.2664446967499998</v>
      </c>
      <c r="E4055" s="3">
        <v>2</v>
      </c>
      <c r="F4055" s="2">
        <v>4</v>
      </c>
      <c r="G4055" s="4">
        <v>3</v>
      </c>
      <c r="H4055" s="13">
        <v>3</v>
      </c>
      <c r="I4055" s="34">
        <v>2</v>
      </c>
      <c r="J4055" s="35">
        <v>3</v>
      </c>
      <c r="K4055" s="2" t="s">
        <v>8124</v>
      </c>
      <c r="L4055" s="36" t="str">
        <f t="shared" si="68"/>
        <v>Ver Imagen</v>
      </c>
      <c r="M4055" t="s">
        <v>8005</v>
      </c>
    </row>
    <row r="4056" spans="1:13" x14ac:dyDescent="0.25">
      <c r="A4056" s="33">
        <v>4057</v>
      </c>
      <c r="B4056" t="s">
        <v>8125</v>
      </c>
      <c r="C4056" s="1">
        <v>37.280126403200001</v>
      </c>
      <c r="D4056" s="1">
        <v>-7.0056825665</v>
      </c>
      <c r="E4056" s="3">
        <v>2</v>
      </c>
      <c r="F4056" s="2">
        <v>2</v>
      </c>
      <c r="G4056" s="4">
        <v>4</v>
      </c>
      <c r="H4056" s="13">
        <v>2</v>
      </c>
      <c r="I4056" s="34">
        <v>2</v>
      </c>
      <c r="J4056" s="35">
        <v>2</v>
      </c>
      <c r="K4056" s="2" t="s">
        <v>8126</v>
      </c>
      <c r="L4056" s="36" t="str">
        <f t="shared" si="68"/>
        <v>Ver Imagen</v>
      </c>
      <c r="M4056" t="s">
        <v>8005</v>
      </c>
    </row>
    <row r="4057" spans="1:13" x14ac:dyDescent="0.25">
      <c r="A4057" s="33">
        <v>4058</v>
      </c>
      <c r="B4057" t="s">
        <v>8127</v>
      </c>
      <c r="C4057" s="1">
        <v>37.278515110900003</v>
      </c>
      <c r="D4057" s="1">
        <v>-7.0097369645900001</v>
      </c>
      <c r="E4057" s="3">
        <v>2</v>
      </c>
      <c r="F4057" s="2">
        <v>3</v>
      </c>
      <c r="G4057" s="4">
        <v>4</v>
      </c>
      <c r="H4057" s="13">
        <v>3</v>
      </c>
      <c r="I4057" s="34">
        <v>3</v>
      </c>
      <c r="J4057" s="35">
        <v>3</v>
      </c>
      <c r="K4057" s="2" t="s">
        <v>8128</v>
      </c>
      <c r="L4057" s="36" t="str">
        <f t="shared" si="68"/>
        <v>Ver Imagen</v>
      </c>
      <c r="M4057" t="s">
        <v>8005</v>
      </c>
    </row>
    <row r="4058" spans="1:13" x14ac:dyDescent="0.25">
      <c r="A4058" s="33">
        <v>4059</v>
      </c>
      <c r="B4058" t="s">
        <v>8129</v>
      </c>
      <c r="C4058" s="1">
        <v>37.276486305299997</v>
      </c>
      <c r="D4058" s="1">
        <v>-7.0135329930800001</v>
      </c>
      <c r="E4058" s="3">
        <v>2</v>
      </c>
      <c r="F4058" s="2">
        <v>3</v>
      </c>
      <c r="G4058" s="4">
        <v>4</v>
      </c>
      <c r="H4058" s="13">
        <v>2</v>
      </c>
      <c r="I4058" s="34">
        <v>3</v>
      </c>
      <c r="J4058" s="35">
        <v>3</v>
      </c>
      <c r="K4058" s="2" t="s">
        <v>8130</v>
      </c>
      <c r="L4058" s="36" t="str">
        <f t="shared" si="68"/>
        <v>Ver Imagen</v>
      </c>
      <c r="M4058" t="s">
        <v>8005</v>
      </c>
    </row>
    <row r="4059" spans="1:13" x14ac:dyDescent="0.25">
      <c r="A4059" s="33">
        <v>4060</v>
      </c>
      <c r="B4059" t="s">
        <v>8131</v>
      </c>
      <c r="C4059" s="1">
        <v>37.276389082599998</v>
      </c>
      <c r="D4059" s="1">
        <v>-7.0137384165499999</v>
      </c>
      <c r="E4059" s="3">
        <v>2</v>
      </c>
      <c r="F4059" s="2">
        <v>3</v>
      </c>
      <c r="G4059" s="4">
        <v>4</v>
      </c>
      <c r="H4059" s="13">
        <v>2</v>
      </c>
      <c r="I4059" s="34">
        <v>3</v>
      </c>
      <c r="J4059" s="35">
        <v>3</v>
      </c>
      <c r="K4059" s="2" t="s">
        <v>8132</v>
      </c>
      <c r="L4059" s="36" t="str">
        <f t="shared" si="68"/>
        <v>Ver Imagen</v>
      </c>
      <c r="M4059" t="s">
        <v>8005</v>
      </c>
    </row>
    <row r="4060" spans="1:13" x14ac:dyDescent="0.25">
      <c r="A4060" s="33">
        <v>4061</v>
      </c>
      <c r="B4060" t="s">
        <v>8133</v>
      </c>
      <c r="C4060" s="1">
        <v>37.276366353900002</v>
      </c>
      <c r="D4060" s="1">
        <v>-7.02423720007</v>
      </c>
      <c r="E4060" s="3">
        <v>2</v>
      </c>
      <c r="F4060" s="2">
        <v>3</v>
      </c>
      <c r="G4060" s="4">
        <v>4</v>
      </c>
      <c r="H4060" s="13">
        <v>2</v>
      </c>
      <c r="I4060" s="34">
        <v>2</v>
      </c>
      <c r="J4060" s="35">
        <v>2</v>
      </c>
      <c r="K4060" s="2" t="s">
        <v>8134</v>
      </c>
      <c r="L4060" s="36" t="str">
        <f t="shared" ref="L4060:L4123" si="69">HYPERLINK("NoConsenso\" &amp; K4060, "Ver Imagen")</f>
        <v>Ver Imagen</v>
      </c>
      <c r="M4060" t="s">
        <v>8005</v>
      </c>
    </row>
    <row r="4061" spans="1:13" x14ac:dyDescent="0.25">
      <c r="A4061" s="33">
        <v>4062</v>
      </c>
      <c r="B4061" t="s">
        <v>8135</v>
      </c>
      <c r="C4061" s="1">
        <v>37.2765806325</v>
      </c>
      <c r="D4061" s="1">
        <v>-7.0257275513500002</v>
      </c>
      <c r="E4061" s="3">
        <v>2</v>
      </c>
      <c r="F4061" s="2">
        <v>3</v>
      </c>
      <c r="G4061" s="4">
        <v>4</v>
      </c>
      <c r="H4061" s="13">
        <v>2</v>
      </c>
      <c r="I4061" s="34">
        <v>2</v>
      </c>
      <c r="J4061" s="35">
        <v>2</v>
      </c>
      <c r="K4061" s="2" t="s">
        <v>8136</v>
      </c>
      <c r="L4061" s="36" t="str">
        <f t="shared" si="69"/>
        <v>Ver Imagen</v>
      </c>
      <c r="M4061" t="s">
        <v>8005</v>
      </c>
    </row>
    <row r="4062" spans="1:13" x14ac:dyDescent="0.25">
      <c r="A4062" s="33">
        <v>4063</v>
      </c>
      <c r="B4062" t="s">
        <v>8137</v>
      </c>
      <c r="C4062" s="1">
        <v>37.276613304500003</v>
      </c>
      <c r="D4062" s="1">
        <v>-7.0259681884300003</v>
      </c>
      <c r="E4062" s="3">
        <v>2</v>
      </c>
      <c r="F4062" s="2">
        <v>3</v>
      </c>
      <c r="G4062" s="4">
        <v>4</v>
      </c>
      <c r="H4062" s="13">
        <v>2</v>
      </c>
      <c r="I4062" s="34">
        <v>3</v>
      </c>
      <c r="J4062" s="35">
        <v>3</v>
      </c>
      <c r="K4062" s="2" t="s">
        <v>8138</v>
      </c>
      <c r="L4062" s="36" t="str">
        <f t="shared" si="69"/>
        <v>Ver Imagen</v>
      </c>
      <c r="M4062" t="s">
        <v>8005</v>
      </c>
    </row>
    <row r="4063" spans="1:13" x14ac:dyDescent="0.25">
      <c r="A4063" s="33">
        <v>4064</v>
      </c>
      <c r="B4063" t="s">
        <v>8139</v>
      </c>
      <c r="C4063" s="1">
        <v>37.284900961300004</v>
      </c>
      <c r="D4063" s="1">
        <v>-7.0399592485699998</v>
      </c>
      <c r="E4063" s="3">
        <v>2</v>
      </c>
      <c r="F4063" s="2">
        <v>3</v>
      </c>
      <c r="G4063" s="4">
        <v>4</v>
      </c>
      <c r="H4063" s="13">
        <v>3</v>
      </c>
      <c r="I4063" s="34">
        <v>3</v>
      </c>
      <c r="J4063" s="35">
        <v>3</v>
      </c>
      <c r="K4063" s="2" t="s">
        <v>8140</v>
      </c>
      <c r="L4063" s="36" t="str">
        <f t="shared" si="69"/>
        <v>Ver Imagen</v>
      </c>
      <c r="M4063" t="s">
        <v>8005</v>
      </c>
    </row>
    <row r="4064" spans="1:13" x14ac:dyDescent="0.25">
      <c r="A4064" s="33">
        <v>4065</v>
      </c>
      <c r="B4064" t="s">
        <v>8141</v>
      </c>
      <c r="C4064" s="1">
        <v>37.286533185899998</v>
      </c>
      <c r="D4064" s="1">
        <v>-7.04173890691</v>
      </c>
      <c r="E4064" s="3">
        <v>2</v>
      </c>
      <c r="F4064" s="2">
        <v>2</v>
      </c>
      <c r="G4064" s="4">
        <v>4</v>
      </c>
      <c r="H4064" s="13">
        <v>2</v>
      </c>
      <c r="I4064" s="34">
        <v>2</v>
      </c>
      <c r="J4064" s="35">
        <v>2</v>
      </c>
      <c r="K4064" s="2" t="s">
        <v>8142</v>
      </c>
      <c r="L4064" s="36" t="str">
        <f t="shared" si="69"/>
        <v>Ver Imagen</v>
      </c>
      <c r="M4064" t="s">
        <v>8005</v>
      </c>
    </row>
    <row r="4065" spans="1:13" x14ac:dyDescent="0.25">
      <c r="A4065" s="33">
        <v>4066</v>
      </c>
      <c r="B4065" t="s">
        <v>8143</v>
      </c>
      <c r="C4065" s="1">
        <v>37.2867157616</v>
      </c>
      <c r="D4065" s="1">
        <v>-7.0418301949900002</v>
      </c>
      <c r="E4065" s="3">
        <v>2</v>
      </c>
      <c r="F4065" s="2">
        <v>2</v>
      </c>
      <c r="G4065" s="4">
        <v>4</v>
      </c>
      <c r="H4065" s="13">
        <v>2</v>
      </c>
      <c r="I4065" s="34">
        <v>1</v>
      </c>
      <c r="J4065" s="35">
        <v>2</v>
      </c>
      <c r="K4065" s="2" t="s">
        <v>8144</v>
      </c>
      <c r="L4065" s="36" t="str">
        <f t="shared" si="69"/>
        <v>Ver Imagen</v>
      </c>
      <c r="M4065" t="s">
        <v>8005</v>
      </c>
    </row>
    <row r="4066" spans="1:13" x14ac:dyDescent="0.25">
      <c r="A4066" s="33">
        <v>4067</v>
      </c>
      <c r="B4066" t="s">
        <v>8145</v>
      </c>
      <c r="C4066" s="1">
        <v>37.289251242699997</v>
      </c>
      <c r="D4066" s="1">
        <v>-7.0438399489999997</v>
      </c>
      <c r="E4066" s="3">
        <v>2</v>
      </c>
      <c r="F4066" s="2">
        <v>1</v>
      </c>
      <c r="G4066" s="4">
        <v>3</v>
      </c>
      <c r="H4066" s="13">
        <v>2</v>
      </c>
      <c r="I4066" s="34">
        <v>1</v>
      </c>
      <c r="J4066" s="35">
        <v>2</v>
      </c>
      <c r="K4066" s="2" t="s">
        <v>8146</v>
      </c>
      <c r="L4066" s="36" t="str">
        <f t="shared" si="69"/>
        <v>Ver Imagen</v>
      </c>
      <c r="M4066" t="s">
        <v>8005</v>
      </c>
    </row>
    <row r="4067" spans="1:13" x14ac:dyDescent="0.25">
      <c r="A4067" s="33">
        <v>4068</v>
      </c>
      <c r="B4067" t="s">
        <v>8147</v>
      </c>
      <c r="C4067" s="1">
        <v>37.290259734400003</v>
      </c>
      <c r="D4067" s="1">
        <v>-7.04505791363</v>
      </c>
      <c r="E4067" s="3">
        <v>2</v>
      </c>
      <c r="F4067" s="2">
        <v>2</v>
      </c>
      <c r="G4067" s="4">
        <v>4</v>
      </c>
      <c r="H4067" s="13">
        <v>2</v>
      </c>
      <c r="I4067" s="34">
        <v>2</v>
      </c>
      <c r="J4067" s="35">
        <v>2</v>
      </c>
      <c r="K4067" s="2" t="s">
        <v>8148</v>
      </c>
      <c r="L4067" s="36" t="str">
        <f t="shared" si="69"/>
        <v>Ver Imagen</v>
      </c>
      <c r="M4067" t="s">
        <v>8005</v>
      </c>
    </row>
    <row r="4068" spans="1:13" x14ac:dyDescent="0.25">
      <c r="A4068" s="33">
        <v>4069</v>
      </c>
      <c r="B4068" t="s">
        <v>8149</v>
      </c>
      <c r="C4068" s="1">
        <v>37.296666369999997</v>
      </c>
      <c r="D4068" s="1">
        <v>-7.0506393363299997</v>
      </c>
      <c r="E4068" s="3">
        <v>2</v>
      </c>
      <c r="F4068" s="2">
        <v>2</v>
      </c>
      <c r="G4068" s="4">
        <v>4</v>
      </c>
      <c r="H4068" s="13">
        <v>2</v>
      </c>
      <c r="I4068" s="34">
        <v>1</v>
      </c>
      <c r="J4068" s="35">
        <v>2</v>
      </c>
      <c r="K4068" s="2" t="s">
        <v>8150</v>
      </c>
      <c r="L4068" s="36" t="str">
        <f t="shared" si="69"/>
        <v>Ver Imagen</v>
      </c>
      <c r="M4068" t="s">
        <v>8005</v>
      </c>
    </row>
    <row r="4069" spans="1:13" x14ac:dyDescent="0.25">
      <c r="A4069" s="33">
        <v>4070</v>
      </c>
      <c r="B4069" t="s">
        <v>8151</v>
      </c>
      <c r="C4069" s="1">
        <v>37.300710531299998</v>
      </c>
      <c r="D4069" s="1">
        <v>-7.0559613532099998</v>
      </c>
      <c r="E4069" s="3">
        <v>2</v>
      </c>
      <c r="F4069" s="2">
        <v>3</v>
      </c>
      <c r="G4069" s="4">
        <v>4</v>
      </c>
      <c r="H4069" s="13">
        <v>3</v>
      </c>
      <c r="I4069" s="34">
        <v>2</v>
      </c>
      <c r="J4069" s="35">
        <v>3</v>
      </c>
      <c r="K4069" s="2" t="s">
        <v>8152</v>
      </c>
      <c r="L4069" s="36" t="str">
        <f t="shared" si="69"/>
        <v>Ver Imagen</v>
      </c>
      <c r="M4069" t="s">
        <v>8005</v>
      </c>
    </row>
    <row r="4070" spans="1:13" x14ac:dyDescent="0.25">
      <c r="A4070" s="33">
        <v>4071</v>
      </c>
      <c r="B4070" t="s">
        <v>8153</v>
      </c>
      <c r="C4070" s="1">
        <v>37.3011079479</v>
      </c>
      <c r="D4070" s="1">
        <v>-7.0562039324799999</v>
      </c>
      <c r="E4070" s="3">
        <v>2</v>
      </c>
      <c r="F4070" s="2">
        <v>3</v>
      </c>
      <c r="G4070" s="4">
        <v>4</v>
      </c>
      <c r="H4070" s="13">
        <v>2</v>
      </c>
      <c r="I4070" s="34">
        <v>2</v>
      </c>
      <c r="J4070" s="37">
        <v>3</v>
      </c>
      <c r="K4070" s="2" t="s">
        <v>8154</v>
      </c>
      <c r="L4070" s="36" t="str">
        <f t="shared" si="69"/>
        <v>Ver Imagen</v>
      </c>
      <c r="M4070" s="37" t="s">
        <v>8052</v>
      </c>
    </row>
    <row r="4071" spans="1:13" x14ac:dyDescent="0.25">
      <c r="A4071" s="33">
        <v>4072</v>
      </c>
      <c r="B4071" t="s">
        <v>8155</v>
      </c>
      <c r="C4071" s="1">
        <v>37.302661055999998</v>
      </c>
      <c r="D4071" s="1">
        <v>-7.05658149962</v>
      </c>
      <c r="E4071" s="3">
        <v>2</v>
      </c>
      <c r="F4071" s="2">
        <v>1</v>
      </c>
      <c r="G4071" s="4">
        <v>3</v>
      </c>
      <c r="H4071" s="13">
        <v>1</v>
      </c>
      <c r="I4071" s="34">
        <v>1</v>
      </c>
      <c r="J4071" s="35">
        <v>1</v>
      </c>
      <c r="K4071" s="2" t="s">
        <v>8156</v>
      </c>
      <c r="L4071" s="36" t="str">
        <f t="shared" si="69"/>
        <v>Ver Imagen</v>
      </c>
      <c r="M4071" t="s">
        <v>8005</v>
      </c>
    </row>
    <row r="4072" spans="1:13" x14ac:dyDescent="0.25">
      <c r="A4072" s="33">
        <v>4073</v>
      </c>
      <c r="B4072" t="s">
        <v>8157</v>
      </c>
      <c r="C4072" s="1">
        <v>37.305509497499997</v>
      </c>
      <c r="D4072" s="1">
        <v>-7.05673476698</v>
      </c>
      <c r="E4072" s="3">
        <v>1</v>
      </c>
      <c r="F4072" s="2">
        <v>3</v>
      </c>
      <c r="G4072" s="4">
        <v>2</v>
      </c>
      <c r="H4072" s="13">
        <v>2</v>
      </c>
      <c r="I4072" s="34">
        <v>2</v>
      </c>
      <c r="J4072" s="35">
        <v>2</v>
      </c>
      <c r="K4072" s="2" t="s">
        <v>8158</v>
      </c>
      <c r="L4072" s="36" t="str">
        <f t="shared" si="69"/>
        <v>Ver Imagen</v>
      </c>
      <c r="M4072" t="s">
        <v>8005</v>
      </c>
    </row>
    <row r="4073" spans="1:13" x14ac:dyDescent="0.25">
      <c r="A4073" s="33">
        <v>4074</v>
      </c>
      <c r="B4073" t="s">
        <v>8159</v>
      </c>
      <c r="C4073" s="1">
        <v>37.305714018499998</v>
      </c>
      <c r="D4073" s="1">
        <v>-7.0567393987999996</v>
      </c>
      <c r="E4073" s="3">
        <v>2</v>
      </c>
      <c r="F4073" s="2">
        <v>3</v>
      </c>
      <c r="G4073" s="4">
        <v>4</v>
      </c>
      <c r="H4073" s="13">
        <v>2</v>
      </c>
      <c r="I4073" s="34">
        <v>2</v>
      </c>
      <c r="J4073" s="35">
        <v>2</v>
      </c>
      <c r="K4073" s="2" t="s">
        <v>8160</v>
      </c>
      <c r="L4073" s="36" t="str">
        <f t="shared" si="69"/>
        <v>Ver Imagen</v>
      </c>
      <c r="M4073" t="s">
        <v>8005</v>
      </c>
    </row>
    <row r="4074" spans="1:13" x14ac:dyDescent="0.25">
      <c r="A4074" s="33">
        <v>4075</v>
      </c>
      <c r="B4074" t="s">
        <v>8161</v>
      </c>
      <c r="C4074" s="1">
        <v>37.305882246400003</v>
      </c>
      <c r="D4074" s="1">
        <v>-7.0567475460500004</v>
      </c>
      <c r="E4074" s="3">
        <v>2</v>
      </c>
      <c r="F4074" s="2">
        <v>3</v>
      </c>
      <c r="G4074" s="4">
        <v>4</v>
      </c>
      <c r="H4074" s="13">
        <v>2</v>
      </c>
      <c r="I4074" s="34">
        <v>2</v>
      </c>
      <c r="J4074" s="35">
        <v>2</v>
      </c>
      <c r="K4074" s="2" t="s">
        <v>8162</v>
      </c>
      <c r="L4074" s="36" t="str">
        <f t="shared" si="69"/>
        <v>Ver Imagen</v>
      </c>
      <c r="M4074" t="s">
        <v>8005</v>
      </c>
    </row>
    <row r="4075" spans="1:13" x14ac:dyDescent="0.25">
      <c r="A4075" s="33">
        <v>4076</v>
      </c>
      <c r="B4075" t="s">
        <v>8163</v>
      </c>
      <c r="C4075" s="1">
        <v>37.306101182500001</v>
      </c>
      <c r="D4075" s="1">
        <v>-7.0567655735299999</v>
      </c>
      <c r="E4075" s="3">
        <v>2</v>
      </c>
      <c r="F4075" s="2">
        <v>2</v>
      </c>
      <c r="G4075" s="4">
        <v>4</v>
      </c>
      <c r="H4075" s="13">
        <v>2</v>
      </c>
      <c r="I4075" s="34">
        <v>1</v>
      </c>
      <c r="J4075" s="35">
        <v>2</v>
      </c>
      <c r="K4075" s="2" t="s">
        <v>8164</v>
      </c>
      <c r="L4075" s="36" t="str">
        <f t="shared" si="69"/>
        <v>Ver Imagen</v>
      </c>
      <c r="M4075" t="s">
        <v>8005</v>
      </c>
    </row>
    <row r="4076" spans="1:13" x14ac:dyDescent="0.25">
      <c r="A4076" s="33">
        <v>4077</v>
      </c>
      <c r="B4076" t="s">
        <v>8165</v>
      </c>
      <c r="C4076" s="1">
        <v>37.307119094000001</v>
      </c>
      <c r="D4076" s="1">
        <v>-7.0568954231200003</v>
      </c>
      <c r="E4076" s="3">
        <v>2</v>
      </c>
      <c r="F4076" s="2">
        <v>2</v>
      </c>
      <c r="G4076" s="4">
        <v>4</v>
      </c>
      <c r="H4076" s="13">
        <v>2</v>
      </c>
      <c r="I4076" s="34">
        <v>2</v>
      </c>
      <c r="J4076" s="35">
        <v>2</v>
      </c>
      <c r="K4076" s="2" t="s">
        <v>8166</v>
      </c>
      <c r="L4076" s="36" t="str">
        <f t="shared" si="69"/>
        <v>Ver Imagen</v>
      </c>
      <c r="M4076" t="s">
        <v>8005</v>
      </c>
    </row>
    <row r="4077" spans="1:13" x14ac:dyDescent="0.25">
      <c r="A4077" s="33">
        <v>4078</v>
      </c>
      <c r="B4077" t="s">
        <v>8167</v>
      </c>
      <c r="C4077" s="1">
        <v>37.308108661299997</v>
      </c>
      <c r="D4077" s="1">
        <v>-7.0571232896699998</v>
      </c>
      <c r="E4077" s="3">
        <v>2</v>
      </c>
      <c r="F4077" s="2">
        <v>2</v>
      </c>
      <c r="G4077" s="4">
        <v>4</v>
      </c>
      <c r="H4077" s="13">
        <v>1</v>
      </c>
      <c r="I4077" s="34">
        <v>1</v>
      </c>
      <c r="J4077" s="37">
        <v>1</v>
      </c>
      <c r="K4077" s="2" t="s">
        <v>8168</v>
      </c>
      <c r="L4077" s="36" t="str">
        <f t="shared" si="69"/>
        <v>Ver Imagen</v>
      </c>
      <c r="M4077" s="37" t="s">
        <v>8052</v>
      </c>
    </row>
    <row r="4078" spans="1:13" x14ac:dyDescent="0.25">
      <c r="A4078" s="33">
        <v>4079</v>
      </c>
      <c r="B4078" t="s">
        <v>8169</v>
      </c>
      <c r="C4078" s="1">
        <v>37.308298649199997</v>
      </c>
      <c r="D4078" s="1">
        <v>-7.0571907137199998</v>
      </c>
      <c r="E4078" s="3">
        <v>2</v>
      </c>
      <c r="F4078" s="2">
        <v>3</v>
      </c>
      <c r="G4078" s="4">
        <v>4</v>
      </c>
      <c r="H4078" s="13">
        <v>2</v>
      </c>
      <c r="I4078" s="34">
        <v>2</v>
      </c>
      <c r="J4078" s="35">
        <v>2</v>
      </c>
      <c r="K4078" s="2" t="s">
        <v>8170</v>
      </c>
      <c r="L4078" s="36" t="str">
        <f t="shared" si="69"/>
        <v>Ver Imagen</v>
      </c>
      <c r="M4078" t="s">
        <v>8005</v>
      </c>
    </row>
    <row r="4079" spans="1:13" x14ac:dyDescent="0.25">
      <c r="A4079" s="33">
        <v>4080</v>
      </c>
      <c r="B4079" t="s">
        <v>8171</v>
      </c>
      <c r="C4079" s="1">
        <v>37.3099271448</v>
      </c>
      <c r="D4079" s="1">
        <v>-7.0581763846300003</v>
      </c>
      <c r="E4079" s="3">
        <v>3</v>
      </c>
      <c r="F4079" s="2">
        <v>1</v>
      </c>
      <c r="G4079" s="4">
        <v>2</v>
      </c>
      <c r="H4079" s="13">
        <v>1</v>
      </c>
      <c r="I4079" s="34">
        <v>1</v>
      </c>
      <c r="J4079" s="35">
        <v>1</v>
      </c>
      <c r="K4079" s="2" t="s">
        <v>8172</v>
      </c>
      <c r="L4079" s="36" t="str">
        <f t="shared" si="69"/>
        <v>Ver Imagen</v>
      </c>
      <c r="M4079" t="s">
        <v>8005</v>
      </c>
    </row>
    <row r="4080" spans="1:13" x14ac:dyDescent="0.25">
      <c r="A4080" s="33">
        <v>4081</v>
      </c>
      <c r="B4080" t="s">
        <v>8173</v>
      </c>
      <c r="C4080" s="1">
        <v>37.311598502099997</v>
      </c>
      <c r="D4080" s="1">
        <v>-7.05966275789</v>
      </c>
      <c r="E4080" s="3">
        <v>2</v>
      </c>
      <c r="F4080" s="2">
        <v>1</v>
      </c>
      <c r="G4080" s="4">
        <v>3</v>
      </c>
      <c r="H4080" s="13">
        <v>1</v>
      </c>
      <c r="I4080" s="34">
        <v>1</v>
      </c>
      <c r="J4080" s="35">
        <v>1</v>
      </c>
      <c r="K4080" s="2" t="s">
        <v>8174</v>
      </c>
      <c r="L4080" s="36" t="str">
        <f t="shared" si="69"/>
        <v>Ver Imagen</v>
      </c>
      <c r="M4080" t="s">
        <v>8005</v>
      </c>
    </row>
    <row r="4081" spans="1:13" x14ac:dyDescent="0.25">
      <c r="A4081" s="33">
        <v>4082</v>
      </c>
      <c r="B4081" t="s">
        <v>8175</v>
      </c>
      <c r="C4081" s="1">
        <v>37.315474492600003</v>
      </c>
      <c r="D4081" s="1">
        <v>-7.06726114723</v>
      </c>
      <c r="E4081" s="3">
        <v>2</v>
      </c>
      <c r="F4081" s="2">
        <v>3</v>
      </c>
      <c r="G4081" s="4">
        <v>4</v>
      </c>
      <c r="H4081" s="13">
        <v>2</v>
      </c>
      <c r="I4081" s="34">
        <v>3</v>
      </c>
      <c r="J4081" s="35">
        <v>3</v>
      </c>
      <c r="K4081" s="2" t="s">
        <v>8176</v>
      </c>
      <c r="L4081" s="36" t="str">
        <f t="shared" si="69"/>
        <v>Ver Imagen</v>
      </c>
      <c r="M4081" t="s">
        <v>8005</v>
      </c>
    </row>
    <row r="4082" spans="1:13" x14ac:dyDescent="0.25">
      <c r="A4082" s="33">
        <v>4083</v>
      </c>
      <c r="B4082" t="s">
        <v>8177</v>
      </c>
      <c r="C4082" s="1">
        <v>37.315538072300001</v>
      </c>
      <c r="D4082" s="1">
        <v>-7.06755453299</v>
      </c>
      <c r="E4082" s="3">
        <v>2</v>
      </c>
      <c r="F4082" s="2">
        <v>2</v>
      </c>
      <c r="G4082" s="4">
        <v>4</v>
      </c>
      <c r="H4082" s="13">
        <v>2</v>
      </c>
      <c r="I4082" s="34">
        <v>1</v>
      </c>
      <c r="J4082" s="35">
        <v>2</v>
      </c>
      <c r="K4082" s="2" t="s">
        <v>8178</v>
      </c>
      <c r="L4082" s="36" t="str">
        <f t="shared" si="69"/>
        <v>Ver Imagen</v>
      </c>
      <c r="M4082" t="s">
        <v>8005</v>
      </c>
    </row>
    <row r="4083" spans="1:13" x14ac:dyDescent="0.25">
      <c r="A4083" s="33">
        <v>4084</v>
      </c>
      <c r="B4083" t="s">
        <v>8179</v>
      </c>
      <c r="C4083" s="1">
        <v>37.315985560000001</v>
      </c>
      <c r="D4083" s="1">
        <v>-7.0689377478899997</v>
      </c>
      <c r="E4083" s="3">
        <v>2</v>
      </c>
      <c r="F4083" s="2">
        <v>3</v>
      </c>
      <c r="G4083" s="4">
        <v>4</v>
      </c>
      <c r="H4083" s="13">
        <v>3</v>
      </c>
      <c r="I4083" s="34">
        <v>3</v>
      </c>
      <c r="J4083" s="35">
        <v>3</v>
      </c>
      <c r="K4083" s="2" t="s">
        <v>8180</v>
      </c>
      <c r="L4083" s="36" t="str">
        <f t="shared" si="69"/>
        <v>Ver Imagen</v>
      </c>
      <c r="M4083" t="s">
        <v>8005</v>
      </c>
    </row>
    <row r="4084" spans="1:13" x14ac:dyDescent="0.25">
      <c r="A4084" s="33">
        <v>4085</v>
      </c>
      <c r="B4084" t="s">
        <v>8181</v>
      </c>
      <c r="C4084" s="1">
        <v>37.316297034400002</v>
      </c>
      <c r="D4084" s="1">
        <v>-7.0696053225200002</v>
      </c>
      <c r="E4084" s="3">
        <v>2</v>
      </c>
      <c r="F4084" s="2">
        <v>3</v>
      </c>
      <c r="G4084" s="4">
        <v>4</v>
      </c>
      <c r="H4084" s="13">
        <v>3</v>
      </c>
      <c r="I4084" s="34">
        <v>3</v>
      </c>
      <c r="J4084" s="35">
        <v>3</v>
      </c>
      <c r="K4084" s="2" t="s">
        <v>8182</v>
      </c>
      <c r="L4084" s="36" t="str">
        <f t="shared" si="69"/>
        <v>Ver Imagen</v>
      </c>
      <c r="M4084" t="s">
        <v>8005</v>
      </c>
    </row>
    <row r="4085" spans="1:13" x14ac:dyDescent="0.25">
      <c r="A4085" s="33">
        <v>4086</v>
      </c>
      <c r="B4085" t="s">
        <v>8183</v>
      </c>
      <c r="C4085" s="1">
        <v>37.316398151199998</v>
      </c>
      <c r="D4085" s="1">
        <v>-7.0698052682399997</v>
      </c>
      <c r="E4085" s="3">
        <v>2</v>
      </c>
      <c r="F4085" s="2">
        <v>3</v>
      </c>
      <c r="G4085" s="4">
        <v>4</v>
      </c>
      <c r="H4085" s="13">
        <v>3</v>
      </c>
      <c r="I4085" s="34">
        <v>3</v>
      </c>
      <c r="J4085" s="35">
        <v>3</v>
      </c>
      <c r="K4085" s="2" t="s">
        <v>8184</v>
      </c>
      <c r="L4085" s="36" t="str">
        <f t="shared" si="69"/>
        <v>Ver Imagen</v>
      </c>
      <c r="M4085" t="s">
        <v>8005</v>
      </c>
    </row>
    <row r="4086" spans="1:13" x14ac:dyDescent="0.25">
      <c r="A4086" s="33">
        <v>4087</v>
      </c>
      <c r="B4086" t="s">
        <v>8185</v>
      </c>
      <c r="C4086" s="1">
        <v>37.316907135500003</v>
      </c>
      <c r="D4086" s="1">
        <v>-7.0705775696600002</v>
      </c>
      <c r="E4086" s="3">
        <v>2</v>
      </c>
      <c r="F4086" s="2">
        <v>2</v>
      </c>
      <c r="G4086" s="4">
        <v>4</v>
      </c>
      <c r="H4086" s="13">
        <v>2</v>
      </c>
      <c r="I4086" s="34">
        <v>2</v>
      </c>
      <c r="J4086" s="35">
        <v>2</v>
      </c>
      <c r="K4086" s="2" t="s">
        <v>8186</v>
      </c>
      <c r="L4086" s="36" t="str">
        <f t="shared" si="69"/>
        <v>Ver Imagen</v>
      </c>
      <c r="M4086" t="s">
        <v>8005</v>
      </c>
    </row>
    <row r="4087" spans="1:13" x14ac:dyDescent="0.25">
      <c r="A4087" s="33">
        <v>4088</v>
      </c>
      <c r="B4087" t="s">
        <v>8187</v>
      </c>
      <c r="C4087" s="1">
        <v>37.317045973200003</v>
      </c>
      <c r="D4087" s="1">
        <v>-7.0707184741000004</v>
      </c>
      <c r="E4087" s="3">
        <v>2</v>
      </c>
      <c r="F4087" s="2">
        <v>3</v>
      </c>
      <c r="G4087" s="4">
        <v>4</v>
      </c>
      <c r="H4087" s="13">
        <v>3</v>
      </c>
      <c r="I4087" s="34">
        <v>3</v>
      </c>
      <c r="J4087" s="35">
        <v>3</v>
      </c>
      <c r="K4087" s="2" t="s">
        <v>8188</v>
      </c>
      <c r="L4087" s="36" t="str">
        <f t="shared" si="69"/>
        <v>Ver Imagen</v>
      </c>
      <c r="M4087" t="s">
        <v>8005</v>
      </c>
    </row>
    <row r="4088" spans="1:13" x14ac:dyDescent="0.25">
      <c r="A4088" s="33">
        <v>4089</v>
      </c>
      <c r="B4088" t="s">
        <v>8189</v>
      </c>
      <c r="C4088" s="1">
        <v>37.464233821699999</v>
      </c>
      <c r="D4088" s="1">
        <v>-7.1189614474000003</v>
      </c>
      <c r="E4088" s="3">
        <v>1</v>
      </c>
      <c r="F4088" s="2">
        <v>3</v>
      </c>
      <c r="G4088" s="4">
        <v>2</v>
      </c>
      <c r="H4088" s="13">
        <v>2</v>
      </c>
      <c r="I4088" s="34">
        <v>2</v>
      </c>
      <c r="J4088" s="35">
        <v>2</v>
      </c>
      <c r="K4088" s="2" t="s">
        <v>8190</v>
      </c>
      <c r="L4088" s="36" t="str">
        <f t="shared" si="69"/>
        <v>Ver Imagen</v>
      </c>
      <c r="M4088" t="s">
        <v>8005</v>
      </c>
    </row>
    <row r="4089" spans="1:13" x14ac:dyDescent="0.25">
      <c r="A4089" s="33">
        <v>4090</v>
      </c>
      <c r="B4089" t="s">
        <v>8191</v>
      </c>
      <c r="C4089" s="1">
        <v>37.268425744600002</v>
      </c>
      <c r="D4089" s="1">
        <v>-6.9733208324099998</v>
      </c>
      <c r="E4089" s="3">
        <v>2</v>
      </c>
      <c r="F4089" s="2">
        <v>4</v>
      </c>
      <c r="G4089" s="4">
        <v>2</v>
      </c>
      <c r="H4089" s="13">
        <v>3</v>
      </c>
      <c r="I4089" s="34">
        <v>4</v>
      </c>
      <c r="J4089" s="37">
        <v>4</v>
      </c>
      <c r="K4089" s="2" t="s">
        <v>8192</v>
      </c>
      <c r="L4089" s="36" t="str">
        <f t="shared" si="69"/>
        <v>Ver Imagen</v>
      </c>
      <c r="M4089" s="37" t="s">
        <v>8052</v>
      </c>
    </row>
    <row r="4090" spans="1:13" x14ac:dyDescent="0.25">
      <c r="A4090" s="33">
        <v>4091</v>
      </c>
      <c r="B4090" t="s">
        <v>8193</v>
      </c>
      <c r="C4090" s="1">
        <v>37.2677610677</v>
      </c>
      <c r="D4090" s="1">
        <v>-6.9688158788300001</v>
      </c>
      <c r="E4090" s="3">
        <v>2</v>
      </c>
      <c r="F4090" s="2">
        <v>4</v>
      </c>
      <c r="G4090" s="4">
        <v>2</v>
      </c>
      <c r="H4090" s="13">
        <v>3</v>
      </c>
      <c r="I4090" s="34">
        <v>4</v>
      </c>
      <c r="J4090" s="37">
        <v>4</v>
      </c>
      <c r="K4090" s="2" t="s">
        <v>8194</v>
      </c>
      <c r="L4090" s="36" t="str">
        <f t="shared" si="69"/>
        <v>Ver Imagen</v>
      </c>
      <c r="M4090" s="37" t="s">
        <v>8052</v>
      </c>
    </row>
    <row r="4091" spans="1:13" x14ac:dyDescent="0.25">
      <c r="A4091" s="33">
        <v>4092</v>
      </c>
      <c r="B4091" t="s">
        <v>8195</v>
      </c>
      <c r="C4091" s="1">
        <v>37.267651575599999</v>
      </c>
      <c r="D4091" s="1">
        <v>-6.9675532462499996</v>
      </c>
      <c r="E4091" s="3">
        <v>2</v>
      </c>
      <c r="F4091" s="2">
        <v>4</v>
      </c>
      <c r="G4091" s="4">
        <v>2</v>
      </c>
      <c r="H4091" s="13">
        <v>3</v>
      </c>
      <c r="I4091" s="34">
        <v>3</v>
      </c>
      <c r="J4091" s="37">
        <v>4</v>
      </c>
      <c r="K4091" s="2" t="s">
        <v>8196</v>
      </c>
      <c r="L4091" s="36" t="str">
        <f t="shared" si="69"/>
        <v>Ver Imagen</v>
      </c>
      <c r="M4091" s="37" t="s">
        <v>8052</v>
      </c>
    </row>
    <row r="4092" spans="1:13" x14ac:dyDescent="0.25">
      <c r="A4092" s="33">
        <v>4093</v>
      </c>
      <c r="B4092" t="s">
        <v>8197</v>
      </c>
      <c r="C4092" s="1">
        <v>37.267604760899999</v>
      </c>
      <c r="D4092" s="1">
        <v>-6.9668012277900004</v>
      </c>
      <c r="E4092" s="3">
        <v>2</v>
      </c>
      <c r="F4092" s="2">
        <v>4</v>
      </c>
      <c r="G4092" s="4">
        <v>2</v>
      </c>
      <c r="H4092" s="13">
        <v>3</v>
      </c>
      <c r="I4092" s="34">
        <v>3</v>
      </c>
      <c r="J4092" s="37">
        <v>4</v>
      </c>
      <c r="K4092" s="2" t="s">
        <v>8198</v>
      </c>
      <c r="L4092" s="36" t="str">
        <f t="shared" si="69"/>
        <v>Ver Imagen</v>
      </c>
      <c r="M4092" s="37" t="s">
        <v>8052</v>
      </c>
    </row>
    <row r="4093" spans="1:13" x14ac:dyDescent="0.25">
      <c r="A4093" s="33">
        <v>4094</v>
      </c>
      <c r="B4093" t="s">
        <v>8199</v>
      </c>
      <c r="C4093" s="1">
        <v>37.267560868799997</v>
      </c>
      <c r="D4093" s="1">
        <v>-6.9657946726000004</v>
      </c>
      <c r="E4093" s="3">
        <v>2</v>
      </c>
      <c r="F4093" s="2">
        <v>4</v>
      </c>
      <c r="G4093" s="4">
        <v>2</v>
      </c>
      <c r="H4093" s="13">
        <v>3</v>
      </c>
      <c r="I4093" s="34">
        <v>4</v>
      </c>
      <c r="J4093" s="37">
        <v>4</v>
      </c>
      <c r="K4093" s="2" t="s">
        <v>8200</v>
      </c>
      <c r="L4093" s="36" t="str">
        <f t="shared" si="69"/>
        <v>Ver Imagen</v>
      </c>
      <c r="M4093" s="37" t="s">
        <v>8052</v>
      </c>
    </row>
    <row r="4094" spans="1:13" x14ac:dyDescent="0.25">
      <c r="A4094" s="33">
        <v>4095</v>
      </c>
      <c r="B4094" t="s">
        <v>8201</v>
      </c>
      <c r="C4094" s="1">
        <v>37.267535414100003</v>
      </c>
      <c r="D4094" s="1">
        <v>-6.96477474887</v>
      </c>
      <c r="E4094" s="3">
        <v>2</v>
      </c>
      <c r="F4094" s="2">
        <v>4</v>
      </c>
      <c r="G4094" s="4">
        <v>2</v>
      </c>
      <c r="H4094" s="13">
        <v>3</v>
      </c>
      <c r="I4094" s="34">
        <v>3</v>
      </c>
      <c r="J4094" s="35">
        <v>3</v>
      </c>
      <c r="K4094" s="2" t="s">
        <v>8202</v>
      </c>
      <c r="L4094" s="36" t="str">
        <f t="shared" si="69"/>
        <v>Ver Imagen</v>
      </c>
      <c r="M4094" t="s">
        <v>8005</v>
      </c>
    </row>
    <row r="4095" spans="1:13" x14ac:dyDescent="0.25">
      <c r="A4095" s="33">
        <v>4096</v>
      </c>
      <c r="B4095" t="s">
        <v>8203</v>
      </c>
      <c r="C4095" s="1">
        <v>37.267435736300001</v>
      </c>
      <c r="D4095" s="1">
        <v>-6.9609774125000001</v>
      </c>
      <c r="E4095" s="3">
        <v>1</v>
      </c>
      <c r="F4095" s="2">
        <v>3</v>
      </c>
      <c r="G4095" s="4">
        <v>2</v>
      </c>
      <c r="H4095" s="13">
        <v>2</v>
      </c>
      <c r="I4095" s="34">
        <v>2</v>
      </c>
      <c r="J4095" s="35">
        <v>2</v>
      </c>
      <c r="K4095" s="2" t="s">
        <v>8204</v>
      </c>
      <c r="L4095" s="36" t="str">
        <f t="shared" si="69"/>
        <v>Ver Imagen</v>
      </c>
      <c r="M4095" t="s">
        <v>8005</v>
      </c>
    </row>
    <row r="4096" spans="1:13" x14ac:dyDescent="0.25">
      <c r="A4096" s="33">
        <v>4097</v>
      </c>
      <c r="B4096" t="s">
        <v>8205</v>
      </c>
      <c r="C4096" s="1">
        <v>37.267041194800001</v>
      </c>
      <c r="D4096" s="1">
        <v>-6.9572329120800003</v>
      </c>
      <c r="E4096" s="3">
        <v>2</v>
      </c>
      <c r="F4096" s="2">
        <v>2</v>
      </c>
      <c r="G4096" s="4">
        <v>4</v>
      </c>
      <c r="H4096" s="13">
        <v>1</v>
      </c>
      <c r="I4096" s="34">
        <v>1</v>
      </c>
      <c r="J4096" s="35">
        <v>2</v>
      </c>
      <c r="K4096" s="2" t="s">
        <v>8206</v>
      </c>
      <c r="L4096" s="36" t="str">
        <f t="shared" si="69"/>
        <v>Ver Imagen</v>
      </c>
      <c r="M4096" t="s">
        <v>8005</v>
      </c>
    </row>
    <row r="4097" spans="1:13" x14ac:dyDescent="0.25">
      <c r="A4097" s="33">
        <v>4098</v>
      </c>
      <c r="B4097" t="s">
        <v>8207</v>
      </c>
      <c r="C4097" s="1">
        <v>37.191627006200001</v>
      </c>
      <c r="D4097" s="1">
        <v>-6.9922840627299996</v>
      </c>
      <c r="E4097" s="3">
        <v>2</v>
      </c>
      <c r="F4097" s="2">
        <v>3</v>
      </c>
      <c r="G4097" s="4">
        <v>4</v>
      </c>
      <c r="H4097" s="13">
        <v>2</v>
      </c>
      <c r="I4097" s="34">
        <v>2</v>
      </c>
      <c r="J4097" s="35">
        <v>2</v>
      </c>
      <c r="K4097" s="2" t="s">
        <v>8208</v>
      </c>
      <c r="L4097" s="36" t="str">
        <f t="shared" si="69"/>
        <v>Ver Imagen</v>
      </c>
      <c r="M4097" t="s">
        <v>8005</v>
      </c>
    </row>
    <row r="4098" spans="1:13" x14ac:dyDescent="0.25">
      <c r="A4098" s="33">
        <v>4099</v>
      </c>
      <c r="B4098" t="s">
        <v>8209</v>
      </c>
      <c r="C4098" s="1">
        <v>37.191715540799997</v>
      </c>
      <c r="D4098" s="1">
        <v>-6.9924692566899997</v>
      </c>
      <c r="E4098" s="3">
        <v>2</v>
      </c>
      <c r="F4098" s="2">
        <v>3</v>
      </c>
      <c r="G4098" s="4">
        <v>4</v>
      </c>
      <c r="H4098" s="13">
        <v>2</v>
      </c>
      <c r="I4098" s="34">
        <v>1</v>
      </c>
      <c r="J4098" s="35">
        <v>2</v>
      </c>
      <c r="K4098" s="2" t="s">
        <v>8210</v>
      </c>
      <c r="L4098" s="36" t="str">
        <f t="shared" si="69"/>
        <v>Ver Imagen</v>
      </c>
      <c r="M4098" t="s">
        <v>8005</v>
      </c>
    </row>
    <row r="4099" spans="1:13" x14ac:dyDescent="0.25">
      <c r="A4099" s="33">
        <v>4100</v>
      </c>
      <c r="B4099" t="s">
        <v>8211</v>
      </c>
      <c r="C4099" s="1">
        <v>37.192146516100003</v>
      </c>
      <c r="D4099" s="1">
        <v>-6.9933660973</v>
      </c>
      <c r="E4099" s="3">
        <v>2</v>
      </c>
      <c r="F4099" s="2">
        <v>3</v>
      </c>
      <c r="G4099" s="4">
        <v>4</v>
      </c>
      <c r="H4099" s="13">
        <v>2</v>
      </c>
      <c r="I4099" s="34">
        <v>1</v>
      </c>
      <c r="J4099" s="35">
        <v>2</v>
      </c>
      <c r="K4099" s="2" t="s">
        <v>8212</v>
      </c>
      <c r="L4099" s="36" t="str">
        <f t="shared" si="69"/>
        <v>Ver Imagen</v>
      </c>
      <c r="M4099" t="s">
        <v>8005</v>
      </c>
    </row>
    <row r="4100" spans="1:13" x14ac:dyDescent="0.25">
      <c r="A4100" s="33">
        <v>4101</v>
      </c>
      <c r="B4100" t="s">
        <v>8213</v>
      </c>
      <c r="C4100" s="1">
        <v>37.192344166399998</v>
      </c>
      <c r="D4100" s="1">
        <v>-6.9937821106099998</v>
      </c>
      <c r="E4100" s="3">
        <v>2</v>
      </c>
      <c r="F4100" s="2">
        <v>3</v>
      </c>
      <c r="G4100" s="4">
        <v>4</v>
      </c>
      <c r="H4100" s="13">
        <v>3</v>
      </c>
      <c r="I4100" s="34">
        <v>3</v>
      </c>
      <c r="J4100" s="35">
        <v>3</v>
      </c>
      <c r="K4100" s="2" t="s">
        <v>8214</v>
      </c>
      <c r="L4100" s="36" t="str">
        <f t="shared" si="69"/>
        <v>Ver Imagen</v>
      </c>
      <c r="M4100" t="s">
        <v>8005</v>
      </c>
    </row>
    <row r="4101" spans="1:13" x14ac:dyDescent="0.25">
      <c r="A4101" s="33">
        <v>4102</v>
      </c>
      <c r="B4101" t="s">
        <v>8215</v>
      </c>
      <c r="C4101" s="1">
        <v>37.197593906500003</v>
      </c>
      <c r="D4101" s="1">
        <v>-7.0063248729099996</v>
      </c>
      <c r="E4101" s="3">
        <v>2</v>
      </c>
      <c r="F4101" s="2">
        <v>3</v>
      </c>
      <c r="G4101" s="4">
        <v>4</v>
      </c>
      <c r="H4101" s="13">
        <v>2</v>
      </c>
      <c r="I4101" s="34">
        <v>2</v>
      </c>
      <c r="J4101" s="35">
        <v>2</v>
      </c>
      <c r="K4101" s="2" t="s">
        <v>8216</v>
      </c>
      <c r="L4101" s="36" t="str">
        <f t="shared" si="69"/>
        <v>Ver Imagen</v>
      </c>
      <c r="M4101" t="s">
        <v>8005</v>
      </c>
    </row>
    <row r="4102" spans="1:13" x14ac:dyDescent="0.25">
      <c r="A4102" s="33">
        <v>4103</v>
      </c>
      <c r="B4102" t="s">
        <v>8217</v>
      </c>
      <c r="C4102" s="1">
        <v>37.2034329715</v>
      </c>
      <c r="D4102" s="1">
        <v>-7.0160130132000003</v>
      </c>
      <c r="E4102" s="3">
        <v>2</v>
      </c>
      <c r="F4102" s="2">
        <v>3</v>
      </c>
      <c r="G4102" s="4">
        <v>4</v>
      </c>
      <c r="H4102" s="13">
        <v>3</v>
      </c>
      <c r="I4102" s="34">
        <v>4</v>
      </c>
      <c r="J4102" s="37">
        <v>4</v>
      </c>
      <c r="K4102" s="2" t="s">
        <v>8218</v>
      </c>
      <c r="L4102" s="36" t="str">
        <f t="shared" si="69"/>
        <v>Ver Imagen</v>
      </c>
      <c r="M4102" s="37" t="s">
        <v>8052</v>
      </c>
    </row>
    <row r="4103" spans="1:13" x14ac:dyDescent="0.25">
      <c r="A4103" s="33">
        <v>4104</v>
      </c>
      <c r="B4103" t="s">
        <v>8219</v>
      </c>
      <c r="C4103" s="1">
        <v>37.203839306799999</v>
      </c>
      <c r="D4103" s="1">
        <v>-7.0166422463</v>
      </c>
      <c r="E4103" s="3">
        <v>2</v>
      </c>
      <c r="F4103" s="2">
        <v>3</v>
      </c>
      <c r="G4103" s="4">
        <v>4</v>
      </c>
      <c r="H4103" s="13">
        <v>3</v>
      </c>
      <c r="I4103" s="34">
        <v>4</v>
      </c>
      <c r="J4103" s="37">
        <v>4</v>
      </c>
      <c r="K4103" s="2" t="s">
        <v>8220</v>
      </c>
      <c r="L4103" s="36" t="str">
        <f t="shared" si="69"/>
        <v>Ver Imagen</v>
      </c>
      <c r="M4103" s="37" t="s">
        <v>8052</v>
      </c>
    </row>
    <row r="4104" spans="1:13" x14ac:dyDescent="0.25">
      <c r="A4104" s="33">
        <v>4105</v>
      </c>
      <c r="B4104" t="s">
        <v>8221</v>
      </c>
      <c r="C4104" s="1">
        <v>37.2082001721</v>
      </c>
      <c r="D4104" s="1">
        <v>-7.0232265818000004</v>
      </c>
      <c r="E4104" s="3">
        <v>2</v>
      </c>
      <c r="F4104" s="2">
        <v>2</v>
      </c>
      <c r="G4104" s="4">
        <v>4</v>
      </c>
      <c r="H4104" s="13">
        <v>2</v>
      </c>
      <c r="I4104" s="34">
        <v>2</v>
      </c>
      <c r="J4104" s="35">
        <v>2</v>
      </c>
      <c r="K4104" s="2" t="s">
        <v>8222</v>
      </c>
      <c r="L4104" s="36" t="str">
        <f t="shared" si="69"/>
        <v>Ver Imagen</v>
      </c>
      <c r="M4104" t="s">
        <v>8005</v>
      </c>
    </row>
    <row r="4105" spans="1:13" x14ac:dyDescent="0.25">
      <c r="A4105" s="33">
        <v>4106</v>
      </c>
      <c r="B4105" t="s">
        <v>8223</v>
      </c>
      <c r="C4105" s="1">
        <v>37.217899849799998</v>
      </c>
      <c r="D4105" s="1">
        <v>-7.1169831211899997</v>
      </c>
      <c r="E4105" s="3">
        <v>3</v>
      </c>
      <c r="F4105" s="2">
        <v>1</v>
      </c>
      <c r="G4105" s="4">
        <v>2</v>
      </c>
      <c r="H4105" s="13">
        <v>2</v>
      </c>
      <c r="I4105" s="34">
        <v>1</v>
      </c>
      <c r="J4105" s="35">
        <v>2</v>
      </c>
      <c r="K4105" s="2" t="s">
        <v>8224</v>
      </c>
      <c r="L4105" s="36" t="str">
        <f t="shared" si="69"/>
        <v>Ver Imagen</v>
      </c>
      <c r="M4105" t="s">
        <v>8005</v>
      </c>
    </row>
    <row r="4106" spans="1:13" x14ac:dyDescent="0.25">
      <c r="A4106" s="33">
        <v>4107</v>
      </c>
      <c r="B4106" t="s">
        <v>8225</v>
      </c>
      <c r="C4106" s="1">
        <v>37.211777010200002</v>
      </c>
      <c r="D4106" s="1">
        <v>-7.0584503895199999</v>
      </c>
      <c r="E4106" s="3">
        <v>2</v>
      </c>
      <c r="F4106" s="2">
        <v>4</v>
      </c>
      <c r="G4106" s="4">
        <v>3</v>
      </c>
      <c r="H4106" s="13">
        <v>3</v>
      </c>
      <c r="I4106" s="34">
        <v>4</v>
      </c>
      <c r="J4106" s="35">
        <v>3</v>
      </c>
      <c r="K4106" s="2" t="s">
        <v>8226</v>
      </c>
      <c r="L4106" s="36" t="str">
        <f t="shared" si="69"/>
        <v>Ver Imagen</v>
      </c>
      <c r="M4106" t="s">
        <v>8005</v>
      </c>
    </row>
    <row r="4107" spans="1:13" x14ac:dyDescent="0.25">
      <c r="A4107" s="33">
        <v>4108</v>
      </c>
      <c r="B4107" t="s">
        <v>8227</v>
      </c>
      <c r="C4107" s="1">
        <v>37.210854674399997</v>
      </c>
      <c r="D4107" s="1">
        <v>-7.0535663098099999</v>
      </c>
      <c r="E4107" s="3">
        <v>2</v>
      </c>
      <c r="F4107" s="2">
        <v>3</v>
      </c>
      <c r="G4107" s="4">
        <v>4</v>
      </c>
      <c r="H4107" s="13">
        <v>3</v>
      </c>
      <c r="I4107" s="34">
        <v>3</v>
      </c>
      <c r="J4107" s="35">
        <v>3</v>
      </c>
      <c r="K4107" s="2" t="s">
        <v>8228</v>
      </c>
      <c r="L4107" s="36" t="str">
        <f t="shared" si="69"/>
        <v>Ver Imagen</v>
      </c>
      <c r="M4107" t="s">
        <v>8005</v>
      </c>
    </row>
    <row r="4108" spans="1:13" x14ac:dyDescent="0.25">
      <c r="A4108" s="33">
        <v>4109</v>
      </c>
      <c r="B4108" t="s">
        <v>8229</v>
      </c>
      <c r="C4108" s="1">
        <v>37.211294215099997</v>
      </c>
      <c r="D4108" s="1">
        <v>-7.0501761801100002</v>
      </c>
      <c r="E4108" s="3">
        <v>2</v>
      </c>
      <c r="F4108" s="2">
        <v>4</v>
      </c>
      <c r="G4108" s="4">
        <v>3</v>
      </c>
      <c r="H4108" s="13">
        <v>3</v>
      </c>
      <c r="I4108" s="34">
        <v>3</v>
      </c>
      <c r="J4108" s="35">
        <v>3</v>
      </c>
      <c r="K4108" s="2" t="s">
        <v>8230</v>
      </c>
      <c r="L4108" s="36" t="str">
        <f t="shared" si="69"/>
        <v>Ver Imagen</v>
      </c>
      <c r="M4108" t="s">
        <v>8005</v>
      </c>
    </row>
    <row r="4109" spans="1:13" x14ac:dyDescent="0.25">
      <c r="A4109" s="33">
        <v>4110</v>
      </c>
      <c r="B4109" t="s">
        <v>8231</v>
      </c>
      <c r="C4109" s="1">
        <v>37.211761001500001</v>
      </c>
      <c r="D4109" s="1">
        <v>-7.0484898792299999</v>
      </c>
      <c r="E4109" s="3">
        <v>2</v>
      </c>
      <c r="F4109" s="2">
        <v>2</v>
      </c>
      <c r="G4109" s="4">
        <v>4</v>
      </c>
      <c r="H4109" s="13">
        <v>2</v>
      </c>
      <c r="I4109" s="34">
        <v>2</v>
      </c>
      <c r="J4109" s="35">
        <v>2</v>
      </c>
      <c r="K4109" s="2" t="s">
        <v>8232</v>
      </c>
      <c r="L4109" s="36" t="str">
        <f t="shared" si="69"/>
        <v>Ver Imagen</v>
      </c>
      <c r="M4109" t="s">
        <v>8005</v>
      </c>
    </row>
    <row r="4110" spans="1:13" x14ac:dyDescent="0.25">
      <c r="A4110" s="33">
        <v>4111</v>
      </c>
      <c r="B4110" t="s">
        <v>8233</v>
      </c>
      <c r="C4110" s="1">
        <v>37.206067809700002</v>
      </c>
      <c r="D4110" s="1">
        <v>-7.0315258636199998</v>
      </c>
      <c r="E4110" s="3">
        <v>2</v>
      </c>
      <c r="F4110" s="2">
        <v>3</v>
      </c>
      <c r="G4110" s="4">
        <v>4</v>
      </c>
      <c r="H4110" s="13">
        <v>2</v>
      </c>
      <c r="I4110" s="34">
        <v>3</v>
      </c>
      <c r="J4110" s="35">
        <v>3</v>
      </c>
      <c r="K4110" s="2" t="s">
        <v>8234</v>
      </c>
      <c r="L4110" s="36" t="str">
        <f t="shared" si="69"/>
        <v>Ver Imagen</v>
      </c>
      <c r="M4110" t="s">
        <v>8005</v>
      </c>
    </row>
    <row r="4111" spans="1:13" x14ac:dyDescent="0.25">
      <c r="A4111" s="33">
        <v>4112</v>
      </c>
      <c r="B4111" t="s">
        <v>8235</v>
      </c>
      <c r="C4111" s="1">
        <v>37.204708008300003</v>
      </c>
      <c r="D4111" s="1">
        <v>-7.0282076506199997</v>
      </c>
      <c r="E4111" s="3">
        <v>2</v>
      </c>
      <c r="F4111" s="2">
        <v>3</v>
      </c>
      <c r="G4111" s="4">
        <v>4</v>
      </c>
      <c r="H4111" s="13">
        <v>3</v>
      </c>
      <c r="I4111" s="34">
        <v>3</v>
      </c>
      <c r="J4111" s="35">
        <v>3</v>
      </c>
      <c r="K4111" s="2" t="s">
        <v>8236</v>
      </c>
      <c r="L4111" s="36" t="str">
        <f t="shared" si="69"/>
        <v>Ver Imagen</v>
      </c>
      <c r="M4111" t="s">
        <v>8005</v>
      </c>
    </row>
    <row r="4112" spans="1:13" x14ac:dyDescent="0.25">
      <c r="A4112" s="33">
        <v>4113</v>
      </c>
      <c r="B4112" t="s">
        <v>8237</v>
      </c>
      <c r="C4112" s="1">
        <v>37.200747690299998</v>
      </c>
      <c r="D4112" s="1">
        <v>-7.01764312312</v>
      </c>
      <c r="E4112" s="3">
        <v>1</v>
      </c>
      <c r="F4112" s="2">
        <v>3</v>
      </c>
      <c r="G4112" s="4">
        <v>2</v>
      </c>
      <c r="H4112" s="13">
        <v>2</v>
      </c>
      <c r="I4112" s="34">
        <v>1</v>
      </c>
      <c r="J4112" s="35">
        <v>2</v>
      </c>
      <c r="K4112" s="2" t="s">
        <v>8238</v>
      </c>
      <c r="L4112" s="36" t="str">
        <f t="shared" si="69"/>
        <v>Ver Imagen</v>
      </c>
      <c r="M4112" t="s">
        <v>8005</v>
      </c>
    </row>
    <row r="4113" spans="1:13" x14ac:dyDescent="0.25">
      <c r="A4113" s="33">
        <v>4114</v>
      </c>
      <c r="B4113" t="s">
        <v>8239</v>
      </c>
      <c r="C4113" s="1">
        <v>37.288438956900002</v>
      </c>
      <c r="D4113" s="1">
        <v>-7.1414715441199998</v>
      </c>
      <c r="E4113" s="3">
        <v>2</v>
      </c>
      <c r="F4113" s="2">
        <v>4</v>
      </c>
      <c r="G4113" s="4">
        <v>3</v>
      </c>
      <c r="H4113" s="13">
        <v>3</v>
      </c>
      <c r="I4113" s="34">
        <v>4</v>
      </c>
      <c r="J4113" s="35">
        <v>3</v>
      </c>
      <c r="K4113" s="2" t="s">
        <v>8240</v>
      </c>
      <c r="L4113" s="36" t="str">
        <f t="shared" si="69"/>
        <v>Ver Imagen</v>
      </c>
      <c r="M4113" t="s">
        <v>8005</v>
      </c>
    </row>
    <row r="4114" spans="1:13" x14ac:dyDescent="0.25">
      <c r="A4114" s="33">
        <v>4115</v>
      </c>
      <c r="B4114" t="s">
        <v>8241</v>
      </c>
      <c r="C4114" s="1">
        <v>37.288299634099999</v>
      </c>
      <c r="D4114" s="1">
        <v>-7.1416791819199998</v>
      </c>
      <c r="E4114" s="3">
        <v>2</v>
      </c>
      <c r="F4114" s="2">
        <v>4</v>
      </c>
      <c r="G4114" s="4">
        <v>3</v>
      </c>
      <c r="H4114" s="13">
        <v>3</v>
      </c>
      <c r="I4114" s="34">
        <v>4</v>
      </c>
      <c r="J4114" s="35">
        <v>3</v>
      </c>
      <c r="K4114" s="2" t="s">
        <v>8242</v>
      </c>
      <c r="L4114" s="36" t="str">
        <f t="shared" si="69"/>
        <v>Ver Imagen</v>
      </c>
      <c r="M4114" t="s">
        <v>8005</v>
      </c>
    </row>
    <row r="4115" spans="1:13" x14ac:dyDescent="0.25">
      <c r="A4115" s="33">
        <v>4116</v>
      </c>
      <c r="B4115" t="s">
        <v>8243</v>
      </c>
      <c r="C4115" s="1">
        <v>37.288122066699998</v>
      </c>
      <c r="D4115" s="1">
        <v>-7.1417369872399998</v>
      </c>
      <c r="E4115" s="3">
        <v>2</v>
      </c>
      <c r="F4115" s="2">
        <v>4</v>
      </c>
      <c r="G4115" s="4">
        <v>3</v>
      </c>
      <c r="H4115" s="13">
        <v>3</v>
      </c>
      <c r="I4115" s="34">
        <v>3</v>
      </c>
      <c r="J4115" s="35">
        <v>3</v>
      </c>
      <c r="K4115" s="2" t="s">
        <v>8244</v>
      </c>
      <c r="L4115" s="36" t="str">
        <f t="shared" si="69"/>
        <v>Ver Imagen</v>
      </c>
      <c r="M4115" t="s">
        <v>8005</v>
      </c>
    </row>
    <row r="4116" spans="1:13" x14ac:dyDescent="0.25">
      <c r="A4116" s="33">
        <v>4117</v>
      </c>
      <c r="B4116" t="s">
        <v>8245</v>
      </c>
      <c r="C4116" s="1">
        <v>37.285129816900003</v>
      </c>
      <c r="D4116" s="1">
        <v>-7.1429223149599999</v>
      </c>
      <c r="E4116" s="3">
        <v>2</v>
      </c>
      <c r="F4116" s="2">
        <v>4</v>
      </c>
      <c r="G4116" s="4">
        <v>3</v>
      </c>
      <c r="H4116" s="13">
        <v>2</v>
      </c>
      <c r="I4116" s="34">
        <v>3</v>
      </c>
      <c r="J4116" s="35">
        <v>3</v>
      </c>
      <c r="K4116" s="2" t="s">
        <v>8246</v>
      </c>
      <c r="L4116" s="36" t="str">
        <f t="shared" si="69"/>
        <v>Ver Imagen</v>
      </c>
      <c r="M4116" t="s">
        <v>8005</v>
      </c>
    </row>
    <row r="4117" spans="1:13" x14ac:dyDescent="0.25">
      <c r="A4117" s="33">
        <v>4118</v>
      </c>
      <c r="B4117" t="s">
        <v>8247</v>
      </c>
      <c r="C4117" s="1">
        <v>37.284778700799997</v>
      </c>
      <c r="D4117" s="1">
        <v>-7.1430828577299996</v>
      </c>
      <c r="E4117" s="3">
        <v>2</v>
      </c>
      <c r="F4117" s="2">
        <v>4</v>
      </c>
      <c r="G4117" s="4">
        <v>2</v>
      </c>
      <c r="H4117" s="13">
        <v>2</v>
      </c>
      <c r="I4117" s="34">
        <v>3</v>
      </c>
      <c r="J4117" s="35">
        <v>2</v>
      </c>
      <c r="K4117" s="2" t="s">
        <v>8248</v>
      </c>
      <c r="L4117" s="36" t="str">
        <f t="shared" si="69"/>
        <v>Ver Imagen</v>
      </c>
      <c r="M4117" t="s">
        <v>8005</v>
      </c>
    </row>
    <row r="4118" spans="1:13" x14ac:dyDescent="0.25">
      <c r="A4118" s="33">
        <v>4119</v>
      </c>
      <c r="B4118" t="s">
        <v>8249</v>
      </c>
      <c r="C4118" s="1">
        <v>37.273871323500003</v>
      </c>
      <c r="D4118" s="1">
        <v>-7.1421685880699997</v>
      </c>
      <c r="E4118" s="3">
        <v>3</v>
      </c>
      <c r="F4118" s="2">
        <v>4</v>
      </c>
      <c r="G4118" s="4">
        <v>2</v>
      </c>
      <c r="H4118" s="13">
        <v>3</v>
      </c>
      <c r="I4118" s="34">
        <v>3</v>
      </c>
      <c r="J4118" s="35">
        <v>3</v>
      </c>
      <c r="K4118" s="2" t="s">
        <v>8250</v>
      </c>
      <c r="L4118" s="36" t="str">
        <f t="shared" si="69"/>
        <v>Ver Imagen</v>
      </c>
      <c r="M4118" t="s">
        <v>8005</v>
      </c>
    </row>
    <row r="4119" spans="1:13" x14ac:dyDescent="0.25">
      <c r="A4119" s="33">
        <v>4120</v>
      </c>
      <c r="B4119" t="s">
        <v>8251</v>
      </c>
      <c r="C4119" s="1">
        <v>37.269198087900001</v>
      </c>
      <c r="D4119" s="1">
        <v>-7.1387680503800004</v>
      </c>
      <c r="E4119" s="3">
        <v>2</v>
      </c>
      <c r="F4119" s="2">
        <v>2</v>
      </c>
      <c r="G4119" s="4">
        <v>4</v>
      </c>
      <c r="H4119" s="13">
        <v>2</v>
      </c>
      <c r="I4119" s="34">
        <v>2</v>
      </c>
      <c r="J4119" s="35">
        <v>2</v>
      </c>
      <c r="K4119" s="2" t="s">
        <v>8252</v>
      </c>
      <c r="L4119" s="36" t="str">
        <f t="shared" si="69"/>
        <v>Ver Imagen</v>
      </c>
      <c r="M4119" t="s">
        <v>8005</v>
      </c>
    </row>
    <row r="4120" spans="1:13" x14ac:dyDescent="0.25">
      <c r="A4120" s="33">
        <v>4121</v>
      </c>
      <c r="B4120" t="s">
        <v>8253</v>
      </c>
      <c r="C4120" s="1">
        <v>37.266673210599997</v>
      </c>
      <c r="D4120" s="1">
        <v>-7.1332869520499997</v>
      </c>
      <c r="E4120" s="3">
        <v>4</v>
      </c>
      <c r="F4120" s="2">
        <v>2</v>
      </c>
      <c r="G4120" s="4">
        <v>2</v>
      </c>
      <c r="H4120" s="13">
        <v>2</v>
      </c>
      <c r="I4120" s="34">
        <v>2</v>
      </c>
      <c r="J4120" s="35">
        <v>2</v>
      </c>
      <c r="K4120" s="2" t="s">
        <v>8254</v>
      </c>
      <c r="L4120" s="36" t="str">
        <f t="shared" si="69"/>
        <v>Ver Imagen</v>
      </c>
      <c r="M4120" t="s">
        <v>8005</v>
      </c>
    </row>
    <row r="4121" spans="1:13" x14ac:dyDescent="0.25">
      <c r="A4121" s="33">
        <v>4122</v>
      </c>
      <c r="B4121" t="s">
        <v>8255</v>
      </c>
      <c r="C4121" s="1">
        <v>37.2590618754</v>
      </c>
      <c r="D4121" s="1">
        <v>-7.1284963051699997</v>
      </c>
      <c r="E4121" s="3">
        <v>4</v>
      </c>
      <c r="F4121" s="2">
        <v>3</v>
      </c>
      <c r="G4121" s="4">
        <v>2</v>
      </c>
      <c r="H4121" s="13">
        <v>2</v>
      </c>
      <c r="I4121" s="34">
        <v>2</v>
      </c>
      <c r="J4121" s="35">
        <v>2</v>
      </c>
      <c r="K4121" s="2" t="s">
        <v>8256</v>
      </c>
      <c r="L4121" s="36" t="str">
        <f t="shared" si="69"/>
        <v>Ver Imagen</v>
      </c>
      <c r="M4121" t="s">
        <v>8005</v>
      </c>
    </row>
    <row r="4122" spans="1:13" x14ac:dyDescent="0.25">
      <c r="A4122" s="33">
        <v>4123</v>
      </c>
      <c r="B4122" t="s">
        <v>8257</v>
      </c>
      <c r="C4122" s="1">
        <v>37.440453067900002</v>
      </c>
      <c r="D4122" s="1">
        <v>-7.08859268385</v>
      </c>
      <c r="E4122" s="3">
        <v>4</v>
      </c>
      <c r="F4122" s="2">
        <v>4</v>
      </c>
      <c r="G4122" s="4">
        <v>2</v>
      </c>
      <c r="H4122" s="13">
        <v>3</v>
      </c>
      <c r="I4122" s="34">
        <v>3</v>
      </c>
      <c r="J4122" s="35">
        <v>3</v>
      </c>
      <c r="K4122" s="2" t="s">
        <v>8258</v>
      </c>
      <c r="L4122" s="36" t="str">
        <f t="shared" si="69"/>
        <v>Ver Imagen</v>
      </c>
      <c r="M4122" t="s">
        <v>8005</v>
      </c>
    </row>
    <row r="4123" spans="1:13" x14ac:dyDescent="0.25">
      <c r="A4123" s="33">
        <v>4124</v>
      </c>
      <c r="B4123" t="s">
        <v>8259</v>
      </c>
      <c r="C4123" s="1">
        <v>37.439406658800003</v>
      </c>
      <c r="D4123" s="1">
        <v>-7.08640329216</v>
      </c>
      <c r="E4123" s="3">
        <v>4</v>
      </c>
      <c r="F4123" s="2">
        <v>3</v>
      </c>
      <c r="G4123" s="4">
        <v>2</v>
      </c>
      <c r="H4123" s="13">
        <v>3</v>
      </c>
      <c r="I4123" s="34">
        <v>3</v>
      </c>
      <c r="J4123" s="35">
        <v>3</v>
      </c>
      <c r="K4123" s="2" t="s">
        <v>8260</v>
      </c>
      <c r="L4123" s="36" t="str">
        <f t="shared" si="69"/>
        <v>Ver Imagen</v>
      </c>
      <c r="M4123" t="s">
        <v>8005</v>
      </c>
    </row>
    <row r="4124" spans="1:13" x14ac:dyDescent="0.25">
      <c r="A4124" s="33">
        <v>4125</v>
      </c>
      <c r="B4124" t="s">
        <v>8261</v>
      </c>
      <c r="C4124" s="1">
        <v>37.437460978700003</v>
      </c>
      <c r="D4124" s="1">
        <v>-7.08116429735</v>
      </c>
      <c r="E4124" s="3">
        <v>2</v>
      </c>
      <c r="F4124" s="2">
        <v>3</v>
      </c>
      <c r="G4124" s="4">
        <v>4</v>
      </c>
      <c r="H4124" s="13">
        <v>2</v>
      </c>
      <c r="I4124" s="34">
        <v>3</v>
      </c>
      <c r="J4124" s="35">
        <v>3</v>
      </c>
      <c r="K4124" s="2" t="s">
        <v>8262</v>
      </c>
      <c r="L4124" s="36" t="str">
        <f t="shared" ref="L4124:L4187" si="70">HYPERLINK("NoConsenso\" &amp; K4124, "Ver Imagen")</f>
        <v>Ver Imagen</v>
      </c>
      <c r="M4124" t="s">
        <v>8005</v>
      </c>
    </row>
    <row r="4125" spans="1:13" x14ac:dyDescent="0.25">
      <c r="A4125" s="33">
        <v>4126</v>
      </c>
      <c r="B4125" t="s">
        <v>8263</v>
      </c>
      <c r="C4125" s="1">
        <v>37.435396175599998</v>
      </c>
      <c r="D4125" s="1">
        <v>-7.0763503562499999</v>
      </c>
      <c r="E4125" s="3">
        <v>2</v>
      </c>
      <c r="F4125" s="2">
        <v>3</v>
      </c>
      <c r="G4125" s="4">
        <v>1</v>
      </c>
      <c r="H4125" s="13">
        <v>2</v>
      </c>
      <c r="I4125" s="34">
        <v>2</v>
      </c>
      <c r="J4125" s="35">
        <v>2</v>
      </c>
      <c r="K4125" s="2" t="s">
        <v>8264</v>
      </c>
      <c r="L4125" s="36" t="str">
        <f t="shared" si="70"/>
        <v>Ver Imagen</v>
      </c>
      <c r="M4125" t="s">
        <v>8005</v>
      </c>
    </row>
    <row r="4126" spans="1:13" x14ac:dyDescent="0.25">
      <c r="A4126" s="33">
        <v>4127</v>
      </c>
      <c r="B4126" t="s">
        <v>8265</v>
      </c>
      <c r="C4126" s="1">
        <v>37.433716658999998</v>
      </c>
      <c r="D4126" s="1">
        <v>-7.0665875577600001</v>
      </c>
      <c r="E4126" s="3">
        <v>2</v>
      </c>
      <c r="F4126" s="2">
        <v>3</v>
      </c>
      <c r="G4126" s="4">
        <v>1</v>
      </c>
      <c r="H4126" s="13">
        <v>2</v>
      </c>
      <c r="I4126" s="34">
        <v>2</v>
      </c>
      <c r="J4126" s="35">
        <v>2</v>
      </c>
      <c r="K4126" s="2" t="s">
        <v>8266</v>
      </c>
      <c r="L4126" s="36" t="str">
        <f t="shared" si="70"/>
        <v>Ver Imagen</v>
      </c>
      <c r="M4126" t="s">
        <v>8005</v>
      </c>
    </row>
    <row r="4127" spans="1:13" x14ac:dyDescent="0.25">
      <c r="A4127" s="33">
        <v>4128</v>
      </c>
      <c r="B4127" t="s">
        <v>8267</v>
      </c>
      <c r="C4127" s="1">
        <v>37.432400434400002</v>
      </c>
      <c r="D4127" s="1">
        <v>-7.0637231922600003</v>
      </c>
      <c r="E4127" s="3">
        <v>2</v>
      </c>
      <c r="F4127" s="2">
        <v>3</v>
      </c>
      <c r="G4127" s="4">
        <v>1</v>
      </c>
      <c r="H4127" s="13">
        <v>2</v>
      </c>
      <c r="I4127" s="34">
        <v>2</v>
      </c>
      <c r="J4127" s="35">
        <v>2</v>
      </c>
      <c r="K4127" s="2" t="s">
        <v>8268</v>
      </c>
      <c r="L4127" s="36" t="str">
        <f t="shared" si="70"/>
        <v>Ver Imagen</v>
      </c>
      <c r="M4127" t="s">
        <v>8005</v>
      </c>
    </row>
    <row r="4128" spans="1:13" x14ac:dyDescent="0.25">
      <c r="A4128" s="33">
        <v>4129</v>
      </c>
      <c r="B4128" t="s">
        <v>8269</v>
      </c>
      <c r="C4128" s="1">
        <v>37.474144854599999</v>
      </c>
      <c r="D4128" s="1">
        <v>-7.1261910749900004</v>
      </c>
      <c r="E4128" s="3">
        <v>4</v>
      </c>
      <c r="F4128" s="2">
        <v>3</v>
      </c>
      <c r="G4128" s="4">
        <v>2</v>
      </c>
      <c r="H4128" s="13">
        <v>2</v>
      </c>
      <c r="I4128" s="34">
        <v>2</v>
      </c>
      <c r="J4128" s="35">
        <v>2</v>
      </c>
      <c r="K4128" s="2" t="s">
        <v>8270</v>
      </c>
      <c r="L4128" s="36" t="str">
        <f t="shared" si="70"/>
        <v>Ver Imagen</v>
      </c>
      <c r="M4128" t="s">
        <v>8005</v>
      </c>
    </row>
    <row r="4129" spans="1:13" x14ac:dyDescent="0.25">
      <c r="A4129" s="33">
        <v>4130</v>
      </c>
      <c r="B4129" t="s">
        <v>8271</v>
      </c>
      <c r="C4129" s="1">
        <v>37.448614036099997</v>
      </c>
      <c r="D4129" s="1">
        <v>-7.1267925711700002</v>
      </c>
      <c r="E4129" s="3">
        <v>2</v>
      </c>
      <c r="F4129" s="2">
        <v>3</v>
      </c>
      <c r="G4129" s="4">
        <v>4</v>
      </c>
      <c r="H4129" s="13">
        <v>3</v>
      </c>
      <c r="I4129" s="34">
        <v>3</v>
      </c>
      <c r="J4129" s="35">
        <v>3</v>
      </c>
      <c r="K4129" s="2" t="s">
        <v>8272</v>
      </c>
      <c r="L4129" s="36" t="str">
        <f t="shared" si="70"/>
        <v>Ver Imagen</v>
      </c>
      <c r="M4129" t="s">
        <v>8005</v>
      </c>
    </row>
    <row r="4130" spans="1:13" x14ac:dyDescent="0.25">
      <c r="A4130" s="33">
        <v>4131</v>
      </c>
      <c r="B4130" t="s">
        <v>8273</v>
      </c>
      <c r="C4130" s="1">
        <v>37.495275788500003</v>
      </c>
      <c r="D4130" s="1">
        <v>-7.2764443832100003</v>
      </c>
      <c r="E4130" s="3">
        <v>4</v>
      </c>
      <c r="F4130" s="2">
        <v>2</v>
      </c>
      <c r="G4130" s="4">
        <v>2</v>
      </c>
      <c r="H4130" s="13">
        <v>2</v>
      </c>
      <c r="I4130" s="34">
        <v>2</v>
      </c>
      <c r="J4130" s="35">
        <v>2</v>
      </c>
      <c r="K4130" s="2" t="s">
        <v>8274</v>
      </c>
      <c r="L4130" s="36" t="str">
        <f t="shared" si="70"/>
        <v>Ver Imagen</v>
      </c>
      <c r="M4130" t="s">
        <v>8005</v>
      </c>
    </row>
    <row r="4131" spans="1:13" x14ac:dyDescent="0.25">
      <c r="A4131" s="33">
        <v>4132</v>
      </c>
      <c r="B4131" t="s">
        <v>8275</v>
      </c>
      <c r="C4131" s="1">
        <v>37.500971654399997</v>
      </c>
      <c r="D4131" s="1">
        <v>-7.2667677661000001</v>
      </c>
      <c r="E4131" s="3">
        <v>3</v>
      </c>
      <c r="F4131" s="2">
        <v>1</v>
      </c>
      <c r="G4131" s="4">
        <v>2</v>
      </c>
      <c r="H4131" s="13">
        <v>1</v>
      </c>
      <c r="I4131" s="34">
        <v>1</v>
      </c>
      <c r="J4131" s="35">
        <v>1</v>
      </c>
      <c r="K4131" s="2" t="s">
        <v>8276</v>
      </c>
      <c r="L4131" s="36" t="str">
        <f t="shared" si="70"/>
        <v>Ver Imagen</v>
      </c>
      <c r="M4131" t="s">
        <v>8005</v>
      </c>
    </row>
    <row r="4132" spans="1:13" x14ac:dyDescent="0.25">
      <c r="A4132" s="33">
        <v>4133</v>
      </c>
      <c r="B4132" t="s">
        <v>8277</v>
      </c>
      <c r="C4132" s="1">
        <v>37.511183932599998</v>
      </c>
      <c r="D4132" s="1">
        <v>-7.2680265350899997</v>
      </c>
      <c r="E4132" s="3">
        <v>2</v>
      </c>
      <c r="F4132" s="2">
        <v>1</v>
      </c>
      <c r="G4132" s="4">
        <v>3</v>
      </c>
      <c r="H4132" s="13">
        <v>1</v>
      </c>
      <c r="I4132" s="34">
        <v>1</v>
      </c>
      <c r="J4132" s="35">
        <v>1</v>
      </c>
      <c r="K4132" s="2" t="s">
        <v>8278</v>
      </c>
      <c r="L4132" s="36" t="str">
        <f t="shared" si="70"/>
        <v>Ver Imagen</v>
      </c>
      <c r="M4132" t="s">
        <v>8005</v>
      </c>
    </row>
    <row r="4133" spans="1:13" x14ac:dyDescent="0.25">
      <c r="A4133" s="33">
        <v>4134</v>
      </c>
      <c r="B4133" t="s">
        <v>8279</v>
      </c>
      <c r="C4133" s="1">
        <v>37.511409685799997</v>
      </c>
      <c r="D4133" s="1">
        <v>-7.26812424395</v>
      </c>
      <c r="E4133" s="3">
        <v>2</v>
      </c>
      <c r="F4133" s="2">
        <v>1</v>
      </c>
      <c r="G4133" s="4">
        <v>3</v>
      </c>
      <c r="H4133" s="13">
        <v>1</v>
      </c>
      <c r="I4133" s="34">
        <v>1</v>
      </c>
      <c r="J4133" s="35">
        <v>1</v>
      </c>
      <c r="K4133" s="2" t="s">
        <v>8280</v>
      </c>
      <c r="L4133" s="36" t="str">
        <f t="shared" si="70"/>
        <v>Ver Imagen</v>
      </c>
      <c r="M4133" t="s">
        <v>8005</v>
      </c>
    </row>
    <row r="4134" spans="1:13" x14ac:dyDescent="0.25">
      <c r="A4134" s="33">
        <v>4135</v>
      </c>
      <c r="B4134" t="s">
        <v>8281</v>
      </c>
      <c r="C4134" s="1">
        <v>37.515604612200001</v>
      </c>
      <c r="D4134" s="1">
        <v>-7.26824560795</v>
      </c>
      <c r="E4134" s="3">
        <v>2</v>
      </c>
      <c r="F4134" s="2">
        <v>1</v>
      </c>
      <c r="G4134" s="4">
        <v>3</v>
      </c>
      <c r="H4134" s="13">
        <v>2</v>
      </c>
      <c r="I4134" s="34">
        <v>1</v>
      </c>
      <c r="J4134" s="37">
        <v>1</v>
      </c>
      <c r="K4134" s="2" t="s">
        <v>8282</v>
      </c>
      <c r="L4134" s="36" t="str">
        <f t="shared" si="70"/>
        <v>Ver Imagen</v>
      </c>
      <c r="M4134" s="37" t="s">
        <v>8052</v>
      </c>
    </row>
    <row r="4135" spans="1:13" x14ac:dyDescent="0.25">
      <c r="A4135" s="33">
        <v>4136</v>
      </c>
      <c r="B4135" t="s">
        <v>8283</v>
      </c>
      <c r="C4135" s="1">
        <v>37.516626494699999</v>
      </c>
      <c r="D4135" s="1">
        <v>-7.2665917660700003</v>
      </c>
      <c r="E4135" s="3">
        <v>2</v>
      </c>
      <c r="F4135" s="2">
        <v>1</v>
      </c>
      <c r="G4135" s="4">
        <v>3</v>
      </c>
      <c r="H4135" s="13">
        <v>1</v>
      </c>
      <c r="I4135" s="34">
        <v>1</v>
      </c>
      <c r="J4135" s="35">
        <v>1</v>
      </c>
      <c r="K4135" s="2" t="s">
        <v>8284</v>
      </c>
      <c r="L4135" s="36" t="str">
        <f t="shared" si="70"/>
        <v>Ver Imagen</v>
      </c>
      <c r="M4135" t="s">
        <v>8005</v>
      </c>
    </row>
    <row r="4136" spans="1:13" x14ac:dyDescent="0.25">
      <c r="A4136" s="33">
        <v>4137</v>
      </c>
      <c r="B4136" t="s">
        <v>8285</v>
      </c>
      <c r="C4136" s="1">
        <v>37.521402454799997</v>
      </c>
      <c r="D4136" s="1">
        <v>-7.25995736544</v>
      </c>
      <c r="E4136" s="3">
        <v>2</v>
      </c>
      <c r="F4136" s="2">
        <v>1</v>
      </c>
      <c r="G4136" s="4">
        <v>3</v>
      </c>
      <c r="H4136" s="13">
        <v>1</v>
      </c>
      <c r="I4136" s="34">
        <v>1</v>
      </c>
      <c r="J4136" s="35">
        <v>1</v>
      </c>
      <c r="K4136" s="2" t="s">
        <v>8286</v>
      </c>
      <c r="L4136" s="36" t="str">
        <f t="shared" si="70"/>
        <v>Ver Imagen</v>
      </c>
      <c r="M4136" t="s">
        <v>8005</v>
      </c>
    </row>
    <row r="4137" spans="1:13" x14ac:dyDescent="0.25">
      <c r="A4137" s="33">
        <v>4138</v>
      </c>
      <c r="B4137" t="s">
        <v>8287</v>
      </c>
      <c r="C4137" s="1">
        <v>37.521933930099998</v>
      </c>
      <c r="D4137" s="1">
        <v>-7.2595968749499997</v>
      </c>
      <c r="E4137" s="3">
        <v>2</v>
      </c>
      <c r="F4137" s="2">
        <v>1</v>
      </c>
      <c r="G4137" s="4">
        <v>3</v>
      </c>
      <c r="H4137" s="13">
        <v>2</v>
      </c>
      <c r="I4137" s="34">
        <v>1</v>
      </c>
      <c r="J4137" s="37">
        <v>1</v>
      </c>
      <c r="K4137" s="2" t="s">
        <v>8288</v>
      </c>
      <c r="L4137" s="36" t="str">
        <f t="shared" si="70"/>
        <v>Ver Imagen</v>
      </c>
      <c r="M4137" s="37" t="s">
        <v>8052</v>
      </c>
    </row>
    <row r="4138" spans="1:13" x14ac:dyDescent="0.25">
      <c r="A4138" s="33">
        <v>4139</v>
      </c>
      <c r="B4138" t="s">
        <v>8289</v>
      </c>
      <c r="C4138" s="1">
        <v>37.522895970900002</v>
      </c>
      <c r="D4138" s="1">
        <v>-7.2591996546699997</v>
      </c>
      <c r="E4138" s="3">
        <v>2</v>
      </c>
      <c r="F4138" s="2">
        <v>1</v>
      </c>
      <c r="G4138" s="4">
        <v>3</v>
      </c>
      <c r="H4138" s="13">
        <v>1</v>
      </c>
      <c r="I4138" s="34">
        <v>2</v>
      </c>
      <c r="J4138" s="35">
        <v>2</v>
      </c>
      <c r="K4138" s="2" t="s">
        <v>8290</v>
      </c>
      <c r="L4138" s="36" t="str">
        <f t="shared" si="70"/>
        <v>Ver Imagen</v>
      </c>
      <c r="M4138" t="s">
        <v>8005</v>
      </c>
    </row>
    <row r="4139" spans="1:13" x14ac:dyDescent="0.25">
      <c r="A4139" s="33">
        <v>4140</v>
      </c>
      <c r="B4139" t="s">
        <v>8291</v>
      </c>
      <c r="C4139" s="1">
        <v>37.526852356100001</v>
      </c>
      <c r="D4139" s="1">
        <v>-7.2550545351100002</v>
      </c>
      <c r="E4139" s="3">
        <v>2</v>
      </c>
      <c r="F4139" s="2">
        <v>1</v>
      </c>
      <c r="G4139" s="4">
        <v>3</v>
      </c>
      <c r="H4139" s="13">
        <v>1</v>
      </c>
      <c r="I4139" s="34">
        <v>1</v>
      </c>
      <c r="J4139" s="35">
        <v>1</v>
      </c>
      <c r="K4139" s="2" t="s">
        <v>8292</v>
      </c>
      <c r="L4139" s="36" t="str">
        <f t="shared" si="70"/>
        <v>Ver Imagen</v>
      </c>
      <c r="M4139" t="s">
        <v>8005</v>
      </c>
    </row>
    <row r="4140" spans="1:13" x14ac:dyDescent="0.25">
      <c r="A4140" s="33">
        <v>4141</v>
      </c>
      <c r="B4140" t="s">
        <v>8293</v>
      </c>
      <c r="C4140" s="1">
        <v>37.199879401600001</v>
      </c>
      <c r="D4140" s="1">
        <v>-6.9853686467999996</v>
      </c>
      <c r="E4140" s="3">
        <v>2</v>
      </c>
      <c r="F4140" s="2">
        <v>3</v>
      </c>
      <c r="G4140" s="4">
        <v>4</v>
      </c>
      <c r="H4140" s="13">
        <v>2</v>
      </c>
      <c r="I4140" s="34">
        <v>3</v>
      </c>
      <c r="J4140" s="35">
        <v>3</v>
      </c>
      <c r="K4140" s="2" t="s">
        <v>8294</v>
      </c>
      <c r="L4140" s="36" t="str">
        <f t="shared" si="70"/>
        <v>Ver Imagen</v>
      </c>
      <c r="M4140" t="s">
        <v>8005</v>
      </c>
    </row>
    <row r="4141" spans="1:13" x14ac:dyDescent="0.25">
      <c r="A4141" s="33">
        <v>4142</v>
      </c>
      <c r="B4141" t="s">
        <v>8295</v>
      </c>
      <c r="C4141" s="1">
        <v>37.2544758003</v>
      </c>
      <c r="D4141" s="1">
        <v>-7.0152293641099996</v>
      </c>
      <c r="E4141" s="3">
        <v>2</v>
      </c>
      <c r="F4141" s="2">
        <v>3</v>
      </c>
      <c r="G4141" s="4">
        <v>4</v>
      </c>
      <c r="H4141" s="13">
        <v>2</v>
      </c>
      <c r="I4141" s="34">
        <v>2</v>
      </c>
      <c r="J4141" s="35">
        <v>2</v>
      </c>
      <c r="K4141" s="2" t="s">
        <v>8296</v>
      </c>
      <c r="L4141" s="36" t="str">
        <f t="shared" si="70"/>
        <v>Ver Imagen</v>
      </c>
      <c r="M4141" t="s">
        <v>8005</v>
      </c>
    </row>
    <row r="4142" spans="1:13" x14ac:dyDescent="0.25">
      <c r="A4142" s="33">
        <v>4143</v>
      </c>
      <c r="B4142" t="s">
        <v>8297</v>
      </c>
      <c r="C4142" s="1">
        <v>37.204277131399998</v>
      </c>
      <c r="D4142" s="1">
        <v>-7.0118644655300004</v>
      </c>
      <c r="E4142" s="3">
        <v>2</v>
      </c>
      <c r="F4142" s="2">
        <v>4</v>
      </c>
      <c r="G4142" s="4">
        <v>4</v>
      </c>
      <c r="H4142" s="13">
        <v>3</v>
      </c>
      <c r="I4142" s="34">
        <v>4</v>
      </c>
      <c r="J4142" s="35">
        <v>4</v>
      </c>
      <c r="K4142" s="2" t="s">
        <v>8298</v>
      </c>
      <c r="L4142" s="36" t="str">
        <f t="shared" si="70"/>
        <v>Ver Imagen</v>
      </c>
      <c r="M4142" t="s">
        <v>8005</v>
      </c>
    </row>
    <row r="4143" spans="1:13" x14ac:dyDescent="0.25">
      <c r="A4143" s="33">
        <v>4144</v>
      </c>
      <c r="B4143" t="s">
        <v>8299</v>
      </c>
      <c r="C4143" s="1">
        <v>37.241953778099997</v>
      </c>
      <c r="D4143" s="1">
        <v>-7.0184127953699997</v>
      </c>
      <c r="E4143" s="3">
        <v>4</v>
      </c>
      <c r="F4143" s="2">
        <v>3</v>
      </c>
      <c r="G4143" s="4">
        <v>2</v>
      </c>
      <c r="H4143" s="13">
        <v>2</v>
      </c>
      <c r="I4143" s="34">
        <v>2</v>
      </c>
      <c r="J4143" s="35">
        <v>2</v>
      </c>
      <c r="K4143" s="2" t="s">
        <v>8300</v>
      </c>
      <c r="L4143" s="36" t="str">
        <f t="shared" si="70"/>
        <v>Ver Imagen</v>
      </c>
      <c r="M4143" t="s">
        <v>8005</v>
      </c>
    </row>
    <row r="4144" spans="1:13" x14ac:dyDescent="0.25">
      <c r="A4144" s="33">
        <v>4145</v>
      </c>
      <c r="B4144" t="s">
        <v>8301</v>
      </c>
      <c r="C4144" s="1">
        <v>37.265378294900003</v>
      </c>
      <c r="D4144" s="1">
        <v>-6.9961319801500004</v>
      </c>
      <c r="E4144" s="3">
        <v>2</v>
      </c>
      <c r="F4144" s="2">
        <v>3</v>
      </c>
      <c r="G4144" s="4">
        <v>1</v>
      </c>
      <c r="H4144" s="13">
        <v>2</v>
      </c>
      <c r="I4144" s="34">
        <v>1</v>
      </c>
      <c r="J4144" s="35">
        <v>2</v>
      </c>
      <c r="K4144" s="2" t="s">
        <v>8302</v>
      </c>
      <c r="L4144" s="36" t="str">
        <f t="shared" si="70"/>
        <v>Ver Imagen</v>
      </c>
      <c r="M4144" t="s">
        <v>8005</v>
      </c>
    </row>
    <row r="4145" spans="1:13" x14ac:dyDescent="0.25">
      <c r="A4145" s="33">
        <v>4146</v>
      </c>
      <c r="B4145" t="s">
        <v>8303</v>
      </c>
      <c r="C4145" s="1">
        <v>37.265468287700003</v>
      </c>
      <c r="D4145" s="1">
        <v>-6.9956099278900004</v>
      </c>
      <c r="E4145" s="3">
        <v>2</v>
      </c>
      <c r="F4145" s="2">
        <v>3</v>
      </c>
      <c r="G4145" s="4">
        <v>1</v>
      </c>
      <c r="H4145" s="13">
        <v>2</v>
      </c>
      <c r="I4145" s="34">
        <v>2</v>
      </c>
      <c r="J4145" s="35">
        <v>2</v>
      </c>
      <c r="K4145" s="2" t="s">
        <v>8304</v>
      </c>
      <c r="L4145" s="36" t="str">
        <f t="shared" si="70"/>
        <v>Ver Imagen</v>
      </c>
      <c r="M4145" t="s">
        <v>8005</v>
      </c>
    </row>
    <row r="4146" spans="1:13" x14ac:dyDescent="0.25">
      <c r="A4146" s="33">
        <v>4147</v>
      </c>
      <c r="B4146" t="s">
        <v>8305</v>
      </c>
      <c r="C4146" s="1">
        <v>37.446910134200003</v>
      </c>
      <c r="D4146" s="1">
        <v>-7.1304969805500003</v>
      </c>
      <c r="E4146" s="3">
        <v>2</v>
      </c>
      <c r="F4146" s="2">
        <v>4</v>
      </c>
      <c r="G4146" s="4">
        <v>3</v>
      </c>
      <c r="H4146" s="13">
        <v>3</v>
      </c>
      <c r="I4146" s="34">
        <v>3</v>
      </c>
      <c r="J4146" s="35">
        <v>3</v>
      </c>
      <c r="K4146" s="2" t="s">
        <v>8306</v>
      </c>
      <c r="L4146" s="36" t="str">
        <f t="shared" si="70"/>
        <v>Ver Imagen</v>
      </c>
      <c r="M4146" t="s">
        <v>8005</v>
      </c>
    </row>
    <row r="4147" spans="1:13" x14ac:dyDescent="0.25">
      <c r="A4147" s="33">
        <v>4148</v>
      </c>
      <c r="B4147" t="s">
        <v>8307</v>
      </c>
      <c r="C4147" s="1">
        <v>37.4466928366</v>
      </c>
      <c r="D4147" s="1">
        <v>-7.1314937501799998</v>
      </c>
      <c r="E4147" s="3">
        <v>2</v>
      </c>
      <c r="F4147" s="2">
        <v>4</v>
      </c>
      <c r="G4147" s="4">
        <v>3</v>
      </c>
      <c r="H4147" s="13">
        <v>3</v>
      </c>
      <c r="I4147" s="34">
        <v>3</v>
      </c>
      <c r="J4147" s="35">
        <v>3</v>
      </c>
      <c r="K4147" s="2" t="s">
        <v>8308</v>
      </c>
      <c r="L4147" s="36" t="str">
        <f t="shared" si="70"/>
        <v>Ver Imagen</v>
      </c>
      <c r="M4147" t="s">
        <v>8005</v>
      </c>
    </row>
    <row r="4148" spans="1:13" x14ac:dyDescent="0.25">
      <c r="A4148" s="33">
        <v>4149</v>
      </c>
      <c r="B4148" t="s">
        <v>8309</v>
      </c>
      <c r="C4148" s="1">
        <v>37.446286003700003</v>
      </c>
      <c r="D4148" s="1">
        <v>-7.1342511435300002</v>
      </c>
      <c r="E4148" s="3">
        <v>2</v>
      </c>
      <c r="F4148" s="2">
        <v>4</v>
      </c>
      <c r="G4148" s="4">
        <v>3</v>
      </c>
      <c r="H4148" s="13">
        <v>3</v>
      </c>
      <c r="I4148" s="34">
        <v>3</v>
      </c>
      <c r="J4148" s="35">
        <v>3</v>
      </c>
      <c r="K4148" s="2" t="s">
        <v>8310</v>
      </c>
      <c r="L4148" s="36" t="str">
        <f t="shared" si="70"/>
        <v>Ver Imagen</v>
      </c>
      <c r="M4148" t="s">
        <v>8005</v>
      </c>
    </row>
    <row r="4149" spans="1:13" x14ac:dyDescent="0.25">
      <c r="A4149" s="33">
        <v>4150</v>
      </c>
      <c r="B4149" t="s">
        <v>8311</v>
      </c>
      <c r="C4149" s="1">
        <v>37.446214092200002</v>
      </c>
      <c r="D4149" s="1">
        <v>-7.13496879759</v>
      </c>
      <c r="E4149" s="3">
        <v>2</v>
      </c>
      <c r="F4149" s="2">
        <v>4</v>
      </c>
      <c r="G4149" s="4">
        <v>3</v>
      </c>
      <c r="H4149" s="13">
        <v>3</v>
      </c>
      <c r="I4149" s="34">
        <v>3</v>
      </c>
      <c r="J4149" s="35">
        <v>3</v>
      </c>
      <c r="K4149" s="2" t="s">
        <v>8312</v>
      </c>
      <c r="L4149" s="36" t="str">
        <f t="shared" si="70"/>
        <v>Ver Imagen</v>
      </c>
      <c r="M4149" t="s">
        <v>8005</v>
      </c>
    </row>
    <row r="4150" spans="1:13" x14ac:dyDescent="0.25">
      <c r="A4150" s="33">
        <v>4151</v>
      </c>
      <c r="B4150" t="s">
        <v>8313</v>
      </c>
      <c r="C4150" s="1">
        <v>37.446156840599997</v>
      </c>
      <c r="D4150" s="1">
        <v>-7.1357027156299999</v>
      </c>
      <c r="E4150" s="3">
        <v>2</v>
      </c>
      <c r="F4150" s="2">
        <v>4</v>
      </c>
      <c r="G4150" s="4">
        <v>3</v>
      </c>
      <c r="H4150" s="13">
        <v>3</v>
      </c>
      <c r="I4150" s="34">
        <v>3</v>
      </c>
      <c r="J4150" s="35">
        <v>3</v>
      </c>
      <c r="K4150" s="2" t="s">
        <v>8314</v>
      </c>
      <c r="L4150" s="36" t="str">
        <f t="shared" si="70"/>
        <v>Ver Imagen</v>
      </c>
      <c r="M4150" t="s">
        <v>8005</v>
      </c>
    </row>
    <row r="4151" spans="1:13" x14ac:dyDescent="0.25">
      <c r="A4151" s="33">
        <v>4152</v>
      </c>
      <c r="B4151" t="s">
        <v>8315</v>
      </c>
      <c r="C4151" s="1">
        <v>37.446793766200003</v>
      </c>
      <c r="D4151" s="1">
        <v>-7.1386126507099998</v>
      </c>
      <c r="E4151" s="3">
        <v>2</v>
      </c>
      <c r="F4151" s="2">
        <v>4</v>
      </c>
      <c r="G4151" s="4">
        <v>3</v>
      </c>
      <c r="H4151" s="13">
        <v>3</v>
      </c>
      <c r="I4151" s="34">
        <v>3</v>
      </c>
      <c r="J4151" s="35">
        <v>3</v>
      </c>
      <c r="K4151" s="2" t="s">
        <v>8316</v>
      </c>
      <c r="L4151" s="36" t="str">
        <f t="shared" si="70"/>
        <v>Ver Imagen</v>
      </c>
      <c r="M4151" t="s">
        <v>8005</v>
      </c>
    </row>
    <row r="4152" spans="1:13" x14ac:dyDescent="0.25">
      <c r="A4152" s="33">
        <v>4153</v>
      </c>
      <c r="B4152" t="s">
        <v>8317</v>
      </c>
      <c r="C4152" s="1">
        <v>37.447462861600002</v>
      </c>
      <c r="D4152" s="1">
        <v>-7.1404376162999998</v>
      </c>
      <c r="E4152" s="3">
        <v>2</v>
      </c>
      <c r="F4152" s="2">
        <v>4</v>
      </c>
      <c r="G4152" s="4">
        <v>3</v>
      </c>
      <c r="H4152" s="13">
        <v>3</v>
      </c>
      <c r="I4152" s="34">
        <v>3</v>
      </c>
      <c r="J4152" s="35">
        <v>3</v>
      </c>
      <c r="K4152" s="2" t="s">
        <v>8318</v>
      </c>
      <c r="L4152" s="36" t="str">
        <f t="shared" si="70"/>
        <v>Ver Imagen</v>
      </c>
      <c r="M4152" t="s">
        <v>8005</v>
      </c>
    </row>
    <row r="4153" spans="1:13" x14ac:dyDescent="0.25">
      <c r="A4153" s="33">
        <v>4154</v>
      </c>
      <c r="B4153" t="s">
        <v>8319</v>
      </c>
      <c r="C4153" s="1">
        <v>37.448198362399999</v>
      </c>
      <c r="D4153" s="1">
        <v>-7.1420158672499996</v>
      </c>
      <c r="E4153" s="3">
        <v>1</v>
      </c>
      <c r="F4153" s="2">
        <v>3</v>
      </c>
      <c r="G4153" s="4">
        <v>3</v>
      </c>
      <c r="H4153" s="13">
        <v>2</v>
      </c>
      <c r="I4153" s="34">
        <v>2</v>
      </c>
      <c r="J4153" s="35">
        <v>2</v>
      </c>
      <c r="K4153" s="2" t="s">
        <v>8320</v>
      </c>
      <c r="L4153" s="36" t="str">
        <f t="shared" si="70"/>
        <v>Ver Imagen</v>
      </c>
      <c r="M4153" t="s">
        <v>8005</v>
      </c>
    </row>
    <row r="4154" spans="1:13" x14ac:dyDescent="0.25">
      <c r="A4154" s="33">
        <v>4155</v>
      </c>
      <c r="B4154" t="s">
        <v>8321</v>
      </c>
      <c r="C4154" s="1">
        <v>37.448629089599997</v>
      </c>
      <c r="D4154" s="1">
        <v>-7.1459538331800001</v>
      </c>
      <c r="E4154" s="3">
        <v>3</v>
      </c>
      <c r="F4154" s="2">
        <v>4</v>
      </c>
      <c r="G4154" s="4">
        <v>5</v>
      </c>
      <c r="H4154" s="13">
        <v>3</v>
      </c>
      <c r="I4154" s="34">
        <v>3</v>
      </c>
      <c r="J4154" s="35">
        <v>3</v>
      </c>
      <c r="K4154" s="2" t="s">
        <v>8322</v>
      </c>
      <c r="L4154" s="36" t="str">
        <f t="shared" si="70"/>
        <v>Ver Imagen</v>
      </c>
      <c r="M4154" t="s">
        <v>8005</v>
      </c>
    </row>
    <row r="4155" spans="1:13" x14ac:dyDescent="0.25">
      <c r="A4155" s="33">
        <v>4156</v>
      </c>
      <c r="B4155" t="s">
        <v>8323</v>
      </c>
      <c r="C4155" s="1">
        <v>37.448698696599998</v>
      </c>
      <c r="D4155" s="1">
        <v>-7.1474507433100003</v>
      </c>
      <c r="E4155" s="3">
        <v>1</v>
      </c>
      <c r="F4155" s="2">
        <v>3</v>
      </c>
      <c r="G4155" s="4">
        <v>3</v>
      </c>
      <c r="H4155" s="13">
        <v>3</v>
      </c>
      <c r="I4155" s="34">
        <v>2</v>
      </c>
      <c r="J4155" s="35">
        <v>3</v>
      </c>
      <c r="K4155" s="2" t="s">
        <v>8324</v>
      </c>
      <c r="L4155" s="36" t="str">
        <f t="shared" si="70"/>
        <v>Ver Imagen</v>
      </c>
      <c r="M4155" t="s">
        <v>8005</v>
      </c>
    </row>
    <row r="4156" spans="1:13" x14ac:dyDescent="0.25">
      <c r="A4156" s="33">
        <v>4157</v>
      </c>
      <c r="B4156" t="s">
        <v>8325</v>
      </c>
      <c r="C4156" s="1">
        <v>37.448714188799997</v>
      </c>
      <c r="D4156" s="1">
        <v>-7.1477403632299996</v>
      </c>
      <c r="E4156" s="3">
        <v>2</v>
      </c>
      <c r="F4156" s="2">
        <v>4</v>
      </c>
      <c r="G4156" s="4">
        <v>3</v>
      </c>
      <c r="H4156" s="13">
        <v>3</v>
      </c>
      <c r="I4156" s="34">
        <v>3</v>
      </c>
      <c r="J4156" s="35">
        <v>3</v>
      </c>
      <c r="K4156" s="2" t="s">
        <v>8326</v>
      </c>
      <c r="L4156" s="36" t="str">
        <f t="shared" si="70"/>
        <v>Ver Imagen</v>
      </c>
      <c r="M4156" t="s">
        <v>8005</v>
      </c>
    </row>
    <row r="4157" spans="1:13" x14ac:dyDescent="0.25">
      <c r="A4157" s="33">
        <v>4158</v>
      </c>
      <c r="B4157" t="s">
        <v>8327</v>
      </c>
      <c r="C4157" s="1">
        <v>37.4491360978</v>
      </c>
      <c r="D4157" s="1">
        <v>-7.1504621454499997</v>
      </c>
      <c r="E4157" s="3">
        <v>1</v>
      </c>
      <c r="F4157" s="2">
        <v>3</v>
      </c>
      <c r="G4157" s="4">
        <v>3</v>
      </c>
      <c r="H4157" s="13">
        <v>2</v>
      </c>
      <c r="I4157" s="34">
        <v>2</v>
      </c>
      <c r="J4157" s="35">
        <v>2</v>
      </c>
      <c r="K4157" s="2" t="s">
        <v>8328</v>
      </c>
      <c r="L4157" s="36" t="str">
        <f t="shared" si="70"/>
        <v>Ver Imagen</v>
      </c>
      <c r="M4157" t="s">
        <v>8005</v>
      </c>
    </row>
    <row r="4158" spans="1:13" x14ac:dyDescent="0.25">
      <c r="A4158" s="33">
        <v>4159</v>
      </c>
      <c r="B4158" t="s">
        <v>8329</v>
      </c>
      <c r="C4158" s="1">
        <v>37.4503379079</v>
      </c>
      <c r="D4158" s="1">
        <v>-7.1528104066799996</v>
      </c>
      <c r="E4158" s="3">
        <v>2</v>
      </c>
      <c r="F4158" s="2">
        <v>4</v>
      </c>
      <c r="G4158" s="4">
        <v>3</v>
      </c>
      <c r="H4158" s="13">
        <v>3</v>
      </c>
      <c r="I4158" s="34">
        <v>3</v>
      </c>
      <c r="J4158" s="35">
        <v>3</v>
      </c>
      <c r="K4158" s="2" t="s">
        <v>8330</v>
      </c>
      <c r="L4158" s="36" t="str">
        <f t="shared" si="70"/>
        <v>Ver Imagen</v>
      </c>
      <c r="M4158" t="s">
        <v>8005</v>
      </c>
    </row>
    <row r="4159" spans="1:13" x14ac:dyDescent="0.25">
      <c r="A4159" s="33">
        <v>4160</v>
      </c>
      <c r="B4159" t="s">
        <v>8331</v>
      </c>
      <c r="C4159" s="1">
        <v>37.452874003200002</v>
      </c>
      <c r="D4159" s="1">
        <v>-7.1615481966800001</v>
      </c>
      <c r="E4159" s="3">
        <v>1</v>
      </c>
      <c r="F4159" s="2">
        <v>3</v>
      </c>
      <c r="G4159" s="4">
        <v>3</v>
      </c>
      <c r="H4159" s="13">
        <v>3</v>
      </c>
      <c r="I4159" s="34">
        <v>3</v>
      </c>
      <c r="J4159" s="35">
        <v>3</v>
      </c>
      <c r="K4159" s="2" t="s">
        <v>8332</v>
      </c>
      <c r="L4159" s="36" t="str">
        <f t="shared" si="70"/>
        <v>Ver Imagen</v>
      </c>
      <c r="M4159" t="s">
        <v>8005</v>
      </c>
    </row>
    <row r="4160" spans="1:13" x14ac:dyDescent="0.25">
      <c r="A4160" s="33">
        <v>4161</v>
      </c>
      <c r="B4160" t="s">
        <v>8333</v>
      </c>
      <c r="C4160" s="1">
        <v>37.453178223099997</v>
      </c>
      <c r="D4160" s="1">
        <v>-7.1621428603200004</v>
      </c>
      <c r="E4160" s="3">
        <v>2</v>
      </c>
      <c r="F4160" s="2">
        <v>4</v>
      </c>
      <c r="G4160" s="4">
        <v>3</v>
      </c>
      <c r="H4160" s="13">
        <v>3</v>
      </c>
      <c r="I4160" s="34">
        <v>3</v>
      </c>
      <c r="J4160" s="35">
        <v>3</v>
      </c>
      <c r="K4160" s="2" t="s">
        <v>8334</v>
      </c>
      <c r="L4160" s="36" t="str">
        <f t="shared" si="70"/>
        <v>Ver Imagen</v>
      </c>
      <c r="M4160" t="s">
        <v>8005</v>
      </c>
    </row>
    <row r="4161" spans="1:13" x14ac:dyDescent="0.25">
      <c r="A4161" s="33">
        <v>4162</v>
      </c>
      <c r="B4161" t="s">
        <v>8335</v>
      </c>
      <c r="C4161" s="1">
        <v>37.453511388199999</v>
      </c>
      <c r="D4161" s="1">
        <v>-7.1628079746399997</v>
      </c>
      <c r="E4161" s="3">
        <v>2</v>
      </c>
      <c r="F4161" s="2">
        <v>4</v>
      </c>
      <c r="G4161" s="4">
        <v>3</v>
      </c>
      <c r="H4161" s="13">
        <v>3</v>
      </c>
      <c r="I4161" s="34">
        <v>3</v>
      </c>
      <c r="J4161" s="35">
        <v>3</v>
      </c>
      <c r="K4161" s="2" t="s">
        <v>8336</v>
      </c>
      <c r="L4161" s="36" t="str">
        <f t="shared" si="70"/>
        <v>Ver Imagen</v>
      </c>
      <c r="M4161" t="s">
        <v>8005</v>
      </c>
    </row>
    <row r="4162" spans="1:13" x14ac:dyDescent="0.25">
      <c r="A4162" s="33">
        <v>4163</v>
      </c>
      <c r="B4162" t="s">
        <v>8337</v>
      </c>
      <c r="C4162" s="1">
        <v>37.453853381000002</v>
      </c>
      <c r="D4162" s="1">
        <v>-7.1634736915700001</v>
      </c>
      <c r="E4162" s="3">
        <v>2</v>
      </c>
      <c r="F4162" s="2">
        <v>4</v>
      </c>
      <c r="G4162" s="4">
        <v>3</v>
      </c>
      <c r="H4162" s="13">
        <v>2</v>
      </c>
      <c r="I4162" s="34">
        <v>2</v>
      </c>
      <c r="J4162" s="35">
        <v>2</v>
      </c>
      <c r="K4162" s="2" t="s">
        <v>8338</v>
      </c>
      <c r="L4162" s="36" t="str">
        <f t="shared" si="70"/>
        <v>Ver Imagen</v>
      </c>
      <c r="M4162" t="s">
        <v>8005</v>
      </c>
    </row>
    <row r="4163" spans="1:13" x14ac:dyDescent="0.25">
      <c r="A4163" s="33">
        <v>4164</v>
      </c>
      <c r="B4163" t="s">
        <v>8339</v>
      </c>
      <c r="C4163" s="1">
        <v>37.454047183599997</v>
      </c>
      <c r="D4163" s="1">
        <v>-7.1638608332000002</v>
      </c>
      <c r="E4163" s="3">
        <v>2</v>
      </c>
      <c r="F4163" s="2">
        <v>4</v>
      </c>
      <c r="G4163" s="4">
        <v>3</v>
      </c>
      <c r="H4163" s="13">
        <v>3</v>
      </c>
      <c r="I4163" s="34">
        <v>2</v>
      </c>
      <c r="J4163" s="35">
        <v>3</v>
      </c>
      <c r="K4163" s="2" t="s">
        <v>8340</v>
      </c>
      <c r="L4163" s="36" t="str">
        <f t="shared" si="70"/>
        <v>Ver Imagen</v>
      </c>
      <c r="M4163" t="s">
        <v>8005</v>
      </c>
    </row>
    <row r="4164" spans="1:13" x14ac:dyDescent="0.25">
      <c r="A4164" s="33">
        <v>4165</v>
      </c>
      <c r="B4164" t="s">
        <v>8341</v>
      </c>
      <c r="C4164" s="1">
        <v>37.454839057500003</v>
      </c>
      <c r="D4164" s="1">
        <v>-7.1653463428700004</v>
      </c>
      <c r="E4164" s="3">
        <v>1</v>
      </c>
      <c r="F4164" s="2">
        <v>3</v>
      </c>
      <c r="G4164" s="4">
        <v>3</v>
      </c>
      <c r="H4164" s="13">
        <v>2</v>
      </c>
      <c r="I4164" s="34">
        <v>2</v>
      </c>
      <c r="J4164" s="35">
        <v>2</v>
      </c>
      <c r="K4164" s="2" t="s">
        <v>8342</v>
      </c>
      <c r="L4164" s="36" t="str">
        <f t="shared" si="70"/>
        <v>Ver Imagen</v>
      </c>
      <c r="M4164" t="s">
        <v>8005</v>
      </c>
    </row>
    <row r="4165" spans="1:13" x14ac:dyDescent="0.25">
      <c r="A4165" s="33">
        <v>4166</v>
      </c>
      <c r="B4165" t="s">
        <v>8343</v>
      </c>
      <c r="C4165" s="1">
        <v>37.455417689199997</v>
      </c>
      <c r="D4165" s="1">
        <v>-7.1660862948900004</v>
      </c>
      <c r="E4165" s="3">
        <v>1</v>
      </c>
      <c r="F4165" s="2">
        <v>3</v>
      </c>
      <c r="G4165" s="4">
        <v>3</v>
      </c>
      <c r="H4165" s="13">
        <v>3</v>
      </c>
      <c r="I4165" s="34">
        <v>2</v>
      </c>
      <c r="J4165" s="37">
        <v>2</v>
      </c>
      <c r="K4165" s="2" t="s">
        <v>8344</v>
      </c>
      <c r="L4165" s="36" t="str">
        <f t="shared" si="70"/>
        <v>Ver Imagen</v>
      </c>
      <c r="M4165" s="37" t="s">
        <v>8052</v>
      </c>
    </row>
    <row r="4166" spans="1:13" x14ac:dyDescent="0.25">
      <c r="A4166" s="33">
        <v>4167</v>
      </c>
      <c r="B4166" t="s">
        <v>8345</v>
      </c>
      <c r="C4166" s="1">
        <v>37.457554610400003</v>
      </c>
      <c r="D4166" s="1">
        <v>-7.1687186473900004</v>
      </c>
      <c r="E4166" s="3">
        <v>2</v>
      </c>
      <c r="F4166" s="2">
        <v>1</v>
      </c>
      <c r="G4166" s="4">
        <v>3</v>
      </c>
      <c r="H4166" s="13">
        <v>3</v>
      </c>
      <c r="I4166" s="34">
        <v>2</v>
      </c>
      <c r="J4166" s="35">
        <v>2</v>
      </c>
      <c r="K4166" s="2" t="s">
        <v>8346</v>
      </c>
      <c r="L4166" s="36" t="str">
        <f t="shared" si="70"/>
        <v>Ver Imagen</v>
      </c>
      <c r="M4166" t="s">
        <v>8005</v>
      </c>
    </row>
    <row r="4167" spans="1:13" x14ac:dyDescent="0.25">
      <c r="A4167" s="33">
        <v>4168</v>
      </c>
      <c r="B4167" t="s">
        <v>8347</v>
      </c>
      <c r="C4167" s="1">
        <v>37.457999747999999</v>
      </c>
      <c r="D4167" s="1">
        <v>-7.1692652689600003</v>
      </c>
      <c r="E4167" s="3">
        <v>2</v>
      </c>
      <c r="F4167" s="2">
        <v>4</v>
      </c>
      <c r="G4167" s="4">
        <v>3</v>
      </c>
      <c r="H4167" s="13">
        <v>3</v>
      </c>
      <c r="I4167" s="34">
        <v>2</v>
      </c>
      <c r="J4167" s="35">
        <v>3</v>
      </c>
      <c r="K4167" s="2" t="s">
        <v>8348</v>
      </c>
      <c r="L4167" s="36" t="str">
        <f t="shared" si="70"/>
        <v>Ver Imagen</v>
      </c>
      <c r="M4167" t="s">
        <v>8005</v>
      </c>
    </row>
    <row r="4168" spans="1:13" x14ac:dyDescent="0.25">
      <c r="A4168" s="33">
        <v>4169</v>
      </c>
      <c r="B4168" t="s">
        <v>8349</v>
      </c>
      <c r="C4168" s="1">
        <v>37.460217577800002</v>
      </c>
      <c r="D4168" s="1">
        <v>-7.1721958272300004</v>
      </c>
      <c r="E4168" s="3">
        <v>1</v>
      </c>
      <c r="F4168" s="2">
        <v>2</v>
      </c>
      <c r="G4168" s="4">
        <v>3</v>
      </c>
      <c r="H4168" s="13">
        <v>2</v>
      </c>
      <c r="I4168" s="34">
        <v>2</v>
      </c>
      <c r="J4168" s="35">
        <v>2</v>
      </c>
      <c r="K4168" s="2" t="s">
        <v>8350</v>
      </c>
      <c r="L4168" s="36" t="str">
        <f t="shared" si="70"/>
        <v>Ver Imagen</v>
      </c>
      <c r="M4168" t="s">
        <v>8005</v>
      </c>
    </row>
    <row r="4169" spans="1:13" x14ac:dyDescent="0.25">
      <c r="A4169" s="33">
        <v>4170</v>
      </c>
      <c r="B4169" t="s">
        <v>8351</v>
      </c>
      <c r="C4169" s="1">
        <v>37.4608440027</v>
      </c>
      <c r="D4169" s="1">
        <v>-7.1732233225600002</v>
      </c>
      <c r="E4169" s="3">
        <v>1</v>
      </c>
      <c r="F4169" s="2">
        <v>3</v>
      </c>
      <c r="G4169" s="4">
        <v>3</v>
      </c>
      <c r="H4169" s="13">
        <v>2</v>
      </c>
      <c r="I4169" s="34">
        <v>2</v>
      </c>
      <c r="J4169" s="35">
        <v>2</v>
      </c>
      <c r="K4169" s="2" t="s">
        <v>8352</v>
      </c>
      <c r="L4169" s="36" t="str">
        <f t="shared" si="70"/>
        <v>Ver Imagen</v>
      </c>
      <c r="M4169" t="s">
        <v>8005</v>
      </c>
    </row>
    <row r="4170" spans="1:13" x14ac:dyDescent="0.25">
      <c r="A4170" s="33">
        <v>4171</v>
      </c>
      <c r="B4170" t="s">
        <v>8353</v>
      </c>
      <c r="C4170" s="1">
        <v>37.464105237699997</v>
      </c>
      <c r="D4170" s="1">
        <v>-7.1787134250099998</v>
      </c>
      <c r="E4170" s="3">
        <v>2</v>
      </c>
      <c r="F4170" s="2">
        <v>4</v>
      </c>
      <c r="G4170" s="4">
        <v>3</v>
      </c>
      <c r="H4170" s="13">
        <v>3</v>
      </c>
      <c r="I4170" s="34">
        <v>3</v>
      </c>
      <c r="J4170" s="35">
        <v>3</v>
      </c>
      <c r="K4170" s="2" t="s">
        <v>8354</v>
      </c>
      <c r="L4170" s="36" t="str">
        <f t="shared" si="70"/>
        <v>Ver Imagen</v>
      </c>
      <c r="M4170" t="s">
        <v>8005</v>
      </c>
    </row>
    <row r="4171" spans="1:13" x14ac:dyDescent="0.25">
      <c r="A4171" s="33">
        <v>4172</v>
      </c>
      <c r="B4171" t="s">
        <v>8355</v>
      </c>
      <c r="C4171" s="1">
        <v>37.467297438099997</v>
      </c>
      <c r="D4171" s="1">
        <v>-7.1846628726499997</v>
      </c>
      <c r="E4171" s="3">
        <v>1</v>
      </c>
      <c r="F4171" s="2">
        <v>2</v>
      </c>
      <c r="G4171" s="4">
        <v>3</v>
      </c>
      <c r="H4171" s="13">
        <v>2</v>
      </c>
      <c r="I4171" s="34">
        <v>1</v>
      </c>
      <c r="J4171" s="35">
        <v>2</v>
      </c>
      <c r="K4171" s="2" t="s">
        <v>8356</v>
      </c>
      <c r="L4171" s="36" t="str">
        <f t="shared" si="70"/>
        <v>Ver Imagen</v>
      </c>
      <c r="M4171" t="s">
        <v>8005</v>
      </c>
    </row>
    <row r="4172" spans="1:13" x14ac:dyDescent="0.25">
      <c r="A4172" s="33">
        <v>4173</v>
      </c>
      <c r="B4172" t="s">
        <v>8357</v>
      </c>
      <c r="C4172" s="1">
        <v>37.449703218000003</v>
      </c>
      <c r="D4172" s="1">
        <v>-7.15177574362</v>
      </c>
      <c r="E4172" s="3">
        <v>3</v>
      </c>
      <c r="F4172" s="2">
        <v>3</v>
      </c>
      <c r="G4172" s="4">
        <v>5</v>
      </c>
      <c r="H4172" s="13">
        <v>3</v>
      </c>
      <c r="I4172" s="34">
        <v>3</v>
      </c>
      <c r="J4172" s="35">
        <v>3</v>
      </c>
      <c r="K4172" s="2" t="s">
        <v>8358</v>
      </c>
      <c r="L4172" s="36" t="str">
        <f t="shared" si="70"/>
        <v>Ver Imagen</v>
      </c>
      <c r="M4172" t="s">
        <v>8005</v>
      </c>
    </row>
    <row r="4173" spans="1:13" x14ac:dyDescent="0.25">
      <c r="A4173" s="33">
        <v>4174</v>
      </c>
      <c r="B4173" t="s">
        <v>8359</v>
      </c>
      <c r="C4173" s="1">
        <v>37.476502255100002</v>
      </c>
      <c r="D4173" s="1">
        <v>-7.2022304877299996</v>
      </c>
      <c r="E4173" s="3">
        <v>1</v>
      </c>
      <c r="F4173" s="2">
        <v>3</v>
      </c>
      <c r="G4173" s="4">
        <v>3</v>
      </c>
      <c r="H4173" s="13">
        <v>2</v>
      </c>
      <c r="I4173" s="34">
        <v>1</v>
      </c>
      <c r="J4173" s="35">
        <v>2</v>
      </c>
      <c r="K4173" s="2" t="s">
        <v>8360</v>
      </c>
      <c r="L4173" s="36" t="str">
        <f t="shared" si="70"/>
        <v>Ver Imagen</v>
      </c>
      <c r="M4173" t="s">
        <v>8005</v>
      </c>
    </row>
    <row r="4174" spans="1:13" x14ac:dyDescent="0.25">
      <c r="A4174" s="33">
        <v>4175</v>
      </c>
      <c r="B4174" t="s">
        <v>8361</v>
      </c>
      <c r="C4174" s="1">
        <v>37.477393377200002</v>
      </c>
      <c r="D4174" s="1">
        <v>-7.2043045965500001</v>
      </c>
      <c r="E4174" s="3">
        <v>1</v>
      </c>
      <c r="F4174" s="2">
        <v>2</v>
      </c>
      <c r="G4174" s="4">
        <v>3</v>
      </c>
      <c r="H4174" s="13">
        <v>2</v>
      </c>
      <c r="I4174" s="34">
        <v>1</v>
      </c>
      <c r="J4174" s="35">
        <v>2</v>
      </c>
      <c r="K4174" s="2" t="s">
        <v>8362</v>
      </c>
      <c r="L4174" s="36" t="str">
        <f t="shared" si="70"/>
        <v>Ver Imagen</v>
      </c>
      <c r="M4174" t="s">
        <v>8005</v>
      </c>
    </row>
    <row r="4175" spans="1:13" x14ac:dyDescent="0.25">
      <c r="A4175" s="33">
        <v>4176</v>
      </c>
      <c r="B4175" t="s">
        <v>8363</v>
      </c>
      <c r="C4175" s="1">
        <v>37.477469239900003</v>
      </c>
      <c r="D4175" s="1">
        <v>-7.2044783166100004</v>
      </c>
      <c r="E4175" s="3">
        <v>1</v>
      </c>
      <c r="F4175" s="2">
        <v>3</v>
      </c>
      <c r="G4175" s="4">
        <v>3</v>
      </c>
      <c r="H4175" s="13">
        <v>2</v>
      </c>
      <c r="I4175" s="34">
        <v>2</v>
      </c>
      <c r="J4175" s="35">
        <v>2</v>
      </c>
      <c r="K4175" s="2" t="s">
        <v>8364</v>
      </c>
      <c r="L4175" s="36" t="str">
        <f t="shared" si="70"/>
        <v>Ver Imagen</v>
      </c>
      <c r="M4175" t="s">
        <v>8005</v>
      </c>
    </row>
    <row r="4176" spans="1:13" x14ac:dyDescent="0.25">
      <c r="A4176" s="33">
        <v>4177</v>
      </c>
      <c r="B4176" t="s">
        <v>8365</v>
      </c>
      <c r="C4176" s="1">
        <v>37.4775653863</v>
      </c>
      <c r="D4176" s="1">
        <v>-7.2046976315400002</v>
      </c>
      <c r="E4176" s="3">
        <v>1</v>
      </c>
      <c r="F4176" s="2">
        <v>3</v>
      </c>
      <c r="G4176" s="4">
        <v>3</v>
      </c>
      <c r="H4176" s="13">
        <v>2</v>
      </c>
      <c r="I4176" s="34">
        <v>1</v>
      </c>
      <c r="J4176" s="35">
        <v>2</v>
      </c>
      <c r="K4176" s="2" t="s">
        <v>8366</v>
      </c>
      <c r="L4176" s="36" t="str">
        <f t="shared" si="70"/>
        <v>Ver Imagen</v>
      </c>
      <c r="M4176" t="s">
        <v>8005</v>
      </c>
    </row>
    <row r="4177" spans="1:13" x14ac:dyDescent="0.25">
      <c r="A4177" s="33">
        <v>4178</v>
      </c>
      <c r="B4177" t="s">
        <v>8367</v>
      </c>
      <c r="C4177" s="1">
        <v>37.478329623299999</v>
      </c>
      <c r="D4177" s="1">
        <v>-7.2064745667299999</v>
      </c>
      <c r="E4177" s="3">
        <v>1</v>
      </c>
      <c r="F4177" s="2">
        <v>3</v>
      </c>
      <c r="G4177" s="4">
        <v>3</v>
      </c>
      <c r="H4177" s="13">
        <v>2</v>
      </c>
      <c r="I4177" s="34">
        <v>2</v>
      </c>
      <c r="J4177" s="35">
        <v>2</v>
      </c>
      <c r="K4177" s="2" t="s">
        <v>8368</v>
      </c>
      <c r="L4177" s="36" t="str">
        <f t="shared" si="70"/>
        <v>Ver Imagen</v>
      </c>
      <c r="M4177" t="s">
        <v>8005</v>
      </c>
    </row>
    <row r="4178" spans="1:13" x14ac:dyDescent="0.25">
      <c r="A4178" s="33">
        <v>4179</v>
      </c>
      <c r="B4178" t="s">
        <v>8369</v>
      </c>
      <c r="C4178" s="1">
        <v>37.4790074386</v>
      </c>
      <c r="D4178" s="1">
        <v>-7.2080444133099997</v>
      </c>
      <c r="E4178" s="3">
        <v>1</v>
      </c>
      <c r="F4178" s="2">
        <v>3</v>
      </c>
      <c r="G4178" s="4">
        <v>3</v>
      </c>
      <c r="H4178" s="13">
        <v>2</v>
      </c>
      <c r="I4178" s="34">
        <v>2</v>
      </c>
      <c r="J4178" s="35">
        <v>2</v>
      </c>
      <c r="K4178" s="2" t="s">
        <v>8370</v>
      </c>
      <c r="L4178" s="36" t="str">
        <f t="shared" si="70"/>
        <v>Ver Imagen</v>
      </c>
      <c r="M4178" t="s">
        <v>8005</v>
      </c>
    </row>
    <row r="4179" spans="1:13" x14ac:dyDescent="0.25">
      <c r="A4179" s="33">
        <v>4180</v>
      </c>
      <c r="B4179" t="s">
        <v>8371</v>
      </c>
      <c r="C4179" s="1">
        <v>37.479296839600003</v>
      </c>
      <c r="D4179" s="1">
        <v>-7.20875237993</v>
      </c>
      <c r="E4179" s="3">
        <v>1</v>
      </c>
      <c r="F4179" s="2">
        <v>3</v>
      </c>
      <c r="G4179" s="4">
        <v>3</v>
      </c>
      <c r="H4179" s="13">
        <v>2</v>
      </c>
      <c r="I4179" s="34">
        <v>2</v>
      </c>
      <c r="J4179" s="35">
        <v>2</v>
      </c>
      <c r="K4179" s="2" t="s">
        <v>8372</v>
      </c>
      <c r="L4179" s="36" t="str">
        <f t="shared" si="70"/>
        <v>Ver Imagen</v>
      </c>
      <c r="M4179" t="s">
        <v>8005</v>
      </c>
    </row>
    <row r="4180" spans="1:13" x14ac:dyDescent="0.25">
      <c r="A4180" s="33">
        <v>4181</v>
      </c>
      <c r="B4180" t="s">
        <v>8373</v>
      </c>
      <c r="C4180" s="1">
        <v>37.481139063400001</v>
      </c>
      <c r="D4180" s="1">
        <v>-7.2132299237600002</v>
      </c>
      <c r="E4180" s="3">
        <v>1</v>
      </c>
      <c r="F4180" s="2">
        <v>3</v>
      </c>
      <c r="G4180" s="4">
        <v>3</v>
      </c>
      <c r="H4180" s="13">
        <v>1</v>
      </c>
      <c r="I4180" s="34">
        <v>2</v>
      </c>
      <c r="J4180" s="35">
        <v>2</v>
      </c>
      <c r="K4180" s="2" t="s">
        <v>8374</v>
      </c>
      <c r="L4180" s="36" t="str">
        <f t="shared" si="70"/>
        <v>Ver Imagen</v>
      </c>
      <c r="M4180" t="s">
        <v>8005</v>
      </c>
    </row>
    <row r="4181" spans="1:13" x14ac:dyDescent="0.25">
      <c r="A4181" s="33">
        <v>4182</v>
      </c>
      <c r="B4181" t="s">
        <v>8375</v>
      </c>
      <c r="C4181" s="1">
        <v>37.481295563400003</v>
      </c>
      <c r="D4181" s="1">
        <v>-7.2136601086500001</v>
      </c>
      <c r="E4181" s="3">
        <v>1</v>
      </c>
      <c r="F4181" s="2">
        <v>2</v>
      </c>
      <c r="G4181" s="4">
        <v>3</v>
      </c>
      <c r="H4181" s="13">
        <v>2</v>
      </c>
      <c r="I4181" s="34">
        <v>2</v>
      </c>
      <c r="J4181" s="35">
        <v>2</v>
      </c>
      <c r="K4181" s="2" t="s">
        <v>8376</v>
      </c>
      <c r="L4181" s="36" t="str">
        <f t="shared" si="70"/>
        <v>Ver Imagen</v>
      </c>
      <c r="M4181" t="s">
        <v>8005</v>
      </c>
    </row>
    <row r="4182" spans="1:13" x14ac:dyDescent="0.25">
      <c r="A4182" s="33">
        <v>4183</v>
      </c>
      <c r="B4182" t="s">
        <v>8377</v>
      </c>
      <c r="C4182" s="1">
        <v>37.4814856757</v>
      </c>
      <c r="D4182" s="1">
        <v>-7.2141733538799997</v>
      </c>
      <c r="E4182" s="3">
        <v>1</v>
      </c>
      <c r="F4182" s="2">
        <v>3</v>
      </c>
      <c r="G4182" s="4">
        <v>3</v>
      </c>
      <c r="H4182" s="13">
        <v>2</v>
      </c>
      <c r="I4182" s="34">
        <v>2</v>
      </c>
      <c r="J4182" s="35">
        <v>2</v>
      </c>
      <c r="K4182" s="2" t="s">
        <v>8378</v>
      </c>
      <c r="L4182" s="36" t="str">
        <f t="shared" si="70"/>
        <v>Ver Imagen</v>
      </c>
      <c r="M4182" t="s">
        <v>8005</v>
      </c>
    </row>
    <row r="4183" spans="1:13" x14ac:dyDescent="0.25">
      <c r="A4183" s="33">
        <v>4184</v>
      </c>
      <c r="B4183" t="s">
        <v>8379</v>
      </c>
      <c r="C4183" s="1">
        <v>37.4823637115</v>
      </c>
      <c r="D4183" s="1">
        <v>-7.2169523132000002</v>
      </c>
      <c r="E4183" s="3">
        <v>1</v>
      </c>
      <c r="F4183" s="2">
        <v>2</v>
      </c>
      <c r="G4183" s="4">
        <v>3</v>
      </c>
      <c r="H4183" s="13">
        <v>1</v>
      </c>
      <c r="I4183" s="34">
        <v>2</v>
      </c>
      <c r="J4183" s="35">
        <v>2</v>
      </c>
      <c r="K4183" s="2" t="s">
        <v>8380</v>
      </c>
      <c r="L4183" s="36" t="str">
        <f t="shared" si="70"/>
        <v>Ver Imagen</v>
      </c>
      <c r="M4183" t="s">
        <v>8005</v>
      </c>
    </row>
    <row r="4184" spans="1:13" x14ac:dyDescent="0.25">
      <c r="A4184" s="33">
        <v>4185</v>
      </c>
      <c r="B4184" t="s">
        <v>8381</v>
      </c>
      <c r="C4184" s="1">
        <v>37.482463265600003</v>
      </c>
      <c r="D4184" s="1">
        <v>-7.2174480144600004</v>
      </c>
      <c r="E4184" s="3">
        <v>1</v>
      </c>
      <c r="F4184" s="2">
        <v>2</v>
      </c>
      <c r="G4184" s="4">
        <v>3</v>
      </c>
      <c r="H4184" s="13">
        <v>1</v>
      </c>
      <c r="I4184" s="34">
        <v>1</v>
      </c>
      <c r="J4184" s="35">
        <v>1</v>
      </c>
      <c r="K4184" s="2" t="s">
        <v>8382</v>
      </c>
      <c r="L4184" s="36" t="str">
        <f t="shared" si="70"/>
        <v>Ver Imagen</v>
      </c>
      <c r="M4184" t="s">
        <v>8005</v>
      </c>
    </row>
    <row r="4185" spans="1:13" x14ac:dyDescent="0.25">
      <c r="A4185" s="33">
        <v>4186</v>
      </c>
      <c r="B4185" t="s">
        <v>8383</v>
      </c>
      <c r="C4185" s="1">
        <v>37.483158641700001</v>
      </c>
      <c r="D4185" s="1">
        <v>-7.2209799865199997</v>
      </c>
      <c r="E4185" s="3">
        <v>1</v>
      </c>
      <c r="F4185" s="2">
        <v>2</v>
      </c>
      <c r="G4185" s="4">
        <v>3</v>
      </c>
      <c r="H4185" s="13">
        <v>2</v>
      </c>
      <c r="I4185" s="34">
        <v>2</v>
      </c>
      <c r="J4185" s="35">
        <v>2</v>
      </c>
      <c r="K4185" s="2" t="s">
        <v>8384</v>
      </c>
      <c r="L4185" s="36" t="str">
        <f t="shared" si="70"/>
        <v>Ver Imagen</v>
      </c>
      <c r="M4185" t="s">
        <v>8005</v>
      </c>
    </row>
    <row r="4186" spans="1:13" x14ac:dyDescent="0.25">
      <c r="A4186" s="33">
        <v>4187</v>
      </c>
      <c r="B4186" t="s">
        <v>8385</v>
      </c>
      <c r="C4186" s="1">
        <v>37.487261899700002</v>
      </c>
      <c r="D4186" s="1">
        <v>-7.2434499822599996</v>
      </c>
      <c r="E4186" s="3">
        <v>1</v>
      </c>
      <c r="F4186" s="2">
        <v>3</v>
      </c>
      <c r="G4186" s="4">
        <v>3</v>
      </c>
      <c r="H4186" s="13">
        <v>3</v>
      </c>
      <c r="I4186" s="34">
        <v>3</v>
      </c>
      <c r="J4186" s="35">
        <v>3</v>
      </c>
      <c r="K4186" s="2" t="s">
        <v>8386</v>
      </c>
      <c r="L4186" s="36" t="str">
        <f t="shared" si="70"/>
        <v>Ver Imagen</v>
      </c>
      <c r="M4186" t="s">
        <v>8005</v>
      </c>
    </row>
    <row r="4187" spans="1:13" x14ac:dyDescent="0.25">
      <c r="A4187" s="33">
        <v>4188</v>
      </c>
      <c r="B4187" t="s">
        <v>8387</v>
      </c>
      <c r="C4187" s="1">
        <v>37.487412025200001</v>
      </c>
      <c r="D4187" s="1">
        <v>-7.2439129931300004</v>
      </c>
      <c r="E4187" s="3">
        <v>1</v>
      </c>
      <c r="F4187" s="2">
        <v>3</v>
      </c>
      <c r="G4187" s="4">
        <v>3</v>
      </c>
      <c r="H4187" s="13">
        <v>3</v>
      </c>
      <c r="I4187" s="34">
        <v>2</v>
      </c>
      <c r="J4187" s="35">
        <v>3</v>
      </c>
      <c r="K4187" s="2" t="s">
        <v>8388</v>
      </c>
      <c r="L4187" s="36" t="str">
        <f t="shared" si="70"/>
        <v>Ver Imagen</v>
      </c>
      <c r="M4187" t="s">
        <v>8005</v>
      </c>
    </row>
    <row r="4188" spans="1:13" x14ac:dyDescent="0.25">
      <c r="A4188" s="33">
        <v>4189</v>
      </c>
      <c r="B4188" t="s">
        <v>8389</v>
      </c>
      <c r="C4188" s="1">
        <v>37.4904093253</v>
      </c>
      <c r="D4188" s="1">
        <v>-7.2492653521200001</v>
      </c>
      <c r="E4188" s="3">
        <v>1</v>
      </c>
      <c r="F4188" s="2">
        <v>2</v>
      </c>
      <c r="G4188" s="4">
        <v>3</v>
      </c>
      <c r="H4188" s="13">
        <v>2</v>
      </c>
      <c r="I4188" s="34">
        <v>2</v>
      </c>
      <c r="J4188" s="35">
        <v>2</v>
      </c>
      <c r="K4188" s="2" t="s">
        <v>8390</v>
      </c>
      <c r="L4188" s="36" t="str">
        <f t="shared" ref="L4188:L4251" si="71">HYPERLINK("NoConsenso\" &amp; K4188, "Ver Imagen")</f>
        <v>Ver Imagen</v>
      </c>
      <c r="M4188" t="s">
        <v>8005</v>
      </c>
    </row>
    <row r="4189" spans="1:13" x14ac:dyDescent="0.25">
      <c r="A4189" s="33">
        <v>4190</v>
      </c>
      <c r="B4189" t="s">
        <v>8391</v>
      </c>
      <c r="C4189" s="1">
        <v>37.490719107300002</v>
      </c>
      <c r="D4189" s="1">
        <v>-7.2501749411</v>
      </c>
      <c r="E4189" s="3">
        <v>1</v>
      </c>
      <c r="F4189" s="2">
        <v>3</v>
      </c>
      <c r="G4189" s="4">
        <v>3</v>
      </c>
      <c r="H4189" s="13">
        <v>2</v>
      </c>
      <c r="I4189" s="34">
        <v>2</v>
      </c>
      <c r="J4189" s="35">
        <v>2</v>
      </c>
      <c r="K4189" s="2" t="s">
        <v>8392</v>
      </c>
      <c r="L4189" s="36" t="str">
        <f t="shared" si="71"/>
        <v>Ver Imagen</v>
      </c>
      <c r="M4189" t="s">
        <v>8005</v>
      </c>
    </row>
    <row r="4190" spans="1:13" x14ac:dyDescent="0.25">
      <c r="A4190" s="33">
        <v>4191</v>
      </c>
      <c r="B4190" t="s">
        <v>8393</v>
      </c>
      <c r="C4190" s="1">
        <v>37.490726564299997</v>
      </c>
      <c r="D4190" s="1">
        <v>-7.2503986872999997</v>
      </c>
      <c r="E4190" s="3">
        <v>1</v>
      </c>
      <c r="F4190" s="2">
        <v>3</v>
      </c>
      <c r="G4190" s="4">
        <v>3</v>
      </c>
      <c r="H4190" s="13">
        <v>2</v>
      </c>
      <c r="I4190" s="34">
        <v>2</v>
      </c>
      <c r="J4190" s="35">
        <v>2</v>
      </c>
      <c r="K4190" s="2" t="s">
        <v>8394</v>
      </c>
      <c r="L4190" s="36" t="str">
        <f t="shared" si="71"/>
        <v>Ver Imagen</v>
      </c>
      <c r="M4190" t="s">
        <v>8005</v>
      </c>
    </row>
    <row r="4191" spans="1:13" x14ac:dyDescent="0.25">
      <c r="A4191" s="33">
        <v>4192</v>
      </c>
      <c r="B4191" t="s">
        <v>8395</v>
      </c>
      <c r="C4191" s="1">
        <v>37.490723828999997</v>
      </c>
      <c r="D4191" s="1">
        <v>-7.2507021013599999</v>
      </c>
      <c r="E4191" s="3">
        <v>1</v>
      </c>
      <c r="F4191" s="2">
        <v>3</v>
      </c>
      <c r="G4191" s="4">
        <v>3</v>
      </c>
      <c r="H4191" s="13">
        <v>3</v>
      </c>
      <c r="I4191" s="34">
        <v>2</v>
      </c>
      <c r="J4191" s="35">
        <v>3</v>
      </c>
      <c r="K4191" s="2" t="s">
        <v>8396</v>
      </c>
      <c r="L4191" s="36" t="str">
        <f t="shared" si="71"/>
        <v>Ver Imagen</v>
      </c>
      <c r="M4191" t="s">
        <v>8005</v>
      </c>
    </row>
    <row r="4192" spans="1:13" x14ac:dyDescent="0.25">
      <c r="A4192" s="33">
        <v>4193</v>
      </c>
      <c r="B4192" t="s">
        <v>8397</v>
      </c>
      <c r="C4192" s="1">
        <v>37.490263426299997</v>
      </c>
      <c r="D4192" s="1">
        <v>-7.2596637400899997</v>
      </c>
      <c r="E4192" s="3">
        <v>1</v>
      </c>
      <c r="F4192" s="2">
        <v>3</v>
      </c>
      <c r="G4192" s="4">
        <v>3</v>
      </c>
      <c r="H4192" s="13">
        <v>2</v>
      </c>
      <c r="I4192" s="34">
        <v>2</v>
      </c>
      <c r="J4192" s="35">
        <v>2</v>
      </c>
      <c r="K4192" s="2" t="s">
        <v>8398</v>
      </c>
      <c r="L4192" s="36" t="str">
        <f t="shared" si="71"/>
        <v>Ver Imagen</v>
      </c>
      <c r="M4192" t="s">
        <v>8005</v>
      </c>
    </row>
    <row r="4193" spans="1:13" x14ac:dyDescent="0.25">
      <c r="A4193" s="33">
        <v>4194</v>
      </c>
      <c r="B4193" t="s">
        <v>8399</v>
      </c>
      <c r="C4193" s="1">
        <v>37.491335297699997</v>
      </c>
      <c r="D4193" s="1">
        <v>-7.2608511551800001</v>
      </c>
      <c r="E4193" s="3">
        <v>1</v>
      </c>
      <c r="F4193" s="2">
        <v>3</v>
      </c>
      <c r="G4193" s="4">
        <v>3</v>
      </c>
      <c r="H4193" s="13">
        <v>3</v>
      </c>
      <c r="I4193" s="34">
        <v>2</v>
      </c>
      <c r="J4193" s="35">
        <v>3</v>
      </c>
      <c r="K4193" s="2" t="s">
        <v>8400</v>
      </c>
      <c r="L4193" s="36" t="str">
        <f t="shared" si="71"/>
        <v>Ver Imagen</v>
      </c>
      <c r="M4193" t="s">
        <v>8005</v>
      </c>
    </row>
    <row r="4194" spans="1:13" x14ac:dyDescent="0.25">
      <c r="A4194" s="33">
        <v>4195</v>
      </c>
      <c r="B4194" t="s">
        <v>8401</v>
      </c>
      <c r="C4194" s="1">
        <v>37.492282145499999</v>
      </c>
      <c r="D4194" s="1">
        <v>-7.2617836419100001</v>
      </c>
      <c r="E4194" s="3">
        <v>1</v>
      </c>
      <c r="F4194" s="2">
        <v>2</v>
      </c>
      <c r="G4194" s="4">
        <v>3</v>
      </c>
      <c r="H4194" s="13">
        <v>2</v>
      </c>
      <c r="I4194" s="34">
        <v>2</v>
      </c>
      <c r="J4194" s="35">
        <v>2</v>
      </c>
      <c r="K4194" s="2" t="s">
        <v>8402</v>
      </c>
      <c r="L4194" s="36" t="str">
        <f t="shared" si="71"/>
        <v>Ver Imagen</v>
      </c>
      <c r="M4194" t="s">
        <v>8005</v>
      </c>
    </row>
    <row r="4195" spans="1:13" x14ac:dyDescent="0.25">
      <c r="A4195" s="33">
        <v>4196</v>
      </c>
      <c r="B4195" t="s">
        <v>8403</v>
      </c>
      <c r="C4195" s="1">
        <v>37.492418312200002</v>
      </c>
      <c r="D4195" s="1">
        <v>-7.2619318317100001</v>
      </c>
      <c r="E4195" s="3">
        <v>1</v>
      </c>
      <c r="F4195" s="2">
        <v>2</v>
      </c>
      <c r="G4195" s="4">
        <v>3</v>
      </c>
      <c r="H4195" s="13">
        <v>2</v>
      </c>
      <c r="I4195" s="34">
        <v>2</v>
      </c>
      <c r="J4195" s="35">
        <v>2</v>
      </c>
      <c r="K4195" s="2" t="s">
        <v>8404</v>
      </c>
      <c r="L4195" s="36" t="str">
        <f t="shared" si="71"/>
        <v>Ver Imagen</v>
      </c>
      <c r="M4195" t="s">
        <v>8005</v>
      </c>
    </row>
    <row r="4196" spans="1:13" x14ac:dyDescent="0.25">
      <c r="A4196" s="33">
        <v>4197</v>
      </c>
      <c r="B4196" t="s">
        <v>8405</v>
      </c>
      <c r="C4196" s="1">
        <v>37.493679226399998</v>
      </c>
      <c r="D4196" s="1">
        <v>-7.2648325652799999</v>
      </c>
      <c r="E4196" s="3">
        <v>1</v>
      </c>
      <c r="F4196" s="2">
        <v>3</v>
      </c>
      <c r="G4196" s="4">
        <v>3</v>
      </c>
      <c r="H4196" s="13">
        <v>3</v>
      </c>
      <c r="I4196" s="34">
        <v>2</v>
      </c>
      <c r="J4196" s="35">
        <v>3</v>
      </c>
      <c r="K4196" s="2" t="s">
        <v>8406</v>
      </c>
      <c r="L4196" s="36" t="str">
        <f t="shared" si="71"/>
        <v>Ver Imagen</v>
      </c>
      <c r="M4196" t="s">
        <v>8005</v>
      </c>
    </row>
    <row r="4197" spans="1:13" x14ac:dyDescent="0.25">
      <c r="A4197" s="33">
        <v>4198</v>
      </c>
      <c r="B4197" t="s">
        <v>8407</v>
      </c>
      <c r="C4197" s="1">
        <v>37.493790938399997</v>
      </c>
      <c r="D4197" s="1">
        <v>-7.2650494271700001</v>
      </c>
      <c r="E4197" s="3">
        <v>1</v>
      </c>
      <c r="F4197" s="2">
        <v>3</v>
      </c>
      <c r="G4197" s="4">
        <v>3</v>
      </c>
      <c r="H4197" s="13">
        <v>3</v>
      </c>
      <c r="I4197" s="34">
        <v>3</v>
      </c>
      <c r="J4197" s="35">
        <v>3</v>
      </c>
      <c r="K4197" s="2" t="s">
        <v>8408</v>
      </c>
      <c r="L4197" s="36" t="str">
        <f t="shared" si="71"/>
        <v>Ver Imagen</v>
      </c>
      <c r="M4197" t="s">
        <v>8005</v>
      </c>
    </row>
    <row r="4198" spans="1:13" x14ac:dyDescent="0.25">
      <c r="A4198" s="33">
        <v>4199</v>
      </c>
      <c r="B4198" t="s">
        <v>8409</v>
      </c>
      <c r="C4198" s="1">
        <v>37.494166233599998</v>
      </c>
      <c r="D4198" s="1">
        <v>-7.26564329185</v>
      </c>
      <c r="E4198" s="3">
        <v>1</v>
      </c>
      <c r="F4198" s="2">
        <v>3</v>
      </c>
      <c r="G4198" s="4">
        <v>3</v>
      </c>
      <c r="H4198" s="13">
        <v>3</v>
      </c>
      <c r="I4198" s="34">
        <v>2</v>
      </c>
      <c r="J4198" s="35">
        <v>3</v>
      </c>
      <c r="K4198" s="2" t="s">
        <v>8410</v>
      </c>
      <c r="L4198" s="36" t="str">
        <f t="shared" si="71"/>
        <v>Ver Imagen</v>
      </c>
      <c r="M4198" t="s">
        <v>8005</v>
      </c>
    </row>
    <row r="4199" spans="1:13" x14ac:dyDescent="0.25">
      <c r="A4199" s="33">
        <v>4200</v>
      </c>
      <c r="B4199" t="s">
        <v>8411</v>
      </c>
      <c r="C4199" s="1">
        <v>37.494553755200002</v>
      </c>
      <c r="D4199" s="1">
        <v>-7.2662345513000002</v>
      </c>
      <c r="E4199" s="3">
        <v>1</v>
      </c>
      <c r="F4199" s="2">
        <v>3</v>
      </c>
      <c r="G4199" s="4">
        <v>3</v>
      </c>
      <c r="H4199" s="13">
        <v>3</v>
      </c>
      <c r="I4199" s="34">
        <v>2</v>
      </c>
      <c r="J4199" s="35">
        <v>3</v>
      </c>
      <c r="K4199" s="2" t="s">
        <v>8412</v>
      </c>
      <c r="L4199" s="36" t="str">
        <f t="shared" si="71"/>
        <v>Ver Imagen</v>
      </c>
      <c r="M4199" t="s">
        <v>8005</v>
      </c>
    </row>
    <row r="4200" spans="1:13" x14ac:dyDescent="0.25">
      <c r="A4200" s="33">
        <v>4201</v>
      </c>
      <c r="B4200" t="s">
        <v>8413</v>
      </c>
      <c r="C4200" s="1">
        <v>37.279683186699998</v>
      </c>
      <c r="D4200" s="1">
        <v>-7.00681331947</v>
      </c>
      <c r="E4200" s="3">
        <v>1</v>
      </c>
      <c r="F4200" s="2">
        <v>3</v>
      </c>
      <c r="G4200" s="4">
        <v>3</v>
      </c>
      <c r="H4200" s="13">
        <v>2</v>
      </c>
      <c r="I4200" s="34">
        <v>2</v>
      </c>
      <c r="J4200" s="35">
        <v>2</v>
      </c>
      <c r="K4200" s="2" t="s">
        <v>8414</v>
      </c>
      <c r="L4200" s="36" t="str">
        <f t="shared" si="71"/>
        <v>Ver Imagen</v>
      </c>
      <c r="M4200" t="s">
        <v>8005</v>
      </c>
    </row>
    <row r="4201" spans="1:13" x14ac:dyDescent="0.25">
      <c r="A4201" s="33">
        <v>4202</v>
      </c>
      <c r="B4201" t="s">
        <v>8415</v>
      </c>
      <c r="C4201" s="1">
        <v>37.279596013999999</v>
      </c>
      <c r="D4201" s="1">
        <v>-7.0070372614799998</v>
      </c>
      <c r="E4201" s="3">
        <v>1</v>
      </c>
      <c r="F4201" s="2">
        <v>1</v>
      </c>
      <c r="G4201" s="4">
        <v>3</v>
      </c>
      <c r="H4201" s="13">
        <v>3</v>
      </c>
      <c r="I4201" s="34">
        <v>2</v>
      </c>
      <c r="J4201" s="35">
        <v>2</v>
      </c>
      <c r="K4201" s="2" t="s">
        <v>8416</v>
      </c>
      <c r="L4201" s="36" t="str">
        <f t="shared" si="71"/>
        <v>Ver Imagen</v>
      </c>
      <c r="M4201" t="s">
        <v>8005</v>
      </c>
    </row>
    <row r="4202" spans="1:13" x14ac:dyDescent="0.25">
      <c r="A4202" s="33">
        <v>4203</v>
      </c>
      <c r="B4202" t="s">
        <v>8417</v>
      </c>
      <c r="C4202" s="1">
        <v>37.279504054199997</v>
      </c>
      <c r="D4202" s="1">
        <v>-7.0072737415299997</v>
      </c>
      <c r="E4202" s="3">
        <v>1</v>
      </c>
      <c r="F4202" s="2">
        <v>2</v>
      </c>
      <c r="G4202" s="4">
        <v>3</v>
      </c>
      <c r="H4202" s="13">
        <v>2</v>
      </c>
      <c r="I4202" s="34">
        <v>2</v>
      </c>
      <c r="J4202" s="35">
        <v>2</v>
      </c>
      <c r="K4202" s="2" t="s">
        <v>8418</v>
      </c>
      <c r="L4202" s="36" t="str">
        <f t="shared" si="71"/>
        <v>Ver Imagen</v>
      </c>
      <c r="M4202" t="s">
        <v>8005</v>
      </c>
    </row>
    <row r="4203" spans="1:13" x14ac:dyDescent="0.25">
      <c r="A4203" s="33">
        <v>4204</v>
      </c>
      <c r="B4203" t="s">
        <v>8419</v>
      </c>
      <c r="C4203" s="1">
        <v>37.279317580600001</v>
      </c>
      <c r="D4203" s="1">
        <v>-7.0077513067500004</v>
      </c>
      <c r="E4203" s="3">
        <v>1</v>
      </c>
      <c r="F4203" s="2">
        <v>3</v>
      </c>
      <c r="G4203" s="4">
        <v>3</v>
      </c>
      <c r="H4203" s="13">
        <v>3</v>
      </c>
      <c r="I4203" s="34">
        <v>2</v>
      </c>
      <c r="J4203" s="37">
        <v>2</v>
      </c>
      <c r="K4203" s="2" t="s">
        <v>8420</v>
      </c>
      <c r="L4203" s="36" t="str">
        <f t="shared" si="71"/>
        <v>Ver Imagen</v>
      </c>
      <c r="M4203" s="37" t="s">
        <v>8052</v>
      </c>
    </row>
    <row r="4204" spans="1:13" x14ac:dyDescent="0.25">
      <c r="A4204" s="33">
        <v>4205</v>
      </c>
      <c r="B4204" t="s">
        <v>8421</v>
      </c>
      <c r="C4204" s="1">
        <v>37.279249532400001</v>
      </c>
      <c r="D4204" s="1">
        <v>-7.0079239661999999</v>
      </c>
      <c r="E4204" s="3">
        <v>1</v>
      </c>
      <c r="F4204" s="2">
        <v>2</v>
      </c>
      <c r="G4204" s="4">
        <v>3</v>
      </c>
      <c r="H4204" s="13">
        <v>2</v>
      </c>
      <c r="I4204" s="34">
        <v>2</v>
      </c>
      <c r="J4204" s="35">
        <v>2</v>
      </c>
      <c r="K4204" s="2" t="s">
        <v>8422</v>
      </c>
      <c r="L4204" s="36" t="str">
        <f t="shared" si="71"/>
        <v>Ver Imagen</v>
      </c>
      <c r="M4204" t="s">
        <v>8005</v>
      </c>
    </row>
    <row r="4205" spans="1:13" x14ac:dyDescent="0.25">
      <c r="A4205" s="33">
        <v>4206</v>
      </c>
      <c r="B4205" t="s">
        <v>8423</v>
      </c>
      <c r="C4205" s="1">
        <v>37.278407482600002</v>
      </c>
      <c r="D4205" s="1">
        <v>-7.0099616754099996</v>
      </c>
      <c r="E4205" s="3">
        <v>2</v>
      </c>
      <c r="F4205" s="2">
        <v>4</v>
      </c>
      <c r="G4205" s="4">
        <v>3</v>
      </c>
      <c r="H4205" s="13">
        <v>3</v>
      </c>
      <c r="I4205" s="34">
        <v>3</v>
      </c>
      <c r="J4205" s="35">
        <v>3</v>
      </c>
      <c r="K4205" s="2" t="s">
        <v>8424</v>
      </c>
      <c r="L4205" s="36" t="str">
        <f t="shared" si="71"/>
        <v>Ver Imagen</v>
      </c>
      <c r="M4205" t="s">
        <v>8005</v>
      </c>
    </row>
    <row r="4206" spans="1:13" x14ac:dyDescent="0.25">
      <c r="A4206" s="33">
        <v>4207</v>
      </c>
      <c r="B4206" t="s">
        <v>8425</v>
      </c>
      <c r="C4206" s="1">
        <v>37.276196582700003</v>
      </c>
      <c r="D4206" s="1">
        <v>-7.0141712611399996</v>
      </c>
      <c r="E4206" s="3">
        <v>3</v>
      </c>
      <c r="F4206" s="2">
        <v>2</v>
      </c>
      <c r="G4206" s="4">
        <v>4</v>
      </c>
      <c r="H4206" s="13">
        <v>3</v>
      </c>
      <c r="I4206" s="34">
        <v>3</v>
      </c>
      <c r="J4206" s="35">
        <v>3</v>
      </c>
      <c r="K4206" s="2" t="s">
        <v>8426</v>
      </c>
      <c r="L4206" s="36" t="str">
        <f t="shared" si="71"/>
        <v>Ver Imagen</v>
      </c>
      <c r="M4206" t="s">
        <v>8005</v>
      </c>
    </row>
    <row r="4207" spans="1:13" x14ac:dyDescent="0.25">
      <c r="A4207" s="33">
        <v>4208</v>
      </c>
      <c r="B4207" t="s">
        <v>8427</v>
      </c>
      <c r="C4207" s="1">
        <v>37.2756161601</v>
      </c>
      <c r="D4207" s="1">
        <v>-7.0156116428599997</v>
      </c>
      <c r="E4207" s="3">
        <v>3</v>
      </c>
      <c r="F4207" s="2">
        <v>2</v>
      </c>
      <c r="G4207" s="4">
        <v>4</v>
      </c>
      <c r="H4207" s="13">
        <v>2</v>
      </c>
      <c r="I4207" s="34">
        <v>3</v>
      </c>
      <c r="J4207" s="37">
        <v>2</v>
      </c>
      <c r="K4207" s="2" t="s">
        <v>8428</v>
      </c>
      <c r="L4207" s="36" t="str">
        <f t="shared" si="71"/>
        <v>Ver Imagen</v>
      </c>
      <c r="M4207" s="37" t="s">
        <v>8052</v>
      </c>
    </row>
    <row r="4208" spans="1:13" x14ac:dyDescent="0.25">
      <c r="A4208" s="33">
        <v>4209</v>
      </c>
      <c r="B4208" t="s">
        <v>8429</v>
      </c>
      <c r="C4208" s="1">
        <v>37.275818415300002</v>
      </c>
      <c r="D4208" s="1">
        <v>-7.0202587164299999</v>
      </c>
      <c r="E4208" s="3">
        <v>1</v>
      </c>
      <c r="F4208" s="2">
        <v>2</v>
      </c>
      <c r="G4208" s="4">
        <v>3</v>
      </c>
      <c r="H4208" s="13">
        <v>2</v>
      </c>
      <c r="I4208" s="34">
        <v>1</v>
      </c>
      <c r="J4208" s="35">
        <v>2</v>
      </c>
      <c r="K4208" s="2" t="s">
        <v>8430</v>
      </c>
      <c r="L4208" s="36" t="str">
        <f t="shared" si="71"/>
        <v>Ver Imagen</v>
      </c>
      <c r="M4208" t="s">
        <v>8005</v>
      </c>
    </row>
    <row r="4209" spans="1:13" x14ac:dyDescent="0.25">
      <c r="A4209" s="33">
        <v>4210</v>
      </c>
      <c r="B4209" t="s">
        <v>8431</v>
      </c>
      <c r="C4209" s="1">
        <v>37.2760512738</v>
      </c>
      <c r="D4209" s="1">
        <v>-7.0220099488900001</v>
      </c>
      <c r="E4209" s="3">
        <v>1</v>
      </c>
      <c r="F4209" s="2">
        <v>3</v>
      </c>
      <c r="G4209" s="4">
        <v>3</v>
      </c>
      <c r="H4209" s="13">
        <v>3</v>
      </c>
      <c r="I4209" s="34">
        <v>3</v>
      </c>
      <c r="J4209" s="35">
        <v>3</v>
      </c>
      <c r="K4209" s="2" t="s">
        <v>8432</v>
      </c>
      <c r="L4209" s="36" t="str">
        <f t="shared" si="71"/>
        <v>Ver Imagen</v>
      </c>
      <c r="M4209" t="s">
        <v>8005</v>
      </c>
    </row>
    <row r="4210" spans="1:13" x14ac:dyDescent="0.25">
      <c r="A4210" s="33">
        <v>4211</v>
      </c>
      <c r="B4210" t="s">
        <v>8433</v>
      </c>
      <c r="C4210" s="1">
        <v>37.276161392600002</v>
      </c>
      <c r="D4210" s="1">
        <v>-7.0227751541599996</v>
      </c>
      <c r="E4210" s="3">
        <v>3</v>
      </c>
      <c r="F4210" s="2">
        <v>1</v>
      </c>
      <c r="G4210" s="4">
        <v>3</v>
      </c>
      <c r="H4210" s="13">
        <v>2</v>
      </c>
      <c r="I4210" s="34">
        <v>1</v>
      </c>
      <c r="J4210" s="37">
        <v>1</v>
      </c>
      <c r="K4210" s="2" t="s">
        <v>8434</v>
      </c>
      <c r="L4210" s="36" t="str">
        <f t="shared" si="71"/>
        <v>Ver Imagen</v>
      </c>
      <c r="M4210" s="37" t="s">
        <v>8052</v>
      </c>
    </row>
    <row r="4211" spans="1:13" x14ac:dyDescent="0.25">
      <c r="A4211" s="33">
        <v>4212</v>
      </c>
      <c r="B4211" t="s">
        <v>8435</v>
      </c>
      <c r="C4211" s="1">
        <v>37.277051401199998</v>
      </c>
      <c r="D4211" s="1">
        <v>-7.0279401842800002</v>
      </c>
      <c r="E4211" s="3">
        <v>1</v>
      </c>
      <c r="F4211" s="2">
        <v>3</v>
      </c>
      <c r="G4211" s="4">
        <v>3</v>
      </c>
      <c r="H4211" s="13">
        <v>3</v>
      </c>
      <c r="I4211" s="34">
        <v>2</v>
      </c>
      <c r="J4211" s="35">
        <v>3</v>
      </c>
      <c r="K4211" s="2" t="s">
        <v>8436</v>
      </c>
      <c r="L4211" s="36" t="str">
        <f t="shared" si="71"/>
        <v>Ver Imagen</v>
      </c>
      <c r="M4211" t="s">
        <v>8005</v>
      </c>
    </row>
    <row r="4212" spans="1:13" x14ac:dyDescent="0.25">
      <c r="A4212" s="33">
        <v>4213</v>
      </c>
      <c r="B4212" t="s">
        <v>8437</v>
      </c>
      <c r="C4212" s="1">
        <v>37.2816588588</v>
      </c>
      <c r="D4212" s="1">
        <v>-7.0322179584900004</v>
      </c>
      <c r="E4212" s="3">
        <v>1</v>
      </c>
      <c r="F4212" s="2">
        <v>3</v>
      </c>
      <c r="G4212" s="4">
        <v>3</v>
      </c>
      <c r="H4212" s="13">
        <v>2</v>
      </c>
      <c r="I4212" s="34">
        <v>2</v>
      </c>
      <c r="J4212" s="35">
        <v>2</v>
      </c>
      <c r="K4212" s="2" t="s">
        <v>8438</v>
      </c>
      <c r="L4212" s="36" t="str">
        <f t="shared" si="71"/>
        <v>Ver Imagen</v>
      </c>
      <c r="M4212" t="s">
        <v>8005</v>
      </c>
    </row>
    <row r="4213" spans="1:13" x14ac:dyDescent="0.25">
      <c r="A4213" s="33">
        <v>4214</v>
      </c>
      <c r="B4213" t="s">
        <v>8439</v>
      </c>
      <c r="C4213" s="1">
        <v>37.283730218499997</v>
      </c>
      <c r="D4213" s="1">
        <v>-7.03414425341</v>
      </c>
      <c r="E4213" s="3">
        <v>1</v>
      </c>
      <c r="F4213" s="2">
        <v>3</v>
      </c>
      <c r="G4213" s="4">
        <v>3</v>
      </c>
      <c r="H4213" s="13">
        <v>2</v>
      </c>
      <c r="I4213" s="34">
        <v>1</v>
      </c>
      <c r="J4213" s="35">
        <v>2</v>
      </c>
      <c r="K4213" s="2" t="s">
        <v>8440</v>
      </c>
      <c r="L4213" s="36" t="str">
        <f t="shared" si="71"/>
        <v>Ver Imagen</v>
      </c>
      <c r="M4213" t="s">
        <v>8005</v>
      </c>
    </row>
    <row r="4214" spans="1:13" x14ac:dyDescent="0.25">
      <c r="A4214" s="33">
        <v>4215</v>
      </c>
      <c r="B4214" t="s">
        <v>8441</v>
      </c>
      <c r="C4214" s="1">
        <v>37.2871388577</v>
      </c>
      <c r="D4214" s="1">
        <v>-7.0420227831200002</v>
      </c>
      <c r="E4214" s="3">
        <v>1</v>
      </c>
      <c r="F4214" s="2">
        <v>2</v>
      </c>
      <c r="G4214" s="4">
        <v>3</v>
      </c>
      <c r="H4214" s="13">
        <v>2</v>
      </c>
      <c r="I4214" s="34">
        <v>2</v>
      </c>
      <c r="J4214" s="35">
        <v>2</v>
      </c>
      <c r="K4214" s="2" t="s">
        <v>8442</v>
      </c>
      <c r="L4214" s="36" t="str">
        <f t="shared" si="71"/>
        <v>Ver Imagen</v>
      </c>
      <c r="M4214" t="s">
        <v>8005</v>
      </c>
    </row>
    <row r="4215" spans="1:13" x14ac:dyDescent="0.25">
      <c r="A4215" s="33">
        <v>4216</v>
      </c>
      <c r="B4215" t="s">
        <v>8443</v>
      </c>
      <c r="C4215" s="1">
        <v>37.287459783899997</v>
      </c>
      <c r="D4215" s="1">
        <v>-7.0421688173600003</v>
      </c>
      <c r="E4215" s="3">
        <v>1</v>
      </c>
      <c r="F4215" s="2">
        <v>2</v>
      </c>
      <c r="G4215" s="4">
        <v>3</v>
      </c>
      <c r="H4215" s="13">
        <v>2</v>
      </c>
      <c r="I4215" s="34">
        <v>2</v>
      </c>
      <c r="J4215" s="35">
        <v>2</v>
      </c>
      <c r="K4215" s="2" t="s">
        <v>8444</v>
      </c>
      <c r="L4215" s="36" t="str">
        <f t="shared" si="71"/>
        <v>Ver Imagen</v>
      </c>
      <c r="M4215" t="s">
        <v>8005</v>
      </c>
    </row>
    <row r="4216" spans="1:13" x14ac:dyDescent="0.25">
      <c r="A4216" s="33">
        <v>4217</v>
      </c>
      <c r="B4216" t="s">
        <v>8445</v>
      </c>
      <c r="C4216" s="1">
        <v>37.2882232109</v>
      </c>
      <c r="D4216" s="1">
        <v>-7.0425839988499996</v>
      </c>
      <c r="E4216" s="3">
        <v>1</v>
      </c>
      <c r="F4216" s="2">
        <v>2</v>
      </c>
      <c r="G4216" s="4">
        <v>3</v>
      </c>
      <c r="H4216" s="13">
        <v>2</v>
      </c>
      <c r="I4216" s="34">
        <v>2</v>
      </c>
      <c r="J4216" s="35">
        <v>2</v>
      </c>
      <c r="K4216" s="2" t="s">
        <v>8446</v>
      </c>
      <c r="L4216" s="36" t="str">
        <f t="shared" si="71"/>
        <v>Ver Imagen</v>
      </c>
      <c r="M4216" t="s">
        <v>8005</v>
      </c>
    </row>
    <row r="4217" spans="1:13" x14ac:dyDescent="0.25">
      <c r="A4217" s="33">
        <v>4218</v>
      </c>
      <c r="B4217" t="s">
        <v>8447</v>
      </c>
      <c r="C4217" s="1">
        <v>37.288396081199998</v>
      </c>
      <c r="D4217" s="1">
        <v>-7.0427222629799999</v>
      </c>
      <c r="E4217" s="3">
        <v>1</v>
      </c>
      <c r="F4217" s="2">
        <v>2</v>
      </c>
      <c r="G4217" s="4">
        <v>3</v>
      </c>
      <c r="H4217" s="13">
        <v>2</v>
      </c>
      <c r="I4217" s="34">
        <v>1</v>
      </c>
      <c r="J4217" s="35">
        <v>2</v>
      </c>
      <c r="K4217" s="2" t="s">
        <v>8448</v>
      </c>
      <c r="L4217" s="36" t="str">
        <f t="shared" si="71"/>
        <v>Ver Imagen</v>
      </c>
      <c r="M4217" t="s">
        <v>8005</v>
      </c>
    </row>
    <row r="4218" spans="1:13" x14ac:dyDescent="0.25">
      <c r="A4218" s="33">
        <v>4219</v>
      </c>
      <c r="B4218" t="s">
        <v>8449</v>
      </c>
      <c r="C4218" s="1">
        <v>37.289932688299999</v>
      </c>
      <c r="D4218" s="1">
        <v>-7.0447713107599998</v>
      </c>
      <c r="E4218" s="3">
        <v>1</v>
      </c>
      <c r="F4218" s="2">
        <v>2</v>
      </c>
      <c r="G4218" s="4">
        <v>3</v>
      </c>
      <c r="H4218" s="13">
        <v>2</v>
      </c>
      <c r="I4218" s="34">
        <v>1</v>
      </c>
      <c r="J4218" s="35">
        <v>2</v>
      </c>
      <c r="K4218" s="2" t="s">
        <v>8450</v>
      </c>
      <c r="L4218" s="36" t="str">
        <f t="shared" si="71"/>
        <v>Ver Imagen</v>
      </c>
      <c r="M4218" t="s">
        <v>8005</v>
      </c>
    </row>
    <row r="4219" spans="1:13" x14ac:dyDescent="0.25">
      <c r="A4219" s="33">
        <v>4220</v>
      </c>
      <c r="B4219" t="s">
        <v>8451</v>
      </c>
      <c r="C4219" s="1">
        <v>37.300880225100002</v>
      </c>
      <c r="D4219" s="1">
        <v>-7.05607795337</v>
      </c>
      <c r="E4219" s="3">
        <v>3</v>
      </c>
      <c r="F4219" s="2">
        <v>2</v>
      </c>
      <c r="G4219" s="4">
        <v>4</v>
      </c>
      <c r="H4219" s="13">
        <v>3</v>
      </c>
      <c r="I4219" s="34">
        <v>3</v>
      </c>
      <c r="J4219" s="35">
        <v>3</v>
      </c>
      <c r="K4219" s="2" t="s">
        <v>8452</v>
      </c>
      <c r="L4219" s="36" t="str">
        <f t="shared" si="71"/>
        <v>Ver Imagen</v>
      </c>
      <c r="M4219" t="s">
        <v>8005</v>
      </c>
    </row>
    <row r="4220" spans="1:13" x14ac:dyDescent="0.25">
      <c r="A4220" s="33">
        <v>4221</v>
      </c>
      <c r="B4220" t="s">
        <v>8453</v>
      </c>
      <c r="C4220" s="1">
        <v>37.312282596800003</v>
      </c>
      <c r="D4220" s="1">
        <v>-7.0606167169100003</v>
      </c>
      <c r="E4220" s="3">
        <v>1</v>
      </c>
      <c r="F4220" s="2">
        <v>3</v>
      </c>
      <c r="G4220" s="4">
        <v>3</v>
      </c>
      <c r="H4220" s="13">
        <v>2</v>
      </c>
      <c r="I4220" s="34">
        <v>2</v>
      </c>
      <c r="J4220" s="35">
        <v>2</v>
      </c>
      <c r="K4220" s="2" t="s">
        <v>8454</v>
      </c>
      <c r="L4220" s="36" t="str">
        <f t="shared" si="71"/>
        <v>Ver Imagen</v>
      </c>
      <c r="M4220" t="s">
        <v>8005</v>
      </c>
    </row>
    <row r="4221" spans="1:13" x14ac:dyDescent="0.25">
      <c r="A4221" s="33">
        <v>4222</v>
      </c>
      <c r="B4221" t="s">
        <v>8455</v>
      </c>
      <c r="C4221" s="1">
        <v>37.313469112999996</v>
      </c>
      <c r="D4221" s="1">
        <v>-7.06259714696</v>
      </c>
      <c r="E4221" s="3">
        <v>1</v>
      </c>
      <c r="F4221" s="2">
        <v>2</v>
      </c>
      <c r="G4221" s="4">
        <v>3</v>
      </c>
      <c r="H4221" s="13">
        <v>2</v>
      </c>
      <c r="I4221" s="34">
        <v>1</v>
      </c>
      <c r="J4221" s="35">
        <v>2</v>
      </c>
      <c r="K4221" s="2" t="s">
        <v>8456</v>
      </c>
      <c r="L4221" s="36" t="str">
        <f t="shared" si="71"/>
        <v>Ver Imagen</v>
      </c>
      <c r="M4221" t="s">
        <v>8005</v>
      </c>
    </row>
    <row r="4222" spans="1:13" x14ac:dyDescent="0.25">
      <c r="A4222" s="33">
        <v>4224</v>
      </c>
      <c r="B4222" t="s">
        <v>8457</v>
      </c>
      <c r="C4222" s="1">
        <v>37.2674988355</v>
      </c>
      <c r="D4222" s="1">
        <v>-6.9630069307599998</v>
      </c>
      <c r="E4222" s="3">
        <v>2</v>
      </c>
      <c r="F4222" s="2">
        <v>4</v>
      </c>
      <c r="G4222" s="4">
        <v>3</v>
      </c>
      <c r="H4222" s="13">
        <v>3</v>
      </c>
      <c r="I4222" s="34">
        <v>4</v>
      </c>
      <c r="J4222" s="35">
        <v>3</v>
      </c>
      <c r="K4222" s="2" t="s">
        <v>8458</v>
      </c>
      <c r="L4222" s="36" t="str">
        <f t="shared" si="71"/>
        <v>Ver Imagen</v>
      </c>
      <c r="M4222" t="s">
        <v>8005</v>
      </c>
    </row>
    <row r="4223" spans="1:13" x14ac:dyDescent="0.25">
      <c r="A4223" s="33">
        <v>4225</v>
      </c>
      <c r="B4223" t="s">
        <v>8459</v>
      </c>
      <c r="C4223" s="1">
        <v>37.267493460200001</v>
      </c>
      <c r="D4223" s="1">
        <v>-6.9627616828500001</v>
      </c>
      <c r="E4223" s="3">
        <v>2</v>
      </c>
      <c r="F4223" s="2">
        <v>4</v>
      </c>
      <c r="G4223" s="4">
        <v>3</v>
      </c>
      <c r="H4223" s="13">
        <v>4</v>
      </c>
      <c r="I4223" s="34">
        <v>4</v>
      </c>
      <c r="J4223" s="35">
        <v>4</v>
      </c>
      <c r="K4223" s="2" t="s">
        <v>8460</v>
      </c>
      <c r="L4223" s="36" t="str">
        <f t="shared" si="71"/>
        <v>Ver Imagen</v>
      </c>
      <c r="M4223" t="s">
        <v>8005</v>
      </c>
    </row>
    <row r="4224" spans="1:13" x14ac:dyDescent="0.25">
      <c r="A4224" s="33">
        <v>4226</v>
      </c>
      <c r="B4224" t="s">
        <v>8461</v>
      </c>
      <c r="C4224" s="1">
        <v>37.190892826899997</v>
      </c>
      <c r="D4224" s="1">
        <v>-6.9907708249700002</v>
      </c>
      <c r="E4224" s="3">
        <v>1</v>
      </c>
      <c r="F4224" s="2">
        <v>3</v>
      </c>
      <c r="G4224" s="4">
        <v>3</v>
      </c>
      <c r="H4224" s="13">
        <v>2</v>
      </c>
      <c r="I4224" s="34">
        <v>2</v>
      </c>
      <c r="J4224" s="35">
        <v>2</v>
      </c>
      <c r="K4224" s="2" t="s">
        <v>8462</v>
      </c>
      <c r="L4224" s="36" t="str">
        <f t="shared" si="71"/>
        <v>Ver Imagen</v>
      </c>
      <c r="M4224" t="s">
        <v>8005</v>
      </c>
    </row>
    <row r="4225" spans="1:13" x14ac:dyDescent="0.25">
      <c r="A4225" s="33">
        <v>4227</v>
      </c>
      <c r="B4225" t="s">
        <v>8463</v>
      </c>
      <c r="C4225" s="1">
        <v>37.192447562799998</v>
      </c>
      <c r="D4225" s="1">
        <v>-6.9940038922900003</v>
      </c>
      <c r="E4225" s="3">
        <v>2</v>
      </c>
      <c r="F4225" s="2">
        <v>4</v>
      </c>
      <c r="G4225" s="4">
        <v>3</v>
      </c>
      <c r="H4225" s="13">
        <v>3</v>
      </c>
      <c r="I4225" s="34">
        <v>4</v>
      </c>
      <c r="J4225" s="35">
        <v>3</v>
      </c>
      <c r="K4225" s="2" t="s">
        <v>8464</v>
      </c>
      <c r="L4225" s="36" t="str">
        <f t="shared" si="71"/>
        <v>Ver Imagen</v>
      </c>
      <c r="M4225" t="s">
        <v>8005</v>
      </c>
    </row>
    <row r="4226" spans="1:13" x14ac:dyDescent="0.25">
      <c r="A4226" s="33">
        <v>4228</v>
      </c>
      <c r="B4226" t="s">
        <v>8465</v>
      </c>
      <c r="C4226" s="1">
        <v>37.216263290900002</v>
      </c>
      <c r="D4226" s="1">
        <v>-7.0911848698400002</v>
      </c>
      <c r="E4226" s="3">
        <v>2</v>
      </c>
      <c r="F4226" s="2">
        <v>4</v>
      </c>
      <c r="G4226" s="4">
        <v>3</v>
      </c>
      <c r="H4226" s="13">
        <v>3</v>
      </c>
      <c r="I4226" s="34">
        <v>3</v>
      </c>
      <c r="J4226" s="35">
        <v>3</v>
      </c>
      <c r="K4226" s="2" t="s">
        <v>8466</v>
      </c>
      <c r="L4226" s="36" t="str">
        <f t="shared" si="71"/>
        <v>Ver Imagen</v>
      </c>
      <c r="M4226" t="s">
        <v>8005</v>
      </c>
    </row>
    <row r="4227" spans="1:13" x14ac:dyDescent="0.25">
      <c r="A4227" s="33">
        <v>4229</v>
      </c>
      <c r="B4227" t="s">
        <v>8467</v>
      </c>
      <c r="C4227" s="1">
        <v>37.211317448499997</v>
      </c>
      <c r="D4227" s="1">
        <v>-7.0567758255699999</v>
      </c>
      <c r="E4227" s="3">
        <v>2</v>
      </c>
      <c r="F4227" s="2">
        <v>4</v>
      </c>
      <c r="G4227" s="4">
        <v>3</v>
      </c>
      <c r="H4227" s="13">
        <v>3</v>
      </c>
      <c r="I4227" s="34">
        <v>3</v>
      </c>
      <c r="J4227" s="35">
        <v>3</v>
      </c>
      <c r="K4227" s="2" t="s">
        <v>8468</v>
      </c>
      <c r="L4227" s="36" t="str">
        <f t="shared" si="71"/>
        <v>Ver Imagen</v>
      </c>
      <c r="M4227" t="s">
        <v>8005</v>
      </c>
    </row>
    <row r="4228" spans="1:13" x14ac:dyDescent="0.25">
      <c r="A4228" s="33">
        <v>4230</v>
      </c>
      <c r="B4228" t="s">
        <v>8469</v>
      </c>
      <c r="C4228" s="1">
        <v>37.2107889284</v>
      </c>
      <c r="D4228" s="1">
        <v>-7.0525496502099996</v>
      </c>
      <c r="E4228" s="3">
        <v>2</v>
      </c>
      <c r="F4228" s="2">
        <v>4</v>
      </c>
      <c r="G4228" s="4">
        <v>3</v>
      </c>
      <c r="H4228" s="13">
        <v>3</v>
      </c>
      <c r="I4228" s="34">
        <v>3</v>
      </c>
      <c r="J4228" s="35">
        <v>3</v>
      </c>
      <c r="K4228" s="2" t="s">
        <v>8470</v>
      </c>
      <c r="L4228" s="36" t="str">
        <f t="shared" si="71"/>
        <v>Ver Imagen</v>
      </c>
      <c r="M4228" t="s">
        <v>8005</v>
      </c>
    </row>
    <row r="4229" spans="1:13" x14ac:dyDescent="0.25">
      <c r="A4229" s="33">
        <v>4231</v>
      </c>
      <c r="B4229" t="s">
        <v>8471</v>
      </c>
      <c r="C4229" s="1">
        <v>37.2108140904</v>
      </c>
      <c r="D4229" s="1">
        <v>-7.0518026757800003</v>
      </c>
      <c r="E4229" s="3">
        <v>2</v>
      </c>
      <c r="F4229" s="2">
        <v>4</v>
      </c>
      <c r="G4229" s="4">
        <v>3</v>
      </c>
      <c r="H4229" s="13">
        <v>3</v>
      </c>
      <c r="I4229" s="34">
        <v>4</v>
      </c>
      <c r="J4229" s="37">
        <v>4</v>
      </c>
      <c r="K4229" s="2" t="s">
        <v>8472</v>
      </c>
      <c r="L4229" s="36" t="str">
        <f t="shared" si="71"/>
        <v>Ver Imagen</v>
      </c>
      <c r="M4229" s="37" t="s">
        <v>8052</v>
      </c>
    </row>
    <row r="4230" spans="1:13" x14ac:dyDescent="0.25">
      <c r="A4230" s="33">
        <v>4232</v>
      </c>
      <c r="B4230" t="s">
        <v>8473</v>
      </c>
      <c r="C4230" s="1">
        <v>37.210839917100003</v>
      </c>
      <c r="D4230" s="1">
        <v>-7.0515339724999997</v>
      </c>
      <c r="E4230" s="3">
        <v>2</v>
      </c>
      <c r="F4230" s="2">
        <v>4</v>
      </c>
      <c r="G4230" s="4">
        <v>3</v>
      </c>
      <c r="H4230" s="13">
        <v>3</v>
      </c>
      <c r="I4230" s="34">
        <v>3</v>
      </c>
      <c r="J4230" s="35">
        <v>3</v>
      </c>
      <c r="K4230" s="2" t="s">
        <v>8474</v>
      </c>
      <c r="L4230" s="36" t="str">
        <f t="shared" si="71"/>
        <v>Ver Imagen</v>
      </c>
      <c r="M4230" t="s">
        <v>8005</v>
      </c>
    </row>
    <row r="4231" spans="1:13" x14ac:dyDescent="0.25">
      <c r="A4231" s="33">
        <v>4233</v>
      </c>
      <c r="B4231" t="s">
        <v>8475</v>
      </c>
      <c r="C4231" s="1">
        <v>37.204146861200002</v>
      </c>
      <c r="D4231" s="1">
        <v>-7.0265626282499998</v>
      </c>
      <c r="E4231" s="3">
        <v>5</v>
      </c>
      <c r="F4231" s="2">
        <v>4</v>
      </c>
      <c r="G4231" s="4">
        <v>3</v>
      </c>
      <c r="H4231" s="13">
        <v>3</v>
      </c>
      <c r="I4231" s="34">
        <v>3</v>
      </c>
      <c r="J4231" s="35">
        <v>3</v>
      </c>
      <c r="K4231" s="2" t="s">
        <v>8476</v>
      </c>
      <c r="L4231" s="36" t="str">
        <f t="shared" si="71"/>
        <v>Ver Imagen</v>
      </c>
      <c r="M4231" t="s">
        <v>8005</v>
      </c>
    </row>
    <row r="4232" spans="1:13" x14ac:dyDescent="0.25">
      <c r="A4232" s="33">
        <v>4234</v>
      </c>
      <c r="B4232" t="s">
        <v>8477</v>
      </c>
      <c r="C4232" s="1">
        <v>37.2675996782</v>
      </c>
      <c r="D4232" s="1">
        <v>-7.13418204295</v>
      </c>
      <c r="E4232" s="3">
        <v>5</v>
      </c>
      <c r="F4232" s="2">
        <v>4</v>
      </c>
      <c r="G4232" s="4">
        <v>3</v>
      </c>
      <c r="H4232" s="13">
        <v>4</v>
      </c>
      <c r="I4232" s="34">
        <v>4</v>
      </c>
      <c r="J4232" s="35">
        <v>4</v>
      </c>
      <c r="K4232" s="2" t="s">
        <v>8478</v>
      </c>
      <c r="L4232" s="36" t="str">
        <f t="shared" si="71"/>
        <v>Ver Imagen</v>
      </c>
      <c r="M4232" t="s">
        <v>8005</v>
      </c>
    </row>
    <row r="4233" spans="1:13" x14ac:dyDescent="0.25">
      <c r="A4233" s="33">
        <v>4235</v>
      </c>
      <c r="B4233" t="s">
        <v>8479</v>
      </c>
      <c r="C4233" s="1">
        <v>37.437993542599997</v>
      </c>
      <c r="D4233" s="1">
        <v>-7.08269907644</v>
      </c>
      <c r="E4233" s="3">
        <v>3</v>
      </c>
      <c r="F4233" s="2">
        <v>3</v>
      </c>
      <c r="G4233" s="4">
        <v>5</v>
      </c>
      <c r="H4233" s="13">
        <v>3</v>
      </c>
      <c r="I4233" s="34">
        <v>4</v>
      </c>
      <c r="J4233" s="35">
        <v>3</v>
      </c>
      <c r="K4233" s="2" t="s">
        <v>8480</v>
      </c>
      <c r="L4233" s="36" t="str">
        <f t="shared" si="71"/>
        <v>Ver Imagen</v>
      </c>
      <c r="M4233" t="s">
        <v>8005</v>
      </c>
    </row>
    <row r="4234" spans="1:13" x14ac:dyDescent="0.25">
      <c r="A4234" s="33">
        <v>4236</v>
      </c>
      <c r="B4234" t="s">
        <v>8481</v>
      </c>
      <c r="C4234" s="1">
        <v>37.224753500799999</v>
      </c>
      <c r="D4234" s="1">
        <v>-7.0390080739499998</v>
      </c>
      <c r="E4234" s="3">
        <v>3</v>
      </c>
      <c r="F4234" s="2">
        <v>1</v>
      </c>
      <c r="G4234" s="4">
        <v>3</v>
      </c>
      <c r="H4234" s="13">
        <v>2</v>
      </c>
      <c r="I4234" s="34">
        <v>2</v>
      </c>
      <c r="J4234" s="35">
        <v>2</v>
      </c>
      <c r="K4234" s="2" t="s">
        <v>8482</v>
      </c>
      <c r="L4234" s="36" t="str">
        <f t="shared" si="71"/>
        <v>Ver Imagen</v>
      </c>
      <c r="M4234" t="s">
        <v>8005</v>
      </c>
    </row>
    <row r="4235" spans="1:13" x14ac:dyDescent="0.25">
      <c r="A4235" s="33">
        <v>4237</v>
      </c>
      <c r="B4235" t="s">
        <v>8483</v>
      </c>
      <c r="C4235" s="1">
        <v>37.231278549099997</v>
      </c>
      <c r="D4235" s="1">
        <v>-7.0509447003499996</v>
      </c>
      <c r="E4235" s="3">
        <v>3</v>
      </c>
      <c r="F4235" s="2">
        <v>1</v>
      </c>
      <c r="G4235" s="4">
        <v>3</v>
      </c>
      <c r="H4235" s="13">
        <v>2</v>
      </c>
      <c r="I4235" s="34">
        <v>2</v>
      </c>
      <c r="J4235" s="35">
        <v>2</v>
      </c>
      <c r="K4235" s="2" t="s">
        <v>8484</v>
      </c>
      <c r="L4235" s="36" t="str">
        <f t="shared" si="71"/>
        <v>Ver Imagen</v>
      </c>
      <c r="M4235" t="s">
        <v>8005</v>
      </c>
    </row>
    <row r="4236" spans="1:13" x14ac:dyDescent="0.25">
      <c r="A4236" s="33">
        <v>4238</v>
      </c>
      <c r="B4236" t="s">
        <v>8485</v>
      </c>
      <c r="C4236" s="1">
        <v>37.234137532799998</v>
      </c>
      <c r="D4236" s="1">
        <v>-7.05974339607</v>
      </c>
      <c r="E4236" s="3">
        <v>3</v>
      </c>
      <c r="F4236" s="2">
        <v>1</v>
      </c>
      <c r="G4236" s="4">
        <v>3</v>
      </c>
      <c r="H4236" s="13">
        <v>2</v>
      </c>
      <c r="I4236" s="34">
        <v>1</v>
      </c>
      <c r="J4236" s="35">
        <v>2</v>
      </c>
      <c r="K4236" s="2" t="s">
        <v>8486</v>
      </c>
      <c r="L4236" s="36" t="str">
        <f t="shared" si="71"/>
        <v>Ver Imagen</v>
      </c>
      <c r="M4236" t="s">
        <v>8005</v>
      </c>
    </row>
    <row r="4237" spans="1:13" x14ac:dyDescent="0.25">
      <c r="A4237" s="33">
        <v>4239</v>
      </c>
      <c r="B4237" t="s">
        <v>8487</v>
      </c>
      <c r="C4237" s="1">
        <v>37.248101973700003</v>
      </c>
      <c r="D4237" s="1">
        <v>-7.10156740511</v>
      </c>
      <c r="E4237" s="3">
        <v>3</v>
      </c>
      <c r="F4237" s="2">
        <v>1</v>
      </c>
      <c r="G4237" s="4">
        <v>3</v>
      </c>
      <c r="H4237" s="13">
        <v>2</v>
      </c>
      <c r="I4237" s="34">
        <v>2</v>
      </c>
      <c r="J4237" s="35">
        <v>2</v>
      </c>
      <c r="K4237" s="2" t="s">
        <v>8488</v>
      </c>
      <c r="L4237" s="36" t="str">
        <f t="shared" si="71"/>
        <v>Ver Imagen</v>
      </c>
      <c r="M4237" t="s">
        <v>8005</v>
      </c>
    </row>
    <row r="4238" spans="1:13" x14ac:dyDescent="0.25">
      <c r="A4238" s="33">
        <v>4240</v>
      </c>
      <c r="B4238" t="s">
        <v>8489</v>
      </c>
      <c r="C4238" s="1">
        <v>37.249852815499999</v>
      </c>
      <c r="D4238" s="1">
        <v>-7.1027484314100002</v>
      </c>
      <c r="E4238" s="3">
        <v>3</v>
      </c>
      <c r="F4238" s="2">
        <v>1</v>
      </c>
      <c r="G4238" s="4">
        <v>3</v>
      </c>
      <c r="H4238" s="13">
        <v>2</v>
      </c>
      <c r="I4238" s="34">
        <v>1</v>
      </c>
      <c r="J4238" s="35">
        <v>2</v>
      </c>
      <c r="K4238" s="2" t="s">
        <v>8490</v>
      </c>
      <c r="L4238" s="36" t="str">
        <f t="shared" si="71"/>
        <v>Ver Imagen</v>
      </c>
      <c r="M4238" t="s">
        <v>8005</v>
      </c>
    </row>
    <row r="4239" spans="1:13" x14ac:dyDescent="0.25">
      <c r="A4239" s="33">
        <v>4241</v>
      </c>
      <c r="B4239" t="s">
        <v>8491</v>
      </c>
      <c r="C4239" s="1">
        <v>37.2526786751</v>
      </c>
      <c r="D4239" s="1">
        <v>-7.1050905753900002</v>
      </c>
      <c r="E4239" s="3">
        <v>3</v>
      </c>
      <c r="F4239" s="2">
        <v>1</v>
      </c>
      <c r="G4239" s="4">
        <v>3</v>
      </c>
      <c r="H4239" s="13">
        <v>2</v>
      </c>
      <c r="I4239" s="34">
        <v>2</v>
      </c>
      <c r="J4239" s="35">
        <v>2</v>
      </c>
      <c r="K4239" s="2" t="s">
        <v>8492</v>
      </c>
      <c r="L4239" s="36" t="str">
        <f t="shared" si="71"/>
        <v>Ver Imagen</v>
      </c>
      <c r="M4239" t="s">
        <v>8005</v>
      </c>
    </row>
    <row r="4240" spans="1:13" x14ac:dyDescent="0.25">
      <c r="A4240" s="33">
        <v>4242</v>
      </c>
      <c r="B4240" t="s">
        <v>8493</v>
      </c>
      <c r="C4240" s="1">
        <v>37.253445637600002</v>
      </c>
      <c r="D4240" s="1">
        <v>-7.1068775745700004</v>
      </c>
      <c r="E4240" s="3">
        <v>3</v>
      </c>
      <c r="F4240" s="2">
        <v>1</v>
      </c>
      <c r="G4240" s="4">
        <v>3</v>
      </c>
      <c r="H4240" s="13">
        <v>2</v>
      </c>
      <c r="I4240" s="34">
        <v>1</v>
      </c>
      <c r="J4240" s="37">
        <v>1</v>
      </c>
      <c r="K4240" s="2" t="s">
        <v>8494</v>
      </c>
      <c r="L4240" s="36" t="str">
        <f t="shared" si="71"/>
        <v>Ver Imagen</v>
      </c>
      <c r="M4240" s="37" t="s">
        <v>8052</v>
      </c>
    </row>
    <row r="4241" spans="1:13" x14ac:dyDescent="0.25">
      <c r="A4241" s="33">
        <v>4243</v>
      </c>
      <c r="B4241" t="s">
        <v>8495</v>
      </c>
      <c r="C4241" s="1">
        <v>37.253557218399997</v>
      </c>
      <c r="D4241" s="1">
        <v>-7.1070675344399996</v>
      </c>
      <c r="E4241" s="3">
        <v>3</v>
      </c>
      <c r="F4241" s="2">
        <v>1</v>
      </c>
      <c r="G4241" s="4">
        <v>3</v>
      </c>
      <c r="H4241" s="13">
        <v>2</v>
      </c>
      <c r="I4241" s="34">
        <v>1</v>
      </c>
      <c r="J4241" s="37">
        <v>1</v>
      </c>
      <c r="K4241" s="2" t="s">
        <v>8496</v>
      </c>
      <c r="L4241" s="36" t="str">
        <f t="shared" si="71"/>
        <v>Ver Imagen</v>
      </c>
      <c r="M4241" s="37" t="s">
        <v>8052</v>
      </c>
    </row>
    <row r="4242" spans="1:13" x14ac:dyDescent="0.25">
      <c r="A4242" s="33">
        <v>4244</v>
      </c>
      <c r="B4242" t="s">
        <v>8497</v>
      </c>
      <c r="C4242" s="1">
        <v>37.2549618647</v>
      </c>
      <c r="D4242" s="1">
        <v>-7.10877665718</v>
      </c>
      <c r="E4242" s="3">
        <v>3</v>
      </c>
      <c r="F4242" s="2">
        <v>1</v>
      </c>
      <c r="G4242" s="4">
        <v>3</v>
      </c>
      <c r="H4242" s="13">
        <v>1</v>
      </c>
      <c r="I4242" s="34">
        <v>1</v>
      </c>
      <c r="J4242" s="35">
        <v>1</v>
      </c>
      <c r="K4242" s="2" t="s">
        <v>8498</v>
      </c>
      <c r="L4242" s="36" t="str">
        <f t="shared" si="71"/>
        <v>Ver Imagen</v>
      </c>
      <c r="M4242" t="s">
        <v>8005</v>
      </c>
    </row>
    <row r="4243" spans="1:13" x14ac:dyDescent="0.25">
      <c r="A4243" s="33">
        <v>4245</v>
      </c>
      <c r="B4243" t="s">
        <v>8499</v>
      </c>
      <c r="C4243" s="1">
        <v>37.255056783199997</v>
      </c>
      <c r="D4243" s="1">
        <v>-7.1092596744799996</v>
      </c>
      <c r="E4243" s="3">
        <v>3</v>
      </c>
      <c r="F4243" s="2">
        <v>1</v>
      </c>
      <c r="G4243" s="4">
        <v>3</v>
      </c>
      <c r="H4243" s="13">
        <v>2</v>
      </c>
      <c r="I4243" s="34">
        <v>2</v>
      </c>
      <c r="J4243" s="35">
        <v>2</v>
      </c>
      <c r="K4243" s="2" t="s">
        <v>8500</v>
      </c>
      <c r="L4243" s="36" t="str">
        <f t="shared" si="71"/>
        <v>Ver Imagen</v>
      </c>
      <c r="M4243" t="s">
        <v>8005</v>
      </c>
    </row>
    <row r="4244" spans="1:13" x14ac:dyDescent="0.25">
      <c r="A4244" s="33">
        <v>4246</v>
      </c>
      <c r="B4244" t="s">
        <v>8501</v>
      </c>
      <c r="C4244" s="1">
        <v>37.2553786832</v>
      </c>
      <c r="D4244" s="1">
        <v>-7.1178181453800002</v>
      </c>
      <c r="E4244" s="3">
        <v>3</v>
      </c>
      <c r="F4244" s="2">
        <v>1</v>
      </c>
      <c r="G4244" s="4">
        <v>3</v>
      </c>
      <c r="H4244" s="13">
        <v>2</v>
      </c>
      <c r="I4244" s="34">
        <v>2</v>
      </c>
      <c r="J4244" s="35">
        <v>2</v>
      </c>
      <c r="K4244" s="2" t="s">
        <v>8502</v>
      </c>
      <c r="L4244" s="36" t="str">
        <f t="shared" si="71"/>
        <v>Ver Imagen</v>
      </c>
      <c r="M4244" t="s">
        <v>8005</v>
      </c>
    </row>
    <row r="4245" spans="1:13" x14ac:dyDescent="0.25">
      <c r="A4245" s="33">
        <v>4247</v>
      </c>
      <c r="B4245" t="s">
        <v>8503</v>
      </c>
      <c r="C4245" s="1">
        <v>37.4441055761</v>
      </c>
      <c r="D4245" s="1">
        <v>-7.1001978622199999</v>
      </c>
      <c r="E4245" s="3">
        <v>3</v>
      </c>
      <c r="F4245" s="2">
        <v>1</v>
      </c>
      <c r="G4245" s="4">
        <v>3</v>
      </c>
      <c r="H4245" s="13">
        <v>3</v>
      </c>
      <c r="I4245" s="34">
        <v>2</v>
      </c>
      <c r="J4245" s="38">
        <v>3</v>
      </c>
      <c r="K4245" s="2" t="s">
        <v>8504</v>
      </c>
      <c r="L4245" s="36" t="str">
        <f t="shared" si="71"/>
        <v>Ver Imagen</v>
      </c>
      <c r="M4245" t="s">
        <v>8005</v>
      </c>
    </row>
    <row r="4246" spans="1:13" x14ac:dyDescent="0.25">
      <c r="A4246" s="33">
        <v>4248</v>
      </c>
      <c r="B4246" t="s">
        <v>8505</v>
      </c>
      <c r="C4246" s="1">
        <v>37.494964994199997</v>
      </c>
      <c r="D4246" s="1">
        <v>-7.2766686014499999</v>
      </c>
      <c r="E4246" s="3">
        <v>3</v>
      </c>
      <c r="F4246" s="2">
        <v>1</v>
      </c>
      <c r="G4246" s="4">
        <v>3</v>
      </c>
      <c r="H4246" s="13">
        <v>2</v>
      </c>
      <c r="I4246" s="34">
        <v>2</v>
      </c>
      <c r="J4246" s="35">
        <v>2</v>
      </c>
      <c r="K4246" s="2" t="s">
        <v>8506</v>
      </c>
      <c r="L4246" s="36" t="str">
        <f t="shared" si="71"/>
        <v>Ver Imagen</v>
      </c>
      <c r="M4246" t="s">
        <v>8005</v>
      </c>
    </row>
    <row r="4247" spans="1:13" x14ac:dyDescent="0.25">
      <c r="A4247" s="33">
        <v>4249</v>
      </c>
      <c r="B4247" t="s">
        <v>8507</v>
      </c>
      <c r="C4247" s="1">
        <v>37.497638237899999</v>
      </c>
      <c r="D4247" s="1">
        <v>-7.2679107884</v>
      </c>
      <c r="E4247" s="3">
        <v>3</v>
      </c>
      <c r="F4247" s="2">
        <v>4</v>
      </c>
      <c r="G4247" s="4">
        <v>2</v>
      </c>
      <c r="H4247" s="13">
        <v>4</v>
      </c>
      <c r="I4247" s="34">
        <v>1</v>
      </c>
      <c r="J4247" s="37">
        <v>2</v>
      </c>
      <c r="K4247" s="2" t="s">
        <v>8508</v>
      </c>
      <c r="L4247" s="36" t="str">
        <f t="shared" si="71"/>
        <v>Ver Imagen</v>
      </c>
      <c r="M4247" s="37" t="s">
        <v>8052</v>
      </c>
    </row>
    <row r="4248" spans="1:13" x14ac:dyDescent="0.25">
      <c r="A4248" s="33">
        <v>4250</v>
      </c>
      <c r="B4248" t="s">
        <v>8509</v>
      </c>
      <c r="C4248" s="1">
        <v>37.267653378799999</v>
      </c>
      <c r="D4248" s="1">
        <v>-6.9572833996799996</v>
      </c>
      <c r="E4248" s="3">
        <v>2</v>
      </c>
      <c r="F4248" s="2">
        <v>4</v>
      </c>
      <c r="G4248" s="4">
        <v>3</v>
      </c>
      <c r="H4248" s="13">
        <v>3</v>
      </c>
      <c r="I4248" s="34">
        <v>4</v>
      </c>
      <c r="J4248" s="35">
        <v>3</v>
      </c>
      <c r="K4248" s="2" t="s">
        <v>8510</v>
      </c>
      <c r="L4248" s="36" t="str">
        <f t="shared" si="71"/>
        <v>Ver Imagen</v>
      </c>
      <c r="M4248" t="s">
        <v>8005</v>
      </c>
    </row>
    <row r="4249" spans="1:13" x14ac:dyDescent="0.25">
      <c r="A4249" s="33">
        <v>4251</v>
      </c>
      <c r="B4249" t="s">
        <v>8511</v>
      </c>
      <c r="C4249" s="1">
        <v>37.516808428799997</v>
      </c>
      <c r="D4249" s="1">
        <v>-7.2662390668199999</v>
      </c>
      <c r="E4249" s="3">
        <v>2</v>
      </c>
      <c r="F4249" s="2">
        <v>1</v>
      </c>
      <c r="G4249" s="4">
        <v>3</v>
      </c>
      <c r="H4249" s="13">
        <v>2</v>
      </c>
      <c r="I4249" s="34">
        <v>1</v>
      </c>
      <c r="J4249" s="35">
        <v>2</v>
      </c>
      <c r="K4249" s="2" t="s">
        <v>8512</v>
      </c>
      <c r="L4249" s="36" t="str">
        <f t="shared" si="71"/>
        <v>Ver Imagen</v>
      </c>
      <c r="M4249" t="s">
        <v>8005</v>
      </c>
    </row>
    <row r="4250" spans="1:13" x14ac:dyDescent="0.25">
      <c r="A4250" s="33">
        <v>4252</v>
      </c>
      <c r="B4250" t="s">
        <v>8513</v>
      </c>
      <c r="C4250" s="1">
        <v>37.27179477</v>
      </c>
      <c r="D4250" s="1">
        <v>-6.98560046351</v>
      </c>
      <c r="E4250" s="3">
        <v>3</v>
      </c>
      <c r="F4250" s="2">
        <v>1</v>
      </c>
      <c r="G4250" s="4">
        <v>3</v>
      </c>
      <c r="H4250" s="13">
        <v>2</v>
      </c>
      <c r="I4250" s="34">
        <v>2</v>
      </c>
      <c r="J4250" s="35">
        <v>2</v>
      </c>
      <c r="K4250" s="2" t="s">
        <v>8514</v>
      </c>
      <c r="L4250" s="36" t="str">
        <f t="shared" si="71"/>
        <v>Ver Imagen</v>
      </c>
      <c r="M4250" t="s">
        <v>8005</v>
      </c>
    </row>
    <row r="4251" spans="1:13" x14ac:dyDescent="0.25">
      <c r="A4251" s="33">
        <v>4253</v>
      </c>
      <c r="B4251" t="s">
        <v>8515</v>
      </c>
      <c r="C4251" s="1">
        <v>37.206364442899996</v>
      </c>
      <c r="D4251" s="1">
        <v>-7.0200654334400001</v>
      </c>
      <c r="E4251" s="3">
        <v>3</v>
      </c>
      <c r="F4251" s="2">
        <v>1</v>
      </c>
      <c r="G4251" s="4">
        <v>3</v>
      </c>
      <c r="H4251" s="13">
        <v>1</v>
      </c>
      <c r="I4251" s="34">
        <v>1</v>
      </c>
      <c r="J4251" s="35">
        <v>1</v>
      </c>
      <c r="K4251" s="2" t="s">
        <v>8516</v>
      </c>
      <c r="L4251" s="36" t="str">
        <f t="shared" si="71"/>
        <v>Ver Imagen</v>
      </c>
      <c r="M4251" t="s">
        <v>8005</v>
      </c>
    </row>
    <row r="4252" spans="1:13" x14ac:dyDescent="0.25">
      <c r="A4252" s="33">
        <v>4254</v>
      </c>
      <c r="B4252" t="s">
        <v>8517</v>
      </c>
      <c r="C4252" s="1">
        <v>37.207348985000003</v>
      </c>
      <c r="D4252" s="1">
        <v>-7.0215746485699997</v>
      </c>
      <c r="E4252" s="3">
        <v>3</v>
      </c>
      <c r="F4252" s="2">
        <v>1</v>
      </c>
      <c r="G4252" s="4">
        <v>3</v>
      </c>
      <c r="H4252" s="13">
        <v>2</v>
      </c>
      <c r="I4252" s="34">
        <v>2</v>
      </c>
      <c r="J4252" s="35">
        <v>2</v>
      </c>
      <c r="K4252" s="2" t="s">
        <v>8518</v>
      </c>
      <c r="L4252" s="36" t="str">
        <f t="shared" ref="L4252:L4315" si="72">HYPERLINK("NoConsenso\" &amp; K4252, "Ver Imagen")</f>
        <v>Ver Imagen</v>
      </c>
      <c r="M4252" t="s">
        <v>8005</v>
      </c>
    </row>
    <row r="4253" spans="1:13" x14ac:dyDescent="0.25">
      <c r="A4253" s="33">
        <v>4255</v>
      </c>
      <c r="B4253" t="s">
        <v>8519</v>
      </c>
      <c r="C4253" s="1">
        <v>37.233780878700003</v>
      </c>
      <c r="D4253" s="1">
        <v>-7.0181860661400002</v>
      </c>
      <c r="E4253" s="3">
        <v>3</v>
      </c>
      <c r="F4253" s="2">
        <v>1</v>
      </c>
      <c r="G4253" s="4">
        <v>3</v>
      </c>
      <c r="H4253" s="13">
        <v>2</v>
      </c>
      <c r="I4253" s="34">
        <v>1</v>
      </c>
      <c r="J4253" s="37">
        <v>1</v>
      </c>
      <c r="K4253" s="2" t="s">
        <v>8520</v>
      </c>
      <c r="L4253" s="36" t="str">
        <f t="shared" si="72"/>
        <v>Ver Imagen</v>
      </c>
      <c r="M4253" s="37" t="s">
        <v>8052</v>
      </c>
    </row>
    <row r="4254" spans="1:13" x14ac:dyDescent="0.25">
      <c r="A4254" s="33">
        <v>4256</v>
      </c>
      <c r="B4254" t="s">
        <v>8521</v>
      </c>
      <c r="C4254" s="1">
        <v>37.2111560707</v>
      </c>
      <c r="D4254" s="1">
        <v>-7.0238089636999996</v>
      </c>
      <c r="E4254" s="3">
        <v>3</v>
      </c>
      <c r="F4254" s="2">
        <v>1</v>
      </c>
      <c r="G4254" s="4">
        <v>3</v>
      </c>
      <c r="H4254" s="13">
        <v>2</v>
      </c>
      <c r="I4254" s="34">
        <v>3</v>
      </c>
      <c r="J4254" s="37">
        <v>2</v>
      </c>
      <c r="K4254" s="2" t="s">
        <v>8522</v>
      </c>
      <c r="L4254" s="36" t="str">
        <f t="shared" si="72"/>
        <v>Ver Imagen</v>
      </c>
      <c r="M4254" s="37" t="s">
        <v>8052</v>
      </c>
    </row>
    <row r="4255" spans="1:13" x14ac:dyDescent="0.25">
      <c r="A4255" s="33">
        <v>4257</v>
      </c>
      <c r="B4255" t="s">
        <v>8523</v>
      </c>
      <c r="C4255" s="1">
        <v>37.259567611599998</v>
      </c>
      <c r="D4255" s="1">
        <v>-7.0117814093500002</v>
      </c>
      <c r="E4255" s="3">
        <v>3</v>
      </c>
      <c r="F4255" s="2">
        <v>1</v>
      </c>
      <c r="G4255" s="4">
        <v>3</v>
      </c>
      <c r="H4255" s="13">
        <v>1</v>
      </c>
      <c r="I4255" s="34">
        <v>2</v>
      </c>
      <c r="J4255" s="35">
        <v>2</v>
      </c>
      <c r="K4255" s="2" t="s">
        <v>8524</v>
      </c>
      <c r="L4255" s="36" t="str">
        <f t="shared" si="72"/>
        <v>Ver Imagen</v>
      </c>
      <c r="M4255" t="s">
        <v>8005</v>
      </c>
    </row>
    <row r="4256" spans="1:13" x14ac:dyDescent="0.25">
      <c r="A4256" s="33">
        <v>4258</v>
      </c>
      <c r="B4256" t="s">
        <v>8525</v>
      </c>
      <c r="C4256" s="1">
        <v>37.446732115700001</v>
      </c>
      <c r="D4256" s="1">
        <v>-7.1312688690200003</v>
      </c>
      <c r="E4256" s="3">
        <v>2</v>
      </c>
      <c r="F4256" s="2">
        <v>4</v>
      </c>
      <c r="G4256" s="4">
        <v>4</v>
      </c>
      <c r="H4256" s="13">
        <v>4</v>
      </c>
      <c r="I4256" s="34">
        <v>4</v>
      </c>
      <c r="J4256" s="35">
        <v>4</v>
      </c>
      <c r="K4256" s="2" t="s">
        <v>8526</v>
      </c>
      <c r="L4256" s="36" t="str">
        <f t="shared" si="72"/>
        <v>Ver Imagen</v>
      </c>
      <c r="M4256" t="s">
        <v>8005</v>
      </c>
    </row>
    <row r="4257" spans="1:13" x14ac:dyDescent="0.25">
      <c r="A4257" s="33">
        <v>4259</v>
      </c>
      <c r="B4257" t="s">
        <v>8527</v>
      </c>
      <c r="C4257" s="1">
        <v>37.446261094500002</v>
      </c>
      <c r="D4257" s="1">
        <v>-7.13447958234</v>
      </c>
      <c r="E4257" s="3">
        <v>2</v>
      </c>
      <c r="F4257" s="2">
        <v>4</v>
      </c>
      <c r="G4257" s="4">
        <v>4</v>
      </c>
      <c r="H4257" s="13">
        <v>4</v>
      </c>
      <c r="I4257" s="34">
        <v>4</v>
      </c>
      <c r="J4257" s="35">
        <v>4</v>
      </c>
      <c r="K4257" s="2" t="s">
        <v>8528</v>
      </c>
      <c r="L4257" s="36" t="str">
        <f t="shared" si="72"/>
        <v>Ver Imagen</v>
      </c>
      <c r="M4257" t="s">
        <v>8005</v>
      </c>
    </row>
    <row r="4258" spans="1:13" x14ac:dyDescent="0.25">
      <c r="A4258" s="33">
        <v>4260</v>
      </c>
      <c r="B4258" t="s">
        <v>8529</v>
      </c>
      <c r="C4258" s="1">
        <v>37.446647855599998</v>
      </c>
      <c r="D4258" s="1">
        <v>-7.1381317956999997</v>
      </c>
      <c r="E4258" s="3">
        <v>2</v>
      </c>
      <c r="F4258" s="2">
        <v>4</v>
      </c>
      <c r="G4258" s="4">
        <v>4</v>
      </c>
      <c r="H4258" s="13">
        <v>4</v>
      </c>
      <c r="I4258" s="34">
        <v>5</v>
      </c>
      <c r="J4258" s="35">
        <v>4</v>
      </c>
      <c r="K4258" s="2" t="s">
        <v>8530</v>
      </c>
      <c r="L4258" s="36" t="str">
        <f t="shared" si="72"/>
        <v>Ver Imagen</v>
      </c>
      <c r="M4258" t="s">
        <v>8005</v>
      </c>
    </row>
    <row r="4259" spans="1:13" x14ac:dyDescent="0.25">
      <c r="A4259" s="33">
        <v>4261</v>
      </c>
      <c r="B4259" t="s">
        <v>8531</v>
      </c>
      <c r="C4259" s="1">
        <v>37.446998499400003</v>
      </c>
      <c r="D4259" s="1">
        <v>-7.1392885049799997</v>
      </c>
      <c r="E4259" s="3">
        <v>2</v>
      </c>
      <c r="F4259" s="2">
        <v>3</v>
      </c>
      <c r="G4259" s="4">
        <v>4</v>
      </c>
      <c r="H4259" s="13">
        <v>4</v>
      </c>
      <c r="I4259" s="34">
        <v>4</v>
      </c>
      <c r="J4259" s="35">
        <v>4</v>
      </c>
      <c r="K4259" s="2" t="s">
        <v>8532</v>
      </c>
      <c r="L4259" s="36" t="str">
        <f t="shared" si="72"/>
        <v>Ver Imagen</v>
      </c>
      <c r="M4259" t="s">
        <v>8005</v>
      </c>
    </row>
    <row r="4260" spans="1:13" x14ac:dyDescent="0.25">
      <c r="A4260" s="33">
        <v>4262</v>
      </c>
      <c r="B4260" t="s">
        <v>8533</v>
      </c>
      <c r="C4260" s="1">
        <v>37.447777211199998</v>
      </c>
      <c r="D4260" s="1">
        <v>-7.1411197386899996</v>
      </c>
      <c r="E4260" s="3">
        <v>2</v>
      </c>
      <c r="F4260" s="2">
        <v>3</v>
      </c>
      <c r="G4260" s="4">
        <v>4</v>
      </c>
      <c r="H4260" s="13">
        <v>4</v>
      </c>
      <c r="I4260" s="34">
        <v>4</v>
      </c>
      <c r="J4260" s="35">
        <v>4</v>
      </c>
      <c r="K4260" s="2" t="s">
        <v>8534</v>
      </c>
      <c r="L4260" s="36" t="str">
        <f t="shared" si="72"/>
        <v>Ver Imagen</v>
      </c>
      <c r="M4260" t="s">
        <v>8005</v>
      </c>
    </row>
    <row r="4261" spans="1:13" x14ac:dyDescent="0.25">
      <c r="A4261" s="33">
        <v>4263</v>
      </c>
      <c r="B4261" t="s">
        <v>8535</v>
      </c>
      <c r="C4261" s="1">
        <v>37.447874643799999</v>
      </c>
      <c r="D4261" s="1">
        <v>-7.1413294706199997</v>
      </c>
      <c r="E4261" s="3">
        <v>2</v>
      </c>
      <c r="F4261" s="2">
        <v>3</v>
      </c>
      <c r="G4261" s="4">
        <v>4</v>
      </c>
      <c r="H4261" s="13">
        <v>4</v>
      </c>
      <c r="I4261" s="34">
        <v>4</v>
      </c>
      <c r="J4261" s="35">
        <v>4</v>
      </c>
      <c r="K4261" s="2" t="s">
        <v>8536</v>
      </c>
      <c r="L4261" s="36" t="str">
        <f t="shared" si="72"/>
        <v>Ver Imagen</v>
      </c>
      <c r="M4261" t="s">
        <v>8005</v>
      </c>
    </row>
    <row r="4262" spans="1:13" x14ac:dyDescent="0.25">
      <c r="A4262" s="33">
        <v>4264</v>
      </c>
      <c r="B4262" t="s">
        <v>8537</v>
      </c>
      <c r="C4262" s="1">
        <v>37.448096923500003</v>
      </c>
      <c r="D4262" s="1">
        <v>-7.1418015189200004</v>
      </c>
      <c r="E4262" s="3">
        <v>2</v>
      </c>
      <c r="F4262" s="2">
        <v>4</v>
      </c>
      <c r="G4262" s="4">
        <v>4</v>
      </c>
      <c r="H4262" s="13">
        <v>4</v>
      </c>
      <c r="I4262" s="34">
        <v>3</v>
      </c>
      <c r="J4262" s="35">
        <v>4</v>
      </c>
      <c r="K4262" s="2" t="s">
        <v>8538</v>
      </c>
      <c r="L4262" s="36" t="str">
        <f t="shared" si="72"/>
        <v>Ver Imagen</v>
      </c>
      <c r="M4262" t="s">
        <v>8005</v>
      </c>
    </row>
    <row r="4263" spans="1:13" x14ac:dyDescent="0.25">
      <c r="A4263" s="33">
        <v>4265</v>
      </c>
      <c r="B4263" t="s">
        <v>8539</v>
      </c>
      <c r="C4263" s="1">
        <v>37.449072147199999</v>
      </c>
      <c r="D4263" s="1">
        <v>-7.1502155207699998</v>
      </c>
      <c r="E4263" s="3">
        <v>2</v>
      </c>
      <c r="F4263" s="2">
        <v>3</v>
      </c>
      <c r="G4263" s="4">
        <v>4</v>
      </c>
      <c r="H4263" s="13">
        <v>3</v>
      </c>
      <c r="I4263" s="34">
        <v>3</v>
      </c>
      <c r="J4263" s="35">
        <v>3</v>
      </c>
      <c r="K4263" s="2" t="s">
        <v>8540</v>
      </c>
      <c r="L4263" s="36" t="str">
        <f t="shared" si="72"/>
        <v>Ver Imagen</v>
      </c>
      <c r="M4263" t="s">
        <v>8005</v>
      </c>
    </row>
    <row r="4264" spans="1:13" x14ac:dyDescent="0.25">
      <c r="A4264" s="33">
        <v>4266</v>
      </c>
      <c r="B4264" t="s">
        <v>8541</v>
      </c>
      <c r="C4264" s="1">
        <v>37.449193055400002</v>
      </c>
      <c r="D4264" s="1">
        <v>-7.1506714158699998</v>
      </c>
      <c r="E4264" s="3">
        <v>2</v>
      </c>
      <c r="F4264" s="2">
        <v>4</v>
      </c>
      <c r="G4264" s="4">
        <v>4</v>
      </c>
      <c r="H4264" s="13">
        <v>3</v>
      </c>
      <c r="I4264" s="34">
        <v>4</v>
      </c>
      <c r="J4264" s="37">
        <v>3</v>
      </c>
      <c r="K4264" s="2" t="s">
        <v>8542</v>
      </c>
      <c r="L4264" s="36" t="str">
        <f t="shared" si="72"/>
        <v>Ver Imagen</v>
      </c>
      <c r="M4264" s="37" t="s">
        <v>8052</v>
      </c>
    </row>
    <row r="4265" spans="1:13" x14ac:dyDescent="0.25">
      <c r="A4265" s="33">
        <v>4267</v>
      </c>
      <c r="B4265" t="s">
        <v>8543</v>
      </c>
      <c r="C4265" s="1">
        <v>37.450694000299997</v>
      </c>
      <c r="D4265" s="1">
        <v>-7.1533872384899997</v>
      </c>
      <c r="E4265" s="3">
        <v>2</v>
      </c>
      <c r="F4265" s="2">
        <v>3</v>
      </c>
      <c r="G4265" s="4">
        <v>4</v>
      </c>
      <c r="H4265" s="13">
        <v>3</v>
      </c>
      <c r="I4265" s="34">
        <v>3</v>
      </c>
      <c r="J4265" s="35">
        <v>3</v>
      </c>
      <c r="K4265" s="2" t="s">
        <v>8544</v>
      </c>
      <c r="L4265" s="36" t="str">
        <f t="shared" si="72"/>
        <v>Ver Imagen</v>
      </c>
      <c r="M4265" t="s">
        <v>8005</v>
      </c>
    </row>
    <row r="4266" spans="1:13" x14ac:dyDescent="0.25">
      <c r="A4266" s="33">
        <v>4268</v>
      </c>
      <c r="B4266" t="s">
        <v>8545</v>
      </c>
      <c r="C4266" s="1">
        <v>37.452494252900003</v>
      </c>
      <c r="D4266" s="1">
        <v>-7.1605797581799999</v>
      </c>
      <c r="E4266" s="3">
        <v>2</v>
      </c>
      <c r="F4266" s="2">
        <v>4</v>
      </c>
      <c r="G4266" s="4">
        <v>4</v>
      </c>
      <c r="H4266" s="13">
        <v>4</v>
      </c>
      <c r="I4266" s="34">
        <v>4</v>
      </c>
      <c r="J4266" s="35">
        <v>4</v>
      </c>
      <c r="K4266" s="2" t="s">
        <v>8546</v>
      </c>
      <c r="L4266" s="36" t="str">
        <f t="shared" si="72"/>
        <v>Ver Imagen</v>
      </c>
      <c r="M4266" t="s">
        <v>8005</v>
      </c>
    </row>
    <row r="4267" spans="1:13" x14ac:dyDescent="0.25">
      <c r="A4267" s="33">
        <v>4269</v>
      </c>
      <c r="B4267" t="s">
        <v>8547</v>
      </c>
      <c r="C4267" s="1">
        <v>37.452568618999997</v>
      </c>
      <c r="D4267" s="1">
        <v>-7.1608295461200004</v>
      </c>
      <c r="E4267" s="3">
        <v>2</v>
      </c>
      <c r="F4267" s="2">
        <v>4</v>
      </c>
      <c r="G4267" s="4">
        <v>4</v>
      </c>
      <c r="H4267" s="13">
        <v>4</v>
      </c>
      <c r="I4267" s="34">
        <v>4</v>
      </c>
      <c r="J4267" s="35">
        <v>4</v>
      </c>
      <c r="K4267" s="2" t="s">
        <v>8548</v>
      </c>
      <c r="L4267" s="36" t="str">
        <f t="shared" si="72"/>
        <v>Ver Imagen</v>
      </c>
      <c r="M4267" t="s">
        <v>8005</v>
      </c>
    </row>
    <row r="4268" spans="1:13" x14ac:dyDescent="0.25">
      <c r="A4268" s="33">
        <v>4270</v>
      </c>
      <c r="B4268" t="s">
        <v>8549</v>
      </c>
      <c r="C4268" s="1">
        <v>37.455971543899999</v>
      </c>
      <c r="D4268" s="1">
        <v>-7.1667630231899997</v>
      </c>
      <c r="E4268" s="3">
        <v>2</v>
      </c>
      <c r="F4268" s="2">
        <v>4</v>
      </c>
      <c r="G4268" s="4">
        <v>4</v>
      </c>
      <c r="H4268" s="13">
        <v>3</v>
      </c>
      <c r="I4268" s="34">
        <v>3</v>
      </c>
      <c r="J4268" s="35">
        <v>3</v>
      </c>
      <c r="K4268" s="2" t="s">
        <v>8550</v>
      </c>
      <c r="L4268" s="36" t="str">
        <f t="shared" si="72"/>
        <v>Ver Imagen</v>
      </c>
      <c r="M4268" t="s">
        <v>8005</v>
      </c>
    </row>
    <row r="4269" spans="1:13" x14ac:dyDescent="0.25">
      <c r="A4269" s="33">
        <v>4271</v>
      </c>
      <c r="B4269" t="s">
        <v>8551</v>
      </c>
      <c r="C4269" s="1">
        <v>37.456283139999996</v>
      </c>
      <c r="D4269" s="1">
        <v>-7.1671460751299998</v>
      </c>
      <c r="E4269" s="3">
        <v>2</v>
      </c>
      <c r="F4269" s="2">
        <v>4</v>
      </c>
      <c r="G4269" s="4">
        <v>4</v>
      </c>
      <c r="H4269" s="13">
        <v>4</v>
      </c>
      <c r="I4269" s="34">
        <v>4</v>
      </c>
      <c r="J4269" s="35">
        <v>4</v>
      </c>
      <c r="K4269" s="2" t="s">
        <v>8552</v>
      </c>
      <c r="L4269" s="36" t="str">
        <f t="shared" si="72"/>
        <v>Ver Imagen</v>
      </c>
      <c r="M4269" t="s">
        <v>8005</v>
      </c>
    </row>
    <row r="4270" spans="1:13" x14ac:dyDescent="0.25">
      <c r="A4270" s="33">
        <v>4272</v>
      </c>
      <c r="B4270" t="s">
        <v>8553</v>
      </c>
      <c r="C4270" s="1">
        <v>37.457851669500002</v>
      </c>
      <c r="D4270" s="1">
        <v>-7.1690829921699999</v>
      </c>
      <c r="E4270" s="3">
        <v>2</v>
      </c>
      <c r="F4270" s="2">
        <v>4</v>
      </c>
      <c r="G4270" s="4">
        <v>4</v>
      </c>
      <c r="H4270" s="13">
        <v>4</v>
      </c>
      <c r="I4270" s="34">
        <v>4</v>
      </c>
      <c r="J4270" s="35">
        <v>4</v>
      </c>
      <c r="K4270" s="2" t="s">
        <v>8554</v>
      </c>
      <c r="L4270" s="36" t="str">
        <f t="shared" si="72"/>
        <v>Ver Imagen</v>
      </c>
      <c r="M4270" t="s">
        <v>8005</v>
      </c>
    </row>
    <row r="4271" spans="1:13" x14ac:dyDescent="0.25">
      <c r="A4271" s="33">
        <v>4273</v>
      </c>
      <c r="B4271" t="s">
        <v>8555</v>
      </c>
      <c r="C4271" s="1">
        <v>37.458438225199998</v>
      </c>
      <c r="D4271" s="1">
        <v>-7.1698018530500001</v>
      </c>
      <c r="E4271" s="3">
        <v>2</v>
      </c>
      <c r="F4271" s="2">
        <v>4</v>
      </c>
      <c r="G4271" s="4">
        <v>4</v>
      </c>
      <c r="H4271" s="13">
        <v>4</v>
      </c>
      <c r="I4271" s="34">
        <v>4</v>
      </c>
      <c r="J4271" s="35">
        <v>4</v>
      </c>
      <c r="K4271" s="2" t="s">
        <v>8556</v>
      </c>
      <c r="L4271" s="36" t="str">
        <f t="shared" si="72"/>
        <v>Ver Imagen</v>
      </c>
      <c r="M4271" t="s">
        <v>8005</v>
      </c>
    </row>
    <row r="4272" spans="1:13" x14ac:dyDescent="0.25">
      <c r="A4272" s="33">
        <v>4274</v>
      </c>
      <c r="B4272" t="s">
        <v>8557</v>
      </c>
      <c r="C4272" s="1">
        <v>37.458573847899999</v>
      </c>
      <c r="D4272" s="1">
        <v>-7.1699683626999997</v>
      </c>
      <c r="E4272" s="3">
        <v>2</v>
      </c>
      <c r="F4272" s="2">
        <v>4</v>
      </c>
      <c r="G4272" s="4">
        <v>4</v>
      </c>
      <c r="H4272" s="13">
        <v>4</v>
      </c>
      <c r="I4272" s="34">
        <v>4</v>
      </c>
      <c r="J4272" s="35">
        <v>4</v>
      </c>
      <c r="K4272" s="2" t="s">
        <v>8558</v>
      </c>
      <c r="L4272" s="36" t="str">
        <f t="shared" si="72"/>
        <v>Ver Imagen</v>
      </c>
      <c r="M4272" t="s">
        <v>8005</v>
      </c>
    </row>
    <row r="4273" spans="1:13" x14ac:dyDescent="0.25">
      <c r="A4273" s="33">
        <v>4275</v>
      </c>
      <c r="B4273" t="s">
        <v>8559</v>
      </c>
      <c r="C4273" s="1">
        <v>37.458727684599999</v>
      </c>
      <c r="D4273" s="1">
        <v>-7.17015708934</v>
      </c>
      <c r="E4273" s="3">
        <v>2</v>
      </c>
      <c r="F4273" s="2">
        <v>4</v>
      </c>
      <c r="G4273" s="4">
        <v>4</v>
      </c>
      <c r="H4273" s="13">
        <v>4</v>
      </c>
      <c r="I4273" s="34">
        <v>4</v>
      </c>
      <c r="J4273" s="35">
        <v>4</v>
      </c>
      <c r="K4273" s="2" t="s">
        <v>8560</v>
      </c>
      <c r="L4273" s="36" t="str">
        <f t="shared" si="72"/>
        <v>Ver Imagen</v>
      </c>
      <c r="M4273" t="s">
        <v>8005</v>
      </c>
    </row>
    <row r="4274" spans="1:13" x14ac:dyDescent="0.25">
      <c r="A4274" s="33">
        <v>4276</v>
      </c>
      <c r="B4274" t="s">
        <v>8561</v>
      </c>
      <c r="C4274" s="1">
        <v>37.458864187499998</v>
      </c>
      <c r="D4274" s="1">
        <v>-7.1703240778400001</v>
      </c>
      <c r="E4274" s="3">
        <v>2</v>
      </c>
      <c r="F4274" s="2">
        <v>3</v>
      </c>
      <c r="G4274" s="4">
        <v>4</v>
      </c>
      <c r="H4274" s="13">
        <v>4</v>
      </c>
      <c r="I4274" s="34">
        <v>4</v>
      </c>
      <c r="J4274" s="35">
        <v>4</v>
      </c>
      <c r="K4274" s="2" t="s">
        <v>8562</v>
      </c>
      <c r="L4274" s="36" t="str">
        <f t="shared" si="72"/>
        <v>Ver Imagen</v>
      </c>
      <c r="M4274" t="s">
        <v>8005</v>
      </c>
    </row>
    <row r="4275" spans="1:13" x14ac:dyDescent="0.25">
      <c r="A4275" s="33">
        <v>4277</v>
      </c>
      <c r="B4275" t="s">
        <v>8563</v>
      </c>
      <c r="C4275" s="1">
        <v>37.459012210499999</v>
      </c>
      <c r="D4275" s="1">
        <v>-7.1705035555399999</v>
      </c>
      <c r="E4275" s="3">
        <v>2</v>
      </c>
      <c r="F4275" s="2">
        <v>4</v>
      </c>
      <c r="G4275" s="4">
        <v>4</v>
      </c>
      <c r="H4275" s="13">
        <v>4</v>
      </c>
      <c r="I4275" s="34">
        <v>4</v>
      </c>
      <c r="J4275" s="35">
        <v>4</v>
      </c>
      <c r="K4275" s="2" t="s">
        <v>8564</v>
      </c>
      <c r="L4275" s="36" t="str">
        <f t="shared" si="72"/>
        <v>Ver Imagen</v>
      </c>
      <c r="M4275" t="s">
        <v>8005</v>
      </c>
    </row>
    <row r="4276" spans="1:13" x14ac:dyDescent="0.25">
      <c r="A4276" s="33">
        <v>4278</v>
      </c>
      <c r="B4276" t="s">
        <v>8565</v>
      </c>
      <c r="C4276" s="1">
        <v>37.4591635166</v>
      </c>
      <c r="D4276" s="1">
        <v>-7.17068697759</v>
      </c>
      <c r="E4276" s="3">
        <v>2</v>
      </c>
      <c r="F4276" s="2">
        <v>4</v>
      </c>
      <c r="G4276" s="4">
        <v>4</v>
      </c>
      <c r="H4276" s="13">
        <v>4</v>
      </c>
      <c r="I4276" s="34">
        <v>4</v>
      </c>
      <c r="J4276" s="35">
        <v>4</v>
      </c>
      <c r="K4276" s="2" t="s">
        <v>8566</v>
      </c>
      <c r="L4276" s="36" t="str">
        <f t="shared" si="72"/>
        <v>Ver Imagen</v>
      </c>
      <c r="M4276" t="s">
        <v>8005</v>
      </c>
    </row>
    <row r="4277" spans="1:13" x14ac:dyDescent="0.25">
      <c r="A4277" s="33">
        <v>4279</v>
      </c>
      <c r="B4277" t="s">
        <v>8567</v>
      </c>
      <c r="C4277" s="1">
        <v>37.459349096300002</v>
      </c>
      <c r="D4277" s="1">
        <v>-7.1709160882600003</v>
      </c>
      <c r="E4277" s="3">
        <v>2</v>
      </c>
      <c r="F4277" s="2">
        <v>3</v>
      </c>
      <c r="G4277" s="4">
        <v>4</v>
      </c>
      <c r="H4277" s="13">
        <v>3</v>
      </c>
      <c r="I4277" s="34">
        <v>4</v>
      </c>
      <c r="J4277" s="37">
        <v>4</v>
      </c>
      <c r="K4277" s="2" t="s">
        <v>8568</v>
      </c>
      <c r="L4277" s="36" t="str">
        <f t="shared" si="72"/>
        <v>Ver Imagen</v>
      </c>
      <c r="M4277" s="37" t="s">
        <v>8052</v>
      </c>
    </row>
    <row r="4278" spans="1:13" x14ac:dyDescent="0.25">
      <c r="A4278" s="33">
        <v>4280</v>
      </c>
      <c r="B4278" t="s">
        <v>8569</v>
      </c>
      <c r="C4278" s="1">
        <v>37.459708779000003</v>
      </c>
      <c r="D4278" s="1">
        <v>-7.1713982716600002</v>
      </c>
      <c r="E4278" s="3">
        <v>2</v>
      </c>
      <c r="F4278" s="2">
        <v>4</v>
      </c>
      <c r="G4278" s="4">
        <v>4</v>
      </c>
      <c r="H4278" s="13">
        <v>4</v>
      </c>
      <c r="I4278" s="34">
        <v>4</v>
      </c>
      <c r="J4278" s="35">
        <v>4</v>
      </c>
      <c r="K4278" s="2" t="s">
        <v>8570</v>
      </c>
      <c r="L4278" s="36" t="str">
        <f t="shared" si="72"/>
        <v>Ver Imagen</v>
      </c>
      <c r="M4278" t="s">
        <v>8005</v>
      </c>
    </row>
    <row r="4279" spans="1:13" x14ac:dyDescent="0.25">
      <c r="A4279" s="33">
        <v>4281</v>
      </c>
      <c r="B4279" t="s">
        <v>8571</v>
      </c>
      <c r="C4279" s="1">
        <v>37.460958039200001</v>
      </c>
      <c r="D4279" s="1">
        <v>-7.1734112661999996</v>
      </c>
      <c r="E4279" s="3">
        <v>2</v>
      </c>
      <c r="F4279" s="2">
        <v>4</v>
      </c>
      <c r="G4279" s="4">
        <v>4</v>
      </c>
      <c r="H4279" s="13">
        <v>4</v>
      </c>
      <c r="I4279" s="34">
        <v>3</v>
      </c>
      <c r="J4279" s="35">
        <v>4</v>
      </c>
      <c r="K4279" s="2" t="s">
        <v>8572</v>
      </c>
      <c r="L4279" s="36" t="str">
        <f t="shared" si="72"/>
        <v>Ver Imagen</v>
      </c>
      <c r="M4279" t="s">
        <v>8005</v>
      </c>
    </row>
    <row r="4280" spans="1:13" x14ac:dyDescent="0.25">
      <c r="A4280" s="33">
        <v>4282</v>
      </c>
      <c r="B4280" t="s">
        <v>8573</v>
      </c>
      <c r="C4280" s="1">
        <v>37.465960205000002</v>
      </c>
      <c r="D4280" s="1">
        <v>-7.1821022467600004</v>
      </c>
      <c r="E4280" s="3">
        <v>3</v>
      </c>
      <c r="F4280" s="2">
        <v>5</v>
      </c>
      <c r="G4280" s="4">
        <v>4</v>
      </c>
      <c r="H4280" s="13">
        <v>4</v>
      </c>
      <c r="I4280" s="34">
        <v>4</v>
      </c>
      <c r="J4280" s="35">
        <v>4</v>
      </c>
      <c r="K4280" s="2" t="s">
        <v>8574</v>
      </c>
      <c r="L4280" s="36" t="str">
        <f t="shared" si="72"/>
        <v>Ver Imagen</v>
      </c>
      <c r="M4280" t="s">
        <v>8005</v>
      </c>
    </row>
    <row r="4281" spans="1:13" x14ac:dyDescent="0.25">
      <c r="A4281" s="33">
        <v>4283</v>
      </c>
      <c r="B4281" t="s">
        <v>8575</v>
      </c>
      <c r="C4281" s="1">
        <v>37.4665176902</v>
      </c>
      <c r="D4281" s="1">
        <v>-7.1831391132100002</v>
      </c>
      <c r="E4281" s="3">
        <v>2</v>
      </c>
      <c r="F4281" s="2">
        <v>3</v>
      </c>
      <c r="G4281" s="4">
        <v>4</v>
      </c>
      <c r="H4281" s="13">
        <v>3</v>
      </c>
      <c r="I4281" s="34">
        <v>3</v>
      </c>
      <c r="J4281" s="35">
        <v>3</v>
      </c>
      <c r="K4281" s="2" t="s">
        <v>8576</v>
      </c>
      <c r="L4281" s="36" t="str">
        <f t="shared" si="72"/>
        <v>Ver Imagen</v>
      </c>
      <c r="M4281" t="s">
        <v>8005</v>
      </c>
    </row>
    <row r="4282" spans="1:13" x14ac:dyDescent="0.25">
      <c r="A4282" s="33">
        <v>4284</v>
      </c>
      <c r="B4282" t="s">
        <v>8577</v>
      </c>
      <c r="C4282" s="1">
        <v>37.476808482999999</v>
      </c>
      <c r="D4282" s="1">
        <v>-7.2029460999800001</v>
      </c>
      <c r="E4282" s="3">
        <v>2</v>
      </c>
      <c r="F4282" s="2">
        <v>4</v>
      </c>
      <c r="G4282" s="4">
        <v>4</v>
      </c>
      <c r="H4282" s="13">
        <v>3</v>
      </c>
      <c r="I4282" s="34">
        <v>3</v>
      </c>
      <c r="J4282" s="35">
        <v>3</v>
      </c>
      <c r="K4282" s="2" t="s">
        <v>8578</v>
      </c>
      <c r="L4282" s="36" t="str">
        <f t="shared" si="72"/>
        <v>Ver Imagen</v>
      </c>
      <c r="M4282" t="s">
        <v>8005</v>
      </c>
    </row>
    <row r="4283" spans="1:13" x14ac:dyDescent="0.25">
      <c r="A4283" s="33">
        <v>4285</v>
      </c>
      <c r="B4283" t="s">
        <v>8579</v>
      </c>
      <c r="C4283" s="1">
        <v>37.476974775999999</v>
      </c>
      <c r="D4283" s="1">
        <v>-7.2033314529499997</v>
      </c>
      <c r="E4283" s="3">
        <v>2</v>
      </c>
      <c r="F4283" s="2">
        <v>3</v>
      </c>
      <c r="G4283" s="4">
        <v>4</v>
      </c>
      <c r="H4283" s="13">
        <v>3</v>
      </c>
      <c r="I4283" s="34">
        <v>3</v>
      </c>
      <c r="J4283" s="35">
        <v>3</v>
      </c>
      <c r="K4283" s="2" t="s">
        <v>8580</v>
      </c>
      <c r="L4283" s="36" t="str">
        <f t="shared" si="72"/>
        <v>Ver Imagen</v>
      </c>
      <c r="M4283" t="s">
        <v>8005</v>
      </c>
    </row>
    <row r="4284" spans="1:13" x14ac:dyDescent="0.25">
      <c r="A4284" s="33">
        <v>4286</v>
      </c>
      <c r="B4284" t="s">
        <v>8581</v>
      </c>
      <c r="C4284" s="1">
        <v>37.479766871599999</v>
      </c>
      <c r="D4284" s="1">
        <v>-7.2098110479299997</v>
      </c>
      <c r="E4284" s="3">
        <v>2</v>
      </c>
      <c r="F4284" s="2">
        <v>3</v>
      </c>
      <c r="G4284" s="4">
        <v>4</v>
      </c>
      <c r="H4284" s="13">
        <v>3</v>
      </c>
      <c r="I4284" s="34">
        <v>3</v>
      </c>
      <c r="J4284" s="35">
        <v>3</v>
      </c>
      <c r="K4284" s="2" t="s">
        <v>8582</v>
      </c>
      <c r="L4284" s="36" t="str">
        <f t="shared" si="72"/>
        <v>Ver Imagen</v>
      </c>
      <c r="M4284" t="s">
        <v>8005</v>
      </c>
    </row>
    <row r="4285" spans="1:13" x14ac:dyDescent="0.25">
      <c r="A4285" s="33">
        <v>4287</v>
      </c>
      <c r="B4285" t="s">
        <v>8583</v>
      </c>
      <c r="C4285" s="1">
        <v>37.490617605499999</v>
      </c>
      <c r="D4285" s="1">
        <v>-7.24966322604</v>
      </c>
      <c r="E4285" s="3">
        <v>2</v>
      </c>
      <c r="F4285" s="2">
        <v>3</v>
      </c>
      <c r="G4285" s="4">
        <v>4</v>
      </c>
      <c r="H4285" s="13">
        <v>3</v>
      </c>
      <c r="I4285" s="34">
        <v>3</v>
      </c>
      <c r="J4285" s="35">
        <v>3</v>
      </c>
      <c r="K4285" s="2" t="s">
        <v>8584</v>
      </c>
      <c r="L4285" s="36" t="str">
        <f t="shared" si="72"/>
        <v>Ver Imagen</v>
      </c>
      <c r="M4285" t="s">
        <v>8005</v>
      </c>
    </row>
    <row r="4286" spans="1:13" x14ac:dyDescent="0.25">
      <c r="A4286" s="33">
        <v>4288</v>
      </c>
      <c r="B4286" t="s">
        <v>8585</v>
      </c>
      <c r="C4286" s="1">
        <v>37.491759140500001</v>
      </c>
      <c r="D4286" s="1">
        <v>-7.2612684269400001</v>
      </c>
      <c r="E4286" s="3">
        <v>2</v>
      </c>
      <c r="F4286" s="2">
        <v>4</v>
      </c>
      <c r="G4286" s="4">
        <v>4</v>
      </c>
      <c r="H4286" s="13">
        <v>3</v>
      </c>
      <c r="I4286" s="34">
        <v>4</v>
      </c>
      <c r="J4286" s="35">
        <v>4</v>
      </c>
      <c r="K4286" s="2" t="s">
        <v>8586</v>
      </c>
      <c r="L4286" s="36" t="str">
        <f t="shared" si="72"/>
        <v>Ver Imagen</v>
      </c>
      <c r="M4286" t="s">
        <v>8005</v>
      </c>
    </row>
    <row r="4287" spans="1:13" x14ac:dyDescent="0.25">
      <c r="A4287" s="33">
        <v>4289</v>
      </c>
      <c r="B4287" t="s">
        <v>8587</v>
      </c>
      <c r="C4287" s="1">
        <v>37.494998450399997</v>
      </c>
      <c r="D4287" s="1">
        <v>-7.2673366617399999</v>
      </c>
      <c r="E4287" s="3">
        <v>2</v>
      </c>
      <c r="F4287" s="2">
        <v>3</v>
      </c>
      <c r="G4287" s="4">
        <v>4</v>
      </c>
      <c r="H4287" s="13">
        <v>2</v>
      </c>
      <c r="I4287" s="34">
        <v>3</v>
      </c>
      <c r="J4287" s="35">
        <v>3</v>
      </c>
      <c r="K4287" s="2" t="s">
        <v>8588</v>
      </c>
      <c r="L4287" s="36" t="str">
        <f t="shared" si="72"/>
        <v>Ver Imagen</v>
      </c>
      <c r="M4287" t="s">
        <v>8005</v>
      </c>
    </row>
    <row r="4288" spans="1:13" x14ac:dyDescent="0.25">
      <c r="A4288" s="33">
        <v>4290</v>
      </c>
      <c r="B4288" t="s">
        <v>8589</v>
      </c>
      <c r="C4288" s="1">
        <v>37.2725971646</v>
      </c>
      <c r="D4288" s="1">
        <v>-6.9911038759100004</v>
      </c>
      <c r="E4288" s="3">
        <v>2</v>
      </c>
      <c r="F4288" s="2">
        <v>3</v>
      </c>
      <c r="G4288" s="4">
        <v>4</v>
      </c>
      <c r="H4288" s="13">
        <v>3</v>
      </c>
      <c r="I4288" s="34">
        <v>4</v>
      </c>
      <c r="J4288" s="35">
        <v>3</v>
      </c>
      <c r="K4288" s="2" t="s">
        <v>8590</v>
      </c>
      <c r="L4288" s="36" t="str">
        <f t="shared" si="72"/>
        <v>Ver Imagen</v>
      </c>
      <c r="M4288" t="s">
        <v>8005</v>
      </c>
    </row>
    <row r="4289" spans="1:13" x14ac:dyDescent="0.25">
      <c r="A4289" s="33">
        <v>4291</v>
      </c>
      <c r="B4289" t="s">
        <v>8591</v>
      </c>
      <c r="C4289" s="1">
        <v>37.272820255399999</v>
      </c>
      <c r="D4289" s="1">
        <v>-6.9912174702899996</v>
      </c>
      <c r="E4289" s="3">
        <v>2</v>
      </c>
      <c r="F4289" s="2">
        <v>3</v>
      </c>
      <c r="G4289" s="4">
        <v>4</v>
      </c>
      <c r="H4289" s="13">
        <v>3</v>
      </c>
      <c r="I4289" s="34">
        <v>4</v>
      </c>
      <c r="J4289" s="35">
        <v>3</v>
      </c>
      <c r="K4289" s="2" t="s">
        <v>8592</v>
      </c>
      <c r="L4289" s="36" t="str">
        <f t="shared" si="72"/>
        <v>Ver Imagen</v>
      </c>
      <c r="M4289" t="s">
        <v>8005</v>
      </c>
    </row>
    <row r="4290" spans="1:13" x14ac:dyDescent="0.25">
      <c r="A4290" s="33">
        <v>4292</v>
      </c>
      <c r="B4290" t="s">
        <v>8593</v>
      </c>
      <c r="C4290" s="1">
        <v>37.2745687026</v>
      </c>
      <c r="D4290" s="1">
        <v>-6.9912530745300003</v>
      </c>
      <c r="E4290" s="3">
        <v>2</v>
      </c>
      <c r="F4290" s="2">
        <v>4</v>
      </c>
      <c r="G4290" s="4">
        <v>4</v>
      </c>
      <c r="H4290" s="13">
        <v>3</v>
      </c>
      <c r="I4290" s="34">
        <v>4</v>
      </c>
      <c r="J4290" s="35">
        <v>4</v>
      </c>
      <c r="K4290" s="2" t="s">
        <v>8594</v>
      </c>
      <c r="L4290" s="36" t="str">
        <f t="shared" si="72"/>
        <v>Ver Imagen</v>
      </c>
      <c r="M4290" t="s">
        <v>8005</v>
      </c>
    </row>
    <row r="4291" spans="1:13" x14ac:dyDescent="0.25">
      <c r="A4291" s="33">
        <v>4293</v>
      </c>
      <c r="B4291" t="s">
        <v>8595</v>
      </c>
      <c r="C4291" s="1">
        <v>37.276760819899998</v>
      </c>
      <c r="D4291" s="1">
        <v>-6.9915543435699998</v>
      </c>
      <c r="E4291" s="3">
        <v>2</v>
      </c>
      <c r="F4291" s="2">
        <v>3</v>
      </c>
      <c r="G4291" s="4">
        <v>4</v>
      </c>
      <c r="H4291" s="13">
        <v>3</v>
      </c>
      <c r="I4291" s="34">
        <v>4</v>
      </c>
      <c r="J4291" s="37">
        <v>4</v>
      </c>
      <c r="K4291" s="2" t="s">
        <v>8596</v>
      </c>
      <c r="L4291" s="36" t="str">
        <f t="shared" si="72"/>
        <v>Ver Imagen</v>
      </c>
      <c r="M4291" s="37" t="s">
        <v>8052</v>
      </c>
    </row>
    <row r="4292" spans="1:13" x14ac:dyDescent="0.25">
      <c r="A4292" s="33">
        <v>4294</v>
      </c>
      <c r="B4292" t="s">
        <v>8597</v>
      </c>
      <c r="C4292" s="1">
        <v>37.280702718000001</v>
      </c>
      <c r="D4292" s="1">
        <v>-7.0035102370600004</v>
      </c>
      <c r="E4292" s="3">
        <v>4</v>
      </c>
      <c r="F4292" s="2">
        <v>2</v>
      </c>
      <c r="G4292" s="4">
        <v>4</v>
      </c>
      <c r="H4292" s="13">
        <v>2</v>
      </c>
      <c r="I4292" s="34">
        <v>1</v>
      </c>
      <c r="J4292" s="35">
        <v>2</v>
      </c>
      <c r="K4292" s="2" t="s">
        <v>8598</v>
      </c>
      <c r="L4292" s="36" t="str">
        <f t="shared" si="72"/>
        <v>Ver Imagen</v>
      </c>
      <c r="M4292" t="s">
        <v>8005</v>
      </c>
    </row>
    <row r="4293" spans="1:13" x14ac:dyDescent="0.25">
      <c r="A4293" s="33">
        <v>4295</v>
      </c>
      <c r="B4293" t="s">
        <v>8599</v>
      </c>
      <c r="C4293" s="1">
        <v>37.2757974875</v>
      </c>
      <c r="D4293" s="1">
        <v>-7.0154515024700004</v>
      </c>
      <c r="E4293" s="3">
        <v>2</v>
      </c>
      <c r="F4293" s="2">
        <v>4</v>
      </c>
      <c r="G4293" s="4">
        <v>4</v>
      </c>
      <c r="H4293" s="13">
        <v>3</v>
      </c>
      <c r="I4293" s="34">
        <v>2</v>
      </c>
      <c r="J4293" s="35">
        <v>3</v>
      </c>
      <c r="K4293" s="2" t="s">
        <v>8600</v>
      </c>
      <c r="L4293" s="36" t="str">
        <f t="shared" si="72"/>
        <v>Ver Imagen</v>
      </c>
      <c r="M4293" t="s">
        <v>8005</v>
      </c>
    </row>
    <row r="4294" spans="1:13" x14ac:dyDescent="0.25">
      <c r="A4294" s="33">
        <v>4296</v>
      </c>
      <c r="B4294" t="s">
        <v>8601</v>
      </c>
      <c r="C4294" s="1">
        <v>37.311267532499997</v>
      </c>
      <c r="D4294" s="1">
        <v>-7.0593214938299997</v>
      </c>
      <c r="E4294" s="3">
        <v>2</v>
      </c>
      <c r="F4294" s="2">
        <v>3</v>
      </c>
      <c r="G4294" s="4">
        <v>4</v>
      </c>
      <c r="H4294" s="13">
        <v>3</v>
      </c>
      <c r="I4294" s="34">
        <v>3</v>
      </c>
      <c r="J4294" s="35">
        <v>3</v>
      </c>
      <c r="K4294" s="2" t="s">
        <v>8602</v>
      </c>
      <c r="L4294" s="36" t="str">
        <f t="shared" si="72"/>
        <v>Ver Imagen</v>
      </c>
      <c r="M4294" t="s">
        <v>8005</v>
      </c>
    </row>
    <row r="4295" spans="1:13" x14ac:dyDescent="0.25">
      <c r="A4295" s="33">
        <v>4297</v>
      </c>
      <c r="B4295" t="s">
        <v>8603</v>
      </c>
      <c r="C4295" s="1">
        <v>37.315721618300003</v>
      </c>
      <c r="D4295" s="1">
        <v>-7.0682555523900001</v>
      </c>
      <c r="E4295" s="3">
        <v>2</v>
      </c>
      <c r="F4295" s="2">
        <v>3</v>
      </c>
      <c r="G4295" s="4">
        <v>4</v>
      </c>
      <c r="H4295" s="13">
        <v>3</v>
      </c>
      <c r="I4295" s="34">
        <v>4</v>
      </c>
      <c r="J4295" s="35">
        <v>3</v>
      </c>
      <c r="K4295" s="2" t="s">
        <v>8604</v>
      </c>
      <c r="L4295" s="36" t="str">
        <f t="shared" si="72"/>
        <v>Ver Imagen</v>
      </c>
      <c r="M4295" t="s">
        <v>8005</v>
      </c>
    </row>
    <row r="4296" spans="1:13" x14ac:dyDescent="0.25">
      <c r="A4296" s="33">
        <v>4298</v>
      </c>
      <c r="B4296" t="s">
        <v>8605</v>
      </c>
      <c r="C4296" s="1">
        <v>37.3181879276</v>
      </c>
      <c r="D4296" s="1">
        <v>-7.0712849246299996</v>
      </c>
      <c r="E4296" s="3">
        <v>4</v>
      </c>
      <c r="F4296" s="2">
        <v>2</v>
      </c>
      <c r="G4296" s="4">
        <v>4</v>
      </c>
      <c r="H4296" s="13">
        <v>2</v>
      </c>
      <c r="I4296" s="34">
        <v>1</v>
      </c>
      <c r="J4296" s="35">
        <v>2</v>
      </c>
      <c r="K4296" s="2" t="s">
        <v>8606</v>
      </c>
      <c r="L4296" s="36" t="str">
        <f t="shared" si="72"/>
        <v>Ver Imagen</v>
      </c>
      <c r="M4296" t="s">
        <v>8005</v>
      </c>
    </row>
    <row r="4297" spans="1:13" x14ac:dyDescent="0.25">
      <c r="A4297" s="33">
        <v>4299</v>
      </c>
      <c r="B4297" t="s">
        <v>8607</v>
      </c>
      <c r="C4297" s="1">
        <v>37.457519638000001</v>
      </c>
      <c r="D4297" s="1">
        <v>-7.1140987925500001</v>
      </c>
      <c r="E4297" s="3">
        <v>3</v>
      </c>
      <c r="F4297" s="2">
        <v>5</v>
      </c>
      <c r="G4297" s="4">
        <v>4</v>
      </c>
      <c r="H4297" s="13">
        <v>3</v>
      </c>
      <c r="I4297" s="34">
        <v>4</v>
      </c>
      <c r="J4297" s="35">
        <v>4</v>
      </c>
      <c r="K4297" s="2" t="s">
        <v>8608</v>
      </c>
      <c r="L4297" s="36" t="str">
        <f t="shared" si="72"/>
        <v>Ver Imagen</v>
      </c>
      <c r="M4297" t="s">
        <v>8005</v>
      </c>
    </row>
    <row r="4298" spans="1:13" x14ac:dyDescent="0.25">
      <c r="A4298" s="33">
        <v>4300</v>
      </c>
      <c r="B4298" t="s">
        <v>8609</v>
      </c>
      <c r="C4298" s="1">
        <v>37.269419433400003</v>
      </c>
      <c r="D4298" s="1">
        <v>-6.9774377885399996</v>
      </c>
      <c r="E4298" s="3">
        <v>2</v>
      </c>
      <c r="F4298" s="2">
        <v>4</v>
      </c>
      <c r="G4298" s="4">
        <v>4</v>
      </c>
      <c r="H4298" s="13">
        <v>3</v>
      </c>
      <c r="I4298" s="34">
        <v>4</v>
      </c>
      <c r="J4298" s="35">
        <v>4</v>
      </c>
      <c r="K4298" s="2" t="s">
        <v>8610</v>
      </c>
      <c r="L4298" s="36" t="str">
        <f t="shared" si="72"/>
        <v>Ver Imagen</v>
      </c>
      <c r="M4298" t="s">
        <v>8005</v>
      </c>
    </row>
    <row r="4299" spans="1:13" x14ac:dyDescent="0.25">
      <c r="A4299" s="33">
        <v>4301</v>
      </c>
      <c r="B4299" t="s">
        <v>8611</v>
      </c>
      <c r="C4299" s="1">
        <v>37.2673092948</v>
      </c>
      <c r="D4299" s="1">
        <v>-6.9574950935700004</v>
      </c>
      <c r="E4299" s="3">
        <v>2</v>
      </c>
      <c r="F4299" s="2">
        <v>4</v>
      </c>
      <c r="G4299" s="4">
        <v>4</v>
      </c>
      <c r="H4299" s="13">
        <v>3</v>
      </c>
      <c r="I4299" s="34">
        <v>3</v>
      </c>
      <c r="J4299" s="35">
        <v>3</v>
      </c>
      <c r="K4299" s="2" t="s">
        <v>8612</v>
      </c>
      <c r="L4299" s="36" t="str">
        <f t="shared" si="72"/>
        <v>Ver Imagen</v>
      </c>
      <c r="M4299" t="s">
        <v>8005</v>
      </c>
    </row>
    <row r="4300" spans="1:13" x14ac:dyDescent="0.25">
      <c r="A4300" s="33">
        <v>4302</v>
      </c>
      <c r="B4300" t="s">
        <v>8613</v>
      </c>
      <c r="C4300" s="1">
        <v>37.190994855500001</v>
      </c>
      <c r="D4300" s="1">
        <v>-6.99098168087</v>
      </c>
      <c r="E4300" s="3">
        <v>2</v>
      </c>
      <c r="F4300" s="2">
        <v>3</v>
      </c>
      <c r="G4300" s="4">
        <v>4</v>
      </c>
      <c r="H4300" s="13">
        <v>3</v>
      </c>
      <c r="I4300" s="34">
        <v>4</v>
      </c>
      <c r="J4300" s="35">
        <v>3</v>
      </c>
      <c r="K4300" s="2" t="s">
        <v>8614</v>
      </c>
      <c r="L4300" s="36" t="str">
        <f t="shared" si="72"/>
        <v>Ver Imagen</v>
      </c>
      <c r="M4300" t="s">
        <v>8005</v>
      </c>
    </row>
    <row r="4301" spans="1:13" x14ac:dyDescent="0.25">
      <c r="A4301" s="33">
        <v>4303</v>
      </c>
      <c r="B4301" t="s">
        <v>8615</v>
      </c>
      <c r="C4301" s="1">
        <v>37.191097421999999</v>
      </c>
      <c r="D4301" s="1">
        <v>-6.9911915203900001</v>
      </c>
      <c r="E4301" s="3">
        <v>2</v>
      </c>
      <c r="F4301" s="2">
        <v>3</v>
      </c>
      <c r="G4301" s="4">
        <v>4</v>
      </c>
      <c r="H4301" s="13">
        <v>3</v>
      </c>
      <c r="I4301" s="34">
        <v>4</v>
      </c>
      <c r="J4301" s="35">
        <v>3</v>
      </c>
      <c r="K4301" s="2" t="s">
        <v>8616</v>
      </c>
      <c r="L4301" s="36" t="str">
        <f t="shared" si="72"/>
        <v>Ver Imagen</v>
      </c>
      <c r="M4301" t="s">
        <v>8005</v>
      </c>
    </row>
    <row r="4302" spans="1:13" x14ac:dyDescent="0.25">
      <c r="A4302" s="33">
        <v>4304</v>
      </c>
      <c r="B4302" t="s">
        <v>8617</v>
      </c>
      <c r="C4302" s="1">
        <v>37.2179662255</v>
      </c>
      <c r="D4302" s="1">
        <v>-7.12128775492</v>
      </c>
      <c r="E4302" s="3">
        <v>5</v>
      </c>
      <c r="F4302" s="2">
        <v>3</v>
      </c>
      <c r="G4302" s="4">
        <v>4</v>
      </c>
      <c r="H4302" s="13">
        <v>4</v>
      </c>
      <c r="I4302" s="34">
        <v>4</v>
      </c>
      <c r="J4302" s="35">
        <v>4</v>
      </c>
      <c r="K4302" s="2" t="s">
        <v>8618</v>
      </c>
      <c r="L4302" s="36" t="str">
        <f t="shared" si="72"/>
        <v>Ver Imagen</v>
      </c>
      <c r="M4302" t="s">
        <v>8005</v>
      </c>
    </row>
    <row r="4303" spans="1:13" x14ac:dyDescent="0.25">
      <c r="A4303" s="33">
        <v>4305</v>
      </c>
      <c r="B4303" t="s">
        <v>8619</v>
      </c>
      <c r="C4303" s="1">
        <v>37.235992330400002</v>
      </c>
      <c r="D4303" s="1">
        <v>-7.0747909795400004</v>
      </c>
      <c r="E4303" s="3">
        <v>4</v>
      </c>
      <c r="F4303" s="2">
        <v>2</v>
      </c>
      <c r="G4303" s="4">
        <v>4</v>
      </c>
      <c r="H4303" s="13">
        <v>2</v>
      </c>
      <c r="I4303" s="34">
        <v>3</v>
      </c>
      <c r="J4303" s="35">
        <v>3</v>
      </c>
      <c r="K4303" s="2" t="s">
        <v>8620</v>
      </c>
      <c r="L4303" s="36" t="str">
        <f t="shared" si="72"/>
        <v>Ver Imagen</v>
      </c>
      <c r="M4303" t="s">
        <v>8005</v>
      </c>
    </row>
    <row r="4304" spans="1:13" x14ac:dyDescent="0.25">
      <c r="A4304" s="33">
        <v>4306</v>
      </c>
      <c r="B4304" t="s">
        <v>8621</v>
      </c>
      <c r="C4304" s="1">
        <v>37.245248761399999</v>
      </c>
      <c r="D4304" s="1">
        <v>-7.0927032723099996</v>
      </c>
      <c r="E4304" s="3">
        <v>4</v>
      </c>
      <c r="F4304" s="2">
        <v>2</v>
      </c>
      <c r="G4304" s="4">
        <v>4</v>
      </c>
      <c r="H4304" s="13">
        <v>3</v>
      </c>
      <c r="I4304" s="34">
        <v>3</v>
      </c>
      <c r="J4304" s="35">
        <v>3</v>
      </c>
      <c r="K4304" s="2" t="s">
        <v>8622</v>
      </c>
      <c r="L4304" s="36" t="str">
        <f t="shared" si="72"/>
        <v>Ver Imagen</v>
      </c>
      <c r="M4304" t="s">
        <v>8005</v>
      </c>
    </row>
    <row r="4305" spans="1:13" x14ac:dyDescent="0.25">
      <c r="A4305" s="33">
        <v>4307</v>
      </c>
      <c r="B4305" t="s">
        <v>8623</v>
      </c>
      <c r="C4305" s="1">
        <v>37.245547779600003</v>
      </c>
      <c r="D4305" s="1">
        <v>-7.0954714589699996</v>
      </c>
      <c r="E4305" s="3">
        <v>4</v>
      </c>
      <c r="F4305" s="2">
        <v>2</v>
      </c>
      <c r="G4305" s="4">
        <v>4</v>
      </c>
      <c r="H4305" s="13">
        <v>2</v>
      </c>
      <c r="I4305" s="34">
        <v>3</v>
      </c>
      <c r="J4305" s="35">
        <v>3</v>
      </c>
      <c r="K4305" s="2" t="s">
        <v>8624</v>
      </c>
      <c r="L4305" s="36" t="str">
        <f t="shared" si="72"/>
        <v>Ver Imagen</v>
      </c>
      <c r="M4305" t="s">
        <v>8005</v>
      </c>
    </row>
    <row r="4306" spans="1:13" x14ac:dyDescent="0.25">
      <c r="A4306" s="33">
        <v>4308</v>
      </c>
      <c r="B4306" t="s">
        <v>8625</v>
      </c>
      <c r="C4306" s="1">
        <v>37.258793255800001</v>
      </c>
      <c r="D4306" s="1">
        <v>-7.122306901</v>
      </c>
      <c r="E4306" s="3">
        <v>4</v>
      </c>
      <c r="F4306" s="2">
        <v>2</v>
      </c>
      <c r="G4306" s="4">
        <v>4</v>
      </c>
      <c r="H4306" s="13">
        <v>3</v>
      </c>
      <c r="I4306" s="34">
        <v>3</v>
      </c>
      <c r="J4306" s="35">
        <v>3</v>
      </c>
      <c r="K4306" s="2" t="s">
        <v>8626</v>
      </c>
      <c r="L4306" s="36" t="str">
        <f t="shared" si="72"/>
        <v>Ver Imagen</v>
      </c>
      <c r="M4306" t="s">
        <v>8005</v>
      </c>
    </row>
    <row r="4307" spans="1:13" x14ac:dyDescent="0.25">
      <c r="A4307" s="33">
        <v>4309</v>
      </c>
      <c r="B4307" t="s">
        <v>8627</v>
      </c>
      <c r="C4307" s="1">
        <v>37.478092174499999</v>
      </c>
      <c r="D4307" s="1">
        <v>-7.1273946308899996</v>
      </c>
      <c r="E4307" s="3">
        <v>4</v>
      </c>
      <c r="F4307" s="2">
        <v>2</v>
      </c>
      <c r="G4307" s="4">
        <v>4</v>
      </c>
      <c r="H4307" s="13">
        <v>3</v>
      </c>
      <c r="I4307" s="34">
        <v>3</v>
      </c>
      <c r="J4307" s="35">
        <v>3</v>
      </c>
      <c r="K4307" s="2" t="s">
        <v>8628</v>
      </c>
      <c r="L4307" s="36" t="str">
        <f t="shared" si="72"/>
        <v>Ver Imagen</v>
      </c>
      <c r="M4307" t="s">
        <v>8005</v>
      </c>
    </row>
    <row r="4308" spans="1:13" x14ac:dyDescent="0.25">
      <c r="A4308" s="33">
        <v>4310</v>
      </c>
      <c r="B4308" t="s">
        <v>8629</v>
      </c>
      <c r="C4308" s="1">
        <v>37.473159500599998</v>
      </c>
      <c r="D4308" s="1">
        <v>-7.1263866044600004</v>
      </c>
      <c r="E4308" s="3">
        <v>4</v>
      </c>
      <c r="F4308" s="2">
        <v>2</v>
      </c>
      <c r="G4308" s="4">
        <v>4</v>
      </c>
      <c r="H4308" s="13">
        <v>3</v>
      </c>
      <c r="I4308" s="34">
        <v>3</v>
      </c>
      <c r="J4308" s="35">
        <v>3</v>
      </c>
      <c r="K4308" s="2" t="s">
        <v>8630</v>
      </c>
      <c r="L4308" s="36" t="str">
        <f t="shared" si="72"/>
        <v>Ver Imagen</v>
      </c>
      <c r="M4308" t="s">
        <v>8005</v>
      </c>
    </row>
    <row r="4309" spans="1:13" x14ac:dyDescent="0.25">
      <c r="A4309" s="33">
        <v>4311</v>
      </c>
      <c r="B4309" t="s">
        <v>8631</v>
      </c>
      <c r="C4309" s="1">
        <v>37.472764194</v>
      </c>
      <c r="D4309" s="1">
        <v>-7.1264133948100001</v>
      </c>
      <c r="E4309" s="3">
        <v>4</v>
      </c>
      <c r="F4309" s="2">
        <v>2</v>
      </c>
      <c r="G4309" s="4">
        <v>4</v>
      </c>
      <c r="H4309" s="13">
        <v>3</v>
      </c>
      <c r="I4309" s="34">
        <v>3</v>
      </c>
      <c r="J4309" s="35">
        <v>3</v>
      </c>
      <c r="K4309" s="2" t="s">
        <v>8632</v>
      </c>
      <c r="L4309" s="36" t="str">
        <f t="shared" si="72"/>
        <v>Ver Imagen</v>
      </c>
      <c r="M4309" t="s">
        <v>8005</v>
      </c>
    </row>
    <row r="4310" spans="1:13" x14ac:dyDescent="0.25">
      <c r="A4310" s="33">
        <v>4312</v>
      </c>
      <c r="B4310" t="s">
        <v>8633</v>
      </c>
      <c r="C4310" s="1">
        <v>37.471814579899998</v>
      </c>
      <c r="D4310" s="1">
        <v>-7.1260644912400002</v>
      </c>
      <c r="E4310" s="3">
        <v>4</v>
      </c>
      <c r="F4310" s="2">
        <v>2</v>
      </c>
      <c r="G4310" s="4">
        <v>4</v>
      </c>
      <c r="H4310" s="13">
        <v>3</v>
      </c>
      <c r="I4310" s="34">
        <v>3</v>
      </c>
      <c r="J4310" s="35">
        <v>3</v>
      </c>
      <c r="K4310" s="2" t="s">
        <v>8634</v>
      </c>
      <c r="L4310" s="36" t="str">
        <f t="shared" si="72"/>
        <v>Ver Imagen</v>
      </c>
      <c r="M4310" t="s">
        <v>8005</v>
      </c>
    </row>
    <row r="4311" spans="1:13" x14ac:dyDescent="0.25">
      <c r="A4311" s="33">
        <v>4313</v>
      </c>
      <c r="B4311" t="s">
        <v>8635</v>
      </c>
      <c r="C4311" s="1">
        <v>37.4953877031</v>
      </c>
      <c r="D4311" s="1">
        <v>-7.2707925221399998</v>
      </c>
      <c r="E4311" s="3">
        <v>4</v>
      </c>
      <c r="F4311" s="2">
        <v>2</v>
      </c>
      <c r="G4311" s="4">
        <v>4</v>
      </c>
      <c r="H4311" s="13">
        <v>2</v>
      </c>
      <c r="I4311" s="34">
        <v>2</v>
      </c>
      <c r="J4311" s="35">
        <v>2</v>
      </c>
      <c r="K4311" s="2" t="s">
        <v>8636</v>
      </c>
      <c r="L4311" s="36" t="str">
        <f t="shared" si="72"/>
        <v>Ver Imagen</v>
      </c>
      <c r="M4311" t="s">
        <v>8005</v>
      </c>
    </row>
    <row r="4312" spans="1:13" x14ac:dyDescent="0.25">
      <c r="A4312" s="33">
        <v>4314</v>
      </c>
      <c r="B4312" t="s">
        <v>8637</v>
      </c>
      <c r="C4312" s="1">
        <v>37.495416809600002</v>
      </c>
      <c r="D4312" s="1">
        <v>-7.2705188866699997</v>
      </c>
      <c r="E4312" s="3">
        <v>4</v>
      </c>
      <c r="F4312" s="2">
        <v>2</v>
      </c>
      <c r="G4312" s="4">
        <v>4</v>
      </c>
      <c r="H4312" s="13">
        <v>2</v>
      </c>
      <c r="I4312" s="34">
        <v>3</v>
      </c>
      <c r="J4312" s="35">
        <v>3</v>
      </c>
      <c r="K4312" s="2" t="s">
        <v>8638</v>
      </c>
      <c r="L4312" s="36" t="str">
        <f t="shared" si="72"/>
        <v>Ver Imagen</v>
      </c>
      <c r="M4312" t="s">
        <v>8005</v>
      </c>
    </row>
    <row r="4313" spans="1:13" x14ac:dyDescent="0.25">
      <c r="A4313" s="33">
        <v>4315</v>
      </c>
      <c r="B4313" t="s">
        <v>8639</v>
      </c>
      <c r="C4313" s="1">
        <v>37.495638115299997</v>
      </c>
      <c r="D4313" s="1">
        <v>-7.2680389754999997</v>
      </c>
      <c r="E4313" s="3">
        <v>4</v>
      </c>
      <c r="F4313" s="2">
        <v>3</v>
      </c>
      <c r="G4313" s="4">
        <v>5</v>
      </c>
      <c r="H4313" s="13">
        <v>3</v>
      </c>
      <c r="I4313" s="34">
        <v>4</v>
      </c>
      <c r="J4313" s="35">
        <v>4</v>
      </c>
      <c r="K4313" s="2" t="s">
        <v>8640</v>
      </c>
      <c r="L4313" s="36" t="str">
        <f t="shared" si="72"/>
        <v>Ver Imagen</v>
      </c>
      <c r="M4313" t="s">
        <v>8005</v>
      </c>
    </row>
    <row r="4314" spans="1:13" x14ac:dyDescent="0.25">
      <c r="A4314" s="33">
        <v>4316</v>
      </c>
      <c r="B4314" t="s">
        <v>8641</v>
      </c>
      <c r="C4314" s="1">
        <v>37.195148763600002</v>
      </c>
      <c r="D4314" s="1">
        <v>-6.9779563004299998</v>
      </c>
      <c r="E4314" s="3">
        <v>4</v>
      </c>
      <c r="F4314" s="2">
        <v>2</v>
      </c>
      <c r="G4314" s="4">
        <v>4</v>
      </c>
      <c r="H4314" s="13">
        <v>3</v>
      </c>
      <c r="I4314" s="34">
        <v>3</v>
      </c>
      <c r="J4314" s="35">
        <v>3</v>
      </c>
      <c r="K4314" s="2" t="s">
        <v>8642</v>
      </c>
      <c r="L4314" s="36" t="str">
        <f t="shared" si="72"/>
        <v>Ver Imagen</v>
      </c>
      <c r="M4314" t="s">
        <v>8005</v>
      </c>
    </row>
    <row r="4315" spans="1:13" x14ac:dyDescent="0.25">
      <c r="A4315" s="33">
        <v>4317</v>
      </c>
      <c r="B4315" t="s">
        <v>8643</v>
      </c>
      <c r="C4315" s="1">
        <v>37.199931945800003</v>
      </c>
      <c r="D4315" s="1">
        <v>-6.9855737073700004</v>
      </c>
      <c r="E4315" s="3">
        <v>4</v>
      </c>
      <c r="F4315" s="2">
        <v>2</v>
      </c>
      <c r="G4315" s="4">
        <v>4</v>
      </c>
      <c r="H4315" s="13">
        <v>2</v>
      </c>
      <c r="I4315" s="34">
        <v>2</v>
      </c>
      <c r="J4315" s="35">
        <v>2</v>
      </c>
      <c r="K4315" s="2" t="s">
        <v>8644</v>
      </c>
      <c r="L4315" s="36" t="str">
        <f t="shared" si="72"/>
        <v>Ver Imagen</v>
      </c>
      <c r="M4315" t="s">
        <v>8005</v>
      </c>
    </row>
    <row r="4316" spans="1:13" x14ac:dyDescent="0.25">
      <c r="A4316" s="33">
        <v>4318</v>
      </c>
      <c r="B4316" t="s">
        <v>8645</v>
      </c>
      <c r="C4316" s="1">
        <v>37.200525342900001</v>
      </c>
      <c r="D4316" s="1">
        <v>-6.9880467530999999</v>
      </c>
      <c r="E4316" s="3">
        <v>4</v>
      </c>
      <c r="F4316" s="2">
        <v>2</v>
      </c>
      <c r="G4316" s="4">
        <v>4</v>
      </c>
      <c r="H4316" s="13">
        <v>2</v>
      </c>
      <c r="I4316" s="34">
        <v>1</v>
      </c>
      <c r="J4316" s="35">
        <v>2</v>
      </c>
      <c r="K4316" s="2" t="s">
        <v>8646</v>
      </c>
      <c r="L4316" s="36" t="str">
        <f t="shared" ref="L4316:L4379" si="73">HYPERLINK("NoConsenso\" &amp; K4316, "Ver Imagen")</f>
        <v>Ver Imagen</v>
      </c>
      <c r="M4316" t="s">
        <v>8005</v>
      </c>
    </row>
    <row r="4317" spans="1:13" x14ac:dyDescent="0.25">
      <c r="A4317" s="33">
        <v>4319</v>
      </c>
      <c r="B4317" t="s">
        <v>8647</v>
      </c>
      <c r="C4317" s="1">
        <v>37.200963007399999</v>
      </c>
      <c r="D4317" s="1">
        <v>-6.9899869949799998</v>
      </c>
      <c r="E4317" s="3">
        <v>4</v>
      </c>
      <c r="F4317" s="2">
        <v>2</v>
      </c>
      <c r="G4317" s="4">
        <v>4</v>
      </c>
      <c r="H4317" s="13">
        <v>2</v>
      </c>
      <c r="I4317" s="34">
        <v>1</v>
      </c>
      <c r="J4317" s="35">
        <v>2</v>
      </c>
      <c r="K4317" s="2" t="s">
        <v>8648</v>
      </c>
      <c r="L4317" s="36" t="str">
        <f t="shared" si="73"/>
        <v>Ver Imagen</v>
      </c>
      <c r="M4317" t="s">
        <v>8005</v>
      </c>
    </row>
    <row r="4318" spans="1:13" x14ac:dyDescent="0.25">
      <c r="A4318" s="33">
        <v>4320</v>
      </c>
      <c r="B4318" t="s">
        <v>8649</v>
      </c>
      <c r="C4318" s="1">
        <v>37.202915038100002</v>
      </c>
      <c r="D4318" s="1">
        <v>-7.0021469361799999</v>
      </c>
      <c r="E4318" s="3">
        <v>4</v>
      </c>
      <c r="F4318" s="2">
        <v>2</v>
      </c>
      <c r="G4318" s="4">
        <v>4</v>
      </c>
      <c r="H4318" s="13">
        <v>2</v>
      </c>
      <c r="I4318" s="34">
        <v>2</v>
      </c>
      <c r="J4318" s="35">
        <v>2</v>
      </c>
      <c r="K4318" s="2" t="s">
        <v>8650</v>
      </c>
      <c r="L4318" s="36" t="str">
        <f t="shared" si="73"/>
        <v>Ver Imagen</v>
      </c>
      <c r="M4318" t="s">
        <v>8005</v>
      </c>
    </row>
    <row r="4319" spans="1:13" x14ac:dyDescent="0.25">
      <c r="A4319" s="33">
        <v>4321</v>
      </c>
      <c r="B4319" t="s">
        <v>8651</v>
      </c>
      <c r="C4319" s="1">
        <v>37.205697302899999</v>
      </c>
      <c r="D4319" s="1">
        <v>-7.0184244718000004</v>
      </c>
      <c r="E4319" s="3">
        <v>4</v>
      </c>
      <c r="F4319" s="2">
        <v>2</v>
      </c>
      <c r="G4319" s="4">
        <v>4</v>
      </c>
      <c r="H4319" s="13">
        <v>1</v>
      </c>
      <c r="I4319" s="34">
        <v>2</v>
      </c>
      <c r="J4319" s="35">
        <v>2</v>
      </c>
      <c r="K4319" s="2" t="s">
        <v>8652</v>
      </c>
      <c r="L4319" s="36" t="str">
        <f t="shared" si="73"/>
        <v>Ver Imagen</v>
      </c>
      <c r="M4319" t="s">
        <v>8005</v>
      </c>
    </row>
    <row r="4320" spans="1:13" x14ac:dyDescent="0.25">
      <c r="A4320" s="33">
        <v>4322</v>
      </c>
      <c r="B4320" t="s">
        <v>8653</v>
      </c>
      <c r="C4320" s="1">
        <v>37.206798498399998</v>
      </c>
      <c r="D4320" s="1">
        <v>-7.0208330473</v>
      </c>
      <c r="E4320" s="3">
        <v>4</v>
      </c>
      <c r="F4320" s="2">
        <v>2</v>
      </c>
      <c r="G4320" s="4">
        <v>4</v>
      </c>
      <c r="H4320" s="13">
        <v>2</v>
      </c>
      <c r="I4320" s="34">
        <v>2</v>
      </c>
      <c r="J4320" s="35">
        <v>2</v>
      </c>
      <c r="K4320" s="2" t="s">
        <v>8654</v>
      </c>
      <c r="L4320" s="36" t="str">
        <f t="shared" si="73"/>
        <v>Ver Imagen</v>
      </c>
      <c r="M4320" t="s">
        <v>8005</v>
      </c>
    </row>
    <row r="4321" spans="1:13" x14ac:dyDescent="0.25">
      <c r="A4321" s="33">
        <v>4323</v>
      </c>
      <c r="B4321" t="s">
        <v>8655</v>
      </c>
      <c r="C4321" s="1">
        <v>37.203365846499999</v>
      </c>
      <c r="D4321" s="1">
        <v>-7.0070494873299998</v>
      </c>
      <c r="E4321" s="3">
        <v>4</v>
      </c>
      <c r="F4321" s="2">
        <v>2</v>
      </c>
      <c r="G4321" s="4">
        <v>4</v>
      </c>
      <c r="H4321" s="13">
        <v>2</v>
      </c>
      <c r="I4321" s="34">
        <v>3</v>
      </c>
      <c r="J4321" s="37">
        <v>2</v>
      </c>
      <c r="K4321" s="2" t="s">
        <v>8656</v>
      </c>
      <c r="L4321" s="36" t="str">
        <f t="shared" si="73"/>
        <v>Ver Imagen</v>
      </c>
      <c r="M4321" s="37" t="s">
        <v>8052</v>
      </c>
    </row>
    <row r="4322" spans="1:13" x14ac:dyDescent="0.25">
      <c r="A4322" s="33">
        <v>4324</v>
      </c>
      <c r="B4322" t="s">
        <v>8657</v>
      </c>
      <c r="C4322" s="1">
        <v>37.244188550300002</v>
      </c>
      <c r="D4322" s="1">
        <v>-7.01832637551</v>
      </c>
      <c r="E4322" s="3">
        <v>4</v>
      </c>
      <c r="F4322" s="2">
        <v>2</v>
      </c>
      <c r="G4322" s="4">
        <v>4</v>
      </c>
      <c r="H4322" s="13">
        <v>2</v>
      </c>
      <c r="I4322" s="34">
        <v>3</v>
      </c>
      <c r="J4322" s="35">
        <v>3</v>
      </c>
      <c r="K4322" s="2" t="s">
        <v>8658</v>
      </c>
      <c r="L4322" s="36" t="str">
        <f t="shared" si="73"/>
        <v>Ver Imagen</v>
      </c>
      <c r="M4322" t="s">
        <v>8005</v>
      </c>
    </row>
    <row r="4323" spans="1:13" x14ac:dyDescent="0.25">
      <c r="A4323" s="33">
        <v>4325</v>
      </c>
      <c r="B4323" t="s">
        <v>8659</v>
      </c>
      <c r="C4323" s="1">
        <v>37.244589565299997</v>
      </c>
      <c r="D4323" s="1">
        <v>-7.0183152179199997</v>
      </c>
      <c r="E4323" s="3">
        <v>4</v>
      </c>
      <c r="F4323" s="2">
        <v>2</v>
      </c>
      <c r="G4323" s="4">
        <v>4</v>
      </c>
      <c r="H4323" s="13">
        <v>2</v>
      </c>
      <c r="I4323" s="34">
        <v>3</v>
      </c>
      <c r="J4323" s="35">
        <v>3</v>
      </c>
      <c r="K4323" s="2" t="s">
        <v>8660</v>
      </c>
      <c r="L4323" s="36" t="str">
        <f t="shared" si="73"/>
        <v>Ver Imagen</v>
      </c>
      <c r="M4323" t="s">
        <v>8005</v>
      </c>
    </row>
    <row r="4324" spans="1:13" x14ac:dyDescent="0.25">
      <c r="A4324" s="33">
        <v>4326</v>
      </c>
      <c r="B4324" t="s">
        <v>8661</v>
      </c>
      <c r="C4324" s="1">
        <v>37.447155608700001</v>
      </c>
      <c r="D4324" s="1">
        <v>-7.1397522537100002</v>
      </c>
      <c r="E4324" s="3">
        <v>3</v>
      </c>
      <c r="F4324" s="2">
        <v>5</v>
      </c>
      <c r="G4324" s="4">
        <v>5</v>
      </c>
      <c r="H4324" s="13">
        <v>4</v>
      </c>
      <c r="I4324" s="34">
        <v>5</v>
      </c>
      <c r="J4324" s="35">
        <v>5</v>
      </c>
      <c r="K4324" s="2" t="s">
        <v>8662</v>
      </c>
      <c r="L4324" s="36" t="str">
        <f t="shared" si="73"/>
        <v>Ver Imagen</v>
      </c>
      <c r="M4324" t="s">
        <v>8005</v>
      </c>
    </row>
    <row r="4325" spans="1:13" x14ac:dyDescent="0.25">
      <c r="A4325" s="33">
        <v>4327</v>
      </c>
      <c r="B4325" t="s">
        <v>8663</v>
      </c>
      <c r="C4325" s="1">
        <v>37.448519170099999</v>
      </c>
      <c r="D4325" s="1">
        <v>-7.1439212494</v>
      </c>
      <c r="E4325" s="3">
        <v>3</v>
      </c>
      <c r="F4325" s="2">
        <v>5</v>
      </c>
      <c r="G4325" s="4">
        <v>5</v>
      </c>
      <c r="H4325" s="13">
        <v>5</v>
      </c>
      <c r="I4325" s="34">
        <v>4</v>
      </c>
      <c r="J4325" s="35">
        <v>5</v>
      </c>
      <c r="K4325" s="2" t="s">
        <v>8664</v>
      </c>
      <c r="L4325" s="36" t="str">
        <f t="shared" si="73"/>
        <v>Ver Imagen</v>
      </c>
      <c r="M4325" t="s">
        <v>8005</v>
      </c>
    </row>
    <row r="4326" spans="1:13" x14ac:dyDescent="0.25">
      <c r="A4326" s="33">
        <v>4328</v>
      </c>
      <c r="B4326" t="s">
        <v>8665</v>
      </c>
      <c r="C4326" s="1">
        <v>37.448535827699999</v>
      </c>
      <c r="D4326" s="1">
        <v>-7.1442132693999998</v>
      </c>
      <c r="E4326" s="3">
        <v>3</v>
      </c>
      <c r="F4326" s="2">
        <v>5</v>
      </c>
      <c r="G4326" s="4">
        <v>5</v>
      </c>
      <c r="H4326" s="13">
        <v>5</v>
      </c>
      <c r="I4326" s="34">
        <v>5</v>
      </c>
      <c r="J4326" s="35">
        <v>5</v>
      </c>
      <c r="K4326" s="2" t="s">
        <v>8666</v>
      </c>
      <c r="L4326" s="36" t="str">
        <f t="shared" si="73"/>
        <v>Ver Imagen</v>
      </c>
      <c r="M4326" t="s">
        <v>8005</v>
      </c>
    </row>
    <row r="4327" spans="1:13" x14ac:dyDescent="0.25">
      <c r="A4327" s="33">
        <v>4329</v>
      </c>
      <c r="B4327" t="s">
        <v>8667</v>
      </c>
      <c r="C4327" s="1">
        <v>37.273790079599998</v>
      </c>
      <c r="D4327" s="1">
        <v>-6.9912315743400004</v>
      </c>
      <c r="E4327" s="3">
        <v>4</v>
      </c>
      <c r="F4327" s="2">
        <v>3</v>
      </c>
      <c r="G4327" s="4">
        <v>5</v>
      </c>
      <c r="H4327" s="13">
        <v>3</v>
      </c>
      <c r="I4327" s="34">
        <v>4</v>
      </c>
      <c r="J4327" s="35">
        <v>4</v>
      </c>
      <c r="K4327" s="2" t="s">
        <v>8668</v>
      </c>
      <c r="L4327" s="36" t="str">
        <f t="shared" si="73"/>
        <v>Ver Imagen</v>
      </c>
      <c r="M4327" t="s">
        <v>8005</v>
      </c>
    </row>
    <row r="4328" spans="1:13" x14ac:dyDescent="0.25">
      <c r="A4328" s="33">
        <v>4330</v>
      </c>
      <c r="B4328" t="s">
        <v>8669</v>
      </c>
      <c r="C4328" s="1">
        <v>37.458319298900001</v>
      </c>
      <c r="D4328" s="1">
        <v>-7.1144589521199997</v>
      </c>
      <c r="E4328" s="3">
        <v>3</v>
      </c>
      <c r="F4328" s="2">
        <v>4</v>
      </c>
      <c r="G4328" s="4">
        <v>5</v>
      </c>
      <c r="H4328" s="13">
        <v>5</v>
      </c>
      <c r="I4328" s="34">
        <v>5</v>
      </c>
      <c r="J4328" s="35">
        <v>5</v>
      </c>
      <c r="K4328" s="2" t="s">
        <v>8670</v>
      </c>
      <c r="L4328" s="36" t="str">
        <f t="shared" si="73"/>
        <v>Ver Imagen</v>
      </c>
      <c r="M4328" t="s">
        <v>8005</v>
      </c>
    </row>
    <row r="4329" spans="1:13" x14ac:dyDescent="0.25">
      <c r="A4329" s="33">
        <v>4331</v>
      </c>
      <c r="B4329" t="s">
        <v>8671</v>
      </c>
      <c r="C4329" s="1">
        <v>37.454998102700003</v>
      </c>
      <c r="D4329" s="1">
        <v>-7.1131271897900001</v>
      </c>
      <c r="E4329" s="3">
        <v>5</v>
      </c>
      <c r="F4329" s="2">
        <v>3</v>
      </c>
      <c r="G4329" s="4">
        <v>5</v>
      </c>
      <c r="H4329" s="13">
        <v>4</v>
      </c>
      <c r="I4329" s="34">
        <v>4</v>
      </c>
      <c r="J4329" s="35">
        <v>4</v>
      </c>
      <c r="K4329" s="2" t="s">
        <v>8672</v>
      </c>
      <c r="L4329" s="36" t="str">
        <f t="shared" si="73"/>
        <v>Ver Imagen</v>
      </c>
      <c r="M4329" t="s">
        <v>8005</v>
      </c>
    </row>
    <row r="4330" spans="1:13" x14ac:dyDescent="0.25">
      <c r="A4330" s="33">
        <v>4332</v>
      </c>
      <c r="B4330" t="s">
        <v>8673</v>
      </c>
      <c r="C4330" s="1">
        <v>37.451499326799997</v>
      </c>
      <c r="D4330" s="1">
        <v>-7.1112113345100001</v>
      </c>
      <c r="E4330" s="3">
        <v>3</v>
      </c>
      <c r="F4330" s="2">
        <v>4</v>
      </c>
      <c r="G4330" s="4">
        <v>5</v>
      </c>
      <c r="H4330" s="13">
        <v>4</v>
      </c>
      <c r="I4330" s="34">
        <v>5</v>
      </c>
      <c r="J4330" s="37">
        <v>5</v>
      </c>
      <c r="K4330" s="2" t="s">
        <v>8674</v>
      </c>
      <c r="L4330" s="36" t="str">
        <f t="shared" si="73"/>
        <v>Ver Imagen</v>
      </c>
      <c r="M4330" s="37" t="s">
        <v>8052</v>
      </c>
    </row>
    <row r="4331" spans="1:13" x14ac:dyDescent="0.25">
      <c r="A4331" s="33">
        <v>4333</v>
      </c>
      <c r="B4331" t="s">
        <v>8675</v>
      </c>
      <c r="C4331" s="1">
        <v>37.449459716699998</v>
      </c>
      <c r="D4331" s="1">
        <v>-7.1101308235599996</v>
      </c>
      <c r="E4331" s="3">
        <v>3</v>
      </c>
      <c r="F4331" s="2">
        <v>4</v>
      </c>
      <c r="G4331" s="4">
        <v>5</v>
      </c>
      <c r="H4331" s="13">
        <v>4</v>
      </c>
      <c r="I4331" s="34">
        <v>5</v>
      </c>
      <c r="J4331" s="37">
        <v>5</v>
      </c>
      <c r="K4331" s="2" t="s">
        <v>8676</v>
      </c>
      <c r="L4331" s="36" t="str">
        <f t="shared" si="73"/>
        <v>Ver Imagen</v>
      </c>
      <c r="M4331" s="37" t="s">
        <v>8052</v>
      </c>
    </row>
    <row r="4332" spans="1:13" x14ac:dyDescent="0.25">
      <c r="A4332" s="33">
        <v>4335</v>
      </c>
      <c r="B4332" t="s">
        <v>8677</v>
      </c>
      <c r="C4332" s="1">
        <v>37.269099584800003</v>
      </c>
      <c r="D4332" s="1">
        <v>-6.9762751069300002</v>
      </c>
      <c r="E4332" s="3">
        <v>3</v>
      </c>
      <c r="F4332" s="2">
        <v>4</v>
      </c>
      <c r="G4332" s="4">
        <v>5</v>
      </c>
      <c r="H4332" s="13">
        <v>4</v>
      </c>
      <c r="I4332" s="34">
        <v>4</v>
      </c>
      <c r="J4332" s="35">
        <v>4</v>
      </c>
      <c r="K4332" s="2" t="s">
        <v>8678</v>
      </c>
      <c r="L4332" s="36" t="str">
        <f t="shared" si="73"/>
        <v>Ver Imagen</v>
      </c>
      <c r="M4332" t="s">
        <v>8005</v>
      </c>
    </row>
    <row r="4333" spans="1:13" x14ac:dyDescent="0.25">
      <c r="A4333" s="33">
        <v>4336</v>
      </c>
      <c r="B4333" t="s">
        <v>8679</v>
      </c>
      <c r="C4333" s="1">
        <v>37.2690234047</v>
      </c>
      <c r="D4333" s="1">
        <v>-6.9759818497300001</v>
      </c>
      <c r="E4333" s="3">
        <v>3</v>
      </c>
      <c r="F4333" s="2">
        <v>4</v>
      </c>
      <c r="G4333" s="4">
        <v>5</v>
      </c>
      <c r="H4333" s="13">
        <v>3</v>
      </c>
      <c r="I4333" s="34">
        <v>4</v>
      </c>
      <c r="J4333" s="35">
        <v>4</v>
      </c>
      <c r="K4333" s="2" t="s">
        <v>8680</v>
      </c>
      <c r="L4333" s="36" t="str">
        <f t="shared" si="73"/>
        <v>Ver Imagen</v>
      </c>
      <c r="M4333" t="s">
        <v>8005</v>
      </c>
    </row>
    <row r="4334" spans="1:13" x14ac:dyDescent="0.25">
      <c r="A4334" s="33">
        <v>4337</v>
      </c>
      <c r="B4334" t="s">
        <v>8681</v>
      </c>
      <c r="C4334" s="1">
        <v>37.268679775700001</v>
      </c>
      <c r="D4334" s="1">
        <v>-6.97452664457</v>
      </c>
      <c r="E4334" s="3">
        <v>3</v>
      </c>
      <c r="F4334" s="2">
        <v>3</v>
      </c>
      <c r="G4334" s="4">
        <v>5</v>
      </c>
      <c r="H4334" s="13">
        <v>3</v>
      </c>
      <c r="I4334" s="34">
        <v>4</v>
      </c>
      <c r="J4334" s="35">
        <v>3</v>
      </c>
      <c r="K4334" s="2" t="s">
        <v>8682</v>
      </c>
      <c r="L4334" s="36" t="str">
        <f t="shared" si="73"/>
        <v>Ver Imagen</v>
      </c>
      <c r="M4334" t="s">
        <v>8005</v>
      </c>
    </row>
    <row r="4335" spans="1:13" x14ac:dyDescent="0.25">
      <c r="A4335" s="33">
        <v>4338</v>
      </c>
      <c r="B4335" t="s">
        <v>8683</v>
      </c>
      <c r="C4335" s="1">
        <v>37.435550139999997</v>
      </c>
      <c r="D4335" s="1">
        <v>-7.0747629218199997</v>
      </c>
      <c r="E4335" s="3">
        <v>5</v>
      </c>
      <c r="F4335" s="2">
        <v>3</v>
      </c>
      <c r="G4335" s="4">
        <v>5</v>
      </c>
      <c r="H4335" s="13">
        <v>4</v>
      </c>
      <c r="I4335" s="34">
        <v>3</v>
      </c>
      <c r="J4335" s="35">
        <v>4</v>
      </c>
      <c r="K4335" s="2" t="s">
        <v>8684</v>
      </c>
      <c r="L4335" s="36" t="str">
        <f t="shared" si="73"/>
        <v>Ver Imagen</v>
      </c>
      <c r="M4335" t="s">
        <v>8005</v>
      </c>
    </row>
    <row r="4336" spans="1:13" x14ac:dyDescent="0.25">
      <c r="A4336" s="33">
        <v>4339</v>
      </c>
      <c r="B4336" t="s">
        <v>8685</v>
      </c>
      <c r="C4336" s="1">
        <v>37.186207335200002</v>
      </c>
      <c r="D4336" s="1">
        <v>-6.9805068966499997</v>
      </c>
      <c r="E4336" s="3">
        <v>5</v>
      </c>
      <c r="F4336" s="2">
        <v>3</v>
      </c>
      <c r="G4336" s="4">
        <v>5</v>
      </c>
      <c r="H4336" s="13">
        <v>3</v>
      </c>
      <c r="I4336" s="34">
        <v>4</v>
      </c>
      <c r="J4336" s="35">
        <v>4</v>
      </c>
      <c r="K4336" s="2" t="s">
        <v>8686</v>
      </c>
      <c r="L4336" s="36" t="str">
        <f t="shared" si="73"/>
        <v>Ver Imagen</v>
      </c>
      <c r="M4336" t="s">
        <v>8005</v>
      </c>
    </row>
    <row r="4337" spans="1:13" x14ac:dyDescent="0.25">
      <c r="A4337" s="33">
        <v>4340</v>
      </c>
      <c r="B4337" t="s">
        <v>8687</v>
      </c>
      <c r="C4337" s="1">
        <v>37.185863876699997</v>
      </c>
      <c r="D4337" s="1">
        <v>-6.9802462198099997</v>
      </c>
      <c r="E4337" s="3">
        <v>5</v>
      </c>
      <c r="F4337" s="2">
        <v>3</v>
      </c>
      <c r="G4337" s="4">
        <v>5</v>
      </c>
      <c r="H4337" s="13">
        <v>3</v>
      </c>
      <c r="I4337" s="34">
        <v>3</v>
      </c>
      <c r="J4337" s="35">
        <v>3</v>
      </c>
      <c r="K4337" s="2" t="s">
        <v>8688</v>
      </c>
      <c r="L4337" s="36" t="str">
        <f t="shared" si="73"/>
        <v>Ver Imagen</v>
      </c>
      <c r="M4337" t="s">
        <v>8005</v>
      </c>
    </row>
    <row r="4338" spans="1:13" x14ac:dyDescent="0.25">
      <c r="A4338" s="33">
        <v>4341</v>
      </c>
      <c r="B4338" t="s">
        <v>8689</v>
      </c>
      <c r="C4338" s="1">
        <v>37.186736868099999</v>
      </c>
      <c r="D4338" s="1">
        <v>-6.9795132735800003</v>
      </c>
      <c r="E4338" s="3">
        <v>5</v>
      </c>
      <c r="F4338" s="2">
        <v>3</v>
      </c>
      <c r="G4338" s="4">
        <v>5</v>
      </c>
      <c r="H4338" s="13">
        <v>3</v>
      </c>
      <c r="I4338" s="34">
        <v>4</v>
      </c>
      <c r="J4338" s="35">
        <v>4</v>
      </c>
      <c r="K4338" s="2" t="s">
        <v>8690</v>
      </c>
      <c r="L4338" s="36" t="str">
        <f t="shared" si="73"/>
        <v>Ver Imagen</v>
      </c>
      <c r="M4338" t="s">
        <v>8005</v>
      </c>
    </row>
    <row r="4339" spans="1:13" x14ac:dyDescent="0.25">
      <c r="A4339" s="33">
        <v>4342</v>
      </c>
      <c r="B4339" t="s">
        <v>8691</v>
      </c>
      <c r="C4339" s="1">
        <v>37.267588447000001</v>
      </c>
      <c r="D4339" s="1">
        <v>-6.9618002267000003</v>
      </c>
      <c r="E4339" s="3">
        <v>5</v>
      </c>
      <c r="F4339" s="2">
        <v>3</v>
      </c>
      <c r="G4339" s="4">
        <v>5</v>
      </c>
      <c r="H4339" s="13">
        <v>3</v>
      </c>
      <c r="I4339" s="34">
        <v>4</v>
      </c>
      <c r="J4339" s="35">
        <v>4</v>
      </c>
      <c r="K4339" s="2" t="s">
        <v>8692</v>
      </c>
      <c r="L4339" s="36" t="str">
        <f t="shared" si="73"/>
        <v>Ver Imagen</v>
      </c>
      <c r="M4339" t="s">
        <v>8005</v>
      </c>
    </row>
    <row r="4340" spans="1:13" x14ac:dyDescent="0.25">
      <c r="A4340" s="33">
        <v>4343</v>
      </c>
      <c r="B4340" t="s">
        <v>8693</v>
      </c>
      <c r="C4340" s="1">
        <v>37.203109196600003</v>
      </c>
      <c r="D4340" s="1">
        <v>-7.0039202841100003</v>
      </c>
      <c r="E4340" s="3">
        <v>5</v>
      </c>
      <c r="F4340" s="2">
        <v>3</v>
      </c>
      <c r="G4340" s="4">
        <v>5</v>
      </c>
      <c r="H4340" s="13">
        <v>3</v>
      </c>
      <c r="I4340" s="34">
        <v>4</v>
      </c>
      <c r="J4340" s="37">
        <v>3</v>
      </c>
      <c r="K4340" s="2" t="s">
        <v>8694</v>
      </c>
      <c r="L4340" s="36" t="str">
        <f t="shared" si="73"/>
        <v>Ver Imagen</v>
      </c>
      <c r="M4340" s="37" t="s">
        <v>8052</v>
      </c>
    </row>
    <row r="4341" spans="1:13" x14ac:dyDescent="0.25">
      <c r="A4341" s="33">
        <v>4344</v>
      </c>
      <c r="B4341" t="s">
        <v>8695</v>
      </c>
      <c r="C4341" s="1">
        <v>37.203939104</v>
      </c>
      <c r="D4341" s="1">
        <v>-7.0098779594499998</v>
      </c>
      <c r="E4341" s="3">
        <v>5</v>
      </c>
      <c r="F4341" s="2">
        <v>3</v>
      </c>
      <c r="G4341" s="4">
        <v>5</v>
      </c>
      <c r="H4341" s="13">
        <v>4</v>
      </c>
      <c r="I4341" s="34">
        <v>4</v>
      </c>
      <c r="J4341" s="35">
        <v>4</v>
      </c>
      <c r="K4341" s="2" t="s">
        <v>8696</v>
      </c>
      <c r="L4341" s="36" t="str">
        <f t="shared" si="73"/>
        <v>Ver Imagen</v>
      </c>
      <c r="M4341" t="s">
        <v>8005</v>
      </c>
    </row>
    <row r="4342" spans="1:13" x14ac:dyDescent="0.25">
      <c r="A4342" s="33">
        <v>4345</v>
      </c>
      <c r="B4342" t="s">
        <v>8697</v>
      </c>
      <c r="C4342" s="1">
        <v>37.204058013500003</v>
      </c>
      <c r="D4342" s="1">
        <v>-7.0105954237999999</v>
      </c>
      <c r="E4342" s="3">
        <v>5</v>
      </c>
      <c r="F4342" s="2">
        <v>3</v>
      </c>
      <c r="G4342" s="4">
        <v>5</v>
      </c>
      <c r="H4342" s="13">
        <v>4</v>
      </c>
      <c r="I4342" s="34">
        <v>4</v>
      </c>
      <c r="J4342" s="35">
        <v>4</v>
      </c>
      <c r="K4342" s="2" t="s">
        <v>8698</v>
      </c>
      <c r="L4342" s="36" t="str">
        <f t="shared" si="73"/>
        <v>Ver Imagen</v>
      </c>
      <c r="M4342" t="s">
        <v>8005</v>
      </c>
    </row>
    <row r="4343" spans="1:13" x14ac:dyDescent="0.25">
      <c r="A4343" s="33">
        <v>4346</v>
      </c>
      <c r="B4343" t="s">
        <v>8699</v>
      </c>
      <c r="C4343" s="1">
        <v>37.262803517199998</v>
      </c>
      <c r="D4343" s="1">
        <v>-7.0088809770899996</v>
      </c>
      <c r="E4343" s="3">
        <v>5</v>
      </c>
      <c r="F4343" s="2">
        <v>3</v>
      </c>
      <c r="G4343" s="4">
        <v>5</v>
      </c>
      <c r="H4343" s="13">
        <v>2</v>
      </c>
      <c r="I4343" s="34">
        <v>3</v>
      </c>
      <c r="J4343" s="35">
        <v>3</v>
      </c>
      <c r="K4343" s="2" t="s">
        <v>8700</v>
      </c>
      <c r="L4343" s="36" t="str">
        <f t="shared" si="73"/>
        <v>Ver Imagen</v>
      </c>
      <c r="M4343" t="s">
        <v>8005</v>
      </c>
    </row>
    <row r="4344" spans="1:13" x14ac:dyDescent="0.25">
      <c r="A4344" s="33">
        <v>4347</v>
      </c>
      <c r="B4344" t="s">
        <v>8701</v>
      </c>
      <c r="C4344" s="1">
        <v>37.446783099400001</v>
      </c>
      <c r="D4344" s="1">
        <v>-7.1310085820199998</v>
      </c>
      <c r="E4344" s="3">
        <v>2</v>
      </c>
      <c r="F4344" s="2">
        <v>4</v>
      </c>
      <c r="G4344" s="4">
        <v>3</v>
      </c>
      <c r="H4344" s="13">
        <v>3</v>
      </c>
      <c r="I4344" s="34">
        <v>4</v>
      </c>
      <c r="J4344" s="35">
        <v>3</v>
      </c>
      <c r="K4344" s="2" t="s">
        <v>8702</v>
      </c>
      <c r="L4344" s="36" t="str">
        <f t="shared" si="73"/>
        <v>Ver Imagen</v>
      </c>
      <c r="M4344" t="s">
        <v>8005</v>
      </c>
    </row>
    <row r="4345" spans="1:13" x14ac:dyDescent="0.25">
      <c r="A4345" s="33">
        <v>4348</v>
      </c>
      <c r="B4345" t="s">
        <v>8703</v>
      </c>
      <c r="C4345" s="1">
        <v>37.446507447199998</v>
      </c>
      <c r="D4345" s="1">
        <v>-7.1326840336300004</v>
      </c>
      <c r="E4345" s="3">
        <v>3</v>
      </c>
      <c r="F4345" s="2">
        <v>4</v>
      </c>
      <c r="G4345" s="4">
        <v>5</v>
      </c>
      <c r="H4345" s="13">
        <v>4</v>
      </c>
      <c r="I4345" s="34">
        <v>4</v>
      </c>
      <c r="J4345" s="35">
        <v>4</v>
      </c>
      <c r="K4345" s="2" t="s">
        <v>8704</v>
      </c>
      <c r="L4345" s="36" t="str">
        <f t="shared" si="73"/>
        <v>Ver Imagen</v>
      </c>
      <c r="M4345" t="s">
        <v>8005</v>
      </c>
    </row>
    <row r="4346" spans="1:13" x14ac:dyDescent="0.25">
      <c r="A4346" s="33">
        <v>4349</v>
      </c>
      <c r="B4346" t="s">
        <v>8705</v>
      </c>
      <c r="C4346" s="1">
        <v>37.4463473932</v>
      </c>
      <c r="D4346" s="1">
        <v>-7.1337630319000001</v>
      </c>
      <c r="E4346" s="3">
        <v>2</v>
      </c>
      <c r="F4346" s="2">
        <v>4</v>
      </c>
      <c r="G4346" s="4">
        <v>3</v>
      </c>
      <c r="H4346" s="13">
        <v>4</v>
      </c>
      <c r="I4346" s="34">
        <v>4</v>
      </c>
      <c r="J4346" s="35">
        <v>4</v>
      </c>
      <c r="K4346" s="2" t="s">
        <v>8706</v>
      </c>
      <c r="L4346" s="36" t="str">
        <f t="shared" si="73"/>
        <v>Ver Imagen</v>
      </c>
      <c r="M4346" t="s">
        <v>8005</v>
      </c>
    </row>
    <row r="4347" spans="1:13" x14ac:dyDescent="0.25">
      <c r="A4347" s="33">
        <v>4350</v>
      </c>
      <c r="B4347" t="s">
        <v>8707</v>
      </c>
      <c r="C4347" s="1">
        <v>37.4461915125</v>
      </c>
      <c r="D4347" s="1">
        <v>-7.1352306344200001</v>
      </c>
      <c r="E4347" s="3">
        <v>2</v>
      </c>
      <c r="F4347" s="2">
        <v>3</v>
      </c>
      <c r="G4347" s="4">
        <v>4</v>
      </c>
      <c r="H4347" s="13">
        <v>3</v>
      </c>
      <c r="I4347" s="34">
        <v>3</v>
      </c>
      <c r="J4347" s="35">
        <v>3</v>
      </c>
      <c r="K4347" s="2" t="s">
        <v>8708</v>
      </c>
      <c r="L4347" s="36" t="str">
        <f t="shared" si="73"/>
        <v>Ver Imagen</v>
      </c>
      <c r="M4347" t="s">
        <v>8005</v>
      </c>
    </row>
    <row r="4348" spans="1:13" x14ac:dyDescent="0.25">
      <c r="A4348" s="33">
        <v>4351</v>
      </c>
      <c r="B4348" t="s">
        <v>8709</v>
      </c>
      <c r="C4348" s="1">
        <v>37.446151374899998</v>
      </c>
      <c r="D4348" s="1">
        <v>-7.1362223281899997</v>
      </c>
      <c r="E4348" s="3">
        <v>2</v>
      </c>
      <c r="F4348" s="2">
        <v>4</v>
      </c>
      <c r="G4348" s="4">
        <v>4</v>
      </c>
      <c r="H4348" s="13">
        <v>4</v>
      </c>
      <c r="I4348" s="34">
        <v>4</v>
      </c>
      <c r="J4348" s="35">
        <v>4</v>
      </c>
      <c r="K4348" s="2" t="s">
        <v>8710</v>
      </c>
      <c r="L4348" s="36" t="str">
        <f t="shared" si="73"/>
        <v>Ver Imagen</v>
      </c>
      <c r="M4348" t="s">
        <v>8005</v>
      </c>
    </row>
    <row r="4349" spans="1:13" x14ac:dyDescent="0.25">
      <c r="A4349" s="33">
        <v>4352</v>
      </c>
      <c r="B4349" t="s">
        <v>8711</v>
      </c>
      <c r="C4349" s="1">
        <v>37.446237928099997</v>
      </c>
      <c r="D4349" s="1">
        <v>-7.1367065503699996</v>
      </c>
      <c r="E4349" s="3">
        <v>2</v>
      </c>
      <c r="F4349" s="2">
        <v>4</v>
      </c>
      <c r="G4349" s="4">
        <v>4</v>
      </c>
      <c r="H4349" s="13">
        <v>4</v>
      </c>
      <c r="I4349" s="34">
        <v>3</v>
      </c>
      <c r="J4349" s="35">
        <v>4</v>
      </c>
      <c r="K4349" s="2" t="s">
        <v>8712</v>
      </c>
      <c r="L4349" s="36" t="str">
        <f t="shared" si="73"/>
        <v>Ver Imagen</v>
      </c>
      <c r="M4349" t="s">
        <v>8005</v>
      </c>
    </row>
    <row r="4350" spans="1:13" x14ac:dyDescent="0.25">
      <c r="A4350" s="33">
        <v>4353</v>
      </c>
      <c r="B4350" t="s">
        <v>8713</v>
      </c>
      <c r="C4350" s="1">
        <v>37.446863270199998</v>
      </c>
      <c r="D4350" s="1">
        <v>-7.1388415722199996</v>
      </c>
      <c r="E4350" s="3">
        <v>2</v>
      </c>
      <c r="F4350" s="2">
        <v>4</v>
      </c>
      <c r="G4350" s="4">
        <v>3</v>
      </c>
      <c r="H4350" s="13">
        <v>4</v>
      </c>
      <c r="I4350" s="34">
        <v>3</v>
      </c>
      <c r="J4350" s="35">
        <v>3</v>
      </c>
      <c r="K4350" s="2" t="s">
        <v>8714</v>
      </c>
      <c r="L4350" s="36" t="str">
        <f t="shared" si="73"/>
        <v>Ver Imagen</v>
      </c>
      <c r="M4350" t="s">
        <v>8005</v>
      </c>
    </row>
    <row r="4351" spans="1:13" x14ac:dyDescent="0.25">
      <c r="A4351" s="33">
        <v>4354</v>
      </c>
      <c r="B4351" t="s">
        <v>8715</v>
      </c>
      <c r="C4351" s="1">
        <v>37.447260556400003</v>
      </c>
      <c r="D4351" s="1">
        <v>-7.1399972803800003</v>
      </c>
      <c r="E4351" s="3">
        <v>2</v>
      </c>
      <c r="F4351" s="2">
        <v>3</v>
      </c>
      <c r="G4351" s="4">
        <v>4</v>
      </c>
      <c r="H4351" s="13">
        <v>4</v>
      </c>
      <c r="I4351" s="34">
        <v>4</v>
      </c>
      <c r="J4351" s="35">
        <v>4</v>
      </c>
      <c r="K4351" s="2" t="s">
        <v>8716</v>
      </c>
      <c r="L4351" s="36" t="str">
        <f t="shared" si="73"/>
        <v>Ver Imagen</v>
      </c>
      <c r="M4351" t="s">
        <v>8005</v>
      </c>
    </row>
    <row r="4352" spans="1:13" x14ac:dyDescent="0.25">
      <c r="A4352" s="33">
        <v>4355</v>
      </c>
      <c r="B4352" t="s">
        <v>8717</v>
      </c>
      <c r="C4352" s="1">
        <v>37.447641397799998</v>
      </c>
      <c r="D4352" s="1">
        <v>-7.1408249214000001</v>
      </c>
      <c r="E4352" s="3">
        <v>2</v>
      </c>
      <c r="F4352" s="2">
        <v>4</v>
      </c>
      <c r="G4352" s="4">
        <v>3</v>
      </c>
      <c r="H4352" s="13">
        <v>4</v>
      </c>
      <c r="I4352" s="34">
        <v>4</v>
      </c>
      <c r="J4352" s="35">
        <v>4</v>
      </c>
      <c r="K4352" s="2" t="s">
        <v>8718</v>
      </c>
      <c r="L4352" s="36" t="str">
        <f t="shared" si="73"/>
        <v>Ver Imagen</v>
      </c>
      <c r="M4352" t="s">
        <v>8005</v>
      </c>
    </row>
    <row r="4353" spans="1:13" x14ac:dyDescent="0.25">
      <c r="A4353" s="33">
        <v>4356</v>
      </c>
      <c r="B4353" t="s">
        <v>8719</v>
      </c>
      <c r="C4353" s="1">
        <v>37.448494257100002</v>
      </c>
      <c r="D4353" s="1">
        <v>-7.1434211157299998</v>
      </c>
      <c r="E4353" s="3">
        <v>2</v>
      </c>
      <c r="F4353" s="2">
        <v>4</v>
      </c>
      <c r="G4353" s="4">
        <v>4</v>
      </c>
      <c r="H4353" s="13">
        <v>4</v>
      </c>
      <c r="I4353" s="34">
        <v>4</v>
      </c>
      <c r="J4353" s="35">
        <v>4</v>
      </c>
      <c r="K4353" s="2" t="s">
        <v>8720</v>
      </c>
      <c r="L4353" s="36" t="str">
        <f t="shared" si="73"/>
        <v>Ver Imagen</v>
      </c>
      <c r="M4353" t="s">
        <v>8005</v>
      </c>
    </row>
    <row r="4354" spans="1:13" x14ac:dyDescent="0.25">
      <c r="A4354" s="33">
        <v>4357</v>
      </c>
      <c r="B4354" t="s">
        <v>8721</v>
      </c>
      <c r="C4354" s="1">
        <v>37.448619156299998</v>
      </c>
      <c r="D4354" s="1">
        <v>-7.14573899088</v>
      </c>
      <c r="E4354" s="3">
        <v>3</v>
      </c>
      <c r="F4354" s="2">
        <v>4</v>
      </c>
      <c r="G4354" s="4">
        <v>5</v>
      </c>
      <c r="H4354" s="13">
        <v>4</v>
      </c>
      <c r="I4354" s="34">
        <v>4</v>
      </c>
      <c r="J4354" s="35">
        <v>4</v>
      </c>
      <c r="K4354" s="2" t="s">
        <v>8722</v>
      </c>
      <c r="L4354" s="36" t="str">
        <f t="shared" si="73"/>
        <v>Ver Imagen</v>
      </c>
      <c r="M4354" t="s">
        <v>8005</v>
      </c>
    </row>
    <row r="4355" spans="1:13" x14ac:dyDescent="0.25">
      <c r="A4355" s="33">
        <v>4358</v>
      </c>
      <c r="B4355" t="s">
        <v>8723</v>
      </c>
      <c r="C4355" s="1">
        <v>37.448639786599998</v>
      </c>
      <c r="D4355" s="1">
        <v>-7.1462209652700004</v>
      </c>
      <c r="E4355" s="3">
        <v>3</v>
      </c>
      <c r="F4355" s="2">
        <v>5</v>
      </c>
      <c r="G4355" s="4">
        <v>5</v>
      </c>
      <c r="H4355" s="13">
        <v>5</v>
      </c>
      <c r="I4355" s="34">
        <v>5</v>
      </c>
      <c r="J4355" s="35">
        <v>5</v>
      </c>
      <c r="K4355" s="2" t="s">
        <v>8724</v>
      </c>
      <c r="L4355" s="36" t="str">
        <f t="shared" si="73"/>
        <v>Ver Imagen</v>
      </c>
      <c r="M4355" t="s">
        <v>8005</v>
      </c>
    </row>
    <row r="4356" spans="1:13" x14ac:dyDescent="0.25">
      <c r="A4356" s="33">
        <v>4359</v>
      </c>
      <c r="B4356" t="s">
        <v>8725</v>
      </c>
      <c r="C4356" s="1">
        <v>37.448649121099997</v>
      </c>
      <c r="D4356" s="1">
        <v>-7.1464466403199998</v>
      </c>
      <c r="E4356" s="3">
        <v>2</v>
      </c>
      <c r="F4356" s="2">
        <v>2</v>
      </c>
      <c r="G4356" s="4">
        <v>4</v>
      </c>
      <c r="H4356" s="13">
        <v>3</v>
      </c>
      <c r="I4356" s="34">
        <v>3</v>
      </c>
      <c r="J4356" s="35">
        <v>3</v>
      </c>
      <c r="K4356" s="2" t="s">
        <v>8726</v>
      </c>
      <c r="L4356" s="36" t="str">
        <f t="shared" si="73"/>
        <v>Ver Imagen</v>
      </c>
      <c r="M4356" t="s">
        <v>8005</v>
      </c>
    </row>
    <row r="4357" spans="1:13" x14ac:dyDescent="0.25">
      <c r="A4357" s="33">
        <v>4360</v>
      </c>
      <c r="B4357" t="s">
        <v>8727</v>
      </c>
      <c r="C4357" s="1">
        <v>37.448796722700003</v>
      </c>
      <c r="D4357" s="1">
        <v>-7.1490203882700003</v>
      </c>
      <c r="E4357" s="3">
        <v>2</v>
      </c>
      <c r="F4357" s="2">
        <v>4</v>
      </c>
      <c r="G4357" s="4">
        <v>4</v>
      </c>
      <c r="H4357" s="13">
        <v>4</v>
      </c>
      <c r="I4357" s="34">
        <v>3</v>
      </c>
      <c r="J4357" s="35">
        <v>4</v>
      </c>
      <c r="K4357" s="2" t="s">
        <v>8728</v>
      </c>
      <c r="L4357" s="36" t="str">
        <f t="shared" si="73"/>
        <v>Ver Imagen</v>
      </c>
      <c r="M4357" t="s">
        <v>8005</v>
      </c>
    </row>
    <row r="4358" spans="1:13" x14ac:dyDescent="0.25">
      <c r="A4358" s="33">
        <v>4361</v>
      </c>
      <c r="B4358" t="s">
        <v>8729</v>
      </c>
      <c r="C4358" s="1">
        <v>37.4517235199</v>
      </c>
      <c r="D4358" s="1">
        <v>-7.1569761461799999</v>
      </c>
      <c r="E4358" s="3">
        <v>2</v>
      </c>
      <c r="F4358" s="2">
        <v>4</v>
      </c>
      <c r="G4358" s="4">
        <v>4</v>
      </c>
      <c r="H4358" s="13">
        <v>3</v>
      </c>
      <c r="I4358" s="34">
        <v>3</v>
      </c>
      <c r="J4358" s="35">
        <v>3</v>
      </c>
      <c r="K4358" s="2" t="s">
        <v>8730</v>
      </c>
      <c r="L4358" s="36" t="str">
        <f t="shared" si="73"/>
        <v>Ver Imagen</v>
      </c>
      <c r="M4358" t="s">
        <v>8005</v>
      </c>
    </row>
    <row r="4359" spans="1:13" x14ac:dyDescent="0.25">
      <c r="A4359" s="33">
        <v>4362</v>
      </c>
      <c r="B4359" t="s">
        <v>8731</v>
      </c>
      <c r="C4359" s="1">
        <v>37.449825813700002</v>
      </c>
      <c r="D4359" s="1">
        <v>-7.1519762084999998</v>
      </c>
      <c r="E4359" s="3">
        <v>1</v>
      </c>
      <c r="F4359" s="2">
        <v>3</v>
      </c>
      <c r="G4359" s="4">
        <v>2</v>
      </c>
      <c r="H4359" s="13">
        <v>2</v>
      </c>
      <c r="I4359" s="34">
        <v>2</v>
      </c>
      <c r="J4359" s="35">
        <v>2</v>
      </c>
      <c r="K4359" s="2" t="s">
        <v>8732</v>
      </c>
      <c r="L4359" s="36" t="str">
        <f t="shared" si="73"/>
        <v>Ver Imagen</v>
      </c>
      <c r="M4359" t="s">
        <v>8005</v>
      </c>
    </row>
    <row r="4360" spans="1:13" x14ac:dyDescent="0.25">
      <c r="A4360" s="33">
        <v>4363</v>
      </c>
      <c r="B4360" t="s">
        <v>8733</v>
      </c>
      <c r="C4360" s="1">
        <v>37.450193476700001</v>
      </c>
      <c r="D4360" s="1">
        <v>-7.1525749299900001</v>
      </c>
      <c r="E4360" s="3">
        <v>1</v>
      </c>
      <c r="F4360" s="2">
        <v>3</v>
      </c>
      <c r="G4360" s="4">
        <v>3</v>
      </c>
      <c r="H4360" s="13">
        <v>2</v>
      </c>
      <c r="I4360" s="34">
        <v>2</v>
      </c>
      <c r="J4360" s="35">
        <v>2</v>
      </c>
      <c r="K4360" s="2" t="s">
        <v>8734</v>
      </c>
      <c r="L4360" s="36" t="str">
        <f t="shared" si="73"/>
        <v>Ver Imagen</v>
      </c>
      <c r="M4360" t="s">
        <v>8005</v>
      </c>
    </row>
    <row r="4361" spans="1:13" x14ac:dyDescent="0.25">
      <c r="A4361" s="33">
        <v>4364</v>
      </c>
      <c r="B4361" t="s">
        <v>8735</v>
      </c>
      <c r="C4361" s="1">
        <v>37.4504376382</v>
      </c>
      <c r="D4361" s="1">
        <v>-7.1529726518799999</v>
      </c>
      <c r="E4361" s="3">
        <v>2</v>
      </c>
      <c r="F4361" s="2">
        <v>3</v>
      </c>
      <c r="G4361" s="4">
        <v>4</v>
      </c>
      <c r="H4361" s="13">
        <v>3</v>
      </c>
      <c r="I4361" s="34">
        <v>3</v>
      </c>
      <c r="J4361" s="35">
        <v>3</v>
      </c>
      <c r="K4361" s="2" t="s">
        <v>8736</v>
      </c>
      <c r="L4361" s="36" t="str">
        <f t="shared" si="73"/>
        <v>Ver Imagen</v>
      </c>
      <c r="M4361" t="s">
        <v>8005</v>
      </c>
    </row>
    <row r="4362" spans="1:13" x14ac:dyDescent="0.25">
      <c r="A4362" s="33">
        <v>4365</v>
      </c>
      <c r="B4362" t="s">
        <v>8737</v>
      </c>
      <c r="C4362" s="1">
        <v>37.450567774500001</v>
      </c>
      <c r="D4362" s="1">
        <v>-7.1531836049299997</v>
      </c>
      <c r="E4362" s="3">
        <v>2</v>
      </c>
      <c r="F4362" s="2">
        <v>3</v>
      </c>
      <c r="G4362" s="4">
        <v>4</v>
      </c>
      <c r="H4362" s="13">
        <v>3</v>
      </c>
      <c r="I4362" s="34">
        <v>2</v>
      </c>
      <c r="J4362" s="35">
        <v>3</v>
      </c>
      <c r="K4362" s="2" t="s">
        <v>8738</v>
      </c>
      <c r="L4362" s="36" t="str">
        <f t="shared" si="73"/>
        <v>Ver Imagen</v>
      </c>
      <c r="M4362" t="s">
        <v>8005</v>
      </c>
    </row>
    <row r="4363" spans="1:13" x14ac:dyDescent="0.25">
      <c r="A4363" s="33">
        <v>4366</v>
      </c>
      <c r="B4363" t="s">
        <v>8739</v>
      </c>
      <c r="C4363" s="1">
        <v>37.450971355699998</v>
      </c>
      <c r="D4363" s="1">
        <v>-7.1538662778099997</v>
      </c>
      <c r="E4363" s="3">
        <v>2</v>
      </c>
      <c r="F4363" s="2">
        <v>3</v>
      </c>
      <c r="G4363" s="4">
        <v>4</v>
      </c>
      <c r="H4363" s="13">
        <v>3</v>
      </c>
      <c r="I4363" s="34">
        <v>3</v>
      </c>
      <c r="J4363" s="35">
        <v>3</v>
      </c>
      <c r="K4363" s="2" t="s">
        <v>8740</v>
      </c>
      <c r="L4363" s="36" t="str">
        <f t="shared" si="73"/>
        <v>Ver Imagen</v>
      </c>
      <c r="M4363" t="s">
        <v>8005</v>
      </c>
    </row>
    <row r="4364" spans="1:13" x14ac:dyDescent="0.25">
      <c r="A4364" s="33">
        <v>4367</v>
      </c>
      <c r="B4364" t="s">
        <v>8741</v>
      </c>
      <c r="C4364" s="1">
        <v>37.451354966899999</v>
      </c>
      <c r="D4364" s="1">
        <v>-7.1552365139200003</v>
      </c>
      <c r="E4364" s="3">
        <v>2</v>
      </c>
      <c r="F4364" s="2">
        <v>4</v>
      </c>
      <c r="G4364" s="4">
        <v>4</v>
      </c>
      <c r="H4364" s="13">
        <v>3</v>
      </c>
      <c r="I4364" s="34">
        <v>3</v>
      </c>
      <c r="J4364" s="35">
        <v>3</v>
      </c>
      <c r="K4364" s="2" t="s">
        <v>8742</v>
      </c>
      <c r="L4364" s="36" t="str">
        <f t="shared" si="73"/>
        <v>Ver Imagen</v>
      </c>
      <c r="M4364" t="s">
        <v>8005</v>
      </c>
    </row>
    <row r="4365" spans="1:13" x14ac:dyDescent="0.25">
      <c r="A4365" s="33">
        <v>4368</v>
      </c>
      <c r="B4365" t="s">
        <v>8743</v>
      </c>
      <c r="C4365" s="1">
        <v>37.451448233400001</v>
      </c>
      <c r="D4365" s="1">
        <v>-7.1556710706100004</v>
      </c>
      <c r="E4365" s="3">
        <v>3</v>
      </c>
      <c r="F4365" s="2">
        <v>4</v>
      </c>
      <c r="G4365" s="4">
        <v>5</v>
      </c>
      <c r="H4365" s="13">
        <v>5</v>
      </c>
      <c r="I4365" s="34">
        <v>4</v>
      </c>
      <c r="J4365" s="35">
        <v>4</v>
      </c>
      <c r="K4365" s="2" t="s">
        <v>8744</v>
      </c>
      <c r="L4365" s="36" t="str">
        <f t="shared" si="73"/>
        <v>Ver Imagen</v>
      </c>
      <c r="M4365" t="s">
        <v>8005</v>
      </c>
    </row>
    <row r="4366" spans="1:13" x14ac:dyDescent="0.25">
      <c r="A4366" s="33">
        <v>4369</v>
      </c>
      <c r="B4366" t="s">
        <v>8745</v>
      </c>
      <c r="C4366" s="1">
        <v>37.451503299099997</v>
      </c>
      <c r="D4366" s="1">
        <v>-7.15593909632</v>
      </c>
      <c r="E4366" s="3">
        <v>2</v>
      </c>
      <c r="F4366" s="2">
        <v>4</v>
      </c>
      <c r="G4366" s="4">
        <v>4</v>
      </c>
      <c r="H4366" s="13">
        <v>4</v>
      </c>
      <c r="I4366" s="34">
        <v>4</v>
      </c>
      <c r="J4366" s="35">
        <v>4</v>
      </c>
      <c r="K4366" s="2" t="s">
        <v>8746</v>
      </c>
      <c r="L4366" s="36" t="str">
        <f t="shared" si="73"/>
        <v>Ver Imagen</v>
      </c>
      <c r="M4366" t="s">
        <v>8005</v>
      </c>
    </row>
    <row r="4367" spans="1:13" x14ac:dyDescent="0.25">
      <c r="A4367" s="33">
        <v>4370</v>
      </c>
      <c r="B4367" t="s">
        <v>8747</v>
      </c>
      <c r="C4367" s="1">
        <v>37.451557409400003</v>
      </c>
      <c r="D4367" s="1">
        <v>-7.1561900700500001</v>
      </c>
      <c r="E4367" s="3">
        <v>2</v>
      </c>
      <c r="F4367" s="2">
        <v>4</v>
      </c>
      <c r="G4367" s="4">
        <v>4</v>
      </c>
      <c r="H4367" s="13">
        <v>3</v>
      </c>
      <c r="I4367" s="34">
        <v>3</v>
      </c>
      <c r="J4367" s="35">
        <v>3</v>
      </c>
      <c r="K4367" s="2" t="s">
        <v>8748</v>
      </c>
      <c r="L4367" s="36" t="str">
        <f t="shared" si="73"/>
        <v>Ver Imagen</v>
      </c>
      <c r="M4367" t="s">
        <v>8005</v>
      </c>
    </row>
    <row r="4368" spans="1:13" x14ac:dyDescent="0.25">
      <c r="A4368" s="33">
        <v>4371</v>
      </c>
      <c r="B4368" t="s">
        <v>8749</v>
      </c>
      <c r="C4368" s="1">
        <v>37.451667160100001</v>
      </c>
      <c r="D4368" s="1">
        <v>-7.1567019924400004</v>
      </c>
      <c r="E4368" s="3">
        <v>2</v>
      </c>
      <c r="F4368" s="2">
        <v>4</v>
      </c>
      <c r="G4368" s="4">
        <v>4</v>
      </c>
      <c r="H4368" s="13">
        <v>3</v>
      </c>
      <c r="I4368" s="34">
        <v>3</v>
      </c>
      <c r="J4368" s="35">
        <v>3</v>
      </c>
      <c r="K4368" s="2" t="s">
        <v>8750</v>
      </c>
      <c r="L4368" s="36" t="str">
        <f t="shared" si="73"/>
        <v>Ver Imagen</v>
      </c>
      <c r="M4368" t="s">
        <v>8005</v>
      </c>
    </row>
    <row r="4369" spans="1:13" x14ac:dyDescent="0.25">
      <c r="A4369" s="33">
        <v>4372</v>
      </c>
      <c r="B4369" t="s">
        <v>8751</v>
      </c>
      <c r="C4369" s="1">
        <v>37.451771255899999</v>
      </c>
      <c r="D4369" s="1">
        <v>-7.1572035230899997</v>
      </c>
      <c r="E4369" s="3">
        <v>2</v>
      </c>
      <c r="F4369" s="2">
        <v>3</v>
      </c>
      <c r="G4369" s="4">
        <v>4</v>
      </c>
      <c r="H4369" s="13">
        <v>2</v>
      </c>
      <c r="I4369" s="34">
        <v>3</v>
      </c>
      <c r="J4369" s="37">
        <v>2</v>
      </c>
      <c r="K4369" s="2" t="s">
        <v>8752</v>
      </c>
      <c r="L4369" s="36" t="str">
        <f t="shared" si="73"/>
        <v>Ver Imagen</v>
      </c>
      <c r="M4369" s="37" t="s">
        <v>8052</v>
      </c>
    </row>
    <row r="4370" spans="1:13" x14ac:dyDescent="0.25">
      <c r="A4370" s="33">
        <v>4373</v>
      </c>
      <c r="B4370" t="s">
        <v>8753</v>
      </c>
      <c r="C4370" s="1">
        <v>37.451829521199997</v>
      </c>
      <c r="D4370" s="1">
        <v>-7.1574776183799997</v>
      </c>
      <c r="E4370" s="3">
        <v>1</v>
      </c>
      <c r="F4370" s="2">
        <v>2</v>
      </c>
      <c r="G4370" s="4">
        <v>3</v>
      </c>
      <c r="H4370" s="13">
        <v>2</v>
      </c>
      <c r="I4370" s="34">
        <v>2</v>
      </c>
      <c r="J4370" s="35">
        <v>2</v>
      </c>
      <c r="K4370" s="2" t="s">
        <v>8754</v>
      </c>
      <c r="L4370" s="36" t="str">
        <f t="shared" si="73"/>
        <v>Ver Imagen</v>
      </c>
      <c r="M4370" t="s">
        <v>8005</v>
      </c>
    </row>
    <row r="4371" spans="1:13" x14ac:dyDescent="0.25">
      <c r="A4371" s="33">
        <v>4374</v>
      </c>
      <c r="B4371" t="s">
        <v>8755</v>
      </c>
      <c r="C4371" s="1">
        <v>37.451927887799997</v>
      </c>
      <c r="D4371" s="1">
        <v>-7.15794693461</v>
      </c>
      <c r="E4371" s="3">
        <v>1</v>
      </c>
      <c r="F4371" s="2">
        <v>3</v>
      </c>
      <c r="G4371" s="4">
        <v>3</v>
      </c>
      <c r="H4371" s="13">
        <v>2</v>
      </c>
      <c r="I4371" s="34">
        <v>2</v>
      </c>
      <c r="J4371" s="35">
        <v>2</v>
      </c>
      <c r="K4371" s="2" t="s">
        <v>8756</v>
      </c>
      <c r="L4371" s="36" t="str">
        <f t="shared" si="73"/>
        <v>Ver Imagen</v>
      </c>
      <c r="M4371" t="s">
        <v>8005</v>
      </c>
    </row>
    <row r="4372" spans="1:13" x14ac:dyDescent="0.25">
      <c r="A4372" s="33">
        <v>4375</v>
      </c>
      <c r="B4372" t="s">
        <v>8757</v>
      </c>
      <c r="C4372" s="1">
        <v>37.452181018700003</v>
      </c>
      <c r="D4372" s="1">
        <v>-7.1591328167399997</v>
      </c>
      <c r="E4372" s="3">
        <v>2</v>
      </c>
      <c r="F4372" s="2">
        <v>3</v>
      </c>
      <c r="G4372" s="4">
        <v>4</v>
      </c>
      <c r="H4372" s="13">
        <v>3</v>
      </c>
      <c r="I4372" s="34">
        <v>3</v>
      </c>
      <c r="J4372" s="35">
        <v>3</v>
      </c>
      <c r="K4372" s="2" t="s">
        <v>8758</v>
      </c>
      <c r="L4372" s="36" t="str">
        <f t="shared" si="73"/>
        <v>Ver Imagen</v>
      </c>
      <c r="M4372" t="s">
        <v>8005</v>
      </c>
    </row>
    <row r="4373" spans="1:13" x14ac:dyDescent="0.25">
      <c r="A4373" s="33">
        <v>4376</v>
      </c>
      <c r="B4373" t="s">
        <v>8759</v>
      </c>
      <c r="C4373" s="1">
        <v>37.452228633099999</v>
      </c>
      <c r="D4373" s="1">
        <v>-7.1593579119199999</v>
      </c>
      <c r="E4373" s="3">
        <v>3</v>
      </c>
      <c r="F4373" s="2">
        <v>2</v>
      </c>
      <c r="G4373" s="4">
        <v>4</v>
      </c>
      <c r="H4373" s="13">
        <v>2</v>
      </c>
      <c r="I4373" s="34">
        <v>2</v>
      </c>
      <c r="J4373" s="35">
        <v>2</v>
      </c>
      <c r="K4373" s="2" t="s">
        <v>8760</v>
      </c>
      <c r="L4373" s="36" t="str">
        <f t="shared" si="73"/>
        <v>Ver Imagen</v>
      </c>
      <c r="M4373" t="s">
        <v>8005</v>
      </c>
    </row>
    <row r="4374" spans="1:13" x14ac:dyDescent="0.25">
      <c r="A4374" s="33">
        <v>4377</v>
      </c>
      <c r="B4374" t="s">
        <v>8761</v>
      </c>
      <c r="C4374" s="1">
        <v>37.452280451999997</v>
      </c>
      <c r="D4374" s="1">
        <v>-7.1596030400900004</v>
      </c>
      <c r="E4374" s="3">
        <v>3</v>
      </c>
      <c r="F4374" s="2">
        <v>4</v>
      </c>
      <c r="G4374" s="4">
        <v>5</v>
      </c>
      <c r="H4374" s="13">
        <v>4</v>
      </c>
      <c r="I4374" s="34">
        <v>4</v>
      </c>
      <c r="J4374" s="35">
        <v>4</v>
      </c>
      <c r="K4374" s="2" t="s">
        <v>8762</v>
      </c>
      <c r="L4374" s="36" t="str">
        <f t="shared" si="73"/>
        <v>Ver Imagen</v>
      </c>
      <c r="M4374" t="s">
        <v>8005</v>
      </c>
    </row>
    <row r="4375" spans="1:13" x14ac:dyDescent="0.25">
      <c r="A4375" s="33">
        <v>4378</v>
      </c>
      <c r="B4375" t="s">
        <v>8763</v>
      </c>
      <c r="C4375" s="1">
        <v>37.452664304300001</v>
      </c>
      <c r="D4375" s="1">
        <v>-7.16108830659</v>
      </c>
      <c r="E4375" s="3">
        <v>2</v>
      </c>
      <c r="F4375" s="2">
        <v>3</v>
      </c>
      <c r="G4375" s="4">
        <v>4</v>
      </c>
      <c r="H4375" s="13">
        <v>3</v>
      </c>
      <c r="I4375" s="34">
        <v>4</v>
      </c>
      <c r="J4375" s="35">
        <v>3</v>
      </c>
      <c r="K4375" s="2" t="s">
        <v>8764</v>
      </c>
      <c r="L4375" s="36" t="str">
        <f t="shared" si="73"/>
        <v>Ver Imagen</v>
      </c>
      <c r="M4375" t="s">
        <v>8005</v>
      </c>
    </row>
    <row r="4376" spans="1:13" x14ac:dyDescent="0.25">
      <c r="A4376" s="33">
        <v>4379</v>
      </c>
      <c r="B4376" t="s">
        <v>8765</v>
      </c>
      <c r="C4376" s="1">
        <v>37.452990587499997</v>
      </c>
      <c r="D4376" s="1">
        <v>-7.1617772300400002</v>
      </c>
      <c r="E4376" s="3">
        <v>1</v>
      </c>
      <c r="F4376" s="2">
        <v>3</v>
      </c>
      <c r="G4376" s="4">
        <v>3</v>
      </c>
      <c r="H4376" s="13">
        <v>2</v>
      </c>
      <c r="I4376" s="34">
        <v>1</v>
      </c>
      <c r="J4376" s="35">
        <v>2</v>
      </c>
      <c r="K4376" s="2" t="s">
        <v>8766</v>
      </c>
      <c r="L4376" s="36" t="str">
        <f t="shared" si="73"/>
        <v>Ver Imagen</v>
      </c>
      <c r="M4376" t="s">
        <v>8005</v>
      </c>
    </row>
    <row r="4377" spans="1:13" x14ac:dyDescent="0.25">
      <c r="A4377" s="33">
        <v>4380</v>
      </c>
      <c r="B4377" t="s">
        <v>8767</v>
      </c>
      <c r="C4377" s="1">
        <v>37.4531007653</v>
      </c>
      <c r="D4377" s="1">
        <v>-7.1619908936099996</v>
      </c>
      <c r="E4377" s="3">
        <v>1</v>
      </c>
      <c r="F4377" s="2">
        <v>3</v>
      </c>
      <c r="G4377" s="4">
        <v>2</v>
      </c>
      <c r="H4377" s="13">
        <v>2</v>
      </c>
      <c r="I4377" s="34">
        <v>2</v>
      </c>
      <c r="J4377" s="35">
        <v>2</v>
      </c>
      <c r="K4377" s="2" t="s">
        <v>8768</v>
      </c>
      <c r="L4377" s="36" t="str">
        <f t="shared" si="73"/>
        <v>Ver Imagen</v>
      </c>
      <c r="M4377" t="s">
        <v>8005</v>
      </c>
    </row>
    <row r="4378" spans="1:13" x14ac:dyDescent="0.25">
      <c r="A4378" s="33">
        <v>4381</v>
      </c>
      <c r="B4378" t="s">
        <v>8769</v>
      </c>
      <c r="C4378" s="1">
        <v>37.454170159599997</v>
      </c>
      <c r="D4378" s="1">
        <v>-7.1641089744100004</v>
      </c>
      <c r="E4378" s="3">
        <v>1</v>
      </c>
      <c r="F4378" s="2">
        <v>3</v>
      </c>
      <c r="G4378" s="4">
        <v>3</v>
      </c>
      <c r="H4378" s="13">
        <v>1</v>
      </c>
      <c r="I4378" s="34">
        <v>1</v>
      </c>
      <c r="J4378" s="35">
        <v>1</v>
      </c>
      <c r="K4378" s="2" t="s">
        <v>8770</v>
      </c>
      <c r="L4378" s="36" t="str">
        <f t="shared" si="73"/>
        <v>Ver Imagen</v>
      </c>
      <c r="M4378" t="s">
        <v>8005</v>
      </c>
    </row>
    <row r="4379" spans="1:13" x14ac:dyDescent="0.25">
      <c r="A4379" s="33">
        <v>4382</v>
      </c>
      <c r="B4379" t="s">
        <v>8771</v>
      </c>
      <c r="C4379" s="1">
        <v>37.4544893984</v>
      </c>
      <c r="D4379" s="1">
        <v>-7.1647405727700004</v>
      </c>
      <c r="E4379" s="3">
        <v>1</v>
      </c>
      <c r="F4379" s="2">
        <v>3</v>
      </c>
      <c r="G4379" s="4">
        <v>3</v>
      </c>
      <c r="H4379" s="13">
        <v>2</v>
      </c>
      <c r="I4379" s="34">
        <v>1</v>
      </c>
      <c r="J4379" s="35">
        <v>2</v>
      </c>
      <c r="K4379" s="2" t="s">
        <v>8772</v>
      </c>
      <c r="L4379" s="36" t="str">
        <f t="shared" si="73"/>
        <v>Ver Imagen</v>
      </c>
      <c r="M4379" t="s">
        <v>8005</v>
      </c>
    </row>
    <row r="4380" spans="1:13" x14ac:dyDescent="0.25">
      <c r="A4380" s="33">
        <v>4383</v>
      </c>
      <c r="B4380" t="s">
        <v>8773</v>
      </c>
      <c r="C4380" s="1">
        <v>37.454612946700003</v>
      </c>
      <c r="D4380" s="1">
        <v>-7.1649735841200002</v>
      </c>
      <c r="E4380" s="3">
        <v>2</v>
      </c>
      <c r="F4380" s="2">
        <v>4</v>
      </c>
      <c r="G4380" s="4">
        <v>3</v>
      </c>
      <c r="H4380" s="13">
        <v>3</v>
      </c>
      <c r="I4380" s="34">
        <v>4</v>
      </c>
      <c r="J4380" s="35">
        <v>3</v>
      </c>
      <c r="K4380" s="2" t="s">
        <v>8774</v>
      </c>
      <c r="L4380" s="36" t="str">
        <f t="shared" ref="L4380:L4443" si="74">HYPERLINK("NoConsenso\" &amp; K4380, "Ver Imagen")</f>
        <v>Ver Imagen</v>
      </c>
      <c r="M4380" t="s">
        <v>8005</v>
      </c>
    </row>
    <row r="4381" spans="1:13" x14ac:dyDescent="0.25">
      <c r="A4381" s="33">
        <v>4384</v>
      </c>
      <c r="B4381" t="s">
        <v>8775</v>
      </c>
      <c r="C4381" s="1">
        <v>37.454970714600002</v>
      </c>
      <c r="D4381" s="1">
        <v>-7.1655314371000003</v>
      </c>
      <c r="E4381" s="3">
        <v>2</v>
      </c>
      <c r="F4381" s="2">
        <v>3</v>
      </c>
      <c r="G4381" s="4">
        <v>4</v>
      </c>
      <c r="H4381" s="13">
        <v>3</v>
      </c>
      <c r="I4381" s="34">
        <v>3</v>
      </c>
      <c r="J4381" s="35">
        <v>3</v>
      </c>
      <c r="K4381" s="2" t="s">
        <v>8776</v>
      </c>
      <c r="L4381" s="36" t="str">
        <f t="shared" si="74"/>
        <v>Ver Imagen</v>
      </c>
      <c r="M4381" t="s">
        <v>8005</v>
      </c>
    </row>
    <row r="4382" spans="1:13" x14ac:dyDescent="0.25">
      <c r="A4382" s="33">
        <v>4385</v>
      </c>
      <c r="B4382" t="s">
        <v>8777</v>
      </c>
      <c r="C4382" s="1">
        <v>37.456140520700004</v>
      </c>
      <c r="D4382" s="1">
        <v>-7.1669707868200003</v>
      </c>
      <c r="E4382" s="3">
        <v>2</v>
      </c>
      <c r="F4382" s="2">
        <v>4</v>
      </c>
      <c r="G4382" s="4">
        <v>3</v>
      </c>
      <c r="H4382" s="13">
        <v>3</v>
      </c>
      <c r="I4382" s="34">
        <v>3</v>
      </c>
      <c r="J4382" s="35">
        <v>3</v>
      </c>
      <c r="K4382" s="2" t="s">
        <v>8778</v>
      </c>
      <c r="L4382" s="36" t="str">
        <f t="shared" si="74"/>
        <v>Ver Imagen</v>
      </c>
      <c r="M4382" t="s">
        <v>8005</v>
      </c>
    </row>
    <row r="4383" spans="1:13" x14ac:dyDescent="0.25">
      <c r="A4383" s="33">
        <v>4386</v>
      </c>
      <c r="B4383" t="s">
        <v>8779</v>
      </c>
      <c r="C4383" s="1">
        <v>37.456758814200001</v>
      </c>
      <c r="D4383" s="1">
        <v>-7.1677378331500003</v>
      </c>
      <c r="E4383" s="3">
        <v>1</v>
      </c>
      <c r="F4383" s="2">
        <v>3</v>
      </c>
      <c r="G4383" s="4">
        <v>3</v>
      </c>
      <c r="H4383" s="13">
        <v>3</v>
      </c>
      <c r="I4383" s="34">
        <v>3</v>
      </c>
      <c r="J4383" s="35">
        <v>3</v>
      </c>
      <c r="K4383" s="2" t="s">
        <v>8780</v>
      </c>
      <c r="L4383" s="36" t="str">
        <f t="shared" si="74"/>
        <v>Ver Imagen</v>
      </c>
      <c r="M4383" t="s">
        <v>8005</v>
      </c>
    </row>
    <row r="4384" spans="1:13" x14ac:dyDescent="0.25">
      <c r="A4384" s="33">
        <v>4387</v>
      </c>
      <c r="B4384" t="s">
        <v>8781</v>
      </c>
      <c r="C4384" s="1">
        <v>37.456845004400002</v>
      </c>
      <c r="D4384" s="1">
        <v>-7.1678458190000001</v>
      </c>
      <c r="E4384" s="3">
        <v>2</v>
      </c>
      <c r="F4384" s="2">
        <v>3</v>
      </c>
      <c r="G4384" s="4">
        <v>4</v>
      </c>
      <c r="H4384" s="13">
        <v>3</v>
      </c>
      <c r="I4384" s="34">
        <v>3</v>
      </c>
      <c r="J4384" s="35">
        <v>3</v>
      </c>
      <c r="K4384" s="2" t="s">
        <v>8782</v>
      </c>
      <c r="L4384" s="36" t="str">
        <f t="shared" si="74"/>
        <v>Ver Imagen</v>
      </c>
      <c r="M4384" t="s">
        <v>8005</v>
      </c>
    </row>
    <row r="4385" spans="1:13" x14ac:dyDescent="0.25">
      <c r="A4385" s="33">
        <v>4388</v>
      </c>
      <c r="B4385" t="s">
        <v>8783</v>
      </c>
      <c r="C4385" s="1">
        <v>37.457414288999999</v>
      </c>
      <c r="D4385" s="1">
        <v>-7.1685470213500002</v>
      </c>
      <c r="E4385" s="3">
        <v>2</v>
      </c>
      <c r="F4385" s="2">
        <v>4</v>
      </c>
      <c r="G4385" s="4">
        <v>3</v>
      </c>
      <c r="H4385" s="13">
        <v>3</v>
      </c>
      <c r="I4385" s="34">
        <v>3</v>
      </c>
      <c r="J4385" s="35">
        <v>3</v>
      </c>
      <c r="K4385" s="2" t="s">
        <v>8784</v>
      </c>
      <c r="L4385" s="36" t="str">
        <f t="shared" si="74"/>
        <v>Ver Imagen</v>
      </c>
      <c r="M4385" t="s">
        <v>8005</v>
      </c>
    </row>
    <row r="4386" spans="1:13" x14ac:dyDescent="0.25">
      <c r="A4386" s="33">
        <v>4389</v>
      </c>
      <c r="B4386" t="s">
        <v>8785</v>
      </c>
      <c r="C4386" s="1">
        <v>37.459580490699999</v>
      </c>
      <c r="D4386" s="1">
        <v>-7.17121708106</v>
      </c>
      <c r="E4386" s="3">
        <v>2</v>
      </c>
      <c r="F4386" s="2">
        <v>4</v>
      </c>
      <c r="G4386" s="4">
        <v>3</v>
      </c>
      <c r="H4386" s="13">
        <v>3</v>
      </c>
      <c r="I4386" s="34">
        <v>4</v>
      </c>
      <c r="J4386" s="35">
        <v>3</v>
      </c>
      <c r="K4386" s="2" t="s">
        <v>8786</v>
      </c>
      <c r="L4386" s="36" t="str">
        <f t="shared" si="74"/>
        <v>Ver Imagen</v>
      </c>
      <c r="M4386" t="s">
        <v>8005</v>
      </c>
    </row>
    <row r="4387" spans="1:13" x14ac:dyDescent="0.25">
      <c r="A4387" s="33">
        <v>4390</v>
      </c>
      <c r="B4387" t="s">
        <v>8787</v>
      </c>
      <c r="C4387" s="1">
        <v>37.459849799200001</v>
      </c>
      <c r="D4387" s="1">
        <v>-7.1716096941199998</v>
      </c>
      <c r="E4387" s="3">
        <v>1</v>
      </c>
      <c r="F4387" s="2">
        <v>3</v>
      </c>
      <c r="G4387" s="4">
        <v>2</v>
      </c>
      <c r="H4387" s="13">
        <v>2</v>
      </c>
      <c r="I4387" s="34">
        <v>3</v>
      </c>
      <c r="J4387" s="35">
        <v>2</v>
      </c>
      <c r="K4387" s="2" t="s">
        <v>8788</v>
      </c>
      <c r="L4387" s="36" t="str">
        <f t="shared" si="74"/>
        <v>Ver Imagen</v>
      </c>
      <c r="M4387" t="s">
        <v>8005</v>
      </c>
    </row>
    <row r="4388" spans="1:13" x14ac:dyDescent="0.25">
      <c r="A4388" s="33">
        <v>4391</v>
      </c>
      <c r="B4388" t="s">
        <v>8789</v>
      </c>
      <c r="C4388" s="1">
        <v>37.460018847599997</v>
      </c>
      <c r="D4388" s="1">
        <v>-7.1718739280500001</v>
      </c>
      <c r="E4388" s="3">
        <v>1</v>
      </c>
      <c r="F4388" s="2">
        <v>3</v>
      </c>
      <c r="G4388" s="4">
        <v>2</v>
      </c>
      <c r="H4388" s="13">
        <v>2</v>
      </c>
      <c r="I4388" s="34">
        <v>2</v>
      </c>
      <c r="J4388" s="35">
        <v>2</v>
      </c>
      <c r="K4388" s="2" t="s">
        <v>8790</v>
      </c>
      <c r="L4388" s="36" t="str">
        <f t="shared" si="74"/>
        <v>Ver Imagen</v>
      </c>
      <c r="M4388" t="s">
        <v>8005</v>
      </c>
    </row>
    <row r="4389" spans="1:13" x14ac:dyDescent="0.25">
      <c r="A4389" s="33">
        <v>4392</v>
      </c>
      <c r="B4389" t="s">
        <v>8791</v>
      </c>
      <c r="C4389" s="1">
        <v>37.460098566699997</v>
      </c>
      <c r="D4389" s="1">
        <v>-7.1720020525499999</v>
      </c>
      <c r="E4389" s="3">
        <v>2</v>
      </c>
      <c r="F4389" s="2">
        <v>4</v>
      </c>
      <c r="G4389" s="4">
        <v>4</v>
      </c>
      <c r="H4389" s="13">
        <v>2</v>
      </c>
      <c r="I4389" s="34">
        <v>3</v>
      </c>
      <c r="J4389" s="35">
        <v>3</v>
      </c>
      <c r="K4389" s="2" t="s">
        <v>8792</v>
      </c>
      <c r="L4389" s="36" t="str">
        <f t="shared" si="74"/>
        <v>Ver Imagen</v>
      </c>
      <c r="M4389" t="s">
        <v>8005</v>
      </c>
    </row>
    <row r="4390" spans="1:13" x14ac:dyDescent="0.25">
      <c r="A4390" s="33">
        <v>4393</v>
      </c>
      <c r="B4390" t="s">
        <v>8793</v>
      </c>
      <c r="C4390" s="1">
        <v>37.4617056457</v>
      </c>
      <c r="D4390" s="1">
        <v>-7.1746499996099997</v>
      </c>
      <c r="E4390" s="3">
        <v>2</v>
      </c>
      <c r="F4390" s="2">
        <v>4</v>
      </c>
      <c r="G4390" s="4">
        <v>3</v>
      </c>
      <c r="H4390" s="13">
        <v>3</v>
      </c>
      <c r="I4390" s="34">
        <v>4</v>
      </c>
      <c r="J4390" s="35">
        <v>3</v>
      </c>
      <c r="K4390" s="2" t="s">
        <v>8794</v>
      </c>
      <c r="L4390" s="36" t="str">
        <f t="shared" si="74"/>
        <v>Ver Imagen</v>
      </c>
      <c r="M4390" t="s">
        <v>8005</v>
      </c>
    </row>
    <row r="4391" spans="1:13" x14ac:dyDescent="0.25">
      <c r="A4391" s="33">
        <v>4394</v>
      </c>
      <c r="B4391" t="s">
        <v>8795</v>
      </c>
      <c r="C4391" s="1">
        <v>37.4631647884</v>
      </c>
      <c r="D4391" s="1">
        <v>-7.1770344857100001</v>
      </c>
      <c r="E4391" s="3">
        <v>1</v>
      </c>
      <c r="F4391" s="2">
        <v>3</v>
      </c>
      <c r="G4391" s="4">
        <v>2</v>
      </c>
      <c r="H4391" s="13">
        <v>2</v>
      </c>
      <c r="I4391" s="34">
        <v>2</v>
      </c>
      <c r="J4391" s="35">
        <v>2</v>
      </c>
      <c r="K4391" s="2" t="s">
        <v>8796</v>
      </c>
      <c r="L4391" s="36" t="str">
        <f t="shared" si="74"/>
        <v>Ver Imagen</v>
      </c>
      <c r="M4391" t="s">
        <v>8005</v>
      </c>
    </row>
    <row r="4392" spans="1:13" x14ac:dyDescent="0.25">
      <c r="A4392" s="33">
        <v>4395</v>
      </c>
      <c r="B4392" t="s">
        <v>8797</v>
      </c>
      <c r="C4392" s="1">
        <v>37.463308615400003</v>
      </c>
      <c r="D4392" s="1">
        <v>-7.1772692703200001</v>
      </c>
      <c r="E4392" s="3">
        <v>2</v>
      </c>
      <c r="F4392" s="2">
        <v>3</v>
      </c>
      <c r="G4392" s="4">
        <v>1</v>
      </c>
      <c r="H4392" s="13">
        <v>2</v>
      </c>
      <c r="I4392" s="34">
        <v>2</v>
      </c>
      <c r="J4392" s="35">
        <v>2</v>
      </c>
      <c r="K4392" s="2" t="s">
        <v>8798</v>
      </c>
      <c r="L4392" s="36" t="str">
        <f t="shared" si="74"/>
        <v>Ver Imagen</v>
      </c>
      <c r="M4392" t="s">
        <v>8005</v>
      </c>
    </row>
    <row r="4393" spans="1:13" x14ac:dyDescent="0.25">
      <c r="A4393" s="33">
        <v>4396</v>
      </c>
      <c r="B4393" t="s">
        <v>8799</v>
      </c>
      <c r="C4393" s="1">
        <v>37.464246051300002</v>
      </c>
      <c r="D4393" s="1">
        <v>-7.1789779455499998</v>
      </c>
      <c r="E4393" s="3">
        <v>2</v>
      </c>
      <c r="F4393" s="2">
        <v>3</v>
      </c>
      <c r="G4393" s="4">
        <v>4</v>
      </c>
      <c r="H4393" s="13">
        <v>2</v>
      </c>
      <c r="I4393" s="34">
        <v>2</v>
      </c>
      <c r="J4393" s="35">
        <v>2</v>
      </c>
      <c r="K4393" s="2" t="s">
        <v>8800</v>
      </c>
      <c r="L4393" s="36" t="str">
        <f t="shared" si="74"/>
        <v>Ver Imagen</v>
      </c>
      <c r="M4393" t="s">
        <v>8005</v>
      </c>
    </row>
    <row r="4394" spans="1:13" x14ac:dyDescent="0.25">
      <c r="A4394" s="33">
        <v>4397</v>
      </c>
      <c r="B4394" t="s">
        <v>8801</v>
      </c>
      <c r="C4394" s="1">
        <v>37.464733240599998</v>
      </c>
      <c r="D4394" s="1">
        <v>-7.1798257663599996</v>
      </c>
      <c r="E4394" s="3">
        <v>3</v>
      </c>
      <c r="F4394" s="2">
        <v>4</v>
      </c>
      <c r="G4394" s="4">
        <v>5</v>
      </c>
      <c r="H4394" s="13">
        <v>4</v>
      </c>
      <c r="I4394" s="34">
        <v>4</v>
      </c>
      <c r="J4394" s="35">
        <v>4</v>
      </c>
      <c r="K4394" s="2" t="s">
        <v>8802</v>
      </c>
      <c r="L4394" s="36" t="str">
        <f t="shared" si="74"/>
        <v>Ver Imagen</v>
      </c>
      <c r="M4394" t="s">
        <v>8005</v>
      </c>
    </row>
    <row r="4395" spans="1:13" x14ac:dyDescent="0.25">
      <c r="A4395" s="33">
        <v>4398</v>
      </c>
      <c r="B4395" t="s">
        <v>8803</v>
      </c>
      <c r="C4395" s="1">
        <v>37.465048571399997</v>
      </c>
      <c r="D4395" s="1">
        <v>-7.1803972365100002</v>
      </c>
      <c r="E4395" s="3">
        <v>2</v>
      </c>
      <c r="F4395" s="2">
        <v>3</v>
      </c>
      <c r="G4395" s="4">
        <v>4</v>
      </c>
      <c r="H4395" s="13">
        <v>3</v>
      </c>
      <c r="I4395" s="34">
        <v>3</v>
      </c>
      <c r="J4395" s="35">
        <v>3</v>
      </c>
      <c r="K4395" s="2" t="s">
        <v>8804</v>
      </c>
      <c r="L4395" s="36" t="str">
        <f t="shared" si="74"/>
        <v>Ver Imagen</v>
      </c>
      <c r="M4395" t="s">
        <v>8005</v>
      </c>
    </row>
    <row r="4396" spans="1:13" x14ac:dyDescent="0.25">
      <c r="A4396" s="33">
        <v>4399</v>
      </c>
      <c r="B4396" t="s">
        <v>8805</v>
      </c>
      <c r="C4396" s="1">
        <v>37.465495453300001</v>
      </c>
      <c r="D4396" s="1">
        <v>-7.1812375824899997</v>
      </c>
      <c r="E4396" s="3">
        <v>3</v>
      </c>
      <c r="F4396" s="2">
        <v>4</v>
      </c>
      <c r="G4396" s="4">
        <v>5</v>
      </c>
      <c r="H4396" s="13">
        <v>4</v>
      </c>
      <c r="I4396" s="34">
        <v>4</v>
      </c>
      <c r="J4396" s="35">
        <v>4</v>
      </c>
      <c r="K4396" s="2" t="s">
        <v>8806</v>
      </c>
      <c r="L4396" s="36" t="str">
        <f t="shared" si="74"/>
        <v>Ver Imagen</v>
      </c>
      <c r="M4396" t="s">
        <v>8005</v>
      </c>
    </row>
    <row r="4397" spans="1:13" x14ac:dyDescent="0.25">
      <c r="A4397" s="33">
        <v>4400</v>
      </c>
      <c r="B4397" t="s">
        <v>8807</v>
      </c>
      <c r="C4397" s="1">
        <v>37.465716040799997</v>
      </c>
      <c r="D4397" s="1">
        <v>-7.18165073699</v>
      </c>
      <c r="E4397" s="3">
        <v>3</v>
      </c>
      <c r="F4397" s="2">
        <v>3</v>
      </c>
      <c r="G4397" s="4">
        <v>5</v>
      </c>
      <c r="H4397" s="13">
        <v>3</v>
      </c>
      <c r="I4397" s="34">
        <v>4</v>
      </c>
      <c r="J4397" s="35">
        <v>3</v>
      </c>
      <c r="K4397" s="2" t="s">
        <v>8808</v>
      </c>
      <c r="L4397" s="36" t="str">
        <f t="shared" si="74"/>
        <v>Ver Imagen</v>
      </c>
      <c r="M4397" t="s">
        <v>8005</v>
      </c>
    </row>
    <row r="4398" spans="1:13" x14ac:dyDescent="0.25">
      <c r="A4398" s="33">
        <v>4401</v>
      </c>
      <c r="B4398" t="s">
        <v>8809</v>
      </c>
      <c r="C4398" s="1">
        <v>37.467183054700001</v>
      </c>
      <c r="D4398" s="1">
        <v>-7.1844487245600002</v>
      </c>
      <c r="E4398" s="3">
        <v>2</v>
      </c>
      <c r="F4398" s="2">
        <v>2</v>
      </c>
      <c r="G4398" s="4">
        <v>4</v>
      </c>
      <c r="H4398" s="13">
        <v>2</v>
      </c>
      <c r="I4398" s="34">
        <v>1</v>
      </c>
      <c r="J4398" s="35">
        <v>2</v>
      </c>
      <c r="K4398" s="2" t="s">
        <v>8810</v>
      </c>
      <c r="L4398" s="36" t="str">
        <f t="shared" si="74"/>
        <v>Ver Imagen</v>
      </c>
      <c r="M4398" t="s">
        <v>8005</v>
      </c>
    </row>
    <row r="4399" spans="1:13" x14ac:dyDescent="0.25">
      <c r="A4399" s="33">
        <v>4402</v>
      </c>
      <c r="B4399" t="s">
        <v>8811</v>
      </c>
      <c r="C4399" s="1">
        <v>37.449276774099999</v>
      </c>
      <c r="D4399" s="1">
        <v>-7.1509357482700002</v>
      </c>
      <c r="E4399" s="3">
        <v>3</v>
      </c>
      <c r="F4399" s="2">
        <v>4</v>
      </c>
      <c r="G4399" s="4">
        <v>5</v>
      </c>
      <c r="H4399" s="13">
        <v>4</v>
      </c>
      <c r="I4399" s="34">
        <v>4</v>
      </c>
      <c r="J4399" s="35">
        <v>4</v>
      </c>
      <c r="K4399" s="2" t="s">
        <v>8812</v>
      </c>
      <c r="L4399" s="36" t="str">
        <f t="shared" si="74"/>
        <v>Ver Imagen</v>
      </c>
      <c r="M4399" t="s">
        <v>8005</v>
      </c>
    </row>
    <row r="4400" spans="1:13" x14ac:dyDescent="0.25">
      <c r="A4400" s="33">
        <v>4403</v>
      </c>
      <c r="B4400" t="s">
        <v>8813</v>
      </c>
      <c r="C4400" s="1">
        <v>37.4770721792</v>
      </c>
      <c r="D4400" s="1">
        <v>-7.2035579063500004</v>
      </c>
      <c r="E4400" s="3">
        <v>2</v>
      </c>
      <c r="F4400" s="2">
        <v>2</v>
      </c>
      <c r="G4400" s="4">
        <v>4</v>
      </c>
      <c r="H4400" s="13">
        <v>2</v>
      </c>
      <c r="I4400" s="34">
        <v>2</v>
      </c>
      <c r="J4400" s="35">
        <v>2</v>
      </c>
      <c r="K4400" s="2" t="s">
        <v>8814</v>
      </c>
      <c r="L4400" s="36" t="str">
        <f t="shared" si="74"/>
        <v>Ver Imagen</v>
      </c>
      <c r="M4400" t="s">
        <v>8005</v>
      </c>
    </row>
    <row r="4401" spans="1:13" x14ac:dyDescent="0.25">
      <c r="A4401" s="33">
        <v>4404</v>
      </c>
      <c r="B4401" t="s">
        <v>8815</v>
      </c>
      <c r="C4401" s="1">
        <v>37.478250012499998</v>
      </c>
      <c r="D4401" s="1">
        <v>-7.2062877517099997</v>
      </c>
      <c r="E4401" s="3">
        <v>1</v>
      </c>
      <c r="F4401" s="2">
        <v>3</v>
      </c>
      <c r="G4401" s="4">
        <v>2</v>
      </c>
      <c r="H4401" s="13">
        <v>1</v>
      </c>
      <c r="I4401" s="34">
        <v>1</v>
      </c>
      <c r="J4401" s="35">
        <v>1</v>
      </c>
      <c r="K4401" s="2" t="s">
        <v>8816</v>
      </c>
      <c r="L4401" s="36" t="str">
        <f t="shared" si="74"/>
        <v>Ver Imagen</v>
      </c>
      <c r="M4401" t="s">
        <v>8005</v>
      </c>
    </row>
    <row r="4402" spans="1:13" x14ac:dyDescent="0.25">
      <c r="A4402" s="33">
        <v>4405</v>
      </c>
      <c r="B4402" t="s">
        <v>8817</v>
      </c>
      <c r="C4402" s="1">
        <v>37.478428822600002</v>
      </c>
      <c r="D4402" s="1">
        <v>-7.2067080813000004</v>
      </c>
      <c r="E4402" s="3">
        <v>1</v>
      </c>
      <c r="F4402" s="2">
        <v>3</v>
      </c>
      <c r="G4402" s="4">
        <v>2</v>
      </c>
      <c r="H4402" s="13">
        <v>1</v>
      </c>
      <c r="I4402" s="34">
        <v>1</v>
      </c>
      <c r="J4402" s="35">
        <v>1</v>
      </c>
      <c r="K4402" s="2" t="s">
        <v>8818</v>
      </c>
      <c r="L4402" s="36" t="str">
        <f t="shared" si="74"/>
        <v>Ver Imagen</v>
      </c>
      <c r="M4402" t="s">
        <v>8005</v>
      </c>
    </row>
    <row r="4403" spans="1:13" x14ac:dyDescent="0.25">
      <c r="A4403" s="33">
        <v>4406</v>
      </c>
      <c r="B4403" t="s">
        <v>8819</v>
      </c>
      <c r="C4403" s="1">
        <v>37.478903657099998</v>
      </c>
      <c r="D4403" s="1">
        <v>-7.2078018693699999</v>
      </c>
      <c r="E4403" s="3">
        <v>1</v>
      </c>
      <c r="F4403" s="2">
        <v>3</v>
      </c>
      <c r="G4403" s="4">
        <v>2</v>
      </c>
      <c r="H4403" s="13">
        <v>2</v>
      </c>
      <c r="I4403" s="34">
        <v>2</v>
      </c>
      <c r="J4403" s="35">
        <v>2</v>
      </c>
      <c r="K4403" s="2" t="s">
        <v>8820</v>
      </c>
      <c r="L4403" s="36" t="str">
        <f t="shared" si="74"/>
        <v>Ver Imagen</v>
      </c>
      <c r="M4403" t="s">
        <v>8005</v>
      </c>
    </row>
    <row r="4404" spans="1:13" x14ac:dyDescent="0.25">
      <c r="A4404" s="33">
        <v>4407</v>
      </c>
      <c r="B4404" t="s">
        <v>8821</v>
      </c>
      <c r="C4404" s="1">
        <v>37.4795749918</v>
      </c>
      <c r="D4404" s="1">
        <v>-7.2093798618799996</v>
      </c>
      <c r="E4404" s="3">
        <v>2</v>
      </c>
      <c r="F4404" s="2">
        <v>4</v>
      </c>
      <c r="G4404" s="4">
        <v>3</v>
      </c>
      <c r="H4404" s="13">
        <v>3</v>
      </c>
      <c r="I4404" s="34">
        <v>4</v>
      </c>
      <c r="J4404" s="35">
        <v>3</v>
      </c>
      <c r="K4404" s="2" t="s">
        <v>8822</v>
      </c>
      <c r="L4404" s="36" t="str">
        <f t="shared" si="74"/>
        <v>Ver Imagen</v>
      </c>
      <c r="M4404" t="s">
        <v>8005</v>
      </c>
    </row>
    <row r="4405" spans="1:13" x14ac:dyDescent="0.25">
      <c r="A4405" s="33">
        <v>4408</v>
      </c>
      <c r="B4405" t="s">
        <v>8823</v>
      </c>
      <c r="C4405" s="1">
        <v>37.480337441300001</v>
      </c>
      <c r="D4405" s="1">
        <v>-7.2111402555600002</v>
      </c>
      <c r="E4405" s="3">
        <v>1</v>
      </c>
      <c r="F4405" s="2">
        <v>3</v>
      </c>
      <c r="G4405" s="4">
        <v>2</v>
      </c>
      <c r="H4405" s="13">
        <v>2</v>
      </c>
      <c r="I4405" s="34">
        <v>2</v>
      </c>
      <c r="J4405" s="35">
        <v>2</v>
      </c>
      <c r="K4405" s="2" t="s">
        <v>8824</v>
      </c>
      <c r="L4405" s="36" t="str">
        <f t="shared" si="74"/>
        <v>Ver Imagen</v>
      </c>
      <c r="M4405" t="s">
        <v>8005</v>
      </c>
    </row>
    <row r="4406" spans="1:13" x14ac:dyDescent="0.25">
      <c r="A4406" s="33">
        <v>4409</v>
      </c>
      <c r="B4406" t="s">
        <v>8825</v>
      </c>
      <c r="C4406" s="1">
        <v>37.480717392899997</v>
      </c>
      <c r="D4406" s="1">
        <v>-7.2120829834500002</v>
      </c>
      <c r="E4406" s="3">
        <v>1</v>
      </c>
      <c r="F4406" s="2">
        <v>3</v>
      </c>
      <c r="G4406" s="4">
        <v>2</v>
      </c>
      <c r="H4406" s="13">
        <v>2</v>
      </c>
      <c r="I4406" s="34">
        <v>1</v>
      </c>
      <c r="J4406" s="35">
        <v>2</v>
      </c>
      <c r="K4406" s="2" t="s">
        <v>8826</v>
      </c>
      <c r="L4406" s="36" t="str">
        <f t="shared" si="74"/>
        <v>Ver Imagen</v>
      </c>
      <c r="M4406" t="s">
        <v>8005</v>
      </c>
    </row>
    <row r="4407" spans="1:13" x14ac:dyDescent="0.25">
      <c r="A4407" s="33">
        <v>4410</v>
      </c>
      <c r="B4407" t="s">
        <v>8827</v>
      </c>
      <c r="C4407" s="1">
        <v>37.4808033427</v>
      </c>
      <c r="D4407" s="1">
        <v>-7.2123154089800003</v>
      </c>
      <c r="E4407" s="3">
        <v>2</v>
      </c>
      <c r="F4407" s="2">
        <v>4</v>
      </c>
      <c r="G4407" s="4">
        <v>3</v>
      </c>
      <c r="H4407" s="13">
        <v>3</v>
      </c>
      <c r="I4407" s="34">
        <v>3</v>
      </c>
      <c r="J4407" s="35">
        <v>3</v>
      </c>
      <c r="K4407" s="2" t="s">
        <v>8828</v>
      </c>
      <c r="L4407" s="36" t="str">
        <f t="shared" si="74"/>
        <v>Ver Imagen</v>
      </c>
      <c r="M4407" t="s">
        <v>8005</v>
      </c>
    </row>
    <row r="4408" spans="1:13" x14ac:dyDescent="0.25">
      <c r="A4408" s="33">
        <v>4411</v>
      </c>
      <c r="B4408" t="s">
        <v>8829</v>
      </c>
      <c r="C4408" s="1">
        <v>37.480994505699996</v>
      </c>
      <c r="D4408" s="1">
        <v>-7.2128343843699998</v>
      </c>
      <c r="E4408" s="3">
        <v>1</v>
      </c>
      <c r="F4408" s="2">
        <v>3</v>
      </c>
      <c r="G4408" s="4">
        <v>2</v>
      </c>
      <c r="H4408" s="13">
        <v>3</v>
      </c>
      <c r="I4408" s="34">
        <v>3</v>
      </c>
      <c r="J4408" s="35">
        <v>3</v>
      </c>
      <c r="K4408" s="2" t="s">
        <v>8830</v>
      </c>
      <c r="L4408" s="36" t="str">
        <f t="shared" si="74"/>
        <v>Ver Imagen</v>
      </c>
      <c r="M4408" t="s">
        <v>8005</v>
      </c>
    </row>
    <row r="4409" spans="1:13" x14ac:dyDescent="0.25">
      <c r="A4409" s="33">
        <v>4412</v>
      </c>
      <c r="B4409" t="s">
        <v>8831</v>
      </c>
      <c r="C4409" s="1">
        <v>37.481554793100003</v>
      </c>
      <c r="D4409" s="1">
        <v>-7.2143612854699999</v>
      </c>
      <c r="E4409" s="3">
        <v>1</v>
      </c>
      <c r="F4409" s="2">
        <v>3</v>
      </c>
      <c r="G4409" s="4">
        <v>2</v>
      </c>
      <c r="H4409" s="13">
        <v>2</v>
      </c>
      <c r="I4409" s="34">
        <v>2</v>
      </c>
      <c r="J4409" s="35">
        <v>2</v>
      </c>
      <c r="K4409" s="2" t="s">
        <v>8832</v>
      </c>
      <c r="L4409" s="36" t="str">
        <f t="shared" si="74"/>
        <v>Ver Imagen</v>
      </c>
      <c r="M4409" t="s">
        <v>8005</v>
      </c>
    </row>
    <row r="4410" spans="1:13" x14ac:dyDescent="0.25">
      <c r="A4410" s="33">
        <v>4413</v>
      </c>
      <c r="B4410" t="s">
        <v>8833</v>
      </c>
      <c r="C4410" s="1">
        <v>37.481750289499999</v>
      </c>
      <c r="D4410" s="1">
        <v>-7.2148914522699998</v>
      </c>
      <c r="E4410" s="3">
        <v>3</v>
      </c>
      <c r="F4410" s="2">
        <v>4</v>
      </c>
      <c r="G4410" s="4">
        <v>2</v>
      </c>
      <c r="H4410" s="13">
        <v>2</v>
      </c>
      <c r="I4410" s="34">
        <v>2</v>
      </c>
      <c r="J4410" s="35">
        <v>2</v>
      </c>
      <c r="K4410" s="2" t="s">
        <v>8834</v>
      </c>
      <c r="L4410" s="36" t="str">
        <f t="shared" si="74"/>
        <v>Ver Imagen</v>
      </c>
      <c r="M4410" t="s">
        <v>8005</v>
      </c>
    </row>
    <row r="4411" spans="1:13" x14ac:dyDescent="0.25">
      <c r="A4411" s="33">
        <v>4414</v>
      </c>
      <c r="B4411" t="s">
        <v>8835</v>
      </c>
      <c r="C4411" s="1">
        <v>37.481833380099999</v>
      </c>
      <c r="D4411" s="1">
        <v>-7.2151155984499997</v>
      </c>
      <c r="E4411" s="3">
        <v>2</v>
      </c>
      <c r="F4411" s="2">
        <v>3</v>
      </c>
      <c r="G4411" s="4">
        <v>1</v>
      </c>
      <c r="H4411" s="13">
        <v>2</v>
      </c>
      <c r="I4411" s="34">
        <v>2</v>
      </c>
      <c r="J4411" s="35">
        <v>2</v>
      </c>
      <c r="K4411" s="2" t="s">
        <v>8836</v>
      </c>
      <c r="L4411" s="36" t="str">
        <f t="shared" si="74"/>
        <v>Ver Imagen</v>
      </c>
      <c r="M4411" t="s">
        <v>8005</v>
      </c>
    </row>
    <row r="4412" spans="1:13" x14ac:dyDescent="0.25">
      <c r="A4412" s="33">
        <v>4415</v>
      </c>
      <c r="B4412" t="s">
        <v>8837</v>
      </c>
      <c r="C4412" s="1">
        <v>37.481898612000002</v>
      </c>
      <c r="D4412" s="1">
        <v>-7.2152911309299999</v>
      </c>
      <c r="E4412" s="3">
        <v>2</v>
      </c>
      <c r="F4412" s="2">
        <v>3</v>
      </c>
      <c r="G4412" s="4">
        <v>1</v>
      </c>
      <c r="H4412" s="13">
        <v>2</v>
      </c>
      <c r="I4412" s="34">
        <v>2</v>
      </c>
      <c r="J4412" s="35">
        <v>2</v>
      </c>
      <c r="K4412" s="2" t="s">
        <v>8838</v>
      </c>
      <c r="L4412" s="36" t="str">
        <f t="shared" si="74"/>
        <v>Ver Imagen</v>
      </c>
      <c r="M4412" t="s">
        <v>8005</v>
      </c>
    </row>
    <row r="4413" spans="1:13" x14ac:dyDescent="0.25">
      <c r="A4413" s="33">
        <v>4416</v>
      </c>
      <c r="B4413" t="s">
        <v>8839</v>
      </c>
      <c r="C4413" s="1">
        <v>37.482150062800002</v>
      </c>
      <c r="D4413" s="1">
        <v>-7.2160193535200001</v>
      </c>
      <c r="E4413" s="3">
        <v>1</v>
      </c>
      <c r="F4413" s="2">
        <v>3</v>
      </c>
      <c r="G4413" s="4">
        <v>2</v>
      </c>
      <c r="H4413" s="13">
        <v>1</v>
      </c>
      <c r="I4413" s="34">
        <v>1</v>
      </c>
      <c r="J4413" s="35">
        <v>1</v>
      </c>
      <c r="K4413" s="2" t="s">
        <v>8840</v>
      </c>
      <c r="L4413" s="36" t="str">
        <f t="shared" si="74"/>
        <v>Ver Imagen</v>
      </c>
      <c r="M4413" t="s">
        <v>8005</v>
      </c>
    </row>
    <row r="4414" spans="1:13" x14ac:dyDescent="0.25">
      <c r="A4414" s="33">
        <v>4417</v>
      </c>
      <c r="B4414" t="s">
        <v>8841</v>
      </c>
      <c r="C4414" s="1">
        <v>37.482219708899997</v>
      </c>
      <c r="D4414" s="1">
        <v>-7.2162862957899998</v>
      </c>
      <c r="E4414" s="3">
        <v>1</v>
      </c>
      <c r="F4414" s="2">
        <v>3</v>
      </c>
      <c r="G4414" s="4">
        <v>2</v>
      </c>
      <c r="H4414" s="13">
        <v>2</v>
      </c>
      <c r="I4414" s="34">
        <v>2</v>
      </c>
      <c r="J4414" s="35">
        <v>2</v>
      </c>
      <c r="K4414" s="2" t="s">
        <v>8842</v>
      </c>
      <c r="L4414" s="36" t="str">
        <f t="shared" si="74"/>
        <v>Ver Imagen</v>
      </c>
      <c r="M4414" t="s">
        <v>8005</v>
      </c>
    </row>
    <row r="4415" spans="1:13" x14ac:dyDescent="0.25">
      <c r="A4415" s="33">
        <v>4418</v>
      </c>
      <c r="B4415" t="s">
        <v>8843</v>
      </c>
      <c r="C4415" s="1">
        <v>37.482272309700001</v>
      </c>
      <c r="D4415" s="1">
        <v>-7.2165147477699998</v>
      </c>
      <c r="E4415" s="3">
        <v>1</v>
      </c>
      <c r="F4415" s="2">
        <v>3</v>
      </c>
      <c r="G4415" s="4">
        <v>2</v>
      </c>
      <c r="H4415" s="13">
        <v>2</v>
      </c>
      <c r="I4415" s="34">
        <v>2</v>
      </c>
      <c r="J4415" s="35">
        <v>2</v>
      </c>
      <c r="K4415" s="2" t="s">
        <v>8844</v>
      </c>
      <c r="L4415" s="36" t="str">
        <f t="shared" si="74"/>
        <v>Ver Imagen</v>
      </c>
      <c r="M4415" t="s">
        <v>8005</v>
      </c>
    </row>
    <row r="4416" spans="1:13" x14ac:dyDescent="0.25">
      <c r="A4416" s="33">
        <v>4419</v>
      </c>
      <c r="B4416" t="s">
        <v>8845</v>
      </c>
      <c r="C4416" s="1">
        <v>37.482425608500002</v>
      </c>
      <c r="D4416" s="1">
        <v>-7.2172590654200004</v>
      </c>
      <c r="E4416" s="3">
        <v>1</v>
      </c>
      <c r="F4416" s="2">
        <v>3</v>
      </c>
      <c r="G4416" s="4">
        <v>3</v>
      </c>
      <c r="H4416" s="13">
        <v>3</v>
      </c>
      <c r="I4416" s="34">
        <v>3</v>
      </c>
      <c r="J4416" s="35">
        <v>3</v>
      </c>
      <c r="K4416" s="2" t="s">
        <v>8846</v>
      </c>
      <c r="L4416" s="36" t="str">
        <f t="shared" si="74"/>
        <v>Ver Imagen</v>
      </c>
      <c r="M4416" t="s">
        <v>8005</v>
      </c>
    </row>
    <row r="4417" spans="1:13" x14ac:dyDescent="0.25">
      <c r="A4417" s="33">
        <v>4420</v>
      </c>
      <c r="B4417" t="s">
        <v>8847</v>
      </c>
      <c r="C4417" s="1">
        <v>37.4828612867</v>
      </c>
      <c r="D4417" s="1">
        <v>-7.21946788251</v>
      </c>
      <c r="E4417" s="3">
        <v>1</v>
      </c>
      <c r="F4417" s="2">
        <v>3</v>
      </c>
      <c r="G4417" s="4">
        <v>2</v>
      </c>
      <c r="H4417" s="13">
        <v>2</v>
      </c>
      <c r="I4417" s="34">
        <v>2</v>
      </c>
      <c r="J4417" s="35">
        <v>2</v>
      </c>
      <c r="K4417" s="2" t="s">
        <v>8848</v>
      </c>
      <c r="L4417" s="36" t="str">
        <f t="shared" si="74"/>
        <v>Ver Imagen</v>
      </c>
      <c r="M4417" t="s">
        <v>8005</v>
      </c>
    </row>
    <row r="4418" spans="1:13" x14ac:dyDescent="0.25">
      <c r="A4418" s="33">
        <v>4421</v>
      </c>
      <c r="B4418" t="s">
        <v>8849</v>
      </c>
      <c r="C4418" s="1">
        <v>37.483003735399997</v>
      </c>
      <c r="D4418" s="1">
        <v>-7.2202090669899999</v>
      </c>
      <c r="E4418" s="3">
        <v>1</v>
      </c>
      <c r="F4418" s="2">
        <v>2</v>
      </c>
      <c r="G4418" s="4">
        <v>3</v>
      </c>
      <c r="H4418" s="13">
        <v>2</v>
      </c>
      <c r="I4418" s="34">
        <v>2</v>
      </c>
      <c r="J4418" s="35">
        <v>2</v>
      </c>
      <c r="K4418" s="2" t="s">
        <v>8850</v>
      </c>
      <c r="L4418" s="36" t="str">
        <f t="shared" si="74"/>
        <v>Ver Imagen</v>
      </c>
      <c r="M4418" t="s">
        <v>8005</v>
      </c>
    </row>
    <row r="4419" spans="1:13" x14ac:dyDescent="0.25">
      <c r="A4419" s="33">
        <v>4422</v>
      </c>
      <c r="B4419" t="s">
        <v>8851</v>
      </c>
      <c r="C4419" s="1">
        <v>37.483678812699999</v>
      </c>
      <c r="D4419" s="1">
        <v>-7.2236380493699999</v>
      </c>
      <c r="E4419" s="3">
        <v>1</v>
      </c>
      <c r="F4419" s="2">
        <v>3</v>
      </c>
      <c r="G4419" s="4">
        <v>2</v>
      </c>
      <c r="H4419" s="13">
        <v>2</v>
      </c>
      <c r="I4419" s="34">
        <v>2</v>
      </c>
      <c r="J4419" s="35">
        <v>2</v>
      </c>
      <c r="K4419" s="2" t="s">
        <v>8852</v>
      </c>
      <c r="L4419" s="36" t="str">
        <f t="shared" si="74"/>
        <v>Ver Imagen</v>
      </c>
      <c r="M4419" t="s">
        <v>8005</v>
      </c>
    </row>
    <row r="4420" spans="1:13" x14ac:dyDescent="0.25">
      <c r="A4420" s="33">
        <v>4423</v>
      </c>
      <c r="B4420" t="s">
        <v>8853</v>
      </c>
      <c r="C4420" s="1">
        <v>37.483775132200002</v>
      </c>
      <c r="D4420" s="1">
        <v>-7.2241461199100003</v>
      </c>
      <c r="E4420" s="3">
        <v>1</v>
      </c>
      <c r="F4420" s="2">
        <v>3</v>
      </c>
      <c r="G4420" s="4">
        <v>3</v>
      </c>
      <c r="H4420" s="13">
        <v>2</v>
      </c>
      <c r="I4420" s="34">
        <v>1</v>
      </c>
      <c r="J4420" s="35">
        <v>2</v>
      </c>
      <c r="K4420" s="2" t="s">
        <v>8854</v>
      </c>
      <c r="L4420" s="36" t="str">
        <f t="shared" si="74"/>
        <v>Ver Imagen</v>
      </c>
      <c r="M4420" t="s">
        <v>8005</v>
      </c>
    </row>
    <row r="4421" spans="1:13" x14ac:dyDescent="0.25">
      <c r="A4421" s="33">
        <v>4424</v>
      </c>
      <c r="B4421" t="s">
        <v>8855</v>
      </c>
      <c r="C4421" s="1">
        <v>37.483821670799998</v>
      </c>
      <c r="D4421" s="1">
        <v>-7.2243909779499997</v>
      </c>
      <c r="E4421" s="3">
        <v>1</v>
      </c>
      <c r="F4421" s="2">
        <v>2</v>
      </c>
      <c r="G4421" s="4">
        <v>3</v>
      </c>
      <c r="H4421" s="13">
        <v>2</v>
      </c>
      <c r="I4421" s="34">
        <v>2</v>
      </c>
      <c r="J4421" s="35">
        <v>2</v>
      </c>
      <c r="K4421" s="2" t="s">
        <v>8856</v>
      </c>
      <c r="L4421" s="36" t="str">
        <f t="shared" si="74"/>
        <v>Ver Imagen</v>
      </c>
      <c r="M4421" t="s">
        <v>8005</v>
      </c>
    </row>
    <row r="4422" spans="1:13" x14ac:dyDescent="0.25">
      <c r="A4422" s="33">
        <v>4425</v>
      </c>
      <c r="B4422" t="s">
        <v>8857</v>
      </c>
      <c r="C4422" s="1">
        <v>37.484448160299998</v>
      </c>
      <c r="D4422" s="1">
        <v>-7.2276201136499996</v>
      </c>
      <c r="E4422" s="3">
        <v>1</v>
      </c>
      <c r="F4422" s="2">
        <v>3</v>
      </c>
      <c r="G4422" s="4">
        <v>2</v>
      </c>
      <c r="H4422" s="13">
        <v>2</v>
      </c>
      <c r="I4422" s="34">
        <v>2</v>
      </c>
      <c r="J4422" s="35">
        <v>2</v>
      </c>
      <c r="K4422" s="2" t="s">
        <v>8858</v>
      </c>
      <c r="L4422" s="36" t="str">
        <f t="shared" si="74"/>
        <v>Ver Imagen</v>
      </c>
      <c r="M4422" t="s">
        <v>8005</v>
      </c>
    </row>
    <row r="4423" spans="1:13" x14ac:dyDescent="0.25">
      <c r="A4423" s="33">
        <v>4426</v>
      </c>
      <c r="B4423" t="s">
        <v>8859</v>
      </c>
      <c r="C4423" s="1">
        <v>37.485067239599999</v>
      </c>
      <c r="D4423" s="1">
        <v>-7.23079662581</v>
      </c>
      <c r="E4423" s="3">
        <v>1</v>
      </c>
      <c r="F4423" s="2">
        <v>3</v>
      </c>
      <c r="G4423" s="4">
        <v>2</v>
      </c>
      <c r="H4423" s="13">
        <v>2</v>
      </c>
      <c r="I4423" s="34">
        <v>1</v>
      </c>
      <c r="J4423" s="35">
        <v>2</v>
      </c>
      <c r="K4423" s="2" t="s">
        <v>8860</v>
      </c>
      <c r="L4423" s="36" t="str">
        <f t="shared" si="74"/>
        <v>Ver Imagen</v>
      </c>
      <c r="M4423" t="s">
        <v>8005</v>
      </c>
    </row>
    <row r="4424" spans="1:13" x14ac:dyDescent="0.25">
      <c r="A4424" s="33">
        <v>4427</v>
      </c>
      <c r="B4424" t="s">
        <v>8861</v>
      </c>
      <c r="C4424" s="1">
        <v>37.485314214699997</v>
      </c>
      <c r="D4424" s="1">
        <v>-7.2320888122899998</v>
      </c>
      <c r="E4424" s="3">
        <v>1</v>
      </c>
      <c r="F4424" s="2">
        <v>3</v>
      </c>
      <c r="G4424" s="4">
        <v>2</v>
      </c>
      <c r="H4424" s="13">
        <v>2</v>
      </c>
      <c r="I4424" s="34">
        <v>1</v>
      </c>
      <c r="J4424" s="35">
        <v>2</v>
      </c>
      <c r="K4424" s="2" t="s">
        <v>8862</v>
      </c>
      <c r="L4424" s="36" t="str">
        <f t="shared" si="74"/>
        <v>Ver Imagen</v>
      </c>
      <c r="M4424" t="s">
        <v>8005</v>
      </c>
    </row>
    <row r="4425" spans="1:13" x14ac:dyDescent="0.25">
      <c r="A4425" s="33">
        <v>4428</v>
      </c>
      <c r="B4425" t="s">
        <v>8863</v>
      </c>
      <c r="C4425" s="1">
        <v>37.4860190948</v>
      </c>
      <c r="D4425" s="1">
        <v>-7.2357628810900003</v>
      </c>
      <c r="E4425" s="3">
        <v>1</v>
      </c>
      <c r="F4425" s="2">
        <v>3</v>
      </c>
      <c r="G4425" s="4">
        <v>2</v>
      </c>
      <c r="H4425" s="13">
        <v>2</v>
      </c>
      <c r="I4425" s="34">
        <v>1</v>
      </c>
      <c r="J4425" s="35">
        <v>2</v>
      </c>
      <c r="K4425" s="2" t="s">
        <v>8864</v>
      </c>
      <c r="L4425" s="36" t="str">
        <f t="shared" si="74"/>
        <v>Ver Imagen</v>
      </c>
      <c r="M4425" t="s">
        <v>8005</v>
      </c>
    </row>
    <row r="4426" spans="1:13" x14ac:dyDescent="0.25">
      <c r="A4426" s="33">
        <v>4429</v>
      </c>
      <c r="B4426" t="s">
        <v>8865</v>
      </c>
      <c r="C4426" s="1">
        <v>37.486111640300003</v>
      </c>
      <c r="D4426" s="1">
        <v>-7.2362394811500002</v>
      </c>
      <c r="E4426" s="3">
        <v>1</v>
      </c>
      <c r="F4426" s="2">
        <v>3</v>
      </c>
      <c r="G4426" s="4">
        <v>2</v>
      </c>
      <c r="H4426" s="13">
        <v>2</v>
      </c>
      <c r="I4426" s="34">
        <v>1</v>
      </c>
      <c r="J4426" s="35">
        <v>2</v>
      </c>
      <c r="K4426" s="2" t="s">
        <v>8866</v>
      </c>
      <c r="L4426" s="36" t="str">
        <f t="shared" si="74"/>
        <v>Ver Imagen</v>
      </c>
      <c r="M4426" t="s">
        <v>8005</v>
      </c>
    </row>
    <row r="4427" spans="1:13" x14ac:dyDescent="0.25">
      <c r="A4427" s="33">
        <v>4430</v>
      </c>
      <c r="B4427" t="s">
        <v>8867</v>
      </c>
      <c r="C4427" s="1">
        <v>37.486159136399998</v>
      </c>
      <c r="D4427" s="1">
        <v>-7.2364839591300001</v>
      </c>
      <c r="E4427" s="3">
        <v>1</v>
      </c>
      <c r="F4427" s="2">
        <v>3</v>
      </c>
      <c r="G4427" s="4">
        <v>2</v>
      </c>
      <c r="H4427" s="13">
        <v>2</v>
      </c>
      <c r="I4427" s="34">
        <v>1</v>
      </c>
      <c r="J4427" s="35">
        <v>2</v>
      </c>
      <c r="K4427" s="2" t="s">
        <v>8868</v>
      </c>
      <c r="L4427" s="36" t="str">
        <f t="shared" si="74"/>
        <v>Ver Imagen</v>
      </c>
      <c r="M4427" t="s">
        <v>8005</v>
      </c>
    </row>
    <row r="4428" spans="1:13" x14ac:dyDescent="0.25">
      <c r="A4428" s="33">
        <v>4431</v>
      </c>
      <c r="B4428" t="s">
        <v>8869</v>
      </c>
      <c r="C4428" s="1">
        <v>37.486346415299998</v>
      </c>
      <c r="D4428" s="1">
        <v>-7.2374524663999997</v>
      </c>
      <c r="E4428" s="3">
        <v>1</v>
      </c>
      <c r="F4428" s="2">
        <v>3</v>
      </c>
      <c r="G4428" s="4">
        <v>3</v>
      </c>
      <c r="H4428" s="13">
        <v>1</v>
      </c>
      <c r="I4428" s="34">
        <v>1</v>
      </c>
      <c r="J4428" s="35">
        <v>1</v>
      </c>
      <c r="K4428" s="2" t="s">
        <v>8870</v>
      </c>
      <c r="L4428" s="36" t="str">
        <f t="shared" si="74"/>
        <v>Ver Imagen</v>
      </c>
      <c r="M4428" t="s">
        <v>8005</v>
      </c>
    </row>
    <row r="4429" spans="1:13" x14ac:dyDescent="0.25">
      <c r="A4429" s="33">
        <v>4432</v>
      </c>
      <c r="B4429" t="s">
        <v>8871</v>
      </c>
      <c r="C4429" s="1">
        <v>37.486401521600001</v>
      </c>
      <c r="D4429" s="1">
        <v>-7.2377429063000003</v>
      </c>
      <c r="E4429" s="3">
        <v>1</v>
      </c>
      <c r="F4429" s="2">
        <v>3</v>
      </c>
      <c r="G4429" s="4">
        <v>2</v>
      </c>
      <c r="H4429" s="13">
        <v>2</v>
      </c>
      <c r="I4429" s="34">
        <v>1</v>
      </c>
      <c r="J4429" s="35">
        <v>2</v>
      </c>
      <c r="K4429" s="2" t="s">
        <v>8872</v>
      </c>
      <c r="L4429" s="36" t="str">
        <f t="shared" si="74"/>
        <v>Ver Imagen</v>
      </c>
      <c r="M4429" t="s">
        <v>8005</v>
      </c>
    </row>
    <row r="4430" spans="1:13" x14ac:dyDescent="0.25">
      <c r="A4430" s="33">
        <v>4433</v>
      </c>
      <c r="B4430" t="s">
        <v>8873</v>
      </c>
      <c r="C4430" s="1">
        <v>37.486633912099997</v>
      </c>
      <c r="D4430" s="1">
        <v>-7.2389676938000003</v>
      </c>
      <c r="E4430" s="3">
        <v>1</v>
      </c>
      <c r="F4430" s="2">
        <v>3</v>
      </c>
      <c r="G4430" s="4">
        <v>3</v>
      </c>
      <c r="H4430" s="13">
        <v>2</v>
      </c>
      <c r="I4430" s="34">
        <v>3</v>
      </c>
      <c r="J4430" s="37">
        <v>2</v>
      </c>
      <c r="K4430" s="2" t="s">
        <v>8874</v>
      </c>
      <c r="L4430" s="36" t="str">
        <f t="shared" si="74"/>
        <v>Ver Imagen</v>
      </c>
      <c r="M4430" s="37" t="s">
        <v>8052</v>
      </c>
    </row>
    <row r="4431" spans="1:13" x14ac:dyDescent="0.25">
      <c r="A4431" s="33">
        <v>4434</v>
      </c>
      <c r="B4431" t="s">
        <v>8875</v>
      </c>
      <c r="C4431" s="1">
        <v>37.486829003499999</v>
      </c>
      <c r="D4431" s="1">
        <v>-7.2399505321299999</v>
      </c>
      <c r="E4431" s="3">
        <v>1</v>
      </c>
      <c r="F4431" s="2">
        <v>3</v>
      </c>
      <c r="G4431" s="4">
        <v>3</v>
      </c>
      <c r="H4431" s="13">
        <v>2</v>
      </c>
      <c r="I4431" s="34">
        <v>1</v>
      </c>
      <c r="J4431" s="35">
        <v>2</v>
      </c>
      <c r="K4431" s="2" t="s">
        <v>8876</v>
      </c>
      <c r="L4431" s="36" t="str">
        <f t="shared" si="74"/>
        <v>Ver Imagen</v>
      </c>
      <c r="M4431" t="s">
        <v>8005</v>
      </c>
    </row>
    <row r="4432" spans="1:13" x14ac:dyDescent="0.25">
      <c r="A4432" s="33">
        <v>4435</v>
      </c>
      <c r="B4432" t="s">
        <v>8877</v>
      </c>
      <c r="C4432" s="1">
        <v>37.486878039799997</v>
      </c>
      <c r="D4432" s="1">
        <v>-7.2402037740500003</v>
      </c>
      <c r="E4432" s="3">
        <v>1</v>
      </c>
      <c r="F4432" s="2">
        <v>3</v>
      </c>
      <c r="G4432" s="4">
        <v>3</v>
      </c>
      <c r="H4432" s="13">
        <v>3</v>
      </c>
      <c r="I4432" s="34">
        <v>3</v>
      </c>
      <c r="J4432" s="35">
        <v>3</v>
      </c>
      <c r="K4432" s="2" t="s">
        <v>8878</v>
      </c>
      <c r="L4432" s="36" t="str">
        <f t="shared" si="74"/>
        <v>Ver Imagen</v>
      </c>
      <c r="M4432" t="s">
        <v>8005</v>
      </c>
    </row>
    <row r="4433" spans="1:13" x14ac:dyDescent="0.25">
      <c r="A4433" s="33">
        <v>4436</v>
      </c>
      <c r="B4433" t="s">
        <v>8879</v>
      </c>
      <c r="C4433" s="1">
        <v>37.486989192899998</v>
      </c>
      <c r="D4433" s="1">
        <v>-7.2409487863799997</v>
      </c>
      <c r="E4433" s="3">
        <v>1</v>
      </c>
      <c r="F4433" s="2">
        <v>3</v>
      </c>
      <c r="G4433" s="4">
        <v>2</v>
      </c>
      <c r="H4433" s="13">
        <v>2</v>
      </c>
      <c r="I4433" s="34">
        <v>1</v>
      </c>
      <c r="J4433" s="35">
        <v>2</v>
      </c>
      <c r="K4433" s="2" t="s">
        <v>8880</v>
      </c>
      <c r="L4433" s="36" t="str">
        <f t="shared" si="74"/>
        <v>Ver Imagen</v>
      </c>
      <c r="M4433" t="s">
        <v>8005</v>
      </c>
    </row>
    <row r="4434" spans="1:13" x14ac:dyDescent="0.25">
      <c r="A4434" s="33">
        <v>4437</v>
      </c>
      <c r="B4434" t="s">
        <v>8881</v>
      </c>
      <c r="C4434" s="1">
        <v>37.487056827499998</v>
      </c>
      <c r="D4434" s="1">
        <v>-7.24172533574</v>
      </c>
      <c r="E4434" s="3">
        <v>1</v>
      </c>
      <c r="F4434" s="2">
        <v>3</v>
      </c>
      <c r="G4434" s="4">
        <v>3</v>
      </c>
      <c r="H4434" s="13">
        <v>2</v>
      </c>
      <c r="I4434" s="34">
        <v>2</v>
      </c>
      <c r="J4434" s="35">
        <v>2</v>
      </c>
      <c r="K4434" s="2" t="s">
        <v>8882</v>
      </c>
      <c r="L4434" s="36" t="str">
        <f t="shared" si="74"/>
        <v>Ver Imagen</v>
      </c>
      <c r="M4434" t="s">
        <v>8005</v>
      </c>
    </row>
    <row r="4435" spans="1:13" x14ac:dyDescent="0.25">
      <c r="A4435" s="33">
        <v>4438</v>
      </c>
      <c r="B4435" t="s">
        <v>8883</v>
      </c>
      <c r="C4435" s="1">
        <v>37.487124270700001</v>
      </c>
      <c r="D4435" s="1">
        <v>-7.2424584797399998</v>
      </c>
      <c r="E4435" s="3">
        <v>1</v>
      </c>
      <c r="F4435" s="2">
        <v>2</v>
      </c>
      <c r="G4435" s="4">
        <v>3</v>
      </c>
      <c r="H4435" s="13">
        <v>2</v>
      </c>
      <c r="I4435" s="34">
        <v>2</v>
      </c>
      <c r="J4435" s="35">
        <v>2</v>
      </c>
      <c r="K4435" s="2" t="s">
        <v>8884</v>
      </c>
      <c r="L4435" s="36" t="str">
        <f t="shared" si="74"/>
        <v>Ver Imagen</v>
      </c>
      <c r="M4435" t="s">
        <v>8005</v>
      </c>
    </row>
    <row r="4436" spans="1:13" x14ac:dyDescent="0.25">
      <c r="A4436" s="33">
        <v>4439</v>
      </c>
      <c r="B4436" t="s">
        <v>8885</v>
      </c>
      <c r="C4436" s="1">
        <v>37.487212866900002</v>
      </c>
      <c r="D4436" s="1">
        <v>-7.2432229455600003</v>
      </c>
      <c r="E4436" s="3">
        <v>1</v>
      </c>
      <c r="F4436" s="2">
        <v>2</v>
      </c>
      <c r="G4436" s="4">
        <v>3</v>
      </c>
      <c r="H4436" s="13">
        <v>2</v>
      </c>
      <c r="I4436" s="34">
        <v>2</v>
      </c>
      <c r="J4436" s="35">
        <v>2</v>
      </c>
      <c r="K4436" s="2" t="s">
        <v>8886</v>
      </c>
      <c r="L4436" s="36" t="str">
        <f t="shared" si="74"/>
        <v>Ver Imagen</v>
      </c>
      <c r="M4436" t="s">
        <v>8005</v>
      </c>
    </row>
    <row r="4437" spans="1:13" x14ac:dyDescent="0.25">
      <c r="A4437" s="33">
        <v>4440</v>
      </c>
      <c r="B4437" t="s">
        <v>8887</v>
      </c>
      <c r="C4437" s="1">
        <v>37.487679749000002</v>
      </c>
      <c r="D4437" s="1">
        <v>-7.2445945349900001</v>
      </c>
      <c r="E4437" s="3">
        <v>1</v>
      </c>
      <c r="F4437" s="2">
        <v>3</v>
      </c>
      <c r="G4437" s="4">
        <v>2</v>
      </c>
      <c r="H4437" s="13">
        <v>3</v>
      </c>
      <c r="I4437" s="34">
        <v>2</v>
      </c>
      <c r="J4437" s="35">
        <v>2</v>
      </c>
      <c r="K4437" s="2" t="s">
        <v>8888</v>
      </c>
      <c r="L4437" s="36" t="str">
        <f t="shared" si="74"/>
        <v>Ver Imagen</v>
      </c>
      <c r="M4437" t="s">
        <v>8005</v>
      </c>
    </row>
    <row r="4438" spans="1:13" x14ac:dyDescent="0.25">
      <c r="A4438" s="33">
        <v>4441</v>
      </c>
      <c r="B4438" t="s">
        <v>8889</v>
      </c>
      <c r="C4438" s="1">
        <v>37.4890402881</v>
      </c>
      <c r="D4438" s="1">
        <v>-7.2476781968199999</v>
      </c>
      <c r="E4438" s="3">
        <v>1</v>
      </c>
      <c r="F4438" s="2">
        <v>3</v>
      </c>
      <c r="G4438" s="4">
        <v>3</v>
      </c>
      <c r="H4438" s="13">
        <v>2</v>
      </c>
      <c r="I4438" s="34">
        <v>1</v>
      </c>
      <c r="J4438" s="35">
        <v>2</v>
      </c>
      <c r="K4438" s="2" t="s">
        <v>8890</v>
      </c>
      <c r="L4438" s="36" t="str">
        <f t="shared" si="74"/>
        <v>Ver Imagen</v>
      </c>
      <c r="M4438" t="s">
        <v>8005</v>
      </c>
    </row>
    <row r="4439" spans="1:13" x14ac:dyDescent="0.25">
      <c r="A4439" s="33">
        <v>4442</v>
      </c>
      <c r="B4439" t="s">
        <v>8891</v>
      </c>
      <c r="C4439" s="1">
        <v>37.489805220199997</v>
      </c>
      <c r="D4439" s="1">
        <v>-7.2485584563499996</v>
      </c>
      <c r="E4439" s="3">
        <v>1</v>
      </c>
      <c r="F4439" s="2">
        <v>3</v>
      </c>
      <c r="G4439" s="4">
        <v>2</v>
      </c>
      <c r="H4439" s="13">
        <v>2</v>
      </c>
      <c r="I4439" s="34">
        <v>1</v>
      </c>
      <c r="J4439" s="35">
        <v>2</v>
      </c>
      <c r="K4439" s="2" t="s">
        <v>8892</v>
      </c>
      <c r="L4439" s="36" t="str">
        <f t="shared" si="74"/>
        <v>Ver Imagen</v>
      </c>
      <c r="M4439" t="s">
        <v>8005</v>
      </c>
    </row>
    <row r="4440" spans="1:13" x14ac:dyDescent="0.25">
      <c r="A4440" s="33">
        <v>4443</v>
      </c>
      <c r="B4440" t="s">
        <v>8893</v>
      </c>
      <c r="C4440" s="1">
        <v>37.489942746200001</v>
      </c>
      <c r="D4440" s="1">
        <v>-7.2487145554800003</v>
      </c>
      <c r="E4440" s="3">
        <v>1</v>
      </c>
      <c r="F4440" s="2">
        <v>3</v>
      </c>
      <c r="G4440" s="4">
        <v>2</v>
      </c>
      <c r="H4440" s="13">
        <v>2</v>
      </c>
      <c r="I4440" s="34">
        <v>2</v>
      </c>
      <c r="J4440" s="35">
        <v>2</v>
      </c>
      <c r="K4440" s="2" t="s">
        <v>8894</v>
      </c>
      <c r="L4440" s="36" t="str">
        <f t="shared" si="74"/>
        <v>Ver Imagen</v>
      </c>
      <c r="M4440" t="s">
        <v>8005</v>
      </c>
    </row>
    <row r="4441" spans="1:13" x14ac:dyDescent="0.25">
      <c r="A4441" s="33">
        <v>4444</v>
      </c>
      <c r="B4441" t="s">
        <v>8895</v>
      </c>
      <c r="C4441" s="1">
        <v>37.490260003300001</v>
      </c>
      <c r="D4441" s="1">
        <v>-7.2490766384300001</v>
      </c>
      <c r="E4441" s="3">
        <v>1</v>
      </c>
      <c r="F4441" s="2">
        <v>3</v>
      </c>
      <c r="G4441" s="4">
        <v>2</v>
      </c>
      <c r="H4441" s="13">
        <v>3</v>
      </c>
      <c r="I4441" s="34">
        <v>3</v>
      </c>
      <c r="J4441" s="37">
        <v>2</v>
      </c>
      <c r="K4441" s="2" t="s">
        <v>8896</v>
      </c>
      <c r="L4441" s="36" t="str">
        <f t="shared" si="74"/>
        <v>Ver Imagen</v>
      </c>
      <c r="M4441" s="37" t="s">
        <v>8052</v>
      </c>
    </row>
    <row r="4442" spans="1:13" x14ac:dyDescent="0.25">
      <c r="A4442" s="33">
        <v>4445</v>
      </c>
      <c r="B4442" t="s">
        <v>8897</v>
      </c>
      <c r="C4442" s="1">
        <v>37.490718386300003</v>
      </c>
      <c r="D4442" s="1">
        <v>-7.2509461352900004</v>
      </c>
      <c r="E4442" s="3">
        <v>1</v>
      </c>
      <c r="F4442" s="2">
        <v>3</v>
      </c>
      <c r="G4442" s="4">
        <v>2</v>
      </c>
      <c r="H4442" s="13">
        <v>2</v>
      </c>
      <c r="I4442" s="34">
        <v>1</v>
      </c>
      <c r="J4442" s="35">
        <v>2</v>
      </c>
      <c r="K4442" s="2" t="s">
        <v>8898</v>
      </c>
      <c r="L4442" s="36" t="str">
        <f t="shared" si="74"/>
        <v>Ver Imagen</v>
      </c>
      <c r="M4442" t="s">
        <v>8005</v>
      </c>
    </row>
    <row r="4443" spans="1:13" x14ac:dyDescent="0.25">
      <c r="A4443" s="33">
        <v>4446</v>
      </c>
      <c r="B4443" t="s">
        <v>8899</v>
      </c>
      <c r="C4443" s="1">
        <v>37.490712464200001</v>
      </c>
      <c r="D4443" s="1">
        <v>-7.2511816190799996</v>
      </c>
      <c r="E4443" s="3">
        <v>1</v>
      </c>
      <c r="F4443" s="2">
        <v>3</v>
      </c>
      <c r="G4443" s="4">
        <v>2</v>
      </c>
      <c r="H4443" s="13">
        <v>2</v>
      </c>
      <c r="I4443" s="34">
        <v>3</v>
      </c>
      <c r="J4443" s="35">
        <v>2</v>
      </c>
      <c r="K4443" s="2" t="s">
        <v>8900</v>
      </c>
      <c r="L4443" s="36" t="str">
        <f t="shared" si="74"/>
        <v>Ver Imagen</v>
      </c>
      <c r="M4443" t="s">
        <v>8005</v>
      </c>
    </row>
    <row r="4444" spans="1:13" x14ac:dyDescent="0.25">
      <c r="A4444" s="33">
        <v>4447</v>
      </c>
      <c r="B4444" t="s">
        <v>8901</v>
      </c>
      <c r="C4444" s="1">
        <v>37.490656014700001</v>
      </c>
      <c r="D4444" s="1">
        <v>-7.25273619797</v>
      </c>
      <c r="E4444" s="3">
        <v>1</v>
      </c>
      <c r="F4444" s="2">
        <v>3</v>
      </c>
      <c r="G4444" s="4">
        <v>2</v>
      </c>
      <c r="H4444" s="13">
        <v>2</v>
      </c>
      <c r="I4444" s="34">
        <v>1</v>
      </c>
      <c r="J4444" s="35">
        <v>2</v>
      </c>
      <c r="K4444" s="2" t="s">
        <v>8902</v>
      </c>
      <c r="L4444" s="36" t="str">
        <f t="shared" ref="L4444:L4507" si="75">HYPERLINK("NoConsenso\" &amp; K4444, "Ver Imagen")</f>
        <v>Ver Imagen</v>
      </c>
      <c r="M4444" t="s">
        <v>8005</v>
      </c>
    </row>
    <row r="4445" spans="1:13" x14ac:dyDescent="0.25">
      <c r="A4445" s="33">
        <v>4448</v>
      </c>
      <c r="B4445" t="s">
        <v>8903</v>
      </c>
      <c r="C4445" s="1">
        <v>37.490388044500001</v>
      </c>
      <c r="D4445" s="1">
        <v>-7.2559680737400001</v>
      </c>
      <c r="E4445" s="3">
        <v>1</v>
      </c>
      <c r="F4445" s="2">
        <v>3</v>
      </c>
      <c r="G4445" s="4">
        <v>2</v>
      </c>
      <c r="H4445" s="13">
        <v>2</v>
      </c>
      <c r="I4445" s="34">
        <v>2</v>
      </c>
      <c r="J4445" s="35">
        <v>2</v>
      </c>
      <c r="K4445" s="2" t="s">
        <v>8904</v>
      </c>
      <c r="L4445" s="36" t="str">
        <f t="shared" si="75"/>
        <v>Ver Imagen</v>
      </c>
      <c r="M4445" t="s">
        <v>8005</v>
      </c>
    </row>
    <row r="4446" spans="1:13" x14ac:dyDescent="0.25">
      <c r="A4446" s="33">
        <v>4449</v>
      </c>
      <c r="B4446" t="s">
        <v>8905</v>
      </c>
      <c r="C4446" s="1">
        <v>37.4904114518</v>
      </c>
      <c r="D4446" s="1">
        <v>-7.2598927457400002</v>
      </c>
      <c r="E4446" s="3">
        <v>1</v>
      </c>
      <c r="F4446" s="2">
        <v>2</v>
      </c>
      <c r="G4446" s="4">
        <v>3</v>
      </c>
      <c r="H4446" s="13">
        <v>2</v>
      </c>
      <c r="I4446" s="34">
        <v>2</v>
      </c>
      <c r="J4446" s="35">
        <v>2</v>
      </c>
      <c r="K4446" s="2" t="s">
        <v>8906</v>
      </c>
      <c r="L4446" s="36" t="str">
        <f t="shared" si="75"/>
        <v>Ver Imagen</v>
      </c>
      <c r="M4446" t="s">
        <v>8005</v>
      </c>
    </row>
    <row r="4447" spans="1:13" x14ac:dyDescent="0.25">
      <c r="A4447" s="33">
        <v>4450</v>
      </c>
      <c r="B4447" t="s">
        <v>8907</v>
      </c>
      <c r="C4447" s="1">
        <v>37.490538027500001</v>
      </c>
      <c r="D4447" s="1">
        <v>-7.2600451972500002</v>
      </c>
      <c r="E4447" s="3">
        <v>1</v>
      </c>
      <c r="F4447" s="2">
        <v>3</v>
      </c>
      <c r="G4447" s="4">
        <v>3</v>
      </c>
      <c r="H4447" s="13">
        <v>2</v>
      </c>
      <c r="I4447" s="34">
        <v>1</v>
      </c>
      <c r="J4447" s="37">
        <v>1</v>
      </c>
      <c r="K4447" s="2" t="s">
        <v>8908</v>
      </c>
      <c r="L4447" s="36" t="str">
        <f t="shared" si="75"/>
        <v>Ver Imagen</v>
      </c>
      <c r="M4447" s="37" t="s">
        <v>8052</v>
      </c>
    </row>
    <row r="4448" spans="1:13" x14ac:dyDescent="0.25">
      <c r="A4448" s="33">
        <v>4451</v>
      </c>
      <c r="B4448" t="s">
        <v>8909</v>
      </c>
      <c r="C4448" s="1">
        <v>37.490854639600002</v>
      </c>
      <c r="D4448" s="1">
        <v>-7.2603773863200001</v>
      </c>
      <c r="E4448" s="3">
        <v>1</v>
      </c>
      <c r="F4448" s="2">
        <v>2</v>
      </c>
      <c r="G4448" s="4">
        <v>3</v>
      </c>
      <c r="H4448" s="13">
        <v>2</v>
      </c>
      <c r="I4448" s="34">
        <v>2</v>
      </c>
      <c r="J4448" s="35">
        <v>2</v>
      </c>
      <c r="K4448" s="2" t="s">
        <v>8910</v>
      </c>
      <c r="L4448" s="36" t="str">
        <f t="shared" si="75"/>
        <v>Ver Imagen</v>
      </c>
      <c r="M4448" t="s">
        <v>8005</v>
      </c>
    </row>
    <row r="4449" spans="1:13" x14ac:dyDescent="0.25">
      <c r="A4449" s="33">
        <v>4452</v>
      </c>
      <c r="B4449" t="s">
        <v>8911</v>
      </c>
      <c r="C4449" s="1">
        <v>37.491449230400001</v>
      </c>
      <c r="D4449" s="1">
        <v>-7.2609630883399996</v>
      </c>
      <c r="E4449" s="3">
        <v>2</v>
      </c>
      <c r="F4449" s="2">
        <v>4</v>
      </c>
      <c r="G4449" s="4">
        <v>3</v>
      </c>
      <c r="H4449" s="13">
        <v>3</v>
      </c>
      <c r="I4449" s="34">
        <v>4</v>
      </c>
      <c r="J4449" s="35">
        <v>3</v>
      </c>
      <c r="K4449" s="2" t="s">
        <v>8912</v>
      </c>
      <c r="L4449" s="36" t="str">
        <f t="shared" si="75"/>
        <v>Ver Imagen</v>
      </c>
      <c r="M4449" t="s">
        <v>8005</v>
      </c>
    </row>
    <row r="4450" spans="1:13" x14ac:dyDescent="0.25">
      <c r="A4450" s="33">
        <v>4453</v>
      </c>
      <c r="B4450" t="s">
        <v>8913</v>
      </c>
      <c r="C4450" s="1">
        <v>37.491609269400001</v>
      </c>
      <c r="D4450" s="1">
        <v>-7.2611207455200004</v>
      </c>
      <c r="E4450" s="3">
        <v>2</v>
      </c>
      <c r="F4450" s="2">
        <v>4</v>
      </c>
      <c r="G4450" s="4">
        <v>3</v>
      </c>
      <c r="H4450" s="13">
        <v>3</v>
      </c>
      <c r="I4450" s="34">
        <v>4</v>
      </c>
      <c r="J4450" s="35">
        <v>3</v>
      </c>
      <c r="K4450" s="2" t="s">
        <v>8914</v>
      </c>
      <c r="L4450" s="36" t="str">
        <f t="shared" si="75"/>
        <v>Ver Imagen</v>
      </c>
      <c r="M4450" t="s">
        <v>8005</v>
      </c>
    </row>
    <row r="4451" spans="1:13" x14ac:dyDescent="0.25">
      <c r="A4451" s="33">
        <v>4454</v>
      </c>
      <c r="B4451" t="s">
        <v>8915</v>
      </c>
      <c r="C4451" s="1">
        <v>37.491937615799998</v>
      </c>
      <c r="D4451" s="1">
        <v>-7.2614435331799996</v>
      </c>
      <c r="E4451" s="3">
        <v>2</v>
      </c>
      <c r="F4451" s="2">
        <v>4</v>
      </c>
      <c r="G4451" s="4">
        <v>3</v>
      </c>
      <c r="H4451" s="13">
        <v>3</v>
      </c>
      <c r="I4451" s="34">
        <v>3</v>
      </c>
      <c r="J4451" s="35">
        <v>3</v>
      </c>
      <c r="K4451" s="2" t="s">
        <v>8916</v>
      </c>
      <c r="L4451" s="36" t="str">
        <f t="shared" si="75"/>
        <v>Ver Imagen</v>
      </c>
      <c r="M4451" t="s">
        <v>8005</v>
      </c>
    </row>
    <row r="4452" spans="1:13" x14ac:dyDescent="0.25">
      <c r="A4452" s="33">
        <v>4455</v>
      </c>
      <c r="B4452" t="s">
        <v>8917</v>
      </c>
      <c r="C4452" s="1">
        <v>37.492088639899997</v>
      </c>
      <c r="D4452" s="1">
        <v>-7.2615908255999999</v>
      </c>
      <c r="E4452" s="3">
        <v>2</v>
      </c>
      <c r="F4452" s="2">
        <v>1</v>
      </c>
      <c r="G4452" s="4">
        <v>3</v>
      </c>
      <c r="H4452" s="13">
        <v>3</v>
      </c>
      <c r="I4452" s="34">
        <v>2</v>
      </c>
      <c r="J4452" s="35">
        <v>2</v>
      </c>
      <c r="K4452" s="2" t="s">
        <v>8918</v>
      </c>
      <c r="L4452" s="36" t="str">
        <f t="shared" si="75"/>
        <v>Ver Imagen</v>
      </c>
      <c r="M4452" t="s">
        <v>8005</v>
      </c>
    </row>
    <row r="4453" spans="1:13" x14ac:dyDescent="0.25">
      <c r="A4453" s="33">
        <v>4456</v>
      </c>
      <c r="B4453" t="s">
        <v>8919</v>
      </c>
      <c r="C4453" s="1">
        <v>37.4928970295</v>
      </c>
      <c r="D4453" s="1">
        <v>-7.2628089264</v>
      </c>
      <c r="E4453" s="3">
        <v>1</v>
      </c>
      <c r="F4453" s="2">
        <v>3</v>
      </c>
      <c r="G4453" s="4">
        <v>2</v>
      </c>
      <c r="H4453" s="13">
        <v>1</v>
      </c>
      <c r="I4453" s="34">
        <v>2</v>
      </c>
      <c r="J4453" s="37">
        <v>1</v>
      </c>
      <c r="K4453" s="2" t="s">
        <v>8920</v>
      </c>
      <c r="L4453" s="36" t="str">
        <f t="shared" si="75"/>
        <v>Ver Imagen</v>
      </c>
      <c r="M4453" s="37" t="s">
        <v>8052</v>
      </c>
    </row>
    <row r="4454" spans="1:13" x14ac:dyDescent="0.25">
      <c r="A4454" s="33">
        <v>4457</v>
      </c>
      <c r="B4454" t="s">
        <v>8921</v>
      </c>
      <c r="C4454" s="1">
        <v>37.492974644199997</v>
      </c>
      <c r="D4454" s="1">
        <v>-7.2630311088399999</v>
      </c>
      <c r="E4454" s="3">
        <v>1</v>
      </c>
      <c r="F4454" s="2">
        <v>3</v>
      </c>
      <c r="G4454" s="4">
        <v>2</v>
      </c>
      <c r="H4454" s="13">
        <v>1</v>
      </c>
      <c r="I4454" s="34">
        <v>1</v>
      </c>
      <c r="J4454" s="35">
        <v>1</v>
      </c>
      <c r="K4454" s="2" t="s">
        <v>8922</v>
      </c>
      <c r="L4454" s="36" t="str">
        <f t="shared" si="75"/>
        <v>Ver Imagen</v>
      </c>
      <c r="M4454" t="s">
        <v>8005</v>
      </c>
    </row>
    <row r="4455" spans="1:13" x14ac:dyDescent="0.25">
      <c r="A4455" s="33">
        <v>4458</v>
      </c>
      <c r="B4455" t="s">
        <v>8923</v>
      </c>
      <c r="C4455" s="1">
        <v>37.493305877899999</v>
      </c>
      <c r="D4455" s="1">
        <v>-7.2639260829300003</v>
      </c>
      <c r="E4455" s="3">
        <v>1</v>
      </c>
      <c r="F4455" s="2">
        <v>2</v>
      </c>
      <c r="G4455" s="4">
        <v>3</v>
      </c>
      <c r="H4455" s="13">
        <v>2</v>
      </c>
      <c r="I4455" s="34">
        <v>2</v>
      </c>
      <c r="J4455" s="35">
        <v>2</v>
      </c>
      <c r="K4455" s="2" t="s">
        <v>8924</v>
      </c>
      <c r="L4455" s="36" t="str">
        <f t="shared" si="75"/>
        <v>Ver Imagen</v>
      </c>
      <c r="M4455" t="s">
        <v>8005</v>
      </c>
    </row>
    <row r="4456" spans="1:13" x14ac:dyDescent="0.25">
      <c r="A4456" s="33">
        <v>4459</v>
      </c>
      <c r="B4456" t="s">
        <v>8925</v>
      </c>
      <c r="C4456" s="1">
        <v>37.4935946501</v>
      </c>
      <c r="D4456" s="1">
        <v>-7.26464475604</v>
      </c>
      <c r="E4456" s="3">
        <v>1</v>
      </c>
      <c r="F4456" s="2">
        <v>3</v>
      </c>
      <c r="G4456" s="4">
        <v>2</v>
      </c>
      <c r="H4456" s="13">
        <v>2</v>
      </c>
      <c r="I4456" s="34">
        <v>2</v>
      </c>
      <c r="J4456" s="35">
        <v>2</v>
      </c>
      <c r="K4456" s="2" t="s">
        <v>8926</v>
      </c>
      <c r="L4456" s="36" t="str">
        <f t="shared" si="75"/>
        <v>Ver Imagen</v>
      </c>
      <c r="M4456" t="s">
        <v>8005</v>
      </c>
    </row>
    <row r="4457" spans="1:13" x14ac:dyDescent="0.25">
      <c r="A4457" s="33">
        <v>4460</v>
      </c>
      <c r="B4457" t="s">
        <v>8927</v>
      </c>
      <c r="C4457" s="1">
        <v>37.494850927999998</v>
      </c>
      <c r="D4457" s="1">
        <v>-7.2668701104000002</v>
      </c>
      <c r="E4457" s="3">
        <v>2</v>
      </c>
      <c r="F4457" s="2">
        <v>2</v>
      </c>
      <c r="G4457" s="4">
        <v>4</v>
      </c>
      <c r="H4457" s="13">
        <v>3</v>
      </c>
      <c r="I4457" s="34">
        <v>4</v>
      </c>
      <c r="J4457" s="35">
        <v>3</v>
      </c>
      <c r="K4457" s="2" t="s">
        <v>8928</v>
      </c>
      <c r="L4457" s="36" t="str">
        <f t="shared" si="75"/>
        <v>Ver Imagen</v>
      </c>
      <c r="M4457" t="s">
        <v>8005</v>
      </c>
    </row>
    <row r="4458" spans="1:13" x14ac:dyDescent="0.25">
      <c r="A4458" s="33">
        <v>4461</v>
      </c>
      <c r="B4458" t="s">
        <v>8929</v>
      </c>
      <c r="C4458" s="1">
        <v>37.494919593699997</v>
      </c>
      <c r="D4458" s="1">
        <v>-7.2670876989800002</v>
      </c>
      <c r="E4458" s="3">
        <v>2</v>
      </c>
      <c r="F4458" s="2">
        <v>3</v>
      </c>
      <c r="G4458" s="4">
        <v>4</v>
      </c>
      <c r="H4458" s="13">
        <v>3</v>
      </c>
      <c r="I4458" s="34">
        <v>3</v>
      </c>
      <c r="J4458" s="35">
        <v>3</v>
      </c>
      <c r="K4458" s="2" t="s">
        <v>8930</v>
      </c>
      <c r="L4458" s="36" t="str">
        <f t="shared" si="75"/>
        <v>Ver Imagen</v>
      </c>
      <c r="M4458" t="s">
        <v>8005</v>
      </c>
    </row>
    <row r="4459" spans="1:13" x14ac:dyDescent="0.25">
      <c r="A4459" s="33">
        <v>4462</v>
      </c>
      <c r="B4459" t="s">
        <v>8931</v>
      </c>
      <c r="C4459" s="1">
        <v>37.272436514600003</v>
      </c>
      <c r="D4459" s="1">
        <v>-6.9910014300099999</v>
      </c>
      <c r="E4459" s="3">
        <v>2</v>
      </c>
      <c r="F4459" s="2">
        <v>3</v>
      </c>
      <c r="G4459" s="4">
        <v>4</v>
      </c>
      <c r="H4459" s="13">
        <v>3</v>
      </c>
      <c r="I4459" s="34">
        <v>4</v>
      </c>
      <c r="J4459" s="35">
        <v>3</v>
      </c>
      <c r="K4459" s="2" t="s">
        <v>8932</v>
      </c>
      <c r="L4459" s="36" t="str">
        <f t="shared" si="75"/>
        <v>Ver Imagen</v>
      </c>
      <c r="M4459" t="s">
        <v>8005</v>
      </c>
    </row>
    <row r="4460" spans="1:13" x14ac:dyDescent="0.25">
      <c r="A4460" s="33">
        <v>4463</v>
      </c>
      <c r="B4460" t="s">
        <v>8933</v>
      </c>
      <c r="C4460" s="1">
        <v>37.274384587699998</v>
      </c>
      <c r="D4460" s="1">
        <v>-6.9912795074599998</v>
      </c>
      <c r="E4460" s="3">
        <v>2</v>
      </c>
      <c r="F4460" s="2">
        <v>3</v>
      </c>
      <c r="G4460" s="4">
        <v>4</v>
      </c>
      <c r="H4460" s="13">
        <v>3</v>
      </c>
      <c r="I4460" s="34">
        <v>4</v>
      </c>
      <c r="J4460" s="35">
        <v>3</v>
      </c>
      <c r="K4460" s="2" t="s">
        <v>8934</v>
      </c>
      <c r="L4460" s="36" t="str">
        <f t="shared" si="75"/>
        <v>Ver Imagen</v>
      </c>
      <c r="M4460" t="s">
        <v>8005</v>
      </c>
    </row>
    <row r="4461" spans="1:13" x14ac:dyDescent="0.25">
      <c r="A4461" s="33">
        <v>4464</v>
      </c>
      <c r="B4461" t="s">
        <v>8935</v>
      </c>
      <c r="C4461" s="1">
        <v>37.274788813199997</v>
      </c>
      <c r="D4461" s="1">
        <v>-6.99122182202</v>
      </c>
      <c r="E4461" s="3">
        <v>2</v>
      </c>
      <c r="F4461" s="2">
        <v>3</v>
      </c>
      <c r="G4461" s="4">
        <v>4</v>
      </c>
      <c r="H4461" s="13">
        <v>4</v>
      </c>
      <c r="I4461" s="34">
        <v>4</v>
      </c>
      <c r="J4461" s="35">
        <v>4</v>
      </c>
      <c r="K4461" s="2" t="s">
        <v>8936</v>
      </c>
      <c r="L4461" s="36" t="str">
        <f t="shared" si="75"/>
        <v>Ver Imagen</v>
      </c>
      <c r="M4461" t="s">
        <v>8005</v>
      </c>
    </row>
    <row r="4462" spans="1:13" x14ac:dyDescent="0.25">
      <c r="A4462" s="33">
        <v>4465</v>
      </c>
      <c r="B4462" t="s">
        <v>8937</v>
      </c>
      <c r="C4462" s="1">
        <v>37.276240569899997</v>
      </c>
      <c r="D4462" s="1">
        <v>-6.9909336342800001</v>
      </c>
      <c r="E4462" s="3">
        <v>2</v>
      </c>
      <c r="F4462" s="2">
        <v>4</v>
      </c>
      <c r="G4462" s="4">
        <v>4</v>
      </c>
      <c r="H4462" s="13">
        <v>4</v>
      </c>
      <c r="I4462" s="34">
        <v>4</v>
      </c>
      <c r="J4462" s="35">
        <v>4</v>
      </c>
      <c r="K4462" s="2" t="s">
        <v>8938</v>
      </c>
      <c r="L4462" s="36" t="str">
        <f t="shared" si="75"/>
        <v>Ver Imagen</v>
      </c>
      <c r="M4462" t="s">
        <v>8005</v>
      </c>
    </row>
    <row r="4463" spans="1:13" x14ac:dyDescent="0.25">
      <c r="A4463" s="33">
        <v>4466</v>
      </c>
      <c r="B4463" t="s">
        <v>8939</v>
      </c>
      <c r="C4463" s="1">
        <v>37.276420342599998</v>
      </c>
      <c r="D4463" s="1">
        <v>-6.9912765010399998</v>
      </c>
      <c r="E4463" s="3">
        <v>2</v>
      </c>
      <c r="F4463" s="2">
        <v>4</v>
      </c>
      <c r="G4463" s="4">
        <v>4</v>
      </c>
      <c r="H4463" s="13">
        <v>4</v>
      </c>
      <c r="I4463" s="34">
        <v>5</v>
      </c>
      <c r="J4463" s="37">
        <v>5</v>
      </c>
      <c r="K4463" s="2" t="s">
        <v>8940</v>
      </c>
      <c r="L4463" s="36" t="str">
        <f t="shared" si="75"/>
        <v>Ver Imagen</v>
      </c>
      <c r="M4463" s="37" t="s">
        <v>8052</v>
      </c>
    </row>
    <row r="4464" spans="1:13" x14ac:dyDescent="0.25">
      <c r="A4464" s="33">
        <v>4467</v>
      </c>
      <c r="B4464" t="s">
        <v>8941</v>
      </c>
      <c r="C4464" s="1">
        <v>37.278054407500001</v>
      </c>
      <c r="D4464" s="1">
        <v>-6.9927415357599996</v>
      </c>
      <c r="E4464" s="3">
        <v>3</v>
      </c>
      <c r="F4464" s="2">
        <v>5</v>
      </c>
      <c r="G4464" s="4">
        <v>4</v>
      </c>
      <c r="H4464" s="13">
        <v>4</v>
      </c>
      <c r="I4464" s="34">
        <v>4</v>
      </c>
      <c r="J4464" s="35">
        <v>4</v>
      </c>
      <c r="K4464" s="2" t="s">
        <v>8942</v>
      </c>
      <c r="L4464" s="36" t="str">
        <f t="shared" si="75"/>
        <v>Ver Imagen</v>
      </c>
      <c r="M4464" t="s">
        <v>8005</v>
      </c>
    </row>
    <row r="4465" spans="1:13" x14ac:dyDescent="0.25">
      <c r="A4465" s="33">
        <v>4468</v>
      </c>
      <c r="B4465" t="s">
        <v>8943</v>
      </c>
      <c r="C4465" s="1">
        <v>37.279290553099997</v>
      </c>
      <c r="D4465" s="1">
        <v>-6.9955819778899997</v>
      </c>
      <c r="E4465" s="3">
        <v>3</v>
      </c>
      <c r="F4465" s="2">
        <v>2</v>
      </c>
      <c r="G4465" s="4">
        <v>4</v>
      </c>
      <c r="H4465" s="13">
        <v>1</v>
      </c>
      <c r="I4465" s="34">
        <v>1</v>
      </c>
      <c r="J4465" s="37">
        <v>1</v>
      </c>
      <c r="K4465" s="2" t="s">
        <v>8944</v>
      </c>
      <c r="L4465" s="36" t="str">
        <f t="shared" si="75"/>
        <v>Ver Imagen</v>
      </c>
      <c r="M4465" s="37" t="s">
        <v>8052</v>
      </c>
    </row>
    <row r="4466" spans="1:13" x14ac:dyDescent="0.25">
      <c r="A4466" s="33">
        <v>4469</v>
      </c>
      <c r="B4466" t="s">
        <v>8945</v>
      </c>
      <c r="C4466" s="1">
        <v>37.279353679099998</v>
      </c>
      <c r="D4466" s="1">
        <v>-6.9958476104700003</v>
      </c>
      <c r="E4466" s="3">
        <v>2</v>
      </c>
      <c r="F4466" s="2">
        <v>1</v>
      </c>
      <c r="G4466" s="4">
        <v>3</v>
      </c>
      <c r="H4466" s="13">
        <v>1</v>
      </c>
      <c r="I4466" s="34">
        <v>1</v>
      </c>
      <c r="J4466" s="35">
        <v>1</v>
      </c>
      <c r="K4466" s="2" t="s">
        <v>8946</v>
      </c>
      <c r="L4466" s="36" t="str">
        <f t="shared" si="75"/>
        <v>Ver Imagen</v>
      </c>
      <c r="M4466" t="s">
        <v>8005</v>
      </c>
    </row>
    <row r="4467" spans="1:13" x14ac:dyDescent="0.25">
      <c r="A4467" s="33">
        <v>4470</v>
      </c>
      <c r="B4467" t="s">
        <v>8947</v>
      </c>
      <c r="C4467" s="1">
        <v>37.280685539799997</v>
      </c>
      <c r="D4467" s="1">
        <v>-7.0037811971400004</v>
      </c>
      <c r="E4467" s="3">
        <v>3</v>
      </c>
      <c r="F4467" s="2">
        <v>2</v>
      </c>
      <c r="G4467" s="4">
        <v>4</v>
      </c>
      <c r="H4467" s="13">
        <v>2</v>
      </c>
      <c r="I4467" s="34">
        <v>3</v>
      </c>
      <c r="J4467" s="37">
        <v>2</v>
      </c>
      <c r="K4467" s="2" t="s">
        <v>8948</v>
      </c>
      <c r="L4467" s="36" t="str">
        <f t="shared" si="75"/>
        <v>Ver Imagen</v>
      </c>
      <c r="M4467" s="37" t="s">
        <v>8052</v>
      </c>
    </row>
    <row r="4468" spans="1:13" x14ac:dyDescent="0.25">
      <c r="A4468" s="33">
        <v>4471</v>
      </c>
      <c r="B4468" t="s">
        <v>8949</v>
      </c>
      <c r="C4468" s="1">
        <v>37.279867769500001</v>
      </c>
      <c r="D4468" s="1">
        <v>-7.0063411804899998</v>
      </c>
      <c r="E4468" s="3">
        <v>1</v>
      </c>
      <c r="F4468" s="2">
        <v>3</v>
      </c>
      <c r="G4468" s="4">
        <v>3</v>
      </c>
      <c r="H4468" s="13">
        <v>2</v>
      </c>
      <c r="I4468" s="34">
        <v>2</v>
      </c>
      <c r="J4468" s="35">
        <v>2</v>
      </c>
      <c r="K4468" s="2" t="s">
        <v>8950</v>
      </c>
      <c r="L4468" s="36" t="str">
        <f t="shared" si="75"/>
        <v>Ver Imagen</v>
      </c>
      <c r="M4468" t="s">
        <v>8005</v>
      </c>
    </row>
    <row r="4469" spans="1:13" x14ac:dyDescent="0.25">
      <c r="A4469" s="33">
        <v>4472</v>
      </c>
      <c r="B4469" t="s">
        <v>8951</v>
      </c>
      <c r="C4469" s="1">
        <v>37.279436197099997</v>
      </c>
      <c r="D4469" s="1">
        <v>-7.0074481095200003</v>
      </c>
      <c r="E4469" s="3">
        <v>1</v>
      </c>
      <c r="F4469" s="2">
        <v>3</v>
      </c>
      <c r="G4469" s="4">
        <v>3</v>
      </c>
      <c r="H4469" s="13">
        <v>2</v>
      </c>
      <c r="I4469" s="34">
        <v>1</v>
      </c>
      <c r="J4469" s="35">
        <v>2</v>
      </c>
      <c r="K4469" s="2" t="s">
        <v>8952</v>
      </c>
      <c r="L4469" s="36" t="str">
        <f t="shared" si="75"/>
        <v>Ver Imagen</v>
      </c>
      <c r="M4469" t="s">
        <v>8005</v>
      </c>
    </row>
    <row r="4470" spans="1:13" x14ac:dyDescent="0.25">
      <c r="A4470" s="33">
        <v>4473</v>
      </c>
      <c r="B4470" t="s">
        <v>8953</v>
      </c>
      <c r="C4470" s="1">
        <v>37.277278342300001</v>
      </c>
      <c r="D4470" s="1">
        <v>-7.0120453566799998</v>
      </c>
      <c r="E4470" s="3">
        <v>2</v>
      </c>
      <c r="F4470" s="2">
        <v>3</v>
      </c>
      <c r="G4470" s="4">
        <v>4</v>
      </c>
      <c r="H4470" s="13">
        <v>2</v>
      </c>
      <c r="I4470" s="34">
        <v>2</v>
      </c>
      <c r="J4470" s="35">
        <v>2</v>
      </c>
      <c r="K4470" s="2" t="s">
        <v>8954</v>
      </c>
      <c r="L4470" s="36" t="str">
        <f t="shared" si="75"/>
        <v>Ver Imagen</v>
      </c>
      <c r="M4470" t="s">
        <v>8005</v>
      </c>
    </row>
    <row r="4471" spans="1:13" x14ac:dyDescent="0.25">
      <c r="A4471" s="33">
        <v>4474</v>
      </c>
      <c r="B4471" t="s">
        <v>8955</v>
      </c>
      <c r="C4471" s="1">
        <v>37.277038343100003</v>
      </c>
      <c r="D4471" s="1">
        <v>-7.0124783124999999</v>
      </c>
      <c r="E4471" s="3">
        <v>2</v>
      </c>
      <c r="F4471" s="2">
        <v>3</v>
      </c>
      <c r="G4471" s="4">
        <v>4</v>
      </c>
      <c r="H4471" s="13">
        <v>3</v>
      </c>
      <c r="I4471" s="34">
        <v>3</v>
      </c>
      <c r="J4471" s="35">
        <v>3</v>
      </c>
      <c r="K4471" s="2" t="s">
        <v>8956</v>
      </c>
      <c r="L4471" s="36" t="str">
        <f t="shared" si="75"/>
        <v>Ver Imagen</v>
      </c>
      <c r="M4471" t="s">
        <v>8005</v>
      </c>
    </row>
    <row r="4472" spans="1:13" x14ac:dyDescent="0.25">
      <c r="A4472" s="33">
        <v>4475</v>
      </c>
      <c r="B4472" t="s">
        <v>8957</v>
      </c>
      <c r="C4472" s="1">
        <v>37.2760942508</v>
      </c>
      <c r="D4472" s="1">
        <v>-7.0144139570800004</v>
      </c>
      <c r="E4472" s="3">
        <v>2</v>
      </c>
      <c r="F4472" s="2">
        <v>3</v>
      </c>
      <c r="G4472" s="4">
        <v>4</v>
      </c>
      <c r="H4472" s="13">
        <v>2</v>
      </c>
      <c r="I4472" s="34">
        <v>2</v>
      </c>
      <c r="J4472" s="35">
        <v>2</v>
      </c>
      <c r="K4472" s="2" t="s">
        <v>8958</v>
      </c>
      <c r="L4472" s="36" t="str">
        <f t="shared" si="75"/>
        <v>Ver Imagen</v>
      </c>
      <c r="M4472" t="s">
        <v>8005</v>
      </c>
    </row>
    <row r="4473" spans="1:13" x14ac:dyDescent="0.25">
      <c r="A4473" s="33">
        <v>4476</v>
      </c>
      <c r="B4473" t="s">
        <v>8959</v>
      </c>
      <c r="C4473" s="1">
        <v>37.275922778499996</v>
      </c>
      <c r="D4473" s="1">
        <v>-7.01525624738</v>
      </c>
      <c r="E4473" s="3">
        <v>2</v>
      </c>
      <c r="F4473" s="2">
        <v>3</v>
      </c>
      <c r="G4473" s="4">
        <v>4</v>
      </c>
      <c r="H4473" s="13">
        <v>4</v>
      </c>
      <c r="I4473" s="34">
        <v>3</v>
      </c>
      <c r="J4473" s="35">
        <v>3</v>
      </c>
      <c r="K4473" s="2" t="s">
        <v>8960</v>
      </c>
      <c r="L4473" s="36" t="str">
        <f t="shared" si="75"/>
        <v>Ver Imagen</v>
      </c>
      <c r="M4473" t="s">
        <v>8005</v>
      </c>
    </row>
    <row r="4474" spans="1:13" x14ac:dyDescent="0.25">
      <c r="A4474" s="33">
        <v>4477</v>
      </c>
      <c r="B4474" t="s">
        <v>8961</v>
      </c>
      <c r="C4474" s="1">
        <v>37.2756179577</v>
      </c>
      <c r="D4474" s="1">
        <v>-7.0187642885399999</v>
      </c>
      <c r="E4474" s="3">
        <v>1</v>
      </c>
      <c r="F4474" s="2">
        <v>2</v>
      </c>
      <c r="G4474" s="4">
        <v>3</v>
      </c>
      <c r="H4474" s="13">
        <v>1</v>
      </c>
      <c r="I4474" s="34">
        <v>1</v>
      </c>
      <c r="J4474" s="35">
        <v>1</v>
      </c>
      <c r="K4474" s="2" t="s">
        <v>8962</v>
      </c>
      <c r="L4474" s="36" t="str">
        <f t="shared" si="75"/>
        <v>Ver Imagen</v>
      </c>
      <c r="M4474" t="s">
        <v>8005</v>
      </c>
    </row>
    <row r="4475" spans="1:13" x14ac:dyDescent="0.25">
      <c r="A4475" s="33">
        <v>4478</v>
      </c>
      <c r="B4475" t="s">
        <v>8963</v>
      </c>
      <c r="C4475" s="1">
        <v>37.275651360799998</v>
      </c>
      <c r="D4475" s="1">
        <v>-7.0190108473299997</v>
      </c>
      <c r="E4475" s="3">
        <v>1</v>
      </c>
      <c r="F4475" s="2">
        <v>2</v>
      </c>
      <c r="G4475" s="4">
        <v>3</v>
      </c>
      <c r="H4475" s="13">
        <v>1</v>
      </c>
      <c r="I4475" s="34">
        <v>1</v>
      </c>
      <c r="J4475" s="35">
        <v>1</v>
      </c>
      <c r="K4475" s="2" t="s">
        <v>8964</v>
      </c>
      <c r="L4475" s="36" t="str">
        <f t="shared" si="75"/>
        <v>Ver Imagen</v>
      </c>
      <c r="M4475" t="s">
        <v>8005</v>
      </c>
    </row>
    <row r="4476" spans="1:13" x14ac:dyDescent="0.25">
      <c r="A4476" s="33">
        <v>4479</v>
      </c>
      <c r="B4476" t="s">
        <v>8965</v>
      </c>
      <c r="C4476" s="1">
        <v>37.275686468799996</v>
      </c>
      <c r="D4476" s="1">
        <v>-7.0192729980799999</v>
      </c>
      <c r="E4476" s="3">
        <v>1</v>
      </c>
      <c r="F4476" s="2">
        <v>2</v>
      </c>
      <c r="G4476" s="4">
        <v>3</v>
      </c>
      <c r="H4476" s="13">
        <v>1</v>
      </c>
      <c r="I4476" s="34">
        <v>1</v>
      </c>
      <c r="J4476" s="35">
        <v>1</v>
      </c>
      <c r="K4476" s="2" t="s">
        <v>8966</v>
      </c>
      <c r="L4476" s="36" t="str">
        <f t="shared" si="75"/>
        <v>Ver Imagen</v>
      </c>
      <c r="M4476" t="s">
        <v>8005</v>
      </c>
    </row>
    <row r="4477" spans="1:13" x14ac:dyDescent="0.25">
      <c r="A4477" s="33">
        <v>4480</v>
      </c>
      <c r="B4477" t="s">
        <v>8967</v>
      </c>
      <c r="C4477" s="1">
        <v>37.275716269999997</v>
      </c>
      <c r="D4477" s="1">
        <v>-7.0194968841799996</v>
      </c>
      <c r="E4477" s="3">
        <v>1</v>
      </c>
      <c r="F4477" s="2">
        <v>2</v>
      </c>
      <c r="G4477" s="4">
        <v>3</v>
      </c>
      <c r="H4477" s="13">
        <v>2</v>
      </c>
      <c r="I4477" s="34">
        <v>2</v>
      </c>
      <c r="J4477" s="35">
        <v>2</v>
      </c>
      <c r="K4477" s="2" t="s">
        <v>8968</v>
      </c>
      <c r="L4477" s="36" t="str">
        <f t="shared" si="75"/>
        <v>Ver Imagen</v>
      </c>
      <c r="M4477" t="s">
        <v>8005</v>
      </c>
    </row>
    <row r="4478" spans="1:13" x14ac:dyDescent="0.25">
      <c r="A4478" s="33">
        <v>4481</v>
      </c>
      <c r="B4478" t="s">
        <v>8969</v>
      </c>
      <c r="C4478" s="1">
        <v>37.275759111500001</v>
      </c>
      <c r="D4478" s="1">
        <v>-7.0198176600900002</v>
      </c>
      <c r="E4478" s="3">
        <v>1</v>
      </c>
      <c r="F4478" s="2">
        <v>3</v>
      </c>
      <c r="G4478" s="4">
        <v>3</v>
      </c>
      <c r="H4478" s="13">
        <v>2</v>
      </c>
      <c r="I4478" s="34">
        <v>2</v>
      </c>
      <c r="J4478" s="35">
        <v>2</v>
      </c>
      <c r="K4478" s="2" t="s">
        <v>8970</v>
      </c>
      <c r="L4478" s="36" t="str">
        <f t="shared" si="75"/>
        <v>Ver Imagen</v>
      </c>
      <c r="M4478" t="s">
        <v>8005</v>
      </c>
    </row>
    <row r="4479" spans="1:13" x14ac:dyDescent="0.25">
      <c r="A4479" s="33">
        <v>4482</v>
      </c>
      <c r="B4479" t="s">
        <v>8971</v>
      </c>
      <c r="C4479" s="1">
        <v>37.275783980100002</v>
      </c>
      <c r="D4479" s="1">
        <v>-7.0200042415199997</v>
      </c>
      <c r="E4479" s="3">
        <v>1</v>
      </c>
      <c r="F4479" s="2">
        <v>2</v>
      </c>
      <c r="G4479" s="4">
        <v>3</v>
      </c>
      <c r="H4479" s="13">
        <v>1</v>
      </c>
      <c r="I4479" s="34">
        <v>2</v>
      </c>
      <c r="J4479" s="35">
        <v>2</v>
      </c>
      <c r="K4479" s="2" t="s">
        <v>8972</v>
      </c>
      <c r="L4479" s="36" t="str">
        <f t="shared" si="75"/>
        <v>Ver Imagen</v>
      </c>
      <c r="M4479" t="s">
        <v>8005</v>
      </c>
    </row>
    <row r="4480" spans="1:13" x14ac:dyDescent="0.25">
      <c r="A4480" s="33">
        <v>4483</v>
      </c>
      <c r="B4480" t="s">
        <v>8973</v>
      </c>
      <c r="C4480" s="1">
        <v>37.275856304500003</v>
      </c>
      <c r="D4480" s="1">
        <v>-7.0205363860199999</v>
      </c>
      <c r="E4480" s="3">
        <v>1</v>
      </c>
      <c r="F4480" s="2">
        <v>2</v>
      </c>
      <c r="G4480" s="4">
        <v>3</v>
      </c>
      <c r="H4480" s="13">
        <v>2</v>
      </c>
      <c r="I4480" s="34">
        <v>2</v>
      </c>
      <c r="J4480" s="35">
        <v>2</v>
      </c>
      <c r="K4480" s="2" t="s">
        <v>8974</v>
      </c>
      <c r="L4480" s="36" t="str">
        <f t="shared" si="75"/>
        <v>Ver Imagen</v>
      </c>
      <c r="M4480" t="s">
        <v>8005</v>
      </c>
    </row>
    <row r="4481" spans="1:13" x14ac:dyDescent="0.25">
      <c r="A4481" s="33">
        <v>4484</v>
      </c>
      <c r="B4481" t="s">
        <v>8975</v>
      </c>
      <c r="C4481" s="1">
        <v>37.275949412499997</v>
      </c>
      <c r="D4481" s="1">
        <v>-7.0212384021199998</v>
      </c>
      <c r="E4481" s="3">
        <v>1</v>
      </c>
      <c r="F4481" s="2">
        <v>2</v>
      </c>
      <c r="G4481" s="4">
        <v>3</v>
      </c>
      <c r="H4481" s="13">
        <v>2</v>
      </c>
      <c r="I4481" s="34">
        <v>2</v>
      </c>
      <c r="J4481" s="35">
        <v>2</v>
      </c>
      <c r="K4481" s="2" t="s">
        <v>8976</v>
      </c>
      <c r="L4481" s="36" t="str">
        <f t="shared" si="75"/>
        <v>Ver Imagen</v>
      </c>
      <c r="M4481" t="s">
        <v>8005</v>
      </c>
    </row>
    <row r="4482" spans="1:13" x14ac:dyDescent="0.25">
      <c r="A4482" s="33">
        <v>4485</v>
      </c>
      <c r="B4482" t="s">
        <v>8977</v>
      </c>
      <c r="C4482" s="1">
        <v>37.276014781400001</v>
      </c>
      <c r="D4482" s="1">
        <v>-7.0217456011700001</v>
      </c>
      <c r="E4482" s="3">
        <v>1</v>
      </c>
      <c r="F4482" s="2">
        <v>2</v>
      </c>
      <c r="G4482" s="4">
        <v>3</v>
      </c>
      <c r="H4482" s="13">
        <v>1</v>
      </c>
      <c r="I4482" s="34">
        <v>2</v>
      </c>
      <c r="J4482" s="35">
        <v>2</v>
      </c>
      <c r="K4482" s="2" t="s">
        <v>8978</v>
      </c>
      <c r="L4482" s="36" t="str">
        <f t="shared" si="75"/>
        <v>Ver Imagen</v>
      </c>
      <c r="M4482" t="s">
        <v>8005</v>
      </c>
    </row>
    <row r="4483" spans="1:13" x14ac:dyDescent="0.25">
      <c r="A4483" s="33">
        <v>4486</v>
      </c>
      <c r="B4483" t="s">
        <v>8979</v>
      </c>
      <c r="C4483" s="1">
        <v>37.276121401899999</v>
      </c>
      <c r="D4483" s="1">
        <v>-7.0224979690099998</v>
      </c>
      <c r="E4483" s="3">
        <v>2</v>
      </c>
      <c r="F4483" s="2">
        <v>3</v>
      </c>
      <c r="G4483" s="4">
        <v>4</v>
      </c>
      <c r="H4483" s="13">
        <v>2</v>
      </c>
      <c r="I4483" s="34">
        <v>3</v>
      </c>
      <c r="J4483" s="35">
        <v>3</v>
      </c>
      <c r="K4483" s="2" t="s">
        <v>8980</v>
      </c>
      <c r="L4483" s="36" t="str">
        <f t="shared" si="75"/>
        <v>Ver Imagen</v>
      </c>
      <c r="M4483" t="s">
        <v>8005</v>
      </c>
    </row>
    <row r="4484" spans="1:13" x14ac:dyDescent="0.25">
      <c r="A4484" s="33">
        <v>4487</v>
      </c>
      <c r="B4484" t="s">
        <v>8981</v>
      </c>
      <c r="C4484" s="1">
        <v>37.276198944299999</v>
      </c>
      <c r="D4484" s="1">
        <v>-7.0230367999699999</v>
      </c>
      <c r="E4484" s="3">
        <v>1</v>
      </c>
      <c r="F4484" s="2">
        <v>2</v>
      </c>
      <c r="G4484" s="4">
        <v>3</v>
      </c>
      <c r="H4484" s="13">
        <v>2</v>
      </c>
      <c r="I4484" s="34">
        <v>2</v>
      </c>
      <c r="J4484" s="35">
        <v>2</v>
      </c>
      <c r="K4484" s="2" t="s">
        <v>8982</v>
      </c>
      <c r="L4484" s="36" t="str">
        <f t="shared" si="75"/>
        <v>Ver Imagen</v>
      </c>
      <c r="M4484" t="s">
        <v>8005</v>
      </c>
    </row>
    <row r="4485" spans="1:13" x14ac:dyDescent="0.25">
      <c r="A4485" s="33">
        <v>4488</v>
      </c>
      <c r="B4485" t="s">
        <v>8983</v>
      </c>
      <c r="C4485" s="1">
        <v>37.276401590200003</v>
      </c>
      <c r="D4485" s="1">
        <v>-7.0244796124100004</v>
      </c>
      <c r="E4485" s="3">
        <v>1</v>
      </c>
      <c r="F4485" s="2">
        <v>2</v>
      </c>
      <c r="G4485" s="4">
        <v>3</v>
      </c>
      <c r="H4485" s="13">
        <v>2</v>
      </c>
      <c r="I4485" s="34">
        <v>1</v>
      </c>
      <c r="J4485" s="35">
        <v>2</v>
      </c>
      <c r="K4485" s="2" t="s">
        <v>8984</v>
      </c>
      <c r="L4485" s="36" t="str">
        <f t="shared" si="75"/>
        <v>Ver Imagen</v>
      </c>
      <c r="M4485" t="s">
        <v>8005</v>
      </c>
    </row>
    <row r="4486" spans="1:13" x14ac:dyDescent="0.25">
      <c r="A4486" s="33">
        <v>4489</v>
      </c>
      <c r="B4486" t="s">
        <v>8985</v>
      </c>
      <c r="C4486" s="1">
        <v>37.276651347600001</v>
      </c>
      <c r="D4486" s="1">
        <v>-7.02624839933</v>
      </c>
      <c r="E4486" s="3">
        <v>1</v>
      </c>
      <c r="F4486" s="2">
        <v>2</v>
      </c>
      <c r="G4486" s="4">
        <v>3</v>
      </c>
      <c r="H4486" s="13">
        <v>2</v>
      </c>
      <c r="I4486" s="34">
        <v>2</v>
      </c>
      <c r="J4486" s="35">
        <v>2</v>
      </c>
      <c r="K4486" s="2" t="s">
        <v>8986</v>
      </c>
      <c r="L4486" s="36" t="str">
        <f t="shared" si="75"/>
        <v>Ver Imagen</v>
      </c>
      <c r="M4486" t="s">
        <v>8005</v>
      </c>
    </row>
    <row r="4487" spans="1:13" x14ac:dyDescent="0.25">
      <c r="A4487" s="33">
        <v>4490</v>
      </c>
      <c r="B4487" t="s">
        <v>8987</v>
      </c>
      <c r="C4487" s="1">
        <v>37.276891823299998</v>
      </c>
      <c r="D4487" s="1">
        <v>-7.0274627651700001</v>
      </c>
      <c r="E4487" s="3">
        <v>1</v>
      </c>
      <c r="F4487" s="2">
        <v>3</v>
      </c>
      <c r="G4487" s="4">
        <v>3</v>
      </c>
      <c r="H4487" s="13">
        <v>2</v>
      </c>
      <c r="I4487" s="34">
        <v>1</v>
      </c>
      <c r="J4487" s="35">
        <v>2</v>
      </c>
      <c r="K4487" s="2" t="s">
        <v>8988</v>
      </c>
      <c r="L4487" s="36" t="str">
        <f t="shared" si="75"/>
        <v>Ver Imagen</v>
      </c>
      <c r="M4487" t="s">
        <v>8005</v>
      </c>
    </row>
    <row r="4488" spans="1:13" x14ac:dyDescent="0.25">
      <c r="A4488" s="33">
        <v>4491</v>
      </c>
      <c r="B4488" t="s">
        <v>8989</v>
      </c>
      <c r="C4488" s="1">
        <v>37.2769611481</v>
      </c>
      <c r="D4488" s="1">
        <v>-7.0276874273000001</v>
      </c>
      <c r="E4488" s="3">
        <v>1</v>
      </c>
      <c r="F4488" s="2">
        <v>2</v>
      </c>
      <c r="G4488" s="4">
        <v>3</v>
      </c>
      <c r="H4488" s="13">
        <v>2</v>
      </c>
      <c r="I4488" s="34">
        <v>1</v>
      </c>
      <c r="J4488" s="35">
        <v>2</v>
      </c>
      <c r="K4488" s="2" t="s">
        <v>8990</v>
      </c>
      <c r="L4488" s="36" t="str">
        <f t="shared" si="75"/>
        <v>Ver Imagen</v>
      </c>
      <c r="M4488" t="s">
        <v>8005</v>
      </c>
    </row>
    <row r="4489" spans="1:13" x14ac:dyDescent="0.25">
      <c r="A4489" s="33">
        <v>4492</v>
      </c>
      <c r="B4489" t="s">
        <v>8991</v>
      </c>
      <c r="C4489" s="1">
        <v>37.277251830600001</v>
      </c>
      <c r="D4489" s="1">
        <v>-7.0283966125599999</v>
      </c>
      <c r="E4489" s="3">
        <v>1</v>
      </c>
      <c r="F4489" s="2">
        <v>2</v>
      </c>
      <c r="G4489" s="4">
        <v>3</v>
      </c>
      <c r="H4489" s="13">
        <v>2</v>
      </c>
      <c r="I4489" s="34">
        <v>1</v>
      </c>
      <c r="J4489" s="35">
        <v>2</v>
      </c>
      <c r="K4489" s="2" t="s">
        <v>8992</v>
      </c>
      <c r="L4489" s="36" t="str">
        <f t="shared" si="75"/>
        <v>Ver Imagen</v>
      </c>
      <c r="M4489" t="s">
        <v>8005</v>
      </c>
    </row>
    <row r="4490" spans="1:13" x14ac:dyDescent="0.25">
      <c r="A4490" s="33">
        <v>4493</v>
      </c>
      <c r="B4490" t="s">
        <v>8993</v>
      </c>
      <c r="C4490" s="1">
        <v>37.277349851899999</v>
      </c>
      <c r="D4490" s="1">
        <v>-7.0285815464499999</v>
      </c>
      <c r="E4490" s="3">
        <v>1</v>
      </c>
      <c r="F4490" s="2">
        <v>2</v>
      </c>
      <c r="G4490" s="4">
        <v>3</v>
      </c>
      <c r="H4490" s="13">
        <v>2</v>
      </c>
      <c r="I4490" s="34">
        <v>1</v>
      </c>
      <c r="J4490" s="35">
        <v>2</v>
      </c>
      <c r="K4490" s="2" t="s">
        <v>8994</v>
      </c>
      <c r="L4490" s="36" t="str">
        <f t="shared" si="75"/>
        <v>Ver Imagen</v>
      </c>
      <c r="M4490" t="s">
        <v>8005</v>
      </c>
    </row>
    <row r="4491" spans="1:13" x14ac:dyDescent="0.25">
      <c r="A4491" s="33">
        <v>4494</v>
      </c>
      <c r="B4491" t="s">
        <v>8995</v>
      </c>
      <c r="C4491" s="1">
        <v>37.278334386600001</v>
      </c>
      <c r="D4491" s="1">
        <v>-7.0298179964700003</v>
      </c>
      <c r="E4491" s="3">
        <v>1</v>
      </c>
      <c r="F4491" s="2">
        <v>3</v>
      </c>
      <c r="G4491" s="4">
        <v>3</v>
      </c>
      <c r="H4491" s="13">
        <v>1</v>
      </c>
      <c r="I4491" s="34">
        <v>1</v>
      </c>
      <c r="J4491" s="35">
        <v>1</v>
      </c>
      <c r="K4491" s="2" t="s">
        <v>8996</v>
      </c>
      <c r="L4491" s="36" t="str">
        <f t="shared" si="75"/>
        <v>Ver Imagen</v>
      </c>
      <c r="M4491" t="s">
        <v>8005</v>
      </c>
    </row>
    <row r="4492" spans="1:13" x14ac:dyDescent="0.25">
      <c r="A4492" s="33">
        <v>4495</v>
      </c>
      <c r="B4492" t="s">
        <v>8997</v>
      </c>
      <c r="C4492" s="1">
        <v>37.278501168699997</v>
      </c>
      <c r="D4492" s="1">
        <v>-7.02997186184</v>
      </c>
      <c r="E4492" s="3">
        <v>1</v>
      </c>
      <c r="F4492" s="2">
        <v>3</v>
      </c>
      <c r="G4492" s="4">
        <v>3</v>
      </c>
      <c r="H4492" s="13">
        <v>2</v>
      </c>
      <c r="I4492" s="34">
        <v>1</v>
      </c>
      <c r="J4492" s="35">
        <v>2</v>
      </c>
      <c r="K4492" s="2" t="s">
        <v>8998</v>
      </c>
      <c r="L4492" s="36" t="str">
        <f t="shared" si="75"/>
        <v>Ver Imagen</v>
      </c>
      <c r="M4492" t="s">
        <v>8005</v>
      </c>
    </row>
    <row r="4493" spans="1:13" x14ac:dyDescent="0.25">
      <c r="A4493" s="33">
        <v>4496</v>
      </c>
      <c r="B4493" t="s">
        <v>8999</v>
      </c>
      <c r="C4493" s="1">
        <v>37.278665053899999</v>
      </c>
      <c r="D4493" s="1">
        <v>-7.03012298267</v>
      </c>
      <c r="E4493" s="3">
        <v>1</v>
      </c>
      <c r="F4493" s="2">
        <v>2</v>
      </c>
      <c r="G4493" s="4">
        <v>3</v>
      </c>
      <c r="H4493" s="13">
        <v>2</v>
      </c>
      <c r="I4493" s="34">
        <v>1</v>
      </c>
      <c r="J4493" s="35">
        <v>2</v>
      </c>
      <c r="K4493" s="2" t="s">
        <v>9000</v>
      </c>
      <c r="L4493" s="36" t="str">
        <f t="shared" si="75"/>
        <v>Ver Imagen</v>
      </c>
      <c r="M4493" t="s">
        <v>8005</v>
      </c>
    </row>
    <row r="4494" spans="1:13" x14ac:dyDescent="0.25">
      <c r="A4494" s="33">
        <v>4497</v>
      </c>
      <c r="B4494" t="s">
        <v>9001</v>
      </c>
      <c r="C4494" s="1">
        <v>37.280140965699999</v>
      </c>
      <c r="D4494" s="1">
        <v>-7.0314287070699999</v>
      </c>
      <c r="E4494" s="3">
        <v>2</v>
      </c>
      <c r="F4494" s="2">
        <v>4</v>
      </c>
      <c r="G4494" s="4">
        <v>4</v>
      </c>
      <c r="H4494" s="13">
        <v>3</v>
      </c>
      <c r="I4494" s="34">
        <v>4</v>
      </c>
      <c r="J4494" s="35">
        <v>4</v>
      </c>
      <c r="K4494" s="2" t="s">
        <v>9002</v>
      </c>
      <c r="L4494" s="36" t="str">
        <f t="shared" si="75"/>
        <v>Ver Imagen</v>
      </c>
      <c r="M4494" t="s">
        <v>8005</v>
      </c>
    </row>
    <row r="4495" spans="1:13" x14ac:dyDescent="0.25">
      <c r="A4495" s="33">
        <v>4498</v>
      </c>
      <c r="B4495" t="s">
        <v>9003</v>
      </c>
      <c r="C4495" s="1">
        <v>37.281071249199996</v>
      </c>
      <c r="D4495" s="1">
        <v>-7.0319227960999999</v>
      </c>
      <c r="E4495" s="3">
        <v>1</v>
      </c>
      <c r="F4495" s="2">
        <v>2</v>
      </c>
      <c r="G4495" s="4">
        <v>3</v>
      </c>
      <c r="H4495" s="13">
        <v>2</v>
      </c>
      <c r="I4495" s="34">
        <v>1</v>
      </c>
      <c r="J4495" s="35">
        <v>2</v>
      </c>
      <c r="K4495" s="2" t="s">
        <v>9004</v>
      </c>
      <c r="L4495" s="36" t="str">
        <f t="shared" si="75"/>
        <v>Ver Imagen</v>
      </c>
      <c r="M4495" t="s">
        <v>8005</v>
      </c>
    </row>
    <row r="4496" spans="1:13" x14ac:dyDescent="0.25">
      <c r="A4496" s="33">
        <v>4499</v>
      </c>
      <c r="B4496" t="s">
        <v>9005</v>
      </c>
      <c r="C4496" s="1">
        <v>37.281274648199997</v>
      </c>
      <c r="D4496" s="1">
        <v>-7.0320211812200002</v>
      </c>
      <c r="E4496" s="3">
        <v>1</v>
      </c>
      <c r="F4496" s="2">
        <v>3</v>
      </c>
      <c r="G4496" s="4">
        <v>3</v>
      </c>
      <c r="H4496" s="13">
        <v>2</v>
      </c>
      <c r="I4496" s="34">
        <v>1</v>
      </c>
      <c r="J4496" s="35">
        <v>2</v>
      </c>
      <c r="K4496" s="2" t="s">
        <v>9006</v>
      </c>
      <c r="L4496" s="36" t="str">
        <f t="shared" si="75"/>
        <v>Ver Imagen</v>
      </c>
      <c r="M4496" t="s">
        <v>8005</v>
      </c>
    </row>
    <row r="4497" spans="1:13" x14ac:dyDescent="0.25">
      <c r="A4497" s="33">
        <v>4500</v>
      </c>
      <c r="B4497" t="s">
        <v>9007</v>
      </c>
      <c r="C4497" s="1">
        <v>37.281844285399998</v>
      </c>
      <c r="D4497" s="1">
        <v>-7.0323192332</v>
      </c>
      <c r="E4497" s="3">
        <v>1</v>
      </c>
      <c r="F4497" s="2">
        <v>1</v>
      </c>
      <c r="G4497" s="4">
        <v>3</v>
      </c>
      <c r="H4497" s="13">
        <v>2</v>
      </c>
      <c r="I4497" s="34">
        <v>1</v>
      </c>
      <c r="J4497" s="35">
        <v>1</v>
      </c>
      <c r="K4497" s="2" t="s">
        <v>9008</v>
      </c>
      <c r="L4497" s="36" t="str">
        <f t="shared" si="75"/>
        <v>Ver Imagen</v>
      </c>
      <c r="M4497" t="s">
        <v>8005</v>
      </c>
    </row>
    <row r="4498" spans="1:13" x14ac:dyDescent="0.25">
      <c r="A4498" s="33">
        <v>4501</v>
      </c>
      <c r="B4498" t="s">
        <v>9009</v>
      </c>
      <c r="C4498" s="1">
        <v>37.282014281800002</v>
      </c>
      <c r="D4498" s="1">
        <v>-7.0324163822400001</v>
      </c>
      <c r="E4498" s="3">
        <v>1</v>
      </c>
      <c r="F4498" s="2">
        <v>2</v>
      </c>
      <c r="G4498" s="4">
        <v>3</v>
      </c>
      <c r="H4498" s="13">
        <v>2</v>
      </c>
      <c r="I4498" s="34">
        <v>1</v>
      </c>
      <c r="J4498" s="35">
        <v>2</v>
      </c>
      <c r="K4498" s="2" t="s">
        <v>9010</v>
      </c>
      <c r="L4498" s="36" t="str">
        <f t="shared" si="75"/>
        <v>Ver Imagen</v>
      </c>
      <c r="M4498" t="s">
        <v>8005</v>
      </c>
    </row>
    <row r="4499" spans="1:13" x14ac:dyDescent="0.25">
      <c r="A4499" s="33">
        <v>4502</v>
      </c>
      <c r="B4499" t="s">
        <v>9011</v>
      </c>
      <c r="C4499" s="1">
        <v>37.282542735600003</v>
      </c>
      <c r="D4499" s="1">
        <v>-7.0327452990200001</v>
      </c>
      <c r="E4499" s="3">
        <v>1</v>
      </c>
      <c r="F4499" s="2">
        <v>2</v>
      </c>
      <c r="G4499" s="4">
        <v>3</v>
      </c>
      <c r="H4499" s="13">
        <v>1</v>
      </c>
      <c r="I4499" s="34">
        <v>1</v>
      </c>
      <c r="J4499" s="35">
        <v>1</v>
      </c>
      <c r="K4499" s="2" t="s">
        <v>9012</v>
      </c>
      <c r="L4499" s="36" t="str">
        <f t="shared" si="75"/>
        <v>Ver Imagen</v>
      </c>
      <c r="M4499" t="s">
        <v>8005</v>
      </c>
    </row>
    <row r="4500" spans="1:13" x14ac:dyDescent="0.25">
      <c r="A4500" s="33">
        <v>4503</v>
      </c>
      <c r="B4500" t="s">
        <v>9013</v>
      </c>
      <c r="C4500" s="1">
        <v>37.284030827000002</v>
      </c>
      <c r="D4500" s="1">
        <v>-7.0350728790400003</v>
      </c>
      <c r="E4500" s="3">
        <v>1</v>
      </c>
      <c r="F4500" s="2">
        <v>2</v>
      </c>
      <c r="G4500" s="4">
        <v>3</v>
      </c>
      <c r="H4500" s="13">
        <v>2</v>
      </c>
      <c r="I4500" s="34">
        <v>1</v>
      </c>
      <c r="J4500" s="35">
        <v>2</v>
      </c>
      <c r="K4500" s="2" t="s">
        <v>9014</v>
      </c>
      <c r="L4500" s="36" t="str">
        <f t="shared" si="75"/>
        <v>Ver Imagen</v>
      </c>
      <c r="M4500" t="s">
        <v>8005</v>
      </c>
    </row>
    <row r="4501" spans="1:13" x14ac:dyDescent="0.25">
      <c r="A4501" s="33">
        <v>4504</v>
      </c>
      <c r="B4501" t="s">
        <v>9015</v>
      </c>
      <c r="C4501" s="1">
        <v>37.284068630599997</v>
      </c>
      <c r="D4501" s="1">
        <v>-7.0353160429899999</v>
      </c>
      <c r="E4501" s="3">
        <v>1</v>
      </c>
      <c r="F4501" s="2">
        <v>2</v>
      </c>
      <c r="G4501" s="4">
        <v>3</v>
      </c>
      <c r="H4501" s="13">
        <v>2</v>
      </c>
      <c r="I4501" s="34">
        <v>1</v>
      </c>
      <c r="J4501" s="35">
        <v>2</v>
      </c>
      <c r="K4501" s="2" t="s">
        <v>9016</v>
      </c>
      <c r="L4501" s="36" t="str">
        <f t="shared" si="75"/>
        <v>Ver Imagen</v>
      </c>
      <c r="M4501" t="s">
        <v>8005</v>
      </c>
    </row>
    <row r="4502" spans="1:13" x14ac:dyDescent="0.25">
      <c r="A4502" s="33">
        <v>4505</v>
      </c>
      <c r="B4502" t="s">
        <v>9017</v>
      </c>
      <c r="C4502" s="1">
        <v>37.284093046300001</v>
      </c>
      <c r="D4502" s="1">
        <v>-7.0355766860899998</v>
      </c>
      <c r="E4502" s="3">
        <v>1</v>
      </c>
      <c r="F4502" s="2">
        <v>2</v>
      </c>
      <c r="G4502" s="4">
        <v>3</v>
      </c>
      <c r="H4502" s="13">
        <v>2</v>
      </c>
      <c r="I4502" s="34">
        <v>1</v>
      </c>
      <c r="J4502" s="35">
        <v>2</v>
      </c>
      <c r="K4502" s="2" t="s">
        <v>9018</v>
      </c>
      <c r="L4502" s="36" t="str">
        <f t="shared" si="75"/>
        <v>Ver Imagen</v>
      </c>
      <c r="M4502" t="s">
        <v>8005</v>
      </c>
    </row>
    <row r="4503" spans="1:13" x14ac:dyDescent="0.25">
      <c r="A4503" s="33">
        <v>4506</v>
      </c>
      <c r="B4503" t="s">
        <v>9019</v>
      </c>
      <c r="C4503" s="1">
        <v>37.284105841600002</v>
      </c>
      <c r="D4503" s="1">
        <v>-7.0361148199299999</v>
      </c>
      <c r="E4503" s="3">
        <v>1</v>
      </c>
      <c r="F4503" s="2">
        <v>2</v>
      </c>
      <c r="G4503" s="4">
        <v>3</v>
      </c>
      <c r="H4503" s="13">
        <v>2</v>
      </c>
      <c r="I4503" s="34">
        <v>1</v>
      </c>
      <c r="J4503" s="35">
        <v>2</v>
      </c>
      <c r="K4503" s="2" t="s">
        <v>9020</v>
      </c>
      <c r="L4503" s="36" t="str">
        <f t="shared" si="75"/>
        <v>Ver Imagen</v>
      </c>
      <c r="M4503" t="s">
        <v>8005</v>
      </c>
    </row>
    <row r="4504" spans="1:13" x14ac:dyDescent="0.25">
      <c r="A4504" s="33">
        <v>4507</v>
      </c>
      <c r="B4504" t="s">
        <v>9021</v>
      </c>
      <c r="C4504" s="1">
        <v>37.284104073899996</v>
      </c>
      <c r="D4504" s="1">
        <v>-7.0363499322800003</v>
      </c>
      <c r="E4504" s="3">
        <v>1</v>
      </c>
      <c r="F4504" s="2">
        <v>3</v>
      </c>
      <c r="G4504" s="4">
        <v>3</v>
      </c>
      <c r="H4504" s="13">
        <v>2</v>
      </c>
      <c r="I4504" s="34">
        <v>1</v>
      </c>
      <c r="J4504" s="35">
        <v>2</v>
      </c>
      <c r="K4504" s="2" t="s">
        <v>9022</v>
      </c>
      <c r="L4504" s="36" t="str">
        <f t="shared" si="75"/>
        <v>Ver Imagen</v>
      </c>
      <c r="M4504" t="s">
        <v>8005</v>
      </c>
    </row>
    <row r="4505" spans="1:13" x14ac:dyDescent="0.25">
      <c r="A4505" s="33">
        <v>4508</v>
      </c>
      <c r="B4505" t="s">
        <v>9023</v>
      </c>
      <c r="C4505" s="1">
        <v>37.284138338600002</v>
      </c>
      <c r="D4505" s="1">
        <v>-7.0371034395300001</v>
      </c>
      <c r="E4505" s="3">
        <v>1</v>
      </c>
      <c r="F4505" s="2">
        <v>2</v>
      </c>
      <c r="G4505" s="4">
        <v>3</v>
      </c>
      <c r="H4505" s="13">
        <v>2</v>
      </c>
      <c r="I4505" s="34">
        <v>1</v>
      </c>
      <c r="J4505" s="35">
        <v>2</v>
      </c>
      <c r="K4505" s="2" t="s">
        <v>9024</v>
      </c>
      <c r="L4505" s="36" t="str">
        <f t="shared" si="75"/>
        <v>Ver Imagen</v>
      </c>
      <c r="M4505" t="s">
        <v>8005</v>
      </c>
    </row>
    <row r="4506" spans="1:13" x14ac:dyDescent="0.25">
      <c r="A4506" s="33">
        <v>4509</v>
      </c>
      <c r="B4506" t="s">
        <v>9025</v>
      </c>
      <c r="C4506" s="1">
        <v>37.284171631299998</v>
      </c>
      <c r="D4506" s="1">
        <v>-7.0373234483599996</v>
      </c>
      <c r="E4506" s="3">
        <v>1</v>
      </c>
      <c r="F4506" s="2">
        <v>2</v>
      </c>
      <c r="G4506" s="4">
        <v>3</v>
      </c>
      <c r="H4506" s="13">
        <v>2</v>
      </c>
      <c r="I4506" s="34">
        <v>1</v>
      </c>
      <c r="J4506" s="35">
        <v>2</v>
      </c>
      <c r="K4506" s="2" t="s">
        <v>9026</v>
      </c>
      <c r="L4506" s="36" t="str">
        <f t="shared" si="75"/>
        <v>Ver Imagen</v>
      </c>
      <c r="M4506" t="s">
        <v>8005</v>
      </c>
    </row>
    <row r="4507" spans="1:13" x14ac:dyDescent="0.25">
      <c r="A4507" s="33">
        <v>4510</v>
      </c>
      <c r="B4507" t="s">
        <v>9027</v>
      </c>
      <c r="C4507" s="1">
        <v>37.284727959400001</v>
      </c>
      <c r="D4507" s="1">
        <v>-7.0395154636999999</v>
      </c>
      <c r="E4507" s="3">
        <v>2</v>
      </c>
      <c r="F4507" s="2">
        <v>2</v>
      </c>
      <c r="G4507" s="4">
        <v>4</v>
      </c>
      <c r="H4507" s="13">
        <v>2</v>
      </c>
      <c r="I4507" s="34">
        <v>1</v>
      </c>
      <c r="J4507" s="35">
        <v>2</v>
      </c>
      <c r="K4507" s="2" t="s">
        <v>9028</v>
      </c>
      <c r="L4507" s="36" t="str">
        <f t="shared" si="75"/>
        <v>Ver Imagen</v>
      </c>
      <c r="M4507" t="s">
        <v>8005</v>
      </c>
    </row>
    <row r="4508" spans="1:13" x14ac:dyDescent="0.25">
      <c r="A4508" s="33">
        <v>4511</v>
      </c>
      <c r="B4508" t="s">
        <v>9029</v>
      </c>
      <c r="C4508" s="1">
        <v>37.285366423699998</v>
      </c>
      <c r="D4508" s="1">
        <v>-7.0407536137899998</v>
      </c>
      <c r="E4508" s="3">
        <v>1</v>
      </c>
      <c r="F4508" s="2">
        <v>2</v>
      </c>
      <c r="G4508" s="4">
        <v>3</v>
      </c>
      <c r="H4508" s="13">
        <v>3</v>
      </c>
      <c r="I4508" s="34">
        <v>2</v>
      </c>
      <c r="J4508" s="35">
        <v>2</v>
      </c>
      <c r="K4508" s="2" t="s">
        <v>9030</v>
      </c>
      <c r="L4508" s="36" t="str">
        <f t="shared" ref="L4508:L4571" si="76">HYPERLINK("NoConsenso\" &amp; K4508, "Ver Imagen")</f>
        <v>Ver Imagen</v>
      </c>
      <c r="M4508" t="s">
        <v>8005</v>
      </c>
    </row>
    <row r="4509" spans="1:13" x14ac:dyDescent="0.25">
      <c r="A4509" s="33">
        <v>4512</v>
      </c>
      <c r="B4509" t="s">
        <v>9031</v>
      </c>
      <c r="C4509" s="1">
        <v>37.286368406199998</v>
      </c>
      <c r="D4509" s="1">
        <v>-7.0416489169799998</v>
      </c>
      <c r="E4509" s="3">
        <v>1</v>
      </c>
      <c r="F4509" s="2">
        <v>2</v>
      </c>
      <c r="G4509" s="4">
        <v>3</v>
      </c>
      <c r="H4509" s="13">
        <v>2</v>
      </c>
      <c r="I4509" s="34">
        <v>2</v>
      </c>
      <c r="J4509" s="35">
        <v>2</v>
      </c>
      <c r="K4509" s="2" t="s">
        <v>9032</v>
      </c>
      <c r="L4509" s="36" t="str">
        <f t="shared" si="76"/>
        <v>Ver Imagen</v>
      </c>
      <c r="M4509" t="s">
        <v>8005</v>
      </c>
    </row>
    <row r="4510" spans="1:13" x14ac:dyDescent="0.25">
      <c r="A4510" s="33">
        <v>4513</v>
      </c>
      <c r="B4510" t="s">
        <v>9033</v>
      </c>
      <c r="C4510" s="1">
        <v>37.288981164399999</v>
      </c>
      <c r="D4510" s="1">
        <v>-7.0434193008200001</v>
      </c>
      <c r="E4510" s="3">
        <v>1</v>
      </c>
      <c r="F4510" s="2">
        <v>3</v>
      </c>
      <c r="G4510" s="4">
        <v>3</v>
      </c>
      <c r="H4510" s="13">
        <v>2</v>
      </c>
      <c r="I4510" s="34">
        <v>1</v>
      </c>
      <c r="J4510" s="35">
        <v>2</v>
      </c>
      <c r="K4510" s="2" t="s">
        <v>9034</v>
      </c>
      <c r="L4510" s="36" t="str">
        <f t="shared" si="76"/>
        <v>Ver Imagen</v>
      </c>
      <c r="M4510" t="s">
        <v>8005</v>
      </c>
    </row>
    <row r="4511" spans="1:13" x14ac:dyDescent="0.25">
      <c r="A4511" s="33">
        <v>4514</v>
      </c>
      <c r="B4511" t="s">
        <v>9035</v>
      </c>
      <c r="C4511" s="1">
        <v>37.289492130299998</v>
      </c>
      <c r="D4511" s="1">
        <v>-7.0442161608699996</v>
      </c>
      <c r="E4511" s="3">
        <v>1</v>
      </c>
      <c r="F4511" s="2">
        <v>2</v>
      </c>
      <c r="G4511" s="4">
        <v>3</v>
      </c>
      <c r="H4511" s="13">
        <v>2</v>
      </c>
      <c r="I4511" s="34">
        <v>1</v>
      </c>
      <c r="J4511" s="35">
        <v>2</v>
      </c>
      <c r="K4511" s="2" t="s">
        <v>9036</v>
      </c>
      <c r="L4511" s="36" t="str">
        <f t="shared" si="76"/>
        <v>Ver Imagen</v>
      </c>
      <c r="M4511" t="s">
        <v>8005</v>
      </c>
    </row>
    <row r="4512" spans="1:13" x14ac:dyDescent="0.25">
      <c r="A4512" s="33">
        <v>4515</v>
      </c>
      <c r="B4512" t="s">
        <v>9037</v>
      </c>
      <c r="C4512" s="1">
        <v>37.289646183099997</v>
      </c>
      <c r="D4512" s="1">
        <v>-7.0444313156299998</v>
      </c>
      <c r="E4512" s="3">
        <v>1</v>
      </c>
      <c r="F4512" s="2">
        <v>1</v>
      </c>
      <c r="G4512" s="4">
        <v>3</v>
      </c>
      <c r="H4512" s="13">
        <v>2</v>
      </c>
      <c r="I4512" s="34">
        <v>2</v>
      </c>
      <c r="J4512" s="35">
        <v>2</v>
      </c>
      <c r="K4512" s="2" t="s">
        <v>9038</v>
      </c>
      <c r="L4512" s="36" t="str">
        <f t="shared" si="76"/>
        <v>Ver Imagen</v>
      </c>
      <c r="M4512" t="s">
        <v>8005</v>
      </c>
    </row>
    <row r="4513" spans="1:13" x14ac:dyDescent="0.25">
      <c r="A4513" s="33">
        <v>4516</v>
      </c>
      <c r="B4513" t="s">
        <v>9039</v>
      </c>
      <c r="C4513" s="1">
        <v>37.290426994000001</v>
      </c>
      <c r="D4513" s="1">
        <v>-7.0451675554099999</v>
      </c>
      <c r="E4513" s="3">
        <v>1</v>
      </c>
      <c r="F4513" s="2">
        <v>2</v>
      </c>
      <c r="G4513" s="4">
        <v>3</v>
      </c>
      <c r="H4513" s="13">
        <v>3</v>
      </c>
      <c r="I4513" s="34">
        <v>2</v>
      </c>
      <c r="J4513" s="35">
        <v>2</v>
      </c>
      <c r="K4513" s="2" t="s">
        <v>9040</v>
      </c>
      <c r="L4513" s="36" t="str">
        <f t="shared" si="76"/>
        <v>Ver Imagen</v>
      </c>
      <c r="M4513" t="s">
        <v>8005</v>
      </c>
    </row>
    <row r="4514" spans="1:13" x14ac:dyDescent="0.25">
      <c r="A4514" s="33">
        <v>4517</v>
      </c>
      <c r="B4514" t="s">
        <v>9041</v>
      </c>
      <c r="C4514" s="1">
        <v>37.290809697500002</v>
      </c>
      <c r="D4514" s="1">
        <v>-7.0453318880799998</v>
      </c>
      <c r="E4514" s="3">
        <v>1</v>
      </c>
      <c r="F4514" s="2">
        <v>2</v>
      </c>
      <c r="G4514" s="4">
        <v>3</v>
      </c>
      <c r="H4514" s="13">
        <v>2</v>
      </c>
      <c r="I4514" s="34">
        <v>1</v>
      </c>
      <c r="J4514" s="35">
        <v>2</v>
      </c>
      <c r="K4514" s="2" t="s">
        <v>9042</v>
      </c>
      <c r="L4514" s="36" t="str">
        <f t="shared" si="76"/>
        <v>Ver Imagen</v>
      </c>
      <c r="M4514" t="s">
        <v>8005</v>
      </c>
    </row>
    <row r="4515" spans="1:13" x14ac:dyDescent="0.25">
      <c r="A4515" s="33">
        <v>4518</v>
      </c>
      <c r="B4515" t="s">
        <v>9043</v>
      </c>
      <c r="C4515" s="1">
        <v>37.290999149100003</v>
      </c>
      <c r="D4515" s="1">
        <v>-7.0453800424699997</v>
      </c>
      <c r="E4515" s="3">
        <v>1</v>
      </c>
      <c r="F4515" s="2">
        <v>2</v>
      </c>
      <c r="G4515" s="4">
        <v>3</v>
      </c>
      <c r="H4515" s="13">
        <v>2</v>
      </c>
      <c r="I4515" s="34">
        <v>1</v>
      </c>
      <c r="J4515" s="35">
        <v>2</v>
      </c>
      <c r="K4515" s="2" t="s">
        <v>9044</v>
      </c>
      <c r="L4515" s="36" t="str">
        <f t="shared" si="76"/>
        <v>Ver Imagen</v>
      </c>
      <c r="M4515" t="s">
        <v>8005</v>
      </c>
    </row>
    <row r="4516" spans="1:13" x14ac:dyDescent="0.25">
      <c r="A4516" s="33">
        <v>4519</v>
      </c>
      <c r="B4516" t="s">
        <v>9045</v>
      </c>
      <c r="C4516" s="1">
        <v>37.291393483</v>
      </c>
      <c r="D4516" s="1">
        <v>-7.0454451147099997</v>
      </c>
      <c r="E4516" s="3">
        <v>1</v>
      </c>
      <c r="F4516" s="2">
        <v>2</v>
      </c>
      <c r="G4516" s="4">
        <v>3</v>
      </c>
      <c r="H4516" s="13">
        <v>3</v>
      </c>
      <c r="I4516" s="34">
        <v>2</v>
      </c>
      <c r="J4516" s="37">
        <v>3</v>
      </c>
      <c r="K4516" s="2" t="s">
        <v>9046</v>
      </c>
      <c r="L4516" s="36" t="str">
        <f t="shared" si="76"/>
        <v>Ver Imagen</v>
      </c>
      <c r="M4516" s="37" t="s">
        <v>8052</v>
      </c>
    </row>
    <row r="4517" spans="1:13" x14ac:dyDescent="0.25">
      <c r="A4517" s="33">
        <v>4520</v>
      </c>
      <c r="B4517" t="s">
        <v>9047</v>
      </c>
      <c r="C4517" s="1">
        <v>37.291583162199998</v>
      </c>
      <c r="D4517" s="1">
        <v>-7.0454714113000003</v>
      </c>
      <c r="E4517" s="3">
        <v>1</v>
      </c>
      <c r="F4517" s="2">
        <v>3</v>
      </c>
      <c r="G4517" s="4">
        <v>2</v>
      </c>
      <c r="H4517" s="13">
        <v>2</v>
      </c>
      <c r="I4517" s="34">
        <v>1</v>
      </c>
      <c r="J4517" s="35">
        <v>2</v>
      </c>
      <c r="K4517" s="2" t="s">
        <v>9048</v>
      </c>
      <c r="L4517" s="36" t="str">
        <f t="shared" si="76"/>
        <v>Ver Imagen</v>
      </c>
      <c r="M4517" t="s">
        <v>8005</v>
      </c>
    </row>
    <row r="4518" spans="1:13" x14ac:dyDescent="0.25">
      <c r="A4518" s="33">
        <v>4521</v>
      </c>
      <c r="B4518" t="s">
        <v>9049</v>
      </c>
      <c r="C4518" s="1">
        <v>37.2917957688</v>
      </c>
      <c r="D4518" s="1">
        <v>-7.0455052102</v>
      </c>
      <c r="E4518" s="3">
        <v>1</v>
      </c>
      <c r="F4518" s="2">
        <v>3</v>
      </c>
      <c r="G4518" s="4">
        <v>3</v>
      </c>
      <c r="H4518" s="13">
        <v>2</v>
      </c>
      <c r="I4518" s="34">
        <v>2</v>
      </c>
      <c r="J4518" s="35">
        <v>2</v>
      </c>
      <c r="K4518" s="2" t="s">
        <v>9050</v>
      </c>
      <c r="L4518" s="36" t="str">
        <f t="shared" si="76"/>
        <v>Ver Imagen</v>
      </c>
      <c r="M4518" t="s">
        <v>8005</v>
      </c>
    </row>
    <row r="4519" spans="1:13" x14ac:dyDescent="0.25">
      <c r="A4519" s="33">
        <v>4522</v>
      </c>
      <c r="B4519" t="s">
        <v>9051</v>
      </c>
      <c r="C4519" s="1">
        <v>37.292020571199998</v>
      </c>
      <c r="D4519" s="1">
        <v>-7.0455505433700001</v>
      </c>
      <c r="E4519" s="3">
        <v>1</v>
      </c>
      <c r="F4519" s="2">
        <v>2</v>
      </c>
      <c r="G4519" s="4">
        <v>3</v>
      </c>
      <c r="H4519" s="13">
        <v>2</v>
      </c>
      <c r="I4519" s="34">
        <v>1</v>
      </c>
      <c r="J4519" s="35">
        <v>2</v>
      </c>
      <c r="K4519" s="2" t="s">
        <v>9052</v>
      </c>
      <c r="L4519" s="36" t="str">
        <f t="shared" si="76"/>
        <v>Ver Imagen</v>
      </c>
      <c r="M4519" t="s">
        <v>8005</v>
      </c>
    </row>
    <row r="4520" spans="1:13" x14ac:dyDescent="0.25">
      <c r="A4520" s="33">
        <v>4523</v>
      </c>
      <c r="B4520" t="s">
        <v>9053</v>
      </c>
      <c r="C4520" s="1">
        <v>37.292229388700001</v>
      </c>
      <c r="D4520" s="1">
        <v>-7.0456065693100003</v>
      </c>
      <c r="E4520" s="3">
        <v>1</v>
      </c>
      <c r="F4520" s="2">
        <v>2</v>
      </c>
      <c r="G4520" s="4">
        <v>3</v>
      </c>
      <c r="H4520" s="13">
        <v>2</v>
      </c>
      <c r="I4520" s="34">
        <v>1</v>
      </c>
      <c r="J4520" s="35">
        <v>2</v>
      </c>
      <c r="K4520" s="2" t="s">
        <v>9054</v>
      </c>
      <c r="L4520" s="36" t="str">
        <f t="shared" si="76"/>
        <v>Ver Imagen</v>
      </c>
      <c r="M4520" t="s">
        <v>8005</v>
      </c>
    </row>
    <row r="4521" spans="1:13" x14ac:dyDescent="0.25">
      <c r="A4521" s="33">
        <v>4524</v>
      </c>
      <c r="B4521" t="s">
        <v>9055</v>
      </c>
      <c r="C4521" s="1">
        <v>37.292414231800002</v>
      </c>
      <c r="D4521" s="1">
        <v>-7.04567380672</v>
      </c>
      <c r="E4521" s="3">
        <v>2</v>
      </c>
      <c r="F4521" s="2">
        <v>2</v>
      </c>
      <c r="G4521" s="4">
        <v>4</v>
      </c>
      <c r="H4521" s="13">
        <v>2</v>
      </c>
      <c r="I4521" s="34">
        <v>2</v>
      </c>
      <c r="J4521" s="35">
        <v>2</v>
      </c>
      <c r="K4521" s="2" t="s">
        <v>9056</v>
      </c>
      <c r="L4521" s="36" t="str">
        <f t="shared" si="76"/>
        <v>Ver Imagen</v>
      </c>
      <c r="M4521" t="s">
        <v>8005</v>
      </c>
    </row>
    <row r="4522" spans="1:13" x14ac:dyDescent="0.25">
      <c r="A4522" s="33">
        <v>4525</v>
      </c>
      <c r="B4522" t="s">
        <v>9057</v>
      </c>
      <c r="C4522" s="1">
        <v>37.2927437815</v>
      </c>
      <c r="D4522" s="1">
        <v>-7.0458486278799999</v>
      </c>
      <c r="E4522" s="3">
        <v>1</v>
      </c>
      <c r="F4522" s="2">
        <v>2</v>
      </c>
      <c r="G4522" s="4">
        <v>3</v>
      </c>
      <c r="H4522" s="13">
        <v>2</v>
      </c>
      <c r="I4522" s="34">
        <v>1</v>
      </c>
      <c r="J4522" s="35">
        <v>2</v>
      </c>
      <c r="K4522" s="2" t="s">
        <v>9058</v>
      </c>
      <c r="L4522" s="36" t="str">
        <f t="shared" si="76"/>
        <v>Ver Imagen</v>
      </c>
      <c r="M4522" t="s">
        <v>8005</v>
      </c>
    </row>
    <row r="4523" spans="1:13" x14ac:dyDescent="0.25">
      <c r="A4523" s="33">
        <v>4526</v>
      </c>
      <c r="B4523" t="s">
        <v>9059</v>
      </c>
      <c r="C4523" s="1">
        <v>37.292938444900003</v>
      </c>
      <c r="D4523" s="1">
        <v>-7.0459918219400004</v>
      </c>
      <c r="E4523" s="3">
        <v>1</v>
      </c>
      <c r="F4523" s="2">
        <v>3</v>
      </c>
      <c r="G4523" s="4">
        <v>3</v>
      </c>
      <c r="H4523" s="13">
        <v>2</v>
      </c>
      <c r="I4523" s="34">
        <v>1</v>
      </c>
      <c r="J4523" s="35">
        <v>2</v>
      </c>
      <c r="K4523" s="2" t="s">
        <v>9060</v>
      </c>
      <c r="L4523" s="36" t="str">
        <f t="shared" si="76"/>
        <v>Ver Imagen</v>
      </c>
      <c r="M4523" t="s">
        <v>8005</v>
      </c>
    </row>
    <row r="4524" spans="1:13" x14ac:dyDescent="0.25">
      <c r="A4524" s="33">
        <v>4527</v>
      </c>
      <c r="B4524" t="s">
        <v>9061</v>
      </c>
      <c r="C4524" s="1">
        <v>37.295077269899998</v>
      </c>
      <c r="D4524" s="1">
        <v>-7.0487204858399997</v>
      </c>
      <c r="E4524" s="3">
        <v>2</v>
      </c>
      <c r="F4524" s="2">
        <v>3</v>
      </c>
      <c r="G4524" s="4">
        <v>4</v>
      </c>
      <c r="H4524" s="13">
        <v>3</v>
      </c>
      <c r="I4524" s="34">
        <v>3</v>
      </c>
      <c r="J4524" s="35">
        <v>3</v>
      </c>
      <c r="K4524" s="2" t="s">
        <v>9062</v>
      </c>
      <c r="L4524" s="36" t="str">
        <f t="shared" si="76"/>
        <v>Ver Imagen</v>
      </c>
      <c r="M4524" t="s">
        <v>8005</v>
      </c>
    </row>
    <row r="4525" spans="1:13" x14ac:dyDescent="0.25">
      <c r="A4525" s="33">
        <v>4528</v>
      </c>
      <c r="B4525" t="s">
        <v>9063</v>
      </c>
      <c r="C4525" s="1">
        <v>37.295204323199997</v>
      </c>
      <c r="D4525" s="1">
        <v>-7.0488766698500003</v>
      </c>
      <c r="E4525" s="3">
        <v>2</v>
      </c>
      <c r="F4525" s="2">
        <v>2</v>
      </c>
      <c r="G4525" s="4">
        <v>4</v>
      </c>
      <c r="H4525" s="13">
        <v>3</v>
      </c>
      <c r="I4525" s="34">
        <v>2</v>
      </c>
      <c r="J4525" s="35">
        <v>2</v>
      </c>
      <c r="K4525" s="2" t="s">
        <v>9064</v>
      </c>
      <c r="L4525" s="36" t="str">
        <f t="shared" si="76"/>
        <v>Ver Imagen</v>
      </c>
      <c r="M4525" t="s">
        <v>8005</v>
      </c>
    </row>
    <row r="4526" spans="1:13" x14ac:dyDescent="0.25">
      <c r="A4526" s="33">
        <v>4529</v>
      </c>
      <c r="B4526" t="s">
        <v>9065</v>
      </c>
      <c r="C4526" s="1">
        <v>37.2965488221</v>
      </c>
      <c r="D4526" s="1">
        <v>-7.0504573180700003</v>
      </c>
      <c r="E4526" s="3">
        <v>1</v>
      </c>
      <c r="F4526" s="2">
        <v>2</v>
      </c>
      <c r="G4526" s="4">
        <v>3</v>
      </c>
      <c r="H4526" s="13">
        <v>2</v>
      </c>
      <c r="I4526" s="34">
        <v>2</v>
      </c>
      <c r="J4526" s="35">
        <v>2</v>
      </c>
      <c r="K4526" s="2" t="s">
        <v>9066</v>
      </c>
      <c r="L4526" s="36" t="str">
        <f t="shared" si="76"/>
        <v>Ver Imagen</v>
      </c>
      <c r="M4526" t="s">
        <v>8005</v>
      </c>
    </row>
    <row r="4527" spans="1:13" x14ac:dyDescent="0.25">
      <c r="A4527" s="33">
        <v>4530</v>
      </c>
      <c r="B4527" t="s">
        <v>9067</v>
      </c>
      <c r="C4527" s="1">
        <v>37.2972310384</v>
      </c>
      <c r="D4527" s="1">
        <v>-7.0519772061300001</v>
      </c>
      <c r="E4527" s="3">
        <v>1</v>
      </c>
      <c r="F4527" s="2">
        <v>3</v>
      </c>
      <c r="G4527" s="4">
        <v>3</v>
      </c>
      <c r="H4527" s="13">
        <v>2</v>
      </c>
      <c r="I4527" s="34">
        <v>1</v>
      </c>
      <c r="J4527" s="35">
        <v>2</v>
      </c>
      <c r="K4527" s="2" t="s">
        <v>9068</v>
      </c>
      <c r="L4527" s="36" t="str">
        <f t="shared" si="76"/>
        <v>Ver Imagen</v>
      </c>
      <c r="M4527" t="s">
        <v>8005</v>
      </c>
    </row>
    <row r="4528" spans="1:13" x14ac:dyDescent="0.25">
      <c r="A4528" s="33">
        <v>4531</v>
      </c>
      <c r="B4528" t="s">
        <v>9069</v>
      </c>
      <c r="C4528" s="1">
        <v>37.297484930000003</v>
      </c>
      <c r="D4528" s="1">
        <v>-7.0527162171700004</v>
      </c>
      <c r="E4528" s="3">
        <v>1</v>
      </c>
      <c r="F4528" s="2">
        <v>1</v>
      </c>
      <c r="G4528" s="4">
        <v>3</v>
      </c>
      <c r="H4528" s="13">
        <v>2</v>
      </c>
      <c r="I4528" s="34">
        <v>1</v>
      </c>
      <c r="J4528" s="35">
        <v>1</v>
      </c>
      <c r="K4528" s="2" t="s">
        <v>9070</v>
      </c>
      <c r="L4528" s="36" t="str">
        <f t="shared" si="76"/>
        <v>Ver Imagen</v>
      </c>
      <c r="M4528" t="s">
        <v>8005</v>
      </c>
    </row>
    <row r="4529" spans="1:13" x14ac:dyDescent="0.25">
      <c r="A4529" s="33">
        <v>4532</v>
      </c>
      <c r="B4529" t="s">
        <v>9071</v>
      </c>
      <c r="C4529" s="1">
        <v>37.298109839200002</v>
      </c>
      <c r="D4529" s="1">
        <v>-7.0536696979700002</v>
      </c>
      <c r="E4529" s="3">
        <v>1</v>
      </c>
      <c r="F4529" s="2">
        <v>3</v>
      </c>
      <c r="G4529" s="4">
        <v>3</v>
      </c>
      <c r="H4529" s="13">
        <v>2</v>
      </c>
      <c r="I4529" s="34">
        <v>1</v>
      </c>
      <c r="J4529" s="35">
        <v>2</v>
      </c>
      <c r="K4529" s="2" t="s">
        <v>9072</v>
      </c>
      <c r="L4529" s="36" t="str">
        <f t="shared" si="76"/>
        <v>Ver Imagen</v>
      </c>
      <c r="M4529" t="s">
        <v>8005</v>
      </c>
    </row>
    <row r="4530" spans="1:13" x14ac:dyDescent="0.25">
      <c r="A4530" s="33">
        <v>4533</v>
      </c>
      <c r="B4530" t="s">
        <v>9073</v>
      </c>
      <c r="C4530" s="1">
        <v>37.298287941200002</v>
      </c>
      <c r="D4530" s="1">
        <v>-7.05382536757</v>
      </c>
      <c r="E4530" s="3">
        <v>1</v>
      </c>
      <c r="F4530" s="2">
        <v>2</v>
      </c>
      <c r="G4530" s="4">
        <v>3</v>
      </c>
      <c r="H4530" s="13">
        <v>2</v>
      </c>
      <c r="I4530" s="34">
        <v>1</v>
      </c>
      <c r="J4530" s="35">
        <v>2</v>
      </c>
      <c r="K4530" s="2" t="s">
        <v>9074</v>
      </c>
      <c r="L4530" s="36" t="str">
        <f t="shared" si="76"/>
        <v>Ver Imagen</v>
      </c>
      <c r="M4530" t="s">
        <v>8005</v>
      </c>
    </row>
    <row r="4531" spans="1:13" x14ac:dyDescent="0.25">
      <c r="A4531" s="33">
        <v>4534</v>
      </c>
      <c r="B4531" t="s">
        <v>9075</v>
      </c>
      <c r="C4531" s="1">
        <v>37.298629755599997</v>
      </c>
      <c r="D4531" s="1">
        <v>-7.0540672950900003</v>
      </c>
      <c r="E4531" s="3">
        <v>1</v>
      </c>
      <c r="F4531" s="2">
        <v>2</v>
      </c>
      <c r="G4531" s="4">
        <v>3</v>
      </c>
      <c r="H4531" s="13">
        <v>2</v>
      </c>
      <c r="I4531" s="34">
        <v>1</v>
      </c>
      <c r="J4531" s="35">
        <v>2</v>
      </c>
      <c r="K4531" s="2" t="s">
        <v>9076</v>
      </c>
      <c r="L4531" s="36" t="str">
        <f t="shared" si="76"/>
        <v>Ver Imagen</v>
      </c>
      <c r="M4531" t="s">
        <v>8005</v>
      </c>
    </row>
    <row r="4532" spans="1:13" x14ac:dyDescent="0.25">
      <c r="A4532" s="33">
        <v>4535</v>
      </c>
      <c r="B4532" t="s">
        <v>9077</v>
      </c>
      <c r="C4532" s="1">
        <v>37.299153603599997</v>
      </c>
      <c r="D4532" s="1">
        <v>-7.0543928903199999</v>
      </c>
      <c r="E4532" s="3">
        <v>1</v>
      </c>
      <c r="F4532" s="2">
        <v>2</v>
      </c>
      <c r="G4532" s="4">
        <v>3</v>
      </c>
      <c r="H4532" s="13">
        <v>2</v>
      </c>
      <c r="I4532" s="34">
        <v>1</v>
      </c>
      <c r="J4532" s="35">
        <v>2</v>
      </c>
      <c r="K4532" s="2" t="s">
        <v>9078</v>
      </c>
      <c r="L4532" s="36" t="str">
        <f t="shared" si="76"/>
        <v>Ver Imagen</v>
      </c>
      <c r="M4532" t="s">
        <v>8005</v>
      </c>
    </row>
    <row r="4533" spans="1:13" x14ac:dyDescent="0.25">
      <c r="A4533" s="33">
        <v>4536</v>
      </c>
      <c r="B4533" t="s">
        <v>9079</v>
      </c>
      <c r="C4533" s="1">
        <v>37.306923176200002</v>
      </c>
      <c r="D4533" s="1">
        <v>-7.0568669317900001</v>
      </c>
      <c r="E4533" s="3">
        <v>1</v>
      </c>
      <c r="F4533" s="2">
        <v>2</v>
      </c>
      <c r="G4533" s="4">
        <v>3</v>
      </c>
      <c r="H4533" s="13">
        <v>1</v>
      </c>
      <c r="I4533" s="34">
        <v>1</v>
      </c>
      <c r="J4533" s="35">
        <v>1</v>
      </c>
      <c r="K4533" s="2" t="s">
        <v>9080</v>
      </c>
      <c r="L4533" s="36" t="str">
        <f t="shared" si="76"/>
        <v>Ver Imagen</v>
      </c>
      <c r="M4533" t="s">
        <v>8005</v>
      </c>
    </row>
    <row r="4534" spans="1:13" x14ac:dyDescent="0.25">
      <c r="A4534" s="33">
        <v>4537</v>
      </c>
      <c r="B4534" t="s">
        <v>9081</v>
      </c>
      <c r="C4534" s="1">
        <v>37.310446097400003</v>
      </c>
      <c r="D4534" s="1">
        <v>-7.05861310468</v>
      </c>
      <c r="E4534" s="3">
        <v>1</v>
      </c>
      <c r="F4534" s="2">
        <v>2</v>
      </c>
      <c r="G4534" s="4">
        <v>3</v>
      </c>
      <c r="H4534" s="13">
        <v>1</v>
      </c>
      <c r="I4534" s="34">
        <v>1</v>
      </c>
      <c r="J4534" s="35">
        <v>1</v>
      </c>
      <c r="K4534" s="2" t="s">
        <v>9082</v>
      </c>
      <c r="L4534" s="36" t="str">
        <f t="shared" si="76"/>
        <v>Ver Imagen</v>
      </c>
      <c r="M4534" t="s">
        <v>8005</v>
      </c>
    </row>
    <row r="4535" spans="1:13" x14ac:dyDescent="0.25">
      <c r="A4535" s="33">
        <v>4538</v>
      </c>
      <c r="B4535" t="s">
        <v>9083</v>
      </c>
      <c r="C4535" s="1">
        <v>37.311122973099998</v>
      </c>
      <c r="D4535" s="1">
        <v>-7.0591903348300002</v>
      </c>
      <c r="E4535" s="3">
        <v>1</v>
      </c>
      <c r="F4535" s="2">
        <v>2</v>
      </c>
      <c r="G4535" s="4">
        <v>3</v>
      </c>
      <c r="H4535" s="13">
        <v>1</v>
      </c>
      <c r="I4535" s="34">
        <v>2</v>
      </c>
      <c r="J4535" s="37">
        <v>1</v>
      </c>
      <c r="K4535" s="2" t="s">
        <v>9084</v>
      </c>
      <c r="L4535" s="36" t="str">
        <f t="shared" si="76"/>
        <v>Ver Imagen</v>
      </c>
      <c r="M4535" s="37" t="s">
        <v>8052</v>
      </c>
    </row>
    <row r="4536" spans="1:13" x14ac:dyDescent="0.25">
      <c r="A4536" s="33">
        <v>4539</v>
      </c>
      <c r="B4536" t="s">
        <v>9085</v>
      </c>
      <c r="C4536" s="1">
        <v>37.312416345300001</v>
      </c>
      <c r="D4536" s="1">
        <v>-7.0608249295999999</v>
      </c>
      <c r="E4536" s="3">
        <v>1</v>
      </c>
      <c r="F4536" s="2">
        <v>2</v>
      </c>
      <c r="G4536" s="4">
        <v>3</v>
      </c>
      <c r="H4536" s="13">
        <v>1</v>
      </c>
      <c r="I4536" s="34">
        <v>1</v>
      </c>
      <c r="J4536" s="35">
        <v>1</v>
      </c>
      <c r="K4536" s="2" t="s">
        <v>9086</v>
      </c>
      <c r="L4536" s="36" t="str">
        <f t="shared" si="76"/>
        <v>Ver Imagen</v>
      </c>
      <c r="M4536" t="s">
        <v>8005</v>
      </c>
    </row>
    <row r="4537" spans="1:13" x14ac:dyDescent="0.25">
      <c r="A4537" s="33">
        <v>4540</v>
      </c>
      <c r="B4537" t="s">
        <v>9087</v>
      </c>
      <c r="C4537" s="1">
        <v>37.313604726800001</v>
      </c>
      <c r="D4537" s="1">
        <v>-7.0628514658999997</v>
      </c>
      <c r="E4537" s="3">
        <v>2</v>
      </c>
      <c r="F4537" s="2">
        <v>4</v>
      </c>
      <c r="G4537" s="4">
        <v>3</v>
      </c>
      <c r="H4537" s="13">
        <v>3</v>
      </c>
      <c r="I4537" s="34">
        <v>2</v>
      </c>
      <c r="J4537" s="35">
        <v>3</v>
      </c>
      <c r="K4537" s="2" t="s">
        <v>9088</v>
      </c>
      <c r="L4537" s="36" t="str">
        <f t="shared" si="76"/>
        <v>Ver Imagen</v>
      </c>
      <c r="M4537" t="s">
        <v>8005</v>
      </c>
    </row>
    <row r="4538" spans="1:13" x14ac:dyDescent="0.25">
      <c r="A4538" s="33">
        <v>4541</v>
      </c>
      <c r="B4538" t="s">
        <v>9089</v>
      </c>
      <c r="C4538" s="1">
        <v>37.313717486400002</v>
      </c>
      <c r="D4538" s="1">
        <v>-7.0630632784499996</v>
      </c>
      <c r="E4538" s="3">
        <v>2</v>
      </c>
      <c r="F4538" s="2">
        <v>2</v>
      </c>
      <c r="G4538" s="4">
        <v>4</v>
      </c>
      <c r="H4538" s="13">
        <v>2</v>
      </c>
      <c r="I4538" s="34">
        <v>1</v>
      </c>
      <c r="J4538" s="35">
        <v>2</v>
      </c>
      <c r="K4538" s="2" t="s">
        <v>9090</v>
      </c>
      <c r="L4538" s="36" t="str">
        <f t="shared" si="76"/>
        <v>Ver Imagen</v>
      </c>
      <c r="M4538" t="s">
        <v>8005</v>
      </c>
    </row>
    <row r="4539" spans="1:13" x14ac:dyDescent="0.25">
      <c r="A4539" s="33">
        <v>4542</v>
      </c>
      <c r="B4539" t="s">
        <v>9091</v>
      </c>
      <c r="C4539" s="1">
        <v>37.315585241500003</v>
      </c>
      <c r="D4539" s="1">
        <v>-7.0677641637499997</v>
      </c>
      <c r="E4539" s="3">
        <v>2</v>
      </c>
      <c r="F4539" s="2">
        <v>4</v>
      </c>
      <c r="G4539" s="4">
        <v>4</v>
      </c>
      <c r="H4539" s="13">
        <v>3</v>
      </c>
      <c r="I4539" s="34">
        <v>3</v>
      </c>
      <c r="J4539" s="35">
        <v>3</v>
      </c>
      <c r="K4539" s="2" t="s">
        <v>9092</v>
      </c>
      <c r="L4539" s="36" t="str">
        <f t="shared" si="76"/>
        <v>Ver Imagen</v>
      </c>
      <c r="M4539" t="s">
        <v>8005</v>
      </c>
    </row>
    <row r="4540" spans="1:13" x14ac:dyDescent="0.25">
      <c r="A4540" s="33">
        <v>4543</v>
      </c>
      <c r="B4540" t="s">
        <v>9093</v>
      </c>
      <c r="C4540" s="1">
        <v>37.315801605200001</v>
      </c>
      <c r="D4540" s="1">
        <v>-7.0684868284000002</v>
      </c>
      <c r="E4540" s="3">
        <v>2</v>
      </c>
      <c r="F4540" s="2">
        <v>3</v>
      </c>
      <c r="G4540" s="4">
        <v>4</v>
      </c>
      <c r="H4540" s="13">
        <v>3</v>
      </c>
      <c r="I4540" s="34">
        <v>3</v>
      </c>
      <c r="J4540" s="35">
        <v>3</v>
      </c>
      <c r="K4540" s="2" t="s">
        <v>9094</v>
      </c>
      <c r="L4540" s="36" t="str">
        <f t="shared" si="76"/>
        <v>Ver Imagen</v>
      </c>
      <c r="M4540" t="s">
        <v>8005</v>
      </c>
    </row>
    <row r="4541" spans="1:13" x14ac:dyDescent="0.25">
      <c r="A4541" s="33">
        <v>4544</v>
      </c>
      <c r="B4541" t="s">
        <v>9095</v>
      </c>
      <c r="C4541" s="1">
        <v>37.316754473300001</v>
      </c>
      <c r="D4541" s="1">
        <v>-7.0703947727200003</v>
      </c>
      <c r="E4541" s="3">
        <v>3</v>
      </c>
      <c r="F4541" s="2">
        <v>2</v>
      </c>
      <c r="G4541" s="4">
        <v>4</v>
      </c>
      <c r="H4541" s="13">
        <v>2</v>
      </c>
      <c r="I4541" s="34">
        <v>2</v>
      </c>
      <c r="J4541" s="35">
        <v>2</v>
      </c>
      <c r="K4541" s="2" t="s">
        <v>9096</v>
      </c>
      <c r="L4541" s="36" t="str">
        <f t="shared" si="76"/>
        <v>Ver Imagen</v>
      </c>
      <c r="M4541" t="s">
        <v>8005</v>
      </c>
    </row>
    <row r="4542" spans="1:13" x14ac:dyDescent="0.25">
      <c r="A4542" s="33">
        <v>4545</v>
      </c>
      <c r="B4542" t="s">
        <v>9097</v>
      </c>
      <c r="C4542" s="1">
        <v>37.317224410199998</v>
      </c>
      <c r="D4542" s="1">
        <v>-7.0708701684399999</v>
      </c>
      <c r="E4542" s="3">
        <v>3</v>
      </c>
      <c r="F4542" s="2">
        <v>2</v>
      </c>
      <c r="G4542" s="4">
        <v>4</v>
      </c>
      <c r="H4542" s="13">
        <v>2</v>
      </c>
      <c r="I4542" s="34">
        <v>3</v>
      </c>
      <c r="J4542" s="35">
        <v>3</v>
      </c>
      <c r="K4542" s="2" t="s">
        <v>9098</v>
      </c>
      <c r="L4542" s="36" t="str">
        <f t="shared" si="76"/>
        <v>Ver Imagen</v>
      </c>
      <c r="M4542" t="s">
        <v>8005</v>
      </c>
    </row>
    <row r="4543" spans="1:13" x14ac:dyDescent="0.25">
      <c r="A4543" s="33">
        <v>4546</v>
      </c>
      <c r="B4543" t="s">
        <v>9099</v>
      </c>
      <c r="C4543" s="1">
        <v>37.3179807243</v>
      </c>
      <c r="D4543" s="1">
        <v>-7.0712368937900001</v>
      </c>
      <c r="E4543" s="3">
        <v>2</v>
      </c>
      <c r="F4543" s="2">
        <v>3</v>
      </c>
      <c r="G4543" s="4">
        <v>4</v>
      </c>
      <c r="H4543" s="13">
        <v>3</v>
      </c>
      <c r="I4543" s="34">
        <v>2</v>
      </c>
      <c r="J4543" s="35">
        <v>3</v>
      </c>
      <c r="K4543" s="2" t="s">
        <v>9100</v>
      </c>
      <c r="L4543" s="36" t="str">
        <f t="shared" si="76"/>
        <v>Ver Imagen</v>
      </c>
      <c r="M4543" t="s">
        <v>8005</v>
      </c>
    </row>
    <row r="4544" spans="1:13" x14ac:dyDescent="0.25">
      <c r="A4544" s="33">
        <v>4547</v>
      </c>
      <c r="B4544" t="s">
        <v>9101</v>
      </c>
      <c r="C4544" s="1">
        <v>37.4577202957</v>
      </c>
      <c r="D4544" s="1">
        <v>-7.1141734009300004</v>
      </c>
      <c r="E4544" s="3">
        <v>3</v>
      </c>
      <c r="F4544" s="2">
        <v>4</v>
      </c>
      <c r="G4544" s="4">
        <v>5</v>
      </c>
      <c r="H4544" s="13">
        <v>5</v>
      </c>
      <c r="I4544" s="34">
        <v>4</v>
      </c>
      <c r="J4544" s="35">
        <v>4</v>
      </c>
      <c r="K4544" s="2" t="s">
        <v>9102</v>
      </c>
      <c r="L4544" s="36" t="str">
        <f t="shared" si="76"/>
        <v>Ver Imagen</v>
      </c>
      <c r="M4544" t="s">
        <v>8005</v>
      </c>
    </row>
    <row r="4545" spans="1:13" x14ac:dyDescent="0.25">
      <c r="A4545" s="33">
        <v>4548</v>
      </c>
      <c r="B4545" t="s">
        <v>9103</v>
      </c>
      <c r="C4545" s="1">
        <v>37.457372899399999</v>
      </c>
      <c r="D4545" s="1">
        <v>-7.1140452463099999</v>
      </c>
      <c r="E4545" s="3">
        <v>3</v>
      </c>
      <c r="F4545" s="2">
        <v>5</v>
      </c>
      <c r="G4545" s="4">
        <v>4</v>
      </c>
      <c r="H4545" s="13">
        <v>5</v>
      </c>
      <c r="I4545" s="34">
        <v>5</v>
      </c>
      <c r="J4545" s="35">
        <v>5</v>
      </c>
      <c r="K4545" s="2" t="s">
        <v>9104</v>
      </c>
      <c r="L4545" s="36" t="str">
        <f t="shared" si="76"/>
        <v>Ver Imagen</v>
      </c>
      <c r="M4545" t="s">
        <v>8005</v>
      </c>
    </row>
    <row r="4546" spans="1:13" x14ac:dyDescent="0.25">
      <c r="A4546" s="33">
        <v>4549</v>
      </c>
      <c r="B4546" t="s">
        <v>9105</v>
      </c>
      <c r="C4546" s="1">
        <v>37.451873172799999</v>
      </c>
      <c r="D4546" s="1">
        <v>-7.11145028374</v>
      </c>
      <c r="E4546" s="3">
        <v>3</v>
      </c>
      <c r="F4546" s="2">
        <v>5</v>
      </c>
      <c r="G4546" s="4">
        <v>4</v>
      </c>
      <c r="H4546" s="13">
        <v>4</v>
      </c>
      <c r="I4546" s="34">
        <v>4</v>
      </c>
      <c r="J4546" s="35">
        <v>4</v>
      </c>
      <c r="K4546" s="2" t="s">
        <v>9106</v>
      </c>
      <c r="L4546" s="36" t="str">
        <f t="shared" si="76"/>
        <v>Ver Imagen</v>
      </c>
      <c r="M4546" t="s">
        <v>8005</v>
      </c>
    </row>
    <row r="4547" spans="1:13" x14ac:dyDescent="0.25">
      <c r="A4547" s="33">
        <v>4550</v>
      </c>
      <c r="B4547" t="s">
        <v>9107</v>
      </c>
      <c r="C4547" s="1">
        <v>37.451131752999999</v>
      </c>
      <c r="D4547" s="1">
        <v>-7.1109211430999997</v>
      </c>
      <c r="E4547" s="3">
        <v>3</v>
      </c>
      <c r="F4547" s="2">
        <v>5</v>
      </c>
      <c r="G4547" s="4">
        <v>4</v>
      </c>
      <c r="H4547" s="13">
        <v>5</v>
      </c>
      <c r="I4547" s="34">
        <v>4</v>
      </c>
      <c r="J4547" s="37">
        <v>5</v>
      </c>
      <c r="K4547" s="2" t="s">
        <v>9108</v>
      </c>
      <c r="L4547" s="36" t="str">
        <f t="shared" si="76"/>
        <v>Ver Imagen</v>
      </c>
      <c r="M4547" s="37" t="s">
        <v>8052</v>
      </c>
    </row>
    <row r="4548" spans="1:13" x14ac:dyDescent="0.25">
      <c r="A4548" s="33">
        <v>4551</v>
      </c>
      <c r="B4548" t="s">
        <v>9109</v>
      </c>
      <c r="C4548" s="1">
        <v>37.448886666299998</v>
      </c>
      <c r="D4548" s="1">
        <v>-7.10981227104</v>
      </c>
      <c r="E4548" s="3">
        <v>1</v>
      </c>
      <c r="F4548" s="2">
        <v>3</v>
      </c>
      <c r="G4548" s="4">
        <v>3</v>
      </c>
      <c r="H4548" s="13">
        <v>2</v>
      </c>
      <c r="I4548" s="34">
        <v>2</v>
      </c>
      <c r="J4548" s="35">
        <v>2</v>
      </c>
      <c r="K4548" s="2" t="s">
        <v>9110</v>
      </c>
      <c r="L4548" s="36" t="str">
        <f t="shared" si="76"/>
        <v>Ver Imagen</v>
      </c>
      <c r="M4548" t="s">
        <v>8005</v>
      </c>
    </row>
    <row r="4549" spans="1:13" x14ac:dyDescent="0.25">
      <c r="A4549" s="33">
        <v>4552</v>
      </c>
      <c r="B4549" t="s">
        <v>9111</v>
      </c>
      <c r="C4549" s="1">
        <v>37.4481697047</v>
      </c>
      <c r="D4549" s="1">
        <v>-7.1094150015200004</v>
      </c>
      <c r="E4549" s="3">
        <v>2</v>
      </c>
      <c r="F4549" s="2">
        <v>3</v>
      </c>
      <c r="G4549" s="4">
        <v>4</v>
      </c>
      <c r="H4549" s="13">
        <v>3</v>
      </c>
      <c r="I4549" s="34">
        <v>3</v>
      </c>
      <c r="J4549" s="35">
        <v>3</v>
      </c>
      <c r="K4549" s="2" t="s">
        <v>9112</v>
      </c>
      <c r="L4549" s="36" t="str">
        <f t="shared" si="76"/>
        <v>Ver Imagen</v>
      </c>
      <c r="M4549" t="s">
        <v>8005</v>
      </c>
    </row>
    <row r="4550" spans="1:13" x14ac:dyDescent="0.25">
      <c r="A4550" s="33">
        <v>4553</v>
      </c>
      <c r="B4550" t="s">
        <v>9113</v>
      </c>
      <c r="C4550" s="1">
        <v>37.269553490500002</v>
      </c>
      <c r="D4550" s="1">
        <v>-6.9779051680700004</v>
      </c>
      <c r="E4550" s="3">
        <v>2</v>
      </c>
      <c r="F4550" s="2">
        <v>3</v>
      </c>
      <c r="G4550" s="4">
        <v>4</v>
      </c>
      <c r="H4550" s="13">
        <v>3</v>
      </c>
      <c r="I4550" s="34">
        <v>4</v>
      </c>
      <c r="J4550" s="35">
        <v>3</v>
      </c>
      <c r="K4550" s="2" t="s">
        <v>9114</v>
      </c>
      <c r="L4550" s="36" t="str">
        <f t="shared" si="76"/>
        <v>Ver Imagen</v>
      </c>
      <c r="M4550" t="s">
        <v>8005</v>
      </c>
    </row>
    <row r="4551" spans="1:13" x14ac:dyDescent="0.25">
      <c r="A4551" s="33">
        <v>4554</v>
      </c>
      <c r="B4551" t="s">
        <v>9115</v>
      </c>
      <c r="C4551" s="1">
        <v>37.269500022300001</v>
      </c>
      <c r="D4551" s="1">
        <v>-6.9777197710700003</v>
      </c>
      <c r="E4551" s="3">
        <v>3</v>
      </c>
      <c r="F4551" s="2">
        <v>4</v>
      </c>
      <c r="G4551" s="4">
        <v>5</v>
      </c>
      <c r="H4551" s="13">
        <v>3</v>
      </c>
      <c r="I4551" s="34">
        <v>4</v>
      </c>
      <c r="J4551" s="35">
        <v>4</v>
      </c>
      <c r="K4551" s="2" t="s">
        <v>9116</v>
      </c>
      <c r="L4551" s="36" t="str">
        <f t="shared" si="76"/>
        <v>Ver Imagen</v>
      </c>
      <c r="M4551" t="s">
        <v>8005</v>
      </c>
    </row>
    <row r="4552" spans="1:13" x14ac:dyDescent="0.25">
      <c r="A4552" s="33">
        <v>4555</v>
      </c>
      <c r="B4552" t="s">
        <v>9117</v>
      </c>
      <c r="C4552" s="1">
        <v>37.269282551099998</v>
      </c>
      <c r="D4552" s="1">
        <v>-6.97694645269</v>
      </c>
      <c r="E4552" s="3">
        <v>3</v>
      </c>
      <c r="F4552" s="2">
        <v>4</v>
      </c>
      <c r="G4552" s="4">
        <v>5</v>
      </c>
      <c r="H4552" s="13">
        <v>3</v>
      </c>
      <c r="I4552" s="34">
        <v>4</v>
      </c>
      <c r="J4552" s="35">
        <v>4</v>
      </c>
      <c r="K4552" s="2" t="s">
        <v>9118</v>
      </c>
      <c r="L4552" s="36" t="str">
        <f t="shared" si="76"/>
        <v>Ver Imagen</v>
      </c>
      <c r="M4552" t="s">
        <v>8005</v>
      </c>
    </row>
    <row r="4553" spans="1:13" x14ac:dyDescent="0.25">
      <c r="A4553" s="33">
        <v>4556</v>
      </c>
      <c r="B4553" t="s">
        <v>9119</v>
      </c>
      <c r="C4553" s="1">
        <v>37.2692177351</v>
      </c>
      <c r="D4553" s="1">
        <v>-6.9767126673100002</v>
      </c>
      <c r="E4553" s="3">
        <v>3</v>
      </c>
      <c r="F4553" s="2">
        <v>4</v>
      </c>
      <c r="G4553" s="4">
        <v>5</v>
      </c>
      <c r="H4553" s="13">
        <v>3</v>
      </c>
      <c r="I4553" s="34">
        <v>4</v>
      </c>
      <c r="J4553" s="35">
        <v>4</v>
      </c>
      <c r="K4553" s="2" t="s">
        <v>9120</v>
      </c>
      <c r="L4553" s="36" t="str">
        <f t="shared" si="76"/>
        <v>Ver Imagen</v>
      </c>
      <c r="M4553" t="s">
        <v>8005</v>
      </c>
    </row>
    <row r="4554" spans="1:13" x14ac:dyDescent="0.25">
      <c r="A4554" s="33">
        <v>4557</v>
      </c>
      <c r="B4554" t="s">
        <v>9121</v>
      </c>
      <c r="C4554" s="1">
        <v>37.269153308600004</v>
      </c>
      <c r="D4554" s="1">
        <v>-6.9764762716200002</v>
      </c>
      <c r="E4554" s="3">
        <v>3</v>
      </c>
      <c r="F4554" s="2">
        <v>4</v>
      </c>
      <c r="G4554" s="4">
        <v>5</v>
      </c>
      <c r="H4554" s="13">
        <v>3</v>
      </c>
      <c r="I4554" s="34">
        <v>4</v>
      </c>
      <c r="J4554" s="35">
        <v>4</v>
      </c>
      <c r="K4554" s="2" t="s">
        <v>9122</v>
      </c>
      <c r="L4554" s="36" t="str">
        <f t="shared" si="76"/>
        <v>Ver Imagen</v>
      </c>
      <c r="M4554" t="s">
        <v>8005</v>
      </c>
    </row>
    <row r="4555" spans="1:13" x14ac:dyDescent="0.25">
      <c r="A4555" s="33">
        <v>4558</v>
      </c>
      <c r="B4555" t="s">
        <v>9123</v>
      </c>
      <c r="C4555" s="1">
        <v>37.268853174299998</v>
      </c>
      <c r="D4555" s="1">
        <v>-6.9752865460200004</v>
      </c>
      <c r="E4555" s="3">
        <v>3</v>
      </c>
      <c r="F4555" s="2">
        <v>3</v>
      </c>
      <c r="G4555" s="4">
        <v>5</v>
      </c>
      <c r="H4555" s="13">
        <v>3</v>
      </c>
      <c r="I4555" s="34">
        <v>4</v>
      </c>
      <c r="J4555" s="35">
        <v>3</v>
      </c>
      <c r="K4555" s="2" t="s">
        <v>9124</v>
      </c>
      <c r="L4555" s="36" t="str">
        <f t="shared" si="76"/>
        <v>Ver Imagen</v>
      </c>
      <c r="M4555" t="s">
        <v>8005</v>
      </c>
    </row>
    <row r="4556" spans="1:13" x14ac:dyDescent="0.25">
      <c r="A4556" s="33">
        <v>4559</v>
      </c>
      <c r="B4556" t="s">
        <v>9125</v>
      </c>
      <c r="C4556" s="1">
        <v>37.268573477499999</v>
      </c>
      <c r="D4556" s="1">
        <v>-6.9740411502699997</v>
      </c>
      <c r="E4556" s="3">
        <v>2</v>
      </c>
      <c r="F4556" s="2">
        <v>4</v>
      </c>
      <c r="G4556" s="4">
        <v>4</v>
      </c>
      <c r="H4556" s="13">
        <v>3</v>
      </c>
      <c r="I4556" s="34">
        <v>3</v>
      </c>
      <c r="J4556" s="35">
        <v>3</v>
      </c>
      <c r="K4556" s="2" t="s">
        <v>9126</v>
      </c>
      <c r="L4556" s="36" t="str">
        <f t="shared" si="76"/>
        <v>Ver Imagen</v>
      </c>
      <c r="M4556" t="s">
        <v>8005</v>
      </c>
    </row>
    <row r="4557" spans="1:13" x14ac:dyDescent="0.25">
      <c r="A4557" s="33">
        <v>4560</v>
      </c>
      <c r="B4557" t="s">
        <v>9127</v>
      </c>
      <c r="C4557" s="1">
        <v>37.268287598900002</v>
      </c>
      <c r="D4557" s="1">
        <v>-6.9725889455000001</v>
      </c>
      <c r="E4557" s="3">
        <v>3</v>
      </c>
      <c r="F4557" s="2">
        <v>4</v>
      </c>
      <c r="G4557" s="4">
        <v>2</v>
      </c>
      <c r="H4557" s="13">
        <v>3</v>
      </c>
      <c r="I4557" s="34">
        <v>4</v>
      </c>
      <c r="J4557" s="35">
        <v>3</v>
      </c>
      <c r="K4557" s="2" t="s">
        <v>9128</v>
      </c>
      <c r="L4557" s="36" t="str">
        <f t="shared" si="76"/>
        <v>Ver Imagen</v>
      </c>
      <c r="M4557" t="s">
        <v>8005</v>
      </c>
    </row>
    <row r="4558" spans="1:13" x14ac:dyDescent="0.25">
      <c r="A4558" s="33">
        <v>4561</v>
      </c>
      <c r="B4558" t="s">
        <v>9129</v>
      </c>
      <c r="C4558" s="1">
        <v>37.268008813000002</v>
      </c>
      <c r="D4558" s="1">
        <v>-6.9708497676699999</v>
      </c>
      <c r="E4558" s="3">
        <v>2</v>
      </c>
      <c r="F4558" s="2">
        <v>4</v>
      </c>
      <c r="G4558" s="4">
        <v>3</v>
      </c>
      <c r="H4558" s="13">
        <v>3</v>
      </c>
      <c r="I4558" s="34">
        <v>4</v>
      </c>
      <c r="J4558" s="35">
        <v>3</v>
      </c>
      <c r="K4558" s="2" t="s">
        <v>9130</v>
      </c>
      <c r="L4558" s="36" t="str">
        <f t="shared" si="76"/>
        <v>Ver Imagen</v>
      </c>
      <c r="M4558" t="s">
        <v>8005</v>
      </c>
    </row>
    <row r="4559" spans="1:13" x14ac:dyDescent="0.25">
      <c r="A4559" s="33">
        <v>4562</v>
      </c>
      <c r="B4559" t="s">
        <v>9131</v>
      </c>
      <c r="C4559" s="1">
        <v>37.267974051700001</v>
      </c>
      <c r="D4559" s="1">
        <v>-6.97060516232</v>
      </c>
      <c r="E4559" s="3">
        <v>2</v>
      </c>
      <c r="F4559" s="2">
        <v>4</v>
      </c>
      <c r="G4559" s="4">
        <v>3</v>
      </c>
      <c r="H4559" s="13">
        <v>3</v>
      </c>
      <c r="I4559" s="34">
        <v>4</v>
      </c>
      <c r="J4559" s="35">
        <v>3</v>
      </c>
      <c r="K4559" s="2" t="s">
        <v>9132</v>
      </c>
      <c r="L4559" s="36" t="str">
        <f t="shared" si="76"/>
        <v>Ver Imagen</v>
      </c>
      <c r="M4559" t="s">
        <v>8005</v>
      </c>
    </row>
    <row r="4560" spans="1:13" x14ac:dyDescent="0.25">
      <c r="A4560" s="33">
        <v>4563</v>
      </c>
      <c r="B4560" t="s">
        <v>9133</v>
      </c>
      <c r="C4560" s="1">
        <v>37.267872011400001</v>
      </c>
      <c r="D4560" s="1">
        <v>-6.96981995256</v>
      </c>
      <c r="E4560" s="3">
        <v>2</v>
      </c>
      <c r="F4560" s="2">
        <v>4</v>
      </c>
      <c r="G4560" s="4">
        <v>3</v>
      </c>
      <c r="H4560" s="13">
        <v>3</v>
      </c>
      <c r="I4560" s="34">
        <v>4</v>
      </c>
      <c r="J4560" s="35">
        <v>3</v>
      </c>
      <c r="K4560" s="2" t="s">
        <v>9134</v>
      </c>
      <c r="L4560" s="36" t="str">
        <f t="shared" si="76"/>
        <v>Ver Imagen</v>
      </c>
      <c r="M4560" t="s">
        <v>8005</v>
      </c>
    </row>
    <row r="4561" spans="1:13" x14ac:dyDescent="0.25">
      <c r="A4561" s="33">
        <v>4564</v>
      </c>
      <c r="B4561" t="s">
        <v>9135</v>
      </c>
      <c r="C4561" s="1">
        <v>37.267838450299998</v>
      </c>
      <c r="D4561" s="1">
        <v>-6.9695412238000003</v>
      </c>
      <c r="E4561" s="3">
        <v>2</v>
      </c>
      <c r="F4561" s="2">
        <v>4</v>
      </c>
      <c r="G4561" s="4">
        <v>4</v>
      </c>
      <c r="H4561" s="13">
        <v>3</v>
      </c>
      <c r="I4561" s="34">
        <v>3</v>
      </c>
      <c r="J4561" s="35">
        <v>3</v>
      </c>
      <c r="K4561" s="2" t="s">
        <v>9136</v>
      </c>
      <c r="L4561" s="36" t="str">
        <f t="shared" si="76"/>
        <v>Ver Imagen</v>
      </c>
      <c r="M4561" t="s">
        <v>8005</v>
      </c>
    </row>
    <row r="4562" spans="1:13" x14ac:dyDescent="0.25">
      <c r="A4562" s="33">
        <v>4565</v>
      </c>
      <c r="B4562" t="s">
        <v>9137</v>
      </c>
      <c r="C4562" s="1">
        <v>37.267784784600003</v>
      </c>
      <c r="D4562" s="1">
        <v>-6.9690507451599997</v>
      </c>
      <c r="E4562" s="3">
        <v>2</v>
      </c>
      <c r="F4562" s="2">
        <v>4</v>
      </c>
      <c r="G4562" s="4">
        <v>3</v>
      </c>
      <c r="H4562" s="13">
        <v>3</v>
      </c>
      <c r="I4562" s="34">
        <v>3</v>
      </c>
      <c r="J4562" s="35">
        <v>3</v>
      </c>
      <c r="K4562" s="2" t="s">
        <v>9138</v>
      </c>
      <c r="L4562" s="36" t="str">
        <f t="shared" si="76"/>
        <v>Ver Imagen</v>
      </c>
      <c r="M4562" t="s">
        <v>8005</v>
      </c>
    </row>
    <row r="4563" spans="1:13" x14ac:dyDescent="0.25">
      <c r="A4563" s="33">
        <v>4566</v>
      </c>
      <c r="B4563" t="s">
        <v>9139</v>
      </c>
      <c r="C4563" s="1">
        <v>37.267671501000002</v>
      </c>
      <c r="D4563" s="1">
        <v>-6.9678137401600004</v>
      </c>
      <c r="E4563" s="3">
        <v>2</v>
      </c>
      <c r="F4563" s="2">
        <v>4</v>
      </c>
      <c r="G4563" s="4">
        <v>3</v>
      </c>
      <c r="H4563" s="13">
        <v>3</v>
      </c>
      <c r="I4563" s="34">
        <v>4</v>
      </c>
      <c r="J4563" s="35">
        <v>3</v>
      </c>
      <c r="K4563" s="2" t="s">
        <v>9140</v>
      </c>
      <c r="L4563" s="36" t="str">
        <f t="shared" si="76"/>
        <v>Ver Imagen</v>
      </c>
      <c r="M4563" t="s">
        <v>8005</v>
      </c>
    </row>
    <row r="4564" spans="1:13" x14ac:dyDescent="0.25">
      <c r="A4564" s="33">
        <v>4567</v>
      </c>
      <c r="B4564" t="s">
        <v>9141</v>
      </c>
      <c r="C4564" s="1">
        <v>37.267591253200003</v>
      </c>
      <c r="D4564" s="1">
        <v>-6.9665411706600002</v>
      </c>
      <c r="E4564" s="3">
        <v>2</v>
      </c>
      <c r="F4564" s="2">
        <v>3</v>
      </c>
      <c r="G4564" s="4">
        <v>4</v>
      </c>
      <c r="H4564" s="13">
        <v>3</v>
      </c>
      <c r="I4564" s="34">
        <v>4</v>
      </c>
      <c r="J4564" s="35">
        <v>3</v>
      </c>
      <c r="K4564" s="2" t="s">
        <v>9142</v>
      </c>
      <c r="L4564" s="36" t="str">
        <f t="shared" si="76"/>
        <v>Ver Imagen</v>
      </c>
      <c r="M4564" t="s">
        <v>8005</v>
      </c>
    </row>
    <row r="4565" spans="1:13" x14ac:dyDescent="0.25">
      <c r="A4565" s="33">
        <v>4568</v>
      </c>
      <c r="B4565" t="s">
        <v>9143</v>
      </c>
      <c r="C4565" s="1">
        <v>37.267568733099999</v>
      </c>
      <c r="D4565" s="1">
        <v>-6.9660184529300002</v>
      </c>
      <c r="E4565" s="3">
        <v>2</v>
      </c>
      <c r="F4565" s="2">
        <v>4</v>
      </c>
      <c r="G4565" s="4">
        <v>3</v>
      </c>
      <c r="H4565" s="13">
        <v>3</v>
      </c>
      <c r="I4565" s="34">
        <v>3</v>
      </c>
      <c r="J4565" s="35">
        <v>3</v>
      </c>
      <c r="K4565" s="2" t="s">
        <v>9144</v>
      </c>
      <c r="L4565" s="36" t="str">
        <f t="shared" si="76"/>
        <v>Ver Imagen</v>
      </c>
      <c r="M4565" t="s">
        <v>8005</v>
      </c>
    </row>
    <row r="4566" spans="1:13" x14ac:dyDescent="0.25">
      <c r="A4566" s="33">
        <v>4569</v>
      </c>
      <c r="B4566" t="s">
        <v>9145</v>
      </c>
      <c r="C4566" s="1">
        <v>37.267553317000001</v>
      </c>
      <c r="D4566" s="1">
        <v>-6.9655561092099996</v>
      </c>
      <c r="E4566" s="3">
        <v>3</v>
      </c>
      <c r="F4566" s="2">
        <v>4</v>
      </c>
      <c r="G4566" s="4">
        <v>2</v>
      </c>
      <c r="H4566" s="13">
        <v>3</v>
      </c>
      <c r="I4566" s="34">
        <v>4</v>
      </c>
      <c r="J4566" s="35">
        <v>3</v>
      </c>
      <c r="K4566" s="2" t="s">
        <v>9146</v>
      </c>
      <c r="L4566" s="36" t="str">
        <f t="shared" si="76"/>
        <v>Ver Imagen</v>
      </c>
      <c r="M4566" t="s">
        <v>8005</v>
      </c>
    </row>
    <row r="4567" spans="1:13" x14ac:dyDescent="0.25">
      <c r="A4567" s="33">
        <v>4570</v>
      </c>
      <c r="B4567" t="s">
        <v>9147</v>
      </c>
      <c r="C4567" s="1">
        <v>37.267540428499998</v>
      </c>
      <c r="D4567" s="1">
        <v>-6.965040396</v>
      </c>
      <c r="E4567" s="3">
        <v>2</v>
      </c>
      <c r="F4567" s="2">
        <v>4</v>
      </c>
      <c r="G4567" s="4">
        <v>3</v>
      </c>
      <c r="H4567" s="13">
        <v>3</v>
      </c>
      <c r="I4567" s="34">
        <v>4</v>
      </c>
      <c r="J4567" s="35">
        <v>3</v>
      </c>
      <c r="K4567" s="2" t="s">
        <v>9148</v>
      </c>
      <c r="L4567" s="36" t="str">
        <f t="shared" si="76"/>
        <v>Ver Imagen</v>
      </c>
      <c r="M4567" t="s">
        <v>8005</v>
      </c>
    </row>
    <row r="4568" spans="1:13" x14ac:dyDescent="0.25">
      <c r="A4568" s="33">
        <v>4571</v>
      </c>
      <c r="B4568" t="s">
        <v>9149</v>
      </c>
      <c r="C4568" s="1">
        <v>37.2675151344</v>
      </c>
      <c r="D4568" s="1">
        <v>-6.9637721257900003</v>
      </c>
      <c r="E4568" s="3">
        <v>2</v>
      </c>
      <c r="F4568" s="2">
        <v>4</v>
      </c>
      <c r="G4568" s="4">
        <v>4</v>
      </c>
      <c r="H4568" s="13">
        <v>3</v>
      </c>
      <c r="I4568" s="34">
        <v>4</v>
      </c>
      <c r="J4568" s="35">
        <v>4</v>
      </c>
      <c r="K4568" s="2" t="s">
        <v>9150</v>
      </c>
      <c r="L4568" s="36" t="str">
        <f t="shared" si="76"/>
        <v>Ver Imagen</v>
      </c>
      <c r="M4568" t="s">
        <v>8005</v>
      </c>
    </row>
    <row r="4569" spans="1:13" x14ac:dyDescent="0.25">
      <c r="A4569" s="33">
        <v>4572</v>
      </c>
      <c r="B4569" t="s">
        <v>9151</v>
      </c>
      <c r="C4569" s="1">
        <v>37.2672421567</v>
      </c>
      <c r="D4569" s="1">
        <v>-6.9597790674300004</v>
      </c>
      <c r="E4569" s="3">
        <v>2</v>
      </c>
      <c r="F4569" s="2">
        <v>3</v>
      </c>
      <c r="G4569" s="4">
        <v>4</v>
      </c>
      <c r="H4569" s="13">
        <v>2</v>
      </c>
      <c r="I4569" s="34">
        <v>2</v>
      </c>
      <c r="J4569" s="35">
        <v>2</v>
      </c>
      <c r="K4569" s="2" t="s">
        <v>9152</v>
      </c>
      <c r="L4569" s="36" t="str">
        <f t="shared" si="76"/>
        <v>Ver Imagen</v>
      </c>
      <c r="M4569" t="s">
        <v>8005</v>
      </c>
    </row>
    <row r="4570" spans="1:13" x14ac:dyDescent="0.25">
      <c r="A4570" s="33">
        <v>4573</v>
      </c>
      <c r="B4570" t="s">
        <v>9153</v>
      </c>
      <c r="C4570" s="1">
        <v>37.266637515200003</v>
      </c>
      <c r="D4570" s="1">
        <v>-6.9579361002200004</v>
      </c>
      <c r="E4570" s="3">
        <v>2</v>
      </c>
      <c r="F4570" s="2">
        <v>2</v>
      </c>
      <c r="G4570" s="4">
        <v>4</v>
      </c>
      <c r="H4570" s="13">
        <v>2</v>
      </c>
      <c r="I4570" s="34">
        <v>3</v>
      </c>
      <c r="J4570" s="35">
        <v>2</v>
      </c>
      <c r="K4570" s="2" t="s">
        <v>9154</v>
      </c>
      <c r="L4570" s="36" t="str">
        <f t="shared" si="76"/>
        <v>Ver Imagen</v>
      </c>
      <c r="M4570" t="s">
        <v>8005</v>
      </c>
    </row>
    <row r="4571" spans="1:13" x14ac:dyDescent="0.25">
      <c r="A4571" s="33">
        <v>4574</v>
      </c>
      <c r="B4571" t="s">
        <v>9155</v>
      </c>
      <c r="C4571" s="1">
        <v>37.189772812400001</v>
      </c>
      <c r="D4571" s="1">
        <v>-6.9883260153200002</v>
      </c>
      <c r="E4571" s="3">
        <v>1</v>
      </c>
      <c r="F4571" s="2">
        <v>3</v>
      </c>
      <c r="G4571" s="4">
        <v>3</v>
      </c>
      <c r="H4571" s="13">
        <v>2</v>
      </c>
      <c r="I4571" s="34">
        <v>2</v>
      </c>
      <c r="J4571" s="35">
        <v>2</v>
      </c>
      <c r="K4571" s="2" t="s">
        <v>9156</v>
      </c>
      <c r="L4571" s="36" t="str">
        <f t="shared" si="76"/>
        <v>Ver Imagen</v>
      </c>
      <c r="M4571" t="s">
        <v>8005</v>
      </c>
    </row>
    <row r="4572" spans="1:13" x14ac:dyDescent="0.25">
      <c r="A4572" s="33">
        <v>4575</v>
      </c>
      <c r="B4572" t="s">
        <v>9157</v>
      </c>
      <c r="C4572" s="1">
        <v>37.191409309800001</v>
      </c>
      <c r="D4572" s="1">
        <v>-6.99183755404</v>
      </c>
      <c r="E4572" s="3">
        <v>2</v>
      </c>
      <c r="F4572" s="2">
        <v>3</v>
      </c>
      <c r="G4572" s="4">
        <v>4</v>
      </c>
      <c r="H4572" s="13">
        <v>3</v>
      </c>
      <c r="I4572" s="34">
        <v>3</v>
      </c>
      <c r="J4572" s="35">
        <v>3</v>
      </c>
      <c r="K4572" s="2" t="s">
        <v>9158</v>
      </c>
      <c r="L4572" s="36" t="str">
        <f t="shared" ref="L4572:L4635" si="77">HYPERLINK("NoConsenso\" &amp; K4572, "Ver Imagen")</f>
        <v>Ver Imagen</v>
      </c>
      <c r="M4572" t="s">
        <v>8005</v>
      </c>
    </row>
    <row r="4573" spans="1:13" x14ac:dyDescent="0.25">
      <c r="A4573" s="33">
        <v>4576</v>
      </c>
      <c r="B4573" t="s">
        <v>9159</v>
      </c>
      <c r="C4573" s="1">
        <v>37.191813606300002</v>
      </c>
      <c r="D4573" s="1">
        <v>-6.9926736008199999</v>
      </c>
      <c r="E4573" s="3">
        <v>2</v>
      </c>
      <c r="F4573" s="2">
        <v>3</v>
      </c>
      <c r="G4573" s="4">
        <v>4</v>
      </c>
      <c r="H4573" s="13">
        <v>2</v>
      </c>
      <c r="I4573" s="34">
        <v>2</v>
      </c>
      <c r="J4573" s="35">
        <v>2</v>
      </c>
      <c r="K4573" s="2" t="s">
        <v>9160</v>
      </c>
      <c r="L4573" s="36" t="str">
        <f t="shared" si="77"/>
        <v>Ver Imagen</v>
      </c>
      <c r="M4573" t="s">
        <v>8005</v>
      </c>
    </row>
    <row r="4574" spans="1:13" x14ac:dyDescent="0.25">
      <c r="A4574" s="33">
        <v>4577</v>
      </c>
      <c r="B4574" t="s">
        <v>9161</v>
      </c>
      <c r="C4574" s="1">
        <v>37.192255322800001</v>
      </c>
      <c r="D4574" s="1">
        <v>-6.9935948532300003</v>
      </c>
      <c r="E4574" s="3">
        <v>2</v>
      </c>
      <c r="F4574" s="2">
        <v>2</v>
      </c>
      <c r="G4574" s="4">
        <v>4</v>
      </c>
      <c r="H4574" s="13">
        <v>2</v>
      </c>
      <c r="I4574" s="34">
        <v>2</v>
      </c>
      <c r="J4574" s="35">
        <v>2</v>
      </c>
      <c r="K4574" s="2" t="s">
        <v>9162</v>
      </c>
      <c r="L4574" s="36" t="str">
        <f t="shared" si="77"/>
        <v>Ver Imagen</v>
      </c>
      <c r="M4574" t="s">
        <v>8005</v>
      </c>
    </row>
    <row r="4575" spans="1:13" x14ac:dyDescent="0.25">
      <c r="A4575" s="33">
        <v>4578</v>
      </c>
      <c r="B4575" t="s">
        <v>9163</v>
      </c>
      <c r="C4575" s="1">
        <v>37.192647664600003</v>
      </c>
      <c r="D4575" s="1">
        <v>-6.9944547633300003</v>
      </c>
      <c r="E4575" s="3">
        <v>2</v>
      </c>
      <c r="F4575" s="2">
        <v>3</v>
      </c>
      <c r="G4575" s="4">
        <v>4</v>
      </c>
      <c r="H4575" s="13">
        <v>3</v>
      </c>
      <c r="I4575" s="34">
        <v>4</v>
      </c>
      <c r="J4575" s="35">
        <v>3</v>
      </c>
      <c r="K4575" s="2" t="s">
        <v>9164</v>
      </c>
      <c r="L4575" s="36" t="str">
        <f t="shared" si="77"/>
        <v>Ver Imagen</v>
      </c>
      <c r="M4575" t="s">
        <v>8005</v>
      </c>
    </row>
    <row r="4576" spans="1:13" x14ac:dyDescent="0.25">
      <c r="A4576" s="33">
        <v>4579</v>
      </c>
      <c r="B4576" t="s">
        <v>9165</v>
      </c>
      <c r="C4576" s="1">
        <v>37.1928288716</v>
      </c>
      <c r="D4576" s="1">
        <v>-6.9948838988600004</v>
      </c>
      <c r="E4576" s="3">
        <v>1</v>
      </c>
      <c r="F4576" s="2">
        <v>3</v>
      </c>
      <c r="G4576" s="4">
        <v>3</v>
      </c>
      <c r="H4576" s="13">
        <v>2</v>
      </c>
      <c r="I4576" s="34">
        <v>2</v>
      </c>
      <c r="J4576" s="35">
        <v>2</v>
      </c>
      <c r="K4576" s="2" t="s">
        <v>9166</v>
      </c>
      <c r="L4576" s="36" t="str">
        <f t="shared" si="77"/>
        <v>Ver Imagen</v>
      </c>
      <c r="M4576" t="s">
        <v>8005</v>
      </c>
    </row>
    <row r="4577" spans="1:13" x14ac:dyDescent="0.25">
      <c r="A4577" s="33">
        <v>4580</v>
      </c>
      <c r="B4577" t="s">
        <v>9167</v>
      </c>
      <c r="C4577" s="1">
        <v>37.202673917299997</v>
      </c>
      <c r="D4577" s="1">
        <v>-7.0148559810600002</v>
      </c>
      <c r="E4577" s="3">
        <v>2</v>
      </c>
      <c r="F4577" s="2">
        <v>3</v>
      </c>
      <c r="G4577" s="4">
        <v>4</v>
      </c>
      <c r="H4577" s="13">
        <v>2</v>
      </c>
      <c r="I4577" s="34">
        <v>3</v>
      </c>
      <c r="J4577" s="35">
        <v>3</v>
      </c>
      <c r="K4577" s="2" t="s">
        <v>9168</v>
      </c>
      <c r="L4577" s="36" t="str">
        <f t="shared" si="77"/>
        <v>Ver Imagen</v>
      </c>
      <c r="M4577" t="s">
        <v>8005</v>
      </c>
    </row>
    <row r="4578" spans="1:13" x14ac:dyDescent="0.25">
      <c r="A4578" s="33">
        <v>4581</v>
      </c>
      <c r="B4578" t="s">
        <v>9169</v>
      </c>
      <c r="C4578" s="1">
        <v>37.218677114599998</v>
      </c>
      <c r="D4578" s="1">
        <v>-7.1256196327700003</v>
      </c>
      <c r="E4578" s="3">
        <v>1</v>
      </c>
      <c r="F4578" s="2">
        <v>3</v>
      </c>
      <c r="G4578" s="4">
        <v>3</v>
      </c>
      <c r="H4578" s="13">
        <v>3</v>
      </c>
      <c r="I4578" s="34">
        <v>2</v>
      </c>
      <c r="J4578" s="35">
        <v>3</v>
      </c>
      <c r="K4578" s="2" t="s">
        <v>9170</v>
      </c>
      <c r="L4578" s="36" t="str">
        <f t="shared" si="77"/>
        <v>Ver Imagen</v>
      </c>
      <c r="M4578" t="s">
        <v>8005</v>
      </c>
    </row>
    <row r="4579" spans="1:13" x14ac:dyDescent="0.25">
      <c r="A4579" s="33">
        <v>4582</v>
      </c>
      <c r="B4579" t="s">
        <v>9171</v>
      </c>
      <c r="C4579" s="1">
        <v>37.217915483100001</v>
      </c>
      <c r="D4579" s="1">
        <v>-7.1215260016500004</v>
      </c>
      <c r="E4579" s="3">
        <v>5</v>
      </c>
      <c r="F4579" s="2">
        <v>3</v>
      </c>
      <c r="G4579" s="4">
        <v>4</v>
      </c>
      <c r="H4579" s="13">
        <v>3</v>
      </c>
      <c r="I4579" s="34">
        <v>3</v>
      </c>
      <c r="J4579" s="35">
        <v>3</v>
      </c>
      <c r="K4579" s="2" t="s">
        <v>9172</v>
      </c>
      <c r="L4579" s="36" t="str">
        <f t="shared" si="77"/>
        <v>Ver Imagen</v>
      </c>
      <c r="M4579" t="s">
        <v>8005</v>
      </c>
    </row>
    <row r="4580" spans="1:13" x14ac:dyDescent="0.25">
      <c r="A4580" s="33">
        <v>4583</v>
      </c>
      <c r="B4580" t="s">
        <v>9173</v>
      </c>
      <c r="C4580" s="1">
        <v>37.215780172800002</v>
      </c>
      <c r="D4580" s="1">
        <v>-7.0824649502400003</v>
      </c>
      <c r="E4580" s="3">
        <v>1</v>
      </c>
      <c r="F4580" s="2">
        <v>2</v>
      </c>
      <c r="G4580" s="4">
        <v>3</v>
      </c>
      <c r="H4580" s="13">
        <v>2</v>
      </c>
      <c r="I4580" s="34">
        <v>2</v>
      </c>
      <c r="J4580" s="35">
        <v>2</v>
      </c>
      <c r="K4580" s="2" t="s">
        <v>9174</v>
      </c>
      <c r="L4580" s="36" t="str">
        <f t="shared" si="77"/>
        <v>Ver Imagen</v>
      </c>
      <c r="M4580" t="s">
        <v>8005</v>
      </c>
    </row>
    <row r="4581" spans="1:13" x14ac:dyDescent="0.25">
      <c r="A4581" s="33">
        <v>4584</v>
      </c>
      <c r="B4581" t="s">
        <v>9175</v>
      </c>
      <c r="C4581" s="1">
        <v>37.213187541400004</v>
      </c>
      <c r="D4581" s="1">
        <v>-7.0639223153200001</v>
      </c>
      <c r="E4581" s="3">
        <v>3</v>
      </c>
      <c r="F4581" s="2">
        <v>3</v>
      </c>
      <c r="G4581" s="4">
        <v>5</v>
      </c>
      <c r="H4581" s="13">
        <v>3</v>
      </c>
      <c r="I4581" s="34">
        <v>4</v>
      </c>
      <c r="J4581" s="35">
        <v>3</v>
      </c>
      <c r="K4581" s="2" t="s">
        <v>9176</v>
      </c>
      <c r="L4581" s="36" t="str">
        <f t="shared" si="77"/>
        <v>Ver Imagen</v>
      </c>
      <c r="M4581" t="s">
        <v>8005</v>
      </c>
    </row>
    <row r="4582" spans="1:13" x14ac:dyDescent="0.25">
      <c r="A4582" s="33">
        <v>4585</v>
      </c>
      <c r="B4582" t="s">
        <v>9177</v>
      </c>
      <c r="C4582" s="1">
        <v>37.2122948162</v>
      </c>
      <c r="D4582" s="1">
        <v>-7.0598281572900001</v>
      </c>
      <c r="E4582" s="3">
        <v>1</v>
      </c>
      <c r="F4582" s="2">
        <v>3</v>
      </c>
      <c r="G4582" s="4">
        <v>3</v>
      </c>
      <c r="H4582" s="13">
        <v>2</v>
      </c>
      <c r="I4582" s="34">
        <v>2</v>
      </c>
      <c r="J4582" s="35">
        <v>2</v>
      </c>
      <c r="K4582" s="2" t="s">
        <v>9178</v>
      </c>
      <c r="L4582" s="36" t="str">
        <f t="shared" si="77"/>
        <v>Ver Imagen</v>
      </c>
      <c r="M4582" t="s">
        <v>8005</v>
      </c>
    </row>
    <row r="4583" spans="1:13" x14ac:dyDescent="0.25">
      <c r="A4583" s="33">
        <v>4586</v>
      </c>
      <c r="B4583" t="s">
        <v>9179</v>
      </c>
      <c r="C4583" s="1">
        <v>37.211702228199997</v>
      </c>
      <c r="D4583" s="1">
        <v>-7.04896105089</v>
      </c>
      <c r="E4583" s="3">
        <v>2</v>
      </c>
      <c r="F4583" s="2">
        <v>3</v>
      </c>
      <c r="G4583" s="4">
        <v>4</v>
      </c>
      <c r="H4583" s="13">
        <v>2</v>
      </c>
      <c r="I4583" s="34">
        <v>3</v>
      </c>
      <c r="J4583" s="35">
        <v>3</v>
      </c>
      <c r="K4583" s="2" t="s">
        <v>9180</v>
      </c>
      <c r="L4583" s="36" t="str">
        <f t="shared" si="77"/>
        <v>Ver Imagen</v>
      </c>
      <c r="M4583" t="s">
        <v>8005</v>
      </c>
    </row>
    <row r="4584" spans="1:13" x14ac:dyDescent="0.25">
      <c r="A4584" s="33">
        <v>4587</v>
      </c>
      <c r="B4584" t="s">
        <v>9181</v>
      </c>
      <c r="C4584" s="1">
        <v>37.2090796743</v>
      </c>
      <c r="D4584" s="1">
        <v>-7.0393122579999998</v>
      </c>
      <c r="E4584" s="3">
        <v>3</v>
      </c>
      <c r="F4584" s="2">
        <v>3</v>
      </c>
      <c r="G4584" s="4">
        <v>5</v>
      </c>
      <c r="H4584" s="13">
        <v>3</v>
      </c>
      <c r="I4584" s="34">
        <v>4</v>
      </c>
      <c r="J4584" s="35">
        <v>3</v>
      </c>
      <c r="K4584" s="2" t="s">
        <v>9182</v>
      </c>
      <c r="L4584" s="36" t="str">
        <f t="shared" si="77"/>
        <v>Ver Imagen</v>
      </c>
      <c r="M4584" t="s">
        <v>8005</v>
      </c>
    </row>
    <row r="4585" spans="1:13" x14ac:dyDescent="0.25">
      <c r="A4585" s="33">
        <v>4588</v>
      </c>
      <c r="B4585" t="s">
        <v>9183</v>
      </c>
      <c r="C4585" s="1">
        <v>37.2884512543</v>
      </c>
      <c r="D4585" s="1">
        <v>-7.1409801723799999</v>
      </c>
      <c r="E4585" s="3">
        <v>1</v>
      </c>
      <c r="F4585" s="2">
        <v>2</v>
      </c>
      <c r="G4585" s="4">
        <v>3</v>
      </c>
      <c r="H4585" s="13">
        <v>3</v>
      </c>
      <c r="I4585" s="34">
        <v>2</v>
      </c>
      <c r="J4585" s="35">
        <v>2</v>
      </c>
      <c r="K4585" s="2" t="s">
        <v>9184</v>
      </c>
      <c r="L4585" s="36" t="str">
        <f t="shared" si="77"/>
        <v>Ver Imagen</v>
      </c>
      <c r="M4585" t="s">
        <v>8005</v>
      </c>
    </row>
    <row r="4586" spans="1:13" x14ac:dyDescent="0.25">
      <c r="A4586" s="33">
        <v>4589</v>
      </c>
      <c r="B4586" t="s">
        <v>9185</v>
      </c>
      <c r="C4586" s="1">
        <v>37.269810902000003</v>
      </c>
      <c r="D4586" s="1">
        <v>-7.1394413126599998</v>
      </c>
      <c r="E4586" s="3">
        <v>3</v>
      </c>
      <c r="F4586" s="2">
        <v>3</v>
      </c>
      <c r="G4586" s="4">
        <v>5</v>
      </c>
      <c r="H4586" s="13">
        <v>3</v>
      </c>
      <c r="I4586" s="34">
        <v>3</v>
      </c>
      <c r="J4586" s="35">
        <v>3</v>
      </c>
      <c r="K4586" s="2" t="s">
        <v>9186</v>
      </c>
      <c r="L4586" s="36" t="str">
        <f t="shared" si="77"/>
        <v>Ver Imagen</v>
      </c>
      <c r="M4586" t="s">
        <v>8005</v>
      </c>
    </row>
    <row r="4587" spans="1:13" x14ac:dyDescent="0.25">
      <c r="A4587" s="33">
        <v>4590</v>
      </c>
      <c r="B4587" t="s">
        <v>9187</v>
      </c>
      <c r="C4587" s="1">
        <v>37.268594641500002</v>
      </c>
      <c r="D4587" s="1">
        <v>-7.1371755729500004</v>
      </c>
      <c r="E4587" s="3">
        <v>5</v>
      </c>
      <c r="F4587" s="2">
        <v>3</v>
      </c>
      <c r="G4587" s="4">
        <v>3</v>
      </c>
      <c r="H4587" s="13">
        <v>3</v>
      </c>
      <c r="I4587" s="34">
        <v>4</v>
      </c>
      <c r="J4587" s="35">
        <v>3</v>
      </c>
      <c r="K4587" s="2" t="s">
        <v>9188</v>
      </c>
      <c r="L4587" s="36" t="str">
        <f t="shared" si="77"/>
        <v>Ver Imagen</v>
      </c>
      <c r="M4587" t="s">
        <v>8005</v>
      </c>
    </row>
    <row r="4588" spans="1:13" x14ac:dyDescent="0.25">
      <c r="A4588" s="33">
        <v>4591</v>
      </c>
      <c r="B4588" t="s">
        <v>9189</v>
      </c>
      <c r="C4588" s="1">
        <v>37.268499293399998</v>
      </c>
      <c r="D4588" s="1">
        <v>-7.1367486852299997</v>
      </c>
      <c r="E4588" s="3">
        <v>5</v>
      </c>
      <c r="F4588" s="2">
        <v>3</v>
      </c>
      <c r="G4588" s="4">
        <v>3</v>
      </c>
      <c r="H4588" s="13">
        <v>3</v>
      </c>
      <c r="I4588" s="34">
        <v>4</v>
      </c>
      <c r="J4588" s="35">
        <v>3</v>
      </c>
      <c r="K4588" s="2" t="s">
        <v>9190</v>
      </c>
      <c r="L4588" s="36" t="str">
        <f t="shared" si="77"/>
        <v>Ver Imagen</v>
      </c>
      <c r="M4588" t="s">
        <v>8005</v>
      </c>
    </row>
    <row r="4589" spans="1:13" x14ac:dyDescent="0.25">
      <c r="A4589" s="33">
        <v>4592</v>
      </c>
      <c r="B4589" t="s">
        <v>9191</v>
      </c>
      <c r="C4589" s="1">
        <v>37.268377724200001</v>
      </c>
      <c r="D4589" s="1">
        <v>-7.1361979708199996</v>
      </c>
      <c r="E4589" s="3">
        <v>5</v>
      </c>
      <c r="F4589" s="2">
        <v>3</v>
      </c>
      <c r="G4589" s="4">
        <v>4</v>
      </c>
      <c r="H4589" s="13">
        <v>3</v>
      </c>
      <c r="I4589" s="34">
        <v>4</v>
      </c>
      <c r="J4589" s="35">
        <v>4</v>
      </c>
      <c r="K4589" s="2" t="s">
        <v>9192</v>
      </c>
      <c r="L4589" s="36" t="str">
        <f t="shared" si="77"/>
        <v>Ver Imagen</v>
      </c>
      <c r="M4589" t="s">
        <v>8005</v>
      </c>
    </row>
    <row r="4590" spans="1:13" x14ac:dyDescent="0.25">
      <c r="A4590" s="33">
        <v>4593</v>
      </c>
      <c r="B4590" t="s">
        <v>9193</v>
      </c>
      <c r="C4590" s="1">
        <v>37.268135730600001</v>
      </c>
      <c r="D4590" s="1">
        <v>-7.1352555130499997</v>
      </c>
      <c r="E4590" s="3">
        <v>5</v>
      </c>
      <c r="F4590" s="2">
        <v>3</v>
      </c>
      <c r="G4590" s="4">
        <v>4</v>
      </c>
      <c r="H4590" s="13">
        <v>3</v>
      </c>
      <c r="I4590" s="34">
        <v>4</v>
      </c>
      <c r="J4590" s="35">
        <v>4</v>
      </c>
      <c r="K4590" s="2" t="s">
        <v>9194</v>
      </c>
      <c r="L4590" s="36" t="str">
        <f t="shared" si="77"/>
        <v>Ver Imagen</v>
      </c>
      <c r="M4590" t="s">
        <v>8005</v>
      </c>
    </row>
    <row r="4591" spans="1:13" x14ac:dyDescent="0.25">
      <c r="A4591" s="33">
        <v>4594</v>
      </c>
      <c r="B4591" t="s">
        <v>9195</v>
      </c>
      <c r="C4591" s="1">
        <v>37.267940994</v>
      </c>
      <c r="D4591" s="1">
        <v>-7.1347694261100001</v>
      </c>
      <c r="E4591" s="3">
        <v>5</v>
      </c>
      <c r="F4591" s="2">
        <v>3</v>
      </c>
      <c r="G4591" s="4">
        <v>4</v>
      </c>
      <c r="H4591" s="13">
        <v>3</v>
      </c>
      <c r="I4591" s="34">
        <v>4</v>
      </c>
      <c r="J4591" s="35">
        <v>4</v>
      </c>
      <c r="K4591" s="2" t="s">
        <v>9196</v>
      </c>
      <c r="L4591" s="36" t="str">
        <f t="shared" si="77"/>
        <v>Ver Imagen</v>
      </c>
      <c r="M4591" t="s">
        <v>8005</v>
      </c>
    </row>
    <row r="4592" spans="1:13" x14ac:dyDescent="0.25">
      <c r="A4592" s="33">
        <v>4595</v>
      </c>
      <c r="B4592" t="s">
        <v>9197</v>
      </c>
      <c r="C4592" s="1">
        <v>37.267724328100002</v>
      </c>
      <c r="D4592" s="1">
        <v>-7.1343708749300001</v>
      </c>
      <c r="E4592" s="3">
        <v>5</v>
      </c>
      <c r="F4592" s="2">
        <v>3</v>
      </c>
      <c r="G4592" s="4">
        <v>4</v>
      </c>
      <c r="H4592" s="13">
        <v>3</v>
      </c>
      <c r="I4592" s="34">
        <v>4</v>
      </c>
      <c r="J4592" s="37">
        <v>3</v>
      </c>
      <c r="K4592" s="2" t="s">
        <v>9198</v>
      </c>
      <c r="L4592" s="36" t="str">
        <f t="shared" si="77"/>
        <v>Ver Imagen</v>
      </c>
      <c r="M4592" s="37" t="s">
        <v>8052</v>
      </c>
    </row>
    <row r="4593" spans="1:13" x14ac:dyDescent="0.25">
      <c r="A4593" s="33">
        <v>4596</v>
      </c>
      <c r="B4593" t="s">
        <v>9199</v>
      </c>
      <c r="C4593" s="1">
        <v>37.2671605707</v>
      </c>
      <c r="D4593" s="1">
        <v>-7.1336671750800003</v>
      </c>
      <c r="E4593" s="3">
        <v>5</v>
      </c>
      <c r="F4593" s="2">
        <v>3</v>
      </c>
      <c r="G4593" s="4">
        <v>4</v>
      </c>
      <c r="H4593" s="13">
        <v>3</v>
      </c>
      <c r="I4593" s="34">
        <v>4</v>
      </c>
      <c r="J4593" s="37">
        <v>3</v>
      </c>
      <c r="K4593" s="2" t="s">
        <v>9200</v>
      </c>
      <c r="L4593" s="36" t="str">
        <f t="shared" si="77"/>
        <v>Ver Imagen</v>
      </c>
      <c r="M4593" s="37" t="s">
        <v>8052</v>
      </c>
    </row>
    <row r="4594" spans="1:13" x14ac:dyDescent="0.25">
      <c r="A4594" s="33">
        <v>4597</v>
      </c>
      <c r="B4594" t="s">
        <v>9201</v>
      </c>
      <c r="C4594" s="1">
        <v>37.259954510500002</v>
      </c>
      <c r="D4594" s="1">
        <v>-7.1290548513000003</v>
      </c>
      <c r="E4594" s="3">
        <v>5</v>
      </c>
      <c r="F4594" s="2">
        <v>3</v>
      </c>
      <c r="G4594" s="4">
        <v>4</v>
      </c>
      <c r="H4594" s="13">
        <v>3</v>
      </c>
      <c r="I4594" s="34">
        <v>3</v>
      </c>
      <c r="J4594" s="35">
        <v>3</v>
      </c>
      <c r="K4594" s="2" t="s">
        <v>9202</v>
      </c>
      <c r="L4594" s="36" t="str">
        <f t="shared" si="77"/>
        <v>Ver Imagen</v>
      </c>
      <c r="M4594" t="s">
        <v>8005</v>
      </c>
    </row>
    <row r="4595" spans="1:13" x14ac:dyDescent="0.25">
      <c r="A4595" s="33">
        <v>4598</v>
      </c>
      <c r="B4595" t="s">
        <v>9203</v>
      </c>
      <c r="C4595" s="1">
        <v>37.244664361399998</v>
      </c>
      <c r="D4595" s="1">
        <v>-7.1280705496200003</v>
      </c>
      <c r="E4595" s="3">
        <v>1</v>
      </c>
      <c r="F4595" s="2">
        <v>2</v>
      </c>
      <c r="G4595" s="4">
        <v>3</v>
      </c>
      <c r="H4595" s="13">
        <v>2</v>
      </c>
      <c r="I4595" s="34">
        <v>1</v>
      </c>
      <c r="J4595" s="35">
        <v>2</v>
      </c>
      <c r="K4595" s="2" t="s">
        <v>9204</v>
      </c>
      <c r="L4595" s="36" t="str">
        <f t="shared" si="77"/>
        <v>Ver Imagen</v>
      </c>
      <c r="M4595" t="s">
        <v>8005</v>
      </c>
    </row>
    <row r="4596" spans="1:13" x14ac:dyDescent="0.25">
      <c r="A4596" s="33">
        <v>4599</v>
      </c>
      <c r="B4596" t="s">
        <v>9205</v>
      </c>
      <c r="C4596" s="1">
        <v>37.2278516322</v>
      </c>
      <c r="D4596" s="1">
        <v>-7.12664941304</v>
      </c>
      <c r="E4596" s="3">
        <v>5</v>
      </c>
      <c r="F4596" s="2">
        <v>3</v>
      </c>
      <c r="G4596" s="4">
        <v>4</v>
      </c>
      <c r="H4596" s="13">
        <v>3</v>
      </c>
      <c r="I4596" s="34">
        <v>4</v>
      </c>
      <c r="J4596" s="35">
        <v>4</v>
      </c>
      <c r="K4596" s="2" t="s">
        <v>9206</v>
      </c>
      <c r="L4596" s="36" t="str">
        <f t="shared" si="77"/>
        <v>Ver Imagen</v>
      </c>
      <c r="M4596" t="s">
        <v>8005</v>
      </c>
    </row>
    <row r="4597" spans="1:13" x14ac:dyDescent="0.25">
      <c r="A4597" s="33">
        <v>4600</v>
      </c>
      <c r="B4597" t="s">
        <v>9207</v>
      </c>
      <c r="C4597" s="1">
        <v>37.227073151399999</v>
      </c>
      <c r="D4597" s="1">
        <v>-7.1264033311899997</v>
      </c>
      <c r="E4597" s="3">
        <v>5</v>
      </c>
      <c r="F4597" s="2">
        <v>3</v>
      </c>
      <c r="G4597" s="4">
        <v>4</v>
      </c>
      <c r="H4597" s="13">
        <v>3</v>
      </c>
      <c r="I4597" s="34">
        <v>4</v>
      </c>
      <c r="J4597" s="35">
        <v>4</v>
      </c>
      <c r="K4597" s="2" t="s">
        <v>9208</v>
      </c>
      <c r="L4597" s="36" t="str">
        <f t="shared" si="77"/>
        <v>Ver Imagen</v>
      </c>
      <c r="M4597" t="s">
        <v>8005</v>
      </c>
    </row>
    <row r="4598" spans="1:13" x14ac:dyDescent="0.25">
      <c r="A4598" s="33">
        <v>4601</v>
      </c>
      <c r="B4598" t="s">
        <v>9209</v>
      </c>
      <c r="C4598" s="1">
        <v>37.223382157300001</v>
      </c>
      <c r="D4598" s="1">
        <v>-7.1250808812699997</v>
      </c>
      <c r="E4598" s="3">
        <v>4</v>
      </c>
      <c r="F4598" s="2">
        <v>2</v>
      </c>
      <c r="G4598" s="4">
        <v>2</v>
      </c>
      <c r="H4598" s="13">
        <v>2</v>
      </c>
      <c r="I4598" s="34">
        <v>1</v>
      </c>
      <c r="J4598" s="35">
        <v>2</v>
      </c>
      <c r="K4598" s="2" t="s">
        <v>9210</v>
      </c>
      <c r="L4598" s="36" t="str">
        <f t="shared" si="77"/>
        <v>Ver Imagen</v>
      </c>
      <c r="M4598" t="s">
        <v>8005</v>
      </c>
    </row>
    <row r="4599" spans="1:13" x14ac:dyDescent="0.25">
      <c r="A4599" s="33">
        <v>4602</v>
      </c>
      <c r="B4599" t="s">
        <v>9211</v>
      </c>
      <c r="C4599" s="1">
        <v>37.221138940499998</v>
      </c>
      <c r="D4599" s="1">
        <v>-7.1258030906099998</v>
      </c>
      <c r="E4599" s="3">
        <v>4</v>
      </c>
      <c r="F4599" s="2">
        <v>2</v>
      </c>
      <c r="G4599" s="4">
        <v>3</v>
      </c>
      <c r="H4599" s="13">
        <v>2</v>
      </c>
      <c r="I4599" s="34">
        <v>1</v>
      </c>
      <c r="J4599" s="35">
        <v>2</v>
      </c>
      <c r="K4599" s="2" t="s">
        <v>9212</v>
      </c>
      <c r="L4599" s="36" t="str">
        <f t="shared" si="77"/>
        <v>Ver Imagen</v>
      </c>
      <c r="M4599" t="s">
        <v>8005</v>
      </c>
    </row>
    <row r="4600" spans="1:13" x14ac:dyDescent="0.25">
      <c r="A4600" s="33">
        <v>4603</v>
      </c>
      <c r="B4600" t="s">
        <v>9213</v>
      </c>
      <c r="C4600" s="1">
        <v>37.439101590900002</v>
      </c>
      <c r="D4600" s="1">
        <v>-7.0857392932299996</v>
      </c>
      <c r="E4600" s="3">
        <v>3</v>
      </c>
      <c r="F4600" s="2">
        <v>3</v>
      </c>
      <c r="G4600" s="4">
        <v>5</v>
      </c>
      <c r="H4600" s="13">
        <v>2</v>
      </c>
      <c r="I4600" s="34">
        <v>1</v>
      </c>
      <c r="J4600" s="37">
        <v>2</v>
      </c>
      <c r="K4600" s="2" t="s">
        <v>9214</v>
      </c>
      <c r="L4600" s="36" t="str">
        <f t="shared" si="77"/>
        <v>Ver Imagen</v>
      </c>
      <c r="M4600" s="37" t="s">
        <v>8052</v>
      </c>
    </row>
    <row r="4601" spans="1:13" x14ac:dyDescent="0.25">
      <c r="A4601" s="33">
        <v>4604</v>
      </c>
      <c r="B4601" t="s">
        <v>9215</v>
      </c>
      <c r="C4601" s="1">
        <v>37.439006641799999</v>
      </c>
      <c r="D4601" s="1">
        <v>-7.0855233116800003</v>
      </c>
      <c r="E4601" s="3">
        <v>3</v>
      </c>
      <c r="F4601" s="2">
        <v>3</v>
      </c>
      <c r="G4601" s="4">
        <v>1</v>
      </c>
      <c r="H4601" s="13">
        <v>2</v>
      </c>
      <c r="I4601" s="34">
        <v>3</v>
      </c>
      <c r="J4601" s="35">
        <v>3</v>
      </c>
      <c r="K4601" s="2" t="s">
        <v>9216</v>
      </c>
      <c r="L4601" s="36" t="str">
        <f t="shared" si="77"/>
        <v>Ver Imagen</v>
      </c>
      <c r="M4601" t="s">
        <v>8005</v>
      </c>
    </row>
    <row r="4602" spans="1:13" x14ac:dyDescent="0.25">
      <c r="A4602" s="33">
        <v>4605</v>
      </c>
      <c r="B4602" t="s">
        <v>9217</v>
      </c>
      <c r="C4602" s="1">
        <v>37.438735399099997</v>
      </c>
      <c r="D4602" s="1">
        <v>-7.0848557908899998</v>
      </c>
      <c r="E4602" s="3">
        <v>4</v>
      </c>
      <c r="F4602" s="2">
        <v>3</v>
      </c>
      <c r="G4602" s="4">
        <v>5</v>
      </c>
      <c r="H4602" s="13">
        <v>3</v>
      </c>
      <c r="I4602" s="34">
        <v>3</v>
      </c>
      <c r="J4602" s="35">
        <v>3</v>
      </c>
      <c r="K4602" s="2" t="s">
        <v>9218</v>
      </c>
      <c r="L4602" s="36" t="str">
        <f t="shared" si="77"/>
        <v>Ver Imagen</v>
      </c>
      <c r="M4602" t="s">
        <v>8005</v>
      </c>
    </row>
    <row r="4603" spans="1:13" x14ac:dyDescent="0.25">
      <c r="A4603" s="33">
        <v>4606</v>
      </c>
      <c r="B4603" t="s">
        <v>9219</v>
      </c>
      <c r="C4603" s="1">
        <v>37.438484667300003</v>
      </c>
      <c r="D4603" s="1">
        <v>-7.0841689051500003</v>
      </c>
      <c r="E4603" s="3">
        <v>3</v>
      </c>
      <c r="F4603" s="2">
        <v>3</v>
      </c>
      <c r="G4603" s="4">
        <v>5</v>
      </c>
      <c r="H4603" s="13">
        <v>3</v>
      </c>
      <c r="I4603" s="34">
        <v>3</v>
      </c>
      <c r="J4603" s="35">
        <v>3</v>
      </c>
      <c r="K4603" s="2" t="s">
        <v>9220</v>
      </c>
      <c r="L4603" s="36" t="str">
        <f t="shared" si="77"/>
        <v>Ver Imagen</v>
      </c>
      <c r="M4603" t="s">
        <v>8005</v>
      </c>
    </row>
    <row r="4604" spans="1:13" x14ac:dyDescent="0.25">
      <c r="A4604" s="33">
        <v>4607</v>
      </c>
      <c r="B4604" t="s">
        <v>9221</v>
      </c>
      <c r="C4604" s="1">
        <v>37.438080231999997</v>
      </c>
      <c r="D4604" s="1">
        <v>-7.0829584582700003</v>
      </c>
      <c r="E4604" s="3">
        <v>3</v>
      </c>
      <c r="F4604" s="2">
        <v>3</v>
      </c>
      <c r="G4604" s="4">
        <v>5</v>
      </c>
      <c r="H4604" s="13">
        <v>3</v>
      </c>
      <c r="I4604" s="34">
        <v>2</v>
      </c>
      <c r="J4604" s="37">
        <v>2</v>
      </c>
      <c r="K4604" s="2" t="s">
        <v>9222</v>
      </c>
      <c r="L4604" s="36" t="str">
        <f t="shared" si="77"/>
        <v>Ver Imagen</v>
      </c>
      <c r="M4604" s="37" t="s">
        <v>8052</v>
      </c>
    </row>
    <row r="4605" spans="1:13" x14ac:dyDescent="0.25">
      <c r="A4605" s="33">
        <v>4608</v>
      </c>
      <c r="B4605" t="s">
        <v>9223</v>
      </c>
      <c r="C4605" s="1">
        <v>37.437699470600002</v>
      </c>
      <c r="D4605" s="1">
        <v>-7.08184496255</v>
      </c>
      <c r="E4605" s="3">
        <v>2</v>
      </c>
      <c r="F4605" s="2">
        <v>2</v>
      </c>
      <c r="G4605" s="4">
        <v>4</v>
      </c>
      <c r="H4605" s="13">
        <v>1</v>
      </c>
      <c r="I4605" s="34">
        <v>1</v>
      </c>
      <c r="J4605" s="37">
        <v>1</v>
      </c>
      <c r="K4605" s="2" t="s">
        <v>9224</v>
      </c>
      <c r="L4605" s="36" t="str">
        <f t="shared" si="77"/>
        <v>Ver Imagen</v>
      </c>
      <c r="M4605" s="37" t="s">
        <v>8052</v>
      </c>
    </row>
    <row r="4606" spans="1:13" x14ac:dyDescent="0.25">
      <c r="A4606" s="33">
        <v>4609</v>
      </c>
      <c r="B4606" t="s">
        <v>9225</v>
      </c>
      <c r="C4606" s="1">
        <v>37.437538134299999</v>
      </c>
      <c r="D4606" s="1">
        <v>-7.0813872399099997</v>
      </c>
      <c r="E4606" s="3">
        <v>3</v>
      </c>
      <c r="F4606" s="2">
        <v>3</v>
      </c>
      <c r="G4606" s="4">
        <v>1</v>
      </c>
      <c r="H4606" s="13">
        <v>2</v>
      </c>
      <c r="I4606" s="34">
        <v>3</v>
      </c>
      <c r="J4606" s="35">
        <v>3</v>
      </c>
      <c r="K4606" s="2" t="s">
        <v>9226</v>
      </c>
      <c r="L4606" s="36" t="str">
        <f t="shared" si="77"/>
        <v>Ver Imagen</v>
      </c>
      <c r="M4606" t="s">
        <v>8005</v>
      </c>
    </row>
    <row r="4607" spans="1:13" x14ac:dyDescent="0.25">
      <c r="A4607" s="33">
        <v>4610</v>
      </c>
      <c r="B4607" t="s">
        <v>9227</v>
      </c>
      <c r="C4607" s="1">
        <v>37.437127494599999</v>
      </c>
      <c r="D4607" s="1">
        <v>-7.0803186620799998</v>
      </c>
      <c r="E4607" s="3">
        <v>3</v>
      </c>
      <c r="F4607" s="2">
        <v>3</v>
      </c>
      <c r="G4607" s="4">
        <v>5</v>
      </c>
      <c r="H4607" s="13">
        <v>2</v>
      </c>
      <c r="I4607" s="34">
        <v>2</v>
      </c>
      <c r="J4607" s="37">
        <v>2</v>
      </c>
      <c r="K4607" s="2" t="s">
        <v>9228</v>
      </c>
      <c r="L4607" s="36" t="str">
        <f t="shared" si="77"/>
        <v>Ver Imagen</v>
      </c>
      <c r="M4607" s="37" t="s">
        <v>8052</v>
      </c>
    </row>
    <row r="4608" spans="1:13" x14ac:dyDescent="0.25">
      <c r="A4608" s="33">
        <v>4611</v>
      </c>
      <c r="B4608" t="s">
        <v>9229</v>
      </c>
      <c r="C4608" s="1">
        <v>37.437098555399999</v>
      </c>
      <c r="D4608" s="1">
        <v>-7.0801439884699997</v>
      </c>
      <c r="E4608" s="3">
        <v>3</v>
      </c>
      <c r="F4608" s="2">
        <v>3</v>
      </c>
      <c r="G4608" s="4">
        <v>5</v>
      </c>
      <c r="H4608" s="13">
        <v>2</v>
      </c>
      <c r="I4608" s="34">
        <v>3</v>
      </c>
      <c r="J4608" s="35">
        <v>3</v>
      </c>
      <c r="K4608" s="2" t="s">
        <v>9230</v>
      </c>
      <c r="L4608" s="36" t="str">
        <f t="shared" si="77"/>
        <v>Ver Imagen</v>
      </c>
      <c r="M4608" t="s">
        <v>8005</v>
      </c>
    </row>
    <row r="4609" spans="1:13" x14ac:dyDescent="0.25">
      <c r="A4609" s="33">
        <v>4612</v>
      </c>
      <c r="B4609" t="s">
        <v>9231</v>
      </c>
      <c r="C4609" s="1">
        <v>37.436930597500002</v>
      </c>
      <c r="D4609" s="1">
        <v>-7.0796558908799998</v>
      </c>
      <c r="E4609" s="3">
        <v>3</v>
      </c>
      <c r="F4609" s="2">
        <v>3</v>
      </c>
      <c r="G4609" s="4">
        <v>5</v>
      </c>
      <c r="H4609" s="13">
        <v>2</v>
      </c>
      <c r="I4609" s="34">
        <v>3</v>
      </c>
      <c r="J4609" s="35">
        <v>3</v>
      </c>
      <c r="K4609" s="2" t="s">
        <v>9232</v>
      </c>
      <c r="L4609" s="36" t="str">
        <f t="shared" si="77"/>
        <v>Ver Imagen</v>
      </c>
      <c r="M4609" t="s">
        <v>8005</v>
      </c>
    </row>
    <row r="4610" spans="1:13" x14ac:dyDescent="0.25">
      <c r="A4610" s="33">
        <v>4613</v>
      </c>
      <c r="B4610" t="s">
        <v>9233</v>
      </c>
      <c r="C4610" s="1">
        <v>37.221046032300002</v>
      </c>
      <c r="D4610" s="1">
        <v>-7.0534895250299998</v>
      </c>
      <c r="E4610" s="3">
        <v>3</v>
      </c>
      <c r="F4610" s="2">
        <v>4</v>
      </c>
      <c r="G4610" s="4">
        <v>5</v>
      </c>
      <c r="H4610" s="13">
        <v>3</v>
      </c>
      <c r="I4610" s="34">
        <v>3</v>
      </c>
      <c r="J4610" s="35">
        <v>3</v>
      </c>
      <c r="K4610" s="2" t="s">
        <v>9234</v>
      </c>
      <c r="L4610" s="36" t="str">
        <f t="shared" si="77"/>
        <v>Ver Imagen</v>
      </c>
      <c r="M4610" t="s">
        <v>8005</v>
      </c>
    </row>
    <row r="4611" spans="1:13" x14ac:dyDescent="0.25">
      <c r="A4611" s="33">
        <v>4614</v>
      </c>
      <c r="B4611" t="s">
        <v>9235</v>
      </c>
      <c r="C4611" s="1">
        <v>37.435495046299998</v>
      </c>
      <c r="D4611" s="1">
        <v>-7.0740269526899997</v>
      </c>
      <c r="E4611" s="3">
        <v>4</v>
      </c>
      <c r="F4611" s="2">
        <v>3</v>
      </c>
      <c r="G4611" s="4">
        <v>5</v>
      </c>
      <c r="H4611" s="13">
        <v>3</v>
      </c>
      <c r="I4611" s="34">
        <v>4</v>
      </c>
      <c r="J4611" s="35">
        <v>4</v>
      </c>
      <c r="K4611" s="2" t="s">
        <v>9236</v>
      </c>
      <c r="L4611" s="36" t="str">
        <f t="shared" si="77"/>
        <v>Ver Imagen</v>
      </c>
      <c r="M4611" t="s">
        <v>8005</v>
      </c>
    </row>
    <row r="4612" spans="1:13" x14ac:dyDescent="0.25">
      <c r="A4612" s="33">
        <v>4615</v>
      </c>
      <c r="B4612" t="s">
        <v>9237</v>
      </c>
      <c r="C4612" s="1">
        <v>37.435406222700003</v>
      </c>
      <c r="D4612" s="1">
        <v>-7.0730024488499996</v>
      </c>
      <c r="E4612" s="3">
        <v>3</v>
      </c>
      <c r="F4612" s="2">
        <v>3</v>
      </c>
      <c r="G4612" s="4">
        <v>5</v>
      </c>
      <c r="H4612" s="13">
        <v>2</v>
      </c>
      <c r="I4612" s="34">
        <v>2</v>
      </c>
      <c r="J4612" s="37">
        <v>2</v>
      </c>
      <c r="K4612" s="2" t="s">
        <v>9238</v>
      </c>
      <c r="L4612" s="36" t="str">
        <f t="shared" si="77"/>
        <v>Ver Imagen</v>
      </c>
      <c r="M4612" s="37" t="s">
        <v>8052</v>
      </c>
    </row>
    <row r="4613" spans="1:13" x14ac:dyDescent="0.25">
      <c r="A4613" s="33">
        <v>4616</v>
      </c>
      <c r="B4613" t="s">
        <v>9239</v>
      </c>
      <c r="C4613" s="1">
        <v>37.435385066599999</v>
      </c>
      <c r="D4613" s="1">
        <v>-7.0727440786300004</v>
      </c>
      <c r="E4613" s="3">
        <v>3</v>
      </c>
      <c r="F4613" s="2">
        <v>3</v>
      </c>
      <c r="G4613" s="4">
        <v>5</v>
      </c>
      <c r="H4613" s="13">
        <v>3</v>
      </c>
      <c r="I4613" s="34">
        <v>3</v>
      </c>
      <c r="J4613" s="35">
        <v>3</v>
      </c>
      <c r="K4613" s="2" t="s">
        <v>9240</v>
      </c>
      <c r="L4613" s="36" t="str">
        <f t="shared" si="77"/>
        <v>Ver Imagen</v>
      </c>
      <c r="M4613" t="s">
        <v>8005</v>
      </c>
    </row>
    <row r="4614" spans="1:13" x14ac:dyDescent="0.25">
      <c r="A4614" s="33">
        <v>4617</v>
      </c>
      <c r="B4614" t="s">
        <v>9241</v>
      </c>
      <c r="C4614" s="1">
        <v>37.435171062000002</v>
      </c>
      <c r="D4614" s="1">
        <v>-7.0707321871</v>
      </c>
      <c r="E4614" s="3">
        <v>3</v>
      </c>
      <c r="F4614" s="2">
        <v>3</v>
      </c>
      <c r="G4614" s="4">
        <v>1</v>
      </c>
      <c r="H4614" s="13">
        <v>3</v>
      </c>
      <c r="I4614" s="34">
        <v>3</v>
      </c>
      <c r="J4614" s="35">
        <v>3</v>
      </c>
      <c r="K4614" s="2" t="s">
        <v>9242</v>
      </c>
      <c r="L4614" s="36" t="str">
        <f t="shared" si="77"/>
        <v>Ver Imagen</v>
      </c>
      <c r="M4614" t="s">
        <v>8005</v>
      </c>
    </row>
    <row r="4615" spans="1:13" x14ac:dyDescent="0.25">
      <c r="A4615" s="33">
        <v>4618</v>
      </c>
      <c r="B4615" t="s">
        <v>9243</v>
      </c>
      <c r="C4615" s="1">
        <v>37.434903599199998</v>
      </c>
      <c r="D4615" s="1">
        <v>-7.0695227484999998</v>
      </c>
      <c r="E4615" s="3">
        <v>3</v>
      </c>
      <c r="F4615" s="2">
        <v>3</v>
      </c>
      <c r="G4615" s="4">
        <v>1</v>
      </c>
      <c r="H4615" s="13">
        <v>3</v>
      </c>
      <c r="I4615" s="34">
        <v>3</v>
      </c>
      <c r="J4615" s="35">
        <v>3</v>
      </c>
      <c r="K4615" s="2" t="s">
        <v>9244</v>
      </c>
      <c r="L4615" s="36" t="str">
        <f t="shared" si="77"/>
        <v>Ver Imagen</v>
      </c>
      <c r="M4615" t="s">
        <v>8005</v>
      </c>
    </row>
    <row r="4616" spans="1:13" x14ac:dyDescent="0.25">
      <c r="A4616" s="33">
        <v>4619</v>
      </c>
      <c r="B4616" t="s">
        <v>9245</v>
      </c>
      <c r="C4616" s="1">
        <v>37.234646633899999</v>
      </c>
      <c r="D4616" s="1">
        <v>-7.0719821676199999</v>
      </c>
      <c r="E4616" s="3">
        <v>3</v>
      </c>
      <c r="F4616" s="2">
        <v>2</v>
      </c>
      <c r="G4616" s="4">
        <v>4</v>
      </c>
      <c r="H4616" s="13">
        <v>2</v>
      </c>
      <c r="I4616" s="34">
        <v>1</v>
      </c>
      <c r="J4616" s="37">
        <v>1</v>
      </c>
      <c r="K4616" s="2" t="s">
        <v>9246</v>
      </c>
      <c r="L4616" s="36" t="str">
        <f t="shared" si="77"/>
        <v>Ver Imagen</v>
      </c>
      <c r="M4616" s="37" t="s">
        <v>8052</v>
      </c>
    </row>
    <row r="4617" spans="1:13" x14ac:dyDescent="0.25">
      <c r="A4617" s="33">
        <v>4620</v>
      </c>
      <c r="B4617" t="s">
        <v>9247</v>
      </c>
      <c r="C4617" s="1">
        <v>37.234862778900002</v>
      </c>
      <c r="D4617" s="1">
        <v>-7.0726528652600003</v>
      </c>
      <c r="E4617" s="3">
        <v>3</v>
      </c>
      <c r="F4617" s="2">
        <v>2</v>
      </c>
      <c r="G4617" s="4">
        <v>4</v>
      </c>
      <c r="H4617" s="13">
        <v>2</v>
      </c>
      <c r="I4617" s="34">
        <v>1</v>
      </c>
      <c r="J4617" s="35">
        <v>2</v>
      </c>
      <c r="K4617" s="2" t="s">
        <v>9248</v>
      </c>
      <c r="L4617" s="36" t="str">
        <f t="shared" si="77"/>
        <v>Ver Imagen</v>
      </c>
      <c r="M4617" t="s">
        <v>8005</v>
      </c>
    </row>
    <row r="4618" spans="1:13" x14ac:dyDescent="0.25">
      <c r="A4618" s="33">
        <v>4621</v>
      </c>
      <c r="B4618" t="s">
        <v>9249</v>
      </c>
      <c r="C4618" s="1">
        <v>37.235504255999999</v>
      </c>
      <c r="D4618" s="1">
        <v>-7.0739227229599999</v>
      </c>
      <c r="E4618" s="3">
        <v>3</v>
      </c>
      <c r="F4618" s="2">
        <v>2</v>
      </c>
      <c r="G4618" s="4">
        <v>4</v>
      </c>
      <c r="H4618" s="13">
        <v>2</v>
      </c>
      <c r="I4618" s="34">
        <v>2</v>
      </c>
      <c r="J4618" s="35">
        <v>2</v>
      </c>
      <c r="K4618" s="2" t="s">
        <v>9250</v>
      </c>
      <c r="L4618" s="36" t="str">
        <f t="shared" si="77"/>
        <v>Ver Imagen</v>
      </c>
      <c r="M4618" t="s">
        <v>8005</v>
      </c>
    </row>
    <row r="4619" spans="1:13" x14ac:dyDescent="0.25">
      <c r="A4619" s="33">
        <v>4622</v>
      </c>
      <c r="B4619" t="s">
        <v>9251</v>
      </c>
      <c r="C4619" s="1">
        <v>37.238219489700001</v>
      </c>
      <c r="D4619" s="1">
        <v>-7.0787057613900002</v>
      </c>
      <c r="E4619" s="3">
        <v>3</v>
      </c>
      <c r="F4619" s="2">
        <v>2</v>
      </c>
      <c r="G4619" s="4">
        <v>4</v>
      </c>
      <c r="H4619" s="13">
        <v>2</v>
      </c>
      <c r="I4619" s="34">
        <v>2</v>
      </c>
      <c r="J4619" s="35">
        <v>2</v>
      </c>
      <c r="K4619" s="2" t="s">
        <v>9252</v>
      </c>
      <c r="L4619" s="36" t="str">
        <f t="shared" si="77"/>
        <v>Ver Imagen</v>
      </c>
      <c r="M4619" t="s">
        <v>8005</v>
      </c>
    </row>
    <row r="4620" spans="1:13" x14ac:dyDescent="0.25">
      <c r="A4620" s="33">
        <v>4623</v>
      </c>
      <c r="B4620" t="s">
        <v>9253</v>
      </c>
      <c r="C4620" s="1">
        <v>37.241678919899996</v>
      </c>
      <c r="D4620" s="1">
        <v>-7.0839572134599997</v>
      </c>
      <c r="E4620" s="3">
        <v>3</v>
      </c>
      <c r="F4620" s="2">
        <v>2</v>
      </c>
      <c r="G4620" s="4">
        <v>4</v>
      </c>
      <c r="H4620" s="13">
        <v>2</v>
      </c>
      <c r="I4620" s="34">
        <v>2</v>
      </c>
      <c r="J4620" s="35">
        <v>2</v>
      </c>
      <c r="K4620" s="2" t="s">
        <v>9254</v>
      </c>
      <c r="L4620" s="36" t="str">
        <f t="shared" si="77"/>
        <v>Ver Imagen</v>
      </c>
      <c r="M4620" t="s">
        <v>8005</v>
      </c>
    </row>
    <row r="4621" spans="1:13" x14ac:dyDescent="0.25">
      <c r="A4621" s="33">
        <v>4624</v>
      </c>
      <c r="B4621" t="s">
        <v>9255</v>
      </c>
      <c r="C4621" s="1">
        <v>37.241804261600002</v>
      </c>
      <c r="D4621" s="1">
        <v>-7.0841646256999997</v>
      </c>
      <c r="E4621" s="3">
        <v>3</v>
      </c>
      <c r="F4621" s="2">
        <v>2</v>
      </c>
      <c r="G4621" s="4">
        <v>4</v>
      </c>
      <c r="H4621" s="13">
        <v>2</v>
      </c>
      <c r="I4621" s="34">
        <v>2</v>
      </c>
      <c r="J4621" s="35">
        <v>2</v>
      </c>
      <c r="K4621" s="2" t="s">
        <v>9256</v>
      </c>
      <c r="L4621" s="36" t="str">
        <f t="shared" si="77"/>
        <v>Ver Imagen</v>
      </c>
      <c r="M4621" t="s">
        <v>8005</v>
      </c>
    </row>
    <row r="4622" spans="1:13" x14ac:dyDescent="0.25">
      <c r="A4622" s="33">
        <v>4625</v>
      </c>
      <c r="B4622" t="s">
        <v>9257</v>
      </c>
      <c r="C4622" s="1">
        <v>37.247821658699998</v>
      </c>
      <c r="D4622" s="1">
        <v>-7.1011808370600003</v>
      </c>
      <c r="E4622" s="3">
        <v>3</v>
      </c>
      <c r="F4622" s="2">
        <v>2</v>
      </c>
      <c r="G4622" s="4">
        <v>4</v>
      </c>
      <c r="H4622" s="13">
        <v>2</v>
      </c>
      <c r="I4622" s="34">
        <v>3</v>
      </c>
      <c r="J4622" s="37">
        <v>2</v>
      </c>
      <c r="K4622" s="2" t="s">
        <v>9258</v>
      </c>
      <c r="L4622" s="36" t="str">
        <f t="shared" si="77"/>
        <v>Ver Imagen</v>
      </c>
      <c r="M4622" s="37" t="s">
        <v>8052</v>
      </c>
    </row>
    <row r="4623" spans="1:13" x14ac:dyDescent="0.25">
      <c r="A4623" s="33">
        <v>4626</v>
      </c>
      <c r="B4623" t="s">
        <v>9259</v>
      </c>
      <c r="C4623" s="1">
        <v>37.255375557699999</v>
      </c>
      <c r="D4623" s="1">
        <v>-7.1106908937900002</v>
      </c>
      <c r="E4623" s="3">
        <v>3</v>
      </c>
      <c r="F4623" s="2">
        <v>2</v>
      </c>
      <c r="G4623" s="4">
        <v>4</v>
      </c>
      <c r="H4623" s="13">
        <v>1</v>
      </c>
      <c r="I4623" s="34">
        <v>2</v>
      </c>
      <c r="J4623" s="35">
        <v>2</v>
      </c>
      <c r="K4623" s="2" t="s">
        <v>9260</v>
      </c>
      <c r="L4623" s="36" t="str">
        <f t="shared" si="77"/>
        <v>Ver Imagen</v>
      </c>
      <c r="M4623" t="s">
        <v>8005</v>
      </c>
    </row>
    <row r="4624" spans="1:13" x14ac:dyDescent="0.25">
      <c r="A4624" s="33">
        <v>4627</v>
      </c>
      <c r="B4624" t="s">
        <v>9261</v>
      </c>
      <c r="C4624" s="1">
        <v>37.255382617800002</v>
      </c>
      <c r="D4624" s="1">
        <v>-7.1109169864100004</v>
      </c>
      <c r="E4624" s="3">
        <v>3</v>
      </c>
      <c r="F4624" s="2">
        <v>2</v>
      </c>
      <c r="G4624" s="4">
        <v>4</v>
      </c>
      <c r="H4624" s="13">
        <v>2</v>
      </c>
      <c r="I4624" s="34">
        <v>2</v>
      </c>
      <c r="J4624" s="35">
        <v>2</v>
      </c>
      <c r="K4624" s="2" t="s">
        <v>9262</v>
      </c>
      <c r="L4624" s="36" t="str">
        <f t="shared" si="77"/>
        <v>Ver Imagen</v>
      </c>
      <c r="M4624" t="s">
        <v>8005</v>
      </c>
    </row>
    <row r="4625" spans="1:13" x14ac:dyDescent="0.25">
      <c r="A4625" s="33">
        <v>4628</v>
      </c>
      <c r="B4625" t="s">
        <v>9263</v>
      </c>
      <c r="C4625" s="1">
        <v>37.255376013099998</v>
      </c>
      <c r="D4625" s="1">
        <v>-7.1111734133300004</v>
      </c>
      <c r="E4625" s="3">
        <v>3</v>
      </c>
      <c r="F4625" s="2">
        <v>2</v>
      </c>
      <c r="G4625" s="4">
        <v>4</v>
      </c>
      <c r="H4625" s="13">
        <v>2</v>
      </c>
      <c r="I4625" s="34">
        <v>2</v>
      </c>
      <c r="J4625" s="35">
        <v>2</v>
      </c>
      <c r="K4625" s="2" t="s">
        <v>9264</v>
      </c>
      <c r="L4625" s="36" t="str">
        <f t="shared" si="77"/>
        <v>Ver Imagen</v>
      </c>
      <c r="M4625" t="s">
        <v>8005</v>
      </c>
    </row>
    <row r="4626" spans="1:13" x14ac:dyDescent="0.25">
      <c r="A4626" s="33">
        <v>4629</v>
      </c>
      <c r="B4626" t="s">
        <v>9265</v>
      </c>
      <c r="C4626" s="1">
        <v>37.255111172399999</v>
      </c>
      <c r="D4626" s="1">
        <v>-7.1174468928000003</v>
      </c>
      <c r="E4626" s="3">
        <v>3</v>
      </c>
      <c r="F4626" s="2">
        <v>2</v>
      </c>
      <c r="G4626" s="4">
        <v>4</v>
      </c>
      <c r="H4626" s="13">
        <v>2</v>
      </c>
      <c r="I4626" s="34">
        <v>2</v>
      </c>
      <c r="J4626" s="35">
        <v>2</v>
      </c>
      <c r="K4626" s="2" t="s">
        <v>9266</v>
      </c>
      <c r="L4626" s="36" t="str">
        <f t="shared" si="77"/>
        <v>Ver Imagen</v>
      </c>
      <c r="M4626" t="s">
        <v>8005</v>
      </c>
    </row>
    <row r="4627" spans="1:13" x14ac:dyDescent="0.25">
      <c r="A4627" s="33">
        <v>4630</v>
      </c>
      <c r="B4627" t="s">
        <v>9267</v>
      </c>
      <c r="C4627" s="1">
        <v>37.256550867000001</v>
      </c>
      <c r="D4627" s="1">
        <v>-7.1187973395900004</v>
      </c>
      <c r="E4627" s="3">
        <v>3</v>
      </c>
      <c r="F4627" s="2">
        <v>2</v>
      </c>
      <c r="G4627" s="4">
        <v>4</v>
      </c>
      <c r="H4627" s="13">
        <v>2</v>
      </c>
      <c r="I4627" s="34">
        <v>2</v>
      </c>
      <c r="J4627" s="35">
        <v>2</v>
      </c>
      <c r="K4627" s="2" t="s">
        <v>9268</v>
      </c>
      <c r="L4627" s="36" t="str">
        <f t="shared" si="77"/>
        <v>Ver Imagen</v>
      </c>
      <c r="M4627" t="s">
        <v>8005</v>
      </c>
    </row>
    <row r="4628" spans="1:13" x14ac:dyDescent="0.25">
      <c r="A4628" s="33">
        <v>4631</v>
      </c>
      <c r="B4628" t="s">
        <v>9269</v>
      </c>
      <c r="C4628" s="1">
        <v>37.257769337799999</v>
      </c>
      <c r="D4628" s="1">
        <v>-7.1196901660899998</v>
      </c>
      <c r="E4628" s="3">
        <v>3</v>
      </c>
      <c r="F4628" s="2">
        <v>2</v>
      </c>
      <c r="G4628" s="4">
        <v>4</v>
      </c>
      <c r="H4628" s="13">
        <v>2</v>
      </c>
      <c r="I4628" s="34">
        <v>3</v>
      </c>
      <c r="J4628" s="35">
        <v>3</v>
      </c>
      <c r="K4628" s="2" t="s">
        <v>9270</v>
      </c>
      <c r="L4628" s="36" t="str">
        <f t="shared" si="77"/>
        <v>Ver Imagen</v>
      </c>
      <c r="M4628" t="s">
        <v>8005</v>
      </c>
    </row>
    <row r="4629" spans="1:13" x14ac:dyDescent="0.25">
      <c r="A4629" s="33">
        <v>4632</v>
      </c>
      <c r="B4629" t="s">
        <v>9271</v>
      </c>
      <c r="C4629" s="1">
        <v>37.258894044500003</v>
      </c>
      <c r="D4629" s="1">
        <v>-7.1235269267100003</v>
      </c>
      <c r="E4629" s="3">
        <v>4</v>
      </c>
      <c r="F4629" s="2">
        <v>3</v>
      </c>
      <c r="G4629" s="4">
        <v>5</v>
      </c>
      <c r="H4629" s="13">
        <v>3</v>
      </c>
      <c r="I4629" s="34">
        <v>4</v>
      </c>
      <c r="J4629" s="35">
        <v>4</v>
      </c>
      <c r="K4629" s="2" t="s">
        <v>9272</v>
      </c>
      <c r="L4629" s="36" t="str">
        <f t="shared" si="77"/>
        <v>Ver Imagen</v>
      </c>
      <c r="M4629" t="s">
        <v>8005</v>
      </c>
    </row>
    <row r="4630" spans="1:13" x14ac:dyDescent="0.25">
      <c r="A4630" s="33">
        <v>4633</v>
      </c>
      <c r="B4630" t="s">
        <v>9273</v>
      </c>
      <c r="C4630" s="1">
        <v>37.2589180931</v>
      </c>
      <c r="D4630" s="1">
        <v>-7.1238292239099996</v>
      </c>
      <c r="E4630" s="3">
        <v>4</v>
      </c>
      <c r="F4630" s="2">
        <v>3</v>
      </c>
      <c r="G4630" s="4">
        <v>5</v>
      </c>
      <c r="H4630" s="13">
        <v>3</v>
      </c>
      <c r="I4630" s="34">
        <v>4</v>
      </c>
      <c r="J4630" s="35">
        <v>4</v>
      </c>
      <c r="K4630" s="2" t="s">
        <v>9274</v>
      </c>
      <c r="L4630" s="36" t="str">
        <f t="shared" si="77"/>
        <v>Ver Imagen</v>
      </c>
      <c r="M4630" t="s">
        <v>8005</v>
      </c>
    </row>
    <row r="4631" spans="1:13" x14ac:dyDescent="0.25">
      <c r="A4631" s="33">
        <v>4634</v>
      </c>
      <c r="B4631" t="s">
        <v>9275</v>
      </c>
      <c r="C4631" s="1">
        <v>37.258990104399999</v>
      </c>
      <c r="D4631" s="1">
        <v>-7.1245738105500003</v>
      </c>
      <c r="E4631" s="3">
        <v>4</v>
      </c>
      <c r="F4631" s="2">
        <v>3</v>
      </c>
      <c r="G4631" s="4">
        <v>5</v>
      </c>
      <c r="H4631" s="13">
        <v>3</v>
      </c>
      <c r="I4631" s="34">
        <v>3</v>
      </c>
      <c r="J4631" s="35">
        <v>3</v>
      </c>
      <c r="K4631" s="2" t="s">
        <v>9276</v>
      </c>
      <c r="L4631" s="36" t="str">
        <f t="shared" si="77"/>
        <v>Ver Imagen</v>
      </c>
      <c r="M4631" t="s">
        <v>8005</v>
      </c>
    </row>
    <row r="4632" spans="1:13" x14ac:dyDescent="0.25">
      <c r="A4632" s="33">
        <v>4635</v>
      </c>
      <c r="B4632" t="s">
        <v>9277</v>
      </c>
      <c r="C4632" s="1">
        <v>37.259030052900002</v>
      </c>
      <c r="D4632" s="1">
        <v>-7.1248279390300002</v>
      </c>
      <c r="E4632" s="3">
        <v>3</v>
      </c>
      <c r="F4632" s="2">
        <v>3</v>
      </c>
      <c r="G4632" s="4">
        <v>5</v>
      </c>
      <c r="H4632" s="13">
        <v>2</v>
      </c>
      <c r="I4632" s="34">
        <v>3</v>
      </c>
      <c r="J4632" s="35">
        <v>3</v>
      </c>
      <c r="K4632" s="2" t="s">
        <v>9278</v>
      </c>
      <c r="L4632" s="36" t="str">
        <f t="shared" si="77"/>
        <v>Ver Imagen</v>
      </c>
      <c r="M4632" t="s">
        <v>8005</v>
      </c>
    </row>
    <row r="4633" spans="1:13" x14ac:dyDescent="0.25">
      <c r="A4633" s="33">
        <v>4636</v>
      </c>
      <c r="B4633" t="s">
        <v>9279</v>
      </c>
      <c r="C4633" s="1">
        <v>37.259871133099999</v>
      </c>
      <c r="D4633" s="1">
        <v>-7.1264702160000004</v>
      </c>
      <c r="E4633" s="3">
        <v>3</v>
      </c>
      <c r="F4633" s="2">
        <v>2</v>
      </c>
      <c r="G4633" s="4">
        <v>4</v>
      </c>
      <c r="H4633" s="13">
        <v>2</v>
      </c>
      <c r="I4633" s="34">
        <v>2</v>
      </c>
      <c r="J4633" s="35">
        <v>2</v>
      </c>
      <c r="K4633" s="2" t="s">
        <v>9280</v>
      </c>
      <c r="L4633" s="36" t="str">
        <f t="shared" si="77"/>
        <v>Ver Imagen</v>
      </c>
      <c r="M4633" t="s">
        <v>8005</v>
      </c>
    </row>
    <row r="4634" spans="1:13" x14ac:dyDescent="0.25">
      <c r="A4634" s="33">
        <v>4637</v>
      </c>
      <c r="B4634" t="s">
        <v>9281</v>
      </c>
      <c r="C4634" s="1">
        <v>37.260493537499997</v>
      </c>
      <c r="D4634" s="1">
        <v>-7.1270947206399997</v>
      </c>
      <c r="E4634" s="3">
        <v>3</v>
      </c>
      <c r="F4634" s="2">
        <v>2</v>
      </c>
      <c r="G4634" s="4">
        <v>4</v>
      </c>
      <c r="H4634" s="13">
        <v>2</v>
      </c>
      <c r="I4634" s="34">
        <v>2</v>
      </c>
      <c r="J4634" s="35">
        <v>2</v>
      </c>
      <c r="K4634" s="2" t="s">
        <v>9282</v>
      </c>
      <c r="L4634" s="36" t="str">
        <f t="shared" si="77"/>
        <v>Ver Imagen</v>
      </c>
      <c r="M4634" t="s">
        <v>8005</v>
      </c>
    </row>
    <row r="4635" spans="1:13" x14ac:dyDescent="0.25">
      <c r="A4635" s="33">
        <v>4638</v>
      </c>
      <c r="B4635" t="s">
        <v>9283</v>
      </c>
      <c r="C4635" s="1">
        <v>37.261066654099999</v>
      </c>
      <c r="D4635" s="1">
        <v>-7.1281587782600004</v>
      </c>
      <c r="E4635" s="3">
        <v>3</v>
      </c>
      <c r="F4635" s="2">
        <v>2</v>
      </c>
      <c r="G4635" s="4">
        <v>4</v>
      </c>
      <c r="H4635" s="13">
        <v>1</v>
      </c>
      <c r="I4635" s="34">
        <v>1</v>
      </c>
      <c r="J4635" s="37">
        <v>1</v>
      </c>
      <c r="K4635" s="2" t="s">
        <v>9284</v>
      </c>
      <c r="L4635" s="36" t="str">
        <f t="shared" si="77"/>
        <v>Ver Imagen</v>
      </c>
      <c r="M4635" s="37" t="s">
        <v>8052</v>
      </c>
    </row>
    <row r="4636" spans="1:13" x14ac:dyDescent="0.25">
      <c r="A4636" s="33">
        <v>4639</v>
      </c>
      <c r="B4636" t="s">
        <v>9285</v>
      </c>
      <c r="C4636" s="1">
        <v>37.444086111600001</v>
      </c>
      <c r="D4636" s="1">
        <v>-7.1000021493499998</v>
      </c>
      <c r="E4636" s="3">
        <v>5</v>
      </c>
      <c r="F4636" s="2">
        <v>3</v>
      </c>
      <c r="G4636" s="4">
        <v>3</v>
      </c>
      <c r="H4636" s="13">
        <v>4</v>
      </c>
      <c r="I4636" s="34">
        <v>3</v>
      </c>
      <c r="J4636" s="35">
        <v>3</v>
      </c>
      <c r="K4636" s="2" t="s">
        <v>9286</v>
      </c>
      <c r="L4636" s="36" t="str">
        <f t="shared" ref="L4636:L4699" si="78">HYPERLINK("NoConsenso\" &amp; K4636, "Ver Imagen")</f>
        <v>Ver Imagen</v>
      </c>
      <c r="M4636" t="s">
        <v>8005</v>
      </c>
    </row>
    <row r="4637" spans="1:13" x14ac:dyDescent="0.25">
      <c r="A4637" s="33">
        <v>4640</v>
      </c>
      <c r="B4637" t="s">
        <v>9287</v>
      </c>
      <c r="C4637" s="1">
        <v>37.4836230517</v>
      </c>
      <c r="D4637" s="1">
        <v>-7.1295216251299998</v>
      </c>
      <c r="E4637" s="3">
        <v>2</v>
      </c>
      <c r="F4637" s="2">
        <v>3</v>
      </c>
      <c r="G4637" s="4">
        <v>4</v>
      </c>
      <c r="H4637" s="13">
        <v>2</v>
      </c>
      <c r="I4637" s="34">
        <v>1</v>
      </c>
      <c r="J4637" s="35">
        <v>2</v>
      </c>
      <c r="K4637" s="2" t="s">
        <v>9288</v>
      </c>
      <c r="L4637" s="36" t="str">
        <f t="shared" si="78"/>
        <v>Ver Imagen</v>
      </c>
      <c r="M4637" t="s">
        <v>8005</v>
      </c>
    </row>
    <row r="4638" spans="1:13" x14ac:dyDescent="0.25">
      <c r="A4638" s="33">
        <v>4641</v>
      </c>
      <c r="B4638" t="s">
        <v>9289</v>
      </c>
      <c r="C4638" s="1">
        <v>37.480536313400002</v>
      </c>
      <c r="D4638" s="1">
        <v>-7.1277583396799997</v>
      </c>
      <c r="E4638" s="3">
        <v>5</v>
      </c>
      <c r="F4638" s="2">
        <v>3</v>
      </c>
      <c r="G4638" s="4">
        <v>4</v>
      </c>
      <c r="H4638" s="13">
        <v>4</v>
      </c>
      <c r="I4638" s="34">
        <v>3</v>
      </c>
      <c r="J4638" s="35">
        <v>4</v>
      </c>
      <c r="K4638" s="2" t="s">
        <v>9290</v>
      </c>
      <c r="L4638" s="36" t="str">
        <f t="shared" si="78"/>
        <v>Ver Imagen</v>
      </c>
      <c r="M4638" t="s">
        <v>8005</v>
      </c>
    </row>
    <row r="4639" spans="1:13" x14ac:dyDescent="0.25">
      <c r="A4639" s="33">
        <v>4642</v>
      </c>
      <c r="B4639" t="s">
        <v>9291</v>
      </c>
      <c r="C4639" s="1">
        <v>37.479328979100003</v>
      </c>
      <c r="D4639" s="1">
        <v>-7.1280194446199996</v>
      </c>
      <c r="E4639" s="3">
        <v>5</v>
      </c>
      <c r="F4639" s="2">
        <v>3</v>
      </c>
      <c r="G4639" s="4">
        <v>4</v>
      </c>
      <c r="H4639" s="13">
        <v>3</v>
      </c>
      <c r="I4639" s="34">
        <v>3</v>
      </c>
      <c r="J4639" s="35">
        <v>3</v>
      </c>
      <c r="K4639" s="2" t="s">
        <v>9292</v>
      </c>
      <c r="L4639" s="36" t="str">
        <f t="shared" si="78"/>
        <v>Ver Imagen</v>
      </c>
      <c r="M4639" t="s">
        <v>8005</v>
      </c>
    </row>
    <row r="4640" spans="1:13" x14ac:dyDescent="0.25">
      <c r="A4640" s="33">
        <v>4643</v>
      </c>
      <c r="B4640" t="s">
        <v>9293</v>
      </c>
      <c r="C4640" s="1">
        <v>37.478950059100001</v>
      </c>
      <c r="D4640" s="1">
        <v>-7.1279605572899998</v>
      </c>
      <c r="E4640" s="3">
        <v>4</v>
      </c>
      <c r="F4640" s="2">
        <v>3</v>
      </c>
      <c r="G4640" s="4">
        <v>2</v>
      </c>
      <c r="H4640" s="13">
        <v>2</v>
      </c>
      <c r="I4640" s="34">
        <v>2</v>
      </c>
      <c r="J4640" s="35">
        <v>2</v>
      </c>
      <c r="K4640" s="2" t="s">
        <v>9294</v>
      </c>
      <c r="L4640" s="36" t="str">
        <f t="shared" si="78"/>
        <v>Ver Imagen</v>
      </c>
      <c r="M4640" t="s">
        <v>8005</v>
      </c>
    </row>
    <row r="4641" spans="1:13" x14ac:dyDescent="0.25">
      <c r="A4641" s="33">
        <v>4644</v>
      </c>
      <c r="B4641" t="s">
        <v>9295</v>
      </c>
      <c r="C4641" s="1">
        <v>37.478388455599998</v>
      </c>
      <c r="D4641" s="1">
        <v>-7.1276847702400001</v>
      </c>
      <c r="E4641" s="3">
        <v>5</v>
      </c>
      <c r="F4641" s="2">
        <v>3</v>
      </c>
      <c r="G4641" s="4">
        <v>4</v>
      </c>
      <c r="H4641" s="13">
        <v>3</v>
      </c>
      <c r="I4641" s="34">
        <v>2</v>
      </c>
      <c r="J4641" s="35">
        <v>3</v>
      </c>
      <c r="K4641" s="2" t="s">
        <v>9296</v>
      </c>
      <c r="L4641" s="36" t="str">
        <f t="shared" si="78"/>
        <v>Ver Imagen</v>
      </c>
      <c r="M4641" t="s">
        <v>8005</v>
      </c>
    </row>
    <row r="4642" spans="1:13" x14ac:dyDescent="0.25">
      <c r="A4642" s="33">
        <v>4645</v>
      </c>
      <c r="B4642" t="s">
        <v>9297</v>
      </c>
      <c r="C4642" s="1">
        <v>37.477801395</v>
      </c>
      <c r="D4642" s="1">
        <v>-7.1270296388499998</v>
      </c>
      <c r="E4642" s="3">
        <v>5</v>
      </c>
      <c r="F4642" s="2">
        <v>3</v>
      </c>
      <c r="G4642" s="4">
        <v>3</v>
      </c>
      <c r="H4642" s="13">
        <v>2</v>
      </c>
      <c r="I4642" s="34">
        <v>2</v>
      </c>
      <c r="J4642" s="35">
        <v>3</v>
      </c>
      <c r="K4642" s="2" t="s">
        <v>9298</v>
      </c>
      <c r="L4642" s="36" t="str">
        <f t="shared" si="78"/>
        <v>Ver Imagen</v>
      </c>
      <c r="M4642" t="s">
        <v>8005</v>
      </c>
    </row>
    <row r="4643" spans="1:13" x14ac:dyDescent="0.25">
      <c r="A4643" s="33">
        <v>4646</v>
      </c>
      <c r="B4643" t="s">
        <v>9299</v>
      </c>
      <c r="C4643" s="1">
        <v>37.477662707299999</v>
      </c>
      <c r="D4643" s="1">
        <v>-7.1268358664000004</v>
      </c>
      <c r="E4643" s="3">
        <v>5</v>
      </c>
      <c r="F4643" s="2">
        <v>3</v>
      </c>
      <c r="G4643" s="4">
        <v>4</v>
      </c>
      <c r="H4643" s="13">
        <v>3</v>
      </c>
      <c r="I4643" s="34">
        <v>3</v>
      </c>
      <c r="J4643" s="35">
        <v>3</v>
      </c>
      <c r="K4643" s="2" t="s">
        <v>9300</v>
      </c>
      <c r="L4643" s="36" t="str">
        <f t="shared" si="78"/>
        <v>Ver Imagen</v>
      </c>
      <c r="M4643" t="s">
        <v>8005</v>
      </c>
    </row>
    <row r="4644" spans="1:13" x14ac:dyDescent="0.25">
      <c r="A4644" s="33">
        <v>4647</v>
      </c>
      <c r="B4644" t="s">
        <v>9301</v>
      </c>
      <c r="C4644" s="1">
        <v>37.477261398400003</v>
      </c>
      <c r="D4644" s="1">
        <v>-7.12624825359</v>
      </c>
      <c r="E4644" s="3">
        <v>5</v>
      </c>
      <c r="F4644" s="2">
        <v>3</v>
      </c>
      <c r="G4644" s="4">
        <v>4</v>
      </c>
      <c r="H4644" s="13">
        <v>3</v>
      </c>
      <c r="I4644" s="34">
        <v>3</v>
      </c>
      <c r="J4644" s="35">
        <v>3</v>
      </c>
      <c r="K4644" s="2" t="s">
        <v>9302</v>
      </c>
      <c r="L4644" s="36" t="str">
        <f t="shared" si="78"/>
        <v>Ver Imagen</v>
      </c>
      <c r="M4644" t="s">
        <v>8005</v>
      </c>
    </row>
    <row r="4645" spans="1:13" x14ac:dyDescent="0.25">
      <c r="A4645" s="33">
        <v>4648</v>
      </c>
      <c r="B4645" t="s">
        <v>9303</v>
      </c>
      <c r="C4645" s="1">
        <v>37.475972873899998</v>
      </c>
      <c r="D4645" s="1">
        <v>-7.1258010164199996</v>
      </c>
      <c r="E4645" s="3">
        <v>4</v>
      </c>
      <c r="F4645" s="2">
        <v>3</v>
      </c>
      <c r="G4645" s="4">
        <v>2</v>
      </c>
      <c r="H4645" s="13">
        <v>3</v>
      </c>
      <c r="I4645" s="34">
        <v>3</v>
      </c>
      <c r="J4645" s="35">
        <v>3</v>
      </c>
      <c r="K4645" s="2" t="s">
        <v>9304</v>
      </c>
      <c r="L4645" s="36" t="str">
        <f t="shared" si="78"/>
        <v>Ver Imagen</v>
      </c>
      <c r="M4645" t="s">
        <v>8005</v>
      </c>
    </row>
    <row r="4646" spans="1:13" x14ac:dyDescent="0.25">
      <c r="A4646" s="33">
        <v>4649</v>
      </c>
      <c r="B4646" t="s">
        <v>9305</v>
      </c>
      <c r="C4646" s="1">
        <v>37.474388078499999</v>
      </c>
      <c r="D4646" s="1">
        <v>-7.1261377281799998</v>
      </c>
      <c r="E4646" s="3">
        <v>3</v>
      </c>
      <c r="F4646" s="2">
        <v>3</v>
      </c>
      <c r="G4646" s="4">
        <v>1</v>
      </c>
      <c r="H4646" s="13">
        <v>2</v>
      </c>
      <c r="I4646" s="34">
        <v>1</v>
      </c>
      <c r="J4646" s="35">
        <v>2</v>
      </c>
      <c r="K4646" s="2" t="s">
        <v>9306</v>
      </c>
      <c r="L4646" s="36" t="str">
        <f t="shared" si="78"/>
        <v>Ver Imagen</v>
      </c>
      <c r="M4646" t="s">
        <v>8005</v>
      </c>
    </row>
    <row r="4647" spans="1:13" x14ac:dyDescent="0.25">
      <c r="A4647" s="33">
        <v>4650</v>
      </c>
      <c r="B4647" t="s">
        <v>9307</v>
      </c>
      <c r="C4647" s="1">
        <v>37.464140699700003</v>
      </c>
      <c r="D4647" s="1">
        <v>-7.1237703983599996</v>
      </c>
      <c r="E4647" s="3">
        <v>1</v>
      </c>
      <c r="F4647" s="2">
        <v>3</v>
      </c>
      <c r="G4647" s="4">
        <v>3</v>
      </c>
      <c r="H4647" s="13">
        <v>1</v>
      </c>
      <c r="I4647" s="34">
        <v>1</v>
      </c>
      <c r="J4647" s="35">
        <v>1</v>
      </c>
      <c r="K4647" s="2" t="s">
        <v>9308</v>
      </c>
      <c r="L4647" s="36" t="str">
        <f t="shared" si="78"/>
        <v>Ver Imagen</v>
      </c>
      <c r="M4647" t="s">
        <v>8005</v>
      </c>
    </row>
    <row r="4648" spans="1:13" x14ac:dyDescent="0.25">
      <c r="A4648" s="33">
        <v>4651</v>
      </c>
      <c r="B4648" t="s">
        <v>9309</v>
      </c>
      <c r="C4648" s="1">
        <v>37.191970929</v>
      </c>
      <c r="D4648" s="1">
        <v>-6.9777029872999998</v>
      </c>
      <c r="E4648" s="3">
        <v>5</v>
      </c>
      <c r="F4648" s="2">
        <v>3</v>
      </c>
      <c r="G4648" s="4">
        <v>3</v>
      </c>
      <c r="H4648" s="13">
        <v>2</v>
      </c>
      <c r="I4648" s="34">
        <v>3</v>
      </c>
      <c r="J4648" s="35">
        <v>3</v>
      </c>
      <c r="K4648" s="2" t="s">
        <v>9310</v>
      </c>
      <c r="L4648" s="36" t="str">
        <f t="shared" si="78"/>
        <v>Ver Imagen</v>
      </c>
      <c r="M4648" t="s">
        <v>8005</v>
      </c>
    </row>
    <row r="4649" spans="1:13" x14ac:dyDescent="0.25">
      <c r="A4649" s="33">
        <v>4652</v>
      </c>
      <c r="B4649" t="s">
        <v>9311</v>
      </c>
      <c r="C4649" s="1">
        <v>37.186384467899998</v>
      </c>
      <c r="D4649" s="1">
        <v>-6.9797013793999998</v>
      </c>
      <c r="E4649" s="3">
        <v>3</v>
      </c>
      <c r="F4649" s="2">
        <v>4</v>
      </c>
      <c r="G4649" s="4">
        <v>5</v>
      </c>
      <c r="H4649" s="13">
        <v>3</v>
      </c>
      <c r="I4649" s="34">
        <v>4</v>
      </c>
      <c r="J4649" s="35">
        <v>4</v>
      </c>
      <c r="K4649" s="2" t="s">
        <v>9312</v>
      </c>
      <c r="L4649" s="36" t="str">
        <f t="shared" si="78"/>
        <v>Ver Imagen</v>
      </c>
      <c r="M4649" t="s">
        <v>8005</v>
      </c>
    </row>
    <row r="4650" spans="1:13" x14ac:dyDescent="0.25">
      <c r="A4650" s="33">
        <v>4653</v>
      </c>
      <c r="B4650" t="s">
        <v>9313</v>
      </c>
      <c r="C4650" s="1">
        <v>37.267346836500003</v>
      </c>
      <c r="D4650" s="1">
        <v>-6.95848794653</v>
      </c>
      <c r="E4650" s="3">
        <v>5</v>
      </c>
      <c r="F4650" s="2">
        <v>3</v>
      </c>
      <c r="G4650" s="4">
        <v>3</v>
      </c>
      <c r="H4650" s="13">
        <v>2</v>
      </c>
      <c r="I4650" s="34">
        <v>2</v>
      </c>
      <c r="J4650" s="37">
        <v>2</v>
      </c>
      <c r="K4650" s="2" t="s">
        <v>9314</v>
      </c>
      <c r="L4650" s="36" t="str">
        <f t="shared" si="78"/>
        <v>Ver Imagen</v>
      </c>
      <c r="M4650" s="37" t="s">
        <v>8052</v>
      </c>
    </row>
    <row r="4651" spans="1:13" x14ac:dyDescent="0.25">
      <c r="A4651" s="33">
        <v>4654</v>
      </c>
      <c r="B4651" t="s">
        <v>9315</v>
      </c>
      <c r="C4651" s="1">
        <v>37.2676474541</v>
      </c>
      <c r="D4651" s="1">
        <v>-6.9640481229200004</v>
      </c>
      <c r="E4651" s="3">
        <v>5</v>
      </c>
      <c r="F4651" s="2">
        <v>3</v>
      </c>
      <c r="G4651" s="4">
        <v>3</v>
      </c>
      <c r="H4651" s="13">
        <v>2</v>
      </c>
      <c r="I4651" s="34">
        <v>2</v>
      </c>
      <c r="J4651" s="35">
        <v>3</v>
      </c>
      <c r="K4651" s="2" t="s">
        <v>9316</v>
      </c>
      <c r="L4651" s="36" t="str">
        <f t="shared" si="78"/>
        <v>Ver Imagen</v>
      </c>
      <c r="M4651" t="s">
        <v>8005</v>
      </c>
    </row>
    <row r="4652" spans="1:13" x14ac:dyDescent="0.25">
      <c r="A4652" s="33">
        <v>4655</v>
      </c>
      <c r="B4652" t="s">
        <v>9317</v>
      </c>
      <c r="C4652" s="1">
        <v>37.267653568199997</v>
      </c>
      <c r="D4652" s="1">
        <v>-6.9643232421299999</v>
      </c>
      <c r="E4652" s="3">
        <v>5</v>
      </c>
      <c r="F4652" s="2">
        <v>3</v>
      </c>
      <c r="G4652" s="4">
        <v>3</v>
      </c>
      <c r="H4652" s="13">
        <v>3</v>
      </c>
      <c r="I4652" s="34">
        <v>3</v>
      </c>
      <c r="J4652" s="35">
        <v>3</v>
      </c>
      <c r="K4652" s="2" t="s">
        <v>9318</v>
      </c>
      <c r="L4652" s="36" t="str">
        <f t="shared" si="78"/>
        <v>Ver Imagen</v>
      </c>
      <c r="M4652" t="s">
        <v>8005</v>
      </c>
    </row>
    <row r="4653" spans="1:13" x14ac:dyDescent="0.25">
      <c r="A4653" s="33">
        <v>4656</v>
      </c>
      <c r="B4653" t="s">
        <v>9319</v>
      </c>
      <c r="C4653" s="1">
        <v>37.267660096500002</v>
      </c>
      <c r="D4653" s="1">
        <v>-6.96459546002</v>
      </c>
      <c r="E4653" s="3">
        <v>5</v>
      </c>
      <c r="F4653" s="2">
        <v>3</v>
      </c>
      <c r="G4653" s="4">
        <v>3</v>
      </c>
      <c r="H4653" s="13">
        <v>3</v>
      </c>
      <c r="I4653" s="34">
        <v>3</v>
      </c>
      <c r="J4653" s="35">
        <v>3</v>
      </c>
      <c r="K4653" s="2" t="s">
        <v>9320</v>
      </c>
      <c r="L4653" s="36" t="str">
        <f t="shared" si="78"/>
        <v>Ver Imagen</v>
      </c>
      <c r="M4653" t="s">
        <v>8005</v>
      </c>
    </row>
    <row r="4654" spans="1:13" x14ac:dyDescent="0.25">
      <c r="A4654" s="33">
        <v>4657</v>
      </c>
      <c r="B4654" t="s">
        <v>9321</v>
      </c>
      <c r="C4654" s="1">
        <v>37.267667118200002</v>
      </c>
      <c r="D4654" s="1">
        <v>-6.9648796276200002</v>
      </c>
      <c r="E4654" s="3">
        <v>5</v>
      </c>
      <c r="F4654" s="2">
        <v>3</v>
      </c>
      <c r="G4654" s="4">
        <v>3</v>
      </c>
      <c r="H4654" s="13">
        <v>3</v>
      </c>
      <c r="I4654" s="34">
        <v>3</v>
      </c>
      <c r="J4654" s="35">
        <v>3</v>
      </c>
      <c r="K4654" s="2" t="s">
        <v>9322</v>
      </c>
      <c r="L4654" s="36" t="str">
        <f t="shared" si="78"/>
        <v>Ver Imagen</v>
      </c>
      <c r="M4654" t="s">
        <v>8005</v>
      </c>
    </row>
    <row r="4655" spans="1:13" x14ac:dyDescent="0.25">
      <c r="A4655" s="33">
        <v>4658</v>
      </c>
      <c r="B4655" t="s">
        <v>9323</v>
      </c>
      <c r="C4655" s="1">
        <v>37.504460579800003</v>
      </c>
      <c r="D4655" s="1">
        <v>-7.2655789487</v>
      </c>
      <c r="E4655" s="3">
        <v>2</v>
      </c>
      <c r="F4655" s="2">
        <v>1</v>
      </c>
      <c r="G4655" s="4">
        <v>3</v>
      </c>
      <c r="H4655" s="13">
        <v>1</v>
      </c>
      <c r="I4655" s="34">
        <v>1</v>
      </c>
      <c r="J4655" s="35">
        <v>1</v>
      </c>
      <c r="K4655" s="2" t="s">
        <v>9324</v>
      </c>
      <c r="L4655" s="36" t="str">
        <f t="shared" si="78"/>
        <v>Ver Imagen</v>
      </c>
      <c r="M4655" t="s">
        <v>8005</v>
      </c>
    </row>
    <row r="4656" spans="1:13" x14ac:dyDescent="0.25">
      <c r="A4656" s="33">
        <v>4659</v>
      </c>
      <c r="B4656" t="s">
        <v>9325</v>
      </c>
      <c r="C4656" s="1">
        <v>37.506462263700001</v>
      </c>
      <c r="D4656" s="1">
        <v>-7.2653512195200003</v>
      </c>
      <c r="E4656" s="3">
        <v>2</v>
      </c>
      <c r="F4656" s="2">
        <v>1</v>
      </c>
      <c r="G4656" s="4">
        <v>3</v>
      </c>
      <c r="H4656" s="13">
        <v>1</v>
      </c>
      <c r="I4656" s="34">
        <v>1</v>
      </c>
      <c r="J4656" s="35">
        <v>1</v>
      </c>
      <c r="K4656" s="2" t="s">
        <v>9326</v>
      </c>
      <c r="L4656" s="36" t="str">
        <f t="shared" si="78"/>
        <v>Ver Imagen</v>
      </c>
      <c r="M4656" t="s">
        <v>8005</v>
      </c>
    </row>
    <row r="4657" spans="1:13" x14ac:dyDescent="0.25">
      <c r="A4657" s="33">
        <v>4660</v>
      </c>
      <c r="B4657" t="s">
        <v>9327</v>
      </c>
      <c r="C4657" s="1">
        <v>37.508051429399998</v>
      </c>
      <c r="D4657" s="1">
        <v>-7.2664015167900002</v>
      </c>
      <c r="E4657" s="3">
        <v>2</v>
      </c>
      <c r="F4657" s="2">
        <v>1</v>
      </c>
      <c r="G4657" s="4">
        <v>3</v>
      </c>
      <c r="H4657" s="13">
        <v>1</v>
      </c>
      <c r="I4657" s="34">
        <v>1</v>
      </c>
      <c r="J4657" s="35">
        <v>1</v>
      </c>
      <c r="K4657" s="2" t="s">
        <v>9328</v>
      </c>
      <c r="L4657" s="36" t="str">
        <f t="shared" si="78"/>
        <v>Ver Imagen</v>
      </c>
      <c r="M4657" t="s">
        <v>8005</v>
      </c>
    </row>
    <row r="4658" spans="1:13" x14ac:dyDescent="0.25">
      <c r="A4658" s="33">
        <v>4661</v>
      </c>
      <c r="B4658" t="s">
        <v>9329</v>
      </c>
      <c r="C4658" s="1">
        <v>37.508215288000002</v>
      </c>
      <c r="D4658" s="1">
        <v>-7.2665347273699998</v>
      </c>
      <c r="E4658" s="3">
        <v>2</v>
      </c>
      <c r="F4658" s="2">
        <v>1</v>
      </c>
      <c r="G4658" s="4">
        <v>3</v>
      </c>
      <c r="H4658" s="13">
        <v>1</v>
      </c>
      <c r="I4658" s="34">
        <v>1</v>
      </c>
      <c r="J4658" s="35">
        <v>1</v>
      </c>
      <c r="K4658" s="2" t="s">
        <v>9330</v>
      </c>
      <c r="L4658" s="36" t="str">
        <f t="shared" si="78"/>
        <v>Ver Imagen</v>
      </c>
      <c r="M4658" t="s">
        <v>8005</v>
      </c>
    </row>
    <row r="4659" spans="1:13" x14ac:dyDescent="0.25">
      <c r="A4659" s="33">
        <v>4662</v>
      </c>
      <c r="B4659" t="s">
        <v>9331</v>
      </c>
      <c r="C4659" s="1">
        <v>37.516758156500003</v>
      </c>
      <c r="D4659" s="1">
        <v>-7.26633683851</v>
      </c>
      <c r="E4659" s="3">
        <v>1</v>
      </c>
      <c r="F4659" s="2">
        <v>1</v>
      </c>
      <c r="G4659" s="4">
        <v>3</v>
      </c>
      <c r="H4659" s="13">
        <v>1</v>
      </c>
      <c r="I4659" s="34">
        <v>1</v>
      </c>
      <c r="J4659" s="35">
        <v>1</v>
      </c>
      <c r="K4659" s="2" t="s">
        <v>9332</v>
      </c>
      <c r="L4659" s="36" t="str">
        <f t="shared" si="78"/>
        <v>Ver Imagen</v>
      </c>
      <c r="M4659" t="s">
        <v>8005</v>
      </c>
    </row>
    <row r="4660" spans="1:13" x14ac:dyDescent="0.25">
      <c r="A4660" s="33">
        <v>4663</v>
      </c>
      <c r="B4660" t="s">
        <v>9333</v>
      </c>
      <c r="C4660" s="1">
        <v>37.520257884800003</v>
      </c>
      <c r="D4660" s="1">
        <v>-7.2610141158100001</v>
      </c>
      <c r="E4660" s="3">
        <v>2</v>
      </c>
      <c r="F4660" s="2">
        <v>1</v>
      </c>
      <c r="G4660" s="4">
        <v>3</v>
      </c>
      <c r="H4660" s="13">
        <v>1</v>
      </c>
      <c r="I4660" s="34">
        <v>1</v>
      </c>
      <c r="J4660" s="35">
        <v>1</v>
      </c>
      <c r="K4660" s="2" t="s">
        <v>9334</v>
      </c>
      <c r="L4660" s="36" t="str">
        <f t="shared" si="78"/>
        <v>Ver Imagen</v>
      </c>
      <c r="M4660" t="s">
        <v>8005</v>
      </c>
    </row>
    <row r="4661" spans="1:13" x14ac:dyDescent="0.25">
      <c r="A4661" s="33">
        <v>4664</v>
      </c>
      <c r="B4661" t="s">
        <v>9335</v>
      </c>
      <c r="C4661" s="1">
        <v>37.267695473800003</v>
      </c>
      <c r="D4661" s="1">
        <v>-6.96582409099</v>
      </c>
      <c r="E4661" s="3">
        <v>5</v>
      </c>
      <c r="F4661" s="2">
        <v>3</v>
      </c>
      <c r="G4661" s="4">
        <v>3</v>
      </c>
      <c r="H4661" s="13">
        <v>3</v>
      </c>
      <c r="I4661" s="34">
        <v>3</v>
      </c>
      <c r="J4661" s="35">
        <v>3</v>
      </c>
      <c r="K4661" s="2" t="s">
        <v>9336</v>
      </c>
      <c r="L4661" s="36" t="str">
        <f t="shared" si="78"/>
        <v>Ver Imagen</v>
      </c>
      <c r="M4661" t="s">
        <v>8005</v>
      </c>
    </row>
    <row r="4662" spans="1:13" x14ac:dyDescent="0.25">
      <c r="A4662" s="33">
        <v>4665</v>
      </c>
      <c r="B4662" t="s">
        <v>9337</v>
      </c>
      <c r="C4662" s="1">
        <v>37.267731386900003</v>
      </c>
      <c r="D4662" s="1">
        <v>-6.9666100803499997</v>
      </c>
      <c r="E4662" s="3">
        <v>5</v>
      </c>
      <c r="F4662" s="2">
        <v>3</v>
      </c>
      <c r="G4662" s="4">
        <v>3</v>
      </c>
      <c r="H4662" s="13">
        <v>3</v>
      </c>
      <c r="I4662" s="34">
        <v>4</v>
      </c>
      <c r="J4662" s="35">
        <v>3</v>
      </c>
      <c r="K4662" s="2" t="s">
        <v>9338</v>
      </c>
      <c r="L4662" s="36" t="str">
        <f t="shared" si="78"/>
        <v>Ver Imagen</v>
      </c>
      <c r="M4662" t="s">
        <v>8005</v>
      </c>
    </row>
    <row r="4663" spans="1:13" x14ac:dyDescent="0.25">
      <c r="A4663" s="33">
        <v>4666</v>
      </c>
      <c r="B4663" t="s">
        <v>9339</v>
      </c>
      <c r="C4663" s="1">
        <v>37.267745608399999</v>
      </c>
      <c r="D4663" s="1">
        <v>-6.9668735391299998</v>
      </c>
      <c r="E4663" s="3">
        <v>5</v>
      </c>
      <c r="F4663" s="2">
        <v>3</v>
      </c>
      <c r="G4663" s="4">
        <v>3</v>
      </c>
      <c r="H4663" s="13">
        <v>3</v>
      </c>
      <c r="I4663" s="34">
        <v>4</v>
      </c>
      <c r="J4663" s="35">
        <v>3</v>
      </c>
      <c r="K4663" s="2" t="s">
        <v>9340</v>
      </c>
      <c r="L4663" s="36" t="str">
        <f t="shared" si="78"/>
        <v>Ver Imagen</v>
      </c>
      <c r="M4663" t="s">
        <v>8005</v>
      </c>
    </row>
    <row r="4664" spans="1:13" x14ac:dyDescent="0.25">
      <c r="A4664" s="33">
        <v>4667</v>
      </c>
      <c r="B4664" t="s">
        <v>9341</v>
      </c>
      <c r="C4664" s="1">
        <v>37.267813729399997</v>
      </c>
      <c r="D4664" s="1">
        <v>-6.96787423494</v>
      </c>
      <c r="E4664" s="3">
        <v>5</v>
      </c>
      <c r="F4664" s="2">
        <v>3</v>
      </c>
      <c r="G4664" s="4">
        <v>3</v>
      </c>
      <c r="H4664" s="13">
        <v>3</v>
      </c>
      <c r="I4664" s="34">
        <v>3</v>
      </c>
      <c r="J4664" s="35">
        <v>3</v>
      </c>
      <c r="K4664" s="2" t="s">
        <v>9342</v>
      </c>
      <c r="L4664" s="36" t="str">
        <f t="shared" si="78"/>
        <v>Ver Imagen</v>
      </c>
      <c r="M4664" t="s">
        <v>8005</v>
      </c>
    </row>
    <row r="4665" spans="1:13" x14ac:dyDescent="0.25">
      <c r="A4665" s="33">
        <v>4668</v>
      </c>
      <c r="B4665" t="s">
        <v>9343</v>
      </c>
      <c r="C4665" s="1">
        <v>37.5221139959</v>
      </c>
      <c r="D4665" s="1">
        <v>-7.2595041239700002</v>
      </c>
      <c r="E4665" s="3">
        <v>2</v>
      </c>
      <c r="F4665" s="2">
        <v>1</v>
      </c>
      <c r="G4665" s="4">
        <v>3</v>
      </c>
      <c r="H4665" s="13">
        <v>1</v>
      </c>
      <c r="I4665" s="34">
        <v>1</v>
      </c>
      <c r="J4665" s="35">
        <v>1</v>
      </c>
      <c r="K4665" s="2" t="s">
        <v>9344</v>
      </c>
      <c r="L4665" s="36" t="str">
        <f t="shared" si="78"/>
        <v>Ver Imagen</v>
      </c>
      <c r="M4665" t="s">
        <v>8005</v>
      </c>
    </row>
    <row r="4666" spans="1:13" x14ac:dyDescent="0.25">
      <c r="A4666" s="33">
        <v>4669</v>
      </c>
      <c r="B4666" t="s">
        <v>9345</v>
      </c>
      <c r="C4666" s="1">
        <v>37.268463122999997</v>
      </c>
      <c r="D4666" s="1">
        <v>-6.9728827624100003</v>
      </c>
      <c r="E4666" s="3">
        <v>5</v>
      </c>
      <c r="F4666" s="2">
        <v>3</v>
      </c>
      <c r="G4666" s="4">
        <v>3</v>
      </c>
      <c r="H4666" s="13">
        <v>3</v>
      </c>
      <c r="I4666" s="34">
        <v>3</v>
      </c>
      <c r="J4666" s="35">
        <v>3</v>
      </c>
      <c r="K4666" s="2" t="s">
        <v>9346</v>
      </c>
      <c r="L4666" s="36" t="str">
        <f t="shared" si="78"/>
        <v>Ver Imagen</v>
      </c>
      <c r="M4666" t="s">
        <v>8005</v>
      </c>
    </row>
    <row r="4667" spans="1:13" x14ac:dyDescent="0.25">
      <c r="A4667" s="33">
        <v>4670</v>
      </c>
      <c r="B4667" t="s">
        <v>9347</v>
      </c>
      <c r="C4667" s="1">
        <v>37.268752058799997</v>
      </c>
      <c r="D4667" s="1">
        <v>-6.9743275764900003</v>
      </c>
      <c r="E4667" s="3">
        <v>4</v>
      </c>
      <c r="F4667" s="2">
        <v>3</v>
      </c>
      <c r="G4667" s="4">
        <v>2</v>
      </c>
      <c r="H4667" s="13">
        <v>2</v>
      </c>
      <c r="I4667" s="34">
        <v>2</v>
      </c>
      <c r="J4667" s="35">
        <v>2</v>
      </c>
      <c r="K4667" s="2" t="s">
        <v>9348</v>
      </c>
      <c r="L4667" s="36" t="str">
        <f t="shared" si="78"/>
        <v>Ver Imagen</v>
      </c>
      <c r="M4667" t="s">
        <v>8005</v>
      </c>
    </row>
    <row r="4668" spans="1:13" x14ac:dyDescent="0.25">
      <c r="A4668" s="33">
        <v>4671</v>
      </c>
      <c r="B4668" t="s">
        <v>9349</v>
      </c>
      <c r="C4668" s="1">
        <v>37.2703754602</v>
      </c>
      <c r="D4668" s="1">
        <v>-6.9803482128000001</v>
      </c>
      <c r="E4668" s="3">
        <v>5</v>
      </c>
      <c r="F4668" s="2">
        <v>3</v>
      </c>
      <c r="G4668" s="4">
        <v>3</v>
      </c>
      <c r="H4668" s="13">
        <v>3</v>
      </c>
      <c r="I4668" s="34">
        <v>3</v>
      </c>
      <c r="J4668" s="35">
        <v>3</v>
      </c>
      <c r="K4668" s="2" t="s">
        <v>9350</v>
      </c>
      <c r="L4668" s="36" t="str">
        <f t="shared" si="78"/>
        <v>Ver Imagen</v>
      </c>
      <c r="M4668" t="s">
        <v>8005</v>
      </c>
    </row>
    <row r="4669" spans="1:13" x14ac:dyDescent="0.25">
      <c r="A4669" s="33">
        <v>4672</v>
      </c>
      <c r="B4669" t="s">
        <v>9351</v>
      </c>
      <c r="C4669" s="1">
        <v>37.271330866299998</v>
      </c>
      <c r="D4669" s="1">
        <v>-6.9836658706300003</v>
      </c>
      <c r="E4669" s="3">
        <v>5</v>
      </c>
      <c r="F4669" s="2">
        <v>4</v>
      </c>
      <c r="G4669" s="4">
        <v>3</v>
      </c>
      <c r="H4669" s="13">
        <v>4</v>
      </c>
      <c r="I4669" s="34">
        <v>4</v>
      </c>
      <c r="J4669" s="35">
        <v>4</v>
      </c>
      <c r="K4669" s="2" t="s">
        <v>9352</v>
      </c>
      <c r="L4669" s="36" t="str">
        <f t="shared" si="78"/>
        <v>Ver Imagen</v>
      </c>
      <c r="M4669" t="s">
        <v>8005</v>
      </c>
    </row>
    <row r="4670" spans="1:13" x14ac:dyDescent="0.25">
      <c r="A4670" s="33">
        <v>4673</v>
      </c>
      <c r="B4670" t="s">
        <v>9353</v>
      </c>
      <c r="C4670" s="1">
        <v>37.187237923200001</v>
      </c>
      <c r="D4670" s="1">
        <v>-6.97907327262</v>
      </c>
      <c r="E4670" s="3">
        <v>5</v>
      </c>
      <c r="F4670" s="2">
        <v>4</v>
      </c>
      <c r="G4670" s="4">
        <v>3</v>
      </c>
      <c r="H4670" s="13">
        <v>4</v>
      </c>
      <c r="I4670" s="34">
        <v>3</v>
      </c>
      <c r="J4670" s="35">
        <v>4</v>
      </c>
      <c r="K4670" s="2" t="s">
        <v>9354</v>
      </c>
      <c r="L4670" s="36" t="str">
        <f t="shared" si="78"/>
        <v>Ver Imagen</v>
      </c>
      <c r="M4670" t="s">
        <v>8005</v>
      </c>
    </row>
    <row r="4671" spans="1:13" x14ac:dyDescent="0.25">
      <c r="A4671" s="33">
        <v>4674</v>
      </c>
      <c r="B4671" t="s">
        <v>9355</v>
      </c>
      <c r="C4671" s="1">
        <v>37.267997630099998</v>
      </c>
      <c r="D4671" s="1">
        <v>-6.9910558328299999</v>
      </c>
      <c r="E4671" s="3">
        <v>4</v>
      </c>
      <c r="F4671" s="2">
        <v>2</v>
      </c>
      <c r="G4671" s="4">
        <v>3</v>
      </c>
      <c r="H4671" s="16">
        <v>3</v>
      </c>
      <c r="I4671" s="40">
        <v>1</v>
      </c>
      <c r="J4671" s="35">
        <v>3</v>
      </c>
      <c r="K4671" s="2" t="s">
        <v>9356</v>
      </c>
      <c r="L4671" s="36" t="str">
        <f t="shared" si="78"/>
        <v>Ver Imagen</v>
      </c>
      <c r="M4671" t="s">
        <v>8005</v>
      </c>
    </row>
    <row r="4672" spans="1:13" x14ac:dyDescent="0.25">
      <c r="A4672" s="33">
        <v>4675</v>
      </c>
      <c r="B4672" t="s">
        <v>9357</v>
      </c>
      <c r="C4672" s="1">
        <v>37.267313247200001</v>
      </c>
      <c r="D4672" s="1">
        <v>-6.9915957132599997</v>
      </c>
      <c r="E4672" s="3">
        <v>5</v>
      </c>
      <c r="F4672" s="2">
        <v>3</v>
      </c>
      <c r="G4672" s="4">
        <v>3</v>
      </c>
      <c r="H4672" s="13">
        <v>3</v>
      </c>
      <c r="I4672" s="34">
        <v>2</v>
      </c>
      <c r="J4672" s="35">
        <v>3</v>
      </c>
      <c r="K4672" s="2" t="s">
        <v>9358</v>
      </c>
      <c r="L4672" s="36" t="str">
        <f t="shared" si="78"/>
        <v>Ver Imagen</v>
      </c>
      <c r="M4672" t="s">
        <v>8005</v>
      </c>
    </row>
    <row r="4673" spans="1:13" x14ac:dyDescent="0.25">
      <c r="A4673" s="33">
        <v>4676</v>
      </c>
      <c r="B4673" t="s">
        <v>9359</v>
      </c>
      <c r="C4673" s="1">
        <v>37.2659811081</v>
      </c>
      <c r="D4673" s="1">
        <v>-6.99375332367</v>
      </c>
      <c r="E4673" s="3">
        <v>2</v>
      </c>
      <c r="F4673" s="2">
        <v>4</v>
      </c>
      <c r="G4673" s="4">
        <v>3</v>
      </c>
      <c r="H4673" s="13">
        <v>4</v>
      </c>
      <c r="I4673" s="34">
        <v>3</v>
      </c>
      <c r="J4673" s="35">
        <v>3</v>
      </c>
      <c r="K4673" s="2" t="s">
        <v>9360</v>
      </c>
      <c r="L4673" s="36" t="str">
        <f t="shared" si="78"/>
        <v>Ver Imagen</v>
      </c>
      <c r="M4673" t="s">
        <v>8005</v>
      </c>
    </row>
    <row r="4674" spans="1:13" x14ac:dyDescent="0.25">
      <c r="A4674" s="33">
        <v>4677</v>
      </c>
      <c r="B4674" t="s">
        <v>9361</v>
      </c>
      <c r="C4674" s="1">
        <v>37.265745587399998</v>
      </c>
      <c r="D4674" s="1">
        <v>-6.9947096175299999</v>
      </c>
      <c r="E4674" s="3">
        <v>2</v>
      </c>
      <c r="F4674" s="2">
        <v>4</v>
      </c>
      <c r="G4674" s="4">
        <v>3</v>
      </c>
      <c r="H4674" s="13">
        <v>3</v>
      </c>
      <c r="I4674" s="34">
        <v>2</v>
      </c>
      <c r="J4674" s="35">
        <v>3</v>
      </c>
      <c r="K4674" s="2" t="s">
        <v>9362</v>
      </c>
      <c r="L4674" s="36" t="str">
        <f t="shared" si="78"/>
        <v>Ver Imagen</v>
      </c>
      <c r="M4674" t="s">
        <v>8005</v>
      </c>
    </row>
    <row r="4675" spans="1:13" x14ac:dyDescent="0.25">
      <c r="A4675" s="33">
        <v>4678</v>
      </c>
      <c r="B4675" t="s">
        <v>9363</v>
      </c>
      <c r="C4675" s="1">
        <v>37.196057144100003</v>
      </c>
      <c r="D4675" s="1">
        <v>-6.97845326821</v>
      </c>
      <c r="E4675" s="3">
        <v>2</v>
      </c>
      <c r="F4675" s="2">
        <v>4</v>
      </c>
      <c r="G4675" s="4">
        <v>4</v>
      </c>
      <c r="H4675" s="13">
        <v>3</v>
      </c>
      <c r="I4675" s="34">
        <v>3</v>
      </c>
      <c r="J4675" s="35">
        <v>3</v>
      </c>
      <c r="K4675" s="2" t="s">
        <v>9364</v>
      </c>
      <c r="L4675" s="36" t="str">
        <f t="shared" si="78"/>
        <v>Ver Imagen</v>
      </c>
      <c r="M4675" t="s">
        <v>8005</v>
      </c>
    </row>
    <row r="4676" spans="1:13" x14ac:dyDescent="0.25">
      <c r="A4676" s="33">
        <v>4679</v>
      </c>
      <c r="B4676" t="s">
        <v>9365</v>
      </c>
      <c r="C4676" s="1">
        <v>37.196264403900003</v>
      </c>
      <c r="D4676" s="1">
        <v>-6.97859846361</v>
      </c>
      <c r="E4676" s="3">
        <v>2</v>
      </c>
      <c r="F4676" s="2">
        <v>4</v>
      </c>
      <c r="G4676" s="4">
        <v>4</v>
      </c>
      <c r="H4676" s="13">
        <v>3</v>
      </c>
      <c r="I4676" s="34">
        <v>3</v>
      </c>
      <c r="J4676" s="35">
        <v>3</v>
      </c>
      <c r="K4676" s="2" t="s">
        <v>9366</v>
      </c>
      <c r="L4676" s="36" t="str">
        <f t="shared" si="78"/>
        <v>Ver Imagen</v>
      </c>
      <c r="M4676" t="s">
        <v>8005</v>
      </c>
    </row>
    <row r="4677" spans="1:13" x14ac:dyDescent="0.25">
      <c r="A4677" s="33">
        <v>4680</v>
      </c>
      <c r="B4677" t="s">
        <v>9367</v>
      </c>
      <c r="C4677" s="1">
        <v>37.199114892499999</v>
      </c>
      <c r="D4677" s="1">
        <v>-6.9827149662499997</v>
      </c>
      <c r="E4677" s="3">
        <v>5</v>
      </c>
      <c r="F4677" s="2">
        <v>4</v>
      </c>
      <c r="G4677" s="4">
        <v>3</v>
      </c>
      <c r="H4677" s="13">
        <v>3</v>
      </c>
      <c r="I4677" s="34">
        <v>3</v>
      </c>
      <c r="J4677" s="35">
        <v>3</v>
      </c>
      <c r="K4677" s="2" t="s">
        <v>9368</v>
      </c>
      <c r="L4677" s="36" t="str">
        <f t="shared" si="78"/>
        <v>Ver Imagen</v>
      </c>
      <c r="M4677" t="s">
        <v>8005</v>
      </c>
    </row>
    <row r="4678" spans="1:13" x14ac:dyDescent="0.25">
      <c r="A4678" s="33">
        <v>4681</v>
      </c>
      <c r="B4678" t="s">
        <v>9369</v>
      </c>
      <c r="C4678" s="1">
        <v>37.199624282599999</v>
      </c>
      <c r="D4678" s="1">
        <v>-6.9843792640300002</v>
      </c>
      <c r="E4678" s="3">
        <v>2</v>
      </c>
      <c r="F4678" s="2">
        <v>3</v>
      </c>
      <c r="G4678" s="4">
        <v>4</v>
      </c>
      <c r="H4678" s="13">
        <v>2</v>
      </c>
      <c r="I4678" s="34">
        <v>1</v>
      </c>
      <c r="J4678" s="35">
        <v>2</v>
      </c>
      <c r="K4678" s="2" t="s">
        <v>9370</v>
      </c>
      <c r="L4678" s="36" t="str">
        <f t="shared" si="78"/>
        <v>Ver Imagen</v>
      </c>
      <c r="M4678" t="s">
        <v>8005</v>
      </c>
    </row>
    <row r="4679" spans="1:13" x14ac:dyDescent="0.25">
      <c r="A4679" s="33">
        <v>4682</v>
      </c>
      <c r="B4679" t="s">
        <v>9371</v>
      </c>
      <c r="C4679" s="1">
        <v>37.261639565800003</v>
      </c>
      <c r="D4679" s="1">
        <v>-7.0106019210600001</v>
      </c>
      <c r="E4679" s="3">
        <v>4</v>
      </c>
      <c r="F4679" s="2">
        <v>2</v>
      </c>
      <c r="G4679" s="4">
        <v>2</v>
      </c>
      <c r="H4679" s="13">
        <v>1</v>
      </c>
      <c r="I4679" s="34">
        <v>1</v>
      </c>
      <c r="J4679" s="37">
        <v>1</v>
      </c>
      <c r="K4679" s="2" t="s">
        <v>9372</v>
      </c>
      <c r="L4679" s="36" t="str">
        <f t="shared" si="78"/>
        <v>Ver Imagen</v>
      </c>
      <c r="M4679" s="37" t="s">
        <v>8052</v>
      </c>
    </row>
    <row r="4680" spans="1:13" x14ac:dyDescent="0.25">
      <c r="A4680" s="33">
        <v>4683</v>
      </c>
      <c r="B4680" t="s">
        <v>9373</v>
      </c>
      <c r="C4680" s="1">
        <v>37.201009881200001</v>
      </c>
      <c r="D4680" s="1">
        <v>-6.9902096059599996</v>
      </c>
      <c r="E4680" s="3">
        <v>2</v>
      </c>
      <c r="F4680" s="2">
        <v>3</v>
      </c>
      <c r="G4680" s="4">
        <v>4</v>
      </c>
      <c r="H4680" s="13">
        <v>2</v>
      </c>
      <c r="I4680" s="34">
        <v>2</v>
      </c>
      <c r="J4680" s="35">
        <v>2</v>
      </c>
      <c r="K4680" s="2" t="s">
        <v>9374</v>
      </c>
      <c r="L4680" s="36" t="str">
        <f t="shared" si="78"/>
        <v>Ver Imagen</v>
      </c>
      <c r="M4680" t="s">
        <v>8005</v>
      </c>
    </row>
    <row r="4681" spans="1:13" x14ac:dyDescent="0.25">
      <c r="A4681" s="33">
        <v>4684</v>
      </c>
      <c r="B4681" t="s">
        <v>9375</v>
      </c>
      <c r="C4681" s="1">
        <v>37.201359139099999</v>
      </c>
      <c r="D4681" s="1">
        <v>-6.9919441567599998</v>
      </c>
      <c r="E4681" s="3">
        <v>2</v>
      </c>
      <c r="F4681" s="2">
        <v>3</v>
      </c>
      <c r="G4681" s="4">
        <v>4</v>
      </c>
      <c r="H4681" s="13">
        <v>2</v>
      </c>
      <c r="I4681" s="34">
        <v>2</v>
      </c>
      <c r="J4681" s="35">
        <v>2</v>
      </c>
      <c r="K4681" s="2" t="s">
        <v>9376</v>
      </c>
      <c r="L4681" s="36" t="str">
        <f t="shared" si="78"/>
        <v>Ver Imagen</v>
      </c>
      <c r="M4681" t="s">
        <v>8005</v>
      </c>
    </row>
    <row r="4682" spans="1:13" x14ac:dyDescent="0.25">
      <c r="A4682" s="33">
        <v>4685</v>
      </c>
      <c r="B4682" t="s">
        <v>9377</v>
      </c>
      <c r="C4682" s="1">
        <v>37.2014027934</v>
      </c>
      <c r="D4682" s="1">
        <v>-6.9921796371899996</v>
      </c>
      <c r="E4682" s="3">
        <v>5</v>
      </c>
      <c r="F4682" s="2">
        <v>3</v>
      </c>
      <c r="G4682" s="4">
        <v>4</v>
      </c>
      <c r="H4682" s="13">
        <v>2</v>
      </c>
      <c r="I4682" s="34">
        <v>2</v>
      </c>
      <c r="J4682" s="35">
        <v>3</v>
      </c>
      <c r="K4682" s="2" t="s">
        <v>9378</v>
      </c>
      <c r="L4682" s="36" t="str">
        <f t="shared" si="78"/>
        <v>Ver Imagen</v>
      </c>
      <c r="M4682" t="s">
        <v>8005</v>
      </c>
    </row>
    <row r="4683" spans="1:13" x14ac:dyDescent="0.25">
      <c r="A4683" s="33">
        <v>4686</v>
      </c>
      <c r="B4683" t="s">
        <v>9379</v>
      </c>
      <c r="C4683" s="1">
        <v>37.201489169399999</v>
      </c>
      <c r="D4683" s="1">
        <v>-6.9926540412699998</v>
      </c>
      <c r="E4683" s="3">
        <v>2</v>
      </c>
      <c r="F4683" s="2">
        <v>3</v>
      </c>
      <c r="G4683" s="4">
        <v>4</v>
      </c>
      <c r="H4683" s="13">
        <v>3</v>
      </c>
      <c r="I4683" s="34">
        <v>2</v>
      </c>
      <c r="J4683" s="35">
        <v>3</v>
      </c>
      <c r="K4683" s="2" t="s">
        <v>9380</v>
      </c>
      <c r="L4683" s="36" t="str">
        <f t="shared" si="78"/>
        <v>Ver Imagen</v>
      </c>
      <c r="M4683" t="s">
        <v>8005</v>
      </c>
    </row>
    <row r="4684" spans="1:13" x14ac:dyDescent="0.25">
      <c r="A4684" s="33">
        <v>4687</v>
      </c>
      <c r="B4684" t="s">
        <v>9381</v>
      </c>
      <c r="C4684" s="1">
        <v>37.202548716800003</v>
      </c>
      <c r="D4684" s="1">
        <v>-6.9991637025299998</v>
      </c>
      <c r="E4684" s="3">
        <v>5</v>
      </c>
      <c r="F4684" s="2">
        <v>3</v>
      </c>
      <c r="G4684" s="4">
        <v>3</v>
      </c>
      <c r="H4684" s="13">
        <v>3</v>
      </c>
      <c r="I4684" s="34">
        <v>3</v>
      </c>
      <c r="J4684" s="35">
        <v>3</v>
      </c>
      <c r="K4684" s="2" t="s">
        <v>9382</v>
      </c>
      <c r="L4684" s="36" t="str">
        <f t="shared" si="78"/>
        <v>Ver Imagen</v>
      </c>
      <c r="M4684" t="s">
        <v>8005</v>
      </c>
    </row>
    <row r="4685" spans="1:13" x14ac:dyDescent="0.25">
      <c r="A4685" s="33">
        <v>4688</v>
      </c>
      <c r="B4685" t="s">
        <v>9383</v>
      </c>
      <c r="C4685" s="1">
        <v>37.2028848677</v>
      </c>
      <c r="D4685" s="1">
        <v>-7.0018743809900004</v>
      </c>
      <c r="E4685" s="3">
        <v>5</v>
      </c>
      <c r="F4685" s="2">
        <v>4</v>
      </c>
      <c r="G4685" s="4">
        <v>3</v>
      </c>
      <c r="H4685" s="13">
        <v>3</v>
      </c>
      <c r="I4685" s="34">
        <v>4</v>
      </c>
      <c r="J4685" s="35">
        <v>4</v>
      </c>
      <c r="K4685" s="2" t="s">
        <v>9384</v>
      </c>
      <c r="L4685" s="36" t="str">
        <f t="shared" si="78"/>
        <v>Ver Imagen</v>
      </c>
      <c r="M4685" t="s">
        <v>8005</v>
      </c>
    </row>
    <row r="4686" spans="1:13" x14ac:dyDescent="0.25">
      <c r="A4686" s="33">
        <v>4689</v>
      </c>
      <c r="B4686" t="s">
        <v>9385</v>
      </c>
      <c r="C4686" s="1">
        <v>37.256280100600002</v>
      </c>
      <c r="D4686" s="1">
        <v>-7.0140712583499996</v>
      </c>
      <c r="E4686" s="3">
        <v>2</v>
      </c>
      <c r="F4686" s="2">
        <v>4</v>
      </c>
      <c r="G4686" s="4">
        <v>3</v>
      </c>
      <c r="H4686" s="13">
        <v>3</v>
      </c>
      <c r="I4686" s="34">
        <v>2</v>
      </c>
      <c r="J4686" s="35">
        <v>3</v>
      </c>
      <c r="K4686" s="2" t="s">
        <v>9386</v>
      </c>
      <c r="L4686" s="36" t="str">
        <f t="shared" si="78"/>
        <v>Ver Imagen</v>
      </c>
      <c r="M4686" t="s">
        <v>8005</v>
      </c>
    </row>
    <row r="4687" spans="1:13" x14ac:dyDescent="0.25">
      <c r="A4687" s="33">
        <v>4690</v>
      </c>
      <c r="B4687" t="s">
        <v>9387</v>
      </c>
      <c r="C4687" s="1">
        <v>37.203418097499998</v>
      </c>
      <c r="D4687" s="1">
        <v>-7.0063820507400001</v>
      </c>
      <c r="E4687" s="3">
        <v>5</v>
      </c>
      <c r="F4687" s="2">
        <v>3</v>
      </c>
      <c r="G4687" s="4">
        <v>4</v>
      </c>
      <c r="H4687" s="13">
        <v>3</v>
      </c>
      <c r="I4687" s="34">
        <v>3</v>
      </c>
      <c r="J4687" s="35">
        <v>3</v>
      </c>
      <c r="K4687" s="2" t="s">
        <v>9388</v>
      </c>
      <c r="L4687" s="36" t="str">
        <f t="shared" si="78"/>
        <v>Ver Imagen</v>
      </c>
      <c r="M4687" t="s">
        <v>8005</v>
      </c>
    </row>
    <row r="4688" spans="1:13" x14ac:dyDescent="0.25">
      <c r="A4688" s="33">
        <v>4691</v>
      </c>
      <c r="B4688" t="s">
        <v>9389</v>
      </c>
      <c r="C4688" s="1">
        <v>37.203524809999998</v>
      </c>
      <c r="D4688" s="1">
        <v>-7.0071648983400001</v>
      </c>
      <c r="E4688" s="3">
        <v>5</v>
      </c>
      <c r="F4688" s="2">
        <v>3</v>
      </c>
      <c r="G4688" s="4">
        <v>4</v>
      </c>
      <c r="H4688" s="13">
        <v>2</v>
      </c>
      <c r="I4688" s="34">
        <v>2</v>
      </c>
      <c r="J4688" s="35">
        <v>3</v>
      </c>
      <c r="K4688" s="2" t="s">
        <v>9390</v>
      </c>
      <c r="L4688" s="36" t="str">
        <f t="shared" si="78"/>
        <v>Ver Imagen</v>
      </c>
      <c r="M4688" t="s">
        <v>8005</v>
      </c>
    </row>
    <row r="4689" spans="1:13" x14ac:dyDescent="0.25">
      <c r="A4689" s="33">
        <v>4692</v>
      </c>
      <c r="B4689" t="s">
        <v>9391</v>
      </c>
      <c r="C4689" s="1">
        <v>37.203598107600001</v>
      </c>
      <c r="D4689" s="1">
        <v>-7.0076710028300004</v>
      </c>
      <c r="E4689" s="3">
        <v>5</v>
      </c>
      <c r="F4689" s="2">
        <v>3</v>
      </c>
      <c r="G4689" s="4">
        <v>4</v>
      </c>
      <c r="H4689" s="13">
        <v>2</v>
      </c>
      <c r="I4689" s="34">
        <v>2</v>
      </c>
      <c r="J4689" s="35">
        <v>3</v>
      </c>
      <c r="K4689" s="2" t="s">
        <v>9392</v>
      </c>
      <c r="L4689" s="36" t="str">
        <f t="shared" si="78"/>
        <v>Ver Imagen</v>
      </c>
      <c r="M4689" t="s">
        <v>8005</v>
      </c>
    </row>
    <row r="4690" spans="1:13" x14ac:dyDescent="0.25">
      <c r="A4690" s="33">
        <v>4693</v>
      </c>
      <c r="B4690" t="s">
        <v>9393</v>
      </c>
      <c r="C4690" s="1">
        <v>37.203665459299998</v>
      </c>
      <c r="D4690" s="1">
        <v>-7.0081135405300001</v>
      </c>
      <c r="E4690" s="3">
        <v>5</v>
      </c>
      <c r="F4690" s="2">
        <v>3</v>
      </c>
      <c r="G4690" s="4">
        <v>3</v>
      </c>
      <c r="H4690" s="13">
        <v>3</v>
      </c>
      <c r="I4690" s="34">
        <v>3</v>
      </c>
      <c r="J4690" s="35">
        <v>3</v>
      </c>
      <c r="K4690" s="2" t="s">
        <v>9394</v>
      </c>
      <c r="L4690" s="36" t="str">
        <f t="shared" si="78"/>
        <v>Ver Imagen</v>
      </c>
      <c r="M4690" t="s">
        <v>8005</v>
      </c>
    </row>
    <row r="4691" spans="1:13" x14ac:dyDescent="0.25">
      <c r="A4691" s="33">
        <v>4694</v>
      </c>
      <c r="B4691" t="s">
        <v>9395</v>
      </c>
      <c r="C4691" s="1">
        <v>37.203698311399997</v>
      </c>
      <c r="D4691" s="1">
        <v>-7.0083312113499998</v>
      </c>
      <c r="E4691" s="3">
        <v>5</v>
      </c>
      <c r="F4691" s="2">
        <v>4</v>
      </c>
      <c r="G4691" s="4">
        <v>3</v>
      </c>
      <c r="H4691" s="13">
        <v>3</v>
      </c>
      <c r="I4691" s="34">
        <v>4</v>
      </c>
      <c r="J4691" s="35">
        <v>4</v>
      </c>
      <c r="K4691" s="2" t="s">
        <v>9396</v>
      </c>
      <c r="L4691" s="36" t="str">
        <f t="shared" si="78"/>
        <v>Ver Imagen</v>
      </c>
      <c r="M4691" t="s">
        <v>8005</v>
      </c>
    </row>
    <row r="4692" spans="1:13" x14ac:dyDescent="0.25">
      <c r="A4692" s="33">
        <v>4695</v>
      </c>
      <c r="B4692" t="s">
        <v>9397</v>
      </c>
      <c r="C4692" s="1">
        <v>37.203745839900002</v>
      </c>
      <c r="D4692" s="1">
        <v>-7.0086479394800003</v>
      </c>
      <c r="E4692" s="3">
        <v>5</v>
      </c>
      <c r="F4692" s="2">
        <v>3</v>
      </c>
      <c r="G4692" s="4">
        <v>4</v>
      </c>
      <c r="H4692" s="13">
        <v>2</v>
      </c>
      <c r="I4692" s="34">
        <v>2</v>
      </c>
      <c r="J4692" s="35">
        <v>3</v>
      </c>
      <c r="K4692" s="2" t="s">
        <v>9398</v>
      </c>
      <c r="L4692" s="36" t="str">
        <f t="shared" si="78"/>
        <v>Ver Imagen</v>
      </c>
      <c r="M4692" t="s">
        <v>8005</v>
      </c>
    </row>
    <row r="4693" spans="1:13" x14ac:dyDescent="0.25">
      <c r="A4693" s="33">
        <v>4696</v>
      </c>
      <c r="B4693" t="s">
        <v>9399</v>
      </c>
      <c r="C4693" s="1">
        <v>37.203820226600001</v>
      </c>
      <c r="D4693" s="1">
        <v>-7.0091259054300004</v>
      </c>
      <c r="E4693" s="3">
        <v>5</v>
      </c>
      <c r="F4693" s="2">
        <v>3</v>
      </c>
      <c r="G4693" s="4">
        <v>4</v>
      </c>
      <c r="H4693" s="13">
        <v>3</v>
      </c>
      <c r="I4693" s="34">
        <v>3</v>
      </c>
      <c r="J4693" s="35">
        <v>3</v>
      </c>
      <c r="K4693" s="2" t="s">
        <v>9400</v>
      </c>
      <c r="L4693" s="36" t="str">
        <f t="shared" si="78"/>
        <v>Ver Imagen</v>
      </c>
      <c r="M4693" t="s">
        <v>8005</v>
      </c>
    </row>
    <row r="4694" spans="1:13" x14ac:dyDescent="0.25">
      <c r="A4694" s="33">
        <v>4697</v>
      </c>
      <c r="B4694" t="s">
        <v>9401</v>
      </c>
      <c r="C4694" s="1">
        <v>37.251203813799997</v>
      </c>
      <c r="D4694" s="1">
        <v>-7.0173251476900003</v>
      </c>
      <c r="E4694" s="3">
        <v>5</v>
      </c>
      <c r="F4694" s="2">
        <v>3</v>
      </c>
      <c r="G4694" s="4">
        <v>4</v>
      </c>
      <c r="H4694" s="13">
        <v>3</v>
      </c>
      <c r="I4694" s="34">
        <v>3</v>
      </c>
      <c r="J4694" s="35">
        <v>3</v>
      </c>
      <c r="K4694" s="2" t="s">
        <v>9402</v>
      </c>
      <c r="L4694" s="36" t="str">
        <f t="shared" si="78"/>
        <v>Ver Imagen</v>
      </c>
      <c r="M4694" t="s">
        <v>8005</v>
      </c>
    </row>
    <row r="4695" spans="1:13" x14ac:dyDescent="0.25">
      <c r="A4695" s="33">
        <v>4698</v>
      </c>
      <c r="B4695" t="s">
        <v>9403</v>
      </c>
      <c r="C4695" s="1">
        <v>37.204185508599998</v>
      </c>
      <c r="D4695" s="1">
        <v>-7.0113361449899996</v>
      </c>
      <c r="E4695" s="3">
        <v>5</v>
      </c>
      <c r="F4695" s="2">
        <v>3</v>
      </c>
      <c r="G4695" s="4">
        <v>4</v>
      </c>
      <c r="H4695" s="13">
        <v>3</v>
      </c>
      <c r="I4695" s="34">
        <v>4</v>
      </c>
      <c r="J4695" s="35">
        <v>4</v>
      </c>
      <c r="K4695" s="2" t="s">
        <v>9404</v>
      </c>
      <c r="L4695" s="36" t="str">
        <f t="shared" si="78"/>
        <v>Ver Imagen</v>
      </c>
      <c r="M4695" t="s">
        <v>8005</v>
      </c>
    </row>
    <row r="4696" spans="1:13" x14ac:dyDescent="0.25">
      <c r="A4696" s="33">
        <v>4699</v>
      </c>
      <c r="B4696" t="s">
        <v>9405</v>
      </c>
      <c r="C4696" s="1">
        <v>37.248701035700002</v>
      </c>
      <c r="D4696" s="1">
        <v>-7.0183392626899996</v>
      </c>
      <c r="E4696" s="3">
        <v>5</v>
      </c>
      <c r="F4696" s="2">
        <v>3</v>
      </c>
      <c r="G4696" s="4">
        <v>3</v>
      </c>
      <c r="H4696" s="13">
        <v>2</v>
      </c>
      <c r="I4696" s="34">
        <v>2</v>
      </c>
      <c r="J4696" s="37">
        <v>2</v>
      </c>
      <c r="K4696" s="2" t="s">
        <v>9406</v>
      </c>
      <c r="L4696" s="36" t="str">
        <f t="shared" si="78"/>
        <v>Ver Imagen</v>
      </c>
      <c r="M4696" s="37" t="s">
        <v>8052</v>
      </c>
    </row>
    <row r="4697" spans="1:13" x14ac:dyDescent="0.25">
      <c r="A4697" s="33">
        <v>4700</v>
      </c>
      <c r="B4697" t="s">
        <v>9407</v>
      </c>
      <c r="C4697" s="1">
        <v>37.2054213304</v>
      </c>
      <c r="D4697" s="1">
        <v>-7.0174835457400002</v>
      </c>
      <c r="E4697" s="3">
        <v>2</v>
      </c>
      <c r="F4697" s="2">
        <v>2</v>
      </c>
      <c r="G4697" s="4">
        <v>4</v>
      </c>
      <c r="H4697" s="13">
        <v>2</v>
      </c>
      <c r="I4697" s="34">
        <v>1</v>
      </c>
      <c r="J4697" s="35">
        <v>2</v>
      </c>
      <c r="K4697" s="2" t="s">
        <v>9408</v>
      </c>
      <c r="L4697" s="36" t="str">
        <f t="shared" si="78"/>
        <v>Ver Imagen</v>
      </c>
      <c r="M4697" t="s">
        <v>8005</v>
      </c>
    </row>
    <row r="4698" spans="1:13" x14ac:dyDescent="0.25">
      <c r="A4698" s="33">
        <v>4701</v>
      </c>
      <c r="B4698" t="s">
        <v>9409</v>
      </c>
      <c r="C4698" s="1">
        <v>37.241824241000003</v>
      </c>
      <c r="D4698" s="1">
        <v>-7.0186023680899998</v>
      </c>
      <c r="E4698" s="3">
        <v>5</v>
      </c>
      <c r="F4698" s="2">
        <v>3</v>
      </c>
      <c r="G4698" s="4">
        <v>4</v>
      </c>
      <c r="H4698" s="13">
        <v>3</v>
      </c>
      <c r="I4698" s="34">
        <v>3</v>
      </c>
      <c r="J4698" s="35">
        <v>3</v>
      </c>
      <c r="K4698" s="2" t="s">
        <v>9410</v>
      </c>
      <c r="L4698" s="36" t="str">
        <f t="shared" si="78"/>
        <v>Ver Imagen</v>
      </c>
      <c r="M4698" t="s">
        <v>8005</v>
      </c>
    </row>
    <row r="4699" spans="1:13" x14ac:dyDescent="0.25">
      <c r="A4699" s="33">
        <v>4702</v>
      </c>
      <c r="B4699" t="s">
        <v>9411</v>
      </c>
      <c r="C4699" s="1">
        <v>37.205769482800001</v>
      </c>
      <c r="D4699" s="1">
        <v>-7.0186407447199999</v>
      </c>
      <c r="E4699" s="3">
        <v>5</v>
      </c>
      <c r="F4699" s="2">
        <v>3</v>
      </c>
      <c r="G4699" s="4">
        <v>4</v>
      </c>
      <c r="H4699" s="13">
        <v>3</v>
      </c>
      <c r="I4699" s="34">
        <v>2</v>
      </c>
      <c r="J4699" s="35">
        <v>3</v>
      </c>
      <c r="K4699" s="2" t="s">
        <v>9412</v>
      </c>
      <c r="L4699" s="36" t="str">
        <f t="shared" si="78"/>
        <v>Ver Imagen</v>
      </c>
      <c r="M4699" t="s">
        <v>8005</v>
      </c>
    </row>
    <row r="4700" spans="1:13" x14ac:dyDescent="0.25">
      <c r="A4700" s="33">
        <v>4703</v>
      </c>
      <c r="B4700" t="s">
        <v>9413</v>
      </c>
      <c r="C4700" s="1">
        <v>37.2406523573</v>
      </c>
      <c r="D4700" s="1">
        <v>-7.01865093342</v>
      </c>
      <c r="E4700" s="3">
        <v>5</v>
      </c>
      <c r="F4700" s="2">
        <v>3</v>
      </c>
      <c r="G4700" s="4">
        <v>3</v>
      </c>
      <c r="H4700" s="13">
        <v>3</v>
      </c>
      <c r="I4700" s="34">
        <v>3</v>
      </c>
      <c r="J4700" s="35">
        <v>3</v>
      </c>
      <c r="K4700" s="2" t="s">
        <v>9414</v>
      </c>
      <c r="L4700" s="36" t="str">
        <f t="shared" ref="L4700:L4763" si="79">HYPERLINK("NoConsenso\" &amp; K4700, "Ver Imagen")</f>
        <v>Ver Imagen</v>
      </c>
      <c r="M4700" t="s">
        <v>8005</v>
      </c>
    </row>
    <row r="4701" spans="1:13" x14ac:dyDescent="0.25">
      <c r="A4701" s="33">
        <v>4704</v>
      </c>
      <c r="B4701" t="s">
        <v>9415</v>
      </c>
      <c r="C4701" s="1">
        <v>37.206050155699998</v>
      </c>
      <c r="D4701" s="1">
        <v>-7.0193785822099999</v>
      </c>
      <c r="E4701" s="3">
        <v>4</v>
      </c>
      <c r="F4701" s="2">
        <v>2</v>
      </c>
      <c r="G4701" s="4">
        <v>3</v>
      </c>
      <c r="H4701" s="16">
        <v>3</v>
      </c>
      <c r="I4701" s="40">
        <v>1</v>
      </c>
      <c r="J4701" s="35">
        <v>3</v>
      </c>
      <c r="K4701" s="2" t="s">
        <v>9416</v>
      </c>
      <c r="L4701" s="36" t="str">
        <f t="shared" si="79"/>
        <v>Ver Imagen</v>
      </c>
      <c r="M4701" t="s">
        <v>8005</v>
      </c>
    </row>
    <row r="4702" spans="1:13" x14ac:dyDescent="0.25">
      <c r="A4702" s="33">
        <v>4705</v>
      </c>
      <c r="B4702" t="s">
        <v>9417</v>
      </c>
      <c r="C4702" s="1">
        <v>37.206567263499998</v>
      </c>
      <c r="D4702" s="1">
        <v>-7.02044860126</v>
      </c>
      <c r="E4702" s="3">
        <v>4</v>
      </c>
      <c r="F4702" s="2">
        <v>2</v>
      </c>
      <c r="G4702" s="4">
        <v>3</v>
      </c>
      <c r="H4702" s="13">
        <v>2</v>
      </c>
      <c r="I4702" s="34">
        <v>2</v>
      </c>
      <c r="J4702" s="35">
        <v>2</v>
      </c>
      <c r="K4702" s="2" t="s">
        <v>9418</v>
      </c>
      <c r="L4702" s="36" t="str">
        <f t="shared" si="79"/>
        <v>Ver Imagen</v>
      </c>
      <c r="M4702" t="s">
        <v>8005</v>
      </c>
    </row>
    <row r="4703" spans="1:13" x14ac:dyDescent="0.25">
      <c r="A4703" s="33">
        <v>4706</v>
      </c>
      <c r="B4703" t="s">
        <v>9419</v>
      </c>
      <c r="C4703" s="1">
        <v>37.235956231700001</v>
      </c>
      <c r="D4703" s="1">
        <v>-7.0185301106700004</v>
      </c>
      <c r="E4703" s="3">
        <v>5</v>
      </c>
      <c r="F4703" s="2">
        <v>3</v>
      </c>
      <c r="G4703" s="4">
        <v>4</v>
      </c>
      <c r="H4703" s="13">
        <v>3</v>
      </c>
      <c r="I4703" s="34">
        <v>3</v>
      </c>
      <c r="J4703" s="35">
        <v>3</v>
      </c>
      <c r="K4703" s="2" t="s">
        <v>9420</v>
      </c>
      <c r="L4703" s="36" t="str">
        <f t="shared" si="79"/>
        <v>Ver Imagen</v>
      </c>
      <c r="M4703" t="s">
        <v>8005</v>
      </c>
    </row>
    <row r="4704" spans="1:13" x14ac:dyDescent="0.25">
      <c r="A4704" s="33">
        <v>4707</v>
      </c>
      <c r="B4704" t="s">
        <v>9421</v>
      </c>
      <c r="C4704" s="1">
        <v>37.235757579999998</v>
      </c>
      <c r="D4704" s="1">
        <v>-7.0184781411400001</v>
      </c>
      <c r="E4704" s="3">
        <v>4</v>
      </c>
      <c r="F4704" s="2">
        <v>2</v>
      </c>
      <c r="G4704" s="4">
        <v>3</v>
      </c>
      <c r="H4704" s="13">
        <v>3</v>
      </c>
      <c r="I4704" s="34">
        <v>2</v>
      </c>
      <c r="J4704" s="35">
        <v>3</v>
      </c>
      <c r="K4704" s="2" t="s">
        <v>9422</v>
      </c>
      <c r="L4704" s="36" t="str">
        <f t="shared" si="79"/>
        <v>Ver Imagen</v>
      </c>
      <c r="M4704" t="s">
        <v>8005</v>
      </c>
    </row>
    <row r="4705" spans="1:13" x14ac:dyDescent="0.25">
      <c r="A4705" s="33">
        <v>4708</v>
      </c>
      <c r="B4705" t="s">
        <v>9423</v>
      </c>
      <c r="C4705" s="1">
        <v>37.235327005000002</v>
      </c>
      <c r="D4705" s="1">
        <v>-7.0183600339899996</v>
      </c>
      <c r="E4705" s="3">
        <v>5</v>
      </c>
      <c r="F4705" s="2">
        <v>3</v>
      </c>
      <c r="G4705" s="4">
        <v>4</v>
      </c>
      <c r="H4705" s="13">
        <v>3</v>
      </c>
      <c r="I4705" s="34">
        <v>3</v>
      </c>
      <c r="J4705" s="35">
        <v>3</v>
      </c>
      <c r="K4705" s="2" t="s">
        <v>9424</v>
      </c>
      <c r="L4705" s="36" t="str">
        <f t="shared" si="79"/>
        <v>Ver Imagen</v>
      </c>
      <c r="M4705" t="s">
        <v>8005</v>
      </c>
    </row>
    <row r="4706" spans="1:13" x14ac:dyDescent="0.25">
      <c r="A4706" s="33">
        <v>4709</v>
      </c>
      <c r="B4706" t="s">
        <v>9425</v>
      </c>
      <c r="C4706" s="1">
        <v>37.235194050600001</v>
      </c>
      <c r="D4706" s="1">
        <v>-7.0183241302999999</v>
      </c>
      <c r="E4706" s="3">
        <v>5</v>
      </c>
      <c r="F4706" s="2">
        <v>3</v>
      </c>
      <c r="G4706" s="4">
        <v>4</v>
      </c>
      <c r="H4706" s="13">
        <v>3</v>
      </c>
      <c r="I4706" s="34">
        <v>3</v>
      </c>
      <c r="J4706" s="35">
        <v>3</v>
      </c>
      <c r="K4706" s="2" t="s">
        <v>9426</v>
      </c>
      <c r="L4706" s="36" t="str">
        <f t="shared" si="79"/>
        <v>Ver Imagen</v>
      </c>
      <c r="M4706" t="s">
        <v>8005</v>
      </c>
    </row>
    <row r="4707" spans="1:13" x14ac:dyDescent="0.25">
      <c r="A4707" s="33">
        <v>4710</v>
      </c>
      <c r="B4707" t="s">
        <v>9427</v>
      </c>
      <c r="C4707" s="1">
        <v>37.234786179499999</v>
      </c>
      <c r="D4707" s="1">
        <v>-7.0182323477599997</v>
      </c>
      <c r="E4707" s="3">
        <v>4</v>
      </c>
      <c r="F4707" s="2">
        <v>2</v>
      </c>
      <c r="G4707" s="4">
        <v>3</v>
      </c>
      <c r="H4707" s="13">
        <v>2</v>
      </c>
      <c r="I4707" s="34">
        <v>2</v>
      </c>
      <c r="J4707" s="35">
        <v>2</v>
      </c>
      <c r="K4707" s="2" t="s">
        <v>9428</v>
      </c>
      <c r="L4707" s="36" t="str">
        <f t="shared" si="79"/>
        <v>Ver Imagen</v>
      </c>
      <c r="M4707" t="s">
        <v>8005</v>
      </c>
    </row>
    <row r="4708" spans="1:13" x14ac:dyDescent="0.25">
      <c r="A4708" s="33">
        <v>4711</v>
      </c>
      <c r="B4708" t="s">
        <v>9429</v>
      </c>
      <c r="C4708" s="1">
        <v>37.207970394299998</v>
      </c>
      <c r="D4708" s="1">
        <v>-7.0222331021300004</v>
      </c>
      <c r="E4708" s="3">
        <v>4</v>
      </c>
      <c r="F4708" s="2">
        <v>2</v>
      </c>
      <c r="G4708" s="4">
        <v>3</v>
      </c>
      <c r="H4708" s="13">
        <v>2</v>
      </c>
      <c r="I4708" s="34">
        <v>2</v>
      </c>
      <c r="J4708" s="35">
        <v>2</v>
      </c>
      <c r="K4708" s="2" t="s">
        <v>9430</v>
      </c>
      <c r="L4708" s="36" t="str">
        <f t="shared" si="79"/>
        <v>Ver Imagen</v>
      </c>
      <c r="M4708" t="s">
        <v>8005</v>
      </c>
    </row>
    <row r="4709" spans="1:13" x14ac:dyDescent="0.25">
      <c r="A4709" s="33">
        <v>4712</v>
      </c>
      <c r="B4709" t="s">
        <v>9431</v>
      </c>
      <c r="C4709" s="1">
        <v>37.208666305900003</v>
      </c>
      <c r="D4709" s="1">
        <v>-7.0227989533099997</v>
      </c>
      <c r="E4709" s="3">
        <v>4</v>
      </c>
      <c r="F4709" s="2">
        <v>2</v>
      </c>
      <c r="G4709" s="4">
        <v>3</v>
      </c>
      <c r="H4709" s="13">
        <v>2</v>
      </c>
      <c r="I4709" s="34">
        <v>2</v>
      </c>
      <c r="J4709" s="35">
        <v>2</v>
      </c>
      <c r="K4709" s="2" t="s">
        <v>9432</v>
      </c>
      <c r="L4709" s="36" t="str">
        <f t="shared" si="79"/>
        <v>Ver Imagen</v>
      </c>
      <c r="M4709" t="s">
        <v>8005</v>
      </c>
    </row>
    <row r="4710" spans="1:13" x14ac:dyDescent="0.25">
      <c r="A4710" s="33">
        <v>4713</v>
      </c>
      <c r="B4710" t="s">
        <v>9433</v>
      </c>
      <c r="C4710" s="1">
        <v>37.2088350633</v>
      </c>
      <c r="D4710" s="1">
        <v>-7.0229137072899999</v>
      </c>
      <c r="E4710" s="3">
        <v>4</v>
      </c>
      <c r="F4710" s="2">
        <v>2</v>
      </c>
      <c r="G4710" s="4">
        <v>3</v>
      </c>
      <c r="H4710" s="13">
        <v>3</v>
      </c>
      <c r="I4710" s="34">
        <v>2</v>
      </c>
      <c r="J4710" s="35">
        <v>3</v>
      </c>
      <c r="K4710" s="2" t="s">
        <v>9434</v>
      </c>
      <c r="L4710" s="36" t="str">
        <f t="shared" si="79"/>
        <v>Ver Imagen</v>
      </c>
      <c r="M4710" t="s">
        <v>8005</v>
      </c>
    </row>
    <row r="4711" spans="1:13" x14ac:dyDescent="0.25">
      <c r="A4711" s="33">
        <v>4714</v>
      </c>
      <c r="B4711" t="s">
        <v>9435</v>
      </c>
      <c r="C4711" s="1">
        <v>37.231015321299999</v>
      </c>
      <c r="D4711" s="1">
        <v>-7.0196923227300001</v>
      </c>
      <c r="E4711" s="3">
        <v>5</v>
      </c>
      <c r="F4711" s="2">
        <v>3</v>
      </c>
      <c r="G4711" s="4">
        <v>3</v>
      </c>
      <c r="H4711" s="13">
        <v>3</v>
      </c>
      <c r="I4711" s="34">
        <v>2</v>
      </c>
      <c r="J4711" s="35">
        <v>3</v>
      </c>
      <c r="K4711" s="2" t="s">
        <v>9436</v>
      </c>
      <c r="L4711" s="36" t="str">
        <f t="shared" si="79"/>
        <v>Ver Imagen</v>
      </c>
      <c r="M4711" t="s">
        <v>8005</v>
      </c>
    </row>
    <row r="4712" spans="1:13" x14ac:dyDescent="0.25">
      <c r="A4712" s="33">
        <v>4715</v>
      </c>
      <c r="B4712" t="s">
        <v>9437</v>
      </c>
      <c r="C4712" s="1">
        <v>37.211960313500001</v>
      </c>
      <c r="D4712" s="1">
        <v>-7.0238570220099996</v>
      </c>
      <c r="E4712" s="3">
        <v>4</v>
      </c>
      <c r="F4712" s="2">
        <v>2</v>
      </c>
      <c r="G4712" s="4">
        <v>3</v>
      </c>
      <c r="H4712" s="13">
        <v>2</v>
      </c>
      <c r="I4712" s="34">
        <v>1</v>
      </c>
      <c r="J4712" s="35">
        <v>2</v>
      </c>
      <c r="K4712" s="2" t="s">
        <v>9438</v>
      </c>
      <c r="L4712" s="36" t="str">
        <f t="shared" si="79"/>
        <v>Ver Imagen</v>
      </c>
      <c r="M4712" t="s">
        <v>8005</v>
      </c>
    </row>
    <row r="4713" spans="1:13" x14ac:dyDescent="0.25">
      <c r="A4713" s="33">
        <v>4716</v>
      </c>
      <c r="B4713" t="s">
        <v>9439</v>
      </c>
      <c r="C4713" s="1">
        <v>37.228581738999999</v>
      </c>
      <c r="D4713" s="1">
        <v>-7.0215369128400003</v>
      </c>
      <c r="E4713" s="3">
        <v>4</v>
      </c>
      <c r="F4713" s="2">
        <v>2</v>
      </c>
      <c r="G4713" s="4">
        <v>2</v>
      </c>
      <c r="H4713" s="13">
        <v>2</v>
      </c>
      <c r="I4713" s="34">
        <v>2</v>
      </c>
      <c r="J4713" s="35">
        <v>2</v>
      </c>
      <c r="K4713" s="2" t="s">
        <v>9440</v>
      </c>
      <c r="L4713" s="36" t="str">
        <f t="shared" si="79"/>
        <v>Ver Imagen</v>
      </c>
      <c r="M4713" t="s">
        <v>8005</v>
      </c>
    </row>
    <row r="4714" spans="1:13" x14ac:dyDescent="0.25">
      <c r="A4714" s="33">
        <v>4717</v>
      </c>
      <c r="B4714" t="s">
        <v>9441</v>
      </c>
      <c r="C4714" s="1">
        <v>37.203750915000001</v>
      </c>
      <c r="D4714" s="1">
        <v>-7.0096247458600001</v>
      </c>
      <c r="E4714" s="3">
        <v>4</v>
      </c>
      <c r="F4714" s="2">
        <v>3</v>
      </c>
      <c r="G4714" s="4">
        <v>2</v>
      </c>
      <c r="H4714" s="13">
        <v>2</v>
      </c>
      <c r="I4714" s="34">
        <v>2</v>
      </c>
      <c r="J4714" s="35">
        <v>2</v>
      </c>
      <c r="K4714" s="2" t="s">
        <v>9442</v>
      </c>
      <c r="L4714" s="36" t="str">
        <f t="shared" si="79"/>
        <v>Ver Imagen</v>
      </c>
      <c r="M4714" t="s">
        <v>8005</v>
      </c>
    </row>
    <row r="4715" spans="1:13" x14ac:dyDescent="0.25">
      <c r="A4715" s="33">
        <v>4718</v>
      </c>
      <c r="B4715" t="s">
        <v>9443</v>
      </c>
      <c r="C4715" s="1">
        <v>37.202670535700001</v>
      </c>
      <c r="D4715" s="1">
        <v>-7.0013197793500002</v>
      </c>
      <c r="E4715" s="3">
        <v>2</v>
      </c>
      <c r="F4715" s="2">
        <v>4</v>
      </c>
      <c r="G4715" s="4">
        <v>3</v>
      </c>
      <c r="H4715" s="13">
        <v>3</v>
      </c>
      <c r="I4715" s="34">
        <v>2</v>
      </c>
      <c r="J4715" s="35">
        <v>3</v>
      </c>
      <c r="K4715" s="2" t="s">
        <v>9444</v>
      </c>
      <c r="L4715" s="36" t="str">
        <f t="shared" si="79"/>
        <v>Ver Imagen</v>
      </c>
      <c r="M4715" t="s">
        <v>8005</v>
      </c>
    </row>
    <row r="4716" spans="1:13" x14ac:dyDescent="0.25">
      <c r="A4716" s="33">
        <v>4719</v>
      </c>
      <c r="B4716" t="s">
        <v>9445</v>
      </c>
      <c r="C4716" s="1">
        <v>37.229378549000003</v>
      </c>
      <c r="D4716" s="1">
        <v>-7.02072986653</v>
      </c>
      <c r="E4716" s="3">
        <v>4</v>
      </c>
      <c r="F4716" s="2">
        <v>3</v>
      </c>
      <c r="G4716" s="4">
        <v>2</v>
      </c>
      <c r="H4716" s="13">
        <v>2</v>
      </c>
      <c r="I4716" s="34">
        <v>2</v>
      </c>
      <c r="J4716" s="35">
        <v>2</v>
      </c>
      <c r="K4716" s="2" t="s">
        <v>9446</v>
      </c>
      <c r="L4716" s="36" t="str">
        <f t="shared" si="79"/>
        <v>Ver Imagen</v>
      </c>
      <c r="M4716" t="s">
        <v>8005</v>
      </c>
    </row>
    <row r="4717" spans="1:13" x14ac:dyDescent="0.25">
      <c r="A4717" s="33">
        <v>4720</v>
      </c>
      <c r="B4717" t="s">
        <v>9447</v>
      </c>
      <c r="C4717" s="1">
        <v>37.230437924199997</v>
      </c>
      <c r="D4717" s="1">
        <v>-7.0199201123100003</v>
      </c>
      <c r="E4717" s="3">
        <v>4</v>
      </c>
      <c r="F4717" s="2">
        <v>3</v>
      </c>
      <c r="G4717" s="4">
        <v>2</v>
      </c>
      <c r="H4717" s="13">
        <v>2</v>
      </c>
      <c r="I4717" s="34">
        <v>3</v>
      </c>
      <c r="J4717" s="37">
        <v>2</v>
      </c>
      <c r="K4717" s="2" t="s">
        <v>9448</v>
      </c>
      <c r="L4717" s="36" t="str">
        <f t="shared" si="79"/>
        <v>Ver Imagen</v>
      </c>
      <c r="M4717" s="37" t="s">
        <v>8052</v>
      </c>
    </row>
    <row r="4718" spans="1:13" x14ac:dyDescent="0.25">
      <c r="A4718" s="33">
        <v>4721</v>
      </c>
      <c r="B4718" t="s">
        <v>9449</v>
      </c>
      <c r="C4718" s="1">
        <v>37.252358893</v>
      </c>
      <c r="D4718" s="1">
        <v>-7.0163741383199998</v>
      </c>
      <c r="E4718" s="3">
        <v>2</v>
      </c>
      <c r="F4718" s="2">
        <v>4</v>
      </c>
      <c r="G4718" s="4">
        <v>3</v>
      </c>
      <c r="H4718" s="13">
        <v>3</v>
      </c>
      <c r="I4718" s="34">
        <v>2</v>
      </c>
      <c r="J4718" s="35">
        <v>3</v>
      </c>
      <c r="K4718" s="2" t="s">
        <v>9450</v>
      </c>
      <c r="L4718" s="36" t="str">
        <f t="shared" si="79"/>
        <v>Ver Imagen</v>
      </c>
      <c r="M4718" t="s">
        <v>8005</v>
      </c>
    </row>
    <row r="4719" spans="1:13" x14ac:dyDescent="0.25">
      <c r="A4719" s="33">
        <v>4722</v>
      </c>
      <c r="B4719" t="s">
        <v>9451</v>
      </c>
      <c r="C4719" s="1">
        <v>37.262019109199997</v>
      </c>
      <c r="D4719" s="1">
        <v>-7.0100135521200002</v>
      </c>
      <c r="E4719" s="3">
        <v>4</v>
      </c>
      <c r="F4719" s="2">
        <v>2</v>
      </c>
      <c r="G4719" s="4">
        <v>3</v>
      </c>
      <c r="H4719" s="13">
        <v>2</v>
      </c>
      <c r="I4719" s="34">
        <v>2</v>
      </c>
      <c r="J4719" s="35">
        <v>2</v>
      </c>
      <c r="K4719" s="2" t="s">
        <v>9452</v>
      </c>
      <c r="L4719" s="36" t="str">
        <f t="shared" si="79"/>
        <v>Ver Imagen</v>
      </c>
      <c r="M4719" t="s">
        <v>8005</v>
      </c>
    </row>
    <row r="4720" spans="1:13" x14ac:dyDescent="0.25">
      <c r="A4720" s="33">
        <v>4723</v>
      </c>
      <c r="B4720" t="s">
        <v>9453</v>
      </c>
      <c r="C4720" s="1">
        <v>37.264665817599997</v>
      </c>
      <c r="D4720" s="1">
        <v>-7.0001334860900002</v>
      </c>
      <c r="E4720" s="3">
        <v>4</v>
      </c>
      <c r="F4720" s="2">
        <v>2</v>
      </c>
      <c r="G4720" s="4">
        <v>3</v>
      </c>
      <c r="H4720" s="13">
        <v>2</v>
      </c>
      <c r="I4720" s="34">
        <v>2</v>
      </c>
      <c r="J4720" s="35">
        <v>2</v>
      </c>
      <c r="K4720" s="2" t="s">
        <v>9454</v>
      </c>
      <c r="L4720" s="36" t="str">
        <f t="shared" si="79"/>
        <v>Ver Imagen</v>
      </c>
      <c r="M4720" t="s">
        <v>8005</v>
      </c>
    </row>
    <row r="4721" spans="1:13" x14ac:dyDescent="0.25">
      <c r="A4721" s="33">
        <v>4724</v>
      </c>
      <c r="B4721" t="s">
        <v>9455</v>
      </c>
      <c r="C4721" s="1">
        <v>37.264716993299999</v>
      </c>
      <c r="D4721" s="1">
        <v>-6.9998475814900001</v>
      </c>
      <c r="E4721" s="3">
        <v>5</v>
      </c>
      <c r="F4721" s="2">
        <v>3</v>
      </c>
      <c r="G4721" s="4">
        <v>4</v>
      </c>
      <c r="H4721" s="13">
        <v>3</v>
      </c>
      <c r="I4721" s="34">
        <v>4</v>
      </c>
      <c r="J4721" s="35">
        <v>4</v>
      </c>
      <c r="K4721" s="2" t="s">
        <v>9456</v>
      </c>
      <c r="L4721" s="36" t="str">
        <f t="shared" si="79"/>
        <v>Ver Imagen</v>
      </c>
      <c r="M4721" t="s">
        <v>8005</v>
      </c>
    </row>
    <row r="4722" spans="1:13" x14ac:dyDescent="0.25">
      <c r="A4722" s="33">
        <v>4725</v>
      </c>
      <c r="B4722" t="s">
        <v>9457</v>
      </c>
      <c r="C4722" s="1">
        <v>37.488040629899999</v>
      </c>
      <c r="D4722" s="1">
        <v>-7.2455046359299997</v>
      </c>
      <c r="E4722" s="3">
        <v>1</v>
      </c>
      <c r="F4722" s="2">
        <v>4</v>
      </c>
      <c r="G4722" s="4">
        <v>1</v>
      </c>
      <c r="H4722" s="13">
        <v>2</v>
      </c>
      <c r="I4722" s="34">
        <v>2</v>
      </c>
      <c r="J4722" s="35">
        <v>2</v>
      </c>
      <c r="K4722" s="2" t="s">
        <v>9458</v>
      </c>
      <c r="L4722" s="36" t="str">
        <f t="shared" si="79"/>
        <v>Ver Imagen</v>
      </c>
      <c r="M4722" t="s">
        <v>8005</v>
      </c>
    </row>
    <row r="4723" spans="1:13" x14ac:dyDescent="0.25">
      <c r="A4723" s="33">
        <v>4726</v>
      </c>
      <c r="B4723" t="s">
        <v>9459</v>
      </c>
      <c r="C4723" s="1">
        <v>37.482805985900001</v>
      </c>
      <c r="D4723" s="1">
        <v>-7.1287884444399996</v>
      </c>
      <c r="E4723" s="3">
        <v>1</v>
      </c>
      <c r="F4723" s="2">
        <v>1</v>
      </c>
      <c r="G4723" s="4">
        <v>4</v>
      </c>
      <c r="H4723" s="13">
        <v>1</v>
      </c>
      <c r="I4723" s="34">
        <v>1</v>
      </c>
      <c r="J4723" s="35">
        <v>1</v>
      </c>
      <c r="K4723" s="2" t="s">
        <v>9460</v>
      </c>
      <c r="L4723" s="36" t="str">
        <f t="shared" si="79"/>
        <v>Ver Imagen</v>
      </c>
      <c r="M4723" t="s">
        <v>8005</v>
      </c>
    </row>
    <row r="4724" spans="1:13" x14ac:dyDescent="0.25">
      <c r="A4724" s="33">
        <v>4727</v>
      </c>
      <c r="B4724" t="s">
        <v>9461</v>
      </c>
      <c r="C4724" s="1">
        <v>37.276280821900002</v>
      </c>
      <c r="D4724" s="1">
        <v>-7.0139774289499996</v>
      </c>
      <c r="E4724" s="3">
        <v>2</v>
      </c>
      <c r="F4724" s="2">
        <v>3</v>
      </c>
      <c r="G4724" s="4">
        <v>5</v>
      </c>
      <c r="H4724" s="13">
        <v>2</v>
      </c>
      <c r="I4724" s="34">
        <v>2</v>
      </c>
      <c r="J4724" s="35">
        <v>2</v>
      </c>
      <c r="K4724" s="2" t="s">
        <v>9462</v>
      </c>
      <c r="L4724" s="36" t="str">
        <f t="shared" si="79"/>
        <v>Ver Imagen</v>
      </c>
      <c r="M4724" t="s">
        <v>8005</v>
      </c>
    </row>
    <row r="4725" spans="1:13" x14ac:dyDescent="0.25">
      <c r="A4725" s="33">
        <v>4728</v>
      </c>
      <c r="B4725" t="s">
        <v>9463</v>
      </c>
      <c r="C4725" s="1">
        <v>37.307716522900002</v>
      </c>
      <c r="D4725" s="1">
        <v>-7.0570138367300004</v>
      </c>
      <c r="E4725" s="3">
        <v>2</v>
      </c>
      <c r="F4725" s="2">
        <v>2</v>
      </c>
      <c r="G4725" s="4">
        <v>5</v>
      </c>
      <c r="H4725" s="13">
        <v>2</v>
      </c>
      <c r="I4725" s="34">
        <v>2</v>
      </c>
      <c r="J4725" s="35">
        <v>2</v>
      </c>
      <c r="K4725" s="2" t="s">
        <v>9464</v>
      </c>
      <c r="L4725" s="36" t="str">
        <f t="shared" si="79"/>
        <v>Ver Imagen</v>
      </c>
      <c r="M4725" t="s">
        <v>8005</v>
      </c>
    </row>
    <row r="4726" spans="1:13" x14ac:dyDescent="0.25">
      <c r="A4726" s="33">
        <v>4729</v>
      </c>
      <c r="B4726" t="s">
        <v>9465</v>
      </c>
      <c r="C4726" s="1">
        <v>37.3090769079</v>
      </c>
      <c r="D4726" s="1">
        <v>-7.0575609561099997</v>
      </c>
      <c r="E4726" s="3">
        <v>2</v>
      </c>
      <c r="F4726" s="2">
        <v>3</v>
      </c>
      <c r="G4726" s="4">
        <v>5</v>
      </c>
      <c r="H4726" s="13">
        <v>2</v>
      </c>
      <c r="I4726" s="34">
        <v>2</v>
      </c>
      <c r="J4726" s="35">
        <v>2</v>
      </c>
      <c r="K4726" s="2" t="s">
        <v>9466</v>
      </c>
      <c r="L4726" s="36" t="str">
        <f t="shared" si="79"/>
        <v>Ver Imagen</v>
      </c>
      <c r="M4726" t="s">
        <v>8005</v>
      </c>
    </row>
    <row r="4727" spans="1:13" x14ac:dyDescent="0.25">
      <c r="A4727" s="33">
        <v>4730</v>
      </c>
      <c r="B4727" t="s">
        <v>9467</v>
      </c>
      <c r="C4727" s="1">
        <v>37.199288235200001</v>
      </c>
      <c r="D4727" s="1">
        <v>-6.9832307912299996</v>
      </c>
      <c r="E4727" s="3">
        <v>2</v>
      </c>
      <c r="F4727" s="2">
        <v>3</v>
      </c>
      <c r="G4727" s="4">
        <v>5</v>
      </c>
      <c r="H4727" s="13">
        <v>2</v>
      </c>
      <c r="I4727" s="34">
        <v>3</v>
      </c>
      <c r="J4727" s="35">
        <v>3</v>
      </c>
      <c r="K4727" s="2" t="s">
        <v>9468</v>
      </c>
      <c r="L4727" s="36" t="str">
        <f t="shared" si="79"/>
        <v>Ver Imagen</v>
      </c>
      <c r="M4727" t="s">
        <v>8005</v>
      </c>
    </row>
    <row r="4728" spans="1:13" x14ac:dyDescent="0.25">
      <c r="A4728" s="33">
        <v>4731</v>
      </c>
      <c r="B4728" t="s">
        <v>9469</v>
      </c>
      <c r="C4728" s="1">
        <v>37.453936214300001</v>
      </c>
      <c r="D4728" s="1">
        <v>-7.1636378867500001</v>
      </c>
      <c r="E4728" s="3">
        <v>1</v>
      </c>
      <c r="F4728" s="2">
        <v>4</v>
      </c>
      <c r="G4728" s="4">
        <v>3</v>
      </c>
      <c r="H4728" s="13">
        <v>3</v>
      </c>
      <c r="I4728" s="34">
        <v>2</v>
      </c>
      <c r="J4728" s="35">
        <v>3</v>
      </c>
      <c r="K4728" s="2" t="s">
        <v>9470</v>
      </c>
      <c r="L4728" s="36" t="str">
        <f t="shared" si="79"/>
        <v>Ver Imagen</v>
      </c>
      <c r="M4728" t="s">
        <v>8005</v>
      </c>
    </row>
    <row r="4729" spans="1:13" x14ac:dyDescent="0.25">
      <c r="A4729" s="33">
        <v>4732</v>
      </c>
      <c r="B4729" t="s">
        <v>9471</v>
      </c>
      <c r="C4729" s="1">
        <v>37.477940813799997</v>
      </c>
      <c r="D4729" s="1">
        <v>-7.2055676605799999</v>
      </c>
      <c r="E4729" s="3">
        <v>1</v>
      </c>
      <c r="F4729" s="2">
        <v>4</v>
      </c>
      <c r="G4729" s="4">
        <v>3</v>
      </c>
      <c r="H4729" s="13">
        <v>2</v>
      </c>
      <c r="I4729" s="34">
        <v>2</v>
      </c>
      <c r="J4729" s="35">
        <v>2</v>
      </c>
      <c r="K4729" s="2" t="s">
        <v>9472</v>
      </c>
      <c r="L4729" s="36" t="str">
        <f t="shared" si="79"/>
        <v>Ver Imagen</v>
      </c>
      <c r="M4729" t="s">
        <v>8005</v>
      </c>
    </row>
    <row r="4730" spans="1:13" x14ac:dyDescent="0.25">
      <c r="A4730" s="33">
        <v>4733</v>
      </c>
      <c r="B4730" t="s">
        <v>9473</v>
      </c>
      <c r="C4730" s="1">
        <v>37.482323655199998</v>
      </c>
      <c r="D4730" s="1">
        <v>-7.2167566932099998</v>
      </c>
      <c r="E4730" s="3">
        <v>1</v>
      </c>
      <c r="F4730" s="2">
        <v>4</v>
      </c>
      <c r="G4730" s="4">
        <v>3</v>
      </c>
      <c r="H4730" s="13">
        <v>3</v>
      </c>
      <c r="I4730" s="34">
        <v>2</v>
      </c>
      <c r="J4730" s="35">
        <v>3</v>
      </c>
      <c r="K4730" s="2" t="s">
        <v>9474</v>
      </c>
      <c r="L4730" s="36" t="str">
        <f t="shared" si="79"/>
        <v>Ver Imagen</v>
      </c>
      <c r="M4730" t="s">
        <v>8005</v>
      </c>
    </row>
    <row r="4731" spans="1:13" x14ac:dyDescent="0.25">
      <c r="A4731" s="33">
        <v>4734</v>
      </c>
      <c r="B4731" t="s">
        <v>9475</v>
      </c>
      <c r="C4731" s="1">
        <v>37.446236919599997</v>
      </c>
      <c r="D4731" s="1">
        <v>-7.13472187051</v>
      </c>
      <c r="E4731" s="3">
        <v>2</v>
      </c>
      <c r="F4731" s="2">
        <v>5</v>
      </c>
      <c r="G4731" s="4">
        <v>4</v>
      </c>
      <c r="H4731" s="13">
        <v>4</v>
      </c>
      <c r="I4731" s="34">
        <v>4</v>
      </c>
      <c r="J4731" s="35">
        <v>4</v>
      </c>
      <c r="K4731" s="2" t="s">
        <v>9476</v>
      </c>
      <c r="L4731" s="36" t="str">
        <f t="shared" si="79"/>
        <v>Ver Imagen</v>
      </c>
      <c r="M4731" t="s">
        <v>8005</v>
      </c>
    </row>
    <row r="4732" spans="1:13" x14ac:dyDescent="0.25">
      <c r="A4732" s="33">
        <v>4735</v>
      </c>
      <c r="B4732" t="s">
        <v>9477</v>
      </c>
      <c r="C4732" s="1">
        <v>37.450836380200002</v>
      </c>
      <c r="D4732" s="1">
        <v>-7.15362006327</v>
      </c>
      <c r="E4732" s="3">
        <v>2</v>
      </c>
      <c r="F4732" s="2">
        <v>5</v>
      </c>
      <c r="G4732" s="4">
        <v>4</v>
      </c>
      <c r="H4732" s="13">
        <v>4</v>
      </c>
      <c r="I4732" s="34">
        <v>4</v>
      </c>
      <c r="J4732" s="35">
        <v>4</v>
      </c>
      <c r="K4732" s="2" t="s">
        <v>9478</v>
      </c>
      <c r="L4732" s="36" t="str">
        <f t="shared" si="79"/>
        <v>Ver Imagen</v>
      </c>
      <c r="M4732" t="s">
        <v>8005</v>
      </c>
    </row>
    <row r="4733" spans="1:13" x14ac:dyDescent="0.25">
      <c r="A4733" s="33">
        <v>4736</v>
      </c>
      <c r="B4733" t="s">
        <v>9479</v>
      </c>
      <c r="C4733" s="1">
        <v>37.476898562599999</v>
      </c>
      <c r="D4733" s="1">
        <v>-7.20315471346</v>
      </c>
      <c r="E4733" s="3">
        <v>1</v>
      </c>
      <c r="F4733" s="2">
        <v>3</v>
      </c>
      <c r="G4733" s="4">
        <v>4</v>
      </c>
      <c r="H4733" s="13">
        <v>3</v>
      </c>
      <c r="I4733" s="34">
        <v>3</v>
      </c>
      <c r="J4733" s="35">
        <v>3</v>
      </c>
      <c r="K4733" s="2" t="s">
        <v>9480</v>
      </c>
      <c r="L4733" s="36" t="str">
        <f t="shared" si="79"/>
        <v>Ver Imagen</v>
      </c>
      <c r="M4733" t="s">
        <v>8005</v>
      </c>
    </row>
    <row r="4734" spans="1:13" x14ac:dyDescent="0.25">
      <c r="A4734" s="33">
        <v>4737</v>
      </c>
      <c r="B4734" t="s">
        <v>9481</v>
      </c>
      <c r="C4734" s="1">
        <v>37.458474407700002</v>
      </c>
      <c r="D4734" s="1">
        <v>-7.1145551607700002</v>
      </c>
      <c r="E4734" s="3">
        <v>1</v>
      </c>
      <c r="F4734" s="2">
        <v>4</v>
      </c>
      <c r="G4734" s="4">
        <v>4</v>
      </c>
      <c r="H4734" s="13">
        <v>4</v>
      </c>
      <c r="I4734" s="34">
        <v>4</v>
      </c>
      <c r="J4734" s="35">
        <v>4</v>
      </c>
      <c r="K4734" s="2" t="s">
        <v>9482</v>
      </c>
      <c r="L4734" s="36" t="str">
        <f t="shared" si="79"/>
        <v>Ver Imagen</v>
      </c>
      <c r="M4734" t="s">
        <v>8005</v>
      </c>
    </row>
    <row r="4735" spans="1:13" x14ac:dyDescent="0.25">
      <c r="A4735" s="33">
        <v>4738</v>
      </c>
      <c r="B4735" t="s">
        <v>9483</v>
      </c>
      <c r="C4735" s="1">
        <v>37.471641213700003</v>
      </c>
      <c r="D4735" s="1">
        <v>-7.1259292642899998</v>
      </c>
      <c r="E4735" s="3">
        <v>4</v>
      </c>
      <c r="F4735" s="2">
        <v>1</v>
      </c>
      <c r="G4735" s="4">
        <v>4</v>
      </c>
      <c r="H4735" s="13">
        <v>3</v>
      </c>
      <c r="I4735" s="34">
        <v>2</v>
      </c>
      <c r="J4735" s="35">
        <v>3</v>
      </c>
      <c r="K4735" s="2" t="s">
        <v>9484</v>
      </c>
      <c r="L4735" s="36" t="str">
        <f t="shared" si="79"/>
        <v>Ver Imagen</v>
      </c>
      <c r="M4735" t="s">
        <v>8005</v>
      </c>
    </row>
    <row r="4736" spans="1:13" x14ac:dyDescent="0.25">
      <c r="A4736" s="33">
        <v>4739</v>
      </c>
      <c r="B4736" t="s">
        <v>9485</v>
      </c>
      <c r="C4736" s="1">
        <v>37.4679271296</v>
      </c>
      <c r="D4736" s="1">
        <v>-7.1232493937700001</v>
      </c>
      <c r="E4736" s="3">
        <v>4</v>
      </c>
      <c r="F4736" s="2">
        <v>7</v>
      </c>
      <c r="G4736" s="4">
        <v>4</v>
      </c>
      <c r="H4736" s="13">
        <v>4</v>
      </c>
      <c r="I4736" s="34">
        <v>4</v>
      </c>
      <c r="J4736" s="35">
        <v>4</v>
      </c>
      <c r="K4736" s="2" t="s">
        <v>9486</v>
      </c>
      <c r="L4736" s="36" t="str">
        <f t="shared" si="79"/>
        <v>Ver Imagen</v>
      </c>
      <c r="M4736" t="s">
        <v>8005</v>
      </c>
    </row>
    <row r="4737" spans="1:13" x14ac:dyDescent="0.25">
      <c r="A4737" s="33">
        <v>4740</v>
      </c>
      <c r="B4737" t="s">
        <v>9487</v>
      </c>
      <c r="C4737" s="1">
        <v>37.218428876300003</v>
      </c>
      <c r="D4737" s="1">
        <v>-7.02300902052</v>
      </c>
      <c r="E4737" s="3">
        <v>4</v>
      </c>
      <c r="F4737" s="2">
        <v>1</v>
      </c>
      <c r="G4737" s="4">
        <v>4</v>
      </c>
      <c r="H4737" s="13">
        <v>2</v>
      </c>
      <c r="I4737" s="34">
        <v>1</v>
      </c>
      <c r="J4737" s="35">
        <v>2</v>
      </c>
      <c r="K4737" s="2" t="s">
        <v>9488</v>
      </c>
      <c r="L4737" s="36" t="str">
        <f t="shared" si="79"/>
        <v>Ver Imagen</v>
      </c>
      <c r="M4737" t="s">
        <v>8005</v>
      </c>
    </row>
    <row r="4738" spans="1:13" x14ac:dyDescent="0.25">
      <c r="A4738" s="33">
        <v>4741</v>
      </c>
      <c r="B4738" t="s">
        <v>9489</v>
      </c>
      <c r="C4738" s="1">
        <v>37.447072885399997</v>
      </c>
      <c r="D4738" s="1">
        <v>-7.1395239408400002</v>
      </c>
      <c r="E4738" s="3">
        <v>2</v>
      </c>
      <c r="F4738" s="2">
        <v>5</v>
      </c>
      <c r="G4738" s="4">
        <v>5</v>
      </c>
      <c r="H4738" s="13">
        <v>4</v>
      </c>
      <c r="I4738" s="34">
        <v>5</v>
      </c>
      <c r="J4738" s="35">
        <v>5</v>
      </c>
      <c r="K4738" s="2" t="s">
        <v>9490</v>
      </c>
      <c r="L4738" s="36" t="str">
        <f t="shared" si="79"/>
        <v>Ver Imagen</v>
      </c>
      <c r="M4738" t="s">
        <v>8005</v>
      </c>
    </row>
    <row r="4739" spans="1:13" x14ac:dyDescent="0.25">
      <c r="A4739" s="33">
        <v>4742</v>
      </c>
      <c r="B4739" t="s">
        <v>9491</v>
      </c>
      <c r="C4739" s="1">
        <v>37.269345932299998</v>
      </c>
      <c r="D4739" s="1">
        <v>-6.97717464687</v>
      </c>
      <c r="E4739" s="3">
        <v>2</v>
      </c>
      <c r="F4739" s="2">
        <v>4</v>
      </c>
      <c r="G4739" s="4">
        <v>5</v>
      </c>
      <c r="H4739" s="13">
        <v>4</v>
      </c>
      <c r="I4739" s="34">
        <v>4</v>
      </c>
      <c r="J4739" s="35">
        <v>4</v>
      </c>
      <c r="K4739" s="2" t="s">
        <v>9492</v>
      </c>
      <c r="L4739" s="36" t="str">
        <f t="shared" si="79"/>
        <v>Ver Imagen</v>
      </c>
      <c r="M4739" t="s">
        <v>8005</v>
      </c>
    </row>
    <row r="4740" spans="1:13" x14ac:dyDescent="0.25">
      <c r="A4740" s="33">
        <v>4743</v>
      </c>
      <c r="B4740" t="s">
        <v>9493</v>
      </c>
      <c r="C4740" s="1">
        <v>37.268975123200001</v>
      </c>
      <c r="D4740" s="1">
        <v>-6.9757900834399997</v>
      </c>
      <c r="E4740" s="3">
        <v>2</v>
      </c>
      <c r="F4740" s="2">
        <v>4</v>
      </c>
      <c r="G4740" s="4">
        <v>5</v>
      </c>
      <c r="H4740" s="13">
        <v>3</v>
      </c>
      <c r="I4740" s="34">
        <v>4</v>
      </c>
      <c r="J4740" s="35">
        <v>4</v>
      </c>
      <c r="K4740" s="2" t="s">
        <v>9494</v>
      </c>
      <c r="L4740" s="36" t="str">
        <f t="shared" si="79"/>
        <v>Ver Imagen</v>
      </c>
      <c r="M4740" t="s">
        <v>8005</v>
      </c>
    </row>
    <row r="4741" spans="1:13" x14ac:dyDescent="0.25">
      <c r="A4741" s="33">
        <v>4744</v>
      </c>
      <c r="B4741" t="s">
        <v>9495</v>
      </c>
      <c r="C4741" s="1">
        <v>37.268633718499999</v>
      </c>
      <c r="D4741" s="1">
        <v>-6.9743199361399997</v>
      </c>
      <c r="E4741" s="3">
        <v>2</v>
      </c>
      <c r="F4741" s="2">
        <v>3</v>
      </c>
      <c r="G4741" s="4">
        <v>5</v>
      </c>
      <c r="H4741" s="13">
        <v>3</v>
      </c>
      <c r="I4741" s="34">
        <v>4</v>
      </c>
      <c r="J4741" s="35">
        <v>3</v>
      </c>
      <c r="K4741" s="2" t="s">
        <v>9496</v>
      </c>
      <c r="L4741" s="36" t="str">
        <f t="shared" si="79"/>
        <v>Ver Imagen</v>
      </c>
      <c r="M4741" t="s">
        <v>8005</v>
      </c>
    </row>
    <row r="4742" spans="1:13" x14ac:dyDescent="0.25">
      <c r="A4742" s="33">
        <v>4745</v>
      </c>
      <c r="B4742" t="s">
        <v>9497</v>
      </c>
      <c r="C4742" s="1">
        <v>37.447976764099998</v>
      </c>
      <c r="D4742" s="1">
        <v>-7.1415480206700002</v>
      </c>
      <c r="E4742" s="3">
        <v>1</v>
      </c>
      <c r="F4742" s="2">
        <v>2</v>
      </c>
      <c r="G4742" s="4">
        <v>4</v>
      </c>
      <c r="H4742" s="13">
        <v>3</v>
      </c>
      <c r="I4742" s="34">
        <v>2</v>
      </c>
      <c r="J4742" s="37">
        <v>3</v>
      </c>
      <c r="K4742" s="2" t="s">
        <v>9498</v>
      </c>
      <c r="L4742" s="36" t="str">
        <f t="shared" si="79"/>
        <v>Ver Imagen</v>
      </c>
      <c r="M4742" s="37" t="s">
        <v>8052</v>
      </c>
    </row>
    <row r="4743" spans="1:13" x14ac:dyDescent="0.25">
      <c r="A4743" s="33">
        <v>4746</v>
      </c>
      <c r="B4743" t="s">
        <v>9499</v>
      </c>
      <c r="C4743" s="1">
        <v>37.4461850012</v>
      </c>
      <c r="D4743" s="1">
        <v>-7.1364724975599998</v>
      </c>
      <c r="E4743" s="3">
        <v>2</v>
      </c>
      <c r="F4743" s="2">
        <v>5</v>
      </c>
      <c r="G4743" s="4">
        <v>5</v>
      </c>
      <c r="H4743" s="13">
        <v>4</v>
      </c>
      <c r="I4743" s="34">
        <v>4</v>
      </c>
      <c r="J4743" s="35">
        <v>4</v>
      </c>
      <c r="K4743" s="2" t="s">
        <v>9500</v>
      </c>
      <c r="L4743" s="36" t="str">
        <f t="shared" si="79"/>
        <v>Ver Imagen</v>
      </c>
      <c r="M4743" t="s">
        <v>8005</v>
      </c>
    </row>
    <row r="4744" spans="1:13" x14ac:dyDescent="0.25">
      <c r="A4744" s="33">
        <v>4747</v>
      </c>
      <c r="B4744" t="s">
        <v>9501</v>
      </c>
      <c r="C4744" s="1">
        <v>37.446588611000003</v>
      </c>
      <c r="D4744" s="1">
        <v>-7.1379219536400003</v>
      </c>
      <c r="E4744" s="3">
        <v>2</v>
      </c>
      <c r="F4744" s="2">
        <v>5</v>
      </c>
      <c r="G4744" s="4">
        <v>4</v>
      </c>
      <c r="H4744" s="13">
        <v>4</v>
      </c>
      <c r="I4744" s="34">
        <v>4</v>
      </c>
      <c r="J4744" s="35">
        <v>4</v>
      </c>
      <c r="K4744" s="2" t="s">
        <v>9502</v>
      </c>
      <c r="L4744" s="36" t="str">
        <f t="shared" si="79"/>
        <v>Ver Imagen</v>
      </c>
      <c r="M4744" t="s">
        <v>8005</v>
      </c>
    </row>
    <row r="4745" spans="1:13" x14ac:dyDescent="0.25">
      <c r="A4745" s="33">
        <v>4748</v>
      </c>
      <c r="B4745" t="s">
        <v>9503</v>
      </c>
      <c r="C4745" s="1">
        <v>37.448467982700002</v>
      </c>
      <c r="D4745" s="1">
        <v>-7.1429567466500004</v>
      </c>
      <c r="E4745" s="3">
        <v>1</v>
      </c>
      <c r="F4745" s="2">
        <v>2</v>
      </c>
      <c r="G4745" s="4">
        <v>4</v>
      </c>
      <c r="H4745" s="13">
        <v>2</v>
      </c>
      <c r="I4745" s="34">
        <v>2</v>
      </c>
      <c r="J4745" s="35">
        <v>2</v>
      </c>
      <c r="K4745" s="2" t="s">
        <v>9504</v>
      </c>
      <c r="L4745" s="36" t="str">
        <f t="shared" si="79"/>
        <v>Ver Imagen</v>
      </c>
      <c r="M4745" t="s">
        <v>8005</v>
      </c>
    </row>
    <row r="4746" spans="1:13" x14ac:dyDescent="0.25">
      <c r="A4746" s="33">
        <v>4749</v>
      </c>
      <c r="B4746" t="s">
        <v>9505</v>
      </c>
      <c r="C4746" s="1">
        <v>37.448562428599999</v>
      </c>
      <c r="D4746" s="1">
        <v>-7.1446770580300001</v>
      </c>
      <c r="E4746" s="3">
        <v>2</v>
      </c>
      <c r="F4746" s="2">
        <v>3</v>
      </c>
      <c r="G4746" s="4">
        <v>5</v>
      </c>
      <c r="H4746" s="13">
        <v>3</v>
      </c>
      <c r="I4746" s="34">
        <v>3</v>
      </c>
      <c r="J4746" s="35">
        <v>3</v>
      </c>
      <c r="K4746" s="2" t="s">
        <v>9506</v>
      </c>
      <c r="L4746" s="36" t="str">
        <f t="shared" si="79"/>
        <v>Ver Imagen</v>
      </c>
      <c r="M4746" t="s">
        <v>8005</v>
      </c>
    </row>
    <row r="4747" spans="1:13" x14ac:dyDescent="0.25">
      <c r="A4747" s="33">
        <v>4750</v>
      </c>
      <c r="B4747" t="s">
        <v>9507</v>
      </c>
      <c r="C4747" s="1">
        <v>37.451042043400001</v>
      </c>
      <c r="D4747" s="1">
        <v>-7.1540220853800003</v>
      </c>
      <c r="E4747" s="3">
        <v>2</v>
      </c>
      <c r="F4747" s="2">
        <v>4</v>
      </c>
      <c r="G4747" s="4">
        <v>5</v>
      </c>
      <c r="H4747" s="13">
        <v>4</v>
      </c>
      <c r="I4747" s="34">
        <v>4</v>
      </c>
      <c r="J4747" s="35">
        <v>4</v>
      </c>
      <c r="K4747" s="2" t="s">
        <v>9508</v>
      </c>
      <c r="L4747" s="36" t="str">
        <f t="shared" si="79"/>
        <v>Ver Imagen</v>
      </c>
      <c r="M4747" t="s">
        <v>8005</v>
      </c>
    </row>
    <row r="4748" spans="1:13" x14ac:dyDescent="0.25">
      <c r="A4748" s="33">
        <v>4751</v>
      </c>
      <c r="B4748" t="s">
        <v>9509</v>
      </c>
      <c r="C4748" s="1">
        <v>37.448833266000001</v>
      </c>
      <c r="D4748" s="1">
        <v>-7.1492565019800001</v>
      </c>
      <c r="E4748" s="3">
        <v>2</v>
      </c>
      <c r="F4748" s="2">
        <v>4</v>
      </c>
      <c r="G4748" s="4">
        <v>5</v>
      </c>
      <c r="H4748" s="13">
        <v>4</v>
      </c>
      <c r="I4748" s="34">
        <v>4</v>
      </c>
      <c r="J4748" s="35">
        <v>4</v>
      </c>
      <c r="K4748" s="2" t="s">
        <v>9510</v>
      </c>
      <c r="L4748" s="36" t="str">
        <f t="shared" si="79"/>
        <v>Ver Imagen</v>
      </c>
      <c r="M4748" t="s">
        <v>8005</v>
      </c>
    </row>
    <row r="4749" spans="1:13" x14ac:dyDescent="0.25">
      <c r="A4749" s="33">
        <v>4752</v>
      </c>
      <c r="B4749" t="s">
        <v>9511</v>
      </c>
      <c r="C4749" s="1">
        <v>37.449004012400003</v>
      </c>
      <c r="D4749" s="1">
        <v>-7.1499553029499996</v>
      </c>
      <c r="E4749" s="3">
        <v>2</v>
      </c>
      <c r="F4749" s="2">
        <v>3</v>
      </c>
      <c r="G4749" s="4">
        <v>5</v>
      </c>
      <c r="H4749" s="13">
        <v>3</v>
      </c>
      <c r="I4749" s="34">
        <v>4</v>
      </c>
      <c r="J4749" s="35">
        <v>3</v>
      </c>
      <c r="K4749" s="2" t="s">
        <v>9512</v>
      </c>
      <c r="L4749" s="36" t="str">
        <f t="shared" si="79"/>
        <v>Ver Imagen</v>
      </c>
      <c r="M4749" t="s">
        <v>8005</v>
      </c>
    </row>
    <row r="4750" spans="1:13" x14ac:dyDescent="0.25">
      <c r="A4750" s="33">
        <v>4753</v>
      </c>
      <c r="B4750" t="s">
        <v>9513</v>
      </c>
      <c r="C4750" s="1">
        <v>37.451870655999997</v>
      </c>
      <c r="D4750" s="1">
        <v>-7.1576723227799999</v>
      </c>
      <c r="E4750" s="3">
        <v>2</v>
      </c>
      <c r="F4750" s="2">
        <v>3</v>
      </c>
      <c r="G4750" s="4">
        <v>5</v>
      </c>
      <c r="H4750" s="13">
        <v>3</v>
      </c>
      <c r="I4750" s="34">
        <v>3</v>
      </c>
      <c r="J4750" s="35">
        <v>3</v>
      </c>
      <c r="K4750" s="2" t="s">
        <v>9514</v>
      </c>
      <c r="L4750" s="36" t="str">
        <f t="shared" si="79"/>
        <v>Ver Imagen</v>
      </c>
      <c r="M4750" t="s">
        <v>8005</v>
      </c>
    </row>
    <row r="4751" spans="1:13" x14ac:dyDescent="0.25">
      <c r="A4751" s="33">
        <v>4754</v>
      </c>
      <c r="B4751" t="s">
        <v>9515</v>
      </c>
      <c r="C4751" s="1">
        <v>37.452027841499998</v>
      </c>
      <c r="D4751" s="1">
        <v>-7.1584250229800004</v>
      </c>
      <c r="E4751" s="3">
        <v>2</v>
      </c>
      <c r="F4751" s="2">
        <v>3</v>
      </c>
      <c r="G4751" s="4">
        <v>5</v>
      </c>
      <c r="H4751" s="13">
        <v>3</v>
      </c>
      <c r="I4751" s="34">
        <v>3</v>
      </c>
      <c r="J4751" s="35">
        <v>3</v>
      </c>
      <c r="K4751" s="2" t="s">
        <v>9516</v>
      </c>
      <c r="L4751" s="36" t="str">
        <f t="shared" si="79"/>
        <v>Ver Imagen</v>
      </c>
      <c r="M4751" t="s">
        <v>8005</v>
      </c>
    </row>
    <row r="4752" spans="1:13" x14ac:dyDescent="0.25">
      <c r="A4752" s="33">
        <v>4755</v>
      </c>
      <c r="B4752" t="s">
        <v>9517</v>
      </c>
      <c r="C4752" s="1">
        <v>37.452757214800002</v>
      </c>
      <c r="D4752" s="1">
        <v>-7.1613038923900003</v>
      </c>
      <c r="E4752" s="3">
        <v>1</v>
      </c>
      <c r="F4752" s="2">
        <v>3</v>
      </c>
      <c r="G4752" s="4">
        <v>4</v>
      </c>
      <c r="H4752" s="13">
        <v>2</v>
      </c>
      <c r="I4752" s="34">
        <v>3</v>
      </c>
      <c r="J4752" s="37">
        <v>2</v>
      </c>
      <c r="K4752" s="2" t="s">
        <v>9518</v>
      </c>
      <c r="L4752" s="36" t="str">
        <f t="shared" si="79"/>
        <v>Ver Imagen</v>
      </c>
      <c r="M4752" s="37" t="s">
        <v>8052</v>
      </c>
    </row>
    <row r="4753" spans="1:13" x14ac:dyDescent="0.25">
      <c r="A4753" s="33">
        <v>4756</v>
      </c>
      <c r="B4753" t="s">
        <v>9519</v>
      </c>
      <c r="C4753" s="1">
        <v>37.4546834171</v>
      </c>
      <c r="D4753" s="1">
        <v>-7.1650981423699998</v>
      </c>
      <c r="E4753" s="3">
        <v>2</v>
      </c>
      <c r="F4753" s="2">
        <v>4</v>
      </c>
      <c r="G4753" s="4">
        <v>5</v>
      </c>
      <c r="H4753" s="13">
        <v>4</v>
      </c>
      <c r="I4753" s="34">
        <v>5</v>
      </c>
      <c r="J4753" s="35">
        <v>4</v>
      </c>
      <c r="K4753" s="2" t="s">
        <v>9520</v>
      </c>
      <c r="L4753" s="36" t="str">
        <f t="shared" si="79"/>
        <v>Ver Imagen</v>
      </c>
      <c r="M4753" t="s">
        <v>8005</v>
      </c>
    </row>
    <row r="4754" spans="1:13" x14ac:dyDescent="0.25">
      <c r="A4754" s="33">
        <v>4757</v>
      </c>
      <c r="B4754" t="s">
        <v>9521</v>
      </c>
      <c r="C4754" s="1">
        <v>37.456987168399998</v>
      </c>
      <c r="D4754" s="1">
        <v>-7.16802283071</v>
      </c>
      <c r="E4754" s="3">
        <v>1</v>
      </c>
      <c r="F4754" s="2">
        <v>3</v>
      </c>
      <c r="G4754" s="4">
        <v>4</v>
      </c>
      <c r="H4754" s="13">
        <v>3</v>
      </c>
      <c r="I4754" s="34">
        <v>3</v>
      </c>
      <c r="J4754" s="35">
        <v>3</v>
      </c>
      <c r="K4754" s="2" t="s">
        <v>9522</v>
      </c>
      <c r="L4754" s="36" t="str">
        <f t="shared" si="79"/>
        <v>Ver Imagen</v>
      </c>
      <c r="M4754" t="s">
        <v>8005</v>
      </c>
    </row>
    <row r="4755" spans="1:13" x14ac:dyDescent="0.25">
      <c r="A4755" s="33">
        <v>4758</v>
      </c>
      <c r="B4755" t="s">
        <v>9523</v>
      </c>
      <c r="C4755" s="1">
        <v>37.461836466999998</v>
      </c>
      <c r="D4755" s="1">
        <v>-7.1748650451199998</v>
      </c>
      <c r="E4755" s="3">
        <v>2</v>
      </c>
      <c r="F4755" s="2">
        <v>4</v>
      </c>
      <c r="G4755" s="4">
        <v>5</v>
      </c>
      <c r="H4755" s="13">
        <v>3</v>
      </c>
      <c r="I4755" s="34">
        <v>4</v>
      </c>
      <c r="J4755" s="35">
        <v>4</v>
      </c>
      <c r="K4755" s="2" t="s">
        <v>9524</v>
      </c>
      <c r="L4755" s="36" t="str">
        <f t="shared" si="79"/>
        <v>Ver Imagen</v>
      </c>
      <c r="M4755" t="s">
        <v>8005</v>
      </c>
    </row>
    <row r="4756" spans="1:13" x14ac:dyDescent="0.25">
      <c r="A4756" s="33">
        <v>4759</v>
      </c>
      <c r="B4756" t="s">
        <v>9525</v>
      </c>
      <c r="C4756" s="1">
        <v>37.490075159200003</v>
      </c>
      <c r="D4756" s="1">
        <v>-7.2589985960099996</v>
      </c>
      <c r="E4756" s="3">
        <v>1</v>
      </c>
      <c r="F4756" s="2">
        <v>3</v>
      </c>
      <c r="G4756" s="4">
        <v>4</v>
      </c>
      <c r="H4756" s="13">
        <v>2</v>
      </c>
      <c r="I4756" s="34">
        <v>2</v>
      </c>
      <c r="J4756" s="35">
        <v>2</v>
      </c>
      <c r="K4756" s="2" t="s">
        <v>9526</v>
      </c>
      <c r="L4756" s="36" t="str">
        <f t="shared" si="79"/>
        <v>Ver Imagen</v>
      </c>
      <c r="M4756" t="s">
        <v>8005</v>
      </c>
    </row>
    <row r="4757" spans="1:13" x14ac:dyDescent="0.25">
      <c r="A4757" s="33">
        <v>4760</v>
      </c>
      <c r="B4757" t="s">
        <v>9527</v>
      </c>
      <c r="C4757" s="1">
        <v>37.486534181099998</v>
      </c>
      <c r="D4757" s="1">
        <v>-7.2384470390500004</v>
      </c>
      <c r="E4757" s="3">
        <v>2</v>
      </c>
      <c r="F4757" s="2">
        <v>4</v>
      </c>
      <c r="G4757" s="4">
        <v>5</v>
      </c>
      <c r="H4757" s="13">
        <v>3</v>
      </c>
      <c r="I4757" s="34">
        <v>3</v>
      </c>
      <c r="J4757" s="35">
        <v>3</v>
      </c>
      <c r="K4757" s="2" t="s">
        <v>9528</v>
      </c>
      <c r="L4757" s="36" t="str">
        <f t="shared" si="79"/>
        <v>Ver Imagen</v>
      </c>
      <c r="M4757" t="s">
        <v>8005</v>
      </c>
    </row>
    <row r="4758" spans="1:13" x14ac:dyDescent="0.25">
      <c r="A4758" s="33">
        <v>4761</v>
      </c>
      <c r="B4758" t="s">
        <v>9529</v>
      </c>
      <c r="C4758" s="1">
        <v>37.489219012100001</v>
      </c>
      <c r="D4758" s="1">
        <v>-7.2478939739400001</v>
      </c>
      <c r="E4758" s="3">
        <v>1</v>
      </c>
      <c r="F4758" s="2">
        <v>4</v>
      </c>
      <c r="G4758" s="4">
        <v>3</v>
      </c>
      <c r="H4758" s="13">
        <v>2</v>
      </c>
      <c r="I4758" s="34">
        <v>1</v>
      </c>
      <c r="J4758" s="35">
        <v>2</v>
      </c>
      <c r="K4758" s="2" t="s">
        <v>9530</v>
      </c>
      <c r="L4758" s="36" t="str">
        <f t="shared" si="79"/>
        <v>Ver Imagen</v>
      </c>
      <c r="M4758" t="s">
        <v>8005</v>
      </c>
    </row>
    <row r="4759" spans="1:13" x14ac:dyDescent="0.25">
      <c r="A4759" s="33">
        <v>4762</v>
      </c>
      <c r="B4759" t="s">
        <v>9531</v>
      </c>
      <c r="C4759" s="1">
        <v>37.490688680600002</v>
      </c>
      <c r="D4759" s="1">
        <v>-7.2499274502900004</v>
      </c>
      <c r="E4759" s="3">
        <v>1</v>
      </c>
      <c r="F4759" s="2">
        <v>3</v>
      </c>
      <c r="G4759" s="4">
        <v>4</v>
      </c>
      <c r="H4759" s="13">
        <v>2</v>
      </c>
      <c r="I4759" s="34">
        <v>3</v>
      </c>
      <c r="J4759" s="35">
        <v>3</v>
      </c>
      <c r="K4759" s="2" t="s">
        <v>9532</v>
      </c>
      <c r="L4759" s="36" t="str">
        <f t="shared" si="79"/>
        <v>Ver Imagen</v>
      </c>
      <c r="M4759" t="s">
        <v>8005</v>
      </c>
    </row>
    <row r="4760" spans="1:13" x14ac:dyDescent="0.25">
      <c r="A4760" s="33">
        <v>4763</v>
      </c>
      <c r="B4760" t="s">
        <v>9533</v>
      </c>
      <c r="C4760" s="1">
        <v>37.4940436069</v>
      </c>
      <c r="D4760" s="1">
        <v>-7.2654572988300004</v>
      </c>
      <c r="E4760" s="3">
        <v>1</v>
      </c>
      <c r="F4760" s="2">
        <v>4</v>
      </c>
      <c r="G4760" s="4">
        <v>3</v>
      </c>
      <c r="H4760" s="13">
        <v>3</v>
      </c>
      <c r="I4760" s="34">
        <v>3</v>
      </c>
      <c r="J4760" s="35">
        <v>3</v>
      </c>
      <c r="K4760" s="2" t="s">
        <v>9534</v>
      </c>
      <c r="L4760" s="36" t="str">
        <f t="shared" si="79"/>
        <v>Ver Imagen</v>
      </c>
      <c r="M4760" t="s">
        <v>8005</v>
      </c>
    </row>
    <row r="4761" spans="1:13" x14ac:dyDescent="0.25">
      <c r="A4761" s="33">
        <v>4764</v>
      </c>
      <c r="B4761" t="s">
        <v>9535</v>
      </c>
      <c r="C4761" s="1">
        <v>37.279962006300003</v>
      </c>
      <c r="D4761" s="1">
        <v>-7.0061014871199996</v>
      </c>
      <c r="E4761" s="3">
        <v>1</v>
      </c>
      <c r="F4761" s="2">
        <v>2</v>
      </c>
      <c r="G4761" s="4">
        <v>4</v>
      </c>
      <c r="H4761" s="13">
        <v>2</v>
      </c>
      <c r="I4761" s="34">
        <v>1</v>
      </c>
      <c r="J4761" s="35">
        <v>2</v>
      </c>
      <c r="K4761" s="2" t="s">
        <v>9536</v>
      </c>
      <c r="L4761" s="36" t="str">
        <f t="shared" si="79"/>
        <v>Ver Imagen</v>
      </c>
      <c r="M4761" t="s">
        <v>8005</v>
      </c>
    </row>
    <row r="4762" spans="1:13" x14ac:dyDescent="0.25">
      <c r="A4762" s="33">
        <v>4765</v>
      </c>
      <c r="B4762" t="s">
        <v>9537</v>
      </c>
      <c r="C4762" s="1">
        <v>37.276299618000003</v>
      </c>
      <c r="D4762" s="1">
        <v>-7.0237627163100003</v>
      </c>
      <c r="E4762" s="3">
        <v>1</v>
      </c>
      <c r="F4762" s="2">
        <v>2</v>
      </c>
      <c r="G4762" s="4">
        <v>4</v>
      </c>
      <c r="H4762" s="13">
        <v>2</v>
      </c>
      <c r="I4762" s="34">
        <v>3</v>
      </c>
      <c r="J4762" s="35">
        <v>2</v>
      </c>
      <c r="K4762" s="2" t="s">
        <v>9538</v>
      </c>
      <c r="L4762" s="36" t="str">
        <f t="shared" si="79"/>
        <v>Ver Imagen</v>
      </c>
      <c r="M4762" t="s">
        <v>8005</v>
      </c>
    </row>
    <row r="4763" spans="1:13" x14ac:dyDescent="0.25">
      <c r="A4763" s="33">
        <v>4766</v>
      </c>
      <c r="B4763" t="s">
        <v>9539</v>
      </c>
      <c r="C4763" s="1">
        <v>37.276335164499997</v>
      </c>
      <c r="D4763" s="1">
        <v>-7.0240178950000001</v>
      </c>
      <c r="E4763" s="3">
        <v>1</v>
      </c>
      <c r="F4763" s="2">
        <v>3</v>
      </c>
      <c r="G4763" s="4">
        <v>4</v>
      </c>
      <c r="H4763" s="13">
        <v>2</v>
      </c>
      <c r="I4763" s="34">
        <v>3</v>
      </c>
      <c r="J4763" s="35">
        <v>3</v>
      </c>
      <c r="K4763" s="2" t="s">
        <v>9540</v>
      </c>
      <c r="L4763" s="36" t="str">
        <f t="shared" si="79"/>
        <v>Ver Imagen</v>
      </c>
      <c r="M4763" t="s">
        <v>8005</v>
      </c>
    </row>
    <row r="4764" spans="1:13" x14ac:dyDescent="0.25">
      <c r="A4764" s="33">
        <v>4767</v>
      </c>
      <c r="B4764" t="s">
        <v>9541</v>
      </c>
      <c r="C4764" s="1">
        <v>37.283972236899999</v>
      </c>
      <c r="D4764" s="1">
        <v>-7.0348117318499996</v>
      </c>
      <c r="E4764" s="3">
        <v>1</v>
      </c>
      <c r="F4764" s="2">
        <v>3</v>
      </c>
      <c r="G4764" s="4">
        <v>4</v>
      </c>
      <c r="H4764" s="13">
        <v>2</v>
      </c>
      <c r="I4764" s="34">
        <v>1</v>
      </c>
      <c r="J4764" s="35">
        <v>2</v>
      </c>
      <c r="K4764" s="2" t="s">
        <v>9542</v>
      </c>
      <c r="L4764" s="36" t="str">
        <f t="shared" ref="L4764:L4793" si="80">HYPERLINK("NoConsenso\" &amp; K4764, "Ver Imagen")</f>
        <v>Ver Imagen</v>
      </c>
      <c r="M4764" t="s">
        <v>8005</v>
      </c>
    </row>
    <row r="4765" spans="1:13" x14ac:dyDescent="0.25">
      <c r="A4765" s="33">
        <v>4768</v>
      </c>
      <c r="B4765" t="s">
        <v>9543</v>
      </c>
      <c r="C4765" s="1">
        <v>37.288867498400002</v>
      </c>
      <c r="D4765" s="1">
        <v>-7.0432555748799999</v>
      </c>
      <c r="E4765" s="3">
        <v>1</v>
      </c>
      <c r="F4765" s="2">
        <v>2</v>
      </c>
      <c r="G4765" s="4">
        <v>4</v>
      </c>
      <c r="H4765" s="13">
        <v>2</v>
      </c>
      <c r="I4765" s="34">
        <v>1</v>
      </c>
      <c r="J4765" s="35">
        <v>2</v>
      </c>
      <c r="K4765" s="2" t="s">
        <v>9544</v>
      </c>
      <c r="L4765" s="36" t="str">
        <f t="shared" si="80"/>
        <v>Ver Imagen</v>
      </c>
      <c r="M4765" t="s">
        <v>8005</v>
      </c>
    </row>
    <row r="4766" spans="1:13" x14ac:dyDescent="0.25">
      <c r="A4766" s="33">
        <v>4769</v>
      </c>
      <c r="B4766" t="s">
        <v>9545</v>
      </c>
      <c r="C4766" s="1">
        <v>37.290087570300003</v>
      </c>
      <c r="D4766" s="1">
        <v>-7.04491966333</v>
      </c>
      <c r="E4766" s="3">
        <v>1</v>
      </c>
      <c r="F4766" s="2">
        <v>2</v>
      </c>
      <c r="G4766" s="4">
        <v>4</v>
      </c>
      <c r="H4766" s="13">
        <v>2</v>
      </c>
      <c r="I4766" s="34">
        <v>2</v>
      </c>
      <c r="J4766" s="35">
        <v>2</v>
      </c>
      <c r="K4766" s="2" t="s">
        <v>9546</v>
      </c>
      <c r="L4766" s="36" t="str">
        <f t="shared" si="80"/>
        <v>Ver Imagen</v>
      </c>
      <c r="M4766" t="s">
        <v>8005</v>
      </c>
    </row>
    <row r="4767" spans="1:13" x14ac:dyDescent="0.25">
      <c r="A4767" s="33">
        <v>4770</v>
      </c>
      <c r="B4767" t="s">
        <v>9547</v>
      </c>
      <c r="C4767" s="1">
        <v>37.290633774</v>
      </c>
      <c r="D4767" s="1">
        <v>-7.0452699472400004</v>
      </c>
      <c r="E4767" s="3">
        <v>1</v>
      </c>
      <c r="F4767" s="2">
        <v>2</v>
      </c>
      <c r="G4767" s="4">
        <v>4</v>
      </c>
      <c r="H4767" s="13">
        <v>2</v>
      </c>
      <c r="I4767" s="34">
        <v>2</v>
      </c>
      <c r="J4767" s="35">
        <v>2</v>
      </c>
      <c r="K4767" s="2" t="s">
        <v>9548</v>
      </c>
      <c r="L4767" s="36" t="str">
        <f t="shared" si="80"/>
        <v>Ver Imagen</v>
      </c>
      <c r="M4767" t="s">
        <v>8005</v>
      </c>
    </row>
    <row r="4768" spans="1:13" x14ac:dyDescent="0.25">
      <c r="A4768" s="33">
        <v>4771</v>
      </c>
      <c r="B4768" t="s">
        <v>9549</v>
      </c>
      <c r="C4768" s="1">
        <v>37.291194064899997</v>
      </c>
      <c r="D4768" s="1">
        <v>-7.0454162166999996</v>
      </c>
      <c r="E4768" s="3">
        <v>1</v>
      </c>
      <c r="F4768" s="2">
        <v>4</v>
      </c>
      <c r="G4768" s="4">
        <v>4</v>
      </c>
      <c r="H4768" s="13">
        <v>2</v>
      </c>
      <c r="I4768" s="34">
        <v>1</v>
      </c>
      <c r="J4768" s="35">
        <v>2</v>
      </c>
      <c r="K4768" s="2" t="s">
        <v>9550</v>
      </c>
      <c r="L4768" s="36" t="str">
        <f t="shared" si="80"/>
        <v>Ver Imagen</v>
      </c>
      <c r="M4768" t="s">
        <v>8005</v>
      </c>
    </row>
    <row r="4769" spans="1:13" x14ac:dyDescent="0.25">
      <c r="A4769" s="33">
        <v>4772</v>
      </c>
      <c r="B4769" t="s">
        <v>9551</v>
      </c>
      <c r="C4769" s="1">
        <v>37.292584875099998</v>
      </c>
      <c r="D4769" s="1">
        <v>-7.04575450908</v>
      </c>
      <c r="E4769" s="3">
        <v>1</v>
      </c>
      <c r="F4769" s="2">
        <v>2</v>
      </c>
      <c r="G4769" s="4">
        <v>4</v>
      </c>
      <c r="H4769" s="13">
        <v>2</v>
      </c>
      <c r="I4769" s="34">
        <v>1</v>
      </c>
      <c r="J4769" s="35">
        <v>2</v>
      </c>
      <c r="K4769" s="2" t="s">
        <v>9552</v>
      </c>
      <c r="L4769" s="36" t="str">
        <f t="shared" si="80"/>
        <v>Ver Imagen</v>
      </c>
      <c r="M4769" t="s">
        <v>8005</v>
      </c>
    </row>
    <row r="4770" spans="1:13" x14ac:dyDescent="0.25">
      <c r="A4770" s="33">
        <v>4773</v>
      </c>
      <c r="B4770" t="s">
        <v>9553</v>
      </c>
      <c r="C4770" s="1">
        <v>37.295820915699998</v>
      </c>
      <c r="D4770" s="1">
        <v>-7.0495699534299998</v>
      </c>
      <c r="E4770" s="3">
        <v>1</v>
      </c>
      <c r="F4770" s="2">
        <v>2</v>
      </c>
      <c r="G4770" s="4">
        <v>4</v>
      </c>
      <c r="H4770" s="13">
        <v>3</v>
      </c>
      <c r="I4770" s="34">
        <v>2</v>
      </c>
      <c r="J4770" s="35">
        <v>2</v>
      </c>
      <c r="K4770" s="2" t="s">
        <v>9554</v>
      </c>
      <c r="L4770" s="36" t="str">
        <f t="shared" si="80"/>
        <v>Ver Imagen</v>
      </c>
      <c r="M4770" t="s">
        <v>8005</v>
      </c>
    </row>
    <row r="4771" spans="1:13" x14ac:dyDescent="0.25">
      <c r="A4771" s="33">
        <v>4774</v>
      </c>
      <c r="B4771" t="s">
        <v>9555</v>
      </c>
      <c r="C4771" s="1">
        <v>37.297150189100002</v>
      </c>
      <c r="D4771" s="1">
        <v>-7.0517245161700002</v>
      </c>
      <c r="E4771" s="3">
        <v>1</v>
      </c>
      <c r="F4771" s="2">
        <v>2</v>
      </c>
      <c r="G4771" s="4">
        <v>4</v>
      </c>
      <c r="H4771" s="13">
        <v>2</v>
      </c>
      <c r="I4771" s="34">
        <v>2</v>
      </c>
      <c r="J4771" s="35">
        <v>2</v>
      </c>
      <c r="K4771" s="2" t="s">
        <v>9556</v>
      </c>
      <c r="L4771" s="36" t="str">
        <f t="shared" si="80"/>
        <v>Ver Imagen</v>
      </c>
      <c r="M4771" t="s">
        <v>8005</v>
      </c>
    </row>
    <row r="4772" spans="1:13" x14ac:dyDescent="0.25">
      <c r="A4772" s="33">
        <v>4775</v>
      </c>
      <c r="B4772" t="s">
        <v>9557</v>
      </c>
      <c r="C4772" s="1">
        <v>37.2973972355</v>
      </c>
      <c r="D4772" s="1">
        <v>-7.0524846101199996</v>
      </c>
      <c r="E4772" s="3">
        <v>1</v>
      </c>
      <c r="F4772" s="2">
        <v>2</v>
      </c>
      <c r="G4772" s="4">
        <v>4</v>
      </c>
      <c r="H4772" s="13">
        <v>2</v>
      </c>
      <c r="I4772" s="34">
        <v>3</v>
      </c>
      <c r="J4772" s="35">
        <v>2</v>
      </c>
      <c r="K4772" s="2" t="s">
        <v>9558</v>
      </c>
      <c r="L4772" s="36" t="str">
        <f t="shared" si="80"/>
        <v>Ver Imagen</v>
      </c>
      <c r="M4772" t="s">
        <v>8005</v>
      </c>
    </row>
    <row r="4773" spans="1:13" x14ac:dyDescent="0.25">
      <c r="A4773" s="33">
        <v>4776</v>
      </c>
      <c r="B4773" t="s">
        <v>9559</v>
      </c>
      <c r="C4773" s="1">
        <v>37.301283745500001</v>
      </c>
      <c r="D4773" s="1">
        <v>-7.0562804679899997</v>
      </c>
      <c r="E4773" s="3">
        <v>1</v>
      </c>
      <c r="F4773" s="2">
        <v>3</v>
      </c>
      <c r="G4773" s="4">
        <v>4</v>
      </c>
      <c r="H4773" s="13">
        <v>3</v>
      </c>
      <c r="I4773" s="34">
        <v>2</v>
      </c>
      <c r="J4773" s="35">
        <v>3</v>
      </c>
      <c r="K4773" s="2" t="s">
        <v>9560</v>
      </c>
      <c r="L4773" s="36" t="str">
        <f t="shared" si="80"/>
        <v>Ver Imagen</v>
      </c>
      <c r="M4773" t="s">
        <v>8005</v>
      </c>
    </row>
    <row r="4774" spans="1:13" x14ac:dyDescent="0.25">
      <c r="A4774" s="33">
        <v>4777</v>
      </c>
      <c r="B4774" t="s">
        <v>9561</v>
      </c>
      <c r="C4774" s="1">
        <v>37.306280931099998</v>
      </c>
      <c r="D4774" s="1">
        <v>-7.0567860571200001</v>
      </c>
      <c r="E4774" s="3">
        <v>1</v>
      </c>
      <c r="F4774" s="2">
        <v>2</v>
      </c>
      <c r="G4774" s="4">
        <v>4</v>
      </c>
      <c r="H4774" s="13">
        <v>2</v>
      </c>
      <c r="I4774" s="34">
        <v>1</v>
      </c>
      <c r="J4774" s="35">
        <v>2</v>
      </c>
      <c r="K4774" s="2" t="s">
        <v>9562</v>
      </c>
      <c r="L4774" s="36" t="str">
        <f t="shared" si="80"/>
        <v>Ver Imagen</v>
      </c>
      <c r="M4774" t="s">
        <v>8005</v>
      </c>
    </row>
    <row r="4775" spans="1:13" x14ac:dyDescent="0.25">
      <c r="A4775" s="33">
        <v>4778</v>
      </c>
      <c r="B4775" t="s">
        <v>9563</v>
      </c>
      <c r="C4775" s="1">
        <v>37.306504625599999</v>
      </c>
      <c r="D4775" s="1">
        <v>-7.0568137009900003</v>
      </c>
      <c r="E4775" s="3">
        <v>1</v>
      </c>
      <c r="F4775" s="2">
        <v>2</v>
      </c>
      <c r="G4775" s="4">
        <v>4</v>
      </c>
      <c r="H4775" s="13">
        <v>2</v>
      </c>
      <c r="I4775" s="34">
        <v>1</v>
      </c>
      <c r="J4775" s="35">
        <v>2</v>
      </c>
      <c r="K4775" s="2" t="s">
        <v>9564</v>
      </c>
      <c r="L4775" s="36" t="str">
        <f t="shared" si="80"/>
        <v>Ver Imagen</v>
      </c>
      <c r="M4775" t="s">
        <v>8005</v>
      </c>
    </row>
    <row r="4776" spans="1:13" x14ac:dyDescent="0.25">
      <c r="A4776" s="33">
        <v>4779</v>
      </c>
      <c r="B4776" t="s">
        <v>9565</v>
      </c>
      <c r="C4776" s="1">
        <v>37.306697263300002</v>
      </c>
      <c r="D4776" s="1">
        <v>-7.05683753862</v>
      </c>
      <c r="E4776" s="3">
        <v>1</v>
      </c>
      <c r="F4776" s="2">
        <v>2</v>
      </c>
      <c r="G4776" s="4">
        <v>4</v>
      </c>
      <c r="H4776" s="13">
        <v>2</v>
      </c>
      <c r="I4776" s="34">
        <v>1</v>
      </c>
      <c r="J4776" s="35">
        <v>2</v>
      </c>
      <c r="K4776" s="2" t="s">
        <v>9566</v>
      </c>
      <c r="L4776" s="36" t="str">
        <f t="shared" si="80"/>
        <v>Ver Imagen</v>
      </c>
      <c r="M4776" t="s">
        <v>8005</v>
      </c>
    </row>
    <row r="4777" spans="1:13" x14ac:dyDescent="0.25">
      <c r="A4777" s="33">
        <v>4780</v>
      </c>
      <c r="B4777" t="s">
        <v>9567</v>
      </c>
      <c r="C4777" s="1">
        <v>37.307903363599998</v>
      </c>
      <c r="D4777" s="1">
        <v>-7.0570620221500002</v>
      </c>
      <c r="E4777" s="3">
        <v>1</v>
      </c>
      <c r="F4777" s="2">
        <v>2</v>
      </c>
      <c r="G4777" s="4">
        <v>4</v>
      </c>
      <c r="H4777" s="13">
        <v>2</v>
      </c>
      <c r="I4777" s="34">
        <v>1</v>
      </c>
      <c r="J4777" s="35">
        <v>2</v>
      </c>
      <c r="K4777" s="2" t="s">
        <v>9568</v>
      </c>
      <c r="L4777" s="36" t="str">
        <f t="shared" si="80"/>
        <v>Ver Imagen</v>
      </c>
      <c r="M4777" t="s">
        <v>8005</v>
      </c>
    </row>
    <row r="4778" spans="1:13" x14ac:dyDescent="0.25">
      <c r="A4778" s="33">
        <v>4781</v>
      </c>
      <c r="B4778" t="s">
        <v>9569</v>
      </c>
      <c r="C4778" s="1">
        <v>37.310938261499999</v>
      </c>
      <c r="D4778" s="1">
        <v>-7.0590311111900004</v>
      </c>
      <c r="E4778" s="3">
        <v>1</v>
      </c>
      <c r="F4778" s="2">
        <v>1</v>
      </c>
      <c r="G4778" s="4">
        <v>4</v>
      </c>
      <c r="H4778" s="13">
        <v>1</v>
      </c>
      <c r="I4778" s="34">
        <v>1</v>
      </c>
      <c r="J4778" s="35">
        <v>1</v>
      </c>
      <c r="K4778" s="2" t="s">
        <v>9570</v>
      </c>
      <c r="L4778" s="36" t="str">
        <f t="shared" si="80"/>
        <v>Ver Imagen</v>
      </c>
      <c r="M4778" t="s">
        <v>8005</v>
      </c>
    </row>
    <row r="4779" spans="1:13" x14ac:dyDescent="0.25">
      <c r="A4779" s="33">
        <v>4782</v>
      </c>
      <c r="B4779" t="s">
        <v>9571</v>
      </c>
      <c r="C4779" s="1">
        <v>37.315893582800001</v>
      </c>
      <c r="D4779" s="1">
        <v>-7.0687221528500004</v>
      </c>
      <c r="E4779" s="3">
        <v>2</v>
      </c>
      <c r="F4779" s="2">
        <v>3</v>
      </c>
      <c r="G4779" s="4">
        <v>5</v>
      </c>
      <c r="H4779" s="13">
        <v>3</v>
      </c>
      <c r="I4779" s="34">
        <v>3</v>
      </c>
      <c r="J4779" s="35">
        <v>3</v>
      </c>
      <c r="K4779" s="2" t="s">
        <v>9572</v>
      </c>
      <c r="L4779" s="36" t="str">
        <f t="shared" si="80"/>
        <v>Ver Imagen</v>
      </c>
      <c r="M4779" t="s">
        <v>8005</v>
      </c>
    </row>
    <row r="4780" spans="1:13" x14ac:dyDescent="0.25">
      <c r="A4780" s="33">
        <v>4784</v>
      </c>
      <c r="B4780" t="s">
        <v>9573</v>
      </c>
      <c r="C4780" s="1">
        <v>37.279792257399997</v>
      </c>
      <c r="D4780" s="1">
        <v>-7.1456625319300002</v>
      </c>
      <c r="E4780" s="3">
        <v>1</v>
      </c>
      <c r="F4780" s="2">
        <v>3</v>
      </c>
      <c r="G4780" s="4">
        <v>4</v>
      </c>
      <c r="H4780" s="13">
        <v>2</v>
      </c>
      <c r="I4780" s="34">
        <v>3</v>
      </c>
      <c r="J4780" s="35">
        <v>3</v>
      </c>
      <c r="K4780" s="2" t="s">
        <v>9574</v>
      </c>
      <c r="L4780" s="36" t="str">
        <f t="shared" si="80"/>
        <v>Ver Imagen</v>
      </c>
      <c r="M4780" t="s">
        <v>8005</v>
      </c>
    </row>
    <row r="4781" spans="1:13" x14ac:dyDescent="0.25">
      <c r="A4781" s="33">
        <v>4785</v>
      </c>
      <c r="B4781" t="s">
        <v>9575</v>
      </c>
      <c r="C4781" s="1">
        <v>37.438649324300002</v>
      </c>
      <c r="D4781" s="1">
        <v>-7.0846273963600002</v>
      </c>
      <c r="E4781" s="3">
        <v>3</v>
      </c>
      <c r="F4781" s="2">
        <v>2</v>
      </c>
      <c r="G4781" s="4">
        <v>5</v>
      </c>
      <c r="H4781" s="13">
        <v>2</v>
      </c>
      <c r="I4781" s="34">
        <v>3</v>
      </c>
      <c r="J4781" s="37">
        <v>2</v>
      </c>
      <c r="K4781" s="2" t="s">
        <v>9576</v>
      </c>
      <c r="L4781" s="36" t="str">
        <f t="shared" si="80"/>
        <v>Ver Imagen</v>
      </c>
      <c r="M4781" s="37" t="s">
        <v>8052</v>
      </c>
    </row>
    <row r="4782" spans="1:13" x14ac:dyDescent="0.25">
      <c r="A4782" s="33">
        <v>4786</v>
      </c>
      <c r="B4782" t="s">
        <v>9577</v>
      </c>
      <c r="C4782" s="1">
        <v>37.438571372600002</v>
      </c>
      <c r="D4782" s="1">
        <v>-7.0844143695500001</v>
      </c>
      <c r="E4782" s="3">
        <v>3</v>
      </c>
      <c r="F4782" s="2">
        <v>2</v>
      </c>
      <c r="G4782" s="4">
        <v>5</v>
      </c>
      <c r="H4782" s="13">
        <v>2</v>
      </c>
      <c r="I4782" s="34">
        <v>2</v>
      </c>
      <c r="J4782" s="35">
        <v>2</v>
      </c>
      <c r="K4782" s="2" t="s">
        <v>9578</v>
      </c>
      <c r="L4782" s="36" t="str">
        <f t="shared" si="80"/>
        <v>Ver Imagen</v>
      </c>
      <c r="M4782" t="s">
        <v>8005</v>
      </c>
    </row>
    <row r="4783" spans="1:13" x14ac:dyDescent="0.25">
      <c r="A4783" s="33">
        <v>4787</v>
      </c>
      <c r="B4783" t="s">
        <v>9579</v>
      </c>
      <c r="C4783" s="1">
        <v>37.438408685200002</v>
      </c>
      <c r="D4783" s="1">
        <v>-7.0839473580999996</v>
      </c>
      <c r="E4783" s="3">
        <v>2</v>
      </c>
      <c r="F4783" s="2">
        <v>3</v>
      </c>
      <c r="G4783" s="4">
        <v>5</v>
      </c>
      <c r="H4783" s="13">
        <v>2</v>
      </c>
      <c r="I4783" s="34">
        <v>2</v>
      </c>
      <c r="J4783" s="35">
        <v>2</v>
      </c>
      <c r="K4783" s="2" t="s">
        <v>9580</v>
      </c>
      <c r="L4783" s="36" t="str">
        <f t="shared" si="80"/>
        <v>Ver Imagen</v>
      </c>
      <c r="M4783" t="s">
        <v>8005</v>
      </c>
    </row>
    <row r="4784" spans="1:13" x14ac:dyDescent="0.25">
      <c r="A4784" s="33">
        <v>4788</v>
      </c>
      <c r="B4784" t="s">
        <v>9581</v>
      </c>
      <c r="C4784" s="1">
        <v>37.438327267399998</v>
      </c>
      <c r="D4784" s="1">
        <v>-7.0837042948700004</v>
      </c>
      <c r="E4784" s="3">
        <v>2</v>
      </c>
      <c r="F4784" s="2">
        <v>3</v>
      </c>
      <c r="G4784" s="4">
        <v>5</v>
      </c>
      <c r="H4784" s="13">
        <v>2</v>
      </c>
      <c r="I4784" s="34">
        <v>2</v>
      </c>
      <c r="J4784" s="35">
        <v>2</v>
      </c>
      <c r="K4784" s="2" t="s">
        <v>9582</v>
      </c>
      <c r="L4784" s="36" t="str">
        <f t="shared" si="80"/>
        <v>Ver Imagen</v>
      </c>
      <c r="M4784" s="37" t="s">
        <v>8052</v>
      </c>
    </row>
    <row r="4785" spans="1:13" x14ac:dyDescent="0.25">
      <c r="A4785" s="33">
        <v>4789</v>
      </c>
      <c r="B4785" t="s">
        <v>9583</v>
      </c>
      <c r="C4785" s="1">
        <v>37.438247116100001</v>
      </c>
      <c r="D4785" s="1">
        <v>-7.0834627387999998</v>
      </c>
      <c r="E4785" s="3">
        <v>2</v>
      </c>
      <c r="F4785" s="2">
        <v>3</v>
      </c>
      <c r="G4785" s="4">
        <v>5</v>
      </c>
      <c r="H4785" s="13">
        <v>2</v>
      </c>
      <c r="I4785" s="34">
        <v>3</v>
      </c>
      <c r="J4785" s="37">
        <v>2</v>
      </c>
      <c r="K4785" s="2" t="s">
        <v>9584</v>
      </c>
      <c r="L4785" s="36" t="str">
        <f t="shared" si="80"/>
        <v>Ver Imagen</v>
      </c>
      <c r="M4785" t="s">
        <v>8005</v>
      </c>
    </row>
    <row r="4786" spans="1:13" x14ac:dyDescent="0.25">
      <c r="A4786" s="33">
        <v>4790</v>
      </c>
      <c r="B4786" t="s">
        <v>9585</v>
      </c>
      <c r="C4786" s="1">
        <v>37.437211188900001</v>
      </c>
      <c r="D4786" s="1">
        <v>-7.0807377412000001</v>
      </c>
      <c r="E4786" s="3">
        <v>2</v>
      </c>
      <c r="F4786" s="2">
        <v>2</v>
      </c>
      <c r="G4786" s="4">
        <v>5</v>
      </c>
      <c r="H4786" s="13">
        <v>2</v>
      </c>
      <c r="I4786" s="34">
        <v>2</v>
      </c>
      <c r="J4786" s="35">
        <v>2</v>
      </c>
      <c r="K4786" s="2" t="s">
        <v>9586</v>
      </c>
      <c r="L4786" s="36" t="str">
        <f t="shared" si="80"/>
        <v>Ver Imagen</v>
      </c>
      <c r="M4786" t="s">
        <v>8005</v>
      </c>
    </row>
    <row r="4787" spans="1:13" x14ac:dyDescent="0.25">
      <c r="A4787" s="33">
        <v>4791</v>
      </c>
      <c r="B4787" t="s">
        <v>9587</v>
      </c>
      <c r="C4787" s="1">
        <v>37.437018311999999</v>
      </c>
      <c r="D4787" s="1">
        <v>-7.0799019480099998</v>
      </c>
      <c r="E4787" s="3">
        <v>2</v>
      </c>
      <c r="F4787" s="2">
        <v>3</v>
      </c>
      <c r="G4787" s="4">
        <v>5</v>
      </c>
      <c r="H4787" s="13">
        <v>2</v>
      </c>
      <c r="I4787" s="34">
        <v>2</v>
      </c>
      <c r="J4787" s="35">
        <v>2</v>
      </c>
      <c r="K4787" s="2" t="s">
        <v>9588</v>
      </c>
      <c r="L4787" s="36" t="str">
        <f t="shared" si="80"/>
        <v>Ver Imagen</v>
      </c>
      <c r="M4787" t="s">
        <v>8005</v>
      </c>
    </row>
    <row r="4788" spans="1:13" x14ac:dyDescent="0.25">
      <c r="A4788" s="33">
        <v>4792</v>
      </c>
      <c r="B4788" t="s">
        <v>9589</v>
      </c>
      <c r="C4788" s="1">
        <v>37.4355381819</v>
      </c>
      <c r="D4788" s="1">
        <v>-7.0745213375900002</v>
      </c>
      <c r="E4788" s="3">
        <v>4</v>
      </c>
      <c r="F4788" s="2">
        <v>3</v>
      </c>
      <c r="G4788" s="4">
        <v>1</v>
      </c>
      <c r="H4788" s="13">
        <v>2</v>
      </c>
      <c r="I4788" s="34">
        <v>3</v>
      </c>
      <c r="J4788" s="35">
        <v>3</v>
      </c>
      <c r="K4788" s="2" t="s">
        <v>9590</v>
      </c>
      <c r="L4788" s="36" t="str">
        <f t="shared" si="80"/>
        <v>Ver Imagen</v>
      </c>
      <c r="M4788" t="s">
        <v>8005</v>
      </c>
    </row>
    <row r="4789" spans="1:13" x14ac:dyDescent="0.25">
      <c r="A4789" s="33">
        <v>4793</v>
      </c>
      <c r="B4789" t="s">
        <v>9591</v>
      </c>
      <c r="C4789" s="1">
        <v>37.435340420400003</v>
      </c>
      <c r="D4789" s="1">
        <v>-7.0722324513599997</v>
      </c>
      <c r="E4789" s="3">
        <v>4</v>
      </c>
      <c r="F4789" s="2">
        <v>3</v>
      </c>
      <c r="G4789" s="4">
        <v>1</v>
      </c>
      <c r="H4789" s="13">
        <v>2</v>
      </c>
      <c r="I4789" s="34">
        <v>2</v>
      </c>
      <c r="J4789" s="35">
        <v>2</v>
      </c>
      <c r="K4789" s="2" t="s">
        <v>9592</v>
      </c>
      <c r="L4789" s="36" t="str">
        <f t="shared" si="80"/>
        <v>Ver Imagen</v>
      </c>
      <c r="M4789" t="s">
        <v>8005</v>
      </c>
    </row>
    <row r="4790" spans="1:13" x14ac:dyDescent="0.25">
      <c r="A4790" s="33">
        <v>4794</v>
      </c>
      <c r="B4790" t="s">
        <v>9593</v>
      </c>
      <c r="C4790" s="1">
        <v>37.234986578399997</v>
      </c>
      <c r="D4790" s="1">
        <v>-7.0182730338199999</v>
      </c>
      <c r="E4790" s="3">
        <v>5</v>
      </c>
      <c r="F4790" s="2">
        <v>2</v>
      </c>
      <c r="G4790" s="4">
        <v>3</v>
      </c>
      <c r="H4790" s="13">
        <v>2</v>
      </c>
      <c r="I4790" s="34">
        <v>2</v>
      </c>
      <c r="J4790" s="35">
        <v>2</v>
      </c>
      <c r="K4790" s="2" t="s">
        <v>9594</v>
      </c>
      <c r="L4790" s="36" t="str">
        <f t="shared" si="80"/>
        <v>Ver Imagen</v>
      </c>
      <c r="M4790" t="s">
        <v>8005</v>
      </c>
    </row>
    <row r="4791" spans="1:13" x14ac:dyDescent="0.25">
      <c r="A4791" s="33">
        <v>4795</v>
      </c>
      <c r="B4791" t="s">
        <v>9595</v>
      </c>
      <c r="C4791" s="1">
        <v>37.217006433800002</v>
      </c>
      <c r="D4791" s="1">
        <v>-7.0230486732899999</v>
      </c>
      <c r="E4791" s="3">
        <v>3</v>
      </c>
      <c r="F4791" s="2">
        <v>2</v>
      </c>
      <c r="G4791" s="4">
        <v>5</v>
      </c>
      <c r="H4791" s="13">
        <v>2</v>
      </c>
      <c r="I4791" s="34">
        <v>2</v>
      </c>
      <c r="J4791" s="35">
        <v>2</v>
      </c>
      <c r="K4791" s="2" t="s">
        <v>9596</v>
      </c>
      <c r="L4791" s="36" t="str">
        <f t="shared" si="80"/>
        <v>Ver Imagen</v>
      </c>
      <c r="M4791" t="s">
        <v>8005</v>
      </c>
    </row>
    <row r="4792" spans="1:13" x14ac:dyDescent="0.25">
      <c r="A4792" s="33">
        <v>4796</v>
      </c>
      <c r="B4792" t="s">
        <v>9597</v>
      </c>
      <c r="C4792" s="1">
        <v>37.246048004499997</v>
      </c>
      <c r="D4792" s="1">
        <v>-7.0182583368399998</v>
      </c>
      <c r="E4792" s="3">
        <v>5</v>
      </c>
      <c r="F4792" s="2">
        <v>2</v>
      </c>
      <c r="G4792" s="4">
        <v>4</v>
      </c>
      <c r="H4792" s="13">
        <v>1</v>
      </c>
      <c r="I4792" s="34">
        <v>1</v>
      </c>
      <c r="J4792" s="37">
        <v>1</v>
      </c>
      <c r="K4792" s="2" t="s">
        <v>9598</v>
      </c>
      <c r="L4792" s="36" t="str">
        <f t="shared" si="80"/>
        <v>Ver Imagen</v>
      </c>
      <c r="M4792" s="37" t="s">
        <v>8052</v>
      </c>
    </row>
    <row r="4793" spans="1:13" x14ac:dyDescent="0.25">
      <c r="A4793" s="33">
        <v>4797</v>
      </c>
      <c r="B4793" t="s">
        <v>9599</v>
      </c>
      <c r="C4793" s="1">
        <v>37.307334496099998</v>
      </c>
      <c r="D4793" s="1">
        <v>-7.0569322060299999</v>
      </c>
      <c r="E4793" s="3">
        <v>2</v>
      </c>
      <c r="F4793" s="2">
        <v>1</v>
      </c>
      <c r="G4793" s="4">
        <v>5</v>
      </c>
      <c r="H4793" s="13">
        <v>2</v>
      </c>
      <c r="I4793" s="34">
        <v>1</v>
      </c>
      <c r="J4793" s="37">
        <v>1</v>
      </c>
      <c r="K4793" s="2" t="s">
        <v>9600</v>
      </c>
      <c r="L4793" s="36" t="str">
        <f t="shared" si="80"/>
        <v>Ver Imagen</v>
      </c>
      <c r="M4793" s="37" t="s">
        <v>8052</v>
      </c>
    </row>
    <row r="4794" spans="1:13" x14ac:dyDescent="0.25">
      <c r="A4794" s="33">
        <v>4798</v>
      </c>
      <c r="B4794" t="s">
        <v>9601</v>
      </c>
      <c r="C4794" s="1">
        <v>37.4828992371</v>
      </c>
      <c r="D4794" s="1">
        <v>-7.2196652625300004</v>
      </c>
      <c r="E4794" s="3">
        <v>1</v>
      </c>
      <c r="F4794" s="2"/>
      <c r="G4794" s="4">
        <v>1</v>
      </c>
      <c r="H4794" s="13">
        <v>2</v>
      </c>
      <c r="I4794" s="34">
        <v>2</v>
      </c>
      <c r="J4794" s="35">
        <v>1.5</v>
      </c>
      <c r="K4794" s="3" t="s">
        <v>9602</v>
      </c>
      <c r="L4794" s="36" t="str">
        <f t="shared" ref="L4794:L4825" si="81">HYPERLINK("Solo2\" &amp; K4794, "Ver Imagen")</f>
        <v>Ver Imagen</v>
      </c>
      <c r="M4794" t="s">
        <v>8005</v>
      </c>
    </row>
    <row r="4795" spans="1:13" x14ac:dyDescent="0.25">
      <c r="A4795" s="33">
        <v>4799</v>
      </c>
      <c r="B4795" t="s">
        <v>9603</v>
      </c>
      <c r="C4795" s="1">
        <v>37.490697949199998</v>
      </c>
      <c r="D4795" s="1">
        <v>-7.2517047971000004</v>
      </c>
      <c r="E4795" s="3">
        <v>1</v>
      </c>
      <c r="F4795" s="2"/>
      <c r="G4795" s="4">
        <v>1</v>
      </c>
      <c r="H4795" s="13">
        <v>2</v>
      </c>
      <c r="I4795" s="34">
        <v>1</v>
      </c>
      <c r="J4795" s="35">
        <v>1</v>
      </c>
      <c r="K4795" s="3" t="s">
        <v>9604</v>
      </c>
      <c r="L4795" s="36" t="str">
        <f t="shared" si="81"/>
        <v>Ver Imagen</v>
      </c>
      <c r="M4795" t="s">
        <v>8005</v>
      </c>
    </row>
    <row r="4796" spans="1:13" x14ac:dyDescent="0.25">
      <c r="A4796" s="33">
        <v>4800</v>
      </c>
      <c r="B4796" t="s">
        <v>9605</v>
      </c>
      <c r="C4796" s="1">
        <v>37.490495285500003</v>
      </c>
      <c r="D4796" s="1">
        <v>-7.2547271452300004</v>
      </c>
      <c r="E4796" s="3">
        <v>1</v>
      </c>
      <c r="F4796" s="2"/>
      <c r="G4796" s="4">
        <v>1</v>
      </c>
      <c r="H4796" s="13">
        <v>1</v>
      </c>
      <c r="I4796" s="34">
        <v>1</v>
      </c>
      <c r="J4796" s="35">
        <v>1</v>
      </c>
      <c r="K4796" s="3" t="s">
        <v>9606</v>
      </c>
      <c r="L4796" s="36" t="str">
        <f t="shared" si="81"/>
        <v>Ver Imagen</v>
      </c>
      <c r="M4796" t="s">
        <v>8005</v>
      </c>
    </row>
    <row r="4797" spans="1:13" x14ac:dyDescent="0.25">
      <c r="A4797" s="33">
        <v>4801</v>
      </c>
      <c r="B4797" t="s">
        <v>9607</v>
      </c>
      <c r="C4797" s="1">
        <v>37.487939070099998</v>
      </c>
      <c r="D4797" s="1">
        <v>-7.24524803114</v>
      </c>
      <c r="E4797" s="3">
        <v>2</v>
      </c>
      <c r="F4797" s="2"/>
      <c r="G4797" s="4">
        <v>2</v>
      </c>
      <c r="H4797" s="13">
        <v>2</v>
      </c>
      <c r="I4797" s="34">
        <v>2</v>
      </c>
      <c r="J4797" s="35">
        <v>2</v>
      </c>
      <c r="K4797" s="3" t="s">
        <v>9608</v>
      </c>
      <c r="L4797" s="36" t="str">
        <f t="shared" si="81"/>
        <v>Ver Imagen</v>
      </c>
      <c r="M4797" t="s">
        <v>8005</v>
      </c>
    </row>
    <row r="4798" spans="1:13" x14ac:dyDescent="0.25">
      <c r="A4798" s="33">
        <v>4802</v>
      </c>
      <c r="B4798" t="s">
        <v>9609</v>
      </c>
      <c r="C4798" s="1">
        <v>37.314609175999998</v>
      </c>
      <c r="D4798" s="1">
        <v>-7.0647290054800003</v>
      </c>
      <c r="E4798" s="3">
        <v>1</v>
      </c>
      <c r="F4798" s="2"/>
      <c r="G4798" s="4">
        <v>2</v>
      </c>
      <c r="H4798" s="13">
        <v>1</v>
      </c>
      <c r="I4798" s="34">
        <v>1</v>
      </c>
      <c r="J4798" s="35">
        <v>1</v>
      </c>
      <c r="K4798" s="3" t="s">
        <v>9610</v>
      </c>
      <c r="L4798" s="36" t="str">
        <f t="shared" si="81"/>
        <v>Ver Imagen</v>
      </c>
      <c r="M4798" t="s">
        <v>8005</v>
      </c>
    </row>
    <row r="4799" spans="1:13" x14ac:dyDescent="0.25">
      <c r="A4799" s="33">
        <v>4803</v>
      </c>
      <c r="B4799" t="s">
        <v>9611</v>
      </c>
      <c r="C4799" s="1">
        <v>37.244302734400001</v>
      </c>
      <c r="D4799">
        <v>-7.1281216538700001</v>
      </c>
      <c r="E4799" s="3">
        <v>2</v>
      </c>
      <c r="F4799" s="2"/>
      <c r="G4799" s="4">
        <v>2</v>
      </c>
      <c r="H4799" s="13">
        <v>2</v>
      </c>
      <c r="I4799" s="34">
        <v>1</v>
      </c>
      <c r="J4799" s="35">
        <v>2</v>
      </c>
      <c r="K4799" s="3" t="s">
        <v>9612</v>
      </c>
      <c r="L4799" s="36" t="str">
        <f t="shared" si="81"/>
        <v>Ver Imagen</v>
      </c>
      <c r="M4799" t="s">
        <v>8005</v>
      </c>
    </row>
    <row r="4800" spans="1:13" x14ac:dyDescent="0.25">
      <c r="A4800" s="33">
        <v>4804</v>
      </c>
      <c r="B4800" t="s">
        <v>9613</v>
      </c>
      <c r="C4800" s="1">
        <v>37.249037465500002</v>
      </c>
      <c r="D4800" s="1">
        <v>-7.0181023385600003</v>
      </c>
      <c r="E4800" s="3">
        <v>2</v>
      </c>
      <c r="F4800" s="2"/>
      <c r="G4800" s="4">
        <v>2</v>
      </c>
      <c r="H4800" s="13">
        <v>2</v>
      </c>
      <c r="I4800" s="34">
        <v>2</v>
      </c>
      <c r="J4800" s="35">
        <v>2</v>
      </c>
      <c r="K4800" s="2" t="s">
        <v>9614</v>
      </c>
      <c r="L4800" s="36" t="str">
        <f t="shared" si="81"/>
        <v>Ver Imagen</v>
      </c>
      <c r="M4800" t="s">
        <v>8005</v>
      </c>
    </row>
    <row r="4801" spans="1:13" x14ac:dyDescent="0.25">
      <c r="A4801" s="33">
        <v>4805</v>
      </c>
      <c r="B4801" t="s">
        <v>9615</v>
      </c>
      <c r="C4801" s="1">
        <v>37.447133840399999</v>
      </c>
      <c r="D4801" s="1">
        <v>-7.1284999518200003</v>
      </c>
      <c r="E4801" s="3">
        <v>1</v>
      </c>
      <c r="F4801" s="2"/>
      <c r="G4801" s="4">
        <v>2</v>
      </c>
      <c r="H4801" s="13">
        <v>2</v>
      </c>
      <c r="I4801" s="34">
        <v>2</v>
      </c>
      <c r="J4801" s="35">
        <v>2</v>
      </c>
      <c r="K4801" s="3" t="s">
        <v>9616</v>
      </c>
      <c r="L4801" s="36" t="str">
        <f t="shared" si="81"/>
        <v>Ver Imagen</v>
      </c>
      <c r="M4801" t="s">
        <v>8005</v>
      </c>
    </row>
    <row r="4802" spans="1:13" x14ac:dyDescent="0.25">
      <c r="A4802" s="33">
        <v>4806</v>
      </c>
      <c r="B4802" t="s">
        <v>9617</v>
      </c>
      <c r="C4802" s="1">
        <v>37.448272357299999</v>
      </c>
      <c r="D4802" s="1">
        <v>-7.1421819339199999</v>
      </c>
      <c r="E4802" s="3">
        <v>1</v>
      </c>
      <c r="F4802" s="2"/>
      <c r="G4802" s="4">
        <v>2</v>
      </c>
      <c r="H4802" s="13">
        <v>2</v>
      </c>
      <c r="I4802" s="34">
        <v>3</v>
      </c>
      <c r="J4802" s="37">
        <v>3</v>
      </c>
      <c r="K4802" s="2" t="s">
        <v>9618</v>
      </c>
      <c r="L4802" s="36" t="str">
        <f t="shared" si="81"/>
        <v>Ver Imagen</v>
      </c>
      <c r="M4802" s="37" t="s">
        <v>8052</v>
      </c>
    </row>
    <row r="4803" spans="1:13" x14ac:dyDescent="0.25">
      <c r="A4803" s="33">
        <v>4807</v>
      </c>
      <c r="B4803" t="s">
        <v>9619</v>
      </c>
      <c r="C4803" s="1">
        <v>37.482573229000003</v>
      </c>
      <c r="D4803" s="1">
        <v>-7.2180062593700001</v>
      </c>
      <c r="E4803" s="3">
        <v>1</v>
      </c>
      <c r="F4803" s="2"/>
      <c r="G4803" s="4">
        <v>2</v>
      </c>
      <c r="H4803" s="13">
        <v>2</v>
      </c>
      <c r="I4803" s="34">
        <v>2</v>
      </c>
      <c r="J4803" s="35">
        <v>2</v>
      </c>
      <c r="K4803" s="3" t="s">
        <v>9620</v>
      </c>
      <c r="L4803" s="36" t="str">
        <f t="shared" si="81"/>
        <v>Ver Imagen</v>
      </c>
      <c r="M4803" t="s">
        <v>8005</v>
      </c>
    </row>
    <row r="4804" spans="1:13" x14ac:dyDescent="0.25">
      <c r="A4804" s="33">
        <v>4808</v>
      </c>
      <c r="B4804" t="s">
        <v>9621</v>
      </c>
      <c r="C4804" s="1">
        <v>37.446460214600002</v>
      </c>
      <c r="D4804" s="1">
        <v>-7.1329995630200003</v>
      </c>
      <c r="E4804" s="3">
        <v>2</v>
      </c>
      <c r="F4804" s="2"/>
      <c r="G4804" s="4">
        <v>3</v>
      </c>
      <c r="H4804" s="13">
        <v>3</v>
      </c>
      <c r="I4804" s="34">
        <v>3</v>
      </c>
      <c r="J4804" s="35">
        <v>3</v>
      </c>
      <c r="K4804" s="2" t="s">
        <v>9622</v>
      </c>
      <c r="L4804" s="36" t="str">
        <f t="shared" si="81"/>
        <v>Ver Imagen</v>
      </c>
      <c r="M4804" t="s">
        <v>8005</v>
      </c>
    </row>
    <row r="4805" spans="1:13" x14ac:dyDescent="0.25">
      <c r="A4805" s="33">
        <v>4809</v>
      </c>
      <c r="B4805" t="s">
        <v>9623</v>
      </c>
      <c r="C4805" s="1">
        <v>37.4838624442</v>
      </c>
      <c r="D4805" s="1">
        <v>-7.2246036953599999</v>
      </c>
      <c r="E4805" s="3">
        <v>1</v>
      </c>
      <c r="F4805" s="2"/>
      <c r="G4805" s="4">
        <v>3</v>
      </c>
      <c r="H4805" s="13">
        <v>2</v>
      </c>
      <c r="I4805" s="34">
        <v>1</v>
      </c>
      <c r="J4805" s="35">
        <v>1.5</v>
      </c>
      <c r="K4805" s="3" t="s">
        <v>9624</v>
      </c>
      <c r="L4805" s="36" t="str">
        <f t="shared" si="81"/>
        <v>Ver Imagen</v>
      </c>
      <c r="M4805" t="s">
        <v>8005</v>
      </c>
    </row>
    <row r="4806" spans="1:13" x14ac:dyDescent="0.25">
      <c r="A4806" s="33">
        <v>4810</v>
      </c>
      <c r="B4806" t="s">
        <v>9625</v>
      </c>
      <c r="C4806" s="1">
        <v>37.393350365400003</v>
      </c>
      <c r="D4806" s="1">
        <v>-7.0045259040500003</v>
      </c>
      <c r="E4806" s="3">
        <v>3</v>
      </c>
      <c r="F4806" s="2"/>
      <c r="G4806" s="4">
        <v>3</v>
      </c>
      <c r="H4806" s="13">
        <v>2</v>
      </c>
      <c r="I4806" s="34">
        <v>2</v>
      </c>
      <c r="J4806" s="35">
        <v>2.5</v>
      </c>
      <c r="K4806" s="3" t="s">
        <v>9626</v>
      </c>
      <c r="L4806" s="36" t="str">
        <f t="shared" si="81"/>
        <v>Ver Imagen</v>
      </c>
      <c r="M4806" t="s">
        <v>8005</v>
      </c>
    </row>
    <row r="4807" spans="1:13" x14ac:dyDescent="0.25">
      <c r="A4807" s="33">
        <v>4811</v>
      </c>
      <c r="B4807" t="s">
        <v>9627</v>
      </c>
      <c r="C4807" s="1">
        <v>37.447133647500003</v>
      </c>
      <c r="D4807" s="1">
        <v>-7.1282545745499997</v>
      </c>
      <c r="E4807" s="3">
        <v>2</v>
      </c>
      <c r="F4807" s="2"/>
      <c r="G4807" s="4">
        <v>3</v>
      </c>
      <c r="H4807" s="13">
        <v>3</v>
      </c>
      <c r="I4807" s="34">
        <v>3</v>
      </c>
      <c r="J4807" s="35">
        <v>3</v>
      </c>
      <c r="K4807" s="3" t="s">
        <v>9628</v>
      </c>
      <c r="L4807" s="36" t="str">
        <f t="shared" si="81"/>
        <v>Ver Imagen</v>
      </c>
      <c r="M4807" t="s">
        <v>8005</v>
      </c>
    </row>
    <row r="4808" spans="1:13" x14ac:dyDescent="0.25">
      <c r="A4808" s="33">
        <v>4812</v>
      </c>
      <c r="B4808" t="s">
        <v>9629</v>
      </c>
      <c r="C4808" s="1">
        <v>37.448702303399998</v>
      </c>
      <c r="D4808" s="1">
        <v>-7.1475160584399999</v>
      </c>
      <c r="E4808" s="3">
        <v>2</v>
      </c>
      <c r="F4808" s="2"/>
      <c r="G4808" s="4">
        <v>3</v>
      </c>
      <c r="H4808" s="13">
        <v>4</v>
      </c>
      <c r="I4808" s="34">
        <v>4</v>
      </c>
      <c r="J4808" s="35">
        <v>3.5</v>
      </c>
      <c r="K4808" s="3" t="s">
        <v>9630</v>
      </c>
      <c r="L4808" s="36" t="str">
        <f t="shared" si="81"/>
        <v>Ver Imagen</v>
      </c>
      <c r="M4808" t="s">
        <v>8005</v>
      </c>
    </row>
    <row r="4809" spans="1:13" x14ac:dyDescent="0.25">
      <c r="A4809" s="33">
        <v>4813</v>
      </c>
      <c r="B4809" t="s">
        <v>9631</v>
      </c>
      <c r="C4809" s="1">
        <v>37.462085042200002</v>
      </c>
      <c r="D4809" s="1">
        <v>-7.1752709938099999</v>
      </c>
      <c r="E4809" s="3">
        <v>2</v>
      </c>
      <c r="F4809" s="2"/>
      <c r="G4809" s="4">
        <v>3</v>
      </c>
      <c r="H4809" s="13">
        <v>3</v>
      </c>
      <c r="I4809" s="34">
        <v>3</v>
      </c>
      <c r="J4809" s="35">
        <v>3</v>
      </c>
      <c r="K4809" s="3" t="s">
        <v>9632</v>
      </c>
      <c r="L4809" s="36" t="str">
        <f t="shared" si="81"/>
        <v>Ver Imagen</v>
      </c>
      <c r="M4809" t="s">
        <v>8005</v>
      </c>
    </row>
    <row r="4810" spans="1:13" x14ac:dyDescent="0.25">
      <c r="A4810" s="33">
        <v>4814</v>
      </c>
      <c r="B4810" t="s">
        <v>9633</v>
      </c>
      <c r="C4810" s="1">
        <v>37.481690393800001</v>
      </c>
      <c r="D4810" s="1">
        <v>-7.2147297674299997</v>
      </c>
      <c r="E4810" s="3">
        <v>2</v>
      </c>
      <c r="F4810" s="2"/>
      <c r="G4810" s="4">
        <v>3</v>
      </c>
      <c r="H4810" s="13">
        <v>2</v>
      </c>
      <c r="I4810" s="34">
        <v>2</v>
      </c>
      <c r="J4810" s="35">
        <v>2</v>
      </c>
      <c r="K4810" s="3" t="s">
        <v>9634</v>
      </c>
      <c r="L4810" s="36" t="str">
        <f t="shared" si="81"/>
        <v>Ver Imagen</v>
      </c>
      <c r="M4810" t="s">
        <v>8005</v>
      </c>
    </row>
    <row r="4811" spans="1:13" x14ac:dyDescent="0.25">
      <c r="A4811" s="33">
        <v>4815</v>
      </c>
      <c r="B4811" t="s">
        <v>9635</v>
      </c>
      <c r="C4811">
        <v>37.2754063</v>
      </c>
      <c r="D4811">
        <v>-7.0172052139399996</v>
      </c>
      <c r="E4811" s="3">
        <v>1</v>
      </c>
      <c r="F4811" s="2"/>
      <c r="G4811" s="4">
        <v>3</v>
      </c>
      <c r="H4811" s="13">
        <v>2</v>
      </c>
      <c r="I4811" s="34">
        <v>2</v>
      </c>
      <c r="J4811" s="35">
        <v>2</v>
      </c>
      <c r="K4811" s="3" t="s">
        <v>9636</v>
      </c>
      <c r="L4811" s="36" t="str">
        <f t="shared" si="81"/>
        <v>Ver Imagen</v>
      </c>
      <c r="M4811" t="s">
        <v>8005</v>
      </c>
    </row>
    <row r="4812" spans="1:13" x14ac:dyDescent="0.25">
      <c r="A4812" s="33">
        <v>4816</v>
      </c>
      <c r="B4812" t="s">
        <v>9637</v>
      </c>
      <c r="C4812">
        <v>37.312901850300001</v>
      </c>
      <c r="D4812">
        <v>-7.0615903396900004</v>
      </c>
      <c r="E4812" s="3">
        <v>2</v>
      </c>
      <c r="F4812" s="2"/>
      <c r="G4812" s="4">
        <v>3</v>
      </c>
      <c r="H4812" s="13">
        <v>2</v>
      </c>
      <c r="I4812" s="34">
        <v>2</v>
      </c>
      <c r="J4812" s="35">
        <v>2</v>
      </c>
      <c r="K4812" s="3" t="s">
        <v>9638</v>
      </c>
      <c r="L4812" s="36" t="str">
        <f t="shared" si="81"/>
        <v>Ver Imagen</v>
      </c>
      <c r="M4812" t="s">
        <v>8005</v>
      </c>
    </row>
    <row r="4813" spans="1:13" x14ac:dyDescent="0.25">
      <c r="A4813" s="33">
        <v>4817</v>
      </c>
      <c r="B4813" t="s">
        <v>9639</v>
      </c>
      <c r="C4813">
        <v>37.195154196300003</v>
      </c>
      <c r="D4813">
        <v>-7.0005226493899997</v>
      </c>
      <c r="E4813" s="3">
        <v>2</v>
      </c>
      <c r="F4813" s="2"/>
      <c r="G4813" s="4">
        <v>3</v>
      </c>
      <c r="H4813" s="13">
        <v>2</v>
      </c>
      <c r="I4813" s="34">
        <v>3</v>
      </c>
      <c r="J4813" s="37">
        <v>2</v>
      </c>
      <c r="K4813" s="3" t="s">
        <v>9640</v>
      </c>
      <c r="L4813" s="36" t="str">
        <f t="shared" si="81"/>
        <v>Ver Imagen</v>
      </c>
      <c r="M4813" s="37" t="s">
        <v>8052</v>
      </c>
    </row>
    <row r="4814" spans="1:13" x14ac:dyDescent="0.25">
      <c r="A4814" s="33">
        <v>4818</v>
      </c>
      <c r="B4814" t="s">
        <v>9641</v>
      </c>
      <c r="C4814">
        <v>37.262468133399999</v>
      </c>
      <c r="D4814">
        <v>-7.0094397963599997</v>
      </c>
      <c r="E4814" s="3">
        <v>2</v>
      </c>
      <c r="F4814" s="2"/>
      <c r="G4814" s="4">
        <v>3</v>
      </c>
      <c r="H4814" s="16">
        <v>2</v>
      </c>
      <c r="I4814" s="40">
        <v>4</v>
      </c>
      <c r="J4814" s="35">
        <v>2.5</v>
      </c>
      <c r="K4814" s="3" t="s">
        <v>9642</v>
      </c>
      <c r="L4814" s="36" t="str">
        <f t="shared" si="81"/>
        <v>Ver Imagen</v>
      </c>
      <c r="M4814" t="s">
        <v>8005</v>
      </c>
    </row>
    <row r="4815" spans="1:13" x14ac:dyDescent="0.25">
      <c r="A4815" s="33">
        <v>4819</v>
      </c>
      <c r="B4815" t="s">
        <v>9643</v>
      </c>
      <c r="C4815" s="1">
        <v>37.451265847599998</v>
      </c>
      <c r="D4815" s="1">
        <v>-7.1548238854099999</v>
      </c>
      <c r="E4815" s="3">
        <v>2</v>
      </c>
      <c r="F4815" s="2"/>
      <c r="G4815" s="4">
        <v>4</v>
      </c>
      <c r="H4815" s="13">
        <v>3</v>
      </c>
      <c r="I4815" s="34">
        <v>3</v>
      </c>
      <c r="J4815" s="35">
        <v>3</v>
      </c>
      <c r="K4815" s="4" t="s">
        <v>9644</v>
      </c>
      <c r="L4815" s="36" t="str">
        <f t="shared" si="81"/>
        <v>Ver Imagen</v>
      </c>
      <c r="M4815" t="s">
        <v>8005</v>
      </c>
    </row>
    <row r="4816" spans="1:13" x14ac:dyDescent="0.25">
      <c r="A4816" s="33">
        <v>4820</v>
      </c>
      <c r="B4816" t="s">
        <v>9645</v>
      </c>
      <c r="C4816" s="1">
        <v>37.480141376900001</v>
      </c>
      <c r="D4816" s="1">
        <v>-7.1278396962699997</v>
      </c>
      <c r="E4816" s="3">
        <v>4</v>
      </c>
      <c r="F4816" s="2"/>
      <c r="G4816" s="4">
        <v>4</v>
      </c>
      <c r="H4816" s="13">
        <v>3</v>
      </c>
      <c r="I4816" s="34">
        <v>4</v>
      </c>
      <c r="J4816" s="35">
        <v>4</v>
      </c>
      <c r="K4816" s="2" t="s">
        <v>9646</v>
      </c>
      <c r="L4816" s="36" t="str">
        <f t="shared" si="81"/>
        <v>Ver Imagen</v>
      </c>
      <c r="M4816" t="s">
        <v>8005</v>
      </c>
    </row>
    <row r="4817" spans="1:13" x14ac:dyDescent="0.25">
      <c r="A4817" s="33">
        <v>4821</v>
      </c>
      <c r="B4817" t="s">
        <v>9647</v>
      </c>
      <c r="C4817">
        <v>37.4953607805</v>
      </c>
      <c r="D4817">
        <v>-7.2684965700499999</v>
      </c>
      <c r="E4817" s="3">
        <v>4</v>
      </c>
      <c r="F4817" s="2"/>
      <c r="G4817" s="4">
        <v>4</v>
      </c>
      <c r="H4817" s="13">
        <v>3</v>
      </c>
      <c r="I4817" s="34">
        <v>4</v>
      </c>
      <c r="J4817" s="35">
        <v>4</v>
      </c>
      <c r="K4817" s="3" t="s">
        <v>9648</v>
      </c>
      <c r="L4817" s="36" t="str">
        <f t="shared" si="81"/>
        <v>Ver Imagen</v>
      </c>
      <c r="M4817" t="s">
        <v>8005</v>
      </c>
    </row>
    <row r="4818" spans="1:13" x14ac:dyDescent="0.25">
      <c r="A4818" s="33">
        <v>4822</v>
      </c>
      <c r="B4818" t="s">
        <v>9649</v>
      </c>
      <c r="C4818">
        <v>37.447465780900004</v>
      </c>
      <c r="D4818">
        <v>-7.1266855657999999</v>
      </c>
      <c r="E4818" s="3">
        <v>2</v>
      </c>
      <c r="F4818" s="2"/>
      <c r="G4818" s="4">
        <v>4</v>
      </c>
      <c r="H4818" s="13">
        <v>3</v>
      </c>
      <c r="I4818" s="34">
        <v>3</v>
      </c>
      <c r="J4818" s="35">
        <v>3</v>
      </c>
      <c r="K4818" s="3" t="s">
        <v>9650</v>
      </c>
      <c r="L4818" s="36" t="str">
        <f t="shared" si="81"/>
        <v>Ver Imagen</v>
      </c>
      <c r="M4818" t="s">
        <v>8005</v>
      </c>
    </row>
    <row r="4819" spans="1:13" x14ac:dyDescent="0.25">
      <c r="A4819" s="33">
        <v>4823</v>
      </c>
      <c r="B4819" t="s">
        <v>9651</v>
      </c>
      <c r="C4819">
        <v>37.4619560079</v>
      </c>
      <c r="D4819">
        <v>-7.1750601867799997</v>
      </c>
      <c r="E4819" s="3">
        <v>2</v>
      </c>
      <c r="F4819" s="2"/>
      <c r="G4819" s="4">
        <v>4</v>
      </c>
      <c r="H4819" s="13">
        <v>4</v>
      </c>
      <c r="I4819" s="34">
        <v>4</v>
      </c>
      <c r="J4819" s="35">
        <v>4</v>
      </c>
      <c r="K4819" s="3" t="s">
        <v>9652</v>
      </c>
      <c r="L4819" s="36" t="str">
        <f t="shared" si="81"/>
        <v>Ver Imagen</v>
      </c>
      <c r="M4819" t="s">
        <v>8005</v>
      </c>
    </row>
    <row r="4820" spans="1:13" x14ac:dyDescent="0.25">
      <c r="A4820" s="33">
        <v>4824</v>
      </c>
      <c r="B4820" t="s">
        <v>9653</v>
      </c>
      <c r="C4820" s="1">
        <v>37.278204928999997</v>
      </c>
      <c r="D4820" s="1">
        <v>-6.9929260281500003</v>
      </c>
      <c r="E4820" s="3">
        <v>3</v>
      </c>
      <c r="F4820" s="2"/>
      <c r="G4820" s="4">
        <v>4</v>
      </c>
      <c r="H4820" s="13">
        <v>4</v>
      </c>
      <c r="I4820" s="34">
        <v>4</v>
      </c>
      <c r="J4820" s="35">
        <v>4</v>
      </c>
      <c r="K4820" s="2" t="s">
        <v>9654</v>
      </c>
      <c r="L4820" s="36" t="str">
        <f t="shared" si="81"/>
        <v>Ver Imagen</v>
      </c>
      <c r="M4820" t="s">
        <v>8005</v>
      </c>
    </row>
    <row r="4821" spans="1:13" x14ac:dyDescent="0.25">
      <c r="A4821" s="33">
        <v>4825</v>
      </c>
      <c r="B4821" t="s">
        <v>9655</v>
      </c>
      <c r="C4821" s="1">
        <v>37.279808194399997</v>
      </c>
      <c r="D4821" s="1">
        <v>-6.9980367333400002</v>
      </c>
      <c r="E4821" s="3">
        <v>3</v>
      </c>
      <c r="F4821" s="2"/>
      <c r="G4821" s="4">
        <v>4</v>
      </c>
      <c r="H4821" s="13">
        <v>4</v>
      </c>
      <c r="I4821" s="34">
        <v>4</v>
      </c>
      <c r="J4821" s="35">
        <v>4</v>
      </c>
      <c r="K4821" s="2" t="s">
        <v>9656</v>
      </c>
      <c r="L4821" s="36" t="str">
        <f t="shared" si="81"/>
        <v>Ver Imagen</v>
      </c>
      <c r="M4821" t="s">
        <v>8005</v>
      </c>
    </row>
    <row r="4822" spans="1:13" x14ac:dyDescent="0.25">
      <c r="A4822" s="33">
        <v>4826</v>
      </c>
      <c r="B4822" t="s">
        <v>9657</v>
      </c>
      <c r="C4822">
        <v>37.273007209299998</v>
      </c>
      <c r="D4822">
        <v>-6.9912889489300003</v>
      </c>
      <c r="E4822" s="3">
        <v>2</v>
      </c>
      <c r="F4822" s="2"/>
      <c r="G4822" s="4">
        <v>4</v>
      </c>
      <c r="H4822" s="13">
        <v>4</v>
      </c>
      <c r="I4822" s="34">
        <v>4</v>
      </c>
      <c r="J4822" s="35">
        <v>4</v>
      </c>
      <c r="K4822" s="3" t="s">
        <v>9658</v>
      </c>
      <c r="L4822" s="36" t="str">
        <f t="shared" si="81"/>
        <v>Ver Imagen</v>
      </c>
      <c r="M4822" t="s">
        <v>8005</v>
      </c>
    </row>
    <row r="4823" spans="1:13" x14ac:dyDescent="0.25">
      <c r="A4823" s="33">
        <v>4827</v>
      </c>
      <c r="B4823" t="s">
        <v>9659</v>
      </c>
      <c r="C4823">
        <v>37.278457901800003</v>
      </c>
      <c r="D4823">
        <v>-7.1442063821300001</v>
      </c>
      <c r="E4823" s="3">
        <v>4</v>
      </c>
      <c r="F4823" s="2"/>
      <c r="G4823" s="4">
        <v>3</v>
      </c>
      <c r="H4823" s="13">
        <v>5</v>
      </c>
      <c r="I4823" s="34">
        <v>4</v>
      </c>
      <c r="J4823" s="35">
        <v>4</v>
      </c>
      <c r="K4823" s="3" t="s">
        <v>9660</v>
      </c>
      <c r="L4823" s="36" t="str">
        <f t="shared" si="81"/>
        <v>Ver Imagen</v>
      </c>
      <c r="M4823" t="s">
        <v>8005</v>
      </c>
    </row>
    <row r="4824" spans="1:13" x14ac:dyDescent="0.25">
      <c r="A4824" s="33">
        <v>4828</v>
      </c>
      <c r="B4824" t="s">
        <v>9661</v>
      </c>
      <c r="C4824" s="1">
        <v>37.230320964900002</v>
      </c>
      <c r="D4824" s="1">
        <v>-7.0633302661100004</v>
      </c>
      <c r="E4824" s="3">
        <v>3</v>
      </c>
      <c r="F4824" s="2"/>
      <c r="G4824" s="4">
        <v>4</v>
      </c>
      <c r="H4824" s="13">
        <v>3</v>
      </c>
      <c r="I4824" s="34">
        <v>3</v>
      </c>
      <c r="J4824" s="35">
        <v>3</v>
      </c>
      <c r="K4824" s="42" t="s">
        <v>9662</v>
      </c>
      <c r="L4824" s="36" t="str">
        <f t="shared" si="81"/>
        <v>Ver Imagen</v>
      </c>
      <c r="M4824" t="s">
        <v>8005</v>
      </c>
    </row>
    <row r="4825" spans="1:13" x14ac:dyDescent="0.25">
      <c r="A4825" s="33">
        <v>4829</v>
      </c>
      <c r="B4825" t="s">
        <v>9663</v>
      </c>
      <c r="C4825">
        <v>37.448266158199999</v>
      </c>
      <c r="D4825">
        <v>-7.12666294959</v>
      </c>
      <c r="E4825" s="3">
        <v>2</v>
      </c>
      <c r="F4825" s="2"/>
      <c r="G4825" s="4">
        <v>4</v>
      </c>
      <c r="H4825" s="13">
        <v>3</v>
      </c>
      <c r="I4825" s="34">
        <v>3</v>
      </c>
      <c r="J4825" s="35">
        <v>3</v>
      </c>
      <c r="K4825" s="3" t="s">
        <v>9664</v>
      </c>
      <c r="L4825" s="36" t="str">
        <f t="shared" si="81"/>
        <v>Ver Imagen</v>
      </c>
      <c r="M4825" t="s">
        <v>8005</v>
      </c>
    </row>
    <row r="4826" spans="1:13" x14ac:dyDescent="0.25">
      <c r="A4826" s="33">
        <v>4830</v>
      </c>
      <c r="B4826" t="s">
        <v>9665</v>
      </c>
      <c r="C4826">
        <v>37.451471938700003</v>
      </c>
      <c r="D4826">
        <v>-7.1557866900700002</v>
      </c>
      <c r="E4826" s="3">
        <v>4</v>
      </c>
      <c r="F4826" s="2"/>
      <c r="G4826" s="4">
        <v>5</v>
      </c>
      <c r="H4826" s="13">
        <v>5</v>
      </c>
      <c r="I4826" s="34">
        <v>4</v>
      </c>
      <c r="J4826" s="35">
        <v>4.5</v>
      </c>
      <c r="K4826" s="3" t="s">
        <v>9666</v>
      </c>
      <c r="L4826" s="36" t="str">
        <f t="shared" ref="L4826:L4857" si="82">HYPERLINK("Solo2\" &amp; K4826, "Ver Imagen")</f>
        <v>Ver Imagen</v>
      </c>
      <c r="M4826" t="s">
        <v>8005</v>
      </c>
    </row>
    <row r="4827" spans="1:13" x14ac:dyDescent="0.25">
      <c r="A4827" s="33">
        <v>4831</v>
      </c>
      <c r="B4827" t="s">
        <v>9667</v>
      </c>
      <c r="C4827" s="1">
        <v>37.463787750000002</v>
      </c>
      <c r="D4827" s="1">
        <v>-7.1184385397799996</v>
      </c>
      <c r="E4827" s="3">
        <v>1</v>
      </c>
      <c r="F4827" s="2">
        <v>1</v>
      </c>
      <c r="G4827" s="4"/>
      <c r="H4827" s="13">
        <v>1</v>
      </c>
      <c r="I4827" s="34">
        <v>1</v>
      </c>
      <c r="J4827" s="35">
        <v>1</v>
      </c>
      <c r="K4827" s="2" t="s">
        <v>9668</v>
      </c>
      <c r="L4827" s="36" t="str">
        <f t="shared" si="82"/>
        <v>Ver Imagen</v>
      </c>
      <c r="M4827" t="s">
        <v>8005</v>
      </c>
    </row>
    <row r="4828" spans="1:13" x14ac:dyDescent="0.25">
      <c r="A4828" s="33">
        <v>4832</v>
      </c>
      <c r="B4828" t="s">
        <v>9669</v>
      </c>
      <c r="C4828" s="1">
        <v>37.200379593599997</v>
      </c>
      <c r="D4828" s="1">
        <v>-7.0166855323300004</v>
      </c>
      <c r="E4828" s="3"/>
      <c r="F4828" s="2">
        <v>1</v>
      </c>
      <c r="G4828" s="4">
        <v>1</v>
      </c>
      <c r="H4828" s="13">
        <v>1</v>
      </c>
      <c r="I4828" s="34">
        <v>1</v>
      </c>
      <c r="J4828" s="35">
        <v>1</v>
      </c>
      <c r="K4828" s="2" t="s">
        <v>9670</v>
      </c>
      <c r="L4828" s="36" t="str">
        <f t="shared" si="82"/>
        <v>Ver Imagen</v>
      </c>
      <c r="M4828" t="s">
        <v>8005</v>
      </c>
    </row>
    <row r="4829" spans="1:13" x14ac:dyDescent="0.25">
      <c r="A4829" s="33">
        <v>4833</v>
      </c>
      <c r="B4829" t="s">
        <v>9671</v>
      </c>
      <c r="C4829" s="1">
        <v>37.469559783500003</v>
      </c>
      <c r="D4829" s="1">
        <v>-7.1888529869399997</v>
      </c>
      <c r="E4829" s="3">
        <v>2</v>
      </c>
      <c r="F4829" s="2">
        <v>1</v>
      </c>
      <c r="G4829" s="4"/>
      <c r="H4829" s="13">
        <v>1</v>
      </c>
      <c r="I4829" s="34">
        <v>1</v>
      </c>
      <c r="J4829" s="35">
        <v>1</v>
      </c>
      <c r="K4829" s="2" t="s">
        <v>9672</v>
      </c>
      <c r="L4829" s="36" t="str">
        <f t="shared" si="82"/>
        <v>Ver Imagen</v>
      </c>
      <c r="M4829" t="s">
        <v>8005</v>
      </c>
    </row>
    <row r="4830" spans="1:13" x14ac:dyDescent="0.25">
      <c r="A4830" s="33">
        <v>4834</v>
      </c>
      <c r="B4830" t="s">
        <v>9673</v>
      </c>
      <c r="C4830" s="1">
        <v>37.493485784199997</v>
      </c>
      <c r="D4830" s="1">
        <v>-7.2643815055800003</v>
      </c>
      <c r="E4830" s="3"/>
      <c r="F4830" s="2">
        <v>1</v>
      </c>
      <c r="G4830" s="4">
        <v>2</v>
      </c>
      <c r="H4830" s="13">
        <v>2</v>
      </c>
      <c r="I4830" s="34">
        <v>1</v>
      </c>
      <c r="J4830" s="35">
        <v>1.5</v>
      </c>
      <c r="K4830" s="2" t="s">
        <v>9674</v>
      </c>
      <c r="L4830" s="36" t="str">
        <f t="shared" si="82"/>
        <v>Ver Imagen</v>
      </c>
      <c r="M4830" t="s">
        <v>8005</v>
      </c>
    </row>
    <row r="4831" spans="1:13" x14ac:dyDescent="0.25">
      <c r="A4831" s="33">
        <v>4835</v>
      </c>
      <c r="B4831" t="s">
        <v>9675</v>
      </c>
      <c r="C4831" s="1">
        <v>37.2836129473</v>
      </c>
      <c r="D4831" s="1">
        <v>-7.0339027100199996</v>
      </c>
      <c r="E4831" s="3">
        <v>2</v>
      </c>
      <c r="F4831" s="2">
        <v>2</v>
      </c>
      <c r="G4831" s="4"/>
      <c r="H4831" s="13">
        <v>2</v>
      </c>
      <c r="I4831" s="34">
        <v>1</v>
      </c>
      <c r="J4831" s="35">
        <v>1</v>
      </c>
      <c r="K4831" s="2" t="s">
        <v>9676</v>
      </c>
      <c r="L4831" s="36" t="str">
        <f t="shared" si="82"/>
        <v>Ver Imagen</v>
      </c>
      <c r="M4831" t="s">
        <v>8005</v>
      </c>
    </row>
    <row r="4832" spans="1:13" x14ac:dyDescent="0.25">
      <c r="A4832" s="33">
        <v>4836</v>
      </c>
      <c r="B4832" t="s">
        <v>9677</v>
      </c>
      <c r="C4832" s="1">
        <v>37.307519867000003</v>
      </c>
      <c r="D4832" s="1">
        <v>-7.0569690639899996</v>
      </c>
      <c r="E4832" s="3">
        <v>2</v>
      </c>
      <c r="F4832" s="2">
        <v>2</v>
      </c>
      <c r="G4832" s="4"/>
      <c r="H4832" s="13">
        <v>2</v>
      </c>
      <c r="I4832" s="34">
        <v>2</v>
      </c>
      <c r="J4832" s="35">
        <v>2</v>
      </c>
      <c r="K4832" s="2" t="s">
        <v>9678</v>
      </c>
      <c r="L4832" s="36" t="str">
        <f t="shared" si="82"/>
        <v>Ver Imagen</v>
      </c>
      <c r="M4832" t="s">
        <v>8005</v>
      </c>
    </row>
    <row r="4833" spans="1:13" x14ac:dyDescent="0.25">
      <c r="A4833" s="33">
        <v>4837</v>
      </c>
      <c r="B4833" t="s">
        <v>9679</v>
      </c>
      <c r="C4833" s="1">
        <v>37.199138166099999</v>
      </c>
      <c r="D4833" s="1">
        <v>-7.00933115642</v>
      </c>
      <c r="E4833" s="3">
        <v>2</v>
      </c>
      <c r="F4833" s="2">
        <v>3</v>
      </c>
      <c r="G4833" s="4"/>
      <c r="H4833" s="13">
        <v>3</v>
      </c>
      <c r="I4833" s="34">
        <v>4</v>
      </c>
      <c r="J4833" s="35">
        <v>3</v>
      </c>
      <c r="K4833" s="2" t="s">
        <v>9680</v>
      </c>
      <c r="L4833" s="36" t="str">
        <f t="shared" si="82"/>
        <v>Ver Imagen</v>
      </c>
      <c r="M4833" t="s">
        <v>8005</v>
      </c>
    </row>
    <row r="4834" spans="1:13" x14ac:dyDescent="0.25">
      <c r="A4834" s="33">
        <v>4838</v>
      </c>
      <c r="B4834" t="s">
        <v>9681</v>
      </c>
      <c r="C4834" s="1">
        <v>37.260748379900001</v>
      </c>
      <c r="D4834" s="1">
        <v>-7.1294316355699996</v>
      </c>
      <c r="E4834" s="3"/>
      <c r="F4834" s="2">
        <v>3</v>
      </c>
      <c r="G4834" s="4">
        <v>2</v>
      </c>
      <c r="H4834" s="13">
        <v>3</v>
      </c>
      <c r="I4834" s="34">
        <v>3</v>
      </c>
      <c r="J4834" s="35">
        <v>3</v>
      </c>
      <c r="K4834" s="2" t="s">
        <v>9682</v>
      </c>
      <c r="L4834" s="36" t="str">
        <f t="shared" si="82"/>
        <v>Ver Imagen</v>
      </c>
      <c r="M4834" t="s">
        <v>8005</v>
      </c>
    </row>
    <row r="4835" spans="1:13" x14ac:dyDescent="0.25">
      <c r="A4835" s="33">
        <v>4839</v>
      </c>
      <c r="B4835" t="s">
        <v>9683</v>
      </c>
      <c r="C4835" s="1">
        <v>37.260541391799997</v>
      </c>
      <c r="D4835" s="1">
        <v>-7.1293228109499998</v>
      </c>
      <c r="E4835" s="3"/>
      <c r="F4835" s="2">
        <v>2</v>
      </c>
      <c r="G4835" s="4">
        <v>2</v>
      </c>
      <c r="H4835" s="13">
        <v>3</v>
      </c>
      <c r="I4835" s="34">
        <v>3</v>
      </c>
      <c r="J4835" s="35">
        <v>2.5</v>
      </c>
      <c r="K4835" s="2" t="s">
        <v>9684</v>
      </c>
      <c r="L4835" s="36" t="str">
        <f t="shared" si="82"/>
        <v>Ver Imagen</v>
      </c>
      <c r="M4835" t="s">
        <v>8005</v>
      </c>
    </row>
    <row r="4836" spans="1:13" x14ac:dyDescent="0.25">
      <c r="A4836" s="33">
        <v>4840</v>
      </c>
      <c r="B4836" t="s">
        <v>9685</v>
      </c>
      <c r="C4836" s="1">
        <v>37.253531824100001</v>
      </c>
      <c r="D4836" s="1">
        <v>-7.1267444948299996</v>
      </c>
      <c r="E4836" s="3">
        <v>2</v>
      </c>
      <c r="F4836" s="2">
        <v>2</v>
      </c>
      <c r="G4836" s="4"/>
      <c r="H4836" s="13">
        <v>2</v>
      </c>
      <c r="I4836" s="34">
        <v>2</v>
      </c>
      <c r="J4836" s="35">
        <v>2</v>
      </c>
      <c r="K4836" s="2" t="s">
        <v>9686</v>
      </c>
      <c r="L4836" s="36" t="str">
        <f t="shared" si="82"/>
        <v>Ver Imagen</v>
      </c>
      <c r="M4836" t="s">
        <v>8005</v>
      </c>
    </row>
    <row r="4837" spans="1:13" x14ac:dyDescent="0.25">
      <c r="A4837" s="33">
        <v>4841</v>
      </c>
      <c r="B4837" t="s">
        <v>9687</v>
      </c>
      <c r="C4837" s="1">
        <v>37.224624007199999</v>
      </c>
      <c r="D4837" s="1">
        <v>-7.0374968125999997</v>
      </c>
      <c r="E4837" s="3">
        <v>2</v>
      </c>
      <c r="F4837" s="2">
        <v>2</v>
      </c>
      <c r="G4837" s="4"/>
      <c r="H4837" s="13">
        <v>2</v>
      </c>
      <c r="I4837" s="34">
        <v>2</v>
      </c>
      <c r="J4837" s="35">
        <v>2</v>
      </c>
      <c r="K4837" s="2" t="s">
        <v>9688</v>
      </c>
      <c r="L4837" s="36" t="str">
        <f t="shared" si="82"/>
        <v>Ver Imagen</v>
      </c>
      <c r="M4837" t="s">
        <v>8005</v>
      </c>
    </row>
    <row r="4838" spans="1:13" x14ac:dyDescent="0.25">
      <c r="A4838" s="33">
        <v>4842</v>
      </c>
      <c r="B4838" t="s">
        <v>9689</v>
      </c>
      <c r="C4838" s="1">
        <v>37.498794250000003</v>
      </c>
      <c r="D4838" s="1">
        <v>-7.2675144115999997</v>
      </c>
      <c r="E4838" s="3">
        <v>2</v>
      </c>
      <c r="F4838" s="2">
        <v>2</v>
      </c>
      <c r="G4838" s="4"/>
      <c r="H4838" s="13">
        <v>2</v>
      </c>
      <c r="I4838" s="34">
        <v>1</v>
      </c>
      <c r="J4838" s="35">
        <v>2</v>
      </c>
      <c r="K4838" s="2" t="s">
        <v>9690</v>
      </c>
      <c r="L4838" s="36" t="str">
        <f t="shared" si="82"/>
        <v>Ver Imagen</v>
      </c>
      <c r="M4838" t="s">
        <v>8005</v>
      </c>
    </row>
    <row r="4839" spans="1:13" x14ac:dyDescent="0.25">
      <c r="A4839" s="33">
        <v>4843</v>
      </c>
      <c r="B4839" t="s">
        <v>9691</v>
      </c>
      <c r="C4839" s="1">
        <v>37.465215922299997</v>
      </c>
      <c r="D4839" s="1">
        <v>-7.1217571882600001</v>
      </c>
      <c r="E4839" s="3">
        <v>3</v>
      </c>
      <c r="F4839" s="2">
        <v>3</v>
      </c>
      <c r="G4839" s="4"/>
      <c r="H4839" s="13">
        <v>2</v>
      </c>
      <c r="I4839" s="34">
        <v>4</v>
      </c>
      <c r="J4839" s="35">
        <v>3</v>
      </c>
      <c r="K4839" s="2" t="s">
        <v>9692</v>
      </c>
      <c r="L4839" s="36" t="str">
        <f t="shared" si="82"/>
        <v>Ver Imagen</v>
      </c>
      <c r="M4839" t="s">
        <v>8005</v>
      </c>
    </row>
    <row r="4840" spans="1:13" x14ac:dyDescent="0.25">
      <c r="A4840" s="33">
        <v>4844</v>
      </c>
      <c r="B4840" t="s">
        <v>9693</v>
      </c>
      <c r="C4840" s="1">
        <v>37.266804376300001</v>
      </c>
      <c r="D4840" s="1">
        <v>-6.9572794459200002</v>
      </c>
      <c r="E4840" s="3">
        <v>3</v>
      </c>
      <c r="F4840" s="2">
        <v>2</v>
      </c>
      <c r="G4840" s="4"/>
      <c r="H4840" s="13">
        <v>2</v>
      </c>
      <c r="I4840" s="34">
        <v>2</v>
      </c>
      <c r="J4840" s="35">
        <v>2</v>
      </c>
      <c r="K4840" s="2" t="s">
        <v>9694</v>
      </c>
      <c r="L4840" s="36" t="str">
        <f t="shared" si="82"/>
        <v>Ver Imagen</v>
      </c>
      <c r="M4840" t="s">
        <v>8005</v>
      </c>
    </row>
    <row r="4841" spans="1:13" x14ac:dyDescent="0.25">
      <c r="A4841" s="33">
        <v>4845</v>
      </c>
      <c r="B4841" t="s">
        <v>9695</v>
      </c>
      <c r="C4841" s="1">
        <v>37.270868372499997</v>
      </c>
      <c r="D4841" s="1">
        <v>-7.1402027265400001</v>
      </c>
      <c r="E4841" s="3"/>
      <c r="F4841" s="2">
        <v>4</v>
      </c>
      <c r="G4841" s="4">
        <v>3</v>
      </c>
      <c r="H4841" s="13">
        <v>3</v>
      </c>
      <c r="I4841" s="34">
        <v>4</v>
      </c>
      <c r="J4841" s="35">
        <v>3.5</v>
      </c>
      <c r="K4841" s="2" t="s">
        <v>9696</v>
      </c>
      <c r="L4841" s="36" t="str">
        <f t="shared" si="82"/>
        <v>Ver Imagen</v>
      </c>
      <c r="M4841" t="s">
        <v>8005</v>
      </c>
    </row>
    <row r="4842" spans="1:13" x14ac:dyDescent="0.25">
      <c r="A4842" s="33">
        <v>4846</v>
      </c>
      <c r="B4842" t="s">
        <v>9697</v>
      </c>
      <c r="C4842" s="1">
        <v>37.2610798567</v>
      </c>
      <c r="D4842" s="1">
        <v>-7.1296644430000002</v>
      </c>
      <c r="E4842" s="3"/>
      <c r="F4842" s="2">
        <v>3</v>
      </c>
      <c r="G4842" s="4">
        <v>3</v>
      </c>
      <c r="H4842" s="13">
        <v>3</v>
      </c>
      <c r="I4842" s="34">
        <v>4</v>
      </c>
      <c r="J4842" s="37">
        <v>4</v>
      </c>
      <c r="K4842" s="2" t="s">
        <v>9698</v>
      </c>
      <c r="L4842" s="36" t="str">
        <f t="shared" si="82"/>
        <v>Ver Imagen</v>
      </c>
      <c r="M4842" s="37" t="s">
        <v>8052</v>
      </c>
    </row>
    <row r="4843" spans="1:13" x14ac:dyDescent="0.25">
      <c r="A4843" s="33">
        <v>4847</v>
      </c>
      <c r="B4843" t="s">
        <v>9699</v>
      </c>
      <c r="C4843" s="1">
        <v>37.451188428099996</v>
      </c>
      <c r="D4843" s="1">
        <v>-7.1544858362900001</v>
      </c>
      <c r="E4843" s="3"/>
      <c r="F4843" s="2">
        <v>4</v>
      </c>
      <c r="G4843" s="4">
        <v>4</v>
      </c>
      <c r="H4843" s="13">
        <v>4</v>
      </c>
      <c r="I4843" s="34">
        <v>5</v>
      </c>
      <c r="J4843" s="35">
        <v>4</v>
      </c>
      <c r="K4843" s="2" t="s">
        <v>9700</v>
      </c>
      <c r="L4843" s="36" t="str">
        <f t="shared" si="82"/>
        <v>Ver Imagen</v>
      </c>
      <c r="M4843" t="s">
        <v>8005</v>
      </c>
    </row>
    <row r="4844" spans="1:13" x14ac:dyDescent="0.25">
      <c r="A4844" s="33">
        <v>4848</v>
      </c>
      <c r="B4844" t="s">
        <v>9701</v>
      </c>
      <c r="C4844" s="1">
        <v>37.448751140200002</v>
      </c>
      <c r="D4844" s="1">
        <v>-7.1484957535199998</v>
      </c>
      <c r="E4844" s="3">
        <v>2</v>
      </c>
      <c r="F4844" s="2">
        <v>4</v>
      </c>
      <c r="G4844" s="4"/>
      <c r="H4844" s="13">
        <v>3</v>
      </c>
      <c r="I4844" s="34">
        <v>3</v>
      </c>
      <c r="J4844" s="35">
        <v>3</v>
      </c>
      <c r="K4844" s="2" t="s">
        <v>9702</v>
      </c>
      <c r="L4844" s="36" t="str">
        <f t="shared" si="82"/>
        <v>Ver Imagen</v>
      </c>
      <c r="M4844" t="s">
        <v>8005</v>
      </c>
    </row>
    <row r="4845" spans="1:13" x14ac:dyDescent="0.25">
      <c r="A4845" s="33">
        <v>4849</v>
      </c>
      <c r="B4845" t="s">
        <v>9703</v>
      </c>
      <c r="C4845" s="1">
        <v>37.451313319400001</v>
      </c>
      <c r="D4845" s="1">
        <v>-7.1550442096899998</v>
      </c>
      <c r="E4845" s="3">
        <v>2</v>
      </c>
      <c r="F4845" s="2">
        <v>3</v>
      </c>
      <c r="G4845" s="4"/>
      <c r="H4845" s="13">
        <v>4</v>
      </c>
      <c r="I4845" s="34">
        <v>4</v>
      </c>
      <c r="J4845" s="35">
        <v>3.5</v>
      </c>
      <c r="K4845" s="2" t="s">
        <v>9704</v>
      </c>
      <c r="L4845" s="36" t="str">
        <f t="shared" si="82"/>
        <v>Ver Imagen</v>
      </c>
      <c r="M4845" t="s">
        <v>8005</v>
      </c>
    </row>
    <row r="4846" spans="1:13" x14ac:dyDescent="0.25">
      <c r="A4846" s="33">
        <v>4850</v>
      </c>
      <c r="B4846" t="s">
        <v>9705</v>
      </c>
      <c r="C4846" s="1">
        <v>37.471901990299997</v>
      </c>
      <c r="D4846" s="1">
        <v>-7.1930247089700003</v>
      </c>
      <c r="E4846" s="3">
        <v>1</v>
      </c>
      <c r="F4846" s="2">
        <v>2</v>
      </c>
      <c r="G4846" s="4"/>
      <c r="H4846" s="13">
        <v>2</v>
      </c>
      <c r="I4846" s="34">
        <v>1</v>
      </c>
      <c r="J4846" s="35">
        <v>1.5</v>
      </c>
      <c r="K4846" s="2" t="s">
        <v>9706</v>
      </c>
      <c r="L4846" s="36" t="str">
        <f t="shared" si="82"/>
        <v>Ver Imagen</v>
      </c>
      <c r="M4846" t="s">
        <v>8005</v>
      </c>
    </row>
    <row r="4847" spans="1:13" x14ac:dyDescent="0.25">
      <c r="A4847" s="33">
        <v>4851</v>
      </c>
      <c r="B4847" t="s">
        <v>9707</v>
      </c>
      <c r="C4847" s="1">
        <v>37.471983010400002</v>
      </c>
      <c r="D4847" s="1">
        <v>-7.1931602365599998</v>
      </c>
      <c r="E4847" s="3">
        <v>2</v>
      </c>
      <c r="F4847" s="2">
        <v>4</v>
      </c>
      <c r="G4847" s="4"/>
      <c r="H4847" s="13">
        <v>3</v>
      </c>
      <c r="I4847" s="34">
        <v>3</v>
      </c>
      <c r="J4847" s="35">
        <v>3</v>
      </c>
      <c r="K4847" s="2" t="s">
        <v>9708</v>
      </c>
      <c r="L4847" s="36" t="str">
        <f t="shared" si="82"/>
        <v>Ver Imagen</v>
      </c>
      <c r="M4847" t="s">
        <v>8005</v>
      </c>
    </row>
    <row r="4848" spans="1:13" x14ac:dyDescent="0.25">
      <c r="A4848" s="33">
        <v>4852</v>
      </c>
      <c r="B4848" t="s">
        <v>9709</v>
      </c>
      <c r="C4848" s="1">
        <v>37.4755227156</v>
      </c>
      <c r="D4848" s="1">
        <v>-7.1999458964900001</v>
      </c>
      <c r="E4848" s="3">
        <v>1</v>
      </c>
      <c r="F4848" s="2">
        <v>3</v>
      </c>
      <c r="G4848" s="4"/>
      <c r="H4848" s="13">
        <v>3</v>
      </c>
      <c r="I4848" s="34">
        <v>3</v>
      </c>
      <c r="J4848" s="35">
        <v>3</v>
      </c>
      <c r="K4848" s="2" t="s">
        <v>9710</v>
      </c>
      <c r="L4848" s="36" t="str">
        <f t="shared" si="82"/>
        <v>Ver Imagen</v>
      </c>
      <c r="M4848" t="s">
        <v>8005</v>
      </c>
    </row>
    <row r="4849" spans="1:13" x14ac:dyDescent="0.25">
      <c r="A4849" s="33">
        <v>4853</v>
      </c>
      <c r="B4849" t="s">
        <v>9711</v>
      </c>
      <c r="C4849" s="1">
        <v>37.460513194100002</v>
      </c>
      <c r="D4849" s="1">
        <v>-7.17267898329</v>
      </c>
      <c r="E4849" s="3"/>
      <c r="F4849" s="2">
        <v>3</v>
      </c>
      <c r="G4849" s="4">
        <v>2</v>
      </c>
      <c r="H4849" s="13">
        <v>3</v>
      </c>
      <c r="I4849" s="34">
        <v>3</v>
      </c>
      <c r="J4849" s="35">
        <v>3</v>
      </c>
      <c r="K4849" s="2" t="s">
        <v>9712</v>
      </c>
      <c r="L4849" s="36" t="str">
        <f t="shared" si="82"/>
        <v>Ver Imagen</v>
      </c>
      <c r="M4849" t="s">
        <v>8005</v>
      </c>
    </row>
    <row r="4850" spans="1:13" x14ac:dyDescent="0.25">
      <c r="A4850" s="33">
        <v>4854</v>
      </c>
      <c r="B4850" t="s">
        <v>9713</v>
      </c>
      <c r="C4850" s="1">
        <v>37.468088832500001</v>
      </c>
      <c r="D4850" s="1">
        <v>-7.1861372640800001</v>
      </c>
      <c r="E4850" s="3">
        <v>1</v>
      </c>
      <c r="F4850" s="2">
        <v>3</v>
      </c>
      <c r="G4850" s="4"/>
      <c r="H4850" s="13">
        <v>2</v>
      </c>
      <c r="I4850" s="34">
        <v>1</v>
      </c>
      <c r="J4850" s="35">
        <v>1.5</v>
      </c>
      <c r="K4850" s="2" t="s">
        <v>9714</v>
      </c>
      <c r="L4850" s="36" t="str">
        <f t="shared" si="82"/>
        <v>Ver Imagen</v>
      </c>
      <c r="M4850" t="s">
        <v>8005</v>
      </c>
    </row>
    <row r="4851" spans="1:13" x14ac:dyDescent="0.25">
      <c r="A4851" s="33">
        <v>4855</v>
      </c>
      <c r="B4851" t="s">
        <v>9715</v>
      </c>
      <c r="C4851" s="1">
        <v>37.468214177500002</v>
      </c>
      <c r="D4851" s="1">
        <v>-7.1863714814100002</v>
      </c>
      <c r="E4851" s="3">
        <v>1</v>
      </c>
      <c r="F4851" s="2">
        <v>3</v>
      </c>
      <c r="G4851" s="4"/>
      <c r="H4851" s="13">
        <v>2</v>
      </c>
      <c r="I4851" s="34">
        <v>2</v>
      </c>
      <c r="J4851" s="35">
        <v>2</v>
      </c>
      <c r="K4851" s="2" t="s">
        <v>9716</v>
      </c>
      <c r="L4851" s="36" t="str">
        <f t="shared" si="82"/>
        <v>Ver Imagen</v>
      </c>
      <c r="M4851" t="s">
        <v>8005</v>
      </c>
    </row>
    <row r="4852" spans="1:13" x14ac:dyDescent="0.25">
      <c r="A4852" s="33">
        <v>4856</v>
      </c>
      <c r="B4852" t="s">
        <v>9717</v>
      </c>
      <c r="C4852" s="1">
        <v>37.468330010599999</v>
      </c>
      <c r="D4852" s="1">
        <v>-7.1865873678699996</v>
      </c>
      <c r="E4852" s="3">
        <v>1</v>
      </c>
      <c r="F4852" s="2">
        <v>3</v>
      </c>
      <c r="G4852" s="4"/>
      <c r="H4852" s="13">
        <v>1</v>
      </c>
      <c r="I4852" s="34">
        <v>2</v>
      </c>
      <c r="J4852" s="35">
        <v>1.5</v>
      </c>
      <c r="K4852" s="2" t="s">
        <v>9718</v>
      </c>
      <c r="L4852" s="36" t="str">
        <f t="shared" si="82"/>
        <v>Ver Imagen</v>
      </c>
      <c r="M4852" t="s">
        <v>8005</v>
      </c>
    </row>
    <row r="4853" spans="1:13" x14ac:dyDescent="0.25">
      <c r="A4853" s="33">
        <v>4857</v>
      </c>
      <c r="B4853" t="s">
        <v>9719</v>
      </c>
      <c r="C4853" s="1">
        <v>37.4684597786</v>
      </c>
      <c r="D4853" s="1">
        <v>-7.1868260913200004</v>
      </c>
      <c r="E4853" s="3">
        <v>1</v>
      </c>
      <c r="F4853" s="2">
        <v>2</v>
      </c>
      <c r="G4853" s="4"/>
      <c r="H4853" s="13">
        <v>2</v>
      </c>
      <c r="I4853" s="34">
        <v>1</v>
      </c>
      <c r="J4853" s="35">
        <v>1.5</v>
      </c>
      <c r="K4853" s="2" t="s">
        <v>9720</v>
      </c>
      <c r="L4853" s="36" t="str">
        <f t="shared" si="82"/>
        <v>Ver Imagen</v>
      </c>
      <c r="M4853" t="s">
        <v>8005</v>
      </c>
    </row>
    <row r="4854" spans="1:13" x14ac:dyDescent="0.25">
      <c r="A4854" s="33">
        <v>4858</v>
      </c>
      <c r="B4854" t="s">
        <v>9721</v>
      </c>
      <c r="C4854" s="1">
        <v>37.468554729700003</v>
      </c>
      <c r="D4854" s="1">
        <v>-7.1869994025599997</v>
      </c>
      <c r="E4854" s="3">
        <v>1</v>
      </c>
      <c r="F4854" s="2">
        <v>3</v>
      </c>
      <c r="G4854" s="4"/>
      <c r="H4854" s="13">
        <v>1</v>
      </c>
      <c r="I4854" s="34">
        <v>1</v>
      </c>
      <c r="J4854" s="35">
        <v>1</v>
      </c>
      <c r="K4854" s="2" t="s">
        <v>9722</v>
      </c>
      <c r="L4854" s="36" t="str">
        <f t="shared" si="82"/>
        <v>Ver Imagen</v>
      </c>
      <c r="M4854" t="s">
        <v>8005</v>
      </c>
    </row>
    <row r="4855" spans="1:13" x14ac:dyDescent="0.25">
      <c r="A4855" s="33">
        <v>4859</v>
      </c>
      <c r="B4855" t="s">
        <v>9723</v>
      </c>
      <c r="C4855" s="1">
        <v>37.468650296</v>
      </c>
      <c r="D4855" s="1">
        <v>-7.1871739509700001</v>
      </c>
      <c r="E4855" s="3">
        <v>1</v>
      </c>
      <c r="F4855" s="2">
        <v>2</v>
      </c>
      <c r="G4855" s="4"/>
      <c r="H4855" s="13">
        <v>1</v>
      </c>
      <c r="I4855" s="34">
        <v>1</v>
      </c>
      <c r="J4855" s="35">
        <v>1</v>
      </c>
      <c r="K4855" s="2" t="s">
        <v>9724</v>
      </c>
      <c r="L4855" s="36" t="str">
        <f t="shared" si="82"/>
        <v>Ver Imagen</v>
      </c>
      <c r="M4855" t="s">
        <v>8005</v>
      </c>
    </row>
    <row r="4856" spans="1:13" x14ac:dyDescent="0.25">
      <c r="A4856" s="33">
        <v>4860</v>
      </c>
      <c r="B4856" t="s">
        <v>9725</v>
      </c>
      <c r="C4856" s="1">
        <v>37.468739917199997</v>
      </c>
      <c r="D4856" s="1">
        <v>-7.1873380062200001</v>
      </c>
      <c r="E4856" s="3">
        <v>1</v>
      </c>
      <c r="F4856" s="2">
        <v>3</v>
      </c>
      <c r="G4856" s="4"/>
      <c r="H4856" s="13">
        <v>2</v>
      </c>
      <c r="I4856" s="34">
        <v>2</v>
      </c>
      <c r="J4856" s="35">
        <v>2</v>
      </c>
      <c r="K4856" s="2" t="s">
        <v>9726</v>
      </c>
      <c r="L4856" s="36" t="str">
        <f t="shared" si="82"/>
        <v>Ver Imagen</v>
      </c>
      <c r="M4856" t="s">
        <v>8005</v>
      </c>
    </row>
    <row r="4857" spans="1:13" x14ac:dyDescent="0.25">
      <c r="A4857" s="33">
        <v>4861</v>
      </c>
      <c r="B4857" t="s">
        <v>9727</v>
      </c>
      <c r="C4857" s="1">
        <v>37.468854603499999</v>
      </c>
      <c r="D4857" s="1">
        <v>-7.1875483492200001</v>
      </c>
      <c r="E4857" s="3">
        <v>2</v>
      </c>
      <c r="F4857" s="2">
        <v>4</v>
      </c>
      <c r="G4857" s="4"/>
      <c r="H4857" s="13">
        <v>3</v>
      </c>
      <c r="I4857" s="34">
        <v>3</v>
      </c>
      <c r="J4857" s="35">
        <v>3</v>
      </c>
      <c r="K4857" s="2" t="s">
        <v>9728</v>
      </c>
      <c r="L4857" s="36" t="str">
        <f t="shared" si="82"/>
        <v>Ver Imagen</v>
      </c>
      <c r="M4857" t="s">
        <v>8005</v>
      </c>
    </row>
    <row r="4858" spans="1:13" x14ac:dyDescent="0.25">
      <c r="A4858" s="33">
        <v>4862</v>
      </c>
      <c r="B4858" t="s">
        <v>9729</v>
      </c>
      <c r="C4858" s="1">
        <v>37.469005185900002</v>
      </c>
      <c r="D4858" s="1">
        <v>-7.1878256236300002</v>
      </c>
      <c r="E4858" s="3">
        <v>1</v>
      </c>
      <c r="F4858" s="2">
        <v>2</v>
      </c>
      <c r="G4858" s="4"/>
      <c r="H4858" s="13">
        <v>2</v>
      </c>
      <c r="I4858" s="34">
        <v>2</v>
      </c>
      <c r="J4858" s="35">
        <v>2</v>
      </c>
      <c r="K4858" s="2" t="s">
        <v>9730</v>
      </c>
      <c r="L4858" s="36" t="str">
        <f t="shared" ref="L4858:L4889" si="83">HYPERLINK("Solo2\" &amp; K4858, "Ver Imagen")</f>
        <v>Ver Imagen</v>
      </c>
      <c r="M4858" t="s">
        <v>8005</v>
      </c>
    </row>
    <row r="4859" spans="1:13" x14ac:dyDescent="0.25">
      <c r="A4859" s="33">
        <v>4863</v>
      </c>
      <c r="B4859" t="s">
        <v>9731</v>
      </c>
      <c r="C4859" s="1">
        <v>37.469134721400003</v>
      </c>
      <c r="D4859" s="1">
        <v>-7.1880656913800003</v>
      </c>
      <c r="E4859" s="3">
        <v>1</v>
      </c>
      <c r="F4859" s="2">
        <v>2</v>
      </c>
      <c r="G4859" s="4"/>
      <c r="H4859" s="13">
        <v>2</v>
      </c>
      <c r="I4859" s="34">
        <v>1</v>
      </c>
      <c r="J4859" s="35">
        <v>1.5</v>
      </c>
      <c r="K4859" s="2" t="s">
        <v>9732</v>
      </c>
      <c r="L4859" s="36" t="str">
        <f t="shared" si="83"/>
        <v>Ver Imagen</v>
      </c>
      <c r="M4859" t="s">
        <v>8005</v>
      </c>
    </row>
    <row r="4860" spans="1:13" x14ac:dyDescent="0.25">
      <c r="A4860" s="33">
        <v>4864</v>
      </c>
      <c r="B4860" t="s">
        <v>9733</v>
      </c>
      <c r="C4860" s="1">
        <v>37.469214662200002</v>
      </c>
      <c r="D4860" s="1">
        <v>-7.1882140792999998</v>
      </c>
      <c r="E4860" s="3">
        <v>2</v>
      </c>
      <c r="F4860" s="2">
        <v>3</v>
      </c>
      <c r="G4860" s="4"/>
      <c r="H4860" s="13">
        <v>2</v>
      </c>
      <c r="I4860" s="34">
        <v>2</v>
      </c>
      <c r="J4860" s="35">
        <v>2</v>
      </c>
      <c r="K4860" s="2" t="s">
        <v>9734</v>
      </c>
      <c r="L4860" s="36" t="str">
        <f t="shared" si="83"/>
        <v>Ver Imagen</v>
      </c>
      <c r="M4860" t="s">
        <v>8005</v>
      </c>
    </row>
    <row r="4861" spans="1:13" x14ac:dyDescent="0.25">
      <c r="A4861" s="33">
        <v>4865</v>
      </c>
      <c r="B4861" t="s">
        <v>9735</v>
      </c>
      <c r="C4861" s="1">
        <v>37.469316169400003</v>
      </c>
      <c r="D4861" s="1">
        <v>-7.1884021213500002</v>
      </c>
      <c r="E4861" s="3">
        <v>1</v>
      </c>
      <c r="F4861" s="2">
        <v>2</v>
      </c>
      <c r="G4861" s="4"/>
      <c r="H4861" s="13">
        <v>2</v>
      </c>
      <c r="I4861" s="34">
        <v>1</v>
      </c>
      <c r="J4861" s="35">
        <v>1.5</v>
      </c>
      <c r="K4861" s="2" t="s">
        <v>9736</v>
      </c>
      <c r="L4861" s="36" t="str">
        <f t="shared" si="83"/>
        <v>Ver Imagen</v>
      </c>
      <c r="M4861" t="s">
        <v>8005</v>
      </c>
    </row>
    <row r="4862" spans="1:13" x14ac:dyDescent="0.25">
      <c r="A4862" s="33">
        <v>4866</v>
      </c>
      <c r="B4862" t="s">
        <v>9737</v>
      </c>
      <c r="C4862" s="1">
        <v>37.469422046399998</v>
      </c>
      <c r="D4862" s="1">
        <v>-7.1885978396199999</v>
      </c>
      <c r="E4862" s="3">
        <v>1</v>
      </c>
      <c r="F4862" s="2">
        <v>2</v>
      </c>
      <c r="G4862" s="4"/>
      <c r="H4862" s="13">
        <v>1</v>
      </c>
      <c r="I4862" s="34">
        <v>1</v>
      </c>
      <c r="J4862" s="35">
        <v>1</v>
      </c>
      <c r="K4862" s="2" t="s">
        <v>9738</v>
      </c>
      <c r="L4862" s="36" t="str">
        <f t="shared" si="83"/>
        <v>Ver Imagen</v>
      </c>
      <c r="M4862" t="s">
        <v>8005</v>
      </c>
    </row>
    <row r="4863" spans="1:13" x14ac:dyDescent="0.25">
      <c r="A4863" s="33">
        <v>4867</v>
      </c>
      <c r="B4863" t="s">
        <v>9739</v>
      </c>
      <c r="C4863" s="1">
        <v>37.469679519099998</v>
      </c>
      <c r="D4863" s="1">
        <v>-7.18907484006</v>
      </c>
      <c r="E4863" s="3">
        <v>1</v>
      </c>
      <c r="F4863" s="2">
        <v>1</v>
      </c>
      <c r="G4863" s="4"/>
      <c r="H4863" s="13">
        <v>1</v>
      </c>
      <c r="I4863" s="34">
        <v>1</v>
      </c>
      <c r="J4863" s="35">
        <v>1</v>
      </c>
      <c r="K4863" s="2" t="s">
        <v>9740</v>
      </c>
      <c r="L4863" s="36" t="str">
        <f t="shared" si="83"/>
        <v>Ver Imagen</v>
      </c>
      <c r="M4863" t="s">
        <v>8005</v>
      </c>
    </row>
    <row r="4864" spans="1:13" x14ac:dyDescent="0.25">
      <c r="A4864" s="33">
        <v>4868</v>
      </c>
      <c r="B4864" t="s">
        <v>9741</v>
      </c>
      <c r="C4864" s="1">
        <v>37.469804185299999</v>
      </c>
      <c r="D4864" s="1">
        <v>-7.1893053178699997</v>
      </c>
      <c r="E4864" s="3">
        <v>1</v>
      </c>
      <c r="F4864" s="2">
        <v>2</v>
      </c>
      <c r="G4864" s="4"/>
      <c r="H4864" s="13">
        <v>1</v>
      </c>
      <c r="I4864" s="34">
        <v>1</v>
      </c>
      <c r="J4864" s="35">
        <v>1</v>
      </c>
      <c r="K4864" s="2" t="s">
        <v>9742</v>
      </c>
      <c r="L4864" s="36" t="str">
        <f t="shared" si="83"/>
        <v>Ver Imagen</v>
      </c>
      <c r="M4864" t="s">
        <v>8005</v>
      </c>
    </row>
    <row r="4865" spans="1:13" x14ac:dyDescent="0.25">
      <c r="A4865" s="33">
        <v>4869</v>
      </c>
      <c r="B4865" t="s">
        <v>9743</v>
      </c>
      <c r="C4865" s="1">
        <v>37.4699132374</v>
      </c>
      <c r="D4865" s="1">
        <v>-7.18950816055</v>
      </c>
      <c r="E4865" s="3">
        <v>1</v>
      </c>
      <c r="F4865" s="2">
        <v>3</v>
      </c>
      <c r="G4865" s="4"/>
      <c r="H4865" s="13">
        <v>1</v>
      </c>
      <c r="I4865" s="34">
        <v>1</v>
      </c>
      <c r="J4865" s="35">
        <v>1</v>
      </c>
      <c r="K4865" s="2" t="s">
        <v>9744</v>
      </c>
      <c r="L4865" s="36" t="str">
        <f t="shared" si="83"/>
        <v>Ver Imagen</v>
      </c>
      <c r="M4865" t="s">
        <v>8005</v>
      </c>
    </row>
    <row r="4866" spans="1:13" x14ac:dyDescent="0.25">
      <c r="A4866" s="33">
        <v>4870</v>
      </c>
      <c r="B4866" t="s">
        <v>9745</v>
      </c>
      <c r="C4866" s="1">
        <v>37.4700108089</v>
      </c>
      <c r="D4866" s="1">
        <v>-7.1896899668499996</v>
      </c>
      <c r="E4866" s="3">
        <v>1</v>
      </c>
      <c r="F4866" s="2">
        <v>3</v>
      </c>
      <c r="G4866" s="4"/>
      <c r="H4866" s="13">
        <v>3</v>
      </c>
      <c r="I4866" s="34">
        <v>2</v>
      </c>
      <c r="J4866" s="35">
        <v>2.5</v>
      </c>
      <c r="K4866" s="2" t="s">
        <v>9746</v>
      </c>
      <c r="L4866" s="36" t="str">
        <f t="shared" si="83"/>
        <v>Ver Imagen</v>
      </c>
      <c r="M4866" t="s">
        <v>8005</v>
      </c>
    </row>
    <row r="4867" spans="1:13" x14ac:dyDescent="0.25">
      <c r="A4867" s="33">
        <v>4871</v>
      </c>
      <c r="B4867" t="s">
        <v>9747</v>
      </c>
      <c r="C4867" s="1">
        <v>37.470119378600003</v>
      </c>
      <c r="D4867" s="1">
        <v>-7.1898915886500001</v>
      </c>
      <c r="E4867" s="3">
        <v>1</v>
      </c>
      <c r="F4867" s="2">
        <v>2</v>
      </c>
      <c r="G4867" s="4"/>
      <c r="H4867" s="13">
        <v>2</v>
      </c>
      <c r="I4867" s="34">
        <v>1</v>
      </c>
      <c r="J4867" s="35">
        <v>1.5</v>
      </c>
      <c r="K4867" s="2" t="s">
        <v>9748</v>
      </c>
      <c r="L4867" s="36" t="str">
        <f t="shared" si="83"/>
        <v>Ver Imagen</v>
      </c>
      <c r="M4867" t="s">
        <v>8005</v>
      </c>
    </row>
    <row r="4868" spans="1:13" x14ac:dyDescent="0.25">
      <c r="A4868" s="33">
        <v>4872</v>
      </c>
      <c r="B4868" t="s">
        <v>9749</v>
      </c>
      <c r="C4868" s="1">
        <v>37.470210404200003</v>
      </c>
      <c r="D4868" s="1">
        <v>-7.1900608261999999</v>
      </c>
      <c r="E4868" s="3">
        <v>1</v>
      </c>
      <c r="F4868" s="2">
        <v>2</v>
      </c>
      <c r="G4868" s="4"/>
      <c r="H4868" s="13">
        <v>2</v>
      </c>
      <c r="I4868" s="34">
        <v>1</v>
      </c>
      <c r="J4868" s="35">
        <v>1.5</v>
      </c>
      <c r="K4868" s="2" t="s">
        <v>9750</v>
      </c>
      <c r="L4868" s="36" t="str">
        <f t="shared" si="83"/>
        <v>Ver Imagen</v>
      </c>
      <c r="M4868" t="s">
        <v>8005</v>
      </c>
    </row>
    <row r="4869" spans="1:13" x14ac:dyDescent="0.25">
      <c r="A4869" s="33">
        <v>4873</v>
      </c>
      <c r="B4869" t="s">
        <v>9751</v>
      </c>
      <c r="C4869" s="1">
        <v>37.4703605698</v>
      </c>
      <c r="D4869" s="1">
        <v>-7.1903414571899997</v>
      </c>
      <c r="E4869" s="3">
        <v>1</v>
      </c>
      <c r="F4869" s="2">
        <v>2</v>
      </c>
      <c r="G4869" s="4"/>
      <c r="H4869" s="13">
        <v>2</v>
      </c>
      <c r="I4869" s="34">
        <v>1</v>
      </c>
      <c r="J4869" s="35">
        <v>1.5</v>
      </c>
      <c r="K4869" s="2" t="s">
        <v>9752</v>
      </c>
      <c r="L4869" s="36" t="str">
        <f t="shared" si="83"/>
        <v>Ver Imagen</v>
      </c>
      <c r="M4869" t="s">
        <v>8005</v>
      </c>
    </row>
    <row r="4870" spans="1:13" x14ac:dyDescent="0.25">
      <c r="A4870" s="33">
        <v>4874</v>
      </c>
      <c r="B4870" t="s">
        <v>9753</v>
      </c>
      <c r="C4870" s="1">
        <v>37.470463391700001</v>
      </c>
      <c r="D4870" s="1">
        <v>-7.1905333556400004</v>
      </c>
      <c r="E4870" s="3">
        <v>1</v>
      </c>
      <c r="F4870" s="2">
        <v>2</v>
      </c>
      <c r="G4870" s="4"/>
      <c r="H4870" s="13">
        <v>1</v>
      </c>
      <c r="I4870" s="34">
        <v>1</v>
      </c>
      <c r="J4870" s="35">
        <v>1</v>
      </c>
      <c r="K4870" s="2" t="s">
        <v>9754</v>
      </c>
      <c r="L4870" s="36" t="str">
        <f t="shared" si="83"/>
        <v>Ver Imagen</v>
      </c>
      <c r="M4870" t="s">
        <v>8005</v>
      </c>
    </row>
    <row r="4871" spans="1:13" x14ac:dyDescent="0.25">
      <c r="A4871" s="33">
        <v>4875</v>
      </c>
      <c r="B4871" t="s">
        <v>9755</v>
      </c>
      <c r="C4871" s="1">
        <v>37.47058998</v>
      </c>
      <c r="D4871" s="1">
        <v>-7.1907675045400001</v>
      </c>
      <c r="E4871" s="3">
        <v>1</v>
      </c>
      <c r="F4871" s="2">
        <v>3</v>
      </c>
      <c r="G4871" s="4"/>
      <c r="H4871" s="13">
        <v>3</v>
      </c>
      <c r="I4871" s="34">
        <v>2</v>
      </c>
      <c r="J4871" s="35">
        <v>2.5</v>
      </c>
      <c r="K4871" s="2" t="s">
        <v>9756</v>
      </c>
      <c r="L4871" s="36" t="str">
        <f t="shared" si="83"/>
        <v>Ver Imagen</v>
      </c>
      <c r="M4871" t="s">
        <v>8005</v>
      </c>
    </row>
    <row r="4872" spans="1:13" x14ac:dyDescent="0.25">
      <c r="A4872" s="33">
        <v>4876</v>
      </c>
      <c r="B4872" t="s">
        <v>9757</v>
      </c>
      <c r="C4872" s="1">
        <v>37.470700817000001</v>
      </c>
      <c r="D4872" s="1">
        <v>-7.1909699320499998</v>
      </c>
      <c r="E4872" s="3">
        <v>1</v>
      </c>
      <c r="F4872" s="2">
        <v>2</v>
      </c>
      <c r="G4872" s="4"/>
      <c r="H4872" s="13">
        <v>1</v>
      </c>
      <c r="I4872" s="34">
        <v>1</v>
      </c>
      <c r="J4872" s="35">
        <v>1</v>
      </c>
      <c r="K4872" s="2" t="s">
        <v>9758</v>
      </c>
      <c r="L4872" s="36" t="str">
        <f t="shared" si="83"/>
        <v>Ver Imagen</v>
      </c>
      <c r="M4872" t="s">
        <v>8005</v>
      </c>
    </row>
    <row r="4873" spans="1:13" x14ac:dyDescent="0.25">
      <c r="A4873" s="33">
        <v>4877</v>
      </c>
      <c r="B4873" t="s">
        <v>9759</v>
      </c>
      <c r="C4873" s="1">
        <v>37.470826229799997</v>
      </c>
      <c r="D4873" s="1">
        <v>-7.1911954083499996</v>
      </c>
      <c r="E4873" s="3">
        <v>1</v>
      </c>
      <c r="F4873" s="2">
        <v>3</v>
      </c>
      <c r="G4873" s="4"/>
      <c r="H4873" s="13">
        <v>1</v>
      </c>
      <c r="I4873" s="34">
        <v>1</v>
      </c>
      <c r="J4873" s="35">
        <v>1</v>
      </c>
      <c r="K4873" s="2" t="s">
        <v>9760</v>
      </c>
      <c r="L4873" s="36" t="str">
        <f t="shared" si="83"/>
        <v>Ver Imagen</v>
      </c>
      <c r="M4873" t="s">
        <v>8005</v>
      </c>
    </row>
    <row r="4874" spans="1:13" x14ac:dyDescent="0.25">
      <c r="A4874" s="33">
        <v>4878</v>
      </c>
      <c r="B4874" t="s">
        <v>9761</v>
      </c>
      <c r="C4874" s="1">
        <v>37.470913063099999</v>
      </c>
      <c r="D4874" s="1">
        <v>-7.1913491342200002</v>
      </c>
      <c r="E4874" s="3">
        <v>1</v>
      </c>
      <c r="F4874" s="2">
        <v>3</v>
      </c>
      <c r="G4874" s="4"/>
      <c r="H4874" s="13">
        <v>2</v>
      </c>
      <c r="I4874" s="34">
        <v>2</v>
      </c>
      <c r="J4874" s="35">
        <v>2</v>
      </c>
      <c r="K4874" s="2" t="s">
        <v>9762</v>
      </c>
      <c r="L4874" s="36" t="str">
        <f t="shared" si="83"/>
        <v>Ver Imagen</v>
      </c>
      <c r="M4874" t="s">
        <v>8005</v>
      </c>
    </row>
    <row r="4875" spans="1:13" x14ac:dyDescent="0.25">
      <c r="A4875" s="33">
        <v>4879</v>
      </c>
      <c r="B4875" t="s">
        <v>9763</v>
      </c>
      <c r="C4875" s="1">
        <v>37.471033564499997</v>
      </c>
      <c r="D4875" s="1">
        <v>-7.1915595840300002</v>
      </c>
      <c r="E4875" s="3">
        <v>1</v>
      </c>
      <c r="F4875" s="2">
        <v>2</v>
      </c>
      <c r="G4875" s="4"/>
      <c r="H4875" s="13">
        <v>1</v>
      </c>
      <c r="I4875" s="34">
        <v>1</v>
      </c>
      <c r="J4875" s="35">
        <v>1</v>
      </c>
      <c r="K4875" s="2" t="s">
        <v>9764</v>
      </c>
      <c r="L4875" s="36" t="str">
        <f t="shared" si="83"/>
        <v>Ver Imagen</v>
      </c>
      <c r="M4875" t="s">
        <v>8005</v>
      </c>
    </row>
    <row r="4876" spans="1:13" x14ac:dyDescent="0.25">
      <c r="A4876" s="33">
        <v>4880</v>
      </c>
      <c r="B4876" t="s">
        <v>9765</v>
      </c>
      <c r="C4876" s="1">
        <v>37.471143828899997</v>
      </c>
      <c r="D4876" s="1">
        <v>-7.1917481635699998</v>
      </c>
      <c r="E4876" s="3">
        <v>1</v>
      </c>
      <c r="F4876" s="2">
        <v>2</v>
      </c>
      <c r="G4876" s="4"/>
      <c r="H4876" s="13">
        <v>2</v>
      </c>
      <c r="I4876" s="34">
        <v>1</v>
      </c>
      <c r="J4876" s="35">
        <v>1.5</v>
      </c>
      <c r="K4876" s="2" t="s">
        <v>9766</v>
      </c>
      <c r="L4876" s="36" t="str">
        <f t="shared" si="83"/>
        <v>Ver Imagen</v>
      </c>
      <c r="M4876" t="s">
        <v>8005</v>
      </c>
    </row>
    <row r="4877" spans="1:13" x14ac:dyDescent="0.25">
      <c r="A4877" s="33">
        <v>4881</v>
      </c>
      <c r="B4877" t="s">
        <v>9767</v>
      </c>
      <c r="C4877" s="1">
        <v>37.471271097500001</v>
      </c>
      <c r="D4877" s="1">
        <v>-7.1919631692700001</v>
      </c>
      <c r="E4877" s="3">
        <v>1</v>
      </c>
      <c r="F4877" s="2">
        <v>3</v>
      </c>
      <c r="G4877" s="4"/>
      <c r="H4877" s="13">
        <v>3</v>
      </c>
      <c r="I4877" s="34">
        <v>2</v>
      </c>
      <c r="J4877" s="35">
        <v>2.5</v>
      </c>
      <c r="K4877" s="2" t="s">
        <v>9768</v>
      </c>
      <c r="L4877" s="36" t="str">
        <f t="shared" si="83"/>
        <v>Ver Imagen</v>
      </c>
      <c r="M4877" t="s">
        <v>8005</v>
      </c>
    </row>
    <row r="4878" spans="1:13" x14ac:dyDescent="0.25">
      <c r="A4878" s="33">
        <v>4882</v>
      </c>
      <c r="B4878" t="s">
        <v>9769</v>
      </c>
      <c r="C4878" s="1">
        <v>37.471419285899998</v>
      </c>
      <c r="D4878" s="1">
        <v>-7.1922131334100001</v>
      </c>
      <c r="E4878" s="3">
        <v>1</v>
      </c>
      <c r="F4878" s="2">
        <v>3</v>
      </c>
      <c r="G4878" s="4"/>
      <c r="H4878" s="13">
        <v>2</v>
      </c>
      <c r="I4878" s="34">
        <v>2</v>
      </c>
      <c r="J4878" s="35">
        <v>2</v>
      </c>
      <c r="K4878" s="2" t="s">
        <v>9770</v>
      </c>
      <c r="L4878" s="36" t="str">
        <f t="shared" si="83"/>
        <v>Ver Imagen</v>
      </c>
      <c r="M4878" t="s">
        <v>8005</v>
      </c>
    </row>
    <row r="4879" spans="1:13" x14ac:dyDescent="0.25">
      <c r="A4879" s="33">
        <v>4883</v>
      </c>
      <c r="B4879" t="s">
        <v>9771</v>
      </c>
      <c r="C4879" s="1">
        <v>37.471518539900003</v>
      </c>
      <c r="D4879" s="1">
        <v>-7.1923804736100001</v>
      </c>
      <c r="E4879" s="3">
        <v>1</v>
      </c>
      <c r="F4879" s="2">
        <v>3</v>
      </c>
      <c r="G4879" s="4"/>
      <c r="H4879" s="13">
        <v>3</v>
      </c>
      <c r="I4879" s="34">
        <v>2</v>
      </c>
      <c r="J4879" s="35">
        <v>2.5</v>
      </c>
      <c r="K4879" s="2" t="s">
        <v>9772</v>
      </c>
      <c r="L4879" s="36" t="str">
        <f t="shared" si="83"/>
        <v>Ver Imagen</v>
      </c>
      <c r="M4879" t="s">
        <v>8005</v>
      </c>
    </row>
    <row r="4880" spans="1:13" x14ac:dyDescent="0.25">
      <c r="A4880" s="33">
        <v>4884</v>
      </c>
      <c r="B4880" t="s">
        <v>9773</v>
      </c>
      <c r="C4880" s="1">
        <v>37.471679360000003</v>
      </c>
      <c r="D4880" s="1">
        <v>-7.1926515899499996</v>
      </c>
      <c r="E4880" s="3">
        <v>1</v>
      </c>
      <c r="F4880" s="2">
        <v>2</v>
      </c>
      <c r="G4880" s="4"/>
      <c r="H4880" s="13">
        <v>2</v>
      </c>
      <c r="I4880" s="34">
        <v>2</v>
      </c>
      <c r="J4880" s="35">
        <v>2</v>
      </c>
      <c r="K4880" s="2" t="s">
        <v>9774</v>
      </c>
      <c r="L4880" s="36" t="str">
        <f t="shared" si="83"/>
        <v>Ver Imagen</v>
      </c>
      <c r="M4880" t="s">
        <v>8005</v>
      </c>
    </row>
    <row r="4881" spans="1:13" x14ac:dyDescent="0.25">
      <c r="A4881" s="33">
        <v>4885</v>
      </c>
      <c r="B4881" t="s">
        <v>9775</v>
      </c>
      <c r="C4881" s="1">
        <v>37.4717770723</v>
      </c>
      <c r="D4881" s="1">
        <v>-7.1928157125299998</v>
      </c>
      <c r="E4881" s="3">
        <v>1</v>
      </c>
      <c r="F4881" s="2">
        <v>3</v>
      </c>
      <c r="G4881" s="4"/>
      <c r="H4881" s="13">
        <v>2</v>
      </c>
      <c r="I4881" s="34">
        <v>1</v>
      </c>
      <c r="J4881" s="35">
        <v>1.5</v>
      </c>
      <c r="K4881" s="2" t="s">
        <v>9776</v>
      </c>
      <c r="L4881" s="36" t="str">
        <f t="shared" si="83"/>
        <v>Ver Imagen</v>
      </c>
      <c r="M4881" t="s">
        <v>8005</v>
      </c>
    </row>
    <row r="4882" spans="1:13" x14ac:dyDescent="0.25">
      <c r="A4882" s="33">
        <v>4886</v>
      </c>
      <c r="B4882" t="s">
        <v>9777</v>
      </c>
      <c r="C4882" s="1">
        <v>37.472131966799999</v>
      </c>
      <c r="D4882" s="1">
        <v>-7.1934097158199997</v>
      </c>
      <c r="E4882" s="3">
        <v>2</v>
      </c>
      <c r="F4882" s="2">
        <v>4</v>
      </c>
      <c r="G4882" s="4"/>
      <c r="H4882" s="13">
        <v>3</v>
      </c>
      <c r="I4882" s="34">
        <v>2</v>
      </c>
      <c r="J4882" s="35">
        <v>2.5</v>
      </c>
      <c r="K4882" s="2" t="s">
        <v>9778</v>
      </c>
      <c r="L4882" s="36" t="str">
        <f t="shared" si="83"/>
        <v>Ver Imagen</v>
      </c>
      <c r="M4882" t="s">
        <v>8005</v>
      </c>
    </row>
    <row r="4883" spans="1:13" x14ac:dyDescent="0.25">
      <c r="A4883" s="33">
        <v>4887</v>
      </c>
      <c r="B4883" t="s">
        <v>9779</v>
      </c>
      <c r="C4883" s="1">
        <v>37.472281985899997</v>
      </c>
      <c r="D4883" s="1">
        <v>-7.1936600374799999</v>
      </c>
      <c r="E4883" s="3">
        <v>2</v>
      </c>
      <c r="F4883" s="2">
        <v>3</v>
      </c>
      <c r="G4883" s="4"/>
      <c r="H4883" s="13">
        <v>3</v>
      </c>
      <c r="I4883" s="34">
        <v>3</v>
      </c>
      <c r="J4883" s="35">
        <v>3</v>
      </c>
      <c r="K4883" s="2" t="s">
        <v>9780</v>
      </c>
      <c r="L4883" s="36" t="str">
        <f t="shared" si="83"/>
        <v>Ver Imagen</v>
      </c>
      <c r="M4883" t="s">
        <v>8005</v>
      </c>
    </row>
    <row r="4884" spans="1:13" x14ac:dyDescent="0.25">
      <c r="A4884" s="33">
        <v>4888</v>
      </c>
      <c r="B4884" t="s">
        <v>9781</v>
      </c>
      <c r="C4884" s="1">
        <v>37.472401614100001</v>
      </c>
      <c r="D4884" s="1">
        <v>-7.1938594473900004</v>
      </c>
      <c r="E4884" s="3">
        <v>2</v>
      </c>
      <c r="F4884" s="2">
        <v>2</v>
      </c>
      <c r="G4884" s="4"/>
      <c r="H4884" s="13">
        <v>2</v>
      </c>
      <c r="I4884" s="34">
        <v>1</v>
      </c>
      <c r="J4884" s="35">
        <v>2</v>
      </c>
      <c r="K4884" s="2" t="s">
        <v>9782</v>
      </c>
      <c r="L4884" s="36" t="str">
        <f t="shared" si="83"/>
        <v>Ver Imagen</v>
      </c>
      <c r="M4884" t="s">
        <v>8005</v>
      </c>
    </row>
    <row r="4885" spans="1:13" x14ac:dyDescent="0.25">
      <c r="A4885" s="33">
        <v>4889</v>
      </c>
      <c r="B4885" t="s">
        <v>9783</v>
      </c>
      <c r="C4885" s="1">
        <v>37.472470057000002</v>
      </c>
      <c r="D4885" s="1">
        <v>-7.1939736935200003</v>
      </c>
      <c r="E4885" s="3">
        <v>1</v>
      </c>
      <c r="F4885" s="2">
        <v>2</v>
      </c>
      <c r="G4885" s="4"/>
      <c r="H4885" s="13">
        <v>2</v>
      </c>
      <c r="I4885" s="34">
        <v>1</v>
      </c>
      <c r="J4885" s="35">
        <v>1.5</v>
      </c>
      <c r="K4885" s="2" t="s">
        <v>9784</v>
      </c>
      <c r="L4885" s="36" t="str">
        <f t="shared" si="83"/>
        <v>Ver Imagen</v>
      </c>
      <c r="M4885" t="s">
        <v>8005</v>
      </c>
    </row>
    <row r="4886" spans="1:13" x14ac:dyDescent="0.25">
      <c r="A4886" s="33">
        <v>4890</v>
      </c>
      <c r="B4886" t="s">
        <v>9785</v>
      </c>
      <c r="C4886" s="1">
        <v>37.472622378499999</v>
      </c>
      <c r="D4886" s="1">
        <v>-7.1942294370999997</v>
      </c>
      <c r="E4886" s="3">
        <v>1</v>
      </c>
      <c r="F4886" s="2">
        <v>2</v>
      </c>
      <c r="G4886" s="4"/>
      <c r="H4886" s="13">
        <v>3</v>
      </c>
      <c r="I4886" s="34">
        <v>2</v>
      </c>
      <c r="J4886" s="35">
        <v>2</v>
      </c>
      <c r="K4886" s="2" t="s">
        <v>9786</v>
      </c>
      <c r="L4886" s="36" t="str">
        <f t="shared" si="83"/>
        <v>Ver Imagen</v>
      </c>
      <c r="M4886" t="s">
        <v>8005</v>
      </c>
    </row>
    <row r="4887" spans="1:13" x14ac:dyDescent="0.25">
      <c r="A4887" s="33">
        <v>4891</v>
      </c>
      <c r="B4887" t="s">
        <v>9787</v>
      </c>
      <c r="C4887" s="1">
        <v>37.472732498900001</v>
      </c>
      <c r="D4887" s="1">
        <v>-7.1944166550300004</v>
      </c>
      <c r="E4887" s="3">
        <v>2</v>
      </c>
      <c r="F4887" s="2">
        <v>3</v>
      </c>
      <c r="G4887" s="4"/>
      <c r="H4887" s="13">
        <v>2</v>
      </c>
      <c r="I4887" s="34">
        <v>1</v>
      </c>
      <c r="J4887" s="35">
        <v>2</v>
      </c>
      <c r="K4887" s="2" t="s">
        <v>9788</v>
      </c>
      <c r="L4887" s="36" t="str">
        <f t="shared" si="83"/>
        <v>Ver Imagen</v>
      </c>
      <c r="M4887" t="s">
        <v>8005</v>
      </c>
    </row>
    <row r="4888" spans="1:13" x14ac:dyDescent="0.25">
      <c r="A4888" s="33">
        <v>4892</v>
      </c>
      <c r="B4888" t="s">
        <v>9789</v>
      </c>
      <c r="C4888" s="1">
        <v>37.472849890900001</v>
      </c>
      <c r="D4888" s="1">
        <v>-7.1946161343700004</v>
      </c>
      <c r="E4888" s="3">
        <v>2</v>
      </c>
      <c r="F4888" s="2">
        <v>3</v>
      </c>
      <c r="G4888" s="4"/>
      <c r="H4888" s="13">
        <v>3</v>
      </c>
      <c r="I4888" s="34">
        <v>2</v>
      </c>
      <c r="J4888" s="35">
        <v>2.5</v>
      </c>
      <c r="K4888" s="2" t="s">
        <v>9790</v>
      </c>
      <c r="L4888" s="36" t="str">
        <f t="shared" si="83"/>
        <v>Ver Imagen</v>
      </c>
      <c r="M4888" t="s">
        <v>8005</v>
      </c>
    </row>
    <row r="4889" spans="1:13" x14ac:dyDescent="0.25">
      <c r="A4889" s="33">
        <v>4893</v>
      </c>
      <c r="B4889" t="s">
        <v>9791</v>
      </c>
      <c r="C4889" s="1">
        <v>37.472955910000003</v>
      </c>
      <c r="D4889" s="1">
        <v>-7.1947934957499999</v>
      </c>
      <c r="E4889" s="3">
        <v>2</v>
      </c>
      <c r="F4889" s="2">
        <v>4</v>
      </c>
      <c r="G4889" s="4"/>
      <c r="H4889" s="13">
        <v>3</v>
      </c>
      <c r="I4889" s="34">
        <v>3</v>
      </c>
      <c r="J4889" s="35">
        <v>3</v>
      </c>
      <c r="K4889" s="2" t="s">
        <v>9792</v>
      </c>
      <c r="L4889" s="36" t="str">
        <f t="shared" si="83"/>
        <v>Ver Imagen</v>
      </c>
      <c r="M4889" t="s">
        <v>8005</v>
      </c>
    </row>
    <row r="4890" spans="1:13" x14ac:dyDescent="0.25">
      <c r="A4890" s="33">
        <v>4894</v>
      </c>
      <c r="B4890" t="s">
        <v>9793</v>
      </c>
      <c r="C4890" s="1">
        <v>37.473109006100003</v>
      </c>
      <c r="D4890" s="1">
        <v>-7.1950482884999998</v>
      </c>
      <c r="E4890" s="3">
        <v>2</v>
      </c>
      <c r="F4890" s="2">
        <v>4</v>
      </c>
      <c r="G4890" s="4"/>
      <c r="H4890" s="13">
        <v>3</v>
      </c>
      <c r="I4890" s="34">
        <v>3</v>
      </c>
      <c r="J4890" s="35">
        <v>3</v>
      </c>
      <c r="K4890" s="2" t="s">
        <v>9794</v>
      </c>
      <c r="L4890" s="36" t="str">
        <f t="shared" ref="L4890:L4921" si="84">HYPERLINK("Solo2\" &amp; K4890, "Ver Imagen")</f>
        <v>Ver Imagen</v>
      </c>
      <c r="M4890" t="s">
        <v>8005</v>
      </c>
    </row>
    <row r="4891" spans="1:13" x14ac:dyDescent="0.25">
      <c r="A4891" s="33">
        <v>4895</v>
      </c>
      <c r="B4891" t="s">
        <v>9795</v>
      </c>
      <c r="C4891" s="1">
        <v>37.4732272834</v>
      </c>
      <c r="D4891" s="1">
        <v>-7.1952467598799998</v>
      </c>
      <c r="E4891" s="3">
        <v>2</v>
      </c>
      <c r="F4891" s="2">
        <v>3</v>
      </c>
      <c r="G4891" s="4"/>
      <c r="H4891" s="13">
        <v>3</v>
      </c>
      <c r="I4891" s="34">
        <v>3</v>
      </c>
      <c r="J4891" s="35">
        <v>3</v>
      </c>
      <c r="K4891" s="2" t="s">
        <v>9796</v>
      </c>
      <c r="L4891" s="36" t="str">
        <f t="shared" si="84"/>
        <v>Ver Imagen</v>
      </c>
      <c r="M4891" t="s">
        <v>8005</v>
      </c>
    </row>
    <row r="4892" spans="1:13" x14ac:dyDescent="0.25">
      <c r="A4892" s="33">
        <v>4896</v>
      </c>
      <c r="B4892" t="s">
        <v>9797</v>
      </c>
      <c r="C4892" s="1">
        <v>37.473326353499999</v>
      </c>
      <c r="D4892" s="1">
        <v>-7.1954132506499997</v>
      </c>
      <c r="E4892" s="3">
        <v>1</v>
      </c>
      <c r="F4892" s="2">
        <v>2</v>
      </c>
      <c r="G4892" s="4"/>
      <c r="H4892" s="13">
        <v>2</v>
      </c>
      <c r="I4892" s="34">
        <v>2</v>
      </c>
      <c r="J4892" s="35">
        <v>2</v>
      </c>
      <c r="K4892" s="2" t="s">
        <v>9798</v>
      </c>
      <c r="L4892" s="36" t="str">
        <f t="shared" si="84"/>
        <v>Ver Imagen</v>
      </c>
      <c r="M4892" t="s">
        <v>8005</v>
      </c>
    </row>
    <row r="4893" spans="1:13" x14ac:dyDescent="0.25">
      <c r="A4893" s="33">
        <v>4897</v>
      </c>
      <c r="B4893" t="s">
        <v>9799</v>
      </c>
      <c r="C4893" s="1">
        <v>37.473462582700002</v>
      </c>
      <c r="D4893" s="1">
        <v>-7.1956410435900002</v>
      </c>
      <c r="E4893" s="3">
        <v>1</v>
      </c>
      <c r="F4893" s="2">
        <v>3</v>
      </c>
      <c r="G4893" s="4"/>
      <c r="H4893" s="13">
        <v>2</v>
      </c>
      <c r="I4893" s="34">
        <v>2</v>
      </c>
      <c r="J4893" s="35">
        <v>2</v>
      </c>
      <c r="K4893" s="2" t="s">
        <v>9800</v>
      </c>
      <c r="L4893" s="36" t="str">
        <f t="shared" si="84"/>
        <v>Ver Imagen</v>
      </c>
      <c r="M4893" t="s">
        <v>8005</v>
      </c>
    </row>
    <row r="4894" spans="1:13" x14ac:dyDescent="0.25">
      <c r="A4894" s="33">
        <v>4898</v>
      </c>
      <c r="B4894" t="s">
        <v>9801</v>
      </c>
      <c r="C4894" s="1">
        <v>37.473602009799997</v>
      </c>
      <c r="D4894" s="1">
        <v>-7.1958724277200004</v>
      </c>
      <c r="E4894" s="3">
        <v>2</v>
      </c>
      <c r="F4894" s="2">
        <v>2</v>
      </c>
      <c r="G4894" s="4"/>
      <c r="H4894" s="13">
        <v>2</v>
      </c>
      <c r="I4894" s="34">
        <v>1</v>
      </c>
      <c r="J4894" s="35">
        <v>2</v>
      </c>
      <c r="K4894" s="2" t="s">
        <v>9802</v>
      </c>
      <c r="L4894" s="36" t="str">
        <f t="shared" si="84"/>
        <v>Ver Imagen</v>
      </c>
      <c r="M4894" t="s">
        <v>8005</v>
      </c>
    </row>
    <row r="4895" spans="1:13" x14ac:dyDescent="0.25">
      <c r="A4895" s="33">
        <v>4899</v>
      </c>
      <c r="B4895" t="s">
        <v>9803</v>
      </c>
      <c r="C4895" s="1">
        <v>37.473682414199999</v>
      </c>
      <c r="D4895" s="1">
        <v>-7.1960053205700003</v>
      </c>
      <c r="E4895" s="3">
        <v>3</v>
      </c>
      <c r="F4895" s="2">
        <v>4</v>
      </c>
      <c r="G4895" s="4"/>
      <c r="H4895" s="13">
        <v>2</v>
      </c>
      <c r="I4895" s="34">
        <v>2</v>
      </c>
      <c r="J4895" s="35">
        <v>2.5</v>
      </c>
      <c r="K4895" s="2" t="s">
        <v>9804</v>
      </c>
      <c r="L4895" s="36" t="str">
        <f t="shared" si="84"/>
        <v>Ver Imagen</v>
      </c>
      <c r="M4895" t="s">
        <v>8005</v>
      </c>
    </row>
    <row r="4896" spans="1:13" x14ac:dyDescent="0.25">
      <c r="A4896" s="33">
        <v>4900</v>
      </c>
      <c r="B4896" t="s">
        <v>9805</v>
      </c>
      <c r="C4896" s="1">
        <v>37.473815066999997</v>
      </c>
      <c r="D4896" s="1">
        <v>-7.1962243046400003</v>
      </c>
      <c r="E4896" s="3">
        <v>2</v>
      </c>
      <c r="F4896" s="2">
        <v>3</v>
      </c>
      <c r="G4896" s="4"/>
      <c r="H4896" s="13">
        <v>3</v>
      </c>
      <c r="I4896" s="34">
        <v>3</v>
      </c>
      <c r="J4896" s="35">
        <v>3</v>
      </c>
      <c r="K4896" s="2" t="s">
        <v>9806</v>
      </c>
      <c r="L4896" s="36" t="str">
        <f t="shared" si="84"/>
        <v>Ver Imagen</v>
      </c>
      <c r="M4896" t="s">
        <v>8005</v>
      </c>
    </row>
    <row r="4897" spans="1:13" x14ac:dyDescent="0.25">
      <c r="A4897" s="33">
        <v>4901</v>
      </c>
      <c r="B4897" t="s">
        <v>9807</v>
      </c>
      <c r="C4897" s="1">
        <v>37.473936827800003</v>
      </c>
      <c r="D4897" s="1">
        <v>-7.1964270983700001</v>
      </c>
      <c r="E4897" s="3">
        <v>2</v>
      </c>
      <c r="F4897" s="2">
        <v>2</v>
      </c>
      <c r="G4897" s="4"/>
      <c r="H4897" s="13">
        <v>2</v>
      </c>
      <c r="I4897" s="34">
        <v>2</v>
      </c>
      <c r="J4897" s="35">
        <v>2</v>
      </c>
      <c r="K4897" s="2" t="s">
        <v>9808</v>
      </c>
      <c r="L4897" s="36" t="str">
        <f t="shared" si="84"/>
        <v>Ver Imagen</v>
      </c>
      <c r="M4897" t="s">
        <v>8005</v>
      </c>
    </row>
    <row r="4898" spans="1:13" x14ac:dyDescent="0.25">
      <c r="A4898" s="33">
        <v>4902</v>
      </c>
      <c r="B4898" t="s">
        <v>9809</v>
      </c>
      <c r="C4898" s="1">
        <v>37.474059290299998</v>
      </c>
      <c r="D4898" s="1">
        <v>-7.1966391300900003</v>
      </c>
      <c r="E4898" s="3">
        <v>1</v>
      </c>
      <c r="F4898" s="2">
        <v>2</v>
      </c>
      <c r="G4898" s="4"/>
      <c r="H4898" s="13">
        <v>3</v>
      </c>
      <c r="I4898" s="34">
        <v>2</v>
      </c>
      <c r="J4898" s="35">
        <v>2</v>
      </c>
      <c r="K4898" s="2" t="s">
        <v>9810</v>
      </c>
      <c r="L4898" s="36" t="str">
        <f t="shared" si="84"/>
        <v>Ver Imagen</v>
      </c>
      <c r="M4898" t="s">
        <v>8005</v>
      </c>
    </row>
    <row r="4899" spans="1:13" x14ac:dyDescent="0.25">
      <c r="A4899" s="33">
        <v>4903</v>
      </c>
      <c r="B4899" t="s">
        <v>9811</v>
      </c>
      <c r="C4899" s="1">
        <v>37.474186609</v>
      </c>
      <c r="D4899" s="1">
        <v>-7.1968843111699998</v>
      </c>
      <c r="E4899" s="3">
        <v>1</v>
      </c>
      <c r="F4899" s="2">
        <v>2</v>
      </c>
      <c r="G4899" s="4"/>
      <c r="H4899" s="13">
        <v>2</v>
      </c>
      <c r="I4899" s="34">
        <v>2</v>
      </c>
      <c r="J4899" s="35">
        <v>2</v>
      </c>
      <c r="K4899" s="2" t="s">
        <v>9812</v>
      </c>
      <c r="L4899" s="36" t="str">
        <f t="shared" si="84"/>
        <v>Ver Imagen</v>
      </c>
      <c r="M4899" t="s">
        <v>8005</v>
      </c>
    </row>
    <row r="4900" spans="1:13" x14ac:dyDescent="0.25">
      <c r="A4900" s="33">
        <v>4904</v>
      </c>
      <c r="B4900" t="s">
        <v>9813</v>
      </c>
      <c r="C4900" s="1">
        <v>37.4742876635</v>
      </c>
      <c r="D4900" s="1">
        <v>-7.1971033586699997</v>
      </c>
      <c r="E4900" s="3">
        <v>1</v>
      </c>
      <c r="F4900" s="2">
        <v>3</v>
      </c>
      <c r="G4900" s="4"/>
      <c r="H4900" s="13">
        <v>2</v>
      </c>
      <c r="I4900" s="34">
        <v>2</v>
      </c>
      <c r="J4900" s="35">
        <v>2</v>
      </c>
      <c r="K4900" s="2" t="s">
        <v>9814</v>
      </c>
      <c r="L4900" s="36" t="str">
        <f t="shared" si="84"/>
        <v>Ver Imagen</v>
      </c>
      <c r="M4900" t="s">
        <v>8005</v>
      </c>
    </row>
    <row r="4901" spans="1:13" x14ac:dyDescent="0.25">
      <c r="A4901" s="33">
        <v>4905</v>
      </c>
      <c r="B4901" t="s">
        <v>9815</v>
      </c>
      <c r="C4901" s="1">
        <v>37.4743751305</v>
      </c>
      <c r="D4901" s="1">
        <v>-7.1973054913099999</v>
      </c>
      <c r="E4901" s="3">
        <v>1</v>
      </c>
      <c r="F4901" s="2">
        <v>2</v>
      </c>
      <c r="G4901" s="4"/>
      <c r="H4901" s="13">
        <v>2</v>
      </c>
      <c r="I4901" s="34">
        <v>2</v>
      </c>
      <c r="J4901" s="35">
        <v>2</v>
      </c>
      <c r="K4901" s="2" t="s">
        <v>9816</v>
      </c>
      <c r="L4901" s="36" t="str">
        <f t="shared" si="84"/>
        <v>Ver Imagen</v>
      </c>
      <c r="M4901" t="s">
        <v>8005</v>
      </c>
    </row>
    <row r="4902" spans="1:13" x14ac:dyDescent="0.25">
      <c r="A4902" s="33">
        <v>4906</v>
      </c>
      <c r="B4902" t="s">
        <v>9817</v>
      </c>
      <c r="C4902" s="1">
        <v>37.474474553100002</v>
      </c>
      <c r="D4902" s="1">
        <v>-7.1975405825400003</v>
      </c>
      <c r="E4902" s="3">
        <v>1</v>
      </c>
      <c r="F4902" s="2">
        <v>3</v>
      </c>
      <c r="G4902" s="4"/>
      <c r="H4902" s="13">
        <v>2</v>
      </c>
      <c r="I4902" s="34">
        <v>2</v>
      </c>
      <c r="J4902" s="35">
        <v>2</v>
      </c>
      <c r="K4902" s="2" t="s">
        <v>9818</v>
      </c>
      <c r="L4902" s="36" t="str">
        <f t="shared" si="84"/>
        <v>Ver Imagen</v>
      </c>
      <c r="M4902" t="s">
        <v>8005</v>
      </c>
    </row>
    <row r="4903" spans="1:13" x14ac:dyDescent="0.25">
      <c r="A4903" s="33">
        <v>4907</v>
      </c>
      <c r="B4903" t="s">
        <v>9819</v>
      </c>
      <c r="C4903" s="1">
        <v>37.474590622299999</v>
      </c>
      <c r="D4903" s="1">
        <v>-7.1978134657800004</v>
      </c>
      <c r="E4903" s="3">
        <v>1</v>
      </c>
      <c r="F4903" s="2">
        <v>2</v>
      </c>
      <c r="G4903" s="4"/>
      <c r="H4903" s="13">
        <v>2</v>
      </c>
      <c r="I4903" s="34">
        <v>2</v>
      </c>
      <c r="J4903" s="35">
        <v>2</v>
      </c>
      <c r="K4903" s="2" t="s">
        <v>9820</v>
      </c>
      <c r="L4903" s="36" t="str">
        <f t="shared" si="84"/>
        <v>Ver Imagen</v>
      </c>
      <c r="M4903" t="s">
        <v>8005</v>
      </c>
    </row>
    <row r="4904" spans="1:13" x14ac:dyDescent="0.25">
      <c r="A4904" s="33">
        <v>4908</v>
      </c>
      <c r="B4904" t="s">
        <v>9821</v>
      </c>
      <c r="C4904" s="1">
        <v>37.4746813008</v>
      </c>
      <c r="D4904" s="1">
        <v>-7.1980251067000003</v>
      </c>
      <c r="E4904" s="3">
        <v>1</v>
      </c>
      <c r="F4904" s="2">
        <v>2</v>
      </c>
      <c r="G4904" s="4"/>
      <c r="H4904" s="13">
        <v>2</v>
      </c>
      <c r="I4904" s="34">
        <v>2</v>
      </c>
      <c r="J4904" s="35">
        <v>2</v>
      </c>
      <c r="K4904" s="2" t="s">
        <v>9822</v>
      </c>
      <c r="L4904" s="36" t="str">
        <f t="shared" si="84"/>
        <v>Ver Imagen</v>
      </c>
      <c r="M4904" t="s">
        <v>8005</v>
      </c>
    </row>
    <row r="4905" spans="1:13" x14ac:dyDescent="0.25">
      <c r="A4905" s="33">
        <v>4909</v>
      </c>
      <c r="B4905" t="s">
        <v>9823</v>
      </c>
      <c r="C4905" s="1">
        <v>37.474757126100002</v>
      </c>
      <c r="D4905" s="1">
        <v>-7.1982002436799997</v>
      </c>
      <c r="E4905" s="3">
        <v>1</v>
      </c>
      <c r="F4905" s="2">
        <v>3</v>
      </c>
      <c r="G4905" s="4"/>
      <c r="H4905" s="13">
        <v>2</v>
      </c>
      <c r="I4905" s="34">
        <v>2</v>
      </c>
      <c r="J4905" s="35">
        <v>2</v>
      </c>
      <c r="K4905" s="2" t="s">
        <v>9824</v>
      </c>
      <c r="L4905" s="36" t="str">
        <f t="shared" si="84"/>
        <v>Ver Imagen</v>
      </c>
      <c r="M4905" t="s">
        <v>8005</v>
      </c>
    </row>
    <row r="4906" spans="1:13" x14ac:dyDescent="0.25">
      <c r="A4906" s="33">
        <v>4910</v>
      </c>
      <c r="B4906" t="s">
        <v>9825</v>
      </c>
      <c r="C4906" s="1">
        <v>37.4748492513</v>
      </c>
      <c r="D4906" s="1">
        <v>-7.1984092537800004</v>
      </c>
      <c r="E4906" s="3">
        <v>1</v>
      </c>
      <c r="F4906" s="2">
        <v>3</v>
      </c>
      <c r="G4906" s="4"/>
      <c r="H4906" s="13">
        <v>2</v>
      </c>
      <c r="I4906" s="34">
        <v>3</v>
      </c>
      <c r="J4906" s="35">
        <v>2.5</v>
      </c>
      <c r="K4906" s="2" t="s">
        <v>9826</v>
      </c>
      <c r="L4906" s="36" t="str">
        <f t="shared" si="84"/>
        <v>Ver Imagen</v>
      </c>
      <c r="M4906" t="s">
        <v>8005</v>
      </c>
    </row>
    <row r="4907" spans="1:13" x14ac:dyDescent="0.25">
      <c r="A4907" s="33">
        <v>4911</v>
      </c>
      <c r="B4907" t="s">
        <v>9827</v>
      </c>
      <c r="C4907" s="1">
        <v>37.474963897199999</v>
      </c>
      <c r="D4907" s="1">
        <v>-7.1986678899500003</v>
      </c>
      <c r="E4907" s="3">
        <v>1</v>
      </c>
      <c r="F4907" s="2">
        <v>2</v>
      </c>
      <c r="G4907" s="4"/>
      <c r="H4907" s="13">
        <v>2</v>
      </c>
      <c r="I4907" s="34">
        <v>2</v>
      </c>
      <c r="J4907" s="35">
        <v>2</v>
      </c>
      <c r="K4907" s="2" t="s">
        <v>9828</v>
      </c>
      <c r="L4907" s="36" t="str">
        <f t="shared" si="84"/>
        <v>Ver Imagen</v>
      </c>
      <c r="M4907" t="s">
        <v>8005</v>
      </c>
    </row>
    <row r="4908" spans="1:13" x14ac:dyDescent="0.25">
      <c r="A4908" s="33">
        <v>4912</v>
      </c>
      <c r="B4908" t="s">
        <v>9829</v>
      </c>
      <c r="C4908" s="1">
        <v>37.475067543500003</v>
      </c>
      <c r="D4908" s="1">
        <v>-7.1989047694300003</v>
      </c>
      <c r="E4908" s="3">
        <v>1</v>
      </c>
      <c r="F4908" s="2">
        <v>2</v>
      </c>
      <c r="G4908" s="4"/>
      <c r="H4908" s="13">
        <v>2</v>
      </c>
      <c r="I4908" s="34">
        <v>2</v>
      </c>
      <c r="J4908" s="35">
        <v>2</v>
      </c>
      <c r="K4908" s="2" t="s">
        <v>9830</v>
      </c>
      <c r="L4908" s="36" t="str">
        <f t="shared" si="84"/>
        <v>Ver Imagen</v>
      </c>
      <c r="M4908" t="s">
        <v>8005</v>
      </c>
    </row>
    <row r="4909" spans="1:13" x14ac:dyDescent="0.25">
      <c r="A4909" s="33">
        <v>4913</v>
      </c>
      <c r="B4909" t="s">
        <v>9831</v>
      </c>
      <c r="C4909" s="1">
        <v>37.4751279424</v>
      </c>
      <c r="D4909" s="1">
        <v>-7.19904321954</v>
      </c>
      <c r="E4909" s="3">
        <v>2</v>
      </c>
      <c r="F4909" s="2">
        <v>3</v>
      </c>
      <c r="G4909" s="4"/>
      <c r="H4909" s="13">
        <v>3</v>
      </c>
      <c r="I4909" s="34">
        <v>3</v>
      </c>
      <c r="J4909" s="35">
        <v>3</v>
      </c>
      <c r="K4909" s="2" t="s">
        <v>9832</v>
      </c>
      <c r="L4909" s="36" t="str">
        <f t="shared" si="84"/>
        <v>Ver Imagen</v>
      </c>
      <c r="M4909" t="s">
        <v>8005</v>
      </c>
    </row>
    <row r="4910" spans="1:13" x14ac:dyDescent="0.25">
      <c r="A4910" s="33">
        <v>4914</v>
      </c>
      <c r="B4910" t="s">
        <v>9833</v>
      </c>
      <c r="C4910" s="1">
        <v>37.475245038300002</v>
      </c>
      <c r="D4910" s="1">
        <v>-7.1993097345899999</v>
      </c>
      <c r="E4910" s="3">
        <v>2</v>
      </c>
      <c r="F4910" s="2">
        <v>3</v>
      </c>
      <c r="G4910" s="4"/>
      <c r="H4910" s="13">
        <v>2</v>
      </c>
      <c r="I4910" s="34">
        <v>2</v>
      </c>
      <c r="J4910" s="35">
        <v>2</v>
      </c>
      <c r="K4910" s="2" t="s">
        <v>9834</v>
      </c>
      <c r="L4910" s="36" t="str">
        <f t="shared" si="84"/>
        <v>Ver Imagen</v>
      </c>
      <c r="M4910" t="s">
        <v>8005</v>
      </c>
    </row>
    <row r="4911" spans="1:13" x14ac:dyDescent="0.25">
      <c r="A4911" s="33">
        <v>4915</v>
      </c>
      <c r="B4911" t="s">
        <v>9835</v>
      </c>
      <c r="C4911" s="1">
        <v>37.475341051400001</v>
      </c>
      <c r="D4911" s="1">
        <v>-7.1995273724700004</v>
      </c>
      <c r="E4911" s="3">
        <v>1</v>
      </c>
      <c r="F4911" s="2">
        <v>1</v>
      </c>
      <c r="G4911" s="4"/>
      <c r="H4911" s="13">
        <v>2</v>
      </c>
      <c r="I4911" s="34">
        <v>2</v>
      </c>
      <c r="J4911" s="35">
        <v>1.5</v>
      </c>
      <c r="K4911" s="2" t="s">
        <v>9836</v>
      </c>
      <c r="L4911" s="36" t="str">
        <f t="shared" si="84"/>
        <v>Ver Imagen</v>
      </c>
      <c r="M4911" t="s">
        <v>8005</v>
      </c>
    </row>
    <row r="4912" spans="1:13" x14ac:dyDescent="0.25">
      <c r="A4912" s="33">
        <v>4916</v>
      </c>
      <c r="B4912" t="s">
        <v>9837</v>
      </c>
      <c r="C4912" s="1">
        <v>37.475465798999998</v>
      </c>
      <c r="D4912" s="1">
        <v>-7.1998132020699996</v>
      </c>
      <c r="E4912" s="3">
        <v>1</v>
      </c>
      <c r="F4912" s="2">
        <v>4</v>
      </c>
      <c r="G4912" s="4"/>
      <c r="H4912" s="13">
        <v>3</v>
      </c>
      <c r="I4912" s="34">
        <v>2</v>
      </c>
      <c r="J4912" s="35">
        <v>2.5</v>
      </c>
      <c r="K4912" s="2" t="s">
        <v>9838</v>
      </c>
      <c r="L4912" s="36" t="str">
        <f t="shared" si="84"/>
        <v>Ver Imagen</v>
      </c>
      <c r="M4912" t="s">
        <v>8005</v>
      </c>
    </row>
    <row r="4913" spans="1:13" x14ac:dyDescent="0.25">
      <c r="A4913" s="33">
        <v>4917</v>
      </c>
      <c r="B4913" t="s">
        <v>9839</v>
      </c>
      <c r="C4913" s="1">
        <v>37.475633336500003</v>
      </c>
      <c r="D4913" s="1">
        <v>-7.2002062167099998</v>
      </c>
      <c r="E4913" s="3">
        <v>2</v>
      </c>
      <c r="F4913" s="2">
        <v>4</v>
      </c>
      <c r="G4913" s="4"/>
      <c r="H4913" s="13">
        <v>3</v>
      </c>
      <c r="I4913" s="34">
        <v>3</v>
      </c>
      <c r="J4913" s="35">
        <v>3</v>
      </c>
      <c r="K4913" s="2" t="s">
        <v>9840</v>
      </c>
      <c r="L4913" s="36" t="str">
        <f t="shared" si="84"/>
        <v>Ver Imagen</v>
      </c>
      <c r="M4913" t="s">
        <v>8005</v>
      </c>
    </row>
    <row r="4914" spans="1:13" x14ac:dyDescent="0.25">
      <c r="A4914" s="33">
        <v>4918</v>
      </c>
      <c r="B4914" t="s">
        <v>9841</v>
      </c>
      <c r="C4914" s="1">
        <v>37.475731765799999</v>
      </c>
      <c r="D4914" s="1">
        <v>-7.2004369858499997</v>
      </c>
      <c r="E4914" s="3">
        <v>2</v>
      </c>
      <c r="F4914" s="2">
        <v>3</v>
      </c>
      <c r="G4914" s="4"/>
      <c r="H4914" s="13">
        <v>3</v>
      </c>
      <c r="I4914" s="34">
        <v>3</v>
      </c>
      <c r="J4914" s="35">
        <v>3</v>
      </c>
      <c r="K4914" s="2" t="s">
        <v>9842</v>
      </c>
      <c r="L4914" s="36" t="str">
        <f t="shared" si="84"/>
        <v>Ver Imagen</v>
      </c>
      <c r="M4914" t="s">
        <v>8005</v>
      </c>
    </row>
    <row r="4915" spans="1:13" x14ac:dyDescent="0.25">
      <c r="A4915" s="33">
        <v>4919</v>
      </c>
      <c r="B4915" t="s">
        <v>9843</v>
      </c>
      <c r="C4915" s="1">
        <v>37.475831348600003</v>
      </c>
      <c r="D4915" s="1">
        <v>-7.2006695098</v>
      </c>
      <c r="E4915" s="3">
        <v>1</v>
      </c>
      <c r="F4915" s="2">
        <v>2</v>
      </c>
      <c r="G4915" s="4"/>
      <c r="H4915" s="13">
        <v>2</v>
      </c>
      <c r="I4915" s="34">
        <v>1</v>
      </c>
      <c r="J4915" s="35">
        <v>1.5</v>
      </c>
      <c r="K4915" s="2" t="s">
        <v>9844</v>
      </c>
      <c r="L4915" s="36" t="str">
        <f t="shared" si="84"/>
        <v>Ver Imagen</v>
      </c>
      <c r="M4915" t="s">
        <v>8005</v>
      </c>
    </row>
    <row r="4916" spans="1:13" x14ac:dyDescent="0.25">
      <c r="A4916" s="33">
        <v>4920</v>
      </c>
      <c r="B4916" t="s">
        <v>9845</v>
      </c>
      <c r="C4916" s="1">
        <v>37.475920133999999</v>
      </c>
      <c r="D4916" s="1">
        <v>-7.2008764871600004</v>
      </c>
      <c r="E4916" s="3">
        <v>1</v>
      </c>
      <c r="F4916" s="2">
        <v>2</v>
      </c>
      <c r="G4916" s="4"/>
      <c r="H4916" s="13">
        <v>2</v>
      </c>
      <c r="I4916" s="34">
        <v>1</v>
      </c>
      <c r="J4916" s="35">
        <v>1.5</v>
      </c>
      <c r="K4916" s="2" t="s">
        <v>9846</v>
      </c>
      <c r="L4916" s="36" t="str">
        <f t="shared" si="84"/>
        <v>Ver Imagen</v>
      </c>
      <c r="M4916" t="s">
        <v>8005</v>
      </c>
    </row>
    <row r="4917" spans="1:13" x14ac:dyDescent="0.25">
      <c r="A4917" s="33">
        <v>4921</v>
      </c>
      <c r="B4917" t="s">
        <v>9847</v>
      </c>
      <c r="C4917" s="1">
        <v>37.476024483800003</v>
      </c>
      <c r="D4917" s="1">
        <v>-7.2011193850000002</v>
      </c>
      <c r="E4917" s="3">
        <v>2</v>
      </c>
      <c r="F4917" s="2">
        <v>3</v>
      </c>
      <c r="G4917" s="4"/>
      <c r="H4917" s="13">
        <v>3</v>
      </c>
      <c r="I4917" s="34">
        <v>3</v>
      </c>
      <c r="J4917" s="35">
        <v>3</v>
      </c>
      <c r="K4917" s="2" t="s">
        <v>9848</v>
      </c>
      <c r="L4917" s="36" t="str">
        <f t="shared" si="84"/>
        <v>Ver Imagen</v>
      </c>
      <c r="M4917" t="s">
        <v>8005</v>
      </c>
    </row>
    <row r="4918" spans="1:13" x14ac:dyDescent="0.25">
      <c r="A4918" s="33">
        <v>4922</v>
      </c>
      <c r="B4918" t="s">
        <v>9849</v>
      </c>
      <c r="C4918" s="1">
        <v>37.476135102900002</v>
      </c>
      <c r="D4918" s="1">
        <v>-7.2013765617000001</v>
      </c>
      <c r="E4918" s="3">
        <v>1</v>
      </c>
      <c r="F4918" s="2">
        <v>3</v>
      </c>
      <c r="G4918" s="4"/>
      <c r="H4918" s="13">
        <v>2</v>
      </c>
      <c r="I4918" s="34">
        <v>2</v>
      </c>
      <c r="J4918" s="35">
        <v>2</v>
      </c>
      <c r="K4918" s="2" t="s">
        <v>9850</v>
      </c>
      <c r="L4918" s="36" t="str">
        <f t="shared" si="84"/>
        <v>Ver Imagen</v>
      </c>
      <c r="M4918" t="s">
        <v>8005</v>
      </c>
    </row>
    <row r="4919" spans="1:13" x14ac:dyDescent="0.25">
      <c r="A4919" s="33">
        <v>4923</v>
      </c>
      <c r="B4919" t="s">
        <v>9851</v>
      </c>
      <c r="C4919" s="1">
        <v>37.476226089999997</v>
      </c>
      <c r="D4919" s="1">
        <v>-7.2015869737699996</v>
      </c>
      <c r="E4919" s="3">
        <v>1</v>
      </c>
      <c r="F4919" s="2">
        <v>2</v>
      </c>
      <c r="G4919" s="4"/>
      <c r="H4919" s="13">
        <v>1</v>
      </c>
      <c r="I4919" s="34">
        <v>1</v>
      </c>
      <c r="J4919" s="35">
        <v>1</v>
      </c>
      <c r="K4919" s="2" t="s">
        <v>9852</v>
      </c>
      <c r="L4919" s="36" t="str">
        <f t="shared" si="84"/>
        <v>Ver Imagen</v>
      </c>
      <c r="M4919" t="s">
        <v>8005</v>
      </c>
    </row>
    <row r="4920" spans="1:13" x14ac:dyDescent="0.25">
      <c r="A4920" s="33">
        <v>4924</v>
      </c>
      <c r="B4920" t="s">
        <v>9853</v>
      </c>
      <c r="C4920" s="1">
        <v>37.476315762799999</v>
      </c>
      <c r="D4920" s="1">
        <v>-7.2017945205</v>
      </c>
      <c r="E4920" s="3">
        <v>1</v>
      </c>
      <c r="F4920" s="2">
        <v>2</v>
      </c>
      <c r="G4920" s="4"/>
      <c r="H4920" s="13">
        <v>2</v>
      </c>
      <c r="I4920" s="34">
        <v>2</v>
      </c>
      <c r="J4920" s="35">
        <v>2</v>
      </c>
      <c r="K4920" s="2" t="s">
        <v>9854</v>
      </c>
      <c r="L4920" s="36" t="str">
        <f t="shared" si="84"/>
        <v>Ver Imagen</v>
      </c>
      <c r="M4920" t="s">
        <v>8005</v>
      </c>
    </row>
    <row r="4921" spans="1:13" x14ac:dyDescent="0.25">
      <c r="A4921" s="33">
        <v>4925</v>
      </c>
      <c r="B4921" t="s">
        <v>9855</v>
      </c>
      <c r="C4921" s="1">
        <v>37.476385745599998</v>
      </c>
      <c r="D4921" s="1">
        <v>-7.2019575572100001</v>
      </c>
      <c r="E4921" s="3">
        <v>1</v>
      </c>
      <c r="F4921" s="2">
        <v>2</v>
      </c>
      <c r="G4921" s="4"/>
      <c r="H4921" s="13">
        <v>2</v>
      </c>
      <c r="I4921" s="34">
        <v>1</v>
      </c>
      <c r="J4921" s="35">
        <v>1.5</v>
      </c>
      <c r="K4921" s="2" t="s">
        <v>9856</v>
      </c>
      <c r="L4921" s="36" t="str">
        <f t="shared" si="84"/>
        <v>Ver Imagen</v>
      </c>
      <c r="M4921" t="s">
        <v>8005</v>
      </c>
    </row>
    <row r="4922" spans="1:13" x14ac:dyDescent="0.25">
      <c r="A4922" s="33">
        <v>4926</v>
      </c>
      <c r="B4922" t="s">
        <v>9857</v>
      </c>
      <c r="C4922" s="1">
        <v>37.476690641899999</v>
      </c>
      <c r="D4922" s="1">
        <v>-7.2026721260000004</v>
      </c>
      <c r="E4922" s="3">
        <v>1</v>
      </c>
      <c r="F4922" s="2">
        <v>2</v>
      </c>
      <c r="G4922" s="4"/>
      <c r="H4922" s="13">
        <v>2</v>
      </c>
      <c r="I4922" s="34">
        <v>1</v>
      </c>
      <c r="J4922" s="35">
        <v>1.5</v>
      </c>
      <c r="K4922" s="2" t="s">
        <v>9858</v>
      </c>
      <c r="L4922" s="36" t="str">
        <f t="shared" ref="L4922:L4953" si="85">HYPERLINK("Solo2\" &amp; K4922, "Ver Imagen")</f>
        <v>Ver Imagen</v>
      </c>
      <c r="M4922" t="s">
        <v>8005</v>
      </c>
    </row>
    <row r="4923" spans="1:13" x14ac:dyDescent="0.25">
      <c r="A4923" s="33">
        <v>4927</v>
      </c>
      <c r="B4923" t="s">
        <v>9859</v>
      </c>
      <c r="C4923" s="1">
        <v>37.479970878000003</v>
      </c>
      <c r="D4923" s="1">
        <v>-7.2102886165599998</v>
      </c>
      <c r="E4923" s="3"/>
      <c r="F4923" s="2">
        <v>3</v>
      </c>
      <c r="G4923" s="4">
        <v>2</v>
      </c>
      <c r="H4923" s="13">
        <v>2</v>
      </c>
      <c r="I4923" s="34">
        <v>2</v>
      </c>
      <c r="J4923" s="35">
        <v>2</v>
      </c>
      <c r="K4923" s="2" t="s">
        <v>9860</v>
      </c>
      <c r="L4923" s="36" t="str">
        <f t="shared" si="85"/>
        <v>Ver Imagen</v>
      </c>
      <c r="M4923" t="s">
        <v>8005</v>
      </c>
    </row>
    <row r="4924" spans="1:13" x14ac:dyDescent="0.25">
      <c r="A4924" s="33">
        <v>4928</v>
      </c>
      <c r="B4924" t="s">
        <v>9861</v>
      </c>
      <c r="C4924" s="1">
        <v>37.480540338700003</v>
      </c>
      <c r="D4924" s="1">
        <v>-7.2116221556899998</v>
      </c>
      <c r="E4924" s="3">
        <v>2</v>
      </c>
      <c r="F4924" s="2">
        <v>3</v>
      </c>
      <c r="G4924" s="4"/>
      <c r="H4924" s="13">
        <v>2</v>
      </c>
      <c r="I4924" s="34">
        <v>2</v>
      </c>
      <c r="J4924" s="35">
        <v>2</v>
      </c>
      <c r="K4924" s="2" t="s">
        <v>9862</v>
      </c>
      <c r="L4924" s="36" t="str">
        <f t="shared" si="85"/>
        <v>Ver Imagen</v>
      </c>
      <c r="M4924" t="s">
        <v>8005</v>
      </c>
    </row>
    <row r="4925" spans="1:13" x14ac:dyDescent="0.25">
      <c r="A4925" s="33">
        <v>4929</v>
      </c>
      <c r="B4925" t="s">
        <v>9863</v>
      </c>
      <c r="C4925" s="1">
        <v>37.490639997700001</v>
      </c>
      <c r="D4925" s="1">
        <v>-7.2529858546100003</v>
      </c>
      <c r="E4925" s="3">
        <v>1</v>
      </c>
      <c r="F4925" s="2">
        <v>3</v>
      </c>
      <c r="G4925" s="4"/>
      <c r="H4925" s="13">
        <v>1</v>
      </c>
      <c r="I4925" s="34">
        <v>1</v>
      </c>
      <c r="J4925" s="35">
        <v>1</v>
      </c>
      <c r="K4925" s="2" t="s">
        <v>9864</v>
      </c>
      <c r="L4925" s="36" t="str">
        <f t="shared" si="85"/>
        <v>Ver Imagen</v>
      </c>
      <c r="M4925" t="s">
        <v>8005</v>
      </c>
    </row>
    <row r="4926" spans="1:13" x14ac:dyDescent="0.25">
      <c r="A4926" s="33">
        <v>4930</v>
      </c>
      <c r="B4926" t="s">
        <v>9865</v>
      </c>
      <c r="C4926" s="1">
        <v>37.493399692300002</v>
      </c>
      <c r="D4926" s="1">
        <v>-7.26416615699</v>
      </c>
      <c r="E4926" s="3"/>
      <c r="F4926" s="2">
        <v>2</v>
      </c>
      <c r="G4926" s="4">
        <v>3</v>
      </c>
      <c r="H4926" s="13">
        <v>1</v>
      </c>
      <c r="I4926" s="34">
        <v>1</v>
      </c>
      <c r="J4926" s="35">
        <v>1.5</v>
      </c>
      <c r="K4926" s="2" t="s">
        <v>9866</v>
      </c>
      <c r="L4926" s="36" t="str">
        <f t="shared" si="85"/>
        <v>Ver Imagen</v>
      </c>
      <c r="M4926" t="s">
        <v>8005</v>
      </c>
    </row>
    <row r="4927" spans="1:13" x14ac:dyDescent="0.25">
      <c r="A4927" s="33">
        <v>4931</v>
      </c>
      <c r="B4927" t="s">
        <v>9867</v>
      </c>
      <c r="C4927" s="1">
        <v>37.2722776966</v>
      </c>
      <c r="D4927" s="1">
        <v>-6.9908782624399999</v>
      </c>
      <c r="E4927" s="3"/>
      <c r="F4927" s="2">
        <v>4</v>
      </c>
      <c r="G4927" s="4">
        <v>5</v>
      </c>
      <c r="H4927" s="13">
        <v>4</v>
      </c>
      <c r="I4927" s="34">
        <v>5</v>
      </c>
      <c r="J4927" s="35">
        <v>4.5</v>
      </c>
      <c r="K4927" s="2" t="s">
        <v>9868</v>
      </c>
      <c r="L4927" s="36" t="str">
        <f t="shared" si="85"/>
        <v>Ver Imagen</v>
      </c>
      <c r="M4927" t="s">
        <v>8005</v>
      </c>
    </row>
    <row r="4928" spans="1:13" x14ac:dyDescent="0.25">
      <c r="A4928" s="33">
        <v>4932</v>
      </c>
      <c r="B4928" t="s">
        <v>9869</v>
      </c>
      <c r="C4928" s="1">
        <v>37.277067693799999</v>
      </c>
      <c r="D4928" s="1">
        <v>-6.9918169920100004</v>
      </c>
      <c r="E4928" s="3"/>
      <c r="F4928" s="2">
        <v>4</v>
      </c>
      <c r="G4928" s="4">
        <v>4</v>
      </c>
      <c r="H4928" s="13">
        <v>3</v>
      </c>
      <c r="I4928" s="34">
        <v>4</v>
      </c>
      <c r="J4928" s="35">
        <v>4</v>
      </c>
      <c r="K4928" s="2" t="s">
        <v>9870</v>
      </c>
      <c r="L4928" s="36" t="str">
        <f t="shared" si="85"/>
        <v>Ver Imagen</v>
      </c>
      <c r="M4928" t="s">
        <v>8005</v>
      </c>
    </row>
    <row r="4929" spans="1:13" x14ac:dyDescent="0.25">
      <c r="A4929" s="33">
        <v>4933</v>
      </c>
      <c r="B4929" t="s">
        <v>9871</v>
      </c>
      <c r="C4929" s="1">
        <v>37.279050150300002</v>
      </c>
      <c r="D4929" s="1">
        <v>-6.9946460693899999</v>
      </c>
      <c r="E4929" s="3">
        <v>2</v>
      </c>
      <c r="F4929" s="2"/>
      <c r="G4929" s="4"/>
      <c r="H4929" s="13">
        <v>3</v>
      </c>
      <c r="I4929" s="34">
        <v>3</v>
      </c>
      <c r="J4929" s="35">
        <v>3</v>
      </c>
      <c r="K4929" s="2" t="s">
        <v>9872</v>
      </c>
      <c r="L4929" s="36" t="str">
        <f t="shared" si="85"/>
        <v>Ver Imagen</v>
      </c>
      <c r="M4929" t="s">
        <v>8005</v>
      </c>
    </row>
    <row r="4930" spans="1:13" x14ac:dyDescent="0.25">
      <c r="A4930" s="33">
        <v>4934</v>
      </c>
      <c r="B4930" t="s">
        <v>9873</v>
      </c>
      <c r="C4930" s="1">
        <v>37.279852294999998</v>
      </c>
      <c r="D4930" s="1">
        <v>-6.9982803019000004</v>
      </c>
      <c r="E4930" s="3">
        <v>3</v>
      </c>
      <c r="F4930" s="2">
        <v>4</v>
      </c>
      <c r="G4930" s="4"/>
      <c r="H4930" s="13">
        <v>4</v>
      </c>
      <c r="I4930" s="34">
        <v>5</v>
      </c>
      <c r="J4930" s="35">
        <v>4</v>
      </c>
      <c r="K4930" s="2" t="s">
        <v>9874</v>
      </c>
      <c r="L4930" s="36" t="str">
        <f t="shared" si="85"/>
        <v>Ver Imagen</v>
      </c>
      <c r="M4930" t="s">
        <v>8005</v>
      </c>
    </row>
    <row r="4931" spans="1:13" x14ac:dyDescent="0.25">
      <c r="A4931" s="33">
        <v>4935</v>
      </c>
      <c r="B4931" t="s">
        <v>9875</v>
      </c>
      <c r="C4931" s="1">
        <v>37.2804967529</v>
      </c>
      <c r="D4931" s="1">
        <v>-7.0010482022999998</v>
      </c>
      <c r="E4931" s="3">
        <v>3</v>
      </c>
      <c r="F4931" s="2">
        <v>3</v>
      </c>
      <c r="G4931" s="4"/>
      <c r="H4931" s="13">
        <v>3</v>
      </c>
      <c r="I4931" s="34">
        <v>3</v>
      </c>
      <c r="J4931" s="35">
        <v>3</v>
      </c>
      <c r="K4931" s="2" t="s">
        <v>9876</v>
      </c>
      <c r="L4931" s="36" t="str">
        <f t="shared" si="85"/>
        <v>Ver Imagen</v>
      </c>
      <c r="M4931" t="s">
        <v>8005</v>
      </c>
    </row>
    <row r="4932" spans="1:13" x14ac:dyDescent="0.25">
      <c r="A4932" s="33">
        <v>4936</v>
      </c>
      <c r="B4932" t="s">
        <v>9877</v>
      </c>
      <c r="C4932" s="1">
        <v>37.2755487871</v>
      </c>
      <c r="D4932" s="1">
        <v>-7.0182715851399999</v>
      </c>
      <c r="E4932" s="3">
        <v>1</v>
      </c>
      <c r="F4932" s="2">
        <v>2</v>
      </c>
      <c r="G4932" s="4"/>
      <c r="H4932" s="13">
        <v>3</v>
      </c>
      <c r="I4932" s="34">
        <v>3</v>
      </c>
      <c r="J4932" s="35">
        <v>2.5</v>
      </c>
      <c r="K4932" s="2" t="s">
        <v>9878</v>
      </c>
      <c r="L4932" s="36" t="str">
        <f t="shared" si="85"/>
        <v>Ver Imagen</v>
      </c>
      <c r="M4932" t="s">
        <v>8005</v>
      </c>
    </row>
    <row r="4933" spans="1:13" x14ac:dyDescent="0.25">
      <c r="A4933" s="33">
        <v>4937</v>
      </c>
      <c r="B4933" t="s">
        <v>9879</v>
      </c>
      <c r="C4933" s="1">
        <v>37.279341158000001</v>
      </c>
      <c r="D4933" s="1">
        <v>-7.0307469708500001</v>
      </c>
      <c r="E4933" s="3"/>
      <c r="F4933" s="2">
        <v>3</v>
      </c>
      <c r="G4933" s="4">
        <v>3</v>
      </c>
      <c r="H4933" s="13">
        <v>2</v>
      </c>
      <c r="I4933" s="34">
        <v>1</v>
      </c>
      <c r="J4933" s="37">
        <v>2</v>
      </c>
      <c r="K4933" s="2" t="s">
        <v>9880</v>
      </c>
      <c r="L4933" s="36" t="str">
        <f t="shared" si="85"/>
        <v>Ver Imagen</v>
      </c>
      <c r="M4933" s="37" t="s">
        <v>8052</v>
      </c>
    </row>
    <row r="4934" spans="1:13" x14ac:dyDescent="0.25">
      <c r="A4934" s="33">
        <v>4938</v>
      </c>
      <c r="B4934" t="s">
        <v>9881</v>
      </c>
      <c r="C4934" s="1">
        <v>37.284468761900001</v>
      </c>
      <c r="D4934" s="1">
        <v>-7.0385823216899999</v>
      </c>
      <c r="E4934" s="3">
        <v>1</v>
      </c>
      <c r="F4934" s="2">
        <v>1</v>
      </c>
      <c r="G4934" s="4"/>
      <c r="H4934" s="13">
        <v>1</v>
      </c>
      <c r="I4934" s="34">
        <v>1</v>
      </c>
      <c r="J4934" s="35">
        <v>1</v>
      </c>
      <c r="K4934" s="2" t="s">
        <v>9882</v>
      </c>
      <c r="L4934" s="36" t="str">
        <f t="shared" si="85"/>
        <v>Ver Imagen</v>
      </c>
      <c r="M4934" t="s">
        <v>8005</v>
      </c>
    </row>
    <row r="4935" spans="1:13" x14ac:dyDescent="0.25">
      <c r="A4935" s="33">
        <v>4939</v>
      </c>
      <c r="B4935" t="s">
        <v>9883</v>
      </c>
      <c r="C4935" s="1">
        <v>37.293418712799998</v>
      </c>
      <c r="D4935" s="1">
        <v>-7.04649551285</v>
      </c>
      <c r="E4935" s="3">
        <v>1</v>
      </c>
      <c r="F4935" s="2">
        <v>2</v>
      </c>
      <c r="G4935" s="4"/>
      <c r="H4935" s="13">
        <v>2</v>
      </c>
      <c r="I4935" s="34">
        <v>1</v>
      </c>
      <c r="J4935" s="35">
        <v>1.5</v>
      </c>
      <c r="K4935" s="2" t="s">
        <v>9884</v>
      </c>
      <c r="L4935" s="36" t="str">
        <f t="shared" si="85"/>
        <v>Ver Imagen</v>
      </c>
      <c r="M4935" t="s">
        <v>8005</v>
      </c>
    </row>
    <row r="4936" spans="1:13" x14ac:dyDescent="0.25">
      <c r="A4936" s="33">
        <v>4940</v>
      </c>
      <c r="B4936" t="s">
        <v>9885</v>
      </c>
      <c r="C4936" s="1">
        <v>37.302069272399997</v>
      </c>
      <c r="D4936" s="1">
        <v>-7.0564792323200001</v>
      </c>
      <c r="E4936" s="3"/>
      <c r="F4936" s="2">
        <v>1</v>
      </c>
      <c r="G4936" s="4">
        <v>1</v>
      </c>
      <c r="H4936" s="13">
        <v>1</v>
      </c>
      <c r="I4936" s="34">
        <v>1</v>
      </c>
      <c r="J4936" s="35">
        <v>1</v>
      </c>
      <c r="K4936" s="2" t="s">
        <v>9886</v>
      </c>
      <c r="L4936" s="36" t="str">
        <f t="shared" si="85"/>
        <v>Ver Imagen</v>
      </c>
      <c r="M4936" t="s">
        <v>8005</v>
      </c>
    </row>
    <row r="4937" spans="1:13" x14ac:dyDescent="0.25">
      <c r="A4937" s="33">
        <v>4941</v>
      </c>
      <c r="B4937" t="s">
        <v>9887</v>
      </c>
      <c r="C4937" s="1">
        <v>37.308498126499998</v>
      </c>
      <c r="D4937" s="1">
        <v>-7.0572720040299997</v>
      </c>
      <c r="E4937" s="3">
        <v>3</v>
      </c>
      <c r="F4937" s="2">
        <v>2</v>
      </c>
      <c r="G4937" s="4"/>
      <c r="H4937" s="13">
        <v>2</v>
      </c>
      <c r="I4937" s="34">
        <v>1</v>
      </c>
      <c r="J4937" s="35">
        <v>2</v>
      </c>
      <c r="K4937" s="2" t="s">
        <v>9888</v>
      </c>
      <c r="L4937" s="36" t="str">
        <f t="shared" si="85"/>
        <v>Ver Imagen</v>
      </c>
      <c r="M4937" t="s">
        <v>8005</v>
      </c>
    </row>
    <row r="4938" spans="1:13" x14ac:dyDescent="0.25">
      <c r="A4938" s="33">
        <v>4942</v>
      </c>
      <c r="B4938" t="s">
        <v>9889</v>
      </c>
      <c r="C4938" s="1">
        <v>37.316631858299999</v>
      </c>
      <c r="D4938" s="1">
        <v>-7.0702194014700002</v>
      </c>
      <c r="E4938" s="3">
        <v>3</v>
      </c>
      <c r="F4938" s="2">
        <v>3</v>
      </c>
      <c r="G4938" s="4"/>
      <c r="H4938" s="13">
        <v>3</v>
      </c>
      <c r="I4938" s="34">
        <v>4</v>
      </c>
      <c r="J4938" s="35">
        <v>3</v>
      </c>
      <c r="K4938" s="2" t="s">
        <v>9890</v>
      </c>
      <c r="L4938" s="36" t="str">
        <f t="shared" si="85"/>
        <v>Ver Imagen</v>
      </c>
      <c r="M4938" t="s">
        <v>8005</v>
      </c>
    </row>
    <row r="4939" spans="1:13" x14ac:dyDescent="0.25">
      <c r="A4939" s="33">
        <v>4943</v>
      </c>
      <c r="B4939" t="s">
        <v>9891</v>
      </c>
      <c r="C4939" s="1">
        <v>37.465349991099998</v>
      </c>
      <c r="D4939" s="1">
        <v>-7.1222822920300004</v>
      </c>
      <c r="E4939" s="3">
        <v>3</v>
      </c>
      <c r="F4939" s="2">
        <v>2</v>
      </c>
      <c r="G4939" s="4"/>
      <c r="H4939" s="13">
        <v>1</v>
      </c>
      <c r="I4939" s="34">
        <v>2</v>
      </c>
      <c r="J4939" s="35">
        <v>2</v>
      </c>
      <c r="K4939" s="2" t="s">
        <v>9892</v>
      </c>
      <c r="L4939" s="36" t="str">
        <f t="shared" si="85"/>
        <v>Ver Imagen</v>
      </c>
      <c r="M4939" t="s">
        <v>8005</v>
      </c>
    </row>
    <row r="4940" spans="1:13" x14ac:dyDescent="0.25">
      <c r="A4940" s="33">
        <v>4944</v>
      </c>
      <c r="B4940" t="s">
        <v>9893</v>
      </c>
      <c r="C4940" s="1">
        <v>37.465297101499999</v>
      </c>
      <c r="D4940" s="1">
        <v>-7.1220079679300001</v>
      </c>
      <c r="E4940" s="3">
        <v>3</v>
      </c>
      <c r="F4940" s="2">
        <v>2</v>
      </c>
      <c r="G4940" s="4"/>
      <c r="H4940" s="13">
        <v>1</v>
      </c>
      <c r="I4940" s="34">
        <v>2</v>
      </c>
      <c r="J4940" s="35">
        <v>2</v>
      </c>
      <c r="K4940" s="2" t="s">
        <v>9894</v>
      </c>
      <c r="L4940" s="36" t="str">
        <f t="shared" si="85"/>
        <v>Ver Imagen</v>
      </c>
      <c r="M4940" t="s">
        <v>8005</v>
      </c>
    </row>
    <row r="4941" spans="1:13" x14ac:dyDescent="0.25">
      <c r="A4941" s="33">
        <v>4945</v>
      </c>
      <c r="B4941" t="s">
        <v>9895</v>
      </c>
      <c r="C4941" s="1">
        <v>37.465137242499999</v>
      </c>
      <c r="D4941" s="1">
        <v>-7.1215344742899997</v>
      </c>
      <c r="E4941" s="3">
        <v>2</v>
      </c>
      <c r="F4941" s="2">
        <v>1</v>
      </c>
      <c r="G4941" s="4"/>
      <c r="H4941" s="13">
        <v>1</v>
      </c>
      <c r="I4941" s="34">
        <v>1</v>
      </c>
      <c r="J4941" s="35">
        <v>1</v>
      </c>
      <c r="K4941" s="2" t="s">
        <v>9896</v>
      </c>
      <c r="L4941" s="36" t="str">
        <f t="shared" si="85"/>
        <v>Ver Imagen</v>
      </c>
      <c r="M4941" t="s">
        <v>8005</v>
      </c>
    </row>
    <row r="4942" spans="1:13" x14ac:dyDescent="0.25">
      <c r="A4942" s="33">
        <v>4947</v>
      </c>
      <c r="B4942" t="s">
        <v>9897</v>
      </c>
      <c r="C4942">
        <v>37.2673502974</v>
      </c>
      <c r="D4942">
        <v>-6.9576838411999997</v>
      </c>
      <c r="E4942" s="3">
        <v>2</v>
      </c>
      <c r="F4942" s="2"/>
      <c r="G4942" s="4"/>
      <c r="H4942" s="13">
        <v>2</v>
      </c>
      <c r="I4942" s="34">
        <v>2</v>
      </c>
      <c r="J4942" s="35">
        <v>2</v>
      </c>
      <c r="K4942" s="3" t="s">
        <v>9898</v>
      </c>
      <c r="L4942" s="36" t="str">
        <f t="shared" si="85"/>
        <v>Ver Imagen</v>
      </c>
      <c r="M4942" t="s">
        <v>8005</v>
      </c>
    </row>
    <row r="4943" spans="1:13" x14ac:dyDescent="0.25">
      <c r="A4943" s="33">
        <v>4948</v>
      </c>
      <c r="B4943" t="s">
        <v>9899</v>
      </c>
      <c r="C4943" s="1">
        <v>37.194521220600002</v>
      </c>
      <c r="D4943" s="1">
        <v>-6.9989673438100004</v>
      </c>
      <c r="E4943" s="3">
        <v>2</v>
      </c>
      <c r="F4943" s="2">
        <v>2</v>
      </c>
      <c r="G4943" s="4"/>
      <c r="H4943" s="13">
        <v>2</v>
      </c>
      <c r="I4943" s="34">
        <v>1</v>
      </c>
      <c r="J4943" s="35">
        <v>2</v>
      </c>
      <c r="K4943" s="2" t="s">
        <v>9900</v>
      </c>
      <c r="L4943" s="36" t="str">
        <f t="shared" si="85"/>
        <v>Ver Imagen</v>
      </c>
      <c r="M4943" t="s">
        <v>8005</v>
      </c>
    </row>
    <row r="4944" spans="1:13" x14ac:dyDescent="0.25">
      <c r="A4944" s="33">
        <v>4949</v>
      </c>
      <c r="B4944" t="s">
        <v>9901</v>
      </c>
      <c r="C4944" s="1">
        <v>37.217867857800002</v>
      </c>
      <c r="D4944" s="1">
        <v>-7.1167477464899997</v>
      </c>
      <c r="E4944" s="3"/>
      <c r="F4944" s="2">
        <v>2</v>
      </c>
      <c r="G4944" s="4">
        <v>2</v>
      </c>
      <c r="H4944" s="13">
        <v>1</v>
      </c>
      <c r="I4944" s="34">
        <v>2</v>
      </c>
      <c r="J4944" s="37">
        <v>1</v>
      </c>
      <c r="K4944" s="2" t="s">
        <v>9902</v>
      </c>
      <c r="L4944" s="36" t="str">
        <f t="shared" si="85"/>
        <v>Ver Imagen</v>
      </c>
      <c r="M4944" s="37" t="s">
        <v>8052</v>
      </c>
    </row>
    <row r="4945" spans="1:13" x14ac:dyDescent="0.25">
      <c r="A4945" s="33">
        <v>4950</v>
      </c>
      <c r="B4945" t="s">
        <v>9903</v>
      </c>
      <c r="C4945" s="1">
        <v>37.217238311999999</v>
      </c>
      <c r="D4945" s="1">
        <v>-7.1065063283300001</v>
      </c>
      <c r="E4945" s="3"/>
      <c r="F4945" s="2">
        <v>2</v>
      </c>
      <c r="G4945" s="4">
        <v>2</v>
      </c>
      <c r="H4945" s="13">
        <v>1</v>
      </c>
      <c r="I4945" s="34">
        <v>1</v>
      </c>
      <c r="J4945" s="37">
        <v>1</v>
      </c>
      <c r="K4945" s="2" t="s">
        <v>9904</v>
      </c>
      <c r="L4945" s="36" t="str">
        <f t="shared" si="85"/>
        <v>Ver Imagen</v>
      </c>
      <c r="M4945" s="37" t="s">
        <v>8052</v>
      </c>
    </row>
    <row r="4946" spans="1:13" x14ac:dyDescent="0.25">
      <c r="A4946" s="33">
        <v>4951</v>
      </c>
      <c r="B4946" t="s">
        <v>9905</v>
      </c>
      <c r="C4946" s="1">
        <v>37.211695234099999</v>
      </c>
      <c r="D4946" s="1">
        <v>-7.0474461350700004</v>
      </c>
      <c r="E4946" s="3"/>
      <c r="F4946" s="2">
        <v>2</v>
      </c>
      <c r="G4946" s="4">
        <v>2</v>
      </c>
      <c r="H4946" s="13">
        <v>1</v>
      </c>
      <c r="I4946" s="34">
        <v>1</v>
      </c>
      <c r="J4946" s="37">
        <v>1</v>
      </c>
      <c r="K4946" s="2" t="s">
        <v>9906</v>
      </c>
      <c r="L4946" s="36" t="str">
        <f t="shared" si="85"/>
        <v>Ver Imagen</v>
      </c>
      <c r="M4946" s="37" t="s">
        <v>8052</v>
      </c>
    </row>
    <row r="4947" spans="1:13" x14ac:dyDescent="0.25">
      <c r="A4947" s="33">
        <v>4952</v>
      </c>
      <c r="B4947" t="s">
        <v>9907</v>
      </c>
      <c r="C4947" s="1">
        <v>37.211472704800002</v>
      </c>
      <c r="D4947" s="1">
        <v>-7.04624208205</v>
      </c>
      <c r="E4947" s="3"/>
      <c r="F4947" s="2">
        <v>3</v>
      </c>
      <c r="G4947" s="4">
        <v>2</v>
      </c>
      <c r="H4947" s="13">
        <v>2</v>
      </c>
      <c r="I4947" s="34">
        <v>2</v>
      </c>
      <c r="J4947" s="35">
        <v>2</v>
      </c>
      <c r="K4947" s="2" t="s">
        <v>9908</v>
      </c>
      <c r="L4947" s="36" t="str">
        <f t="shared" si="85"/>
        <v>Ver Imagen</v>
      </c>
      <c r="M4947" t="s">
        <v>8005</v>
      </c>
    </row>
    <row r="4948" spans="1:13" x14ac:dyDescent="0.25">
      <c r="A4948" s="33">
        <v>4953</v>
      </c>
      <c r="B4948" t="s">
        <v>9909</v>
      </c>
      <c r="C4948" s="1">
        <v>37.211334171399997</v>
      </c>
      <c r="D4948" s="1">
        <v>-7.0455115860599999</v>
      </c>
      <c r="E4948" s="3"/>
      <c r="F4948" s="2">
        <v>3</v>
      </c>
      <c r="G4948" s="4">
        <v>2</v>
      </c>
      <c r="H4948" s="13">
        <v>2</v>
      </c>
      <c r="I4948" s="34">
        <v>2</v>
      </c>
      <c r="J4948" s="35">
        <v>2</v>
      </c>
      <c r="K4948" s="2" t="s">
        <v>9910</v>
      </c>
      <c r="L4948" s="36" t="str">
        <f t="shared" si="85"/>
        <v>Ver Imagen</v>
      </c>
      <c r="M4948" t="s">
        <v>8005</v>
      </c>
    </row>
    <row r="4949" spans="1:13" x14ac:dyDescent="0.25">
      <c r="A4949" s="33">
        <v>4954</v>
      </c>
      <c r="B4949" t="s">
        <v>9911</v>
      </c>
      <c r="C4949" s="1">
        <v>37.211210597300003</v>
      </c>
      <c r="D4949" s="1">
        <v>-7.0450325819300001</v>
      </c>
      <c r="E4949" s="3"/>
      <c r="F4949" s="2">
        <v>3</v>
      </c>
      <c r="G4949" s="4">
        <v>5</v>
      </c>
      <c r="H4949" s="13">
        <v>3</v>
      </c>
      <c r="I4949" s="34">
        <v>3</v>
      </c>
      <c r="J4949" s="35">
        <v>3</v>
      </c>
      <c r="K4949" s="2" t="s">
        <v>9912</v>
      </c>
      <c r="L4949" s="36" t="str">
        <f t="shared" si="85"/>
        <v>Ver Imagen</v>
      </c>
      <c r="M4949" t="s">
        <v>8005</v>
      </c>
    </row>
    <row r="4950" spans="1:13" x14ac:dyDescent="0.25">
      <c r="A4950" s="33">
        <v>4955</v>
      </c>
      <c r="B4950" t="s">
        <v>9913</v>
      </c>
      <c r="C4950" s="1">
        <v>37.210954336900002</v>
      </c>
      <c r="D4950" s="1">
        <v>-7.0443065323700003</v>
      </c>
      <c r="E4950" s="3"/>
      <c r="F4950" s="2">
        <v>3</v>
      </c>
      <c r="G4950" s="4">
        <v>3</v>
      </c>
      <c r="H4950" s="13">
        <v>3</v>
      </c>
      <c r="I4950" s="34">
        <v>4</v>
      </c>
      <c r="J4950" s="35">
        <v>3</v>
      </c>
      <c r="K4950" s="2" t="s">
        <v>9914</v>
      </c>
      <c r="L4950" s="36" t="str">
        <f t="shared" si="85"/>
        <v>Ver Imagen</v>
      </c>
      <c r="M4950" t="s">
        <v>8005</v>
      </c>
    </row>
    <row r="4951" spans="1:13" x14ac:dyDescent="0.25">
      <c r="A4951" s="33">
        <v>4956</v>
      </c>
      <c r="B4951" t="s">
        <v>9915</v>
      </c>
      <c r="C4951" s="1">
        <v>37.210879001800002</v>
      </c>
      <c r="D4951" s="1">
        <v>-7.0441026864899996</v>
      </c>
      <c r="E4951" s="3"/>
      <c r="F4951" s="2">
        <v>2</v>
      </c>
      <c r="G4951" s="4">
        <v>3</v>
      </c>
      <c r="H4951" s="13">
        <v>2</v>
      </c>
      <c r="I4951" s="34">
        <v>1</v>
      </c>
      <c r="J4951" s="35">
        <v>2</v>
      </c>
      <c r="K4951" s="2" t="s">
        <v>9916</v>
      </c>
      <c r="L4951" s="36" t="str">
        <f t="shared" si="85"/>
        <v>Ver Imagen</v>
      </c>
      <c r="M4951" t="s">
        <v>8005</v>
      </c>
    </row>
    <row r="4952" spans="1:13" x14ac:dyDescent="0.25">
      <c r="A4952" s="33">
        <v>4957</v>
      </c>
      <c r="B4952" t="s">
        <v>9917</v>
      </c>
      <c r="C4952" s="1">
        <v>37.2006641372</v>
      </c>
      <c r="D4952" s="1">
        <v>-7.0174261961299997</v>
      </c>
      <c r="E4952" s="3"/>
      <c r="F4952" s="2">
        <v>2</v>
      </c>
      <c r="G4952" s="4">
        <v>2</v>
      </c>
      <c r="H4952" s="13">
        <v>2</v>
      </c>
      <c r="I4952" s="34">
        <v>1</v>
      </c>
      <c r="J4952" s="35">
        <v>2</v>
      </c>
      <c r="K4952" s="2" t="s">
        <v>9918</v>
      </c>
      <c r="L4952" s="36" t="str">
        <f t="shared" si="85"/>
        <v>Ver Imagen</v>
      </c>
      <c r="M4952" t="s">
        <v>8005</v>
      </c>
    </row>
    <row r="4953" spans="1:13" x14ac:dyDescent="0.25">
      <c r="A4953" s="33">
        <v>4958</v>
      </c>
      <c r="B4953" t="s">
        <v>9919</v>
      </c>
      <c r="C4953" s="1">
        <v>37.200047416499999</v>
      </c>
      <c r="D4953" s="1">
        <v>-7.01581934821</v>
      </c>
      <c r="E4953" s="3"/>
      <c r="F4953" s="2">
        <v>2</v>
      </c>
      <c r="G4953" s="4">
        <v>2</v>
      </c>
      <c r="H4953" s="13">
        <v>2</v>
      </c>
      <c r="I4953" s="34">
        <v>1</v>
      </c>
      <c r="J4953" s="35">
        <v>2</v>
      </c>
      <c r="K4953" s="2" t="s">
        <v>9920</v>
      </c>
      <c r="L4953" s="36" t="str">
        <f t="shared" si="85"/>
        <v>Ver Imagen</v>
      </c>
      <c r="M4953" t="s">
        <v>8005</v>
      </c>
    </row>
    <row r="4954" spans="1:13" x14ac:dyDescent="0.25">
      <c r="A4954" s="33">
        <v>4959</v>
      </c>
      <c r="B4954" t="s">
        <v>9921</v>
      </c>
      <c r="C4954" s="1">
        <v>37.196731131500002</v>
      </c>
      <c r="D4954" s="1">
        <v>-7.0048245790900001</v>
      </c>
      <c r="E4954" s="3">
        <v>2</v>
      </c>
      <c r="F4954" s="2">
        <v>2</v>
      </c>
      <c r="G4954" s="4"/>
      <c r="H4954" s="13">
        <v>1</v>
      </c>
      <c r="I4954" s="34">
        <v>1</v>
      </c>
      <c r="J4954" s="35">
        <v>1.5</v>
      </c>
      <c r="K4954" s="2" t="s">
        <v>9922</v>
      </c>
      <c r="L4954" s="36" t="str">
        <f t="shared" ref="L4954:L4985" si="86">HYPERLINK("Solo2\" &amp; K4954, "Ver Imagen")</f>
        <v>Ver Imagen</v>
      </c>
      <c r="M4954" t="s">
        <v>8005</v>
      </c>
    </row>
    <row r="4955" spans="1:13" x14ac:dyDescent="0.25">
      <c r="A4955" s="33">
        <v>4960</v>
      </c>
      <c r="B4955" t="s">
        <v>9923</v>
      </c>
      <c r="C4955" s="1">
        <v>37.204078813999999</v>
      </c>
      <c r="D4955" s="1">
        <v>-7.0263388204900004</v>
      </c>
      <c r="E4955" s="3"/>
      <c r="F4955" s="2">
        <v>4</v>
      </c>
      <c r="G4955" s="4">
        <v>5</v>
      </c>
      <c r="H4955" s="13">
        <v>3</v>
      </c>
      <c r="I4955" s="34">
        <v>4</v>
      </c>
      <c r="J4955" s="35">
        <v>4</v>
      </c>
      <c r="K4955" s="2" t="s">
        <v>9924</v>
      </c>
      <c r="L4955" s="36" t="str">
        <f t="shared" si="86"/>
        <v>Ver Imagen</v>
      </c>
      <c r="M4955" t="s">
        <v>8005</v>
      </c>
    </row>
    <row r="4956" spans="1:13" x14ac:dyDescent="0.25">
      <c r="A4956" s="33">
        <v>4961</v>
      </c>
      <c r="B4956" t="s">
        <v>9925</v>
      </c>
      <c r="C4956" s="1">
        <v>37.228481501499999</v>
      </c>
      <c r="D4956" s="1">
        <v>-7.1267696305700001</v>
      </c>
      <c r="E4956" s="3"/>
      <c r="F4956" s="2">
        <v>3</v>
      </c>
      <c r="G4956" s="4">
        <v>3</v>
      </c>
      <c r="H4956" s="13">
        <v>3</v>
      </c>
      <c r="I4956" s="34">
        <v>3</v>
      </c>
      <c r="J4956" s="35">
        <v>3</v>
      </c>
      <c r="K4956" s="2" t="s">
        <v>9926</v>
      </c>
      <c r="L4956" s="36" t="str">
        <f t="shared" si="86"/>
        <v>Ver Imagen</v>
      </c>
      <c r="M4956" t="s">
        <v>8005</v>
      </c>
    </row>
    <row r="4957" spans="1:13" x14ac:dyDescent="0.25">
      <c r="A4957" s="33">
        <v>4962</v>
      </c>
      <c r="B4957" t="s">
        <v>9927</v>
      </c>
      <c r="C4957" s="1">
        <v>37.220949448399999</v>
      </c>
      <c r="D4957" s="1">
        <v>-7.1257748546700004</v>
      </c>
      <c r="E4957" s="3"/>
      <c r="F4957" s="2">
        <v>2</v>
      </c>
      <c r="G4957" s="4">
        <v>3</v>
      </c>
      <c r="H4957" s="13">
        <v>2</v>
      </c>
      <c r="I4957" s="34">
        <v>2</v>
      </c>
      <c r="J4957" s="35">
        <v>2</v>
      </c>
      <c r="K4957" s="2" t="s">
        <v>9928</v>
      </c>
      <c r="L4957" s="36" t="str">
        <f t="shared" si="86"/>
        <v>Ver Imagen</v>
      </c>
      <c r="M4957" t="s">
        <v>8005</v>
      </c>
    </row>
    <row r="4958" spans="1:13" x14ac:dyDescent="0.25">
      <c r="A4958" s="33">
        <v>4963</v>
      </c>
      <c r="B4958" t="s">
        <v>9929</v>
      </c>
      <c r="C4958" s="1">
        <v>37.443880298300002</v>
      </c>
      <c r="D4958" s="1">
        <v>-7.0969589012699998</v>
      </c>
      <c r="E4958" s="3">
        <v>3</v>
      </c>
      <c r="F4958" s="2">
        <v>3</v>
      </c>
      <c r="G4958" s="4"/>
      <c r="H4958" s="13">
        <v>2</v>
      </c>
      <c r="I4958" s="34">
        <v>2</v>
      </c>
      <c r="J4958" s="37">
        <v>2</v>
      </c>
      <c r="K4958" s="2" t="s">
        <v>9930</v>
      </c>
      <c r="L4958" s="36" t="str">
        <f t="shared" si="86"/>
        <v>Ver Imagen</v>
      </c>
      <c r="M4958" s="37" t="s">
        <v>8052</v>
      </c>
    </row>
    <row r="4959" spans="1:13" x14ac:dyDescent="0.25">
      <c r="A4959" s="33">
        <v>4964</v>
      </c>
      <c r="B4959" t="s">
        <v>9931</v>
      </c>
      <c r="C4959" s="1">
        <v>37.443588706500002</v>
      </c>
      <c r="D4959" s="1">
        <v>-7.09599159335</v>
      </c>
      <c r="E4959" s="3">
        <v>3</v>
      </c>
      <c r="F4959" s="2">
        <v>3</v>
      </c>
      <c r="G4959" s="4"/>
      <c r="H4959" s="13">
        <v>2</v>
      </c>
      <c r="I4959" s="34">
        <v>3</v>
      </c>
      <c r="J4959" s="35">
        <v>3</v>
      </c>
      <c r="K4959" s="2" t="s">
        <v>9932</v>
      </c>
      <c r="L4959" s="36" t="str">
        <f t="shared" si="86"/>
        <v>Ver Imagen</v>
      </c>
      <c r="M4959" t="s">
        <v>8005</v>
      </c>
    </row>
    <row r="4960" spans="1:13" x14ac:dyDescent="0.25">
      <c r="A4960" s="33">
        <v>4965</v>
      </c>
      <c r="B4960" t="s">
        <v>9933</v>
      </c>
      <c r="C4960" s="1">
        <v>37.442446825499999</v>
      </c>
      <c r="D4960" s="1">
        <v>-7.0930139780400001</v>
      </c>
      <c r="E4960" s="3">
        <v>3</v>
      </c>
      <c r="F4960" s="2">
        <v>3</v>
      </c>
      <c r="G4960" s="4"/>
      <c r="H4960" s="13">
        <v>2</v>
      </c>
      <c r="I4960" s="34">
        <v>2</v>
      </c>
      <c r="J4960" s="35">
        <v>2.5</v>
      </c>
      <c r="K4960" s="2" t="s">
        <v>9934</v>
      </c>
      <c r="L4960" s="36" t="str">
        <f t="shared" si="86"/>
        <v>Ver Imagen</v>
      </c>
      <c r="M4960" t="s">
        <v>8005</v>
      </c>
    </row>
    <row r="4961" spans="1:13" x14ac:dyDescent="0.25">
      <c r="A4961" s="33">
        <v>4966</v>
      </c>
      <c r="B4961" t="s">
        <v>9935</v>
      </c>
      <c r="C4961" s="1">
        <v>37.222476350800001</v>
      </c>
      <c r="D4961" s="1">
        <v>-7.0555574938100003</v>
      </c>
      <c r="E4961" s="3">
        <v>2</v>
      </c>
      <c r="F4961" s="2">
        <v>3</v>
      </c>
      <c r="G4961" s="4"/>
      <c r="H4961" s="13">
        <v>2</v>
      </c>
      <c r="I4961" s="34">
        <v>2</v>
      </c>
      <c r="J4961" s="35">
        <v>2</v>
      </c>
      <c r="K4961" s="2" t="s">
        <v>9936</v>
      </c>
      <c r="L4961" s="36" t="str">
        <f t="shared" si="86"/>
        <v>Ver Imagen</v>
      </c>
      <c r="M4961" t="s">
        <v>8005</v>
      </c>
    </row>
    <row r="4962" spans="1:13" x14ac:dyDescent="0.25">
      <c r="A4962" s="33">
        <v>4967</v>
      </c>
      <c r="B4962" t="s">
        <v>9937</v>
      </c>
      <c r="C4962" s="1">
        <v>37.2266193078</v>
      </c>
      <c r="D4962" s="1">
        <v>-7.0603877483300002</v>
      </c>
      <c r="E4962" s="3">
        <v>3</v>
      </c>
      <c r="F4962" s="2">
        <v>3</v>
      </c>
      <c r="G4962" s="4"/>
      <c r="H4962" s="13">
        <v>2</v>
      </c>
      <c r="I4962" s="34">
        <v>3</v>
      </c>
      <c r="J4962" s="35">
        <v>3</v>
      </c>
      <c r="K4962" s="2" t="s">
        <v>9938</v>
      </c>
      <c r="L4962" s="36" t="str">
        <f t="shared" si="86"/>
        <v>Ver Imagen</v>
      </c>
      <c r="M4962" t="s">
        <v>8005</v>
      </c>
    </row>
    <row r="4963" spans="1:13" x14ac:dyDescent="0.25">
      <c r="A4963" s="33">
        <v>4968</v>
      </c>
      <c r="B4963" t="s">
        <v>9939</v>
      </c>
      <c r="C4963" s="1">
        <v>37.233124053499999</v>
      </c>
      <c r="D4963" s="1">
        <v>-7.0658273782799998</v>
      </c>
      <c r="E4963" s="3">
        <v>3</v>
      </c>
      <c r="F4963" s="2">
        <v>3</v>
      </c>
      <c r="G4963" s="4"/>
      <c r="H4963" s="13">
        <v>2</v>
      </c>
      <c r="I4963" s="34">
        <v>2</v>
      </c>
      <c r="J4963" s="37">
        <v>2</v>
      </c>
      <c r="K4963" s="2" t="s">
        <v>9940</v>
      </c>
      <c r="L4963" s="36" t="str">
        <f t="shared" si="86"/>
        <v>Ver Imagen</v>
      </c>
      <c r="M4963" s="37" t="s">
        <v>8052</v>
      </c>
    </row>
    <row r="4964" spans="1:13" x14ac:dyDescent="0.25">
      <c r="A4964" s="33">
        <v>4969</v>
      </c>
      <c r="B4964" t="s">
        <v>9941</v>
      </c>
      <c r="C4964" s="1">
        <v>37.233612006000001</v>
      </c>
      <c r="D4964" s="1">
        <v>-7.0662771895500001</v>
      </c>
      <c r="E4964" s="3">
        <v>3</v>
      </c>
      <c r="F4964" s="2">
        <v>3</v>
      </c>
      <c r="G4964" s="4"/>
      <c r="H4964" s="13">
        <v>2</v>
      </c>
      <c r="I4964" s="34">
        <v>3</v>
      </c>
      <c r="J4964" s="37">
        <v>2</v>
      </c>
      <c r="K4964" s="2" t="s">
        <v>9942</v>
      </c>
      <c r="L4964" s="36" t="str">
        <f t="shared" si="86"/>
        <v>Ver Imagen</v>
      </c>
      <c r="M4964" s="37" t="s">
        <v>8052</v>
      </c>
    </row>
    <row r="4965" spans="1:13" x14ac:dyDescent="0.25">
      <c r="A4965" s="33">
        <v>4970</v>
      </c>
      <c r="B4965" t="s">
        <v>9943</v>
      </c>
      <c r="C4965" s="1">
        <v>37.224975393699999</v>
      </c>
      <c r="D4965" s="1">
        <v>-7.0332881464600003</v>
      </c>
      <c r="E4965" s="3">
        <v>3</v>
      </c>
      <c r="F4965" s="2">
        <v>3</v>
      </c>
      <c r="G4965" s="4"/>
      <c r="H4965" s="13">
        <v>2</v>
      </c>
      <c r="I4965" s="34">
        <v>3</v>
      </c>
      <c r="J4965" s="37">
        <v>2</v>
      </c>
      <c r="K4965" s="2" t="s">
        <v>9944</v>
      </c>
      <c r="L4965" s="36" t="str">
        <f t="shared" si="86"/>
        <v>Ver Imagen</v>
      </c>
      <c r="M4965" s="37" t="s">
        <v>8052</v>
      </c>
    </row>
    <row r="4966" spans="1:13" x14ac:dyDescent="0.25">
      <c r="A4966" s="33">
        <v>4971</v>
      </c>
      <c r="B4966" t="s">
        <v>9945</v>
      </c>
      <c r="C4966" s="1">
        <v>37.225224392500003</v>
      </c>
      <c r="D4966" s="1">
        <v>-7.04094766495</v>
      </c>
      <c r="E4966" s="3">
        <v>3</v>
      </c>
      <c r="F4966" s="2">
        <v>2</v>
      </c>
      <c r="G4966" s="4"/>
      <c r="H4966" s="13">
        <v>1</v>
      </c>
      <c r="I4966" s="34">
        <v>1</v>
      </c>
      <c r="J4966" s="37">
        <v>1</v>
      </c>
      <c r="K4966" s="2" t="s">
        <v>9946</v>
      </c>
      <c r="L4966" s="36" t="str">
        <f t="shared" si="86"/>
        <v>Ver Imagen</v>
      </c>
      <c r="M4966" s="37" t="s">
        <v>8052</v>
      </c>
    </row>
    <row r="4967" spans="1:13" x14ac:dyDescent="0.25">
      <c r="A4967" s="33">
        <v>4972</v>
      </c>
      <c r="B4967" t="s">
        <v>9947</v>
      </c>
      <c r="C4967" s="1">
        <v>37.225578364699999</v>
      </c>
      <c r="D4967" s="1">
        <v>-7.0418603080300004</v>
      </c>
      <c r="E4967" s="3">
        <v>2</v>
      </c>
      <c r="F4967" s="2">
        <v>2</v>
      </c>
      <c r="G4967" s="4"/>
      <c r="H4967" s="13">
        <v>2</v>
      </c>
      <c r="I4967" s="34">
        <v>2</v>
      </c>
      <c r="J4967" s="35">
        <v>2</v>
      </c>
      <c r="K4967" s="2" t="s">
        <v>9948</v>
      </c>
      <c r="L4967" s="36" t="str">
        <f t="shared" si="86"/>
        <v>Ver Imagen</v>
      </c>
      <c r="M4967" t="s">
        <v>8005</v>
      </c>
    </row>
    <row r="4968" spans="1:13" x14ac:dyDescent="0.25">
      <c r="A4968" s="33">
        <v>4973</v>
      </c>
      <c r="B4968" t="s">
        <v>9949</v>
      </c>
      <c r="C4968" s="1">
        <v>37.225777089200001</v>
      </c>
      <c r="D4968" s="1">
        <v>-7.0423091974999998</v>
      </c>
      <c r="E4968" s="3">
        <v>2</v>
      </c>
      <c r="F4968" s="2">
        <v>3</v>
      </c>
      <c r="G4968" s="4"/>
      <c r="H4968" s="13">
        <v>2</v>
      </c>
      <c r="I4968" s="34">
        <v>2</v>
      </c>
      <c r="J4968" s="35">
        <v>2</v>
      </c>
      <c r="K4968" s="2" t="s">
        <v>9950</v>
      </c>
      <c r="L4968" s="36" t="str">
        <f t="shared" si="86"/>
        <v>Ver Imagen</v>
      </c>
      <c r="M4968" t="s">
        <v>8005</v>
      </c>
    </row>
    <row r="4969" spans="1:13" x14ac:dyDescent="0.25">
      <c r="A4969" s="33">
        <v>4974</v>
      </c>
      <c r="B4969" t="s">
        <v>9951</v>
      </c>
      <c r="C4969">
        <v>37.275750061300002</v>
      </c>
      <c r="D4969">
        <v>-6.9910850159100004</v>
      </c>
      <c r="E4969" s="3"/>
      <c r="F4969" s="2"/>
      <c r="G4969" s="4">
        <v>4</v>
      </c>
      <c r="H4969" s="13">
        <v>4</v>
      </c>
      <c r="I4969" s="34">
        <v>4</v>
      </c>
      <c r="J4969" s="35">
        <v>4</v>
      </c>
      <c r="K4969" s="4" t="s">
        <v>9952</v>
      </c>
      <c r="L4969" s="36" t="str">
        <f t="shared" si="86"/>
        <v>Ver Imagen</v>
      </c>
      <c r="M4969" t="s">
        <v>8005</v>
      </c>
    </row>
    <row r="4970" spans="1:13" x14ac:dyDescent="0.25">
      <c r="A4970" s="33">
        <v>4975</v>
      </c>
      <c r="B4970" t="s">
        <v>9953</v>
      </c>
      <c r="C4970" s="1">
        <v>37.240914126900002</v>
      </c>
      <c r="D4970" s="1">
        <v>-7.0827860133299998</v>
      </c>
      <c r="E4970" s="3">
        <v>3</v>
      </c>
      <c r="F4970" s="2">
        <v>3</v>
      </c>
      <c r="G4970" s="4"/>
      <c r="H4970" s="13">
        <v>2</v>
      </c>
      <c r="I4970" s="34">
        <v>3</v>
      </c>
      <c r="J4970" s="35">
        <v>3</v>
      </c>
      <c r="K4970" s="2" t="s">
        <v>9954</v>
      </c>
      <c r="L4970" s="36" t="str">
        <f t="shared" si="86"/>
        <v>Ver Imagen</v>
      </c>
      <c r="M4970" t="s">
        <v>8005</v>
      </c>
    </row>
    <row r="4971" spans="1:13" x14ac:dyDescent="0.25">
      <c r="A4971" s="33">
        <v>4976</v>
      </c>
      <c r="B4971" t="s">
        <v>9955</v>
      </c>
      <c r="C4971" s="1">
        <v>37.253139269800002</v>
      </c>
      <c r="D4971" s="1">
        <v>-7.1062320790499998</v>
      </c>
      <c r="E4971" s="3"/>
      <c r="F4971" s="2">
        <v>3</v>
      </c>
      <c r="G4971" s="4">
        <v>3</v>
      </c>
      <c r="H4971" s="13">
        <v>2</v>
      </c>
      <c r="I4971" s="34">
        <v>2</v>
      </c>
      <c r="J4971" s="35">
        <v>2.5</v>
      </c>
      <c r="K4971" s="2" t="s">
        <v>9956</v>
      </c>
      <c r="L4971" s="36" t="str">
        <f t="shared" si="86"/>
        <v>Ver Imagen</v>
      </c>
      <c r="M4971" t="s">
        <v>8005</v>
      </c>
    </row>
    <row r="4972" spans="1:13" x14ac:dyDescent="0.25">
      <c r="A4972" s="33">
        <v>4977</v>
      </c>
      <c r="B4972" t="s">
        <v>9957</v>
      </c>
      <c r="C4972" s="1">
        <v>37.2568957266</v>
      </c>
      <c r="D4972" s="1">
        <v>-7.1190534785799997</v>
      </c>
      <c r="E4972" s="3">
        <v>3</v>
      </c>
      <c r="F4972" s="2">
        <v>3</v>
      </c>
      <c r="G4972" s="4"/>
      <c r="H4972" s="13">
        <v>2</v>
      </c>
      <c r="I4972" s="34">
        <v>2</v>
      </c>
      <c r="J4972" s="37">
        <v>2</v>
      </c>
      <c r="K4972" s="2" t="s">
        <v>9958</v>
      </c>
      <c r="L4972" s="36" t="str">
        <f t="shared" si="86"/>
        <v>Ver Imagen</v>
      </c>
      <c r="M4972" s="37" t="s">
        <v>8052</v>
      </c>
    </row>
    <row r="4973" spans="1:13" x14ac:dyDescent="0.25">
      <c r="A4973" s="33">
        <v>4978</v>
      </c>
      <c r="B4973" t="s">
        <v>9959</v>
      </c>
      <c r="C4973" s="1">
        <v>37.257277080999998</v>
      </c>
      <c r="D4973" s="1">
        <v>-7.1193322461299999</v>
      </c>
      <c r="E4973" s="3"/>
      <c r="F4973" s="2">
        <v>3</v>
      </c>
      <c r="G4973" s="4">
        <v>4</v>
      </c>
      <c r="H4973" s="13">
        <v>3</v>
      </c>
      <c r="I4973" s="34">
        <v>2</v>
      </c>
      <c r="J4973" s="37">
        <v>2</v>
      </c>
      <c r="K4973" s="2" t="s">
        <v>9960</v>
      </c>
      <c r="L4973" s="36" t="str">
        <f t="shared" si="86"/>
        <v>Ver Imagen</v>
      </c>
      <c r="M4973" s="37" t="s">
        <v>8052</v>
      </c>
    </row>
    <row r="4974" spans="1:13" x14ac:dyDescent="0.25">
      <c r="A4974" s="33">
        <v>4979</v>
      </c>
      <c r="B4974" t="s">
        <v>9961</v>
      </c>
      <c r="C4974" s="1">
        <v>37.259733056899996</v>
      </c>
      <c r="D4974" s="1">
        <v>-7.1263205060899999</v>
      </c>
      <c r="E4974" s="3">
        <v>3</v>
      </c>
      <c r="F4974" s="2">
        <v>3</v>
      </c>
      <c r="G4974" s="4"/>
      <c r="H4974" s="13">
        <v>3</v>
      </c>
      <c r="I4974" s="34">
        <v>3</v>
      </c>
      <c r="J4974" s="35">
        <v>3</v>
      </c>
      <c r="K4974" s="2" t="s">
        <v>9962</v>
      </c>
      <c r="L4974" s="36" t="str">
        <f t="shared" si="86"/>
        <v>Ver Imagen</v>
      </c>
      <c r="M4974" t="s">
        <v>8005</v>
      </c>
    </row>
    <row r="4975" spans="1:13" x14ac:dyDescent="0.25">
      <c r="A4975" s="33">
        <v>4980</v>
      </c>
      <c r="B4975" t="s">
        <v>9963</v>
      </c>
      <c r="C4975">
        <v>37.269701576999999</v>
      </c>
      <c r="D4975">
        <v>-6.9784242160799996</v>
      </c>
      <c r="E4975" s="3"/>
      <c r="F4975" s="2"/>
      <c r="G4975" s="4">
        <v>2</v>
      </c>
      <c r="H4975" s="13">
        <v>2</v>
      </c>
      <c r="I4975" s="34">
        <v>2</v>
      </c>
      <c r="J4975" s="35">
        <v>2</v>
      </c>
      <c r="K4975" s="4" t="s">
        <v>9964</v>
      </c>
      <c r="L4975" s="36" t="str">
        <f t="shared" si="86"/>
        <v>Ver Imagen</v>
      </c>
      <c r="M4975" t="s">
        <v>8005</v>
      </c>
    </row>
    <row r="4976" spans="1:13" x14ac:dyDescent="0.25">
      <c r="A4976" s="33">
        <v>4981</v>
      </c>
      <c r="B4976" t="s">
        <v>9965</v>
      </c>
      <c r="C4976">
        <v>37.189628045900001</v>
      </c>
      <c r="D4976">
        <v>-6.9879628794800004</v>
      </c>
      <c r="E4976" s="3"/>
      <c r="F4976" s="2"/>
      <c r="G4976" s="4">
        <v>4</v>
      </c>
      <c r="H4976" s="13">
        <v>3</v>
      </c>
      <c r="I4976" s="34">
        <v>3</v>
      </c>
      <c r="J4976" s="35">
        <v>3</v>
      </c>
      <c r="K4976" s="4" t="s">
        <v>9966</v>
      </c>
      <c r="L4976" s="36" t="str">
        <f t="shared" si="86"/>
        <v>Ver Imagen</v>
      </c>
      <c r="M4976" t="s">
        <v>8005</v>
      </c>
    </row>
    <row r="4977" spans="1:13" x14ac:dyDescent="0.25">
      <c r="A4977" s="33">
        <v>4982</v>
      </c>
      <c r="B4977" t="s">
        <v>9967</v>
      </c>
      <c r="C4977" s="1">
        <v>37.482426035300001</v>
      </c>
      <c r="D4977" s="1">
        <v>-7.1285338579299999</v>
      </c>
      <c r="E4977" s="3">
        <v>2</v>
      </c>
      <c r="F4977" s="2">
        <v>2</v>
      </c>
      <c r="G4977" s="4"/>
      <c r="H4977" s="13">
        <v>1</v>
      </c>
      <c r="I4977" s="34">
        <v>1</v>
      </c>
      <c r="J4977" s="37">
        <v>1</v>
      </c>
      <c r="K4977" s="2" t="s">
        <v>9968</v>
      </c>
      <c r="L4977" s="36" t="str">
        <f t="shared" si="86"/>
        <v>Ver Imagen</v>
      </c>
      <c r="M4977" s="37" t="s">
        <v>8052</v>
      </c>
    </row>
    <row r="4978" spans="1:13" x14ac:dyDescent="0.25">
      <c r="A4978" s="33">
        <v>4983</v>
      </c>
      <c r="B4978" t="s">
        <v>9969</v>
      </c>
      <c r="C4978" s="1">
        <v>37.495549330000003</v>
      </c>
      <c r="D4978" s="1">
        <v>-7.27299753508</v>
      </c>
      <c r="E4978" s="3">
        <v>3</v>
      </c>
      <c r="F4978" s="2">
        <v>2</v>
      </c>
      <c r="G4978" s="4"/>
      <c r="H4978" s="13">
        <v>1</v>
      </c>
      <c r="I4978" s="34">
        <v>1</v>
      </c>
      <c r="J4978" s="37">
        <v>1</v>
      </c>
      <c r="K4978" s="2" t="s">
        <v>9970</v>
      </c>
      <c r="L4978" s="36" t="str">
        <f t="shared" si="86"/>
        <v>Ver Imagen</v>
      </c>
      <c r="M4978" s="37" t="s">
        <v>8052</v>
      </c>
    </row>
    <row r="4979" spans="1:13" x14ac:dyDescent="0.25">
      <c r="A4979" s="33">
        <v>4984</v>
      </c>
      <c r="B4979" t="s">
        <v>9971</v>
      </c>
      <c r="C4979" s="1">
        <v>37.187208720699999</v>
      </c>
      <c r="D4979" s="1">
        <v>-6.9793265368800004</v>
      </c>
      <c r="E4979" s="3"/>
      <c r="F4979" s="2">
        <v>5</v>
      </c>
      <c r="G4979" s="4">
        <v>5</v>
      </c>
      <c r="H4979" s="13">
        <v>3</v>
      </c>
      <c r="I4979" s="34">
        <v>4</v>
      </c>
      <c r="J4979" s="37">
        <v>4</v>
      </c>
      <c r="K4979" s="2" t="s">
        <v>9972</v>
      </c>
      <c r="L4979" s="36" t="str">
        <f t="shared" si="86"/>
        <v>Ver Imagen</v>
      </c>
      <c r="M4979" s="37" t="s">
        <v>8052</v>
      </c>
    </row>
    <row r="4980" spans="1:13" x14ac:dyDescent="0.25">
      <c r="A4980" s="33">
        <v>4985</v>
      </c>
      <c r="B4980" t="s">
        <v>9973</v>
      </c>
      <c r="C4980" s="1">
        <v>37.186565442700001</v>
      </c>
      <c r="D4980" s="1">
        <v>-6.9799716640599998</v>
      </c>
      <c r="E4980" s="3"/>
      <c r="F4980" s="2">
        <v>5</v>
      </c>
      <c r="G4980" s="4">
        <v>5</v>
      </c>
      <c r="H4980" s="13">
        <v>4</v>
      </c>
      <c r="I4980" s="34">
        <v>5</v>
      </c>
      <c r="J4980" s="35">
        <v>5</v>
      </c>
      <c r="K4980" s="2" t="s">
        <v>9974</v>
      </c>
      <c r="L4980" s="36" t="str">
        <f t="shared" si="86"/>
        <v>Ver Imagen</v>
      </c>
      <c r="M4980" t="s">
        <v>8005</v>
      </c>
    </row>
    <row r="4981" spans="1:13" x14ac:dyDescent="0.25">
      <c r="A4981" s="33">
        <v>4986</v>
      </c>
      <c r="B4981" t="s">
        <v>9975</v>
      </c>
      <c r="C4981" s="1">
        <v>37.185858127400003</v>
      </c>
      <c r="D4981" s="1">
        <v>-6.9800413534899999</v>
      </c>
      <c r="E4981" s="3"/>
      <c r="F4981" s="2">
        <v>4</v>
      </c>
      <c r="G4981" s="4">
        <v>4</v>
      </c>
      <c r="H4981" s="13">
        <v>3</v>
      </c>
      <c r="I4981" s="34">
        <v>4</v>
      </c>
      <c r="J4981" s="35">
        <v>4</v>
      </c>
      <c r="K4981" s="2" t="s">
        <v>9976</v>
      </c>
      <c r="L4981" s="36" t="str">
        <f t="shared" si="86"/>
        <v>Ver Imagen</v>
      </c>
      <c r="M4981" t="s">
        <v>8005</v>
      </c>
    </row>
    <row r="4982" spans="1:13" x14ac:dyDescent="0.25">
      <c r="A4982" s="33">
        <v>4987</v>
      </c>
      <c r="B4982" t="s">
        <v>9977</v>
      </c>
      <c r="C4982" s="1">
        <v>37.505059218500001</v>
      </c>
      <c r="D4982" s="1">
        <v>-7.2653769488800002</v>
      </c>
      <c r="E4982" s="3">
        <v>2</v>
      </c>
      <c r="F4982" s="2">
        <v>2</v>
      </c>
      <c r="G4982" s="4"/>
      <c r="H4982" s="13">
        <v>1</v>
      </c>
      <c r="I4982" s="34">
        <v>1</v>
      </c>
      <c r="J4982" s="35">
        <v>1.5</v>
      </c>
      <c r="K4982" s="2" t="s">
        <v>9978</v>
      </c>
      <c r="L4982" s="36" t="str">
        <f t="shared" si="86"/>
        <v>Ver Imagen</v>
      </c>
      <c r="M4982" t="s">
        <v>8005</v>
      </c>
    </row>
    <row r="4983" spans="1:13" x14ac:dyDescent="0.25">
      <c r="A4983" s="33">
        <v>4988</v>
      </c>
      <c r="B4983" t="s">
        <v>9979</v>
      </c>
      <c r="C4983" s="1">
        <v>37.187386788700003</v>
      </c>
      <c r="D4983" s="1">
        <v>-6.9789014255700001</v>
      </c>
      <c r="E4983" s="3"/>
      <c r="F4983" s="2">
        <v>5</v>
      </c>
      <c r="G4983" s="4">
        <v>5</v>
      </c>
      <c r="H4983" s="13">
        <v>4</v>
      </c>
      <c r="I4983" s="34">
        <v>4</v>
      </c>
      <c r="J4983" s="35">
        <v>4.5</v>
      </c>
      <c r="K4983" s="2" t="s">
        <v>9980</v>
      </c>
      <c r="L4983" s="36" t="str">
        <f t="shared" si="86"/>
        <v>Ver Imagen</v>
      </c>
      <c r="M4983" t="s">
        <v>8005</v>
      </c>
    </row>
    <row r="4984" spans="1:13" x14ac:dyDescent="0.25">
      <c r="A4984" s="33">
        <v>4989</v>
      </c>
      <c r="B4984" t="s">
        <v>9981</v>
      </c>
      <c r="C4984" s="1">
        <v>37.260068072400003</v>
      </c>
      <c r="D4984" s="1">
        <v>-7.0116643816500002</v>
      </c>
      <c r="E4984" s="3"/>
      <c r="F4984" s="2">
        <v>3</v>
      </c>
      <c r="G4984" s="4">
        <v>3</v>
      </c>
      <c r="H4984" s="13">
        <v>2</v>
      </c>
      <c r="I4984" s="34">
        <v>2</v>
      </c>
      <c r="J4984" s="37">
        <v>2</v>
      </c>
      <c r="K4984" s="2" t="s">
        <v>9982</v>
      </c>
      <c r="L4984" s="36" t="str">
        <f t="shared" si="86"/>
        <v>Ver Imagen</v>
      </c>
      <c r="M4984" s="37" t="s">
        <v>8052</v>
      </c>
    </row>
    <row r="4985" spans="1:13" x14ac:dyDescent="0.25">
      <c r="A4985" s="33">
        <v>4990</v>
      </c>
      <c r="B4985" t="s">
        <v>9983</v>
      </c>
      <c r="C4985" s="1">
        <v>37.200347756699998</v>
      </c>
      <c r="D4985" s="1">
        <v>-6.9872739211399999</v>
      </c>
      <c r="E4985" s="3">
        <v>3</v>
      </c>
      <c r="F4985" s="2">
        <v>4</v>
      </c>
      <c r="G4985" s="4"/>
      <c r="H4985" s="13">
        <v>3</v>
      </c>
      <c r="I4985" s="34">
        <v>3</v>
      </c>
      <c r="J4985" s="35">
        <v>3</v>
      </c>
      <c r="K4985" s="2" t="s">
        <v>9984</v>
      </c>
      <c r="L4985" s="36" t="str">
        <f t="shared" si="86"/>
        <v>Ver Imagen</v>
      </c>
      <c r="M4985" t="s">
        <v>8005</v>
      </c>
    </row>
    <row r="4986" spans="1:13" x14ac:dyDescent="0.25">
      <c r="A4986" s="33">
        <v>4991</v>
      </c>
      <c r="B4986" t="s">
        <v>9985</v>
      </c>
      <c r="C4986" s="1">
        <v>37.202367392600003</v>
      </c>
      <c r="D4986" s="1">
        <v>-6.9978981120399997</v>
      </c>
      <c r="E4986" s="3"/>
      <c r="F4986" s="2">
        <v>4</v>
      </c>
      <c r="G4986" s="4">
        <v>5</v>
      </c>
      <c r="H4986" s="13">
        <v>3</v>
      </c>
      <c r="I4986" s="34">
        <v>3</v>
      </c>
      <c r="J4986" s="37">
        <v>3</v>
      </c>
      <c r="K4986" s="2" t="s">
        <v>9986</v>
      </c>
      <c r="L4986" s="36" t="str">
        <f t="shared" ref="L4986:L4989" si="87">HYPERLINK("Solo2\" &amp; K4986, "Ver Imagen")</f>
        <v>Ver Imagen</v>
      </c>
      <c r="M4986" s="37" t="s">
        <v>8052</v>
      </c>
    </row>
    <row r="4987" spans="1:13" x14ac:dyDescent="0.25">
      <c r="A4987" s="33">
        <v>4992</v>
      </c>
      <c r="B4987" t="s">
        <v>9987</v>
      </c>
      <c r="C4987" s="1">
        <v>37.202403385700002</v>
      </c>
      <c r="D4987" s="1">
        <v>-6.9981416324700003</v>
      </c>
      <c r="E4987" s="3"/>
      <c r="F4987" s="2">
        <v>4</v>
      </c>
      <c r="G4987" s="4">
        <v>5</v>
      </c>
      <c r="H4987" s="13">
        <v>4</v>
      </c>
      <c r="I4987" s="34">
        <v>4</v>
      </c>
      <c r="J4987" s="35">
        <v>4</v>
      </c>
      <c r="K4987" s="2" t="s">
        <v>9988</v>
      </c>
      <c r="L4987" s="36" t="str">
        <f t="shared" si="87"/>
        <v>Ver Imagen</v>
      </c>
      <c r="M4987" t="s">
        <v>8005</v>
      </c>
    </row>
    <row r="4988" spans="1:13" x14ac:dyDescent="0.25">
      <c r="A4988" s="33">
        <v>4993</v>
      </c>
      <c r="B4988" t="s">
        <v>9989</v>
      </c>
      <c r="C4988" s="1">
        <v>37.245697334799999</v>
      </c>
      <c r="D4988" s="1">
        <v>-7.0184614640399996</v>
      </c>
      <c r="E4988" s="3">
        <v>3</v>
      </c>
      <c r="F4988" s="2">
        <v>4</v>
      </c>
      <c r="G4988" s="4"/>
      <c r="H4988" s="13">
        <v>3</v>
      </c>
      <c r="I4988" s="34">
        <v>3</v>
      </c>
      <c r="J4988" s="35">
        <v>3</v>
      </c>
      <c r="K4988" s="2" t="s">
        <v>9990</v>
      </c>
      <c r="L4988" s="36" t="str">
        <f t="shared" si="87"/>
        <v>Ver Imagen</v>
      </c>
      <c r="M4988" t="s">
        <v>8005</v>
      </c>
    </row>
    <row r="4989" spans="1:13" ht="15.75" customHeight="1" thickBot="1" x14ac:dyDescent="0.3">
      <c r="A4989" s="43">
        <v>4994</v>
      </c>
      <c r="B4989" s="44" t="s">
        <v>9991</v>
      </c>
      <c r="C4989" s="44">
        <v>37.495195432099997</v>
      </c>
      <c r="D4989" s="44">
        <v>-7.2676600230000004</v>
      </c>
      <c r="E4989" s="45">
        <v>3</v>
      </c>
      <c r="F4989" s="46"/>
      <c r="G4989" s="47"/>
      <c r="H4989" s="48">
        <v>2</v>
      </c>
      <c r="I4989" s="49">
        <v>3</v>
      </c>
      <c r="J4989" s="50">
        <v>3</v>
      </c>
      <c r="K4989" s="45" t="s">
        <v>9992</v>
      </c>
      <c r="L4989" s="51" t="str">
        <f t="shared" si="87"/>
        <v>Ver Imagen</v>
      </c>
      <c r="M4989" t="s">
        <v>8005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5350"/>
  <sheetViews>
    <sheetView tabSelected="1" workbookViewId="0">
      <selection activeCell="AA36" sqref="AA36"/>
    </sheetView>
  </sheetViews>
  <sheetFormatPr baseColWidth="10" defaultColWidth="9.140625"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12</v>
      </c>
      <c r="K1" t="s">
        <v>9</v>
      </c>
      <c r="L1" t="s">
        <v>10012</v>
      </c>
      <c r="M1" t="s">
        <v>10013</v>
      </c>
      <c r="N1" t="s">
        <v>10014</v>
      </c>
      <c r="O1" t="s">
        <v>10015</v>
      </c>
      <c r="P1" t="s">
        <v>10016</v>
      </c>
    </row>
    <row r="2" spans="1:16" x14ac:dyDescent="0.25">
      <c r="A2">
        <v>3939</v>
      </c>
      <c r="B2" t="s">
        <v>7887</v>
      </c>
      <c r="C2">
        <v>37.213251286499997</v>
      </c>
      <c r="D2">
        <v>-7.0648337651800004</v>
      </c>
      <c r="E2">
        <v>5</v>
      </c>
      <c r="F2">
        <v>5</v>
      </c>
      <c r="G2">
        <v>5</v>
      </c>
      <c r="J2" t="s">
        <v>15</v>
      </c>
      <c r="K2">
        <v>5</v>
      </c>
      <c r="L2">
        <v>2.2610000000000001</v>
      </c>
      <c r="M2">
        <v>3</v>
      </c>
      <c r="N2" t="s">
        <v>10017</v>
      </c>
      <c r="O2" t="str">
        <f>HYPERLINK("5\0\marker_778_960018.png", "Ver Imagen")</f>
        <v>Ver Imagen</v>
      </c>
      <c r="P2" t="str">
        <f>HYPERLINK("SE\A-5052\A-5052__245.png", "Ver Imagen")</f>
        <v>Ver Imagen</v>
      </c>
    </row>
    <row r="3" spans="1:16" x14ac:dyDescent="0.25">
      <c r="A3">
        <v>210</v>
      </c>
      <c r="B3" t="s">
        <v>432</v>
      </c>
      <c r="C3">
        <v>37.2226225195</v>
      </c>
      <c r="D3">
        <v>-7.0230260190399996</v>
      </c>
      <c r="E3">
        <v>1</v>
      </c>
      <c r="F3">
        <v>1</v>
      </c>
      <c r="G3">
        <v>2</v>
      </c>
      <c r="J3" t="s">
        <v>15</v>
      </c>
      <c r="K3">
        <v>1</v>
      </c>
      <c r="L3">
        <v>2.7410000000000001</v>
      </c>
      <c r="M3">
        <v>2</v>
      </c>
      <c r="N3" t="s">
        <v>10017</v>
      </c>
      <c r="O3" t="str">
        <f>HYPERLINK("1\1\marker_704_376774.png", "Ver Imagen")</f>
        <v>Ver Imagen</v>
      </c>
      <c r="P3" t="str">
        <f>HYPERLINK("SE\A-497\A-497__443.png", "Ver Imagen")</f>
        <v>Ver Imagen</v>
      </c>
    </row>
    <row r="4" spans="1:16" x14ac:dyDescent="0.25">
      <c r="A4">
        <v>704</v>
      </c>
      <c r="B4" t="s">
        <v>1420</v>
      </c>
      <c r="C4">
        <v>37.191358747099997</v>
      </c>
      <c r="D4">
        <v>-6.9776311288399997</v>
      </c>
      <c r="E4">
        <v>2</v>
      </c>
      <c r="F4">
        <v>2</v>
      </c>
      <c r="G4">
        <v>2</v>
      </c>
      <c r="J4" t="s">
        <v>15</v>
      </c>
      <c r="K4">
        <v>2</v>
      </c>
      <c r="L4">
        <v>3.7330000000000001</v>
      </c>
      <c r="M4">
        <v>2</v>
      </c>
      <c r="N4" t="s">
        <v>10017</v>
      </c>
      <c r="O4" t="str">
        <f>HYPERLINK("2\0\marker_306_368983.png", "Ver Imagen")</f>
        <v>Ver Imagen</v>
      </c>
      <c r="P4" t="str">
        <f>HYPERLINK("SE\A-497\A-497__728.png", "Ver Imagen")</f>
        <v>Ver Imagen</v>
      </c>
    </row>
    <row r="5" spans="1:16" x14ac:dyDescent="0.25">
      <c r="A5">
        <v>868</v>
      </c>
      <c r="B5" t="s">
        <v>1748</v>
      </c>
      <c r="C5">
        <v>37.217571334299997</v>
      </c>
      <c r="D5">
        <v>-7.1119877089700001</v>
      </c>
      <c r="E5">
        <v>1</v>
      </c>
      <c r="F5">
        <v>2</v>
      </c>
      <c r="G5">
        <v>2</v>
      </c>
      <c r="J5" t="s">
        <v>15</v>
      </c>
      <c r="K5">
        <v>2</v>
      </c>
      <c r="L5">
        <v>3.504</v>
      </c>
      <c r="M5">
        <v>2</v>
      </c>
      <c r="N5" t="s">
        <v>10017</v>
      </c>
      <c r="O5" t="str">
        <f>HYPERLINK("2\1\marker_751_956992.png", "Ver Imagen")</f>
        <v>Ver Imagen</v>
      </c>
      <c r="P5" t="str">
        <f>HYPERLINK("SO\A-5052\A-5052__56.png", "Ver Imagen")</f>
        <v>Ver Imagen</v>
      </c>
    </row>
    <row r="6" spans="1:16" x14ac:dyDescent="0.25">
      <c r="A6">
        <v>1530</v>
      </c>
      <c r="B6" t="s">
        <v>3072</v>
      </c>
      <c r="C6">
        <v>37.204366826899999</v>
      </c>
      <c r="D6">
        <v>-7.0123707742799999</v>
      </c>
      <c r="E6">
        <v>3</v>
      </c>
      <c r="F6">
        <v>2</v>
      </c>
      <c r="G6">
        <v>2</v>
      </c>
      <c r="J6" t="s">
        <v>15</v>
      </c>
      <c r="K6">
        <v>2</v>
      </c>
      <c r="L6">
        <v>3.827</v>
      </c>
      <c r="M6">
        <v>2</v>
      </c>
      <c r="N6" t="s">
        <v>10017</v>
      </c>
      <c r="O6" t="str">
        <f>HYPERLINK("2\1\marker_576_372136.png", "Ver Imagen")</f>
        <v>Ver Imagen</v>
      </c>
      <c r="P6" t="str">
        <f>HYPERLINK("SE\A-497\A-497__561.png", "Ver Imagen")</f>
        <v>Ver Imagen</v>
      </c>
    </row>
    <row r="7" spans="1:16" x14ac:dyDescent="0.25">
      <c r="A7">
        <v>1578</v>
      </c>
      <c r="B7" t="s">
        <v>3168</v>
      </c>
      <c r="C7">
        <v>37.255072792699998</v>
      </c>
      <c r="D7">
        <v>-7.0146442155899997</v>
      </c>
      <c r="E7">
        <v>2</v>
      </c>
      <c r="F7">
        <v>2</v>
      </c>
      <c r="G7">
        <v>3</v>
      </c>
      <c r="J7" t="s">
        <v>15</v>
      </c>
      <c r="K7">
        <v>2</v>
      </c>
      <c r="L7">
        <v>3.6230000000000002</v>
      </c>
      <c r="M7">
        <v>2</v>
      </c>
      <c r="N7" t="s">
        <v>10018</v>
      </c>
      <c r="O7" t="str">
        <f>HYPERLINK("2\1\marker_987_378540.png", "Ver Imagen")</f>
        <v>Ver Imagen</v>
      </c>
      <c r="P7" t="str">
        <f>HYPERLINK("SE\A-497\A-497__274.png", "Ver Imagen")</f>
        <v>Ver Imagen</v>
      </c>
    </row>
    <row r="8" spans="1:16" x14ac:dyDescent="0.25">
      <c r="A8">
        <v>2028</v>
      </c>
      <c r="B8" t="s">
        <v>4069</v>
      </c>
      <c r="C8">
        <v>37.451168199900003</v>
      </c>
      <c r="D8">
        <v>-7.1274400098799999</v>
      </c>
      <c r="E8">
        <v>3</v>
      </c>
      <c r="F8">
        <v>3</v>
      </c>
      <c r="G8">
        <v>3</v>
      </c>
      <c r="J8" t="s">
        <v>15</v>
      </c>
      <c r="K8">
        <v>3</v>
      </c>
      <c r="L8">
        <v>1.383</v>
      </c>
      <c r="M8">
        <v>2</v>
      </c>
      <c r="N8" t="s">
        <v>10017</v>
      </c>
      <c r="O8" t="str">
        <f>HYPERLINK("3\0\marker_157_386170.png", "Ver Imagen")</f>
        <v>Ver Imagen</v>
      </c>
      <c r="P8" t="str">
        <f>HYPERLINK("NE\A-495_1\A-495_1__16.png", "Ver Imagen")</f>
        <v>Ver Imagen</v>
      </c>
    </row>
    <row r="9" spans="1:16" x14ac:dyDescent="0.25">
      <c r="A9">
        <v>3625</v>
      </c>
      <c r="B9" t="s">
        <v>7261</v>
      </c>
      <c r="C9">
        <v>37.261575601700002</v>
      </c>
      <c r="D9">
        <v>-7.1300585273200001</v>
      </c>
      <c r="E9">
        <v>4</v>
      </c>
      <c r="F9">
        <v>4</v>
      </c>
      <c r="G9">
        <v>3</v>
      </c>
      <c r="J9" t="s">
        <v>15</v>
      </c>
      <c r="K9">
        <v>4</v>
      </c>
      <c r="L9">
        <v>2.4049999999999998</v>
      </c>
      <c r="M9">
        <v>2</v>
      </c>
      <c r="N9" t="s">
        <v>10017</v>
      </c>
      <c r="O9" t="str">
        <f>HYPERLINK("4\1\marker_357_965717.png", "Ver Imagen")</f>
        <v>Ver Imagen</v>
      </c>
      <c r="P9" t="str">
        <f>HYPERLINK("SO\A-5053\A-5053__217.png", "Ver Imagen")</f>
        <v>Ver Imagen</v>
      </c>
    </row>
    <row r="10" spans="1:16" x14ac:dyDescent="0.25">
      <c r="A10">
        <v>3629</v>
      </c>
      <c r="B10" t="s">
        <v>7269</v>
      </c>
      <c r="C10">
        <v>37.247274025599999</v>
      </c>
      <c r="D10">
        <v>-7.0184055510299999</v>
      </c>
      <c r="E10">
        <v>4</v>
      </c>
      <c r="F10">
        <v>4</v>
      </c>
      <c r="G10">
        <v>3</v>
      </c>
      <c r="J10" t="s">
        <v>15</v>
      </c>
      <c r="K10">
        <v>4</v>
      </c>
      <c r="L10">
        <v>2.3450000000000002</v>
      </c>
      <c r="M10">
        <v>2</v>
      </c>
      <c r="N10" t="s">
        <v>10017</v>
      </c>
      <c r="O10" t="str">
        <f>HYPERLINK("4\1\marker_708_361842.png", "Ver Imagen")</f>
        <v>Ver Imagen</v>
      </c>
      <c r="P10" t="str">
        <f>HYPERLINK("SE\A-497_2C\A-497_2C__311.png", "Ver Imagen")</f>
        <v>Ver Imagen</v>
      </c>
    </row>
    <row r="11" spans="1:16" x14ac:dyDescent="0.25">
      <c r="A11">
        <v>3655</v>
      </c>
      <c r="B11" t="s">
        <v>7321</v>
      </c>
      <c r="C11">
        <v>37.467049944300001</v>
      </c>
      <c r="D11">
        <v>-7.18419336941</v>
      </c>
      <c r="E11">
        <v>3</v>
      </c>
      <c r="F11">
        <v>4</v>
      </c>
      <c r="G11">
        <v>4</v>
      </c>
      <c r="J11" t="s">
        <v>15</v>
      </c>
      <c r="K11">
        <v>4</v>
      </c>
      <c r="L11">
        <v>2.4529999999999998</v>
      </c>
      <c r="M11">
        <v>2</v>
      </c>
      <c r="N11" t="s">
        <v>10018</v>
      </c>
      <c r="O11" t="str">
        <f>HYPERLINK("4\1\marker_244_749729.png", "Ver Imagen")</f>
        <v>Ver Imagen</v>
      </c>
      <c r="P11" t="str">
        <f>HYPERLINK("NE\A-490\A-490__261.png", "Ver Imagen")</f>
        <v>Ver Imagen</v>
      </c>
    </row>
    <row r="12" spans="1:16" x14ac:dyDescent="0.25">
      <c r="A12">
        <v>3661</v>
      </c>
      <c r="B12" t="s">
        <v>7333</v>
      </c>
      <c r="C12">
        <v>37.279891176699998</v>
      </c>
      <c r="D12">
        <v>-6.99849943216</v>
      </c>
      <c r="E12">
        <v>4</v>
      </c>
      <c r="F12">
        <v>3</v>
      </c>
      <c r="G12">
        <v>4</v>
      </c>
      <c r="J12" t="s">
        <v>15</v>
      </c>
      <c r="K12">
        <v>4</v>
      </c>
      <c r="L12">
        <v>2.4620000000000002</v>
      </c>
      <c r="M12">
        <v>2</v>
      </c>
      <c r="N12" t="s">
        <v>10017</v>
      </c>
      <c r="O12" t="str">
        <f>HYPERLINK("4\1\marker_924_823168.png", "Ver Imagen")</f>
        <v>Ver Imagen</v>
      </c>
      <c r="P12" t="str">
        <f>HYPERLINK("SE\A-492\A-492__62.png", "Ver Imagen")</f>
        <v>Ver Imagen</v>
      </c>
    </row>
    <row r="13" spans="1:16" x14ac:dyDescent="0.25">
      <c r="A13">
        <v>3684</v>
      </c>
      <c r="B13" t="s">
        <v>7377</v>
      </c>
      <c r="C13">
        <v>37.269990672600002</v>
      </c>
      <c r="D13">
        <v>-7.1395727130599997</v>
      </c>
      <c r="E13">
        <v>4</v>
      </c>
      <c r="F13">
        <v>3</v>
      </c>
      <c r="G13">
        <v>4</v>
      </c>
      <c r="J13" t="s">
        <v>15</v>
      </c>
      <c r="K13">
        <v>4</v>
      </c>
      <c r="L13">
        <v>2.4529999999999998</v>
      </c>
      <c r="M13">
        <v>2</v>
      </c>
      <c r="N13" t="s">
        <v>10017</v>
      </c>
      <c r="O13" t="str">
        <f>HYPERLINK("4\1\marker_591_965097.png", "Ver Imagen")</f>
        <v>Ver Imagen</v>
      </c>
      <c r="P13" t="str">
        <f>HYPERLINK("SO\A-5053\A-5053__276.png", "Ver Imagen")</f>
        <v>Ver Imagen</v>
      </c>
    </row>
    <row r="14" spans="1:16" x14ac:dyDescent="0.25">
      <c r="A14">
        <v>3697</v>
      </c>
      <c r="B14" t="s">
        <v>7403</v>
      </c>
      <c r="C14">
        <v>37.4352432827</v>
      </c>
      <c r="D14">
        <v>-7.0712409685299997</v>
      </c>
      <c r="E14">
        <v>4</v>
      </c>
      <c r="F14">
        <v>3</v>
      </c>
      <c r="G14">
        <v>4</v>
      </c>
      <c r="J14" t="s">
        <v>15</v>
      </c>
      <c r="K14">
        <v>4</v>
      </c>
      <c r="L14">
        <v>1.9430000000000001</v>
      </c>
      <c r="M14">
        <v>2</v>
      </c>
      <c r="N14" t="s">
        <v>10017</v>
      </c>
      <c r="O14" t="str">
        <f>HYPERLINK("4\1\marker_856_382441.png", "Ver Imagen")</f>
        <v>Ver Imagen</v>
      </c>
      <c r="P14" t="str">
        <f>HYPERLINK("NE\A-495\A-495__127.png", "Ver Imagen")</f>
        <v>Ver Imagen</v>
      </c>
    </row>
    <row r="15" spans="1:16" x14ac:dyDescent="0.25">
      <c r="A15">
        <v>3716</v>
      </c>
      <c r="B15" t="s">
        <v>7441</v>
      </c>
      <c r="C15">
        <v>37.245449673499998</v>
      </c>
      <c r="D15">
        <v>-7.09423117543</v>
      </c>
      <c r="E15">
        <v>4</v>
      </c>
      <c r="F15">
        <v>3</v>
      </c>
      <c r="G15">
        <v>4</v>
      </c>
      <c r="J15" t="s">
        <v>15</v>
      </c>
      <c r="K15">
        <v>4</v>
      </c>
      <c r="L15">
        <v>2.4820000000000002</v>
      </c>
      <c r="M15">
        <v>2</v>
      </c>
      <c r="N15" t="s">
        <v>10018</v>
      </c>
      <c r="O15" t="str">
        <f>HYPERLINK("4\1\marker_518_384247.png", "Ver Imagen")</f>
        <v>Ver Imagen</v>
      </c>
      <c r="P15" t="str">
        <f>HYPERLINK("SO\A-5058\A-5058__298.png", "Ver Imagen")</f>
        <v>Ver Imagen</v>
      </c>
    </row>
    <row r="16" spans="1:16" x14ac:dyDescent="0.25">
      <c r="A16">
        <v>3727</v>
      </c>
      <c r="B16" t="s">
        <v>7463</v>
      </c>
      <c r="C16">
        <v>37.477925921800001</v>
      </c>
      <c r="D16">
        <v>-7.1271924362299997</v>
      </c>
      <c r="E16">
        <v>4</v>
      </c>
      <c r="F16">
        <v>3</v>
      </c>
      <c r="G16">
        <v>4</v>
      </c>
      <c r="J16" t="s">
        <v>15</v>
      </c>
      <c r="K16">
        <v>4</v>
      </c>
      <c r="L16">
        <v>1.8</v>
      </c>
      <c r="M16">
        <v>2</v>
      </c>
      <c r="N16" t="s">
        <v>10018</v>
      </c>
      <c r="O16" t="str">
        <f>HYPERLINK("4\1\marker_728_384122.png", "Ver Imagen")</f>
        <v>Ver Imagen</v>
      </c>
      <c r="P16" t="str">
        <f>HYPERLINK("NE\A-495_1\A-495_1__157.png", "Ver Imagen")</f>
        <v>Ver Imagen</v>
      </c>
    </row>
    <row r="17" spans="1:16" x14ac:dyDescent="0.25">
      <c r="A17">
        <v>3752</v>
      </c>
      <c r="B17" t="s">
        <v>7513</v>
      </c>
      <c r="C17">
        <v>37.265918095099998</v>
      </c>
      <c r="D17">
        <v>-6.9939657051499999</v>
      </c>
      <c r="E17">
        <v>4</v>
      </c>
      <c r="F17">
        <v>3</v>
      </c>
      <c r="G17">
        <v>4</v>
      </c>
      <c r="J17" t="s">
        <v>15</v>
      </c>
      <c r="K17">
        <v>4</v>
      </c>
      <c r="L17">
        <v>2.105</v>
      </c>
      <c r="M17">
        <v>2</v>
      </c>
      <c r="N17" t="s">
        <v>10018</v>
      </c>
      <c r="O17" t="str">
        <f>HYPERLINK("4\1\marker_534_656128.png", "Ver Imagen")</f>
        <v>Ver Imagen</v>
      </c>
      <c r="P17" t="str">
        <f>HYPERLINK("SE\A-497_2C\A-497_2C__163.png", "Ver Imagen")</f>
        <v>Ver Imagen</v>
      </c>
    </row>
    <row r="18" spans="1:16" x14ac:dyDescent="0.25">
      <c r="A18">
        <v>3791</v>
      </c>
      <c r="B18" t="s">
        <v>7591</v>
      </c>
      <c r="C18">
        <v>37.257648231899999</v>
      </c>
      <c r="D18">
        <v>-7.01300677479</v>
      </c>
      <c r="E18">
        <v>4</v>
      </c>
      <c r="F18">
        <v>3</v>
      </c>
      <c r="G18">
        <v>4</v>
      </c>
      <c r="J18" t="s">
        <v>15</v>
      </c>
      <c r="K18">
        <v>4</v>
      </c>
      <c r="L18">
        <v>2.3250000000000002</v>
      </c>
      <c r="M18">
        <v>2</v>
      </c>
      <c r="N18" t="s">
        <v>10017</v>
      </c>
      <c r="O18" t="str">
        <f>HYPERLINK("4\1\marker_644_378677.png", "Ver Imagen")</f>
        <v>Ver Imagen</v>
      </c>
      <c r="P18" t="str">
        <f>HYPERLINK("SE\A-497\A-497__260.png", "Ver Imagen")</f>
        <v>Ver Imagen</v>
      </c>
    </row>
    <row r="19" spans="1:16" x14ac:dyDescent="0.25">
      <c r="A19">
        <v>3792</v>
      </c>
      <c r="B19" t="s">
        <v>7593</v>
      </c>
      <c r="C19">
        <v>37.2577900478</v>
      </c>
      <c r="D19">
        <v>-7.0129164265900004</v>
      </c>
      <c r="E19">
        <v>4</v>
      </c>
      <c r="F19">
        <v>3</v>
      </c>
      <c r="G19">
        <v>4</v>
      </c>
      <c r="J19" t="s">
        <v>15</v>
      </c>
      <c r="K19">
        <v>4</v>
      </c>
      <c r="L19">
        <v>2.427</v>
      </c>
      <c r="M19">
        <v>2</v>
      </c>
      <c r="N19" t="s">
        <v>10018</v>
      </c>
      <c r="O19" t="str">
        <f>HYPERLINK("4\1\marker_837_378688.png", "Ver Imagen")</f>
        <v>Ver Imagen</v>
      </c>
      <c r="P19" t="str">
        <f>HYPERLINK("SE\A-497\A-497__259.png", "Ver Imagen")</f>
        <v>Ver Imagen</v>
      </c>
    </row>
    <row r="20" spans="1:16" x14ac:dyDescent="0.25">
      <c r="A20">
        <v>3815</v>
      </c>
      <c r="B20" t="s">
        <v>7639</v>
      </c>
      <c r="C20">
        <v>37.4471411265</v>
      </c>
      <c r="D20">
        <v>-7.1280079789300004</v>
      </c>
      <c r="E20">
        <v>4</v>
      </c>
      <c r="F20">
        <v>4</v>
      </c>
      <c r="G20">
        <v>3</v>
      </c>
      <c r="J20" t="s">
        <v>15</v>
      </c>
      <c r="K20">
        <v>4</v>
      </c>
      <c r="L20">
        <v>2.4169999999999998</v>
      </c>
      <c r="M20">
        <v>2</v>
      </c>
      <c r="N20" t="s">
        <v>10018</v>
      </c>
      <c r="O20" t="str">
        <f>HYPERLINK("4\1\marker_474_724942.png", "Ver Imagen")</f>
        <v>Ver Imagen</v>
      </c>
      <c r="P20" t="str">
        <f>HYPERLINK("NE\A-490\A-490__7.png", "Ver Imagen")</f>
        <v>Ver Imagen</v>
      </c>
    </row>
    <row r="21" spans="1:16" x14ac:dyDescent="0.25">
      <c r="A21">
        <v>3843</v>
      </c>
      <c r="B21" t="s">
        <v>7695</v>
      </c>
      <c r="C21">
        <v>37.435271035299998</v>
      </c>
      <c r="D21">
        <v>-7.0714992302799997</v>
      </c>
      <c r="E21">
        <v>5</v>
      </c>
      <c r="F21">
        <v>4</v>
      </c>
      <c r="G21">
        <v>4</v>
      </c>
      <c r="J21" t="s">
        <v>15</v>
      </c>
      <c r="K21">
        <v>4</v>
      </c>
      <c r="L21">
        <v>1.7829999999999999</v>
      </c>
      <c r="M21">
        <v>2</v>
      </c>
      <c r="N21" t="s">
        <v>10018</v>
      </c>
      <c r="O21" t="str">
        <f>HYPERLINK("4\1\marker_487_382433.png", "Ver Imagen")</f>
        <v>Ver Imagen</v>
      </c>
      <c r="P21" t="str">
        <f>HYPERLINK("NE\A-495\A-495__126.png", "Ver Imagen")</f>
        <v>Ver Imagen</v>
      </c>
    </row>
    <row r="22" spans="1:16" x14ac:dyDescent="0.25">
      <c r="A22">
        <v>3857</v>
      </c>
      <c r="B22" t="s">
        <v>7723</v>
      </c>
      <c r="C22">
        <v>37.267358033800001</v>
      </c>
      <c r="D22">
        <v>-6.9582329332399997</v>
      </c>
      <c r="E22">
        <v>4</v>
      </c>
      <c r="F22">
        <v>4</v>
      </c>
      <c r="G22">
        <v>3</v>
      </c>
      <c r="J22" t="s">
        <v>15</v>
      </c>
      <c r="K22">
        <v>4</v>
      </c>
      <c r="L22">
        <v>2.415</v>
      </c>
      <c r="M22">
        <v>2</v>
      </c>
      <c r="N22" t="s">
        <v>10018</v>
      </c>
      <c r="O22" t="str">
        <f>HYPERLINK("4\1\marker_965_653770.png", "Ver Imagen")</f>
        <v>Ver Imagen</v>
      </c>
      <c r="P22" t="str">
        <f>HYPERLINK("SE\A-497_2C\A-497_2C__5.png", "Ver Imagen")</f>
        <v>Ver Imagen</v>
      </c>
    </row>
    <row r="23" spans="1:16" x14ac:dyDescent="0.25">
      <c r="A23">
        <v>3868</v>
      </c>
      <c r="B23" t="s">
        <v>7745</v>
      </c>
      <c r="C23">
        <v>37.264818879499998</v>
      </c>
      <c r="D23">
        <v>-6.9999235741700003</v>
      </c>
      <c r="E23">
        <v>4</v>
      </c>
      <c r="F23">
        <v>4</v>
      </c>
      <c r="G23">
        <v>3</v>
      </c>
      <c r="J23" t="s">
        <v>15</v>
      </c>
      <c r="K23">
        <v>4</v>
      </c>
      <c r="L23">
        <v>2.298</v>
      </c>
      <c r="M23">
        <v>2</v>
      </c>
      <c r="N23" t="s">
        <v>10017</v>
      </c>
      <c r="O23" t="str">
        <f>HYPERLINK("4\1\marker_796_656391.png", "Ver Imagen")</f>
        <v>Ver Imagen</v>
      </c>
      <c r="P23" t="str">
        <f>HYPERLINK("SE\A-497_2C\A-497_2C__187.png", "Ver Imagen")</f>
        <v>Ver Imagen</v>
      </c>
    </row>
    <row r="24" spans="1:16" x14ac:dyDescent="0.25">
      <c r="A24">
        <v>3975</v>
      </c>
      <c r="B24" t="s">
        <v>7959</v>
      </c>
      <c r="C24">
        <v>37.186877912299998</v>
      </c>
      <c r="D24">
        <v>-6.9796059510499999</v>
      </c>
      <c r="E24">
        <v>5</v>
      </c>
      <c r="F24">
        <v>4</v>
      </c>
      <c r="G24">
        <v>5</v>
      </c>
      <c r="J24" t="s">
        <v>15</v>
      </c>
      <c r="K24">
        <v>5</v>
      </c>
      <c r="L24">
        <v>2.9470000000000001</v>
      </c>
      <c r="M24">
        <v>2</v>
      </c>
      <c r="N24" t="s">
        <v>10018</v>
      </c>
      <c r="O24" t="str">
        <f>HYPERLINK("5\1\marker_952_368491.png", "Ver Imagen")</f>
        <v>Ver Imagen</v>
      </c>
      <c r="P24" t="str">
        <f>HYPERLINK("SE\A-497\A-497__766.png", "Ver Imagen")</f>
        <v>Ver Imagen</v>
      </c>
    </row>
    <row r="25" spans="1:16" x14ac:dyDescent="0.25">
      <c r="A25">
        <v>3984</v>
      </c>
      <c r="B25" t="s">
        <v>7977</v>
      </c>
      <c r="C25">
        <v>37.203134648099997</v>
      </c>
      <c r="D25">
        <v>-7.0041443563800003</v>
      </c>
      <c r="E25">
        <v>5</v>
      </c>
      <c r="F25">
        <v>4</v>
      </c>
      <c r="G25">
        <v>5</v>
      </c>
      <c r="J25" t="s">
        <v>15</v>
      </c>
      <c r="K25">
        <v>5</v>
      </c>
      <c r="L25">
        <v>3.3730000000000002</v>
      </c>
      <c r="M25">
        <v>2</v>
      </c>
      <c r="N25" t="s">
        <v>10018</v>
      </c>
      <c r="O25" t="str">
        <f>HYPERLINK("5\1\marker_556_371768.png", "Ver Imagen")</f>
        <v>Ver Imagen</v>
      </c>
      <c r="P25" t="str">
        <f>HYPERLINK("SE\A-497\A-497__594.png", "Ver Imagen")</f>
        <v>Ver Imagen</v>
      </c>
    </row>
    <row r="26" spans="1:16" x14ac:dyDescent="0.25">
      <c r="A26">
        <v>3991</v>
      </c>
      <c r="B26" t="s">
        <v>7991</v>
      </c>
      <c r="C26">
        <v>37.250044621599997</v>
      </c>
      <c r="D26">
        <v>-7.0177958552000002</v>
      </c>
      <c r="E26">
        <v>5</v>
      </c>
      <c r="F26">
        <v>4</v>
      </c>
      <c r="G26">
        <v>5</v>
      </c>
      <c r="J26" t="s">
        <v>15</v>
      </c>
      <c r="K26">
        <v>5</v>
      </c>
      <c r="L26">
        <v>2.7850000000000001</v>
      </c>
      <c r="M26">
        <v>2</v>
      </c>
      <c r="N26" t="s">
        <v>10017</v>
      </c>
      <c r="O26" t="str">
        <f>HYPERLINK("5\1\marker_609_378195.png", "Ver Imagen")</f>
        <v>Ver Imagen</v>
      </c>
      <c r="P26" t="str">
        <f>HYPERLINK("SE\A-497\A-497__302.png", "Ver Imagen")</f>
        <v>Ver Imagen</v>
      </c>
    </row>
    <row r="27" spans="1:16" x14ac:dyDescent="0.25">
      <c r="A27">
        <v>3993</v>
      </c>
      <c r="B27" t="s">
        <v>7995</v>
      </c>
      <c r="C27">
        <v>37.261850512800002</v>
      </c>
      <c r="D27">
        <v>-7.0101917289199998</v>
      </c>
      <c r="E27">
        <v>5</v>
      </c>
      <c r="F27">
        <v>4</v>
      </c>
      <c r="G27">
        <v>5</v>
      </c>
      <c r="J27" t="s">
        <v>15</v>
      </c>
      <c r="K27">
        <v>5</v>
      </c>
      <c r="L27">
        <v>2.552</v>
      </c>
      <c r="M27">
        <v>2</v>
      </c>
      <c r="N27" t="s">
        <v>10017</v>
      </c>
      <c r="O27" t="str">
        <f>HYPERLINK("5\1\marker_907_378956.png", "Ver Imagen")</f>
        <v>Ver Imagen</v>
      </c>
      <c r="P27" t="str">
        <f>HYPERLINK("SE\A-497\A-497__236.png", "Ver Imagen")</f>
        <v>Ver Imagen</v>
      </c>
    </row>
    <row r="28" spans="1:16" x14ac:dyDescent="0.25">
      <c r="A28">
        <v>3995</v>
      </c>
      <c r="B28" t="s">
        <v>7999</v>
      </c>
      <c r="C28">
        <v>37.2657005951</v>
      </c>
      <c r="D28">
        <v>-6.9949531247200003</v>
      </c>
      <c r="E28">
        <v>5</v>
      </c>
      <c r="F28">
        <v>5</v>
      </c>
      <c r="G28">
        <v>4</v>
      </c>
      <c r="J28" t="s">
        <v>15</v>
      </c>
      <c r="K28">
        <v>5</v>
      </c>
      <c r="L28">
        <v>2.6640000000000001</v>
      </c>
      <c r="M28">
        <v>2</v>
      </c>
      <c r="N28" t="s">
        <v>10018</v>
      </c>
      <c r="O28" t="str">
        <f>HYPERLINK("5\1\marker_418_656170.png", "Ver Imagen")</f>
        <v>Ver Imagen</v>
      </c>
      <c r="P28" t="str">
        <f>HYPERLINK("SE\A-497_2C\A-497_2C__167.png", "Ver Imagen")</f>
        <v>Ver Imagen</v>
      </c>
    </row>
    <row r="29" spans="1:16" x14ac:dyDescent="0.25">
      <c r="A29">
        <v>4046</v>
      </c>
      <c r="B29" t="s">
        <v>8103</v>
      </c>
      <c r="C29">
        <v>37.2199968786</v>
      </c>
      <c r="D29">
        <v>-7.0227887855100004</v>
      </c>
      <c r="E29">
        <v>1</v>
      </c>
      <c r="F29">
        <v>2</v>
      </c>
      <c r="G29">
        <v>3</v>
      </c>
      <c r="H29">
        <v>2</v>
      </c>
      <c r="I29">
        <v>1</v>
      </c>
      <c r="J29" t="s">
        <v>8005</v>
      </c>
      <c r="K29">
        <v>2</v>
      </c>
      <c r="L29">
        <v>3.661</v>
      </c>
      <c r="M29">
        <v>2</v>
      </c>
      <c r="N29" t="s">
        <v>10017</v>
      </c>
      <c r="O29" t="str">
        <f>HYPERLINK("NoConsenso\marker_222_376622.png", "Ver Imagen")</f>
        <v>Ver Imagen</v>
      </c>
      <c r="P29" t="str">
        <f>HYPERLINK("SE\A-497\A-497__456.png", "Ver Imagen")</f>
        <v>Ver Imagen</v>
      </c>
    </row>
    <row r="30" spans="1:16" x14ac:dyDescent="0.25">
      <c r="A30">
        <v>4144</v>
      </c>
      <c r="B30" t="s">
        <v>8299</v>
      </c>
      <c r="C30">
        <v>37.241953778099997</v>
      </c>
      <c r="D30">
        <v>-7.0184127953699997</v>
      </c>
      <c r="E30">
        <v>4</v>
      </c>
      <c r="F30">
        <v>3</v>
      </c>
      <c r="G30">
        <v>2</v>
      </c>
      <c r="H30">
        <v>2</v>
      </c>
      <c r="I30">
        <v>2</v>
      </c>
      <c r="J30" t="s">
        <v>8005</v>
      </c>
      <c r="K30">
        <v>2</v>
      </c>
      <c r="L30">
        <v>3.62</v>
      </c>
      <c r="M30">
        <v>2</v>
      </c>
      <c r="N30" t="s">
        <v>10018</v>
      </c>
      <c r="O30" t="str">
        <f>HYPERLINK("NoConsenso\marker_609_377750.png", "Ver Imagen")</f>
        <v>Ver Imagen</v>
      </c>
      <c r="P30" t="str">
        <f>HYPERLINK("SE\A-497\A-497__342.png", "Ver Imagen")</f>
        <v>Ver Imagen</v>
      </c>
    </row>
    <row r="31" spans="1:16" x14ac:dyDescent="0.25">
      <c r="A31">
        <v>4243</v>
      </c>
      <c r="B31" t="s">
        <v>8495</v>
      </c>
      <c r="C31">
        <v>37.253557218399997</v>
      </c>
      <c r="D31">
        <v>-7.1070675344399996</v>
      </c>
      <c r="E31">
        <v>3</v>
      </c>
      <c r="F31">
        <v>1</v>
      </c>
      <c r="G31">
        <v>3</v>
      </c>
      <c r="H31">
        <v>2</v>
      </c>
      <c r="I31">
        <v>1</v>
      </c>
      <c r="J31" t="s">
        <v>8052</v>
      </c>
      <c r="K31">
        <v>1</v>
      </c>
      <c r="L31">
        <v>3</v>
      </c>
      <c r="M31">
        <v>2</v>
      </c>
      <c r="N31" t="s">
        <v>10017</v>
      </c>
      <c r="O31" t="str">
        <f>HYPERLINK("NoConsenso\marker_232_385044.png", "Ver Imagen")</f>
        <v>Ver Imagen</v>
      </c>
      <c r="P31" t="str">
        <f>HYPERLINK("SO\A-5058\A-5058__367.png", "Ver Imagen")</f>
        <v>Ver Imagen</v>
      </c>
    </row>
    <row r="32" spans="1:16" x14ac:dyDescent="0.25">
      <c r="A32">
        <v>4288</v>
      </c>
      <c r="B32" t="s">
        <v>8585</v>
      </c>
      <c r="C32">
        <v>37.491759140500001</v>
      </c>
      <c r="D32">
        <v>-7.2612684269400001</v>
      </c>
      <c r="E32">
        <v>2</v>
      </c>
      <c r="F32">
        <v>4</v>
      </c>
      <c r="G32">
        <v>4</v>
      </c>
      <c r="H32">
        <v>3</v>
      </c>
      <c r="I32">
        <v>4</v>
      </c>
      <c r="J32" t="s">
        <v>8005</v>
      </c>
      <c r="K32">
        <v>4</v>
      </c>
      <c r="L32">
        <v>2.4809999999999999</v>
      </c>
      <c r="M32">
        <v>2</v>
      </c>
      <c r="N32" t="s">
        <v>10018</v>
      </c>
      <c r="O32" t="str">
        <f>HYPERLINK("NoConsenso\marker_928_819737.png", "Ver Imagen")</f>
        <v>Ver Imagen</v>
      </c>
      <c r="P32" t="str">
        <f>HYPERLINK("NO\A-490\A-490__598.png", "Ver Imagen")</f>
        <v>Ver Imagen</v>
      </c>
    </row>
    <row r="33" spans="1:16" x14ac:dyDescent="0.25">
      <c r="A33">
        <v>4323</v>
      </c>
      <c r="B33" t="s">
        <v>8655</v>
      </c>
      <c r="C33">
        <v>37.203365846499999</v>
      </c>
      <c r="D33">
        <v>-7.0070494873299998</v>
      </c>
      <c r="E33">
        <v>4</v>
      </c>
      <c r="F33">
        <v>2</v>
      </c>
      <c r="G33">
        <v>4</v>
      </c>
      <c r="H33">
        <v>2</v>
      </c>
      <c r="I33">
        <v>3</v>
      </c>
      <c r="J33" t="s">
        <v>8052</v>
      </c>
      <c r="K33">
        <v>2</v>
      </c>
      <c r="L33">
        <v>3.5259999999999998</v>
      </c>
      <c r="M33">
        <v>2</v>
      </c>
      <c r="N33" t="s">
        <v>10017</v>
      </c>
      <c r="O33" t="str">
        <f>HYPERLINK("NoConsenso\marker_157_366562.png", "Ver Imagen")</f>
        <v>Ver Imagen</v>
      </c>
      <c r="P33" t="str">
        <f>HYPERLINK("SE\A-497_2C\A-497_2C__579.png", "Ver Imagen")</f>
        <v>Ver Imagen</v>
      </c>
    </row>
    <row r="34" spans="1:16" x14ac:dyDescent="0.25">
      <c r="A34">
        <v>4539</v>
      </c>
      <c r="B34" t="s">
        <v>9085</v>
      </c>
      <c r="C34">
        <v>37.312416345300001</v>
      </c>
      <c r="D34">
        <v>-7.0608249295999999</v>
      </c>
      <c r="E34">
        <v>1</v>
      </c>
      <c r="F34">
        <v>2</v>
      </c>
      <c r="G34">
        <v>3</v>
      </c>
      <c r="H34">
        <v>1</v>
      </c>
      <c r="I34">
        <v>1</v>
      </c>
      <c r="J34" t="s">
        <v>8005</v>
      </c>
      <c r="K34">
        <v>1</v>
      </c>
      <c r="L34">
        <v>2.5129999999999999</v>
      </c>
      <c r="M34">
        <v>2</v>
      </c>
      <c r="N34" t="s">
        <v>10018</v>
      </c>
      <c r="O34" t="str">
        <f>HYPERLINK("NoConsenso\marker_947_839437.png", "Ver Imagen")</f>
        <v>Ver Imagen</v>
      </c>
      <c r="P34" t="str">
        <f>HYPERLINK("SE\A-492\A-492__422.png", "Ver Imagen")</f>
        <v>Ver Imagen</v>
      </c>
    </row>
    <row r="35" spans="1:16" x14ac:dyDescent="0.25">
      <c r="A35">
        <v>4682</v>
      </c>
      <c r="B35" t="s">
        <v>9371</v>
      </c>
      <c r="C35">
        <v>37.261639565800003</v>
      </c>
      <c r="D35">
        <v>-7.0106019210600001</v>
      </c>
      <c r="E35">
        <v>4</v>
      </c>
      <c r="F35">
        <v>2</v>
      </c>
      <c r="G35">
        <v>2</v>
      </c>
      <c r="H35">
        <v>1</v>
      </c>
      <c r="I35">
        <v>1</v>
      </c>
      <c r="J35" t="s">
        <v>8052</v>
      </c>
      <c r="K35">
        <v>1</v>
      </c>
      <c r="L35">
        <v>2.605</v>
      </c>
      <c r="M35">
        <v>2</v>
      </c>
      <c r="N35" t="s">
        <v>10017</v>
      </c>
      <c r="O35" t="str">
        <f>HYPERLINK("NoConsenso\marker_375_656908.png", "Ver Imagen")</f>
        <v>Ver Imagen</v>
      </c>
      <c r="P35" t="str">
        <f>HYPERLINK("SE\A-497_2C\A-497_2C__233.png", "Ver Imagen")</f>
        <v>Ver Imagen</v>
      </c>
    </row>
    <row r="36" spans="1:16" x14ac:dyDescent="0.25">
      <c r="A36">
        <v>4760</v>
      </c>
      <c r="B36" t="s">
        <v>9527</v>
      </c>
      <c r="C36">
        <v>37.486534181099998</v>
      </c>
      <c r="D36">
        <v>-7.2384470390500004</v>
      </c>
      <c r="E36">
        <v>2</v>
      </c>
      <c r="F36">
        <v>4</v>
      </c>
      <c r="G36">
        <v>5</v>
      </c>
      <c r="H36">
        <v>3</v>
      </c>
      <c r="I36">
        <v>3</v>
      </c>
      <c r="J36" t="s">
        <v>8005</v>
      </c>
      <c r="K36">
        <v>3</v>
      </c>
      <c r="L36">
        <v>1.4590000000000001</v>
      </c>
      <c r="M36">
        <v>2</v>
      </c>
      <c r="N36" t="s">
        <v>10018</v>
      </c>
      <c r="O36" t="str">
        <f>HYPERLINK("NoConsenso\marker_979_817529.png", "Ver Imagen")</f>
        <v>Ver Imagen</v>
      </c>
      <c r="P36" t="str">
        <f>HYPERLINK("NO\A-490\A-490__498.png", "Ver Imagen")</f>
        <v>Ver Imagen</v>
      </c>
    </row>
    <row r="37" spans="1:16" x14ac:dyDescent="0.25">
      <c r="A37">
        <v>4971</v>
      </c>
      <c r="B37" t="s">
        <v>9945</v>
      </c>
      <c r="C37">
        <v>37.225224392500003</v>
      </c>
      <c r="D37">
        <v>-7.04094766495</v>
      </c>
      <c r="E37">
        <v>3</v>
      </c>
      <c r="F37">
        <v>2</v>
      </c>
      <c r="H37">
        <v>1</v>
      </c>
      <c r="I37">
        <v>1</v>
      </c>
      <c r="J37" t="s">
        <v>8052</v>
      </c>
      <c r="K37">
        <v>1</v>
      </c>
      <c r="L37">
        <v>2.734</v>
      </c>
      <c r="M37">
        <v>2</v>
      </c>
      <c r="N37" t="s">
        <v>10017</v>
      </c>
      <c r="O37" t="str">
        <f>HYPERLINK("Solo2\marker_382_380598.png", "Ver Imagen")</f>
        <v>Ver Imagen</v>
      </c>
      <c r="P37" t="str">
        <f>HYPERLINK("SE\A-5058\A-5058__56.png", "Ver Imagen")</f>
        <v>Ver Imagen</v>
      </c>
    </row>
    <row r="38" spans="1:16" x14ac:dyDescent="0.25">
      <c r="A38">
        <v>10</v>
      </c>
      <c r="B38" t="s">
        <v>32</v>
      </c>
      <c r="C38">
        <v>37.464828793899997</v>
      </c>
      <c r="D38">
        <v>-7.1205977811399999</v>
      </c>
      <c r="E38">
        <v>1</v>
      </c>
      <c r="F38">
        <v>1</v>
      </c>
      <c r="G38">
        <v>1</v>
      </c>
      <c r="J38" t="s">
        <v>15</v>
      </c>
      <c r="K38">
        <v>1</v>
      </c>
      <c r="L38">
        <v>1.522</v>
      </c>
      <c r="M38">
        <v>1</v>
      </c>
      <c r="O38" t="str">
        <f>HYPERLINK("1\0\marker_460_895660.png", "Ver Imagen")</f>
        <v>Ver Imagen</v>
      </c>
      <c r="P38" t="str">
        <f>HYPERLINK("NE\A-495R\A-495R__113.png", "Ver Imagen")</f>
        <v>Ver Imagen</v>
      </c>
    </row>
    <row r="39" spans="1:16" x14ac:dyDescent="0.25">
      <c r="A39">
        <v>11</v>
      </c>
      <c r="B39" t="s">
        <v>34</v>
      </c>
      <c r="C39">
        <v>37.464754788699999</v>
      </c>
      <c r="D39">
        <v>-7.1203678847500003</v>
      </c>
      <c r="E39">
        <v>1</v>
      </c>
      <c r="F39">
        <v>1</v>
      </c>
      <c r="G39">
        <v>1</v>
      </c>
      <c r="J39" t="s">
        <v>15</v>
      </c>
      <c r="K39">
        <v>1</v>
      </c>
      <c r="L39">
        <v>1.821</v>
      </c>
      <c r="M39">
        <v>1</v>
      </c>
      <c r="N39" t="s">
        <v>10017</v>
      </c>
      <c r="O39" t="str">
        <f>HYPERLINK("1\0\marker_946_895675.png", "Ver Imagen")</f>
        <v>Ver Imagen</v>
      </c>
      <c r="P39" t="str">
        <f>HYPERLINK("NE\A-495R\A-495R__112.png", "Ver Imagen")</f>
        <v>Ver Imagen</v>
      </c>
    </row>
    <row r="40" spans="1:16" x14ac:dyDescent="0.25">
      <c r="A40">
        <v>12</v>
      </c>
      <c r="B40" t="s">
        <v>36</v>
      </c>
      <c r="C40">
        <v>37.464663701500001</v>
      </c>
      <c r="D40">
        <v>-7.1200814073299998</v>
      </c>
      <c r="E40">
        <v>1</v>
      </c>
      <c r="F40">
        <v>1</v>
      </c>
      <c r="G40">
        <v>1</v>
      </c>
      <c r="J40" t="s">
        <v>15</v>
      </c>
      <c r="K40">
        <v>1</v>
      </c>
      <c r="L40">
        <v>1.901</v>
      </c>
      <c r="M40">
        <v>1</v>
      </c>
      <c r="O40" t="str">
        <f>HYPERLINK("1\0\marker_201_895686.png", "Ver Imagen")</f>
        <v>Ver Imagen</v>
      </c>
      <c r="P40" t="str">
        <f>HYPERLINK("NE\A-495R\A-495R__111.png", "Ver Imagen")</f>
        <v>Ver Imagen</v>
      </c>
    </row>
    <row r="41" spans="1:16" x14ac:dyDescent="0.25">
      <c r="A41">
        <v>16</v>
      </c>
      <c r="B41" t="s">
        <v>44</v>
      </c>
      <c r="C41">
        <v>37.2127200097</v>
      </c>
      <c r="D41">
        <v>-7.06096965411</v>
      </c>
      <c r="E41">
        <v>1</v>
      </c>
      <c r="F41">
        <v>1</v>
      </c>
      <c r="G41">
        <v>1</v>
      </c>
      <c r="J41" t="s">
        <v>15</v>
      </c>
      <c r="K41">
        <v>1</v>
      </c>
      <c r="L41">
        <v>2.2389999999999999</v>
      </c>
      <c r="M41">
        <v>1</v>
      </c>
      <c r="N41" t="s">
        <v>10017</v>
      </c>
      <c r="O41" t="str">
        <f>HYPERLINK("1\0\marker_817_960212.png", "Ver Imagen")</f>
        <v>Ver Imagen</v>
      </c>
      <c r="P41" t="str">
        <f>HYPERLINK("SE\A-5052\A-5052__261.png", "Ver Imagen")</f>
        <v>Ver Imagen</v>
      </c>
    </row>
    <row r="42" spans="1:16" x14ac:dyDescent="0.25">
      <c r="A42">
        <v>41</v>
      </c>
      <c r="B42" t="s">
        <v>94</v>
      </c>
      <c r="C42">
        <v>37.265425981999996</v>
      </c>
      <c r="D42">
        <v>-6.9964484622400001</v>
      </c>
      <c r="E42">
        <v>1</v>
      </c>
      <c r="F42">
        <v>1</v>
      </c>
      <c r="G42">
        <v>1</v>
      </c>
      <c r="J42" t="s">
        <v>15</v>
      </c>
      <c r="K42">
        <v>1</v>
      </c>
      <c r="L42">
        <v>1.861</v>
      </c>
      <c r="M42">
        <v>1</v>
      </c>
      <c r="N42" t="s">
        <v>10017</v>
      </c>
      <c r="O42" t="str">
        <f>HYPERLINK("1\0\marker_618_656226.png", "Ver Imagen")</f>
        <v>Ver Imagen</v>
      </c>
      <c r="P42" t="str">
        <f>HYPERLINK("SE\A-497_2C\A-497_2C__173.png", "Ver Imagen")</f>
        <v>Ver Imagen</v>
      </c>
    </row>
    <row r="43" spans="1:16" x14ac:dyDescent="0.25">
      <c r="A43">
        <v>42</v>
      </c>
      <c r="B43" t="s">
        <v>96</v>
      </c>
      <c r="C43">
        <v>37.265373799700001</v>
      </c>
      <c r="D43">
        <v>-6.9967061943199997</v>
      </c>
      <c r="E43">
        <v>1</v>
      </c>
      <c r="F43">
        <v>1</v>
      </c>
      <c r="G43">
        <v>1</v>
      </c>
      <c r="J43" t="s">
        <v>15</v>
      </c>
      <c r="K43">
        <v>1</v>
      </c>
      <c r="L43">
        <v>1.754</v>
      </c>
      <c r="M43">
        <v>1</v>
      </c>
      <c r="N43" t="s">
        <v>10018</v>
      </c>
      <c r="O43" t="str">
        <f>HYPERLINK("1\0\marker_487_656235.png", "Ver Imagen")</f>
        <v>Ver Imagen</v>
      </c>
      <c r="P43" t="str">
        <f>HYPERLINK("SE\A-497_2C\A-497_2C__174.png", "Ver Imagen")</f>
        <v>Ver Imagen</v>
      </c>
    </row>
    <row r="44" spans="1:16" x14ac:dyDescent="0.25">
      <c r="A44">
        <v>43</v>
      </c>
      <c r="B44" t="s">
        <v>98</v>
      </c>
      <c r="C44">
        <v>37.265328464500001</v>
      </c>
      <c r="D44">
        <v>-6.9969362800499999</v>
      </c>
      <c r="E44">
        <v>1</v>
      </c>
      <c r="F44">
        <v>1</v>
      </c>
      <c r="G44">
        <v>1</v>
      </c>
      <c r="J44" t="s">
        <v>15</v>
      </c>
      <c r="K44">
        <v>1</v>
      </c>
      <c r="L44">
        <v>1.55</v>
      </c>
      <c r="M44">
        <v>1</v>
      </c>
      <c r="N44" t="s">
        <v>10017</v>
      </c>
      <c r="O44" t="str">
        <f>HYPERLINK("1\0\marker_686_656246.png", "Ver Imagen")</f>
        <v>Ver Imagen</v>
      </c>
      <c r="P44" t="str">
        <f>HYPERLINK("SE\A-497_2C\A-497_2C__175.png", "Ver Imagen")</f>
        <v>Ver Imagen</v>
      </c>
    </row>
    <row r="45" spans="1:16" x14ac:dyDescent="0.25">
      <c r="A45">
        <v>55</v>
      </c>
      <c r="B45" t="s">
        <v>122</v>
      </c>
      <c r="C45">
        <v>37.490072088300003</v>
      </c>
      <c r="D45">
        <v>-7.2587693281999996</v>
      </c>
      <c r="E45">
        <v>1</v>
      </c>
      <c r="F45">
        <v>2</v>
      </c>
      <c r="G45">
        <v>1</v>
      </c>
      <c r="J45" t="s">
        <v>15</v>
      </c>
      <c r="K45">
        <v>1</v>
      </c>
      <c r="L45">
        <v>1.5509999999999999</v>
      </c>
      <c r="M45">
        <v>1</v>
      </c>
      <c r="N45" t="s">
        <v>10019</v>
      </c>
      <c r="O45" t="str">
        <f>HYPERLINK("1\1\marker_703_819536.png", "Ver Imagen")</f>
        <v>Ver Imagen</v>
      </c>
      <c r="P45" t="str">
        <f>HYPERLINK("NO\A-490\A-490__584.png", "Ver Imagen")</f>
        <v>Ver Imagen</v>
      </c>
    </row>
    <row r="46" spans="1:16" x14ac:dyDescent="0.25">
      <c r="A46">
        <v>56</v>
      </c>
      <c r="B46" t="s">
        <v>124</v>
      </c>
      <c r="C46">
        <v>37.4766149282</v>
      </c>
      <c r="D46">
        <v>-7.2024947993400001</v>
      </c>
      <c r="E46">
        <v>1</v>
      </c>
      <c r="F46">
        <v>2</v>
      </c>
      <c r="G46">
        <v>1</v>
      </c>
      <c r="J46" t="s">
        <v>15</v>
      </c>
      <c r="K46">
        <v>1</v>
      </c>
      <c r="L46">
        <v>2.2469999999999999</v>
      </c>
      <c r="M46">
        <v>1</v>
      </c>
      <c r="N46" t="s">
        <v>10018</v>
      </c>
      <c r="O46" t="str">
        <f>HYPERLINK("1\1\marker_213_751630.png", "Ver Imagen")</f>
        <v>Ver Imagen</v>
      </c>
      <c r="P46" t="str">
        <f>HYPERLINK("NO\A-490\A-490__347.png", "Ver Imagen")</f>
        <v>Ver Imagen</v>
      </c>
    </row>
    <row r="47" spans="1:16" x14ac:dyDescent="0.25">
      <c r="A47">
        <v>57</v>
      </c>
      <c r="B47" t="s">
        <v>126</v>
      </c>
      <c r="C47">
        <v>37.478807186399997</v>
      </c>
      <c r="D47">
        <v>-7.2075822943999999</v>
      </c>
      <c r="E47">
        <v>1</v>
      </c>
      <c r="F47">
        <v>2</v>
      </c>
      <c r="G47">
        <v>1</v>
      </c>
      <c r="J47" t="s">
        <v>15</v>
      </c>
      <c r="K47">
        <v>1</v>
      </c>
      <c r="L47">
        <v>2.3929999999999998</v>
      </c>
      <c r="M47">
        <v>1</v>
      </c>
      <c r="N47" t="s">
        <v>10018</v>
      </c>
      <c r="O47" t="str">
        <f>HYPERLINK("1\1\marker_809_752101.png", "Ver Imagen")</f>
        <v>Ver Imagen</v>
      </c>
      <c r="P47" t="str">
        <f>HYPERLINK("NO\A-490\A-490__370.png", "Ver Imagen")</f>
        <v>Ver Imagen</v>
      </c>
    </row>
    <row r="48" spans="1:16" x14ac:dyDescent="0.25">
      <c r="A48">
        <v>61</v>
      </c>
      <c r="B48" t="s">
        <v>134</v>
      </c>
      <c r="C48">
        <v>37.485683077399997</v>
      </c>
      <c r="D48">
        <v>-7.2340341173400002</v>
      </c>
      <c r="E48">
        <v>1</v>
      </c>
      <c r="F48">
        <v>2</v>
      </c>
      <c r="G48">
        <v>1</v>
      </c>
      <c r="J48" t="s">
        <v>15</v>
      </c>
      <c r="K48">
        <v>1</v>
      </c>
      <c r="L48">
        <v>1.774</v>
      </c>
      <c r="M48">
        <v>1</v>
      </c>
      <c r="N48" t="s">
        <v>10017</v>
      </c>
      <c r="O48" t="str">
        <f>HYPERLINK("1\1\marker_905_755589.png", "Ver Imagen")</f>
        <v>Ver Imagen</v>
      </c>
      <c r="P48" t="str">
        <f>HYPERLINK("NO\A-490\A-490__480.png", "Ver Imagen")</f>
        <v>Ver Imagen</v>
      </c>
    </row>
    <row r="49" spans="1:16" x14ac:dyDescent="0.25">
      <c r="A49">
        <v>65</v>
      </c>
      <c r="B49" t="s">
        <v>142</v>
      </c>
      <c r="C49">
        <v>37.488319986999997</v>
      </c>
      <c r="D49">
        <v>-7.2462215668900001</v>
      </c>
      <c r="E49">
        <v>1</v>
      </c>
      <c r="F49">
        <v>2</v>
      </c>
      <c r="G49">
        <v>1</v>
      </c>
      <c r="J49" t="s">
        <v>15</v>
      </c>
      <c r="K49">
        <v>1</v>
      </c>
      <c r="L49">
        <v>2.23</v>
      </c>
      <c r="M49">
        <v>1</v>
      </c>
      <c r="N49" t="s">
        <v>10018</v>
      </c>
      <c r="O49" t="str">
        <f>HYPERLINK("1\1\marker_309_818205.png", "Ver Imagen")</f>
        <v>Ver Imagen</v>
      </c>
      <c r="P49" t="str">
        <f>HYPERLINK("NO\A-490\A-490__530.png", "Ver Imagen")</f>
        <v>Ver Imagen</v>
      </c>
    </row>
    <row r="50" spans="1:16" x14ac:dyDescent="0.25">
      <c r="A50">
        <v>66</v>
      </c>
      <c r="B50" t="s">
        <v>144</v>
      </c>
      <c r="C50">
        <v>37.488404981800002</v>
      </c>
      <c r="D50">
        <v>-7.24643799521</v>
      </c>
      <c r="E50">
        <v>1</v>
      </c>
      <c r="F50">
        <v>2</v>
      </c>
      <c r="G50">
        <v>1</v>
      </c>
      <c r="J50" t="s">
        <v>15</v>
      </c>
      <c r="K50">
        <v>1</v>
      </c>
      <c r="L50">
        <v>2.0129999999999999</v>
      </c>
      <c r="M50">
        <v>1</v>
      </c>
      <c r="N50" t="s">
        <v>10018</v>
      </c>
      <c r="O50" t="str">
        <f>HYPERLINK("1\1\marker_723_818219.png", "Ver Imagen")</f>
        <v>Ver Imagen</v>
      </c>
      <c r="P50" t="str">
        <f>HYPERLINK("NO\A-490\A-490__531.png", "Ver Imagen")</f>
        <v>Ver Imagen</v>
      </c>
    </row>
    <row r="51" spans="1:16" x14ac:dyDescent="0.25">
      <c r="A51">
        <v>81</v>
      </c>
      <c r="B51" t="s">
        <v>174</v>
      </c>
      <c r="C51">
        <v>37.4901525975</v>
      </c>
      <c r="D51">
        <v>-7.2579835316999999</v>
      </c>
      <c r="E51">
        <v>1</v>
      </c>
      <c r="F51">
        <v>2</v>
      </c>
      <c r="G51">
        <v>1</v>
      </c>
      <c r="J51" t="s">
        <v>15</v>
      </c>
      <c r="K51">
        <v>1</v>
      </c>
      <c r="L51">
        <v>1.887</v>
      </c>
      <c r="M51">
        <v>1</v>
      </c>
      <c r="N51" t="s">
        <v>10017</v>
      </c>
      <c r="O51" t="str">
        <f>HYPERLINK("1\1\marker_443_819486.png", "Ver Imagen")</f>
        <v>Ver Imagen</v>
      </c>
      <c r="P51" t="str">
        <f>HYPERLINK("NO\A-490\A-490__581.png", "Ver Imagen")</f>
        <v>Ver Imagen</v>
      </c>
    </row>
    <row r="52" spans="1:16" x14ac:dyDescent="0.25">
      <c r="A52">
        <v>85</v>
      </c>
      <c r="B52" t="s">
        <v>182</v>
      </c>
      <c r="C52">
        <v>37.464353826</v>
      </c>
      <c r="D52">
        <v>-7.1191946485799997</v>
      </c>
      <c r="E52">
        <v>1</v>
      </c>
      <c r="F52">
        <v>1</v>
      </c>
      <c r="G52">
        <v>2</v>
      </c>
      <c r="J52" t="s">
        <v>15</v>
      </c>
      <c r="K52">
        <v>1</v>
      </c>
      <c r="L52">
        <v>1.9239999999999999</v>
      </c>
      <c r="M52">
        <v>1</v>
      </c>
      <c r="N52" t="s">
        <v>10018</v>
      </c>
      <c r="O52" t="str">
        <f>HYPERLINK("1\1\marker_305_895782.png", "Ver Imagen")</f>
        <v>Ver Imagen</v>
      </c>
      <c r="P52" t="str">
        <f>HYPERLINK("NE\A-495R\A-495R__107.png", "Ver Imagen")</f>
        <v>Ver Imagen</v>
      </c>
    </row>
    <row r="53" spans="1:16" x14ac:dyDescent="0.25">
      <c r="A53">
        <v>86</v>
      </c>
      <c r="B53" t="s">
        <v>184</v>
      </c>
      <c r="C53">
        <v>37.463497445599998</v>
      </c>
      <c r="D53">
        <v>-7.1181446172699996</v>
      </c>
      <c r="E53">
        <v>1</v>
      </c>
      <c r="F53">
        <v>1</v>
      </c>
      <c r="G53">
        <v>2</v>
      </c>
      <c r="J53" t="s">
        <v>15</v>
      </c>
      <c r="K53">
        <v>1</v>
      </c>
      <c r="L53">
        <v>2.3140000000000001</v>
      </c>
      <c r="M53">
        <v>1</v>
      </c>
      <c r="O53" t="str">
        <f>HYPERLINK("1\1\marker_866_896585.png", "Ver Imagen")</f>
        <v>Ver Imagen</v>
      </c>
      <c r="P53" t="str">
        <f>HYPERLINK("NE\A-495R\A-495R__101.png", "Ver Imagen")</f>
        <v>Ver Imagen</v>
      </c>
    </row>
    <row r="54" spans="1:16" x14ac:dyDescent="0.25">
      <c r="A54">
        <v>91</v>
      </c>
      <c r="B54" t="s">
        <v>194</v>
      </c>
      <c r="C54">
        <v>37.4622247597</v>
      </c>
      <c r="D54">
        <v>-7.1172453419800004</v>
      </c>
      <c r="E54">
        <v>1</v>
      </c>
      <c r="F54">
        <v>1</v>
      </c>
      <c r="G54">
        <v>2</v>
      </c>
      <c r="J54" t="s">
        <v>15</v>
      </c>
      <c r="K54">
        <v>1</v>
      </c>
      <c r="L54">
        <v>2.306</v>
      </c>
      <c r="M54">
        <v>1</v>
      </c>
      <c r="O54" t="str">
        <f>HYPERLINK("1\1\marker_195_906570.png", "Ver Imagen")</f>
        <v>Ver Imagen</v>
      </c>
      <c r="P54" t="str">
        <f>HYPERLINK("NE\A-495R\A-495R__94.png", "Ver Imagen")</f>
        <v>Ver Imagen</v>
      </c>
    </row>
    <row r="55" spans="1:16" x14ac:dyDescent="0.25">
      <c r="A55">
        <v>94</v>
      </c>
      <c r="B55" t="s">
        <v>200</v>
      </c>
      <c r="C55">
        <v>37.461741192600002</v>
      </c>
      <c r="D55">
        <v>-7.11677741959</v>
      </c>
      <c r="E55">
        <v>1</v>
      </c>
      <c r="F55">
        <v>1</v>
      </c>
      <c r="G55">
        <v>2</v>
      </c>
      <c r="J55" t="s">
        <v>15</v>
      </c>
      <c r="K55">
        <v>1</v>
      </c>
      <c r="L55">
        <v>1.6479999999999999</v>
      </c>
      <c r="M55">
        <v>1</v>
      </c>
      <c r="O55" t="str">
        <f>HYPERLINK("1\1\marker_181_906607.png", "Ver Imagen")</f>
        <v>Ver Imagen</v>
      </c>
      <c r="P55" t="str">
        <f>HYPERLINK("NE\A-495R\A-495R__91.png", "Ver Imagen")</f>
        <v>Ver Imagen</v>
      </c>
    </row>
    <row r="56" spans="1:16" x14ac:dyDescent="0.25">
      <c r="A56">
        <v>95</v>
      </c>
      <c r="B56" t="s">
        <v>202</v>
      </c>
      <c r="C56">
        <v>37.461614676099998</v>
      </c>
      <c r="D56">
        <v>-7.1166238505599999</v>
      </c>
      <c r="E56">
        <v>1</v>
      </c>
      <c r="F56">
        <v>1</v>
      </c>
      <c r="G56">
        <v>2</v>
      </c>
      <c r="J56" t="s">
        <v>15</v>
      </c>
      <c r="K56">
        <v>1</v>
      </c>
      <c r="L56">
        <v>2.2999999999999998</v>
      </c>
      <c r="M56">
        <v>1</v>
      </c>
      <c r="O56" t="str">
        <f>HYPERLINK("1\1\marker_565_906617.png", "Ver Imagen")</f>
        <v>Ver Imagen</v>
      </c>
      <c r="P56" t="str">
        <f>HYPERLINK("NE\A-495R\A-495R__90.png", "Ver Imagen")</f>
        <v>Ver Imagen</v>
      </c>
    </row>
    <row r="57" spans="1:16" x14ac:dyDescent="0.25">
      <c r="A57">
        <v>96</v>
      </c>
      <c r="B57" t="s">
        <v>204</v>
      </c>
      <c r="C57">
        <v>37.461337182900003</v>
      </c>
      <c r="D57">
        <v>-7.1162764876000004</v>
      </c>
      <c r="E57">
        <v>1</v>
      </c>
      <c r="F57">
        <v>1</v>
      </c>
      <c r="G57">
        <v>2</v>
      </c>
      <c r="J57" t="s">
        <v>15</v>
      </c>
      <c r="K57">
        <v>1</v>
      </c>
      <c r="L57">
        <v>2.3109999999999999</v>
      </c>
      <c r="M57">
        <v>1</v>
      </c>
      <c r="O57" t="str">
        <f>HYPERLINK("1\1\marker_907_906638.png", "Ver Imagen")</f>
        <v>Ver Imagen</v>
      </c>
      <c r="P57" t="str">
        <f>HYPERLINK("NE\A-495R\A-495R__88.png", "Ver Imagen")</f>
        <v>Ver Imagen</v>
      </c>
    </row>
    <row r="58" spans="1:16" x14ac:dyDescent="0.25">
      <c r="A58">
        <v>98</v>
      </c>
      <c r="B58" t="s">
        <v>208</v>
      </c>
      <c r="C58">
        <v>37.460018402499998</v>
      </c>
      <c r="D58">
        <v>-7.1151288587100003</v>
      </c>
      <c r="E58">
        <v>1</v>
      </c>
      <c r="F58">
        <v>1</v>
      </c>
      <c r="G58">
        <v>2</v>
      </c>
      <c r="J58" t="s">
        <v>15</v>
      </c>
      <c r="K58">
        <v>1</v>
      </c>
      <c r="L58">
        <v>1.7769999999999999</v>
      </c>
      <c r="M58">
        <v>1</v>
      </c>
      <c r="N58" t="s">
        <v>10018</v>
      </c>
      <c r="O58" t="str">
        <f>HYPERLINK("1\1\marker_550_906714.png", "Ver Imagen")</f>
        <v>Ver Imagen</v>
      </c>
      <c r="P58" t="str">
        <f>HYPERLINK("NE\A-495R\A-495R__80.png", "Ver Imagen")</f>
        <v>Ver Imagen</v>
      </c>
    </row>
    <row r="59" spans="1:16" x14ac:dyDescent="0.25">
      <c r="A59">
        <v>106</v>
      </c>
      <c r="B59" t="s">
        <v>224</v>
      </c>
      <c r="C59">
        <v>37.217449255600002</v>
      </c>
      <c r="D59">
        <v>-7.1079332283600003</v>
      </c>
      <c r="E59">
        <v>1</v>
      </c>
      <c r="F59">
        <v>1</v>
      </c>
      <c r="G59">
        <v>2</v>
      </c>
      <c r="J59" t="s">
        <v>15</v>
      </c>
      <c r="K59">
        <v>1</v>
      </c>
      <c r="L59">
        <v>2.1779999999999999</v>
      </c>
      <c r="M59">
        <v>1</v>
      </c>
      <c r="N59" t="s">
        <v>10017</v>
      </c>
      <c r="O59" t="str">
        <f>HYPERLINK("1\1\marker_832_957198.png", "Ver Imagen")</f>
        <v>Ver Imagen</v>
      </c>
      <c r="P59" t="str">
        <f>HYPERLINK("SO\A-5052\A-5052__72.png", "Ver Imagen")</f>
        <v>Ver Imagen</v>
      </c>
    </row>
    <row r="60" spans="1:16" x14ac:dyDescent="0.25">
      <c r="A60">
        <v>115</v>
      </c>
      <c r="B60" t="s">
        <v>242</v>
      </c>
      <c r="C60">
        <v>37.2166573911</v>
      </c>
      <c r="D60">
        <v>-7.09565970392</v>
      </c>
      <c r="E60">
        <v>1</v>
      </c>
      <c r="F60">
        <v>1</v>
      </c>
      <c r="G60">
        <v>2</v>
      </c>
      <c r="J60" t="s">
        <v>15</v>
      </c>
      <c r="K60">
        <v>1</v>
      </c>
      <c r="L60">
        <v>2.1440000000000001</v>
      </c>
      <c r="M60">
        <v>1</v>
      </c>
      <c r="N60" t="s">
        <v>10018</v>
      </c>
      <c r="O60" t="str">
        <f>HYPERLINK("1\1\marker_532_957950.png", "Ver Imagen")</f>
        <v>Ver Imagen</v>
      </c>
      <c r="P60" t="str">
        <f>HYPERLINK("SO\A-5052\A-5052__121.png", "Ver Imagen")</f>
        <v>Ver Imagen</v>
      </c>
    </row>
    <row r="61" spans="1:16" x14ac:dyDescent="0.25">
      <c r="A61">
        <v>117</v>
      </c>
      <c r="B61" t="s">
        <v>246</v>
      </c>
      <c r="C61">
        <v>37.216227173</v>
      </c>
      <c r="D61">
        <v>-7.0843834838399999</v>
      </c>
      <c r="E61">
        <v>1</v>
      </c>
      <c r="F61">
        <v>1</v>
      </c>
      <c r="G61">
        <v>2</v>
      </c>
      <c r="J61" t="s">
        <v>15</v>
      </c>
      <c r="K61">
        <v>1</v>
      </c>
      <c r="L61">
        <v>2.0499999999999998</v>
      </c>
      <c r="M61">
        <v>1</v>
      </c>
      <c r="N61" t="s">
        <v>10017</v>
      </c>
      <c r="O61" t="str">
        <f>HYPERLINK("1\1\marker_710_958849.png", "Ver Imagen")</f>
        <v>Ver Imagen</v>
      </c>
      <c r="P61" t="str">
        <f>HYPERLINK("SE\A-5052\A-5052__166.png", "Ver Imagen")</f>
        <v>Ver Imagen</v>
      </c>
    </row>
    <row r="62" spans="1:16" x14ac:dyDescent="0.25">
      <c r="A62">
        <v>119</v>
      </c>
      <c r="B62" t="s">
        <v>250</v>
      </c>
      <c r="C62">
        <v>37.215252385299998</v>
      </c>
      <c r="D62">
        <v>-7.0805504620899997</v>
      </c>
      <c r="E62">
        <v>1</v>
      </c>
      <c r="F62">
        <v>1</v>
      </c>
      <c r="G62">
        <v>2</v>
      </c>
      <c r="J62" t="s">
        <v>15</v>
      </c>
      <c r="K62">
        <v>1</v>
      </c>
      <c r="L62">
        <v>1.6579999999999999</v>
      </c>
      <c r="M62">
        <v>1</v>
      </c>
      <c r="N62" t="s">
        <v>10018</v>
      </c>
      <c r="O62" t="str">
        <f>HYPERLINK("1\1\marker_889_959189.png", "Ver Imagen")</f>
        <v>Ver Imagen</v>
      </c>
      <c r="P62" t="str">
        <f>HYPERLINK("SE\A-5052\A-5052__182.png", "Ver Imagen")</f>
        <v>Ver Imagen</v>
      </c>
    </row>
    <row r="63" spans="1:16" x14ac:dyDescent="0.25">
      <c r="A63">
        <v>119</v>
      </c>
      <c r="B63" t="s">
        <v>250</v>
      </c>
      <c r="C63">
        <v>37.215252385299998</v>
      </c>
      <c r="D63">
        <v>-7.0805504620899997</v>
      </c>
      <c r="E63">
        <v>1</v>
      </c>
      <c r="F63">
        <v>1</v>
      </c>
      <c r="G63">
        <v>2</v>
      </c>
      <c r="J63" t="s">
        <v>15</v>
      </c>
      <c r="K63">
        <v>1</v>
      </c>
      <c r="L63">
        <v>1.595</v>
      </c>
      <c r="M63">
        <v>1</v>
      </c>
      <c r="N63" t="s">
        <v>10018</v>
      </c>
      <c r="O63" t="str">
        <f>HYPERLINK("1\1\marker_889_959189.png", "Ver Imagen")</f>
        <v>Ver Imagen</v>
      </c>
      <c r="P63" t="str">
        <f>HYPERLINK("SO\A-5052\A-5052__182.png", "Ver Imagen")</f>
        <v>Ver Imagen</v>
      </c>
    </row>
    <row r="64" spans="1:16" x14ac:dyDescent="0.25">
      <c r="A64">
        <v>132</v>
      </c>
      <c r="B64" t="s">
        <v>276</v>
      </c>
      <c r="C64">
        <v>37.213534972600002</v>
      </c>
      <c r="D64">
        <v>-7.0704035917699999</v>
      </c>
      <c r="E64">
        <v>1</v>
      </c>
      <c r="F64">
        <v>1</v>
      </c>
      <c r="G64">
        <v>2</v>
      </c>
      <c r="J64" t="s">
        <v>15</v>
      </c>
      <c r="K64">
        <v>1</v>
      </c>
      <c r="L64">
        <v>1.762</v>
      </c>
      <c r="M64">
        <v>1</v>
      </c>
      <c r="N64" t="s">
        <v>10017</v>
      </c>
      <c r="O64" t="str">
        <f>HYPERLINK("1\1\marker_270_959748.png", "Ver Imagen")</f>
        <v>Ver Imagen</v>
      </c>
      <c r="P64" t="str">
        <f>HYPERLINK("SE\A-5052\A-5052__223.png", "Ver Imagen")</f>
        <v>Ver Imagen</v>
      </c>
    </row>
    <row r="65" spans="1:16" x14ac:dyDescent="0.25">
      <c r="A65">
        <v>135</v>
      </c>
      <c r="B65" t="s">
        <v>282</v>
      </c>
      <c r="C65">
        <v>37.2134767298</v>
      </c>
      <c r="D65">
        <v>-7.0696145755000002</v>
      </c>
      <c r="E65">
        <v>1</v>
      </c>
      <c r="F65">
        <v>1</v>
      </c>
      <c r="G65">
        <v>2</v>
      </c>
      <c r="J65" t="s">
        <v>15</v>
      </c>
      <c r="K65">
        <v>1</v>
      </c>
      <c r="L65">
        <v>1.8440000000000001</v>
      </c>
      <c r="M65">
        <v>1</v>
      </c>
      <c r="N65" t="s">
        <v>10018</v>
      </c>
      <c r="O65" t="str">
        <f>HYPERLINK("1\1\marker_698_959779.png", "Ver Imagen")</f>
        <v>Ver Imagen</v>
      </c>
      <c r="P65" t="str">
        <f>HYPERLINK("SE\A-5052\A-5052__226.png", "Ver Imagen")</f>
        <v>Ver Imagen</v>
      </c>
    </row>
    <row r="66" spans="1:16" x14ac:dyDescent="0.25">
      <c r="A66">
        <v>137</v>
      </c>
      <c r="B66" t="s">
        <v>286</v>
      </c>
      <c r="C66">
        <v>37.213427129099998</v>
      </c>
      <c r="D66">
        <v>-7.0683615525499999</v>
      </c>
      <c r="E66">
        <v>1</v>
      </c>
      <c r="F66">
        <v>1</v>
      </c>
      <c r="G66">
        <v>2</v>
      </c>
      <c r="J66" t="s">
        <v>15</v>
      </c>
      <c r="K66">
        <v>1</v>
      </c>
      <c r="L66">
        <v>2.028</v>
      </c>
      <c r="M66">
        <v>1</v>
      </c>
      <c r="N66" t="s">
        <v>10017</v>
      </c>
      <c r="O66" t="str">
        <f>HYPERLINK("1\1\marker_915_959839.png", "Ver Imagen")</f>
        <v>Ver Imagen</v>
      </c>
      <c r="P66" t="str">
        <f>HYPERLINK("SE\A-5052\A-5052__231.png", "Ver Imagen")</f>
        <v>Ver Imagen</v>
      </c>
    </row>
    <row r="67" spans="1:16" x14ac:dyDescent="0.25">
      <c r="A67">
        <v>139</v>
      </c>
      <c r="B67" t="s">
        <v>290</v>
      </c>
      <c r="C67">
        <v>37.213348801199999</v>
      </c>
      <c r="D67">
        <v>-7.0666375297200004</v>
      </c>
      <c r="E67">
        <v>1</v>
      </c>
      <c r="F67">
        <v>1</v>
      </c>
      <c r="G67">
        <v>2</v>
      </c>
      <c r="J67" t="s">
        <v>15</v>
      </c>
      <c r="K67">
        <v>1</v>
      </c>
      <c r="L67">
        <v>1.9319999999999999</v>
      </c>
      <c r="M67">
        <v>1</v>
      </c>
      <c r="N67" t="s">
        <v>10018</v>
      </c>
      <c r="O67" t="str">
        <f>HYPERLINK("1\1\marker_915_959925.png", "Ver Imagen")</f>
        <v>Ver Imagen</v>
      </c>
      <c r="P67" t="str">
        <f>HYPERLINK("SE\A-5052\A-5052__238.png", "Ver Imagen")</f>
        <v>Ver Imagen</v>
      </c>
    </row>
    <row r="68" spans="1:16" x14ac:dyDescent="0.25">
      <c r="A68">
        <v>142</v>
      </c>
      <c r="B68" t="s">
        <v>296</v>
      </c>
      <c r="C68">
        <v>37.210028379199997</v>
      </c>
      <c r="D68">
        <v>-7.0418082143199996</v>
      </c>
      <c r="E68">
        <v>2</v>
      </c>
      <c r="F68">
        <v>1</v>
      </c>
      <c r="G68">
        <v>1</v>
      </c>
      <c r="J68" t="s">
        <v>15</v>
      </c>
      <c r="K68">
        <v>1</v>
      </c>
      <c r="L68">
        <v>1.786</v>
      </c>
      <c r="M68">
        <v>1</v>
      </c>
      <c r="N68" t="s">
        <v>10017</v>
      </c>
      <c r="O68" t="str">
        <f>HYPERLINK("1\1\marker_639_961636.png", "Ver Imagen")</f>
        <v>Ver Imagen</v>
      </c>
      <c r="P68" t="str">
        <f>HYPERLINK("SE\A-5052\A-5052__341.png", "Ver Imagen")</f>
        <v>Ver Imagen</v>
      </c>
    </row>
    <row r="69" spans="1:16" x14ac:dyDescent="0.25">
      <c r="A69">
        <v>145</v>
      </c>
      <c r="B69" t="s">
        <v>302</v>
      </c>
      <c r="C69">
        <v>37.203285781700004</v>
      </c>
      <c r="D69">
        <v>-7.0242523405500004</v>
      </c>
      <c r="E69">
        <v>1</v>
      </c>
      <c r="F69">
        <v>2</v>
      </c>
      <c r="G69">
        <v>1</v>
      </c>
      <c r="J69" t="s">
        <v>15</v>
      </c>
      <c r="K69">
        <v>1</v>
      </c>
      <c r="L69">
        <v>1.9179999999999999</v>
      </c>
      <c r="M69">
        <v>1</v>
      </c>
      <c r="N69" t="s">
        <v>10017</v>
      </c>
      <c r="O69" t="str">
        <f>HYPERLINK("1\1\marker_262_962857.png", "Ver Imagen")</f>
        <v>Ver Imagen</v>
      </c>
      <c r="P69" t="str">
        <f>HYPERLINK("SE\A-5052\A-5052__418.png", "Ver Imagen")</f>
        <v>Ver Imagen</v>
      </c>
    </row>
    <row r="70" spans="1:16" x14ac:dyDescent="0.25">
      <c r="A70">
        <v>164</v>
      </c>
      <c r="B70" t="s">
        <v>340</v>
      </c>
      <c r="C70">
        <v>37.465989174599997</v>
      </c>
      <c r="D70">
        <v>-7.1227607422199997</v>
      </c>
      <c r="E70">
        <v>1</v>
      </c>
      <c r="F70">
        <v>2</v>
      </c>
      <c r="G70">
        <v>1</v>
      </c>
      <c r="J70" t="s">
        <v>15</v>
      </c>
      <c r="K70">
        <v>1</v>
      </c>
      <c r="L70">
        <v>1.8939999999999999</v>
      </c>
      <c r="M70">
        <v>1</v>
      </c>
      <c r="N70" t="s">
        <v>10018</v>
      </c>
      <c r="O70" t="str">
        <f>HYPERLINK("1\1\marker_861_385118.png", "Ver Imagen")</f>
        <v>Ver Imagen</v>
      </c>
      <c r="P70" t="str">
        <f>HYPERLINK("NE\A-495_1\A-495_1__92.png", "Ver Imagen")</f>
        <v>Ver Imagen</v>
      </c>
    </row>
    <row r="71" spans="1:16" x14ac:dyDescent="0.25">
      <c r="A71">
        <v>166</v>
      </c>
      <c r="B71" t="s">
        <v>344</v>
      </c>
      <c r="C71">
        <v>37.465398670399999</v>
      </c>
      <c r="D71">
        <v>-7.1229731858500003</v>
      </c>
      <c r="E71">
        <v>1</v>
      </c>
      <c r="F71">
        <v>2</v>
      </c>
      <c r="G71">
        <v>1</v>
      </c>
      <c r="J71" t="s">
        <v>15</v>
      </c>
      <c r="K71">
        <v>1</v>
      </c>
      <c r="L71">
        <v>1.5429999999999999</v>
      </c>
      <c r="M71">
        <v>1</v>
      </c>
      <c r="N71" t="s">
        <v>10019</v>
      </c>
      <c r="O71" t="str">
        <f>HYPERLINK("1\1\marker_711_385153.png", "Ver Imagen")</f>
        <v>Ver Imagen</v>
      </c>
      <c r="P71" t="str">
        <f>HYPERLINK("NE\A-495_1\A-495_1__89.png", "Ver Imagen")</f>
        <v>Ver Imagen</v>
      </c>
    </row>
    <row r="72" spans="1:16" x14ac:dyDescent="0.25">
      <c r="A72">
        <v>167</v>
      </c>
      <c r="B72" t="s">
        <v>346</v>
      </c>
      <c r="C72">
        <v>37.463581151</v>
      </c>
      <c r="D72">
        <v>-7.1240194503199996</v>
      </c>
      <c r="E72">
        <v>1</v>
      </c>
      <c r="F72">
        <v>1</v>
      </c>
      <c r="G72">
        <v>2</v>
      </c>
      <c r="J72" t="s">
        <v>15</v>
      </c>
      <c r="K72">
        <v>1</v>
      </c>
      <c r="L72">
        <v>1.867</v>
      </c>
      <c r="M72">
        <v>1</v>
      </c>
      <c r="N72" t="s">
        <v>10018</v>
      </c>
      <c r="O72" t="str">
        <f>HYPERLINK("1\1\marker_127_385242.png", "Ver Imagen")</f>
        <v>Ver Imagen</v>
      </c>
      <c r="P72" t="str">
        <f>HYPERLINK("NE\A-495_1\A-495_1__79.png", "Ver Imagen")</f>
        <v>Ver Imagen</v>
      </c>
    </row>
    <row r="73" spans="1:16" x14ac:dyDescent="0.25">
      <c r="A73">
        <v>169</v>
      </c>
      <c r="B73" t="s">
        <v>350</v>
      </c>
      <c r="C73">
        <v>37.462973584799997</v>
      </c>
      <c r="D73">
        <v>-7.1241732635200004</v>
      </c>
      <c r="E73">
        <v>1</v>
      </c>
      <c r="F73">
        <v>2</v>
      </c>
      <c r="G73">
        <v>1</v>
      </c>
      <c r="J73" t="s">
        <v>15</v>
      </c>
      <c r="K73">
        <v>1</v>
      </c>
      <c r="L73">
        <v>1.57</v>
      </c>
      <c r="M73">
        <v>1</v>
      </c>
      <c r="N73" t="s">
        <v>10018</v>
      </c>
      <c r="O73" t="str">
        <f>HYPERLINK("1\1\marker_616_385270.png", "Ver Imagen")</f>
        <v>Ver Imagen</v>
      </c>
      <c r="P73" t="str">
        <f>HYPERLINK("NE\A-495_1\A-495_1__76.png", "Ver Imagen")</f>
        <v>Ver Imagen</v>
      </c>
    </row>
    <row r="74" spans="1:16" x14ac:dyDescent="0.25">
      <c r="A74">
        <v>171</v>
      </c>
      <c r="B74" t="s">
        <v>354</v>
      </c>
      <c r="C74">
        <v>37.458834202299997</v>
      </c>
      <c r="D74">
        <v>-7.1253207020499998</v>
      </c>
      <c r="E74">
        <v>1</v>
      </c>
      <c r="F74">
        <v>1</v>
      </c>
      <c r="G74">
        <v>2</v>
      </c>
      <c r="J74" t="s">
        <v>15</v>
      </c>
      <c r="K74">
        <v>1</v>
      </c>
      <c r="L74">
        <v>2.125</v>
      </c>
      <c r="M74">
        <v>1</v>
      </c>
      <c r="N74" t="s">
        <v>10018</v>
      </c>
      <c r="O74" t="str">
        <f>HYPERLINK("1\1\marker_683_385518.png", "Ver Imagen")</f>
        <v>Ver Imagen</v>
      </c>
      <c r="P74" t="str">
        <f>HYPERLINK("NE\A-495_1\A-495_1__55.png", "Ver Imagen")</f>
        <v>Ver Imagen</v>
      </c>
    </row>
    <row r="75" spans="1:16" x14ac:dyDescent="0.25">
      <c r="A75">
        <v>180</v>
      </c>
      <c r="B75" t="s">
        <v>372</v>
      </c>
      <c r="C75">
        <v>37.452983575899999</v>
      </c>
      <c r="D75">
        <v>-7.1273559558899997</v>
      </c>
      <c r="E75">
        <v>1</v>
      </c>
      <c r="F75">
        <v>1</v>
      </c>
      <c r="G75">
        <v>2</v>
      </c>
      <c r="J75" t="s">
        <v>15</v>
      </c>
      <c r="K75">
        <v>1</v>
      </c>
      <c r="L75">
        <v>1.6180000000000001</v>
      </c>
      <c r="M75">
        <v>1</v>
      </c>
      <c r="N75" t="s">
        <v>10018</v>
      </c>
      <c r="O75" t="str">
        <f>HYPERLINK("1\1\marker_427_385924.png", "Ver Imagen")</f>
        <v>Ver Imagen</v>
      </c>
      <c r="P75" t="str">
        <f>HYPERLINK("NE\A-495_1\A-495_1__25.png", "Ver Imagen")</f>
        <v>Ver Imagen</v>
      </c>
    </row>
    <row r="76" spans="1:16" x14ac:dyDescent="0.25">
      <c r="A76">
        <v>183</v>
      </c>
      <c r="B76" t="s">
        <v>378</v>
      </c>
      <c r="C76">
        <v>37.451385991599999</v>
      </c>
      <c r="D76">
        <v>-7.1274557462999999</v>
      </c>
      <c r="E76">
        <v>1</v>
      </c>
      <c r="F76">
        <v>1</v>
      </c>
      <c r="G76">
        <v>2</v>
      </c>
      <c r="J76" t="s">
        <v>15</v>
      </c>
      <c r="K76">
        <v>1</v>
      </c>
      <c r="L76">
        <v>1.8480000000000001</v>
      </c>
      <c r="M76">
        <v>1</v>
      </c>
      <c r="N76" t="s">
        <v>10018</v>
      </c>
      <c r="O76" t="str">
        <f>HYPERLINK("1\1\marker_955_386161.png", "Ver Imagen")</f>
        <v>Ver Imagen</v>
      </c>
      <c r="P76" t="str">
        <f>HYPERLINK("NE\A-495_1\A-495_1__17.png", "Ver Imagen")</f>
        <v>Ver Imagen</v>
      </c>
    </row>
    <row r="77" spans="1:16" x14ac:dyDescent="0.25">
      <c r="A77">
        <v>184</v>
      </c>
      <c r="B77" t="s">
        <v>380</v>
      </c>
      <c r="C77">
        <v>37.493420347899999</v>
      </c>
      <c r="D77">
        <v>-7.2771702700300001</v>
      </c>
      <c r="E77">
        <v>1</v>
      </c>
      <c r="F77">
        <v>1</v>
      </c>
      <c r="G77">
        <v>2</v>
      </c>
      <c r="J77" t="s">
        <v>15</v>
      </c>
      <c r="K77">
        <v>1</v>
      </c>
      <c r="L77">
        <v>1.81</v>
      </c>
      <c r="M77">
        <v>1</v>
      </c>
      <c r="N77" t="s">
        <v>10017</v>
      </c>
      <c r="O77" t="str">
        <f>HYPERLINK("1\1\marker_249_529975.png", "Ver Imagen")</f>
        <v>Ver Imagen</v>
      </c>
      <c r="P77" t="str">
        <f>HYPERLINK("NO\A-499\A-499__35.png", "Ver Imagen")</f>
        <v>Ver Imagen</v>
      </c>
    </row>
    <row r="78" spans="1:16" x14ac:dyDescent="0.25">
      <c r="A78">
        <v>197</v>
      </c>
      <c r="B78" t="s">
        <v>406</v>
      </c>
      <c r="C78">
        <v>37.214352108900002</v>
      </c>
      <c r="D78">
        <v>-7.0235283598400002</v>
      </c>
      <c r="E78">
        <v>1</v>
      </c>
      <c r="F78">
        <v>1</v>
      </c>
      <c r="G78">
        <v>2</v>
      </c>
      <c r="J78" t="s">
        <v>15</v>
      </c>
      <c r="K78">
        <v>1</v>
      </c>
      <c r="L78">
        <v>2.0819999999999999</v>
      </c>
      <c r="M78">
        <v>1</v>
      </c>
      <c r="N78" t="s">
        <v>10017</v>
      </c>
      <c r="O78" t="str">
        <f>HYPERLINK("1\1\marker_874_376259.png", "Ver Imagen")</f>
        <v>Ver Imagen</v>
      </c>
      <c r="P78" t="str">
        <f>HYPERLINK("SE\A-497\A-497__484.png", "Ver Imagen")</f>
        <v>Ver Imagen</v>
      </c>
    </row>
    <row r="79" spans="1:16" x14ac:dyDescent="0.25">
      <c r="A79">
        <v>205</v>
      </c>
      <c r="B79" t="s">
        <v>422</v>
      </c>
      <c r="C79">
        <v>37.2056282418</v>
      </c>
      <c r="D79">
        <v>-7.0186982882900004</v>
      </c>
      <c r="E79">
        <v>1</v>
      </c>
      <c r="F79">
        <v>1</v>
      </c>
      <c r="G79">
        <v>2</v>
      </c>
      <c r="J79" t="s">
        <v>15</v>
      </c>
      <c r="K79">
        <v>1</v>
      </c>
      <c r="L79">
        <v>2.4870000000000001</v>
      </c>
      <c r="M79">
        <v>1</v>
      </c>
      <c r="N79" t="s">
        <v>10018</v>
      </c>
      <c r="O79" t="str">
        <f>HYPERLINK("1\1\marker_430_364444.png", "Ver Imagen")</f>
        <v>Ver Imagen</v>
      </c>
      <c r="P79" t="str">
        <f>HYPERLINK("SE\A-497_2C\A-497_2C__531.png", "Ver Imagen")</f>
        <v>Ver Imagen</v>
      </c>
    </row>
    <row r="80" spans="1:16" x14ac:dyDescent="0.25">
      <c r="A80">
        <v>206</v>
      </c>
      <c r="B80" t="s">
        <v>424</v>
      </c>
      <c r="C80">
        <v>37.205435308799998</v>
      </c>
      <c r="D80">
        <v>-7.0180825526200001</v>
      </c>
      <c r="E80">
        <v>1</v>
      </c>
      <c r="F80">
        <v>1</v>
      </c>
      <c r="G80">
        <v>2</v>
      </c>
      <c r="J80" t="s">
        <v>15</v>
      </c>
      <c r="K80">
        <v>1</v>
      </c>
      <c r="L80">
        <v>2.4239999999999999</v>
      </c>
      <c r="M80">
        <v>1</v>
      </c>
      <c r="N80" t="s">
        <v>10017</v>
      </c>
      <c r="O80" t="str">
        <f>HYPERLINK("1\1\marker_457_364474.png", "Ver Imagen")</f>
        <v>Ver Imagen</v>
      </c>
      <c r="P80" t="str">
        <f>HYPERLINK("SE\A-497_2C\A-497_2C__534.png", "Ver Imagen")</f>
        <v>Ver Imagen</v>
      </c>
    </row>
    <row r="81" spans="1:16" x14ac:dyDescent="0.25">
      <c r="A81">
        <v>207</v>
      </c>
      <c r="B81" t="s">
        <v>426</v>
      </c>
      <c r="C81">
        <v>37.205289438100003</v>
      </c>
      <c r="D81">
        <v>-7.0175635600300001</v>
      </c>
      <c r="E81">
        <v>1</v>
      </c>
      <c r="F81">
        <v>1</v>
      </c>
      <c r="G81">
        <v>2</v>
      </c>
      <c r="J81" t="s">
        <v>15</v>
      </c>
      <c r="K81">
        <v>1</v>
      </c>
      <c r="L81">
        <v>2.2450000000000001</v>
      </c>
      <c r="M81">
        <v>1</v>
      </c>
      <c r="N81" t="s">
        <v>10017</v>
      </c>
      <c r="O81" t="str">
        <f>HYPERLINK("1\1\marker_551_364492.png", "Ver Imagen")</f>
        <v>Ver Imagen</v>
      </c>
      <c r="P81" t="str">
        <f>HYPERLINK("SE\A-497_2C\A-497_2C__536.png", "Ver Imagen")</f>
        <v>Ver Imagen</v>
      </c>
    </row>
    <row r="82" spans="1:16" x14ac:dyDescent="0.25">
      <c r="A82">
        <v>211</v>
      </c>
      <c r="B82" t="s">
        <v>434</v>
      </c>
      <c r="C82">
        <v>37.227335167600003</v>
      </c>
      <c r="D82">
        <v>-7.02227432904</v>
      </c>
      <c r="E82">
        <v>2</v>
      </c>
      <c r="F82">
        <v>1</v>
      </c>
      <c r="G82">
        <v>1</v>
      </c>
      <c r="J82" t="s">
        <v>15</v>
      </c>
      <c r="K82">
        <v>1</v>
      </c>
      <c r="L82">
        <v>2.3140000000000001</v>
      </c>
      <c r="M82">
        <v>1</v>
      </c>
      <c r="N82" t="s">
        <v>10018</v>
      </c>
      <c r="O82" t="str">
        <f>HYPERLINK("1\1\marker_990_377021.png", "Ver Imagen")</f>
        <v>Ver Imagen</v>
      </c>
      <c r="P82" t="str">
        <f>HYPERLINK("SE\A-497\A-497__419.png", "Ver Imagen")</f>
        <v>Ver Imagen</v>
      </c>
    </row>
    <row r="83" spans="1:16" x14ac:dyDescent="0.25">
      <c r="A83">
        <v>221</v>
      </c>
      <c r="B83" t="s">
        <v>454</v>
      </c>
      <c r="C83">
        <v>37.483971228599998</v>
      </c>
      <c r="D83">
        <v>-7.2251662267299999</v>
      </c>
      <c r="E83">
        <v>1</v>
      </c>
      <c r="F83">
        <v>1</v>
      </c>
      <c r="G83">
        <v>2</v>
      </c>
      <c r="J83" t="s">
        <v>15</v>
      </c>
      <c r="K83">
        <v>1</v>
      </c>
      <c r="L83">
        <v>2.222</v>
      </c>
      <c r="M83">
        <v>1</v>
      </c>
      <c r="N83" t="s">
        <v>10017</v>
      </c>
      <c r="O83" t="str">
        <f>HYPERLINK("1\1\marker_742_754738.png", "Ver Imagen")</f>
        <v>Ver Imagen</v>
      </c>
      <c r="P83" t="str">
        <f>HYPERLINK("NO\A-490\A-490__444.png", "Ver Imagen")</f>
        <v>Ver Imagen</v>
      </c>
    </row>
    <row r="84" spans="1:16" x14ac:dyDescent="0.25">
      <c r="A84">
        <v>233</v>
      </c>
      <c r="B84" t="s">
        <v>478</v>
      </c>
      <c r="C84">
        <v>37.4932226273</v>
      </c>
      <c r="D84">
        <v>-7.26371030414</v>
      </c>
      <c r="E84">
        <v>1</v>
      </c>
      <c r="F84">
        <v>1</v>
      </c>
      <c r="G84">
        <v>2</v>
      </c>
      <c r="J84" t="s">
        <v>15</v>
      </c>
      <c r="K84">
        <v>1</v>
      </c>
      <c r="L84">
        <v>1.552</v>
      </c>
      <c r="M84">
        <v>1</v>
      </c>
      <c r="N84" t="s">
        <v>10019</v>
      </c>
      <c r="O84" t="str">
        <f>HYPERLINK("1\1\marker_572_820205.png", "Ver Imagen")</f>
        <v>Ver Imagen</v>
      </c>
      <c r="P84" t="str">
        <f>HYPERLINK("NO\A-490\A-490__610.png", "Ver Imagen")</f>
        <v>Ver Imagen</v>
      </c>
    </row>
    <row r="85" spans="1:16" x14ac:dyDescent="0.25">
      <c r="A85">
        <v>236</v>
      </c>
      <c r="B85" t="s">
        <v>484</v>
      </c>
      <c r="C85">
        <v>37.284227424999997</v>
      </c>
      <c r="D85">
        <v>-7.0376028955400001</v>
      </c>
      <c r="E85">
        <v>1</v>
      </c>
      <c r="F85">
        <v>1</v>
      </c>
      <c r="G85">
        <v>2</v>
      </c>
      <c r="J85" t="s">
        <v>15</v>
      </c>
      <c r="K85">
        <v>1</v>
      </c>
      <c r="L85">
        <v>2.2599999999999998</v>
      </c>
      <c r="M85">
        <v>1</v>
      </c>
      <c r="N85" t="s">
        <v>10017</v>
      </c>
      <c r="O85" t="str">
        <f>HYPERLINK("1\1\marker_605_836032.png", "Ver Imagen")</f>
        <v>Ver Imagen</v>
      </c>
      <c r="P85" t="str">
        <f>HYPERLINK("SE\A-492\A-492__245.png", "Ver Imagen")</f>
        <v>Ver Imagen</v>
      </c>
    </row>
    <row r="86" spans="1:16" x14ac:dyDescent="0.25">
      <c r="A86">
        <v>245</v>
      </c>
      <c r="B86" t="s">
        <v>502</v>
      </c>
      <c r="C86">
        <v>37.304902657699998</v>
      </c>
      <c r="D86">
        <v>-7.0567400460099998</v>
      </c>
      <c r="E86">
        <v>1</v>
      </c>
      <c r="F86">
        <v>1</v>
      </c>
      <c r="G86">
        <v>2</v>
      </c>
      <c r="J86" t="s">
        <v>15</v>
      </c>
      <c r="K86">
        <v>1</v>
      </c>
      <c r="L86">
        <v>1.609</v>
      </c>
      <c r="M86">
        <v>1</v>
      </c>
      <c r="N86" t="s">
        <v>10018</v>
      </c>
      <c r="O86" t="str">
        <f>HYPERLINK("1\1\marker_348_838891.png", "Ver Imagen")</f>
        <v>Ver Imagen</v>
      </c>
      <c r="P86" t="str">
        <f>HYPERLINK("SE\A-492\A-492__380.png", "Ver Imagen")</f>
        <v>Ver Imagen</v>
      </c>
    </row>
    <row r="87" spans="1:16" x14ac:dyDescent="0.25">
      <c r="A87">
        <v>254</v>
      </c>
      <c r="B87" t="s">
        <v>520</v>
      </c>
      <c r="C87">
        <v>37.315312040099997</v>
      </c>
      <c r="D87">
        <v>-7.0665484596399999</v>
      </c>
      <c r="E87">
        <v>1</v>
      </c>
      <c r="F87">
        <v>1</v>
      </c>
      <c r="G87">
        <v>2</v>
      </c>
      <c r="J87" t="s">
        <v>15</v>
      </c>
      <c r="K87">
        <v>1</v>
      </c>
      <c r="L87">
        <v>1.742</v>
      </c>
      <c r="M87">
        <v>1</v>
      </c>
      <c r="N87" t="s">
        <v>10018</v>
      </c>
      <c r="O87" t="str">
        <f>HYPERLINK("1\1\marker_594_839804.png", "Ver Imagen")</f>
        <v>Ver Imagen</v>
      </c>
      <c r="P87" t="str">
        <f>HYPERLINK("SE\A-492\A-492__449.png", "Ver Imagen")</f>
        <v>Ver Imagen</v>
      </c>
    </row>
    <row r="88" spans="1:16" x14ac:dyDescent="0.25">
      <c r="A88">
        <v>256</v>
      </c>
      <c r="B88" t="s">
        <v>524</v>
      </c>
      <c r="C88">
        <v>37.459833419900001</v>
      </c>
      <c r="D88">
        <v>-7.1150506485499996</v>
      </c>
      <c r="E88">
        <v>1</v>
      </c>
      <c r="F88">
        <v>1</v>
      </c>
      <c r="G88">
        <v>2</v>
      </c>
      <c r="J88" t="s">
        <v>15</v>
      </c>
      <c r="K88">
        <v>1</v>
      </c>
      <c r="L88">
        <v>2.145</v>
      </c>
      <c r="M88">
        <v>1</v>
      </c>
      <c r="N88" t="s">
        <v>10017</v>
      </c>
      <c r="O88" t="str">
        <f>HYPERLINK("1\1\marker_298_935106.png", "Ver Imagen")</f>
        <v>Ver Imagen</v>
      </c>
      <c r="P88" t="str">
        <f>HYPERLINK("NE\A-495R\A-495R__79.png", "Ver Imagen")</f>
        <v>Ver Imagen</v>
      </c>
    </row>
    <row r="89" spans="1:16" x14ac:dyDescent="0.25">
      <c r="A89">
        <v>258</v>
      </c>
      <c r="B89" t="s">
        <v>528</v>
      </c>
      <c r="C89">
        <v>37.4592190973</v>
      </c>
      <c r="D89">
        <v>-7.1148712741300004</v>
      </c>
      <c r="E89">
        <v>1</v>
      </c>
      <c r="F89">
        <v>1</v>
      </c>
      <c r="G89">
        <v>2</v>
      </c>
      <c r="J89" t="s">
        <v>15</v>
      </c>
      <c r="K89">
        <v>1</v>
      </c>
      <c r="L89">
        <v>2.1080000000000001</v>
      </c>
      <c r="M89">
        <v>1</v>
      </c>
      <c r="O89" t="str">
        <f>HYPERLINK("1\1\marker_690_935145.png", "Ver Imagen")</f>
        <v>Ver Imagen</v>
      </c>
      <c r="P89" t="str">
        <f>HYPERLINK("NE\A-495R\A-495R__76.png", "Ver Imagen")</f>
        <v>Ver Imagen</v>
      </c>
    </row>
    <row r="90" spans="1:16" x14ac:dyDescent="0.25">
      <c r="A90">
        <v>266</v>
      </c>
      <c r="B90" t="s">
        <v>544</v>
      </c>
      <c r="C90">
        <v>37.478162342600001</v>
      </c>
      <c r="D90">
        <v>-7.2060817150499998</v>
      </c>
      <c r="E90">
        <v>2</v>
      </c>
      <c r="F90">
        <v>2</v>
      </c>
      <c r="G90">
        <v>2</v>
      </c>
      <c r="J90" t="s">
        <v>15</v>
      </c>
      <c r="K90">
        <v>2</v>
      </c>
      <c r="L90">
        <v>2.528</v>
      </c>
      <c r="M90">
        <v>1</v>
      </c>
      <c r="N90" t="s">
        <v>10018</v>
      </c>
      <c r="O90" t="str">
        <f>HYPERLINK("2\0\marker_518_751962.png", "Ver Imagen")</f>
        <v>Ver Imagen</v>
      </c>
      <c r="P90" t="str">
        <f>HYPERLINK("NO\A-490\A-490__363.png", "Ver Imagen")</f>
        <v>Ver Imagen</v>
      </c>
    </row>
    <row r="91" spans="1:16" x14ac:dyDescent="0.25">
      <c r="A91">
        <v>298</v>
      </c>
      <c r="B91" t="s">
        <v>608</v>
      </c>
      <c r="C91">
        <v>37.294501861900002</v>
      </c>
      <c r="D91">
        <v>-7.0479662124200004</v>
      </c>
      <c r="E91">
        <v>2</v>
      </c>
      <c r="F91">
        <v>2</v>
      </c>
      <c r="G91">
        <v>2</v>
      </c>
      <c r="J91" t="s">
        <v>15</v>
      </c>
      <c r="K91">
        <v>2</v>
      </c>
      <c r="L91">
        <v>1.3640000000000001</v>
      </c>
      <c r="M91">
        <v>1</v>
      </c>
      <c r="N91" t="s">
        <v>10017</v>
      </c>
      <c r="O91" t="str">
        <f>HYPERLINK("2\0\marker_375_837717.png", "Ver Imagen")</f>
        <v>Ver Imagen</v>
      </c>
      <c r="P91" t="str">
        <f>HYPERLINK("SE\A-492\A-492__314.png", "Ver Imagen")</f>
        <v>Ver Imagen</v>
      </c>
    </row>
    <row r="92" spans="1:16" x14ac:dyDescent="0.25">
      <c r="A92">
        <v>305</v>
      </c>
      <c r="B92" t="s">
        <v>622</v>
      </c>
      <c r="C92">
        <v>37.299636017200001</v>
      </c>
      <c r="D92">
        <v>-7.0548019580499997</v>
      </c>
      <c r="E92">
        <v>2</v>
      </c>
      <c r="F92">
        <v>2</v>
      </c>
      <c r="G92">
        <v>2</v>
      </c>
      <c r="J92" t="s">
        <v>15</v>
      </c>
      <c r="K92">
        <v>2</v>
      </c>
      <c r="L92">
        <v>2.67</v>
      </c>
      <c r="M92">
        <v>1</v>
      </c>
      <c r="N92" t="s">
        <v>10017</v>
      </c>
      <c r="O92" t="str">
        <f>HYPERLINK("2\0\marker_891_838385.png", "Ver Imagen")</f>
        <v>Ver Imagen</v>
      </c>
      <c r="P92" t="str">
        <f>HYPERLINK("SE\A-492\A-492__352.png", "Ver Imagen")</f>
        <v>Ver Imagen</v>
      </c>
    </row>
    <row r="93" spans="1:16" x14ac:dyDescent="0.25">
      <c r="A93">
        <v>323</v>
      </c>
      <c r="B93" t="s">
        <v>658</v>
      </c>
      <c r="C93">
        <v>37.194607300800001</v>
      </c>
      <c r="D93">
        <v>-6.99917660888</v>
      </c>
      <c r="E93">
        <v>2</v>
      </c>
      <c r="F93">
        <v>2</v>
      </c>
      <c r="G93">
        <v>2</v>
      </c>
      <c r="J93" t="s">
        <v>15</v>
      </c>
      <c r="K93">
        <v>2</v>
      </c>
      <c r="L93">
        <v>2.641</v>
      </c>
      <c r="M93">
        <v>1</v>
      </c>
      <c r="N93" t="s">
        <v>10018</v>
      </c>
      <c r="O93" t="str">
        <f>HYPERLINK("2\0\marker_493_945905.png", "Ver Imagen")</f>
        <v>Ver Imagen</v>
      </c>
      <c r="P93" t="str">
        <f>HYPERLINK("SE\A-5050\A-5050__134.png", "Ver Imagen")</f>
        <v>Ver Imagen</v>
      </c>
    </row>
    <row r="94" spans="1:16" x14ac:dyDescent="0.25">
      <c r="A94">
        <v>324</v>
      </c>
      <c r="B94" t="s">
        <v>660</v>
      </c>
      <c r="C94">
        <v>37.195063481200002</v>
      </c>
      <c r="D94">
        <v>-7.0003027765199999</v>
      </c>
      <c r="E94">
        <v>2</v>
      </c>
      <c r="F94">
        <v>2</v>
      </c>
      <c r="G94">
        <v>2</v>
      </c>
      <c r="J94" t="s">
        <v>15</v>
      </c>
      <c r="K94">
        <v>2</v>
      </c>
      <c r="L94">
        <v>1.4830000000000001</v>
      </c>
      <c r="M94">
        <v>1</v>
      </c>
      <c r="N94" t="s">
        <v>10019</v>
      </c>
      <c r="O94" t="str">
        <f>HYPERLINK("2\0\marker_522_945957.png", "Ver Imagen")</f>
        <v>Ver Imagen</v>
      </c>
      <c r="P94" t="str">
        <f>HYPERLINK("SE\A-5050\A-5050__129.png", "Ver Imagen")</f>
        <v>Ver Imagen</v>
      </c>
    </row>
    <row r="95" spans="1:16" x14ac:dyDescent="0.25">
      <c r="A95">
        <v>365</v>
      </c>
      <c r="B95" t="s">
        <v>742</v>
      </c>
      <c r="C95">
        <v>37.212894662899998</v>
      </c>
      <c r="D95">
        <v>-7.0614613909699999</v>
      </c>
      <c r="E95">
        <v>2</v>
      </c>
      <c r="F95">
        <v>2</v>
      </c>
      <c r="G95">
        <v>2</v>
      </c>
      <c r="J95" t="s">
        <v>15</v>
      </c>
      <c r="K95">
        <v>2</v>
      </c>
      <c r="L95">
        <v>2.669</v>
      </c>
      <c r="M95">
        <v>1</v>
      </c>
      <c r="N95" t="s">
        <v>10017</v>
      </c>
      <c r="O95" t="str">
        <f>HYPERLINK("2\0\marker_501_960188.png", "Ver Imagen")</f>
        <v>Ver Imagen</v>
      </c>
      <c r="P95" t="str">
        <f>HYPERLINK("SE\A-5052\A-5052__259.png", "Ver Imagen")</f>
        <v>Ver Imagen</v>
      </c>
    </row>
    <row r="96" spans="1:16" x14ac:dyDescent="0.25">
      <c r="A96">
        <v>378</v>
      </c>
      <c r="B96" t="s">
        <v>768</v>
      </c>
      <c r="C96">
        <v>37.211520651000001</v>
      </c>
      <c r="D96">
        <v>-7.0465041836999998</v>
      </c>
      <c r="E96">
        <v>2</v>
      </c>
      <c r="F96">
        <v>2</v>
      </c>
      <c r="G96">
        <v>2</v>
      </c>
      <c r="J96" t="s">
        <v>15</v>
      </c>
      <c r="K96">
        <v>2</v>
      </c>
      <c r="L96">
        <v>2.58</v>
      </c>
      <c r="M96">
        <v>1</v>
      </c>
      <c r="N96" t="s">
        <v>10017</v>
      </c>
      <c r="O96" t="str">
        <f>HYPERLINK("2\0\marker_815_961281.png", "Ver Imagen")</f>
        <v>Ver Imagen</v>
      </c>
      <c r="P96" t="str">
        <f>HYPERLINK("SE\A-5052\A-5052__321.png", "Ver Imagen")</f>
        <v>Ver Imagen</v>
      </c>
    </row>
    <row r="97" spans="1:16" x14ac:dyDescent="0.25">
      <c r="A97">
        <v>389</v>
      </c>
      <c r="B97" t="s">
        <v>790</v>
      </c>
      <c r="C97">
        <v>37.198469084400003</v>
      </c>
      <c r="D97">
        <v>-7.0117180403699999</v>
      </c>
      <c r="E97">
        <v>2</v>
      </c>
      <c r="F97">
        <v>2</v>
      </c>
      <c r="G97">
        <v>2</v>
      </c>
      <c r="J97" t="s">
        <v>15</v>
      </c>
      <c r="K97">
        <v>2</v>
      </c>
      <c r="L97">
        <v>1.2649999999999999</v>
      </c>
      <c r="M97">
        <v>1</v>
      </c>
      <c r="N97" t="s">
        <v>10017</v>
      </c>
      <c r="O97" t="str">
        <f>HYPERLINK("2\0\marker_652_963422.png", "Ver Imagen")</f>
        <v>Ver Imagen</v>
      </c>
      <c r="P97" t="str">
        <f>HYPERLINK("SE\A-5052\A-5052__473.png", "Ver Imagen")</f>
        <v>Ver Imagen</v>
      </c>
    </row>
    <row r="98" spans="1:16" x14ac:dyDescent="0.25">
      <c r="A98">
        <v>414</v>
      </c>
      <c r="B98" t="s">
        <v>840</v>
      </c>
      <c r="C98">
        <v>37.277543465100003</v>
      </c>
      <c r="D98">
        <v>-7.1435301431799996</v>
      </c>
      <c r="E98">
        <v>2</v>
      </c>
      <c r="F98">
        <v>2</v>
      </c>
      <c r="G98">
        <v>2</v>
      </c>
      <c r="J98" t="s">
        <v>15</v>
      </c>
      <c r="K98">
        <v>2</v>
      </c>
      <c r="L98">
        <v>2.8620000000000001</v>
      </c>
      <c r="M98">
        <v>1</v>
      </c>
      <c r="N98" t="s">
        <v>10017</v>
      </c>
      <c r="O98" t="str">
        <f>HYPERLINK("2\0\marker_954_964606.png", "Ver Imagen")</f>
        <v>Ver Imagen</v>
      </c>
      <c r="P98" t="str">
        <f>HYPERLINK("SO\A-5053\A-5053__317.png", "Ver Imagen")</f>
        <v>Ver Imagen</v>
      </c>
    </row>
    <row r="99" spans="1:16" x14ac:dyDescent="0.25">
      <c r="A99">
        <v>435</v>
      </c>
      <c r="B99" t="s">
        <v>882</v>
      </c>
      <c r="C99">
        <v>37.257264512699997</v>
      </c>
      <c r="D99">
        <v>-7.1273557995600001</v>
      </c>
      <c r="E99">
        <v>2</v>
      </c>
      <c r="F99">
        <v>2</v>
      </c>
      <c r="G99">
        <v>2</v>
      </c>
      <c r="J99" t="s">
        <v>15</v>
      </c>
      <c r="K99">
        <v>2</v>
      </c>
      <c r="L99">
        <v>2.6190000000000002</v>
      </c>
      <c r="M99">
        <v>1</v>
      </c>
      <c r="N99" t="s">
        <v>10017</v>
      </c>
      <c r="O99" t="str">
        <f>HYPERLINK("2\0\marker_720_965957.png", "Ver Imagen")</f>
        <v>Ver Imagen</v>
      </c>
      <c r="P99" t="str">
        <f>HYPERLINK("SO\A-5053\A-5053__193.png", "Ver Imagen")</f>
        <v>Ver Imagen</v>
      </c>
    </row>
    <row r="100" spans="1:16" x14ac:dyDescent="0.25">
      <c r="A100">
        <v>459</v>
      </c>
      <c r="B100" t="s">
        <v>930</v>
      </c>
      <c r="C100">
        <v>37.2521218754</v>
      </c>
      <c r="D100">
        <v>-7.1269601510099996</v>
      </c>
      <c r="E100">
        <v>2</v>
      </c>
      <c r="F100">
        <v>2</v>
      </c>
      <c r="G100">
        <v>2</v>
      </c>
      <c r="J100" t="s">
        <v>15</v>
      </c>
      <c r="K100">
        <v>2</v>
      </c>
      <c r="L100">
        <v>2.774</v>
      </c>
      <c r="M100">
        <v>1</v>
      </c>
      <c r="N100" t="s">
        <v>10017</v>
      </c>
      <c r="O100" t="str">
        <f>HYPERLINK("2\0\marker_781_966221.png", "Ver Imagen")</f>
        <v>Ver Imagen</v>
      </c>
      <c r="P100" t="str">
        <f>HYPERLINK("SO\A-5053\A-5053__167.png", "Ver Imagen")</f>
        <v>Ver Imagen</v>
      </c>
    </row>
    <row r="101" spans="1:16" x14ac:dyDescent="0.25">
      <c r="A101">
        <v>469</v>
      </c>
      <c r="B101" t="s">
        <v>950</v>
      </c>
      <c r="C101">
        <v>37.248712176600002</v>
      </c>
      <c r="D101">
        <v>-7.1274754077700004</v>
      </c>
      <c r="E101">
        <v>2</v>
      </c>
      <c r="F101">
        <v>2</v>
      </c>
      <c r="G101">
        <v>2</v>
      </c>
      <c r="J101" t="s">
        <v>15</v>
      </c>
      <c r="K101">
        <v>2</v>
      </c>
      <c r="L101">
        <v>2.7189999999999999</v>
      </c>
      <c r="M101">
        <v>1</v>
      </c>
      <c r="N101" t="s">
        <v>10017</v>
      </c>
      <c r="O101" t="str">
        <f>HYPERLINK("2\0\marker_747_966387.png", "Ver Imagen")</f>
        <v>Ver Imagen</v>
      </c>
      <c r="P101" t="str">
        <f>HYPERLINK("SO\A-5053\A-5053__150.png", "Ver Imagen")</f>
        <v>Ver Imagen</v>
      </c>
    </row>
    <row r="102" spans="1:16" x14ac:dyDescent="0.25">
      <c r="A102">
        <v>475</v>
      </c>
      <c r="B102" t="s">
        <v>962</v>
      </c>
      <c r="C102">
        <v>37.244890759599997</v>
      </c>
      <c r="D102">
        <v>-7.12803802033</v>
      </c>
      <c r="E102">
        <v>2</v>
      </c>
      <c r="F102">
        <v>2</v>
      </c>
      <c r="G102">
        <v>2</v>
      </c>
      <c r="J102" t="s">
        <v>15</v>
      </c>
      <c r="K102">
        <v>2</v>
      </c>
      <c r="L102">
        <v>2.7290000000000001</v>
      </c>
      <c r="M102">
        <v>1</v>
      </c>
      <c r="N102" t="s">
        <v>10018</v>
      </c>
      <c r="O102" t="str">
        <f>HYPERLINK("2\0\marker_533_966563.png", "Ver Imagen")</f>
        <v>Ver Imagen</v>
      </c>
      <c r="P102" t="str">
        <f>HYPERLINK("SO\A-5053\A-5053__131.png", "Ver Imagen")</f>
        <v>Ver Imagen</v>
      </c>
    </row>
    <row r="103" spans="1:16" x14ac:dyDescent="0.25">
      <c r="A103">
        <v>519</v>
      </c>
      <c r="B103" t="s">
        <v>1050</v>
      </c>
      <c r="C103">
        <v>37.436277896299998</v>
      </c>
      <c r="D103">
        <v>-7.0777901296800003</v>
      </c>
      <c r="E103">
        <v>2</v>
      </c>
      <c r="F103">
        <v>2</v>
      </c>
      <c r="G103">
        <v>2</v>
      </c>
      <c r="J103" t="s">
        <v>15</v>
      </c>
      <c r="K103">
        <v>2</v>
      </c>
      <c r="L103">
        <v>2.6269999999999998</v>
      </c>
      <c r="M103">
        <v>1</v>
      </c>
      <c r="N103" t="s">
        <v>10018</v>
      </c>
      <c r="O103" t="str">
        <f>HYPERLINK("2\0\marker_155_382145.png", "Ver Imagen")</f>
        <v>Ver Imagen</v>
      </c>
      <c r="P103" t="str">
        <f>HYPERLINK("NE\A-495\A-495__99.png", "Ver Imagen")</f>
        <v>Ver Imagen</v>
      </c>
    </row>
    <row r="104" spans="1:16" x14ac:dyDescent="0.25">
      <c r="A104">
        <v>523</v>
      </c>
      <c r="B104" t="s">
        <v>1058</v>
      </c>
      <c r="C104">
        <v>37.223211224400004</v>
      </c>
      <c r="D104">
        <v>-7.0558947869099997</v>
      </c>
      <c r="E104">
        <v>2</v>
      </c>
      <c r="F104">
        <v>2</v>
      </c>
      <c r="G104">
        <v>2</v>
      </c>
      <c r="J104" t="s">
        <v>15</v>
      </c>
      <c r="K104">
        <v>2</v>
      </c>
      <c r="L104">
        <v>2.5979999999999999</v>
      </c>
      <c r="M104">
        <v>1</v>
      </c>
      <c r="N104" t="s">
        <v>10018</v>
      </c>
      <c r="O104" t="str">
        <f>HYPERLINK("2\0\marker_933_378856.png", "Ver Imagen")</f>
        <v>Ver Imagen</v>
      </c>
      <c r="P104" t="str">
        <f>HYPERLINK("SE\A-5059\A-5059__69.png", "Ver Imagen")</f>
        <v>Ver Imagen</v>
      </c>
    </row>
    <row r="105" spans="1:16" x14ac:dyDescent="0.25">
      <c r="A105">
        <v>557</v>
      </c>
      <c r="B105" t="s">
        <v>1126</v>
      </c>
      <c r="C105">
        <v>37.234174416899997</v>
      </c>
      <c r="D105">
        <v>-7.0702943754999996</v>
      </c>
      <c r="E105">
        <v>2</v>
      </c>
      <c r="F105">
        <v>2</v>
      </c>
      <c r="G105">
        <v>2</v>
      </c>
      <c r="J105" t="s">
        <v>15</v>
      </c>
      <c r="K105">
        <v>2</v>
      </c>
      <c r="L105">
        <v>2.8050000000000002</v>
      </c>
      <c r="M105">
        <v>1</v>
      </c>
      <c r="N105" t="s">
        <v>10019</v>
      </c>
      <c r="O105" t="str">
        <f>HYPERLINK("2\0\marker_212_382749.png", "Ver Imagen")</f>
        <v>Ver Imagen</v>
      </c>
      <c r="P105" t="str">
        <f>HYPERLINK("SE\A-5058\A-5058__187.png", "Ver Imagen")</f>
        <v>Ver Imagen</v>
      </c>
    </row>
    <row r="106" spans="1:16" x14ac:dyDescent="0.25">
      <c r="A106">
        <v>558</v>
      </c>
      <c r="B106" t="s">
        <v>1128</v>
      </c>
      <c r="C106">
        <v>37.252324203999997</v>
      </c>
      <c r="D106">
        <v>-7.1044833014200002</v>
      </c>
      <c r="E106">
        <v>2</v>
      </c>
      <c r="F106">
        <v>2</v>
      </c>
      <c r="G106">
        <v>2</v>
      </c>
      <c r="J106" t="s">
        <v>15</v>
      </c>
      <c r="K106">
        <v>2</v>
      </c>
      <c r="L106">
        <v>2.6640000000000001</v>
      </c>
      <c r="M106">
        <v>1</v>
      </c>
      <c r="N106" t="s">
        <v>10017</v>
      </c>
      <c r="O106" t="str">
        <f>HYPERLINK("2\0\marker_606_384916.png", "Ver Imagen")</f>
        <v>Ver Imagen</v>
      </c>
      <c r="P106" t="str">
        <f>HYPERLINK("SO\A-5058\A-5058__355.png", "Ver Imagen")</f>
        <v>Ver Imagen</v>
      </c>
    </row>
    <row r="107" spans="1:16" x14ac:dyDescent="0.25">
      <c r="A107">
        <v>607</v>
      </c>
      <c r="B107" t="s">
        <v>1226</v>
      </c>
      <c r="C107">
        <v>37.495584025699998</v>
      </c>
      <c r="D107">
        <v>-7.2757746104700001</v>
      </c>
      <c r="E107">
        <v>2</v>
      </c>
      <c r="F107">
        <v>2</v>
      </c>
      <c r="G107">
        <v>2</v>
      </c>
      <c r="J107" t="s">
        <v>15</v>
      </c>
      <c r="K107">
        <v>2</v>
      </c>
      <c r="L107">
        <v>1.2689999999999999</v>
      </c>
      <c r="M107">
        <v>1</v>
      </c>
      <c r="N107" t="s">
        <v>10019</v>
      </c>
      <c r="O107" t="str">
        <f>HYPERLINK("2\0\marker_461_534843.png", "Ver Imagen")</f>
        <v>Ver Imagen</v>
      </c>
      <c r="P107" t="str">
        <f>HYPERLINK("NO\A-499\A-499__48.png", "Ver Imagen")</f>
        <v>Ver Imagen</v>
      </c>
    </row>
    <row r="108" spans="1:16" x14ac:dyDescent="0.25">
      <c r="A108">
        <v>609</v>
      </c>
      <c r="B108" t="s">
        <v>1230</v>
      </c>
      <c r="C108">
        <v>37.495429935600001</v>
      </c>
      <c r="D108">
        <v>-7.2722659393600004</v>
      </c>
      <c r="E108">
        <v>2</v>
      </c>
      <c r="F108">
        <v>2</v>
      </c>
      <c r="G108">
        <v>2</v>
      </c>
      <c r="J108" t="s">
        <v>15</v>
      </c>
      <c r="K108">
        <v>2</v>
      </c>
      <c r="L108">
        <v>2.601</v>
      </c>
      <c r="M108">
        <v>1</v>
      </c>
      <c r="N108" t="s">
        <v>10017</v>
      </c>
      <c r="O108" t="str">
        <f>HYPERLINK("2\0\marker_142_535089.png", "Ver Imagen")</f>
        <v>Ver Imagen</v>
      </c>
      <c r="P108" t="str">
        <f>HYPERLINK("NO\A-499\A-499__62.png", "Ver Imagen")</f>
        <v>Ver Imagen</v>
      </c>
    </row>
    <row r="109" spans="1:16" x14ac:dyDescent="0.25">
      <c r="A109">
        <v>620</v>
      </c>
      <c r="B109" t="s">
        <v>1252</v>
      </c>
      <c r="C109">
        <v>37.199416783899999</v>
      </c>
      <c r="D109">
        <v>-6.9841922960199998</v>
      </c>
      <c r="E109">
        <v>2</v>
      </c>
      <c r="F109">
        <v>2</v>
      </c>
      <c r="G109">
        <v>2</v>
      </c>
      <c r="J109" t="s">
        <v>15</v>
      </c>
      <c r="K109">
        <v>2</v>
      </c>
      <c r="L109">
        <v>2.7669999999999999</v>
      </c>
      <c r="M109">
        <v>1</v>
      </c>
      <c r="N109" t="s">
        <v>10017</v>
      </c>
      <c r="O109" t="str">
        <f>HYPERLINK("2\0\marker_862_367521.png", "Ver Imagen")</f>
        <v>Ver Imagen</v>
      </c>
      <c r="P109" t="str">
        <f>HYPERLINK("SE\A-497\A-497__842.png", "Ver Imagen")</f>
        <v>Ver Imagen</v>
      </c>
    </row>
    <row r="110" spans="1:16" x14ac:dyDescent="0.25">
      <c r="A110">
        <v>622</v>
      </c>
      <c r="B110" t="s">
        <v>1256</v>
      </c>
      <c r="C110">
        <v>37.188119040300002</v>
      </c>
      <c r="D110">
        <v>-6.9789640987599997</v>
      </c>
      <c r="E110">
        <v>2</v>
      </c>
      <c r="F110">
        <v>2</v>
      </c>
      <c r="G110">
        <v>2</v>
      </c>
      <c r="J110" t="s">
        <v>15</v>
      </c>
      <c r="K110">
        <v>2</v>
      </c>
      <c r="L110">
        <v>2.8290000000000002</v>
      </c>
      <c r="M110">
        <v>1</v>
      </c>
      <c r="N110" t="s">
        <v>10019</v>
      </c>
      <c r="O110" t="str">
        <f>HYPERLINK("2\0\marker_401_368260.png", "Ver Imagen")</f>
        <v>Ver Imagen</v>
      </c>
      <c r="P110" t="str">
        <f>HYPERLINK("SE\A-497\A-497__773.png", "Ver Imagen")</f>
        <v>Ver Imagen</v>
      </c>
    </row>
    <row r="111" spans="1:16" x14ac:dyDescent="0.25">
      <c r="A111">
        <v>623</v>
      </c>
      <c r="B111" t="s">
        <v>1258</v>
      </c>
      <c r="C111">
        <v>37.187968173000002</v>
      </c>
      <c r="D111">
        <v>-6.9790709148000003</v>
      </c>
      <c r="E111">
        <v>2</v>
      </c>
      <c r="F111">
        <v>2</v>
      </c>
      <c r="G111">
        <v>2</v>
      </c>
      <c r="J111" t="s">
        <v>15</v>
      </c>
      <c r="K111">
        <v>2</v>
      </c>
      <c r="L111">
        <v>2.9470000000000001</v>
      </c>
      <c r="M111">
        <v>1</v>
      </c>
      <c r="N111" t="s">
        <v>10018</v>
      </c>
      <c r="O111" t="str">
        <f>HYPERLINK("2\0\marker_144_368277.png", "Ver Imagen")</f>
        <v>Ver Imagen</v>
      </c>
      <c r="P111" t="str">
        <f>HYPERLINK("SE\A-497\A-497__772.png", "Ver Imagen")</f>
        <v>Ver Imagen</v>
      </c>
    </row>
    <row r="112" spans="1:16" x14ac:dyDescent="0.25">
      <c r="A112">
        <v>636</v>
      </c>
      <c r="B112" t="s">
        <v>1284</v>
      </c>
      <c r="C112">
        <v>37.506234359600001</v>
      </c>
      <c r="D112">
        <v>-7.2652946396400004</v>
      </c>
      <c r="E112">
        <v>2</v>
      </c>
      <c r="F112">
        <v>2</v>
      </c>
      <c r="G112">
        <v>2</v>
      </c>
      <c r="J112" t="s">
        <v>15</v>
      </c>
      <c r="K112">
        <v>2</v>
      </c>
      <c r="L112">
        <v>1.466</v>
      </c>
      <c r="M112">
        <v>1</v>
      </c>
      <c r="N112" t="s">
        <v>10019</v>
      </c>
      <c r="O112" t="str">
        <f>HYPERLINK("2\0\marker_341_794038.png", "Ver Imagen")</f>
        <v>Ver Imagen</v>
      </c>
      <c r="P112" t="str">
        <f>HYPERLINK("NO\A-499\A-499__138.png", "Ver Imagen")</f>
        <v>Ver Imagen</v>
      </c>
    </row>
    <row r="113" spans="1:16" x14ac:dyDescent="0.25">
      <c r="A113">
        <v>658</v>
      </c>
      <c r="B113" t="s">
        <v>1328</v>
      </c>
      <c r="C113">
        <v>37.517799643099998</v>
      </c>
      <c r="D113">
        <v>-7.2642946372699999</v>
      </c>
      <c r="E113">
        <v>2</v>
      </c>
      <c r="F113">
        <v>2</v>
      </c>
      <c r="G113">
        <v>2</v>
      </c>
      <c r="J113" t="s">
        <v>15</v>
      </c>
      <c r="K113">
        <v>2</v>
      </c>
      <c r="L113">
        <v>1.319</v>
      </c>
      <c r="M113">
        <v>1</v>
      </c>
      <c r="N113" t="s">
        <v>10019</v>
      </c>
      <c r="O113" t="str">
        <f>HYPERLINK("2\0\marker_394_796274.png", "Ver Imagen")</f>
        <v>Ver Imagen</v>
      </c>
      <c r="P113" t="str">
        <f>HYPERLINK("NO\A-499\A-499__207.png", "Ver Imagen")</f>
        <v>Ver Imagen</v>
      </c>
    </row>
    <row r="114" spans="1:16" x14ac:dyDescent="0.25">
      <c r="A114">
        <v>674</v>
      </c>
      <c r="B114" t="s">
        <v>1360</v>
      </c>
      <c r="C114">
        <v>37.267983959699997</v>
      </c>
      <c r="D114">
        <v>-6.96963073551</v>
      </c>
      <c r="E114">
        <v>2</v>
      </c>
      <c r="F114">
        <v>2</v>
      </c>
      <c r="G114">
        <v>2</v>
      </c>
      <c r="J114" t="s">
        <v>15</v>
      </c>
      <c r="K114">
        <v>2</v>
      </c>
      <c r="L114">
        <v>2.6680000000000001</v>
      </c>
      <c r="M114">
        <v>1</v>
      </c>
      <c r="N114" t="s">
        <v>10019</v>
      </c>
      <c r="O114" t="str">
        <f>HYPERLINK("2\0\marker_630_654754.png", "Ver Imagen")</f>
        <v>Ver Imagen</v>
      </c>
      <c r="P114" t="str">
        <f>HYPERLINK("SE\A-497_2C\A-497_2C__50.png", "Ver Imagen")</f>
        <v>Ver Imagen</v>
      </c>
    </row>
    <row r="115" spans="1:16" x14ac:dyDescent="0.25">
      <c r="A115">
        <v>698</v>
      </c>
      <c r="B115" t="s">
        <v>1408</v>
      </c>
      <c r="C115">
        <v>37.270825598199998</v>
      </c>
      <c r="D115">
        <v>-6.9890378628600001</v>
      </c>
      <c r="E115">
        <v>2</v>
      </c>
      <c r="F115">
        <v>2</v>
      </c>
      <c r="G115">
        <v>2</v>
      </c>
      <c r="J115" t="s">
        <v>15</v>
      </c>
      <c r="K115">
        <v>2</v>
      </c>
      <c r="L115">
        <v>3.14</v>
      </c>
      <c r="M115">
        <v>1</v>
      </c>
      <c r="N115" t="s">
        <v>10018</v>
      </c>
      <c r="O115" t="str">
        <f>HYPERLINK("2\0\marker_672_655782.png", "Ver Imagen")</f>
        <v>Ver Imagen</v>
      </c>
      <c r="P115" t="str">
        <f>HYPERLINK("SE\A-497_2C\A-497_2C__131.png", "Ver Imagen")</f>
        <v>Ver Imagen</v>
      </c>
    </row>
    <row r="116" spans="1:16" x14ac:dyDescent="0.25">
      <c r="A116">
        <v>700</v>
      </c>
      <c r="B116" t="s">
        <v>1412</v>
      </c>
      <c r="C116">
        <v>37.268381109099998</v>
      </c>
      <c r="D116">
        <v>-6.9907850066300004</v>
      </c>
      <c r="E116">
        <v>2</v>
      </c>
      <c r="F116">
        <v>2</v>
      </c>
      <c r="G116">
        <v>2</v>
      </c>
      <c r="J116" t="s">
        <v>15</v>
      </c>
      <c r="K116">
        <v>2</v>
      </c>
      <c r="L116">
        <v>3.3159999999999998</v>
      </c>
      <c r="M116">
        <v>1</v>
      </c>
      <c r="N116" t="s">
        <v>10017</v>
      </c>
      <c r="O116" t="str">
        <f>HYPERLINK("2\0\marker_584_655913.png", "Ver Imagen")</f>
        <v>Ver Imagen</v>
      </c>
      <c r="P116" t="str">
        <f>HYPERLINK("SE\A-497_2C\A-497_2C__145.png", "Ver Imagen")</f>
        <v>Ver Imagen</v>
      </c>
    </row>
    <row r="117" spans="1:16" x14ac:dyDescent="0.25">
      <c r="A117">
        <v>713</v>
      </c>
      <c r="B117" t="s">
        <v>1438</v>
      </c>
      <c r="C117">
        <v>37.259693278100002</v>
      </c>
      <c r="D117">
        <v>-7.0119040047599999</v>
      </c>
      <c r="E117">
        <v>2</v>
      </c>
      <c r="F117">
        <v>2</v>
      </c>
      <c r="G117">
        <v>2</v>
      </c>
      <c r="J117" t="s">
        <v>15</v>
      </c>
      <c r="K117">
        <v>2</v>
      </c>
      <c r="L117">
        <v>2.9390000000000001</v>
      </c>
      <c r="M117">
        <v>1</v>
      </c>
      <c r="N117" t="s">
        <v>10019</v>
      </c>
      <c r="O117" t="str">
        <f>HYPERLINK("2\0\marker_867_657059.png", "Ver Imagen")</f>
        <v>Ver Imagen</v>
      </c>
      <c r="P117" t="str">
        <f>HYPERLINK("SE\A-497_2C\A-497_2C__244.png", "Ver Imagen")</f>
        <v>Ver Imagen</v>
      </c>
    </row>
    <row r="118" spans="1:16" x14ac:dyDescent="0.25">
      <c r="A118">
        <v>716</v>
      </c>
      <c r="B118" t="s">
        <v>1444</v>
      </c>
      <c r="C118">
        <v>37.259180891100002</v>
      </c>
      <c r="D118">
        <v>-7.0122321136099997</v>
      </c>
      <c r="E118">
        <v>2</v>
      </c>
      <c r="F118">
        <v>2</v>
      </c>
      <c r="G118">
        <v>2</v>
      </c>
      <c r="J118" t="s">
        <v>15</v>
      </c>
      <c r="K118">
        <v>2</v>
      </c>
      <c r="L118">
        <v>2.794</v>
      </c>
      <c r="M118">
        <v>1</v>
      </c>
      <c r="N118" t="s">
        <v>10017</v>
      </c>
      <c r="O118" t="str">
        <f>HYPERLINK("2\0\marker_441_657086.png", "Ver Imagen")</f>
        <v>Ver Imagen</v>
      </c>
      <c r="P118" t="str">
        <f>HYPERLINK("SE\A-497_2C\A-497_2C__247.png", "Ver Imagen")</f>
        <v>Ver Imagen</v>
      </c>
    </row>
    <row r="119" spans="1:16" x14ac:dyDescent="0.25">
      <c r="A119">
        <v>718</v>
      </c>
      <c r="B119" t="s">
        <v>1448</v>
      </c>
      <c r="C119">
        <v>37.2018602379</v>
      </c>
      <c r="D119">
        <v>-6.9946663401600002</v>
      </c>
      <c r="E119">
        <v>2</v>
      </c>
      <c r="F119">
        <v>2</v>
      </c>
      <c r="G119">
        <v>2</v>
      </c>
      <c r="J119" t="s">
        <v>15</v>
      </c>
      <c r="K119">
        <v>2</v>
      </c>
      <c r="L119">
        <v>3.137</v>
      </c>
      <c r="M119">
        <v>1</v>
      </c>
      <c r="N119" t="s">
        <v>10017</v>
      </c>
      <c r="O119" t="str">
        <f>HYPERLINK("2\0\marker_677_371415.png", "Ver Imagen")</f>
        <v>Ver Imagen</v>
      </c>
      <c r="P119" t="str">
        <f>HYPERLINK("SE\A-497\A-497__632.png", "Ver Imagen")</f>
        <v>Ver Imagen</v>
      </c>
    </row>
    <row r="120" spans="1:16" x14ac:dyDescent="0.25">
      <c r="A120">
        <v>725</v>
      </c>
      <c r="B120" t="s">
        <v>1462</v>
      </c>
      <c r="C120">
        <v>37.204982120300002</v>
      </c>
      <c r="D120">
        <v>-7.0155447184900002</v>
      </c>
      <c r="E120">
        <v>2</v>
      </c>
      <c r="F120">
        <v>2</v>
      </c>
      <c r="G120">
        <v>2</v>
      </c>
      <c r="J120" t="s">
        <v>15</v>
      </c>
      <c r="K120">
        <v>2</v>
      </c>
      <c r="L120">
        <v>2.6429999999999998</v>
      </c>
      <c r="M120">
        <v>1</v>
      </c>
      <c r="N120" t="s">
        <v>10018</v>
      </c>
      <c r="O120" t="str">
        <f>HYPERLINK("2\0\marker_525_372296.png", "Ver Imagen")</f>
        <v>Ver Imagen</v>
      </c>
      <c r="P120" t="str">
        <f>HYPERLINK("SE\A-497\A-497__548.png", "Ver Imagen")</f>
        <v>Ver Imagen</v>
      </c>
    </row>
    <row r="121" spans="1:16" x14ac:dyDescent="0.25">
      <c r="A121">
        <v>731</v>
      </c>
      <c r="B121" t="s">
        <v>1474</v>
      </c>
      <c r="C121">
        <v>37.226278187299997</v>
      </c>
      <c r="D121">
        <v>-7.0230917121800003</v>
      </c>
      <c r="E121">
        <v>2</v>
      </c>
      <c r="F121">
        <v>2</v>
      </c>
      <c r="G121">
        <v>2</v>
      </c>
      <c r="J121" t="s">
        <v>15</v>
      </c>
      <c r="K121">
        <v>2</v>
      </c>
      <c r="L121">
        <v>3.1280000000000001</v>
      </c>
      <c r="M121">
        <v>1</v>
      </c>
      <c r="N121" t="s">
        <v>10018</v>
      </c>
      <c r="O121" t="str">
        <f>HYPERLINK("2\0\marker_760_363114.png", "Ver Imagen")</f>
        <v>Ver Imagen</v>
      </c>
      <c r="P121" t="str">
        <f>HYPERLINK("SE\A-497_2C\A-497_2C__420.png", "Ver Imagen")</f>
        <v>Ver Imagen</v>
      </c>
    </row>
    <row r="122" spans="1:16" x14ac:dyDescent="0.25">
      <c r="A122">
        <v>741</v>
      </c>
      <c r="B122" t="s">
        <v>1494</v>
      </c>
      <c r="C122">
        <v>37.219384109499998</v>
      </c>
      <c r="D122">
        <v>-7.0227655551300003</v>
      </c>
      <c r="E122">
        <v>2</v>
      </c>
      <c r="F122">
        <v>2</v>
      </c>
      <c r="G122">
        <v>2</v>
      </c>
      <c r="J122" t="s">
        <v>15</v>
      </c>
      <c r="K122">
        <v>2</v>
      </c>
      <c r="L122">
        <v>3.0449999999999999</v>
      </c>
      <c r="M122">
        <v>1</v>
      </c>
      <c r="N122" t="s">
        <v>10017</v>
      </c>
      <c r="O122" t="str">
        <f>HYPERLINK("2\0\marker_577_376578.png", "Ver Imagen")</f>
        <v>Ver Imagen</v>
      </c>
      <c r="P122" t="str">
        <f>HYPERLINK("SE\A-497\A-497__459.png", "Ver Imagen")</f>
        <v>Ver Imagen</v>
      </c>
    </row>
    <row r="123" spans="1:16" x14ac:dyDescent="0.25">
      <c r="A123">
        <v>742</v>
      </c>
      <c r="B123" t="s">
        <v>1496</v>
      </c>
      <c r="C123">
        <v>37.2101946007</v>
      </c>
      <c r="D123">
        <v>-7.0237858321599997</v>
      </c>
      <c r="E123">
        <v>2</v>
      </c>
      <c r="F123">
        <v>2</v>
      </c>
      <c r="G123">
        <v>2</v>
      </c>
      <c r="J123" t="s">
        <v>15</v>
      </c>
      <c r="K123">
        <v>2</v>
      </c>
      <c r="L123">
        <v>1.4139999999999999</v>
      </c>
      <c r="M123">
        <v>1</v>
      </c>
      <c r="N123" t="s">
        <v>10018</v>
      </c>
      <c r="O123" t="str">
        <f>HYPERLINK("2\0\marker_702_364063.png", "Ver Imagen")</f>
        <v>Ver Imagen</v>
      </c>
      <c r="P123" t="str">
        <f>HYPERLINK("SE\A-497_2C\A-497_2C__500.png", "Ver Imagen")</f>
        <v>Ver Imagen</v>
      </c>
    </row>
    <row r="124" spans="1:16" x14ac:dyDescent="0.25">
      <c r="A124">
        <v>755</v>
      </c>
      <c r="B124" t="s">
        <v>1522</v>
      </c>
      <c r="C124">
        <v>37.201692795600003</v>
      </c>
      <c r="D124">
        <v>-6.9946042007400004</v>
      </c>
      <c r="E124">
        <v>2</v>
      </c>
      <c r="F124">
        <v>2</v>
      </c>
      <c r="G124">
        <v>2</v>
      </c>
      <c r="J124" t="s">
        <v>15</v>
      </c>
      <c r="K124">
        <v>2</v>
      </c>
      <c r="L124">
        <v>3.0150000000000001</v>
      </c>
      <c r="M124">
        <v>1</v>
      </c>
      <c r="N124" t="s">
        <v>10018</v>
      </c>
      <c r="O124" t="str">
        <f>HYPERLINK("2\0\marker_843_367073.png", "Ver Imagen")</f>
        <v>Ver Imagen</v>
      </c>
      <c r="P124" t="str">
        <f>HYPERLINK("SE\A-497_2C\A-497_2C__629.png", "Ver Imagen")</f>
        <v>Ver Imagen</v>
      </c>
    </row>
    <row r="125" spans="1:16" x14ac:dyDescent="0.25">
      <c r="A125">
        <v>799</v>
      </c>
      <c r="B125" t="s">
        <v>1610</v>
      </c>
      <c r="C125">
        <v>37.234503056000001</v>
      </c>
      <c r="D125">
        <v>-7.0180180500200002</v>
      </c>
      <c r="E125">
        <v>2</v>
      </c>
      <c r="F125">
        <v>2</v>
      </c>
      <c r="G125">
        <v>2</v>
      </c>
      <c r="J125" t="s">
        <v>15</v>
      </c>
      <c r="K125">
        <v>2</v>
      </c>
      <c r="L125">
        <v>1.4159999999999999</v>
      </c>
      <c r="M125">
        <v>1</v>
      </c>
      <c r="N125" t="s">
        <v>10019</v>
      </c>
      <c r="O125" t="str">
        <f>HYPERLINK("2\0\marker_359_377378.png", "Ver Imagen")</f>
        <v>Ver Imagen</v>
      </c>
      <c r="P125" t="str">
        <f>HYPERLINK("SE\A-497\A-497__379.png", "Ver Imagen")</f>
        <v>Ver Imagen</v>
      </c>
    </row>
    <row r="126" spans="1:16" x14ac:dyDescent="0.25">
      <c r="A126">
        <v>830</v>
      </c>
      <c r="B126" t="s">
        <v>1672</v>
      </c>
      <c r="C126">
        <v>37.252581403100002</v>
      </c>
      <c r="D126">
        <v>-7.0162345294800001</v>
      </c>
      <c r="E126">
        <v>2</v>
      </c>
      <c r="F126">
        <v>2</v>
      </c>
      <c r="G126">
        <v>2</v>
      </c>
      <c r="J126" t="s">
        <v>15</v>
      </c>
      <c r="K126">
        <v>2</v>
      </c>
      <c r="L126">
        <v>3.4430000000000001</v>
      </c>
      <c r="M126">
        <v>1</v>
      </c>
      <c r="N126" t="s">
        <v>10017</v>
      </c>
      <c r="O126" t="str">
        <f>HYPERLINK("2\0\marker_453_378375.png", "Ver Imagen")</f>
        <v>Ver Imagen</v>
      </c>
      <c r="P126" t="str">
        <f>HYPERLINK("SE\A-497\A-497__288.png", "Ver Imagen")</f>
        <v>Ver Imagen</v>
      </c>
    </row>
    <row r="127" spans="1:16" x14ac:dyDescent="0.25">
      <c r="A127">
        <v>831</v>
      </c>
      <c r="B127" t="s">
        <v>1674</v>
      </c>
      <c r="C127">
        <v>37.253443800100001</v>
      </c>
      <c r="D127">
        <v>-7.0156870628299997</v>
      </c>
      <c r="E127">
        <v>2</v>
      </c>
      <c r="F127">
        <v>2</v>
      </c>
      <c r="G127">
        <v>2</v>
      </c>
      <c r="J127" t="s">
        <v>15</v>
      </c>
      <c r="K127">
        <v>2</v>
      </c>
      <c r="L127">
        <v>2.9249999999999998</v>
      </c>
      <c r="M127">
        <v>1</v>
      </c>
      <c r="N127" t="s">
        <v>10018</v>
      </c>
      <c r="O127" t="str">
        <f>HYPERLINK("2\0\marker_525_378437.png", "Ver Imagen")</f>
        <v>Ver Imagen</v>
      </c>
      <c r="P127" t="str">
        <f>HYPERLINK("SE\A-497\A-497__283.png", "Ver Imagen")</f>
        <v>Ver Imagen</v>
      </c>
    </row>
    <row r="128" spans="1:16" x14ac:dyDescent="0.25">
      <c r="A128">
        <v>833</v>
      </c>
      <c r="B128" t="s">
        <v>1678</v>
      </c>
      <c r="C128">
        <v>37.258514654400003</v>
      </c>
      <c r="D128">
        <v>-7.0124553423</v>
      </c>
      <c r="E128">
        <v>2</v>
      </c>
      <c r="F128">
        <v>2</v>
      </c>
      <c r="G128">
        <v>2</v>
      </c>
      <c r="J128" t="s">
        <v>15</v>
      </c>
      <c r="K128">
        <v>2</v>
      </c>
      <c r="L128">
        <v>2.7629999999999999</v>
      </c>
      <c r="M128">
        <v>1</v>
      </c>
      <c r="N128" t="s">
        <v>10019</v>
      </c>
      <c r="O128" t="str">
        <f>HYPERLINK("2\0\marker_245_378732.png", "Ver Imagen")</f>
        <v>Ver Imagen</v>
      </c>
      <c r="P128" t="str">
        <f>HYPERLINK("SE\A-497\A-497__255.png", "Ver Imagen")</f>
        <v>Ver Imagen</v>
      </c>
    </row>
    <row r="129" spans="1:16" x14ac:dyDescent="0.25">
      <c r="A129">
        <v>839</v>
      </c>
      <c r="B129" t="s">
        <v>1690</v>
      </c>
      <c r="C129">
        <v>37.279763173900001</v>
      </c>
      <c r="D129">
        <v>-6.9977948491199999</v>
      </c>
      <c r="E129">
        <v>1</v>
      </c>
      <c r="F129">
        <v>2</v>
      </c>
      <c r="G129">
        <v>2</v>
      </c>
      <c r="J129" t="s">
        <v>15</v>
      </c>
      <c r="K129">
        <v>2</v>
      </c>
      <c r="L129">
        <v>2.528</v>
      </c>
      <c r="M129">
        <v>1</v>
      </c>
      <c r="N129" t="s">
        <v>10018</v>
      </c>
      <c r="O129" t="str">
        <f>HYPERLINK("2\1\marker_375_823132.png", "Ver Imagen")</f>
        <v>Ver Imagen</v>
      </c>
      <c r="P129" t="str">
        <f>HYPERLINK("SE\A-492\A-492__59.png", "Ver Imagen")</f>
        <v>Ver Imagen</v>
      </c>
    </row>
    <row r="130" spans="1:16" x14ac:dyDescent="0.25">
      <c r="A130">
        <v>859</v>
      </c>
      <c r="B130" t="s">
        <v>1730</v>
      </c>
      <c r="C130">
        <v>37.218370678600003</v>
      </c>
      <c r="D130">
        <v>-7.1241998203900003</v>
      </c>
      <c r="E130">
        <v>1</v>
      </c>
      <c r="F130">
        <v>2</v>
      </c>
      <c r="G130">
        <v>2</v>
      </c>
      <c r="J130" t="s">
        <v>15</v>
      </c>
      <c r="K130">
        <v>2</v>
      </c>
      <c r="L130">
        <v>2.6339999999999999</v>
      </c>
      <c r="M130">
        <v>1</v>
      </c>
      <c r="N130" t="s">
        <v>10018</v>
      </c>
      <c r="O130" t="str">
        <f>HYPERLINK("2\1\marker_294_949945.png", "Ver Imagen")</f>
        <v>Ver Imagen</v>
      </c>
      <c r="P130" t="str">
        <f>HYPERLINK("SO\A-5052\A-5052__7.png", "Ver Imagen")</f>
        <v>Ver Imagen</v>
      </c>
    </row>
    <row r="131" spans="1:16" x14ac:dyDescent="0.25">
      <c r="A131">
        <v>879</v>
      </c>
      <c r="B131" t="s">
        <v>1770</v>
      </c>
      <c r="C131">
        <v>37.216970600800003</v>
      </c>
      <c r="D131">
        <v>-7.1039695836499996</v>
      </c>
      <c r="E131">
        <v>1</v>
      </c>
      <c r="F131">
        <v>2</v>
      </c>
      <c r="G131">
        <v>2</v>
      </c>
      <c r="J131" t="s">
        <v>15</v>
      </c>
      <c r="K131">
        <v>2</v>
      </c>
      <c r="L131">
        <v>1.4730000000000001</v>
      </c>
      <c r="M131">
        <v>1</v>
      </c>
      <c r="N131" t="s">
        <v>10019</v>
      </c>
      <c r="O131" t="str">
        <f>HYPERLINK("2\1\marker_681_957477.png", "Ver Imagen")</f>
        <v>Ver Imagen</v>
      </c>
      <c r="P131" t="str">
        <f>HYPERLINK("SO\A-5052\A-5052__88.png", "Ver Imagen")</f>
        <v>Ver Imagen</v>
      </c>
    </row>
    <row r="132" spans="1:16" x14ac:dyDescent="0.25">
      <c r="A132">
        <v>893</v>
      </c>
      <c r="B132" t="s">
        <v>1798</v>
      </c>
      <c r="C132">
        <v>37.216180904200002</v>
      </c>
      <c r="D132">
        <v>-7.09064243117</v>
      </c>
      <c r="E132">
        <v>1</v>
      </c>
      <c r="F132">
        <v>2</v>
      </c>
      <c r="G132">
        <v>2</v>
      </c>
      <c r="J132" t="s">
        <v>15</v>
      </c>
      <c r="K132">
        <v>2</v>
      </c>
      <c r="L132">
        <v>1.488</v>
      </c>
      <c r="M132">
        <v>1</v>
      </c>
      <c r="N132" t="s">
        <v>10018</v>
      </c>
      <c r="O132" t="str">
        <f>HYPERLINK("2\1\marker_317_958375.png", "Ver Imagen")</f>
        <v>Ver Imagen</v>
      </c>
      <c r="P132" t="str">
        <f>HYPERLINK("SO\A-5052\A-5052__141.png", "Ver Imagen")</f>
        <v>Ver Imagen</v>
      </c>
    </row>
    <row r="133" spans="1:16" x14ac:dyDescent="0.25">
      <c r="A133">
        <v>899</v>
      </c>
      <c r="B133" t="s">
        <v>1810</v>
      </c>
      <c r="C133">
        <v>37.216027439800001</v>
      </c>
      <c r="D133">
        <v>-7.0881095943199997</v>
      </c>
      <c r="E133">
        <v>1</v>
      </c>
      <c r="F133">
        <v>2</v>
      </c>
      <c r="G133">
        <v>2</v>
      </c>
      <c r="J133" t="s">
        <v>15</v>
      </c>
      <c r="K133">
        <v>2</v>
      </c>
      <c r="L133">
        <v>2.5259999999999998</v>
      </c>
      <c r="M133">
        <v>1</v>
      </c>
      <c r="N133" t="s">
        <v>10018</v>
      </c>
      <c r="O133" t="str">
        <f>HYPERLINK("2\1\marker_534_958545.png", "Ver Imagen")</f>
        <v>Ver Imagen</v>
      </c>
      <c r="P133" t="str">
        <f>HYPERLINK("SO\A-5052\A-5052__151.png", "Ver Imagen")</f>
        <v>Ver Imagen</v>
      </c>
    </row>
    <row r="134" spans="1:16" x14ac:dyDescent="0.25">
      <c r="A134">
        <v>902</v>
      </c>
      <c r="B134" t="s">
        <v>1816</v>
      </c>
      <c r="C134">
        <v>37.216078682099997</v>
      </c>
      <c r="D134">
        <v>-7.0858668679700001</v>
      </c>
      <c r="E134">
        <v>1</v>
      </c>
      <c r="F134">
        <v>2</v>
      </c>
      <c r="G134">
        <v>2</v>
      </c>
      <c r="J134" t="s">
        <v>15</v>
      </c>
      <c r="K134">
        <v>2</v>
      </c>
      <c r="L134">
        <v>1.4259999999999999</v>
      </c>
      <c r="M134">
        <v>1</v>
      </c>
      <c r="N134" t="s">
        <v>10019</v>
      </c>
      <c r="O134" t="str">
        <f>HYPERLINK("2\1\marker_619_958682.png", "Ver Imagen")</f>
        <v>Ver Imagen</v>
      </c>
      <c r="P134" t="str">
        <f>HYPERLINK("SO\A-5052\A-5052__160.png", "Ver Imagen")</f>
        <v>Ver Imagen</v>
      </c>
    </row>
    <row r="135" spans="1:16" x14ac:dyDescent="0.25">
      <c r="A135">
        <v>941</v>
      </c>
      <c r="B135" t="s">
        <v>1894</v>
      </c>
      <c r="C135">
        <v>37.285820161499998</v>
      </c>
      <c r="D135">
        <v>-7.1420314753499996</v>
      </c>
      <c r="E135">
        <v>1</v>
      </c>
      <c r="F135">
        <v>2</v>
      </c>
      <c r="G135">
        <v>2</v>
      </c>
      <c r="J135" t="s">
        <v>15</v>
      </c>
      <c r="K135">
        <v>2</v>
      </c>
      <c r="L135">
        <v>1.44</v>
      </c>
      <c r="M135">
        <v>1</v>
      </c>
      <c r="N135" t="s">
        <v>10018</v>
      </c>
      <c r="O135" t="str">
        <f>HYPERLINK("2\1\marker_608_963998.png", "Ver Imagen")</f>
        <v>Ver Imagen</v>
      </c>
      <c r="P135" t="str">
        <f>HYPERLINK("SO\A-5053\A-5053__366.png", "Ver Imagen")</f>
        <v>Ver Imagen</v>
      </c>
    </row>
    <row r="136" spans="1:16" x14ac:dyDescent="0.25">
      <c r="A136">
        <v>943</v>
      </c>
      <c r="B136" t="s">
        <v>1898</v>
      </c>
      <c r="C136">
        <v>37.284572744899997</v>
      </c>
      <c r="D136">
        <v>-7.1431006465299998</v>
      </c>
      <c r="E136">
        <v>1</v>
      </c>
      <c r="F136">
        <v>2</v>
      </c>
      <c r="G136">
        <v>2</v>
      </c>
      <c r="J136" t="s">
        <v>15</v>
      </c>
      <c r="K136">
        <v>2</v>
      </c>
      <c r="L136">
        <v>2.5339999999999998</v>
      </c>
      <c r="M136">
        <v>1</v>
      </c>
      <c r="N136" t="s">
        <v>10018</v>
      </c>
      <c r="O136" t="str">
        <f>HYPERLINK("2\1\marker_704_964093.png", "Ver Imagen")</f>
        <v>Ver Imagen</v>
      </c>
      <c r="P136" t="str">
        <f>HYPERLINK("SO\A-5053\A-5053__358.png", "Ver Imagen")</f>
        <v>Ver Imagen</v>
      </c>
    </row>
    <row r="137" spans="1:16" x14ac:dyDescent="0.25">
      <c r="A137">
        <v>985</v>
      </c>
      <c r="B137" t="s">
        <v>1982</v>
      </c>
      <c r="C137">
        <v>37.199994808900001</v>
      </c>
      <c r="D137">
        <v>-6.9864250986299998</v>
      </c>
      <c r="E137">
        <v>1</v>
      </c>
      <c r="F137">
        <v>2</v>
      </c>
      <c r="G137">
        <v>2</v>
      </c>
      <c r="J137" t="s">
        <v>15</v>
      </c>
      <c r="K137">
        <v>2</v>
      </c>
      <c r="L137">
        <v>2.734</v>
      </c>
      <c r="M137">
        <v>1</v>
      </c>
      <c r="N137" t="s">
        <v>10017</v>
      </c>
      <c r="O137" t="str">
        <f>HYPERLINK("2\1\marker_464_367427.png", "Ver Imagen")</f>
        <v>Ver Imagen</v>
      </c>
      <c r="P137" t="str">
        <f>HYPERLINK("SE\A-497\A-497__851.png", "Ver Imagen")</f>
        <v>Ver Imagen</v>
      </c>
    </row>
    <row r="138" spans="1:16" x14ac:dyDescent="0.25">
      <c r="A138">
        <v>989</v>
      </c>
      <c r="B138" t="s">
        <v>1990</v>
      </c>
      <c r="C138">
        <v>37.199746941299999</v>
      </c>
      <c r="D138">
        <v>-6.9854297583699996</v>
      </c>
      <c r="E138">
        <v>1</v>
      </c>
      <c r="F138">
        <v>2</v>
      </c>
      <c r="G138">
        <v>2</v>
      </c>
      <c r="J138" t="s">
        <v>15</v>
      </c>
      <c r="K138">
        <v>2</v>
      </c>
      <c r="L138">
        <v>2.5209999999999999</v>
      </c>
      <c r="M138">
        <v>1</v>
      </c>
      <c r="N138" t="s">
        <v>10017</v>
      </c>
      <c r="O138" t="str">
        <f>HYPERLINK("2\1\marker_517_367473.png", "Ver Imagen")</f>
        <v>Ver Imagen</v>
      </c>
      <c r="P138" t="str">
        <f>HYPERLINK("SE\A-497\A-497__847.png", "Ver Imagen")</f>
        <v>Ver Imagen</v>
      </c>
    </row>
    <row r="139" spans="1:16" x14ac:dyDescent="0.25">
      <c r="A139">
        <v>996</v>
      </c>
      <c r="B139" t="s">
        <v>2004</v>
      </c>
      <c r="C139">
        <v>37.267408044900002</v>
      </c>
      <c r="D139">
        <v>-6.9592451206000003</v>
      </c>
      <c r="E139">
        <v>1</v>
      </c>
      <c r="F139">
        <v>2</v>
      </c>
      <c r="G139">
        <v>2</v>
      </c>
      <c r="J139" t="s">
        <v>15</v>
      </c>
      <c r="K139">
        <v>2</v>
      </c>
      <c r="L139">
        <v>2.5739999999999998</v>
      </c>
      <c r="M139">
        <v>1</v>
      </c>
      <c r="N139" t="s">
        <v>10019</v>
      </c>
      <c r="O139" t="str">
        <f>HYPERLINK("2\1\marker_268_653808.png", "Ver Imagen")</f>
        <v>Ver Imagen</v>
      </c>
      <c r="P139" t="str">
        <f>HYPERLINK("SE\A-497_2C\A-497_2C__9.png", "Ver Imagen")</f>
        <v>Ver Imagen</v>
      </c>
    </row>
    <row r="140" spans="1:16" x14ac:dyDescent="0.25">
      <c r="A140">
        <v>997</v>
      </c>
      <c r="B140" t="s">
        <v>2006</v>
      </c>
      <c r="C140">
        <v>37.267496792800003</v>
      </c>
      <c r="D140">
        <v>-6.9600120463000001</v>
      </c>
      <c r="E140">
        <v>1</v>
      </c>
      <c r="F140">
        <v>2</v>
      </c>
      <c r="G140">
        <v>2</v>
      </c>
      <c r="J140" t="s">
        <v>15</v>
      </c>
      <c r="K140">
        <v>2</v>
      </c>
      <c r="L140">
        <v>2.6749999999999998</v>
      </c>
      <c r="M140">
        <v>1</v>
      </c>
      <c r="N140" t="s">
        <v>10017</v>
      </c>
      <c r="O140" t="str">
        <f>HYPERLINK("2\1\marker_434_654003.png", "Ver Imagen")</f>
        <v>Ver Imagen</v>
      </c>
      <c r="P140" t="str">
        <f>HYPERLINK("SE\A-497_2C\A-497_2C__12.png", "Ver Imagen")</f>
        <v>Ver Imagen</v>
      </c>
    </row>
    <row r="141" spans="1:16" x14ac:dyDescent="0.25">
      <c r="A141">
        <v>1024</v>
      </c>
      <c r="B141" t="s">
        <v>2060</v>
      </c>
      <c r="C141">
        <v>37.212779237200003</v>
      </c>
      <c r="D141">
        <v>-7.0237889966399996</v>
      </c>
      <c r="E141">
        <v>1</v>
      </c>
      <c r="F141">
        <v>2</v>
      </c>
      <c r="G141">
        <v>2</v>
      </c>
      <c r="J141" t="s">
        <v>15</v>
      </c>
      <c r="K141">
        <v>2</v>
      </c>
      <c r="L141">
        <v>2.891</v>
      </c>
      <c r="M141">
        <v>1</v>
      </c>
      <c r="N141" t="s">
        <v>10018</v>
      </c>
      <c r="O141" t="str">
        <f>HYPERLINK("2\1\marker_157_376180.png", "Ver Imagen")</f>
        <v>Ver Imagen</v>
      </c>
      <c r="P141" t="str">
        <f>HYPERLINK("SE\A-497\A-497__492.png", "Ver Imagen")</f>
        <v>Ver Imagen</v>
      </c>
    </row>
    <row r="142" spans="1:16" x14ac:dyDescent="0.25">
      <c r="A142">
        <v>1032</v>
      </c>
      <c r="B142" t="s">
        <v>2076</v>
      </c>
      <c r="C142">
        <v>37.224302128300003</v>
      </c>
      <c r="D142">
        <v>-7.0233686773899997</v>
      </c>
      <c r="E142">
        <v>1</v>
      </c>
      <c r="F142">
        <v>2</v>
      </c>
      <c r="G142">
        <v>2</v>
      </c>
      <c r="J142" t="s">
        <v>15</v>
      </c>
      <c r="K142">
        <v>2</v>
      </c>
      <c r="L142">
        <v>1.3779999999999999</v>
      </c>
      <c r="M142">
        <v>1</v>
      </c>
      <c r="N142" t="s">
        <v>10019</v>
      </c>
      <c r="O142" t="str">
        <f>HYPERLINK("2\1\marker_122_363207.png", "Ver Imagen")</f>
        <v>Ver Imagen</v>
      </c>
      <c r="P142" t="str">
        <f>HYPERLINK("SE\A-497_2C\A-497_2C__430.png", "Ver Imagen")</f>
        <v>Ver Imagen</v>
      </c>
    </row>
    <row r="143" spans="1:16" x14ac:dyDescent="0.25">
      <c r="A143">
        <v>1036</v>
      </c>
      <c r="B143" t="s">
        <v>2084</v>
      </c>
      <c r="C143">
        <v>37.219800497000001</v>
      </c>
      <c r="D143">
        <v>-7.0227766270499998</v>
      </c>
      <c r="E143">
        <v>1</v>
      </c>
      <c r="F143">
        <v>2</v>
      </c>
      <c r="G143">
        <v>2</v>
      </c>
      <c r="J143" t="s">
        <v>15</v>
      </c>
      <c r="K143">
        <v>2</v>
      </c>
      <c r="L143">
        <v>2.726</v>
      </c>
      <c r="M143">
        <v>1</v>
      </c>
      <c r="N143" t="s">
        <v>10017</v>
      </c>
      <c r="O143" t="str">
        <f>HYPERLINK("2\1\marker_942_376603.png", "Ver Imagen")</f>
        <v>Ver Imagen</v>
      </c>
      <c r="P143" t="str">
        <f>HYPERLINK("SE\A-497\A-497__457.png", "Ver Imagen")</f>
        <v>Ver Imagen</v>
      </c>
    </row>
    <row r="144" spans="1:16" x14ac:dyDescent="0.25">
      <c r="A144">
        <v>1037</v>
      </c>
      <c r="B144" t="s">
        <v>2086</v>
      </c>
      <c r="C144">
        <v>37.220201382200003</v>
      </c>
      <c r="D144">
        <v>-7.0228029963700003</v>
      </c>
      <c r="E144">
        <v>1</v>
      </c>
      <c r="F144">
        <v>2</v>
      </c>
      <c r="G144">
        <v>2</v>
      </c>
      <c r="J144" t="s">
        <v>15</v>
      </c>
      <c r="K144">
        <v>2</v>
      </c>
      <c r="L144">
        <v>2.5470000000000002</v>
      </c>
      <c r="M144">
        <v>1</v>
      </c>
      <c r="N144" t="s">
        <v>10018</v>
      </c>
      <c r="O144" t="str">
        <f>HYPERLINK("2\1\marker_879_376635.png", "Ver Imagen")</f>
        <v>Ver Imagen</v>
      </c>
      <c r="P144" t="str">
        <f>HYPERLINK("SE\A-497\A-497__455.png", "Ver Imagen")</f>
        <v>Ver Imagen</v>
      </c>
    </row>
    <row r="145" spans="1:16" x14ac:dyDescent="0.25">
      <c r="A145">
        <v>1038</v>
      </c>
      <c r="B145" t="s">
        <v>2088</v>
      </c>
      <c r="C145">
        <v>37.220393484200002</v>
      </c>
      <c r="D145">
        <v>-7.0228166671499999</v>
      </c>
      <c r="E145">
        <v>1</v>
      </c>
      <c r="F145">
        <v>2</v>
      </c>
      <c r="G145">
        <v>2</v>
      </c>
      <c r="J145" t="s">
        <v>15</v>
      </c>
      <c r="K145">
        <v>2</v>
      </c>
      <c r="L145">
        <v>2.5870000000000002</v>
      </c>
      <c r="M145">
        <v>1</v>
      </c>
      <c r="N145" t="s">
        <v>10018</v>
      </c>
      <c r="O145" t="str">
        <f>HYPERLINK("2\1\marker_159_376646.png", "Ver Imagen")</f>
        <v>Ver Imagen</v>
      </c>
      <c r="P145" t="str">
        <f>HYPERLINK("SE\A-497\A-497__454.png", "Ver Imagen")</f>
        <v>Ver Imagen</v>
      </c>
    </row>
    <row r="146" spans="1:16" x14ac:dyDescent="0.25">
      <c r="A146">
        <v>1041</v>
      </c>
      <c r="B146" t="s">
        <v>2094</v>
      </c>
      <c r="C146">
        <v>37.201372977200002</v>
      </c>
      <c r="D146">
        <v>-6.9928196306599997</v>
      </c>
      <c r="E146">
        <v>1</v>
      </c>
      <c r="F146">
        <v>2</v>
      </c>
      <c r="G146">
        <v>2</v>
      </c>
      <c r="J146" t="s">
        <v>15</v>
      </c>
      <c r="K146">
        <v>2</v>
      </c>
      <c r="L146">
        <v>2.62</v>
      </c>
      <c r="M146">
        <v>1</v>
      </c>
      <c r="N146" t="s">
        <v>10018</v>
      </c>
      <c r="O146" t="str">
        <f>HYPERLINK("2\1\marker_125_367140.png", "Ver Imagen")</f>
        <v>Ver Imagen</v>
      </c>
      <c r="P146" t="str">
        <f>HYPERLINK("SE\A-497_2C\A-497_2C__636.png", "Ver Imagen")</f>
        <v>Ver Imagen</v>
      </c>
    </row>
    <row r="147" spans="1:16" x14ac:dyDescent="0.25">
      <c r="A147">
        <v>1048</v>
      </c>
      <c r="B147" t="s">
        <v>2108</v>
      </c>
      <c r="C147">
        <v>37.266287990099997</v>
      </c>
      <c r="D147">
        <v>-6.99272355025</v>
      </c>
      <c r="E147">
        <v>2</v>
      </c>
      <c r="F147">
        <v>2</v>
      </c>
      <c r="G147">
        <v>1</v>
      </c>
      <c r="J147" t="s">
        <v>15</v>
      </c>
      <c r="K147">
        <v>2</v>
      </c>
      <c r="L147">
        <v>2.855</v>
      </c>
      <c r="M147">
        <v>1</v>
      </c>
      <c r="N147" t="s">
        <v>10018</v>
      </c>
      <c r="O147" t="str">
        <f>HYPERLINK("2\1\marker_690_380222.png", "Ver Imagen")</f>
        <v>Ver Imagen</v>
      </c>
      <c r="P147" t="str">
        <f>HYPERLINK("SE\A-497\A-497__163.png", "Ver Imagen")</f>
        <v>Ver Imagen</v>
      </c>
    </row>
    <row r="148" spans="1:16" x14ac:dyDescent="0.25">
      <c r="A148">
        <v>1055</v>
      </c>
      <c r="B148" t="s">
        <v>2122</v>
      </c>
      <c r="C148">
        <v>37.452350455000001</v>
      </c>
      <c r="D148">
        <v>-7.1599366584900004</v>
      </c>
      <c r="E148">
        <v>2</v>
      </c>
      <c r="F148">
        <v>3</v>
      </c>
      <c r="G148">
        <v>2</v>
      </c>
      <c r="J148" t="s">
        <v>15</v>
      </c>
      <c r="K148">
        <v>2</v>
      </c>
      <c r="L148">
        <v>2.9609999999999999</v>
      </c>
      <c r="M148">
        <v>1</v>
      </c>
      <c r="N148" t="s">
        <v>10019</v>
      </c>
      <c r="O148" t="str">
        <f>HYPERLINK("2\1\marker_176_740514.png", "Ver Imagen")</f>
        <v>Ver Imagen</v>
      </c>
      <c r="P148" t="str">
        <f>HYPERLINK("NE\A-490\A-490__140.png", "Ver Imagen")</f>
        <v>Ver Imagen</v>
      </c>
    </row>
    <row r="149" spans="1:16" x14ac:dyDescent="0.25">
      <c r="A149">
        <v>1056</v>
      </c>
      <c r="B149" t="s">
        <v>2124</v>
      </c>
      <c r="C149">
        <v>37.452408230000003</v>
      </c>
      <c r="D149">
        <v>-7.1602139329899996</v>
      </c>
      <c r="E149">
        <v>2</v>
      </c>
      <c r="F149">
        <v>3</v>
      </c>
      <c r="G149">
        <v>2</v>
      </c>
      <c r="J149" t="s">
        <v>15</v>
      </c>
      <c r="K149">
        <v>2</v>
      </c>
      <c r="L149">
        <v>3.0880000000000001</v>
      </c>
      <c r="M149">
        <v>1</v>
      </c>
      <c r="N149" t="s">
        <v>10018</v>
      </c>
      <c r="O149" t="str">
        <f>HYPERLINK("2\1\marker_824_740530.png", "Ver Imagen")</f>
        <v>Ver Imagen</v>
      </c>
      <c r="P149" t="str">
        <f>HYPERLINK("NE\A-490\A-490__141.png", "Ver Imagen")</f>
        <v>Ver Imagen</v>
      </c>
    </row>
    <row r="150" spans="1:16" x14ac:dyDescent="0.25">
      <c r="A150">
        <v>1061</v>
      </c>
      <c r="B150" t="s">
        <v>2134</v>
      </c>
      <c r="C150">
        <v>37.457107156200003</v>
      </c>
      <c r="D150">
        <v>-7.1681713243000003</v>
      </c>
      <c r="E150">
        <v>2</v>
      </c>
      <c r="F150">
        <v>2</v>
      </c>
      <c r="G150">
        <v>3</v>
      </c>
      <c r="J150" t="s">
        <v>15</v>
      </c>
      <c r="K150">
        <v>2</v>
      </c>
      <c r="L150">
        <v>2.5019999999999998</v>
      </c>
      <c r="M150">
        <v>1</v>
      </c>
      <c r="N150" t="s">
        <v>10017</v>
      </c>
      <c r="O150" t="str">
        <f>HYPERLINK("2\1\marker_667_741823.png", "Ver Imagen")</f>
        <v>Ver Imagen</v>
      </c>
      <c r="P150" t="str">
        <f>HYPERLINK("NE\A-490\A-490__181.png", "Ver Imagen")</f>
        <v>Ver Imagen</v>
      </c>
    </row>
    <row r="151" spans="1:16" x14ac:dyDescent="0.25">
      <c r="A151">
        <v>1064</v>
      </c>
      <c r="B151" t="s">
        <v>2140</v>
      </c>
      <c r="C151">
        <v>37.4635642139</v>
      </c>
      <c r="D151">
        <v>-7.17770508006</v>
      </c>
      <c r="E151">
        <v>2</v>
      </c>
      <c r="F151">
        <v>3</v>
      </c>
      <c r="G151">
        <v>2</v>
      </c>
      <c r="J151" t="s">
        <v>15</v>
      </c>
      <c r="K151">
        <v>2</v>
      </c>
      <c r="L151">
        <v>3.048</v>
      </c>
      <c r="M151">
        <v>1</v>
      </c>
      <c r="N151" t="s">
        <v>10018</v>
      </c>
      <c r="O151" t="str">
        <f>HYPERLINK("2\1\marker_571_743836.png", "Ver Imagen")</f>
        <v>Ver Imagen</v>
      </c>
      <c r="P151" t="str">
        <f>HYPERLINK("NE\A-490\A-490__230.png", "Ver Imagen")</f>
        <v>Ver Imagen</v>
      </c>
    </row>
    <row r="152" spans="1:16" x14ac:dyDescent="0.25">
      <c r="A152">
        <v>1078</v>
      </c>
      <c r="B152" t="s">
        <v>2168</v>
      </c>
      <c r="C152">
        <v>37.485399066299998</v>
      </c>
      <c r="D152">
        <v>-7.2325335578900001</v>
      </c>
      <c r="E152">
        <v>1</v>
      </c>
      <c r="F152">
        <v>2</v>
      </c>
      <c r="G152">
        <v>2</v>
      </c>
      <c r="J152" t="s">
        <v>15</v>
      </c>
      <c r="K152">
        <v>2</v>
      </c>
      <c r="L152">
        <v>1.484</v>
      </c>
      <c r="M152">
        <v>1</v>
      </c>
      <c r="N152" t="s">
        <v>10018</v>
      </c>
      <c r="O152" t="str">
        <f>HYPERLINK("2\1\marker_678_755469.png", "Ver Imagen")</f>
        <v>Ver Imagen</v>
      </c>
      <c r="P152" t="str">
        <f>HYPERLINK("NO\A-490\A-490__474.png", "Ver Imagen")</f>
        <v>Ver Imagen</v>
      </c>
    </row>
    <row r="153" spans="1:16" x14ac:dyDescent="0.25">
      <c r="A153">
        <v>1087</v>
      </c>
      <c r="B153" t="s">
        <v>2186</v>
      </c>
      <c r="C153">
        <v>37.488699366100001</v>
      </c>
      <c r="D153">
        <v>-7.24714521853</v>
      </c>
      <c r="E153">
        <v>1</v>
      </c>
      <c r="F153">
        <v>2</v>
      </c>
      <c r="G153">
        <v>2</v>
      </c>
      <c r="J153" t="s">
        <v>15</v>
      </c>
      <c r="K153">
        <v>2</v>
      </c>
      <c r="L153">
        <v>2.613</v>
      </c>
      <c r="M153">
        <v>1</v>
      </c>
      <c r="N153" t="s">
        <v>10017</v>
      </c>
      <c r="O153" t="str">
        <f>HYPERLINK("2\1\marker_458_818259.png", "Ver Imagen")</f>
        <v>Ver Imagen</v>
      </c>
      <c r="P153" t="str">
        <f>HYPERLINK("NO\A-490\A-490__534.png", "Ver Imagen")</f>
        <v>Ver Imagen</v>
      </c>
    </row>
    <row r="154" spans="1:16" x14ac:dyDescent="0.25">
      <c r="A154">
        <v>1099</v>
      </c>
      <c r="B154" t="s">
        <v>2210</v>
      </c>
      <c r="C154">
        <v>37.2774943573</v>
      </c>
      <c r="D154">
        <v>-7.0116490918899999</v>
      </c>
      <c r="E154">
        <v>2</v>
      </c>
      <c r="F154">
        <v>2</v>
      </c>
      <c r="G154">
        <v>3</v>
      </c>
      <c r="J154" t="s">
        <v>15</v>
      </c>
      <c r="K154">
        <v>2</v>
      </c>
      <c r="L154">
        <v>3.258</v>
      </c>
      <c r="M154">
        <v>1</v>
      </c>
      <c r="N154" t="s">
        <v>10018</v>
      </c>
      <c r="O154" t="str">
        <f>HYPERLINK("2\1\marker_283_824423.png", "Ver Imagen")</f>
        <v>Ver Imagen</v>
      </c>
      <c r="P154" t="str">
        <f>HYPERLINK("SE\A-492\A-492__120.png", "Ver Imagen")</f>
        <v>Ver Imagen</v>
      </c>
    </row>
    <row r="155" spans="1:16" x14ac:dyDescent="0.25">
      <c r="A155">
        <v>1124</v>
      </c>
      <c r="B155" t="s">
        <v>2260</v>
      </c>
      <c r="C155">
        <v>37.2803387939</v>
      </c>
      <c r="D155">
        <v>-7.03155440956</v>
      </c>
      <c r="E155">
        <v>1</v>
      </c>
      <c r="F155">
        <v>2</v>
      </c>
      <c r="G155">
        <v>2</v>
      </c>
      <c r="J155" t="s">
        <v>15</v>
      </c>
      <c r="K155">
        <v>2</v>
      </c>
      <c r="L155">
        <v>2.5019999999999998</v>
      </c>
      <c r="M155">
        <v>1</v>
      </c>
      <c r="N155" t="s">
        <v>10018</v>
      </c>
      <c r="O155" t="str">
        <f>HYPERLINK("2\1\marker_468_832634.png", "Ver Imagen")</f>
        <v>Ver Imagen</v>
      </c>
      <c r="P155" t="str">
        <f>HYPERLINK("SE\A-492\A-492__211.png", "Ver Imagen")</f>
        <v>Ver Imagen</v>
      </c>
    </row>
    <row r="156" spans="1:16" x14ac:dyDescent="0.25">
      <c r="A156">
        <v>1145</v>
      </c>
      <c r="B156" t="s">
        <v>2302</v>
      </c>
      <c r="C156">
        <v>37.288549172400003</v>
      </c>
      <c r="D156">
        <v>-7.0428684488900002</v>
      </c>
      <c r="E156">
        <v>2</v>
      </c>
      <c r="F156">
        <v>2</v>
      </c>
      <c r="G156">
        <v>3</v>
      </c>
      <c r="J156" t="s">
        <v>15</v>
      </c>
      <c r="K156">
        <v>2</v>
      </c>
      <c r="L156">
        <v>1.198</v>
      </c>
      <c r="M156">
        <v>1</v>
      </c>
      <c r="N156" t="s">
        <v>10019</v>
      </c>
      <c r="O156" t="str">
        <f>HYPERLINK("2\1\marker_471_836878.png", "Ver Imagen")</f>
        <v>Ver Imagen</v>
      </c>
      <c r="P156" t="str">
        <f>HYPERLINK("SE\A-492\A-492__277.png", "Ver Imagen")</f>
        <v>Ver Imagen</v>
      </c>
    </row>
    <row r="157" spans="1:16" x14ac:dyDescent="0.25">
      <c r="A157">
        <v>1166</v>
      </c>
      <c r="B157" t="s">
        <v>2344</v>
      </c>
      <c r="C157">
        <v>37.302289322599997</v>
      </c>
      <c r="D157">
        <v>-7.0565177383500002</v>
      </c>
      <c r="E157">
        <v>2</v>
      </c>
      <c r="F157">
        <v>1</v>
      </c>
      <c r="G157">
        <v>2</v>
      </c>
      <c r="J157" t="s">
        <v>15</v>
      </c>
      <c r="K157">
        <v>2</v>
      </c>
      <c r="L157">
        <v>1.4410000000000001</v>
      </c>
      <c r="M157">
        <v>1</v>
      </c>
      <c r="N157" t="s">
        <v>10018</v>
      </c>
      <c r="O157" t="str">
        <f>HYPERLINK("2\1\marker_642_838727.png", "Ver Imagen")</f>
        <v>Ver Imagen</v>
      </c>
      <c r="P157" t="str">
        <f>HYPERLINK("SE\A-492\A-492__367.png", "Ver Imagen")</f>
        <v>Ver Imagen</v>
      </c>
    </row>
    <row r="158" spans="1:16" x14ac:dyDescent="0.25">
      <c r="A158">
        <v>1193</v>
      </c>
      <c r="B158" t="s">
        <v>2398</v>
      </c>
      <c r="C158">
        <v>37.314030132900001</v>
      </c>
      <c r="D158">
        <v>-7.0636509703400003</v>
      </c>
      <c r="E158">
        <v>2</v>
      </c>
      <c r="F158">
        <v>1</v>
      </c>
      <c r="G158">
        <v>2</v>
      </c>
      <c r="J158" t="s">
        <v>15</v>
      </c>
      <c r="K158">
        <v>2</v>
      </c>
      <c r="L158">
        <v>1.44</v>
      </c>
      <c r="M158">
        <v>1</v>
      </c>
      <c r="N158" t="s">
        <v>10018</v>
      </c>
      <c r="O158" t="str">
        <f>HYPERLINK("2\1\marker_704_839603.png", "Ver Imagen")</f>
        <v>Ver Imagen</v>
      </c>
      <c r="P158" t="str">
        <f>HYPERLINK("SE\A-492\A-492__436.png", "Ver Imagen")</f>
        <v>Ver Imagen</v>
      </c>
    </row>
    <row r="159" spans="1:16" x14ac:dyDescent="0.25">
      <c r="A159">
        <v>1195</v>
      </c>
      <c r="B159" t="s">
        <v>2402</v>
      </c>
      <c r="C159">
        <v>37.314720628400003</v>
      </c>
      <c r="D159">
        <v>-7.0649363780099996</v>
      </c>
      <c r="E159">
        <v>1</v>
      </c>
      <c r="F159">
        <v>2</v>
      </c>
      <c r="G159">
        <v>2</v>
      </c>
      <c r="J159" t="s">
        <v>15</v>
      </c>
      <c r="K159">
        <v>2</v>
      </c>
      <c r="L159">
        <v>1.431</v>
      </c>
      <c r="M159">
        <v>1</v>
      </c>
      <c r="N159" t="s">
        <v>10018</v>
      </c>
      <c r="O159" t="str">
        <f>HYPERLINK("2\1\marker_237_839722.png", "Ver Imagen")</f>
        <v>Ver Imagen</v>
      </c>
      <c r="P159" t="str">
        <f>HYPERLINK("SE\A-492\A-492__442.png", "Ver Imagen")</f>
        <v>Ver Imagen</v>
      </c>
    </row>
    <row r="160" spans="1:16" x14ac:dyDescent="0.25">
      <c r="A160">
        <v>1202</v>
      </c>
      <c r="B160" t="s">
        <v>2416</v>
      </c>
      <c r="C160">
        <v>37.268476810899998</v>
      </c>
      <c r="D160">
        <v>-6.9735743324100001</v>
      </c>
      <c r="E160">
        <v>2</v>
      </c>
      <c r="F160">
        <v>3</v>
      </c>
      <c r="G160">
        <v>2</v>
      </c>
      <c r="J160" t="s">
        <v>15</v>
      </c>
      <c r="K160">
        <v>2</v>
      </c>
      <c r="L160">
        <v>3.1040000000000001</v>
      </c>
      <c r="M160">
        <v>1</v>
      </c>
      <c r="N160" t="s">
        <v>10017</v>
      </c>
      <c r="O160" t="str">
        <f>HYPERLINK("2\1\marker_661_938033.png", "Ver Imagen")</f>
        <v>Ver Imagen</v>
      </c>
      <c r="P160" t="str">
        <f>HYPERLINK("SE\A-497\A-497__71.png", "Ver Imagen")</f>
        <v>Ver Imagen</v>
      </c>
    </row>
    <row r="161" spans="1:16" x14ac:dyDescent="0.25">
      <c r="A161">
        <v>1212</v>
      </c>
      <c r="B161" t="s">
        <v>2436</v>
      </c>
      <c r="C161">
        <v>37.194874206400002</v>
      </c>
      <c r="D161">
        <v>-6.99983471005</v>
      </c>
      <c r="E161">
        <v>2</v>
      </c>
      <c r="F161">
        <v>3</v>
      </c>
      <c r="G161">
        <v>2</v>
      </c>
      <c r="J161" t="s">
        <v>15</v>
      </c>
      <c r="K161">
        <v>2</v>
      </c>
      <c r="L161">
        <v>3.4710000000000001</v>
      </c>
      <c r="M161">
        <v>1</v>
      </c>
      <c r="N161" t="s">
        <v>10017</v>
      </c>
      <c r="O161" t="str">
        <f>HYPERLINK("2\1\marker_646_945935.png", "Ver Imagen")</f>
        <v>Ver Imagen</v>
      </c>
      <c r="P161" t="str">
        <f>HYPERLINK("SE\A-5050\A-5050__131.png", "Ver Imagen")</f>
        <v>Ver Imagen</v>
      </c>
    </row>
    <row r="162" spans="1:16" x14ac:dyDescent="0.25">
      <c r="A162">
        <v>1215</v>
      </c>
      <c r="B162" t="s">
        <v>2442</v>
      </c>
      <c r="C162">
        <v>37.203197585600002</v>
      </c>
      <c r="D162">
        <v>-7.0156525220699999</v>
      </c>
      <c r="E162">
        <v>2</v>
      </c>
      <c r="F162">
        <v>3</v>
      </c>
      <c r="G162">
        <v>2</v>
      </c>
      <c r="J162" t="s">
        <v>15</v>
      </c>
      <c r="K162">
        <v>2</v>
      </c>
      <c r="L162">
        <v>2.9870000000000001</v>
      </c>
      <c r="M162">
        <v>1</v>
      </c>
      <c r="N162" t="s">
        <v>10017</v>
      </c>
      <c r="O162" t="str">
        <f>HYPERLINK("2\1\marker_686_949100.png", "Ver Imagen")</f>
        <v>Ver Imagen</v>
      </c>
      <c r="P162" t="str">
        <f>HYPERLINK("SE\A-5050\A-5050__56.png", "Ver Imagen")</f>
        <v>Ver Imagen</v>
      </c>
    </row>
    <row r="163" spans="1:16" x14ac:dyDescent="0.25">
      <c r="A163">
        <v>1219</v>
      </c>
      <c r="B163" t="s">
        <v>2450</v>
      </c>
      <c r="C163">
        <v>37.2063211579</v>
      </c>
      <c r="D163">
        <v>-7.02061451411</v>
      </c>
      <c r="E163">
        <v>2</v>
      </c>
      <c r="F163">
        <v>3</v>
      </c>
      <c r="G163">
        <v>2</v>
      </c>
      <c r="J163" t="s">
        <v>15</v>
      </c>
      <c r="K163">
        <v>2</v>
      </c>
      <c r="L163">
        <v>3.1459999999999999</v>
      </c>
      <c r="M163">
        <v>1</v>
      </c>
      <c r="N163" t="s">
        <v>10018</v>
      </c>
      <c r="O163" t="str">
        <f>HYPERLINK("2\1\marker_980_949350.png", "Ver Imagen")</f>
        <v>Ver Imagen</v>
      </c>
      <c r="P163" t="str">
        <f>HYPERLINK("SE\A-5050\A-5050__31.png", "Ver Imagen")</f>
        <v>Ver Imagen</v>
      </c>
    </row>
    <row r="164" spans="1:16" x14ac:dyDescent="0.25">
      <c r="A164">
        <v>1237</v>
      </c>
      <c r="B164" t="s">
        <v>2486</v>
      </c>
      <c r="C164">
        <v>37.216839633100001</v>
      </c>
      <c r="D164">
        <v>-7.1024493601899996</v>
      </c>
      <c r="E164">
        <v>2</v>
      </c>
      <c r="F164">
        <v>2</v>
      </c>
      <c r="G164">
        <v>3</v>
      </c>
      <c r="J164" t="s">
        <v>15</v>
      </c>
      <c r="K164">
        <v>2</v>
      </c>
      <c r="L164">
        <v>2.5670000000000002</v>
      </c>
      <c r="M164">
        <v>1</v>
      </c>
      <c r="N164" t="s">
        <v>10018</v>
      </c>
      <c r="O164" t="str">
        <f>HYPERLINK("2\1\marker_491_957555.png", "Ver Imagen")</f>
        <v>Ver Imagen</v>
      </c>
      <c r="P164" t="str">
        <f>HYPERLINK("SE\A-5052\A-5052__94.png", "Ver Imagen")</f>
        <v>Ver Imagen</v>
      </c>
    </row>
    <row r="165" spans="1:16" x14ac:dyDescent="0.25">
      <c r="A165">
        <v>1247</v>
      </c>
      <c r="B165" t="s">
        <v>2506</v>
      </c>
      <c r="C165">
        <v>37.216217036700002</v>
      </c>
      <c r="D165">
        <v>-7.0908944264500002</v>
      </c>
      <c r="E165">
        <v>1</v>
      </c>
      <c r="F165">
        <v>2</v>
      </c>
      <c r="G165">
        <v>2</v>
      </c>
      <c r="J165" t="s">
        <v>15</v>
      </c>
      <c r="K165">
        <v>2</v>
      </c>
      <c r="L165">
        <v>1.3779999999999999</v>
      </c>
      <c r="M165">
        <v>1</v>
      </c>
      <c r="N165" t="s">
        <v>10018</v>
      </c>
      <c r="O165" t="str">
        <f>HYPERLINK("2\1\marker_623_958364.png", "Ver Imagen")</f>
        <v>Ver Imagen</v>
      </c>
      <c r="P165" t="str">
        <f>HYPERLINK("SO\A-5052\A-5052__140.png", "Ver Imagen")</f>
        <v>Ver Imagen</v>
      </c>
    </row>
    <row r="166" spans="1:16" x14ac:dyDescent="0.25">
      <c r="A166">
        <v>1249</v>
      </c>
      <c r="B166" t="s">
        <v>2510</v>
      </c>
      <c r="C166">
        <v>37.216104340900003</v>
      </c>
      <c r="D166">
        <v>-7.08990385264</v>
      </c>
      <c r="E166">
        <v>2</v>
      </c>
      <c r="F166">
        <v>2</v>
      </c>
      <c r="G166">
        <v>3</v>
      </c>
      <c r="J166" t="s">
        <v>15</v>
      </c>
      <c r="K166">
        <v>2</v>
      </c>
      <c r="L166">
        <v>3.08</v>
      </c>
      <c r="M166">
        <v>1</v>
      </c>
      <c r="N166" t="s">
        <v>10017</v>
      </c>
      <c r="O166" t="str">
        <f>HYPERLINK("2\1\marker_445_958407.png", "Ver Imagen")</f>
        <v>Ver Imagen</v>
      </c>
      <c r="P166" t="str">
        <f>HYPERLINK("SE\A-5052\A-5052__144.png", "Ver Imagen")</f>
        <v>Ver Imagen</v>
      </c>
    </row>
    <row r="167" spans="1:16" x14ac:dyDescent="0.25">
      <c r="A167">
        <v>1282</v>
      </c>
      <c r="B167" t="s">
        <v>2576</v>
      </c>
      <c r="C167">
        <v>37.207747600200001</v>
      </c>
      <c r="D167">
        <v>-7.0358714583799999</v>
      </c>
      <c r="E167">
        <v>2</v>
      </c>
      <c r="F167">
        <v>3</v>
      </c>
      <c r="G167">
        <v>2</v>
      </c>
      <c r="J167" t="s">
        <v>15</v>
      </c>
      <c r="K167">
        <v>2</v>
      </c>
      <c r="L167">
        <v>3.0619999999999998</v>
      </c>
      <c r="M167">
        <v>1</v>
      </c>
      <c r="N167" t="s">
        <v>10018</v>
      </c>
      <c r="O167" t="str">
        <f>HYPERLINK("2\1\marker_281_962259.png", "Ver Imagen")</f>
        <v>Ver Imagen</v>
      </c>
      <c r="P167" t="str">
        <f>HYPERLINK("SE\A-5052\A-5052__367.png", "Ver Imagen")</f>
        <v>Ver Imagen</v>
      </c>
    </row>
    <row r="168" spans="1:16" x14ac:dyDescent="0.25">
      <c r="A168">
        <v>1288</v>
      </c>
      <c r="B168" t="s">
        <v>2588</v>
      </c>
      <c r="C168">
        <v>37.206689034100002</v>
      </c>
      <c r="D168">
        <v>-7.03312943229</v>
      </c>
      <c r="E168">
        <v>2</v>
      </c>
      <c r="F168">
        <v>3</v>
      </c>
      <c r="G168">
        <v>2</v>
      </c>
      <c r="J168" t="s">
        <v>15</v>
      </c>
      <c r="K168">
        <v>2</v>
      </c>
      <c r="L168">
        <v>2.9849999999999999</v>
      </c>
      <c r="M168">
        <v>1</v>
      </c>
      <c r="N168" t="s">
        <v>10017</v>
      </c>
      <c r="O168" t="str">
        <f>HYPERLINK("2\1\marker_112_962464.png", "Ver Imagen")</f>
        <v>Ver Imagen</v>
      </c>
      <c r="P168" t="str">
        <f>HYPERLINK("SE\A-5052\A-5052__379.png", "Ver Imagen")</f>
        <v>Ver Imagen</v>
      </c>
    </row>
    <row r="169" spans="1:16" x14ac:dyDescent="0.25">
      <c r="A169">
        <v>1289</v>
      </c>
      <c r="B169" t="s">
        <v>2590</v>
      </c>
      <c r="C169">
        <v>37.206336548499998</v>
      </c>
      <c r="D169">
        <v>-7.0322184971299997</v>
      </c>
      <c r="E169">
        <v>2</v>
      </c>
      <c r="F169">
        <v>3</v>
      </c>
      <c r="G169">
        <v>2</v>
      </c>
      <c r="J169" t="s">
        <v>15</v>
      </c>
      <c r="K169">
        <v>2</v>
      </c>
      <c r="L169">
        <v>3.4239999999999999</v>
      </c>
      <c r="M169">
        <v>1</v>
      </c>
      <c r="N169" t="s">
        <v>10017</v>
      </c>
      <c r="O169" t="str">
        <f>HYPERLINK("2\1\marker_281_962510.png", "Ver Imagen")</f>
        <v>Ver Imagen</v>
      </c>
      <c r="P169" t="str">
        <f>HYPERLINK("SE\A-5052\A-5052__383.png", "Ver Imagen")</f>
        <v>Ver Imagen</v>
      </c>
    </row>
    <row r="170" spans="1:16" x14ac:dyDescent="0.25">
      <c r="A170">
        <v>1294</v>
      </c>
      <c r="B170" t="s">
        <v>2600</v>
      </c>
      <c r="C170">
        <v>37.201368124799998</v>
      </c>
      <c r="D170">
        <v>-7.0192491221599997</v>
      </c>
      <c r="E170">
        <v>2</v>
      </c>
      <c r="F170">
        <v>3</v>
      </c>
      <c r="G170">
        <v>2</v>
      </c>
      <c r="J170" t="s">
        <v>15</v>
      </c>
      <c r="K170">
        <v>2</v>
      </c>
      <c r="L170">
        <v>2.633</v>
      </c>
      <c r="M170">
        <v>1</v>
      </c>
      <c r="N170" t="s">
        <v>10019</v>
      </c>
      <c r="O170" t="str">
        <f>HYPERLINK("2\1\marker_342_963076.png", "Ver Imagen")</f>
        <v>Ver Imagen</v>
      </c>
      <c r="P170" t="str">
        <f>HYPERLINK("SE\A-5052\A-5052__440.png", "Ver Imagen")</f>
        <v>Ver Imagen</v>
      </c>
    </row>
    <row r="171" spans="1:16" x14ac:dyDescent="0.25">
      <c r="A171">
        <v>1306</v>
      </c>
      <c r="B171" t="s">
        <v>2624</v>
      </c>
      <c r="C171">
        <v>37.287816191799998</v>
      </c>
      <c r="D171">
        <v>-7.1413530880499998</v>
      </c>
      <c r="E171">
        <v>1</v>
      </c>
      <c r="F171">
        <v>2</v>
      </c>
      <c r="G171">
        <v>2</v>
      </c>
      <c r="J171" t="s">
        <v>15</v>
      </c>
      <c r="K171">
        <v>2</v>
      </c>
      <c r="L171">
        <v>2.8519999999999999</v>
      </c>
      <c r="M171">
        <v>1</v>
      </c>
      <c r="N171" t="s">
        <v>10017</v>
      </c>
      <c r="O171" t="str">
        <f>HYPERLINK("2\1\marker_387_963888.png", "Ver Imagen")</f>
        <v>Ver Imagen</v>
      </c>
      <c r="P171" t="str">
        <f>HYPERLINK("SO\A-5053\A-5053__377.png", "Ver Imagen")</f>
        <v>Ver Imagen</v>
      </c>
    </row>
    <row r="172" spans="1:16" x14ac:dyDescent="0.25">
      <c r="A172">
        <v>1335</v>
      </c>
      <c r="B172" t="s">
        <v>2682</v>
      </c>
      <c r="C172">
        <v>37.234630404900003</v>
      </c>
      <c r="D172">
        <v>-7.1278015877299996</v>
      </c>
      <c r="E172">
        <v>2</v>
      </c>
      <c r="F172">
        <v>2</v>
      </c>
      <c r="G172">
        <v>3</v>
      </c>
      <c r="J172" t="s">
        <v>15</v>
      </c>
      <c r="K172">
        <v>2</v>
      </c>
      <c r="L172">
        <v>2.6339999999999999</v>
      </c>
      <c r="M172">
        <v>1</v>
      </c>
      <c r="N172" t="s">
        <v>10017</v>
      </c>
      <c r="O172" t="str">
        <f>HYPERLINK("2\1\marker_156_020011.png", "Ver Imagen")</f>
        <v>Ver Imagen</v>
      </c>
      <c r="P172" t="str">
        <f>HYPERLINK("SO\A-5053\A-5053__80.png", "Ver Imagen")</f>
        <v>Ver Imagen</v>
      </c>
    </row>
    <row r="173" spans="1:16" x14ac:dyDescent="0.25">
      <c r="A173">
        <v>1338</v>
      </c>
      <c r="B173" t="s">
        <v>2688</v>
      </c>
      <c r="C173">
        <v>37.226098194199999</v>
      </c>
      <c r="D173">
        <v>-7.1261101478300004</v>
      </c>
      <c r="E173">
        <v>2</v>
      </c>
      <c r="F173">
        <v>3</v>
      </c>
      <c r="G173">
        <v>2</v>
      </c>
      <c r="J173" t="s">
        <v>15</v>
      </c>
      <c r="K173">
        <v>2</v>
      </c>
      <c r="L173">
        <v>2.7349999999999999</v>
      </c>
      <c r="M173">
        <v>1</v>
      </c>
      <c r="N173" t="s">
        <v>10018</v>
      </c>
      <c r="O173" t="str">
        <f>HYPERLINK("2\1\marker_138_021743.png", "Ver Imagen")</f>
        <v>Ver Imagen</v>
      </c>
      <c r="P173" t="str">
        <f>HYPERLINK("SO\A-5053\A-5053__37.png", "Ver Imagen")</f>
        <v>Ver Imagen</v>
      </c>
    </row>
    <row r="174" spans="1:16" x14ac:dyDescent="0.25">
      <c r="A174">
        <v>1363</v>
      </c>
      <c r="B174" t="s">
        <v>2738</v>
      </c>
      <c r="C174">
        <v>37.435030411699998</v>
      </c>
      <c r="D174">
        <v>-7.0700298372199999</v>
      </c>
      <c r="E174">
        <v>2</v>
      </c>
      <c r="F174">
        <v>2</v>
      </c>
      <c r="G174">
        <v>1</v>
      </c>
      <c r="J174" t="s">
        <v>15</v>
      </c>
      <c r="K174">
        <v>2</v>
      </c>
      <c r="L174">
        <v>1.409</v>
      </c>
      <c r="M174">
        <v>1</v>
      </c>
      <c r="N174" t="s">
        <v>10019</v>
      </c>
      <c r="O174" t="str">
        <f>HYPERLINK("2\1\marker_764_382496.png", "Ver Imagen")</f>
        <v>Ver Imagen</v>
      </c>
      <c r="P174" t="str">
        <f>HYPERLINK("NE\A-495\A-495__132.png", "Ver Imagen")</f>
        <v>Ver Imagen</v>
      </c>
    </row>
    <row r="175" spans="1:16" x14ac:dyDescent="0.25">
      <c r="A175">
        <v>1366</v>
      </c>
      <c r="B175" t="s">
        <v>2744</v>
      </c>
      <c r="C175">
        <v>37.226945897199997</v>
      </c>
      <c r="D175">
        <v>-7.0606799581099997</v>
      </c>
      <c r="E175">
        <v>3</v>
      </c>
      <c r="F175">
        <v>2</v>
      </c>
      <c r="G175">
        <v>2</v>
      </c>
      <c r="J175" t="s">
        <v>15</v>
      </c>
      <c r="K175">
        <v>2</v>
      </c>
      <c r="L175">
        <v>2.54</v>
      </c>
      <c r="M175">
        <v>1</v>
      </c>
      <c r="N175" t="s">
        <v>10018</v>
      </c>
      <c r="O175" t="str">
        <f>HYPERLINK("2\1\marker_134_379276.png", "Ver Imagen")</f>
        <v>Ver Imagen</v>
      </c>
      <c r="P175" t="str">
        <f>HYPERLINK("SE\A-5059\A-5059__42.png", "Ver Imagen")</f>
        <v>Ver Imagen</v>
      </c>
    </row>
    <row r="176" spans="1:16" x14ac:dyDescent="0.25">
      <c r="A176">
        <v>1370</v>
      </c>
      <c r="B176" t="s">
        <v>2752</v>
      </c>
      <c r="C176">
        <v>37.228352336100002</v>
      </c>
      <c r="D176">
        <v>-7.0616245992</v>
      </c>
      <c r="E176">
        <v>2</v>
      </c>
      <c r="F176">
        <v>3</v>
      </c>
      <c r="G176">
        <v>2</v>
      </c>
      <c r="J176" t="s">
        <v>15</v>
      </c>
      <c r="K176">
        <v>2</v>
      </c>
      <c r="L176">
        <v>2.944</v>
      </c>
      <c r="M176">
        <v>1</v>
      </c>
      <c r="N176" t="s">
        <v>10018</v>
      </c>
      <c r="O176" t="str">
        <f>HYPERLINK("2\1\marker_834_379368.png", "Ver Imagen")</f>
        <v>Ver Imagen</v>
      </c>
      <c r="P176" t="str">
        <f>HYPERLINK("SE\A-5059\A-5059__34.png", "Ver Imagen")</f>
        <v>Ver Imagen</v>
      </c>
    </row>
    <row r="177" spans="1:16" x14ac:dyDescent="0.25">
      <c r="A177">
        <v>1384</v>
      </c>
      <c r="B177" t="s">
        <v>2780</v>
      </c>
      <c r="C177">
        <v>37.225104674000001</v>
      </c>
      <c r="D177">
        <v>-7.03279515955</v>
      </c>
      <c r="E177">
        <v>2</v>
      </c>
      <c r="F177">
        <v>3</v>
      </c>
      <c r="G177">
        <v>2</v>
      </c>
      <c r="J177" t="s">
        <v>15</v>
      </c>
      <c r="K177">
        <v>2</v>
      </c>
      <c r="L177">
        <v>2.7349999999999999</v>
      </c>
      <c r="M177">
        <v>1</v>
      </c>
      <c r="N177" t="s">
        <v>10017</v>
      </c>
      <c r="O177" t="str">
        <f>HYPERLINK("2\1\marker_810_380096.png", "Ver Imagen")</f>
        <v>Ver Imagen</v>
      </c>
      <c r="P177" t="str">
        <f>HYPERLINK("SE\A-5058\A-5058__22.png", "Ver Imagen")</f>
        <v>Ver Imagen</v>
      </c>
    </row>
    <row r="178" spans="1:16" x14ac:dyDescent="0.25">
      <c r="A178">
        <v>1386</v>
      </c>
      <c r="B178" t="s">
        <v>2784</v>
      </c>
      <c r="C178">
        <v>37.4318020921</v>
      </c>
      <c r="D178">
        <v>-7.0624246554600001</v>
      </c>
      <c r="E178">
        <v>2</v>
      </c>
      <c r="F178">
        <v>3</v>
      </c>
      <c r="G178">
        <v>2</v>
      </c>
      <c r="J178" t="s">
        <v>15</v>
      </c>
      <c r="K178">
        <v>2</v>
      </c>
      <c r="L178">
        <v>2.5840000000000001</v>
      </c>
      <c r="M178">
        <v>1</v>
      </c>
      <c r="N178" t="s">
        <v>10018</v>
      </c>
      <c r="O178" t="str">
        <f>HYPERLINK("2\1\marker_554_382873.png", "Ver Imagen")</f>
        <v>Ver Imagen</v>
      </c>
      <c r="P178" t="str">
        <f>HYPERLINK("NE\A-495\A-495__166.png", "Ver Imagen")</f>
        <v>Ver Imagen</v>
      </c>
    </row>
    <row r="179" spans="1:16" x14ac:dyDescent="0.25">
      <c r="A179">
        <v>1393</v>
      </c>
      <c r="B179" t="s">
        <v>2798</v>
      </c>
      <c r="C179">
        <v>37.226805799499999</v>
      </c>
      <c r="D179">
        <v>-7.0444641579100002</v>
      </c>
      <c r="E179">
        <v>2</v>
      </c>
      <c r="F179">
        <v>3</v>
      </c>
      <c r="G179">
        <v>2</v>
      </c>
      <c r="J179" t="s">
        <v>15</v>
      </c>
      <c r="K179">
        <v>2</v>
      </c>
      <c r="L179">
        <v>3.0249999999999999</v>
      </c>
      <c r="M179">
        <v>1</v>
      </c>
      <c r="N179" t="s">
        <v>10017</v>
      </c>
      <c r="O179" t="str">
        <f>HYPERLINK("2\1\marker_456_380775.png", "Ver Imagen")</f>
        <v>Ver Imagen</v>
      </c>
      <c r="P179" t="str">
        <f>HYPERLINK("SE\A-5058\A-5058__72.png", "Ver Imagen")</f>
        <v>Ver Imagen</v>
      </c>
    </row>
    <row r="180" spans="1:16" x14ac:dyDescent="0.25">
      <c r="A180">
        <v>1397</v>
      </c>
      <c r="B180" t="s">
        <v>2806</v>
      </c>
      <c r="C180">
        <v>37.234310626599999</v>
      </c>
      <c r="D180">
        <v>-7.0707793963099999</v>
      </c>
      <c r="E180">
        <v>2</v>
      </c>
      <c r="F180">
        <v>1</v>
      </c>
      <c r="G180">
        <v>2</v>
      </c>
      <c r="J180" t="s">
        <v>15</v>
      </c>
      <c r="K180">
        <v>2</v>
      </c>
      <c r="L180">
        <v>2.8410000000000002</v>
      </c>
      <c r="M180">
        <v>1</v>
      </c>
      <c r="N180" t="s">
        <v>10019</v>
      </c>
      <c r="O180" t="str">
        <f>HYPERLINK("2\1\marker_840_382770.png", "Ver Imagen")</f>
        <v>Ver Imagen</v>
      </c>
      <c r="P180" t="str">
        <f>HYPERLINK("SE\A-5058\A-5058__189.png", "Ver Imagen")</f>
        <v>Ver Imagen</v>
      </c>
    </row>
    <row r="181" spans="1:16" x14ac:dyDescent="0.25">
      <c r="A181">
        <v>1402</v>
      </c>
      <c r="B181" t="s">
        <v>2816</v>
      </c>
      <c r="C181">
        <v>37.470256953499998</v>
      </c>
      <c r="D181">
        <v>-7.1248238203699996</v>
      </c>
      <c r="E181">
        <v>2</v>
      </c>
      <c r="F181">
        <v>3</v>
      </c>
      <c r="G181">
        <v>2</v>
      </c>
      <c r="J181" t="s">
        <v>15</v>
      </c>
      <c r="K181">
        <v>2</v>
      </c>
      <c r="L181">
        <v>3.0219999999999998</v>
      </c>
      <c r="M181">
        <v>1</v>
      </c>
      <c r="N181" t="s">
        <v>10018</v>
      </c>
      <c r="O181" t="str">
        <f>HYPERLINK("2\1\marker_320_384668.png", "Ver Imagen")</f>
        <v>Ver Imagen</v>
      </c>
      <c r="P181" t="str">
        <f>HYPERLINK("NE\A-495_1\A-495_1__115.png", "Ver Imagen")</f>
        <v>Ver Imagen</v>
      </c>
    </row>
    <row r="182" spans="1:16" x14ac:dyDescent="0.25">
      <c r="A182">
        <v>1405</v>
      </c>
      <c r="B182" t="s">
        <v>2822</v>
      </c>
      <c r="C182">
        <v>37.466778433899997</v>
      </c>
      <c r="D182">
        <v>-7.1227521786199999</v>
      </c>
      <c r="E182">
        <v>2</v>
      </c>
      <c r="F182">
        <v>1</v>
      </c>
      <c r="G182">
        <v>2</v>
      </c>
      <c r="J182" t="s">
        <v>15</v>
      </c>
      <c r="K182">
        <v>2</v>
      </c>
      <c r="L182">
        <v>3.3340000000000001</v>
      </c>
      <c r="M182">
        <v>1</v>
      </c>
      <c r="N182" t="s">
        <v>10018</v>
      </c>
      <c r="O182" t="str">
        <f>HYPERLINK("2\1\marker_840_385079.png", "Ver Imagen")</f>
        <v>Ver Imagen</v>
      </c>
      <c r="P182" t="str">
        <f>HYPERLINK("NE\A-495_1\A-495_1__96.png", "Ver Imagen")</f>
        <v>Ver Imagen</v>
      </c>
    </row>
    <row r="183" spans="1:16" x14ac:dyDescent="0.25">
      <c r="A183">
        <v>1466</v>
      </c>
      <c r="B183" t="s">
        <v>2944</v>
      </c>
      <c r="C183">
        <v>37.5104298567</v>
      </c>
      <c r="D183">
        <v>-7.2677343991500001</v>
      </c>
      <c r="E183">
        <v>2</v>
      </c>
      <c r="F183">
        <v>2</v>
      </c>
      <c r="G183">
        <v>3</v>
      </c>
      <c r="J183" t="s">
        <v>15</v>
      </c>
      <c r="K183">
        <v>2</v>
      </c>
      <c r="L183">
        <v>2.738</v>
      </c>
      <c r="M183">
        <v>1</v>
      </c>
      <c r="N183" t="s">
        <v>10017</v>
      </c>
      <c r="O183" t="str">
        <f>HYPERLINK("2\1\marker_465_794596.png", "Ver Imagen")</f>
        <v>Ver Imagen</v>
      </c>
      <c r="P183" t="str">
        <f>HYPERLINK("NO\A-499\A-499__161.png", "Ver Imagen")</f>
        <v>Ver Imagen</v>
      </c>
    </row>
    <row r="184" spans="1:16" x14ac:dyDescent="0.25">
      <c r="A184">
        <v>1468</v>
      </c>
      <c r="B184" t="s">
        <v>2948</v>
      </c>
      <c r="C184">
        <v>37.510822395600002</v>
      </c>
      <c r="D184">
        <v>-7.2678771190000004</v>
      </c>
      <c r="E184">
        <v>2</v>
      </c>
      <c r="F184">
        <v>2</v>
      </c>
      <c r="G184">
        <v>3</v>
      </c>
      <c r="J184" t="s">
        <v>15</v>
      </c>
      <c r="K184">
        <v>2</v>
      </c>
      <c r="L184">
        <v>1.222</v>
      </c>
      <c r="M184">
        <v>1</v>
      </c>
      <c r="N184" t="s">
        <v>10017</v>
      </c>
      <c r="O184" t="str">
        <f>HYPERLINK("2\1\marker_202_794646.png", "Ver Imagen")</f>
        <v>Ver Imagen</v>
      </c>
      <c r="P184" t="str">
        <f>HYPERLINK("NO\A-499\A-499__163.png", "Ver Imagen")</f>
        <v>Ver Imagen</v>
      </c>
    </row>
    <row r="185" spans="1:16" x14ac:dyDescent="0.25">
      <c r="A185">
        <v>1469</v>
      </c>
      <c r="B185" t="s">
        <v>2950</v>
      </c>
      <c r="C185">
        <v>37.511014721400002</v>
      </c>
      <c r="D185">
        <v>-7.2679550023199999</v>
      </c>
      <c r="E185">
        <v>2</v>
      </c>
      <c r="F185">
        <v>2</v>
      </c>
      <c r="G185">
        <v>3</v>
      </c>
      <c r="J185" t="s">
        <v>15</v>
      </c>
      <c r="K185">
        <v>2</v>
      </c>
      <c r="L185">
        <v>1.1399999999999999</v>
      </c>
      <c r="M185">
        <v>1</v>
      </c>
      <c r="N185" t="s">
        <v>10017</v>
      </c>
      <c r="O185" t="str">
        <f>HYPERLINK("2\1\marker_994_794674.png", "Ver Imagen")</f>
        <v>Ver Imagen</v>
      </c>
      <c r="P185" t="str">
        <f>HYPERLINK("NO\A-499\A-499__164.png", "Ver Imagen")</f>
        <v>Ver Imagen</v>
      </c>
    </row>
    <row r="186" spans="1:16" x14ac:dyDescent="0.25">
      <c r="A186">
        <v>1471</v>
      </c>
      <c r="B186" t="s">
        <v>2954</v>
      </c>
      <c r="C186">
        <v>37.512960540100003</v>
      </c>
      <c r="D186">
        <v>-7.2687616429000004</v>
      </c>
      <c r="E186">
        <v>2</v>
      </c>
      <c r="F186">
        <v>1</v>
      </c>
      <c r="G186">
        <v>2</v>
      </c>
      <c r="J186" t="s">
        <v>15</v>
      </c>
      <c r="K186">
        <v>2</v>
      </c>
      <c r="L186">
        <v>3.375</v>
      </c>
      <c r="M186">
        <v>1</v>
      </c>
      <c r="N186" t="s">
        <v>10018</v>
      </c>
      <c r="O186" t="str">
        <f>HYPERLINK("2\1\marker_626_795544.png", "Ver Imagen")</f>
        <v>Ver Imagen</v>
      </c>
      <c r="P186" t="str">
        <f>HYPERLINK("NO\A-499\A-499__174.png", "Ver Imagen")</f>
        <v>Ver Imagen</v>
      </c>
    </row>
    <row r="187" spans="1:16" x14ac:dyDescent="0.25">
      <c r="A187">
        <v>1511</v>
      </c>
      <c r="B187" t="s">
        <v>3034</v>
      </c>
      <c r="C187">
        <v>37.270641142099997</v>
      </c>
      <c r="D187">
        <v>-6.9812726782199999</v>
      </c>
      <c r="E187">
        <v>2</v>
      </c>
      <c r="F187">
        <v>3</v>
      </c>
      <c r="G187">
        <v>2</v>
      </c>
      <c r="J187" t="s">
        <v>15</v>
      </c>
      <c r="K187">
        <v>2</v>
      </c>
      <c r="L187">
        <v>2.984</v>
      </c>
      <c r="M187">
        <v>1</v>
      </c>
      <c r="N187" t="s">
        <v>10018</v>
      </c>
      <c r="O187" t="str">
        <f>HYPERLINK("2\1\marker_963_655388.png", "Ver Imagen")</f>
        <v>Ver Imagen</v>
      </c>
      <c r="P187" t="str">
        <f>HYPERLINK("SE\A-497_2C\A-497_2C__98.png", "Ver Imagen")</f>
        <v>Ver Imagen</v>
      </c>
    </row>
    <row r="188" spans="1:16" x14ac:dyDescent="0.25">
      <c r="A188">
        <v>1514</v>
      </c>
      <c r="B188" t="s">
        <v>3040</v>
      </c>
      <c r="C188">
        <v>37.268183078100002</v>
      </c>
      <c r="D188">
        <v>-6.9909247994600001</v>
      </c>
      <c r="E188">
        <v>2</v>
      </c>
      <c r="F188">
        <v>3</v>
      </c>
      <c r="G188">
        <v>2</v>
      </c>
      <c r="J188" t="s">
        <v>15</v>
      </c>
      <c r="K188">
        <v>2</v>
      </c>
      <c r="L188">
        <v>2.5739999999999998</v>
      </c>
      <c r="M188">
        <v>1</v>
      </c>
      <c r="N188" t="s">
        <v>10017</v>
      </c>
      <c r="O188" t="str">
        <f>HYPERLINK("2\1\marker_577_655930.png", "Ver Imagen")</f>
        <v>Ver Imagen</v>
      </c>
      <c r="P188" t="str">
        <f>HYPERLINK("SE\A-497_2C\A-497_2C__146.png", "Ver Imagen")</f>
        <v>Ver Imagen</v>
      </c>
    </row>
    <row r="189" spans="1:16" x14ac:dyDescent="0.25">
      <c r="A189">
        <v>1519</v>
      </c>
      <c r="B189" t="s">
        <v>3050</v>
      </c>
      <c r="C189">
        <v>37.191007658700002</v>
      </c>
      <c r="D189">
        <v>-6.9777053376999998</v>
      </c>
      <c r="E189">
        <v>2</v>
      </c>
      <c r="F189">
        <v>3</v>
      </c>
      <c r="G189">
        <v>2</v>
      </c>
      <c r="J189" t="s">
        <v>15</v>
      </c>
      <c r="K189">
        <v>2</v>
      </c>
      <c r="L189">
        <v>2.8250000000000002</v>
      </c>
      <c r="M189">
        <v>1</v>
      </c>
      <c r="N189" t="s">
        <v>10018</v>
      </c>
      <c r="O189" t="str">
        <f>HYPERLINK("2\1\marker_927_368946.png", "Ver Imagen")</f>
        <v>Ver Imagen</v>
      </c>
      <c r="P189" t="str">
        <f>HYPERLINK("SE\A-497\A-497__730.png", "Ver Imagen")</f>
        <v>Ver Imagen</v>
      </c>
    </row>
    <row r="190" spans="1:16" x14ac:dyDescent="0.25">
      <c r="A190">
        <v>1527</v>
      </c>
      <c r="B190" t="s">
        <v>3066</v>
      </c>
      <c r="C190">
        <v>37.2002379973</v>
      </c>
      <c r="D190">
        <v>-6.9868141898199996</v>
      </c>
      <c r="E190">
        <v>2</v>
      </c>
      <c r="F190">
        <v>3</v>
      </c>
      <c r="G190">
        <v>2</v>
      </c>
      <c r="J190" t="s">
        <v>15</v>
      </c>
      <c r="K190">
        <v>2</v>
      </c>
      <c r="L190">
        <v>2.504</v>
      </c>
      <c r="M190">
        <v>1</v>
      </c>
      <c r="N190" t="s">
        <v>10019</v>
      </c>
      <c r="O190" t="str">
        <f>HYPERLINK("2\1\marker_552_371116.png", "Ver Imagen")</f>
        <v>Ver Imagen</v>
      </c>
      <c r="P190" t="str">
        <f>HYPERLINK("SE\A-497\A-497__664.png", "Ver Imagen")</f>
        <v>Ver Imagen</v>
      </c>
    </row>
    <row r="191" spans="1:16" x14ac:dyDescent="0.25">
      <c r="A191">
        <v>1577</v>
      </c>
      <c r="B191" t="s">
        <v>3166</v>
      </c>
      <c r="C191">
        <v>37.253671195700001</v>
      </c>
      <c r="D191">
        <v>-7.0155417746199999</v>
      </c>
      <c r="E191">
        <v>2</v>
      </c>
      <c r="F191">
        <v>3</v>
      </c>
      <c r="G191">
        <v>2</v>
      </c>
      <c r="J191" t="s">
        <v>15</v>
      </c>
      <c r="K191">
        <v>2</v>
      </c>
      <c r="L191">
        <v>2.8780000000000001</v>
      </c>
      <c r="M191">
        <v>1</v>
      </c>
      <c r="N191" t="s">
        <v>10019</v>
      </c>
      <c r="O191" t="str">
        <f>HYPERLINK("2\1\marker_501_378448.png", "Ver Imagen")</f>
        <v>Ver Imagen</v>
      </c>
      <c r="P191" t="str">
        <f>HYPERLINK("SE\A-497\A-497__282.png", "Ver Imagen")</f>
        <v>Ver Imagen</v>
      </c>
    </row>
    <row r="192" spans="1:16" x14ac:dyDescent="0.25">
      <c r="A192">
        <v>1582</v>
      </c>
      <c r="B192" t="s">
        <v>3176</v>
      </c>
      <c r="C192">
        <v>37.265815023099996</v>
      </c>
      <c r="D192">
        <v>-6.9939045313200001</v>
      </c>
      <c r="E192">
        <v>2</v>
      </c>
      <c r="F192">
        <v>3</v>
      </c>
      <c r="G192">
        <v>2</v>
      </c>
      <c r="J192" t="s">
        <v>15</v>
      </c>
      <c r="K192">
        <v>2</v>
      </c>
      <c r="L192">
        <v>2.944</v>
      </c>
      <c r="M192">
        <v>1</v>
      </c>
      <c r="N192" t="s">
        <v>10019</v>
      </c>
      <c r="O192" t="str">
        <f>HYPERLINK("2\1\marker_976_380172.png", "Ver Imagen")</f>
        <v>Ver Imagen</v>
      </c>
      <c r="P192" t="str">
        <f>HYPERLINK("SE\A-497\A-497__168.png", "Ver Imagen")</f>
        <v>Ver Imagen</v>
      </c>
    </row>
    <row r="193" spans="1:16" x14ac:dyDescent="0.25">
      <c r="A193">
        <v>1584</v>
      </c>
      <c r="B193" t="s">
        <v>3180</v>
      </c>
      <c r="C193">
        <v>37.462685965299997</v>
      </c>
      <c r="D193">
        <v>-7.1762510775399999</v>
      </c>
      <c r="E193">
        <v>2</v>
      </c>
      <c r="F193">
        <v>2</v>
      </c>
      <c r="G193">
        <v>3</v>
      </c>
      <c r="J193" t="s">
        <v>15</v>
      </c>
      <c r="K193">
        <v>2</v>
      </c>
      <c r="L193">
        <v>2.992</v>
      </c>
      <c r="M193">
        <v>1</v>
      </c>
      <c r="N193" t="s">
        <v>10017</v>
      </c>
      <c r="O193" t="str">
        <f>HYPERLINK("2\1\marker_509_743630.png", "Ver Imagen")</f>
        <v>Ver Imagen</v>
      </c>
      <c r="P193" t="str">
        <f>HYPERLINK("NE\A-490\A-490__223.png", "Ver Imagen")</f>
        <v>Ver Imagen</v>
      </c>
    </row>
    <row r="194" spans="1:16" x14ac:dyDescent="0.25">
      <c r="A194">
        <v>1585</v>
      </c>
      <c r="B194" t="s">
        <v>3182</v>
      </c>
      <c r="C194">
        <v>37.463094931400001</v>
      </c>
      <c r="D194">
        <v>-7.1769202215299996</v>
      </c>
      <c r="E194">
        <v>2</v>
      </c>
      <c r="F194">
        <v>2</v>
      </c>
      <c r="G194">
        <v>3</v>
      </c>
      <c r="J194" t="s">
        <v>15</v>
      </c>
      <c r="K194">
        <v>2</v>
      </c>
      <c r="L194">
        <v>2.8820000000000001</v>
      </c>
      <c r="M194">
        <v>1</v>
      </c>
      <c r="N194" t="s">
        <v>10017</v>
      </c>
      <c r="O194" t="str">
        <f>HYPERLINK("2\1\marker_751_743733.png", "Ver Imagen")</f>
        <v>Ver Imagen</v>
      </c>
      <c r="P194" t="str">
        <f>HYPERLINK("NE\A-490\A-490__226.png", "Ver Imagen")</f>
        <v>Ver Imagen</v>
      </c>
    </row>
    <row r="195" spans="1:16" x14ac:dyDescent="0.25">
      <c r="A195">
        <v>1593</v>
      </c>
      <c r="B195" t="s">
        <v>3198</v>
      </c>
      <c r="C195">
        <v>37.275353588500003</v>
      </c>
      <c r="D195">
        <v>-7.0165256579899999</v>
      </c>
      <c r="E195">
        <v>2</v>
      </c>
      <c r="F195">
        <v>2</v>
      </c>
      <c r="G195">
        <v>3</v>
      </c>
      <c r="J195" t="s">
        <v>15</v>
      </c>
      <c r="K195">
        <v>2</v>
      </c>
      <c r="L195">
        <v>2.8929999999999998</v>
      </c>
      <c r="M195">
        <v>1</v>
      </c>
      <c r="N195" t="s">
        <v>10018</v>
      </c>
      <c r="O195" t="str">
        <f>HYPERLINK("2\1\marker_422_824709.png", "Ver Imagen")</f>
        <v>Ver Imagen</v>
      </c>
      <c r="P195" t="str">
        <f>HYPERLINK("SE\A-492\A-492__143.png", "Ver Imagen")</f>
        <v>Ver Imagen</v>
      </c>
    </row>
    <row r="196" spans="1:16" x14ac:dyDescent="0.25">
      <c r="A196">
        <v>1601</v>
      </c>
      <c r="B196" t="s">
        <v>3214</v>
      </c>
      <c r="C196">
        <v>37.193027789600002</v>
      </c>
      <c r="D196">
        <v>-6.9953682096599996</v>
      </c>
      <c r="E196">
        <v>2</v>
      </c>
      <c r="F196">
        <v>2</v>
      </c>
      <c r="G196">
        <v>3</v>
      </c>
      <c r="J196" t="s">
        <v>15</v>
      </c>
      <c r="K196">
        <v>2</v>
      </c>
      <c r="L196">
        <v>2.621</v>
      </c>
      <c r="M196">
        <v>1</v>
      </c>
      <c r="N196" t="s">
        <v>10018</v>
      </c>
      <c r="O196" t="str">
        <f>HYPERLINK("2\1\marker_639_945377.png", "Ver Imagen")</f>
        <v>Ver Imagen</v>
      </c>
      <c r="P196" t="str">
        <f>HYPERLINK("SE\A-5050\A-5050__151.png", "Ver Imagen")</f>
        <v>Ver Imagen</v>
      </c>
    </row>
    <row r="197" spans="1:16" x14ac:dyDescent="0.25">
      <c r="A197">
        <v>1619</v>
      </c>
      <c r="B197" t="s">
        <v>3251</v>
      </c>
      <c r="C197">
        <v>37.486299651000003</v>
      </c>
      <c r="D197">
        <v>-7.23720923628</v>
      </c>
      <c r="E197">
        <v>1</v>
      </c>
      <c r="F197">
        <v>2</v>
      </c>
      <c r="G197">
        <v>2</v>
      </c>
      <c r="J197" t="s">
        <v>15</v>
      </c>
      <c r="K197">
        <v>2</v>
      </c>
      <c r="L197">
        <v>1.327</v>
      </c>
      <c r="M197">
        <v>1</v>
      </c>
      <c r="N197" t="s">
        <v>10017</v>
      </c>
      <c r="O197" t="str">
        <f>HYPERLINK("2\1\marker_197_755811.png", "Ver Imagen")</f>
        <v>Ver Imagen</v>
      </c>
      <c r="P197" t="str">
        <f>HYPERLINK("NO\A-490\A-490__493.png", "Ver Imagen")</f>
        <v>Ver Imagen</v>
      </c>
    </row>
    <row r="198" spans="1:16" x14ac:dyDescent="0.25">
      <c r="A198">
        <v>1621</v>
      </c>
      <c r="B198" t="s">
        <v>3255</v>
      </c>
      <c r="C198">
        <v>37.490618103999999</v>
      </c>
      <c r="D198">
        <v>-7.25327979402</v>
      </c>
      <c r="E198">
        <v>1</v>
      </c>
      <c r="F198">
        <v>2</v>
      </c>
      <c r="G198">
        <v>2</v>
      </c>
      <c r="J198" t="s">
        <v>15</v>
      </c>
      <c r="K198">
        <v>2</v>
      </c>
      <c r="L198">
        <v>1.333</v>
      </c>
      <c r="M198">
        <v>1</v>
      </c>
      <c r="N198" t="s">
        <v>10019</v>
      </c>
      <c r="O198" t="str">
        <f>HYPERLINK("2\1\marker_914_819203.png", "Ver Imagen")</f>
        <v>Ver Imagen</v>
      </c>
      <c r="P198" t="str">
        <f>HYPERLINK("NO\A-490\A-490__562.png", "Ver Imagen")</f>
        <v>Ver Imagen</v>
      </c>
    </row>
    <row r="199" spans="1:16" x14ac:dyDescent="0.25">
      <c r="A199">
        <v>1622</v>
      </c>
      <c r="B199" t="s">
        <v>3257</v>
      </c>
      <c r="C199">
        <v>37.490429130599999</v>
      </c>
      <c r="D199">
        <v>-7.25550784097</v>
      </c>
      <c r="E199">
        <v>1</v>
      </c>
      <c r="F199">
        <v>2</v>
      </c>
      <c r="G199">
        <v>2</v>
      </c>
      <c r="J199" t="s">
        <v>15</v>
      </c>
      <c r="K199">
        <v>2</v>
      </c>
      <c r="L199">
        <v>1.0189999999999999</v>
      </c>
      <c r="M199">
        <v>1</v>
      </c>
      <c r="N199" t="s">
        <v>10017</v>
      </c>
      <c r="O199" t="str">
        <f>HYPERLINK("2\1\marker_305_819342.png", "Ver Imagen")</f>
        <v>Ver Imagen</v>
      </c>
      <c r="P199" t="str">
        <f>HYPERLINK("NO\A-490\A-490__571.png", "Ver Imagen")</f>
        <v>Ver Imagen</v>
      </c>
    </row>
    <row r="200" spans="1:16" x14ac:dyDescent="0.25">
      <c r="A200">
        <v>1653</v>
      </c>
      <c r="B200" t="s">
        <v>3319</v>
      </c>
      <c r="C200">
        <v>37.288499323000003</v>
      </c>
      <c r="D200">
        <v>-7.1412453246399998</v>
      </c>
      <c r="E200">
        <v>2</v>
      </c>
      <c r="F200">
        <v>2</v>
      </c>
      <c r="G200">
        <v>3</v>
      </c>
      <c r="J200" t="s">
        <v>15</v>
      </c>
      <c r="K200">
        <v>2</v>
      </c>
      <c r="L200">
        <v>3.1669999999999998</v>
      </c>
      <c r="M200">
        <v>1</v>
      </c>
      <c r="N200" t="s">
        <v>10017</v>
      </c>
      <c r="O200" t="str">
        <f>HYPERLINK("2\1\marker_316_963825.png", "Ver Imagen")</f>
        <v>Ver Imagen</v>
      </c>
      <c r="P200" t="str">
        <f>HYPERLINK("SO\A-5053\A-5053__382.png", "Ver Imagen")</f>
        <v>Ver Imagen</v>
      </c>
    </row>
    <row r="201" spans="1:16" x14ac:dyDescent="0.25">
      <c r="A201">
        <v>1655</v>
      </c>
      <c r="B201" t="s">
        <v>3323</v>
      </c>
      <c r="C201">
        <v>37.262656538999998</v>
      </c>
      <c r="D201">
        <v>-7.1307521077500002</v>
      </c>
      <c r="E201">
        <v>3</v>
      </c>
      <c r="F201">
        <v>2</v>
      </c>
      <c r="G201">
        <v>2</v>
      </c>
      <c r="J201" t="s">
        <v>15</v>
      </c>
      <c r="K201">
        <v>2</v>
      </c>
      <c r="L201">
        <v>2.6869999999999998</v>
      </c>
      <c r="M201">
        <v>1</v>
      </c>
      <c r="N201" t="s">
        <v>10018</v>
      </c>
      <c r="O201" t="str">
        <f>HYPERLINK("2\1\marker_857_965662.png", "Ver Imagen")</f>
        <v>Ver Imagen</v>
      </c>
      <c r="P201" t="str">
        <f>HYPERLINK("SO\A-5053\A-5053__223.png", "Ver Imagen")</f>
        <v>Ver Imagen</v>
      </c>
    </row>
    <row r="202" spans="1:16" x14ac:dyDescent="0.25">
      <c r="A202">
        <v>1657</v>
      </c>
      <c r="B202" t="s">
        <v>3327</v>
      </c>
      <c r="C202">
        <v>37.242864347299999</v>
      </c>
      <c r="D202">
        <v>-7.1283356407199996</v>
      </c>
      <c r="E202">
        <v>2</v>
      </c>
      <c r="F202">
        <v>2</v>
      </c>
      <c r="G202">
        <v>3</v>
      </c>
      <c r="J202" t="s">
        <v>15</v>
      </c>
      <c r="K202">
        <v>2</v>
      </c>
      <c r="L202">
        <v>2.52</v>
      </c>
      <c r="M202">
        <v>1</v>
      </c>
      <c r="N202" t="s">
        <v>10017</v>
      </c>
      <c r="O202" t="str">
        <f>HYPERLINK("2\1\marker_342_019592.png", "Ver Imagen")</f>
        <v>Ver Imagen</v>
      </c>
      <c r="P202" t="str">
        <f>HYPERLINK("SO\A-5053\A-5053__121.png", "Ver Imagen")</f>
        <v>Ver Imagen</v>
      </c>
    </row>
    <row r="203" spans="1:16" x14ac:dyDescent="0.25">
      <c r="A203">
        <v>1658</v>
      </c>
      <c r="B203" t="s">
        <v>3329</v>
      </c>
      <c r="C203">
        <v>37.237437875300003</v>
      </c>
      <c r="D203">
        <v>-7.1283197755799996</v>
      </c>
      <c r="E203">
        <v>2</v>
      </c>
      <c r="F203">
        <v>2</v>
      </c>
      <c r="G203">
        <v>3</v>
      </c>
      <c r="J203" t="s">
        <v>15</v>
      </c>
      <c r="K203">
        <v>2</v>
      </c>
      <c r="L203">
        <v>2.6120000000000001</v>
      </c>
      <c r="M203">
        <v>1</v>
      </c>
      <c r="N203" t="s">
        <v>10018</v>
      </c>
      <c r="O203" t="str">
        <f>HYPERLINK("2\1\marker_891_019870.png", "Ver Imagen")</f>
        <v>Ver Imagen</v>
      </c>
      <c r="P203" t="str">
        <f>HYPERLINK("SO\A-5053\A-5053__94.png", "Ver Imagen")</f>
        <v>Ver Imagen</v>
      </c>
    </row>
    <row r="204" spans="1:16" x14ac:dyDescent="0.25">
      <c r="A204">
        <v>1667</v>
      </c>
      <c r="B204" t="s">
        <v>3347</v>
      </c>
      <c r="C204">
        <v>37.443946532699997</v>
      </c>
      <c r="D204">
        <v>-7.0974574989999999</v>
      </c>
      <c r="E204">
        <v>3</v>
      </c>
      <c r="F204">
        <v>2</v>
      </c>
      <c r="G204">
        <v>2</v>
      </c>
      <c r="J204" t="s">
        <v>15</v>
      </c>
      <c r="K204">
        <v>2</v>
      </c>
      <c r="L204">
        <v>2.569</v>
      </c>
      <c r="M204">
        <v>1</v>
      </c>
      <c r="N204" t="s">
        <v>10018</v>
      </c>
      <c r="O204" t="str">
        <f>HYPERLINK("2\1\marker_944_381180.png", "Ver Imagen")</f>
        <v>Ver Imagen</v>
      </c>
      <c r="P204" t="str">
        <f>HYPERLINK("NE\A-495\A-495__12.png", "Ver Imagen")</f>
        <v>Ver Imagen</v>
      </c>
    </row>
    <row r="205" spans="1:16" x14ac:dyDescent="0.25">
      <c r="A205">
        <v>1672</v>
      </c>
      <c r="B205" t="s">
        <v>3357</v>
      </c>
      <c r="C205">
        <v>37.223017931800001</v>
      </c>
      <c r="D205">
        <v>-7.0558084694599996</v>
      </c>
      <c r="E205">
        <v>3</v>
      </c>
      <c r="F205">
        <v>2</v>
      </c>
      <c r="G205">
        <v>2</v>
      </c>
      <c r="J205" t="s">
        <v>15</v>
      </c>
      <c r="K205">
        <v>2</v>
      </c>
      <c r="L205">
        <v>3.0960000000000001</v>
      </c>
      <c r="M205">
        <v>1</v>
      </c>
      <c r="N205" t="s">
        <v>10017</v>
      </c>
      <c r="O205" t="str">
        <f>HYPERLINK("2\1\marker_293_378846.png", "Ver Imagen")</f>
        <v>Ver Imagen</v>
      </c>
      <c r="P205" t="str">
        <f>HYPERLINK("SE\A-5059\A-5059__70.png", "Ver Imagen")</f>
        <v>Ver Imagen</v>
      </c>
    </row>
    <row r="206" spans="1:16" x14ac:dyDescent="0.25">
      <c r="A206">
        <v>1674</v>
      </c>
      <c r="B206" t="s">
        <v>3361</v>
      </c>
      <c r="C206">
        <v>37.225302553600002</v>
      </c>
      <c r="D206">
        <v>-7.0411797959899998</v>
      </c>
      <c r="E206">
        <v>2</v>
      </c>
      <c r="F206">
        <v>2</v>
      </c>
      <c r="G206">
        <v>3</v>
      </c>
      <c r="J206" t="s">
        <v>15</v>
      </c>
      <c r="K206">
        <v>2</v>
      </c>
      <c r="L206">
        <v>2.6720000000000002</v>
      </c>
      <c r="M206">
        <v>1</v>
      </c>
      <c r="N206" t="s">
        <v>10017</v>
      </c>
      <c r="O206" t="str">
        <f>HYPERLINK("2\1\marker_734_380608.png", "Ver Imagen")</f>
        <v>Ver Imagen</v>
      </c>
      <c r="P206" t="str">
        <f>HYPERLINK("SE\A-5058\A-5058__57.png", "Ver Imagen")</f>
        <v>Ver Imagen</v>
      </c>
    </row>
    <row r="207" spans="1:16" x14ac:dyDescent="0.25">
      <c r="A207">
        <v>1676</v>
      </c>
      <c r="B207" t="s">
        <v>3365</v>
      </c>
      <c r="C207">
        <v>37.2260743601</v>
      </c>
      <c r="D207">
        <v>-7.04296207274</v>
      </c>
      <c r="E207">
        <v>2</v>
      </c>
      <c r="F207">
        <v>2</v>
      </c>
      <c r="G207">
        <v>3</v>
      </c>
      <c r="J207" t="s">
        <v>15</v>
      </c>
      <c r="K207">
        <v>2</v>
      </c>
      <c r="L207">
        <v>2.5019999999999998</v>
      </c>
      <c r="M207">
        <v>1</v>
      </c>
      <c r="N207" t="s">
        <v>10019</v>
      </c>
      <c r="O207" t="str">
        <f>HYPERLINK("2\1\marker_733_380701.png", "Ver Imagen")</f>
        <v>Ver Imagen</v>
      </c>
      <c r="P207" t="str">
        <f>HYPERLINK("SE\A-5058\A-5058__65.png", "Ver Imagen")</f>
        <v>Ver Imagen</v>
      </c>
    </row>
    <row r="208" spans="1:16" x14ac:dyDescent="0.25">
      <c r="A208">
        <v>1688</v>
      </c>
      <c r="B208" t="s">
        <v>3389</v>
      </c>
      <c r="C208">
        <v>37.228762359400001</v>
      </c>
      <c r="D208">
        <v>-7.0466675470600002</v>
      </c>
      <c r="E208">
        <v>2</v>
      </c>
      <c r="F208">
        <v>2</v>
      </c>
      <c r="G208">
        <v>3</v>
      </c>
      <c r="J208" t="s">
        <v>15</v>
      </c>
      <c r="K208">
        <v>2</v>
      </c>
      <c r="L208">
        <v>2.64</v>
      </c>
      <c r="M208">
        <v>1</v>
      </c>
      <c r="N208" t="s">
        <v>10018</v>
      </c>
      <c r="O208" t="str">
        <f>HYPERLINK("2\1\marker_219_380934.png", "Ver Imagen")</f>
        <v>Ver Imagen</v>
      </c>
      <c r="P208" t="str">
        <f>HYPERLINK("SE\A-5058\A-5058__85.png", "Ver Imagen")</f>
        <v>Ver Imagen</v>
      </c>
    </row>
    <row r="209" spans="1:16" x14ac:dyDescent="0.25">
      <c r="A209">
        <v>1706</v>
      </c>
      <c r="B209" t="s">
        <v>3425</v>
      </c>
      <c r="C209">
        <v>37.2332098495</v>
      </c>
      <c r="D209">
        <v>-7.0550830650199998</v>
      </c>
      <c r="E209">
        <v>2</v>
      </c>
      <c r="F209">
        <v>2</v>
      </c>
      <c r="G209">
        <v>3</v>
      </c>
      <c r="J209" t="s">
        <v>15</v>
      </c>
      <c r="K209">
        <v>2</v>
      </c>
      <c r="L209">
        <v>2.7669999999999999</v>
      </c>
      <c r="M209">
        <v>1</v>
      </c>
      <c r="N209" t="s">
        <v>10017</v>
      </c>
      <c r="O209" t="str">
        <f>HYPERLINK("2\1\marker_775_381389.png", "Ver Imagen")</f>
        <v>Ver Imagen</v>
      </c>
      <c r="P209" t="str">
        <f>HYPERLINK("SE\A-5058\A-5058__125.png", "Ver Imagen")</f>
        <v>Ver Imagen</v>
      </c>
    </row>
    <row r="210" spans="1:16" x14ac:dyDescent="0.25">
      <c r="A210">
        <v>1716</v>
      </c>
      <c r="B210" t="s">
        <v>3445</v>
      </c>
      <c r="C210">
        <v>37.250227142100002</v>
      </c>
      <c r="D210">
        <v>-7.1029630812300004</v>
      </c>
      <c r="E210">
        <v>2</v>
      </c>
      <c r="F210">
        <v>2</v>
      </c>
      <c r="G210">
        <v>3</v>
      </c>
      <c r="J210" t="s">
        <v>15</v>
      </c>
      <c r="K210">
        <v>2</v>
      </c>
      <c r="L210">
        <v>2.56</v>
      </c>
      <c r="M210">
        <v>1</v>
      </c>
      <c r="N210" t="s">
        <v>10017</v>
      </c>
      <c r="O210" t="str">
        <f>HYPERLINK("2\1\marker_446_384795.png", "Ver Imagen")</f>
        <v>Ver Imagen</v>
      </c>
      <c r="P210" t="str">
        <f>HYPERLINK("SE\A-5058\A-5058__343.png", "Ver Imagen")</f>
        <v>Ver Imagen</v>
      </c>
    </row>
    <row r="211" spans="1:16" x14ac:dyDescent="0.25">
      <c r="A211">
        <v>1720</v>
      </c>
      <c r="B211" t="s">
        <v>3453</v>
      </c>
      <c r="C211">
        <v>37.253818843600001</v>
      </c>
      <c r="D211">
        <v>-7.1074529802799997</v>
      </c>
      <c r="E211">
        <v>2</v>
      </c>
      <c r="F211">
        <v>2</v>
      </c>
      <c r="G211">
        <v>3</v>
      </c>
      <c r="J211" t="s">
        <v>15</v>
      </c>
      <c r="K211">
        <v>2</v>
      </c>
      <c r="L211">
        <v>2.65</v>
      </c>
      <c r="M211">
        <v>1</v>
      </c>
      <c r="N211" t="s">
        <v>10017</v>
      </c>
      <c r="O211" t="str">
        <f>HYPERLINK("2\1\marker_685_385063.png", "Ver Imagen")</f>
        <v>Ver Imagen</v>
      </c>
      <c r="P211" t="str">
        <f>HYPERLINK("SO\A-5058\A-5058__369.png", "Ver Imagen")</f>
        <v>Ver Imagen</v>
      </c>
    </row>
    <row r="212" spans="1:16" x14ac:dyDescent="0.25">
      <c r="A212">
        <v>1729</v>
      </c>
      <c r="B212" t="s">
        <v>3471</v>
      </c>
      <c r="C212">
        <v>37.495168008999997</v>
      </c>
      <c r="D212">
        <v>-7.2765693779099996</v>
      </c>
      <c r="E212">
        <v>3</v>
      </c>
      <c r="F212">
        <v>2</v>
      </c>
      <c r="G212">
        <v>2</v>
      </c>
      <c r="J212" t="s">
        <v>15</v>
      </c>
      <c r="K212">
        <v>2</v>
      </c>
      <c r="L212">
        <v>1.417</v>
      </c>
      <c r="M212">
        <v>1</v>
      </c>
      <c r="N212" t="s">
        <v>10019</v>
      </c>
      <c r="O212" t="str">
        <f>HYPERLINK("2\1\marker_753_534801.png", "Ver Imagen")</f>
        <v>Ver Imagen</v>
      </c>
      <c r="P212" t="str">
        <f>HYPERLINK("NO\A-499\A-499__44.png", "Ver Imagen")</f>
        <v>Ver Imagen</v>
      </c>
    </row>
    <row r="213" spans="1:16" x14ac:dyDescent="0.25">
      <c r="A213">
        <v>1734</v>
      </c>
      <c r="B213" t="s">
        <v>3481</v>
      </c>
      <c r="C213">
        <v>37.268555078699997</v>
      </c>
      <c r="D213">
        <v>-6.99066287621</v>
      </c>
      <c r="E213">
        <v>2</v>
      </c>
      <c r="F213">
        <v>2</v>
      </c>
      <c r="G213">
        <v>3</v>
      </c>
      <c r="J213" t="s">
        <v>15</v>
      </c>
      <c r="K213">
        <v>2</v>
      </c>
      <c r="L213">
        <v>1.4870000000000001</v>
      </c>
      <c r="M213">
        <v>1</v>
      </c>
      <c r="N213" t="s">
        <v>10019</v>
      </c>
      <c r="O213" t="str">
        <f>HYPERLINK("2\1\marker_236_655906.png", "Ver Imagen")</f>
        <v>Ver Imagen</v>
      </c>
      <c r="P213" t="str">
        <f>HYPERLINK("SE\A-497_2C\A-497_2C__144.png", "Ver Imagen")</f>
        <v>Ver Imagen</v>
      </c>
    </row>
    <row r="214" spans="1:16" x14ac:dyDescent="0.25">
      <c r="A214">
        <v>1736</v>
      </c>
      <c r="B214" t="s">
        <v>3485</v>
      </c>
      <c r="C214">
        <v>37.200913779700002</v>
      </c>
      <c r="D214">
        <v>-6.98975988812</v>
      </c>
      <c r="E214">
        <v>2</v>
      </c>
      <c r="F214">
        <v>2</v>
      </c>
      <c r="G214">
        <v>3</v>
      </c>
      <c r="J214" t="s">
        <v>15</v>
      </c>
      <c r="K214">
        <v>2</v>
      </c>
      <c r="L214">
        <v>3.2789999999999999</v>
      </c>
      <c r="M214">
        <v>1</v>
      </c>
      <c r="N214" t="s">
        <v>10018</v>
      </c>
      <c r="O214" t="str">
        <f>HYPERLINK("2\1\marker_810_371218.png", "Ver Imagen")</f>
        <v>Ver Imagen</v>
      </c>
      <c r="P214" t="str">
        <f>HYPERLINK("SE\A-497\A-497__652.png", "Ver Imagen")</f>
        <v>Ver Imagen</v>
      </c>
    </row>
    <row r="215" spans="1:16" x14ac:dyDescent="0.25">
      <c r="A215">
        <v>1741</v>
      </c>
      <c r="B215" t="s">
        <v>3495</v>
      </c>
      <c r="C215">
        <v>37.234578360199997</v>
      </c>
      <c r="D215">
        <v>-7.0181996395599997</v>
      </c>
      <c r="E215">
        <v>2</v>
      </c>
      <c r="F215">
        <v>2</v>
      </c>
      <c r="G215">
        <v>3</v>
      </c>
      <c r="J215" t="s">
        <v>15</v>
      </c>
      <c r="K215">
        <v>2</v>
      </c>
      <c r="L215">
        <v>2.5329999999999999</v>
      </c>
      <c r="M215">
        <v>1</v>
      </c>
      <c r="N215" t="s">
        <v>10019</v>
      </c>
      <c r="O215" t="str">
        <f>HYPERLINK("2\1\marker_578_362533.png", "Ver Imagen")</f>
        <v>Ver Imagen</v>
      </c>
      <c r="P215" t="str">
        <f>HYPERLINK("SE\A-497_2C\A-497_2C__374.png", "Ver Imagen")</f>
        <v>Ver Imagen</v>
      </c>
    </row>
    <row r="216" spans="1:16" x14ac:dyDescent="0.25">
      <c r="A216">
        <v>1742</v>
      </c>
      <c r="B216" t="s">
        <v>3497</v>
      </c>
      <c r="C216">
        <v>37.233167335499999</v>
      </c>
      <c r="D216">
        <v>-7.0183169246099997</v>
      </c>
      <c r="E216">
        <v>2</v>
      </c>
      <c r="F216">
        <v>2</v>
      </c>
      <c r="G216">
        <v>3</v>
      </c>
      <c r="J216" t="s">
        <v>15</v>
      </c>
      <c r="K216">
        <v>2</v>
      </c>
      <c r="L216">
        <v>2.5499999999999998</v>
      </c>
      <c r="M216">
        <v>1</v>
      </c>
      <c r="N216" t="s">
        <v>10018</v>
      </c>
      <c r="O216" t="str">
        <f>HYPERLINK("2\1\marker_394_362713.png", "Ver Imagen")</f>
        <v>Ver Imagen</v>
      </c>
      <c r="P216" t="str">
        <f>HYPERLINK("SE\A-497_2C\A-497_2C__381.png", "Ver Imagen")</f>
        <v>Ver Imagen</v>
      </c>
    </row>
    <row r="217" spans="1:16" x14ac:dyDescent="0.25">
      <c r="A217">
        <v>1743</v>
      </c>
      <c r="B217" t="s">
        <v>3499</v>
      </c>
      <c r="C217">
        <v>37.229079037600002</v>
      </c>
      <c r="D217">
        <v>-7.0211618087199996</v>
      </c>
      <c r="E217">
        <v>3</v>
      </c>
      <c r="F217">
        <v>2</v>
      </c>
      <c r="G217">
        <v>2</v>
      </c>
      <c r="J217" t="s">
        <v>15</v>
      </c>
      <c r="K217">
        <v>2</v>
      </c>
      <c r="L217">
        <v>2.8639999999999999</v>
      </c>
      <c r="M217">
        <v>1</v>
      </c>
      <c r="N217" t="s">
        <v>10018</v>
      </c>
      <c r="O217" t="str">
        <f>HYPERLINK("2\1\marker_515_362951.png", "Ver Imagen")</f>
        <v>Ver Imagen</v>
      </c>
      <c r="P217" t="str">
        <f>HYPERLINK("SE\A-497_2C\A-497_2C__404.png", "Ver Imagen")</f>
        <v>Ver Imagen</v>
      </c>
    </row>
    <row r="218" spans="1:16" x14ac:dyDescent="0.25">
      <c r="A218">
        <v>1758</v>
      </c>
      <c r="B218" t="s">
        <v>3529</v>
      </c>
      <c r="C218">
        <v>37.203625057899998</v>
      </c>
      <c r="D218">
        <v>-7.0088194817999998</v>
      </c>
      <c r="E218">
        <v>2</v>
      </c>
      <c r="F218">
        <v>2</v>
      </c>
      <c r="G218">
        <v>3</v>
      </c>
      <c r="J218" t="s">
        <v>15</v>
      </c>
      <c r="K218">
        <v>2</v>
      </c>
      <c r="L218">
        <v>3.16</v>
      </c>
      <c r="M218">
        <v>1</v>
      </c>
      <c r="N218" t="s">
        <v>10018</v>
      </c>
      <c r="O218" t="str">
        <f>HYPERLINK("2\1\marker_875_366503.png", "Ver Imagen")</f>
        <v>Ver Imagen</v>
      </c>
      <c r="P218" t="str">
        <f>HYPERLINK("SE\A-497_2C\A-497_2C__572.png", "Ver Imagen")</f>
        <v>Ver Imagen</v>
      </c>
    </row>
    <row r="219" spans="1:16" x14ac:dyDescent="0.25">
      <c r="A219">
        <v>1780</v>
      </c>
      <c r="B219" t="s">
        <v>3573</v>
      </c>
      <c r="C219">
        <v>37.2640070522</v>
      </c>
      <c r="D219">
        <v>-7.00382252087</v>
      </c>
      <c r="E219">
        <v>2</v>
      </c>
      <c r="F219">
        <v>2</v>
      </c>
      <c r="G219">
        <v>3</v>
      </c>
      <c r="J219" t="s">
        <v>15</v>
      </c>
      <c r="K219">
        <v>2</v>
      </c>
      <c r="L219">
        <v>2.7360000000000002</v>
      </c>
      <c r="M219">
        <v>1</v>
      </c>
      <c r="N219" t="s">
        <v>10018</v>
      </c>
      <c r="O219" t="str">
        <f>HYPERLINK("2\1\marker_682_379278.png", "Ver Imagen")</f>
        <v>Ver Imagen</v>
      </c>
      <c r="P219" t="str">
        <f>HYPERLINK("SE\A-497\A-497__208.png", "Ver Imagen")</f>
        <v>Ver Imagen</v>
      </c>
    </row>
    <row r="220" spans="1:16" x14ac:dyDescent="0.25">
      <c r="A220">
        <v>1794</v>
      </c>
      <c r="B220" t="s">
        <v>3601</v>
      </c>
      <c r="C220">
        <v>37.465250630500002</v>
      </c>
      <c r="D220">
        <v>-7.1807749225100004</v>
      </c>
      <c r="E220">
        <v>3</v>
      </c>
      <c r="F220">
        <v>3</v>
      </c>
      <c r="G220">
        <v>3</v>
      </c>
      <c r="J220" t="s">
        <v>15</v>
      </c>
      <c r="K220">
        <v>3</v>
      </c>
      <c r="L220">
        <v>2.4820000000000002</v>
      </c>
      <c r="M220">
        <v>1</v>
      </c>
      <c r="N220" t="s">
        <v>10017</v>
      </c>
      <c r="O220" t="str">
        <f>HYPERLINK("3\0\marker_688_749402.png", "Ver Imagen")</f>
        <v>Ver Imagen</v>
      </c>
      <c r="P220" t="str">
        <f>HYPERLINK("NE\A-490\A-490__245.png", "Ver Imagen")</f>
        <v>Ver Imagen</v>
      </c>
    </row>
    <row r="221" spans="1:16" x14ac:dyDescent="0.25">
      <c r="A221">
        <v>1796</v>
      </c>
      <c r="B221" t="s">
        <v>3605</v>
      </c>
      <c r="C221">
        <v>37.280579205999999</v>
      </c>
      <c r="D221">
        <v>-7.0022505518799996</v>
      </c>
      <c r="E221">
        <v>3</v>
      </c>
      <c r="F221">
        <v>3</v>
      </c>
      <c r="G221">
        <v>3</v>
      </c>
      <c r="J221" t="s">
        <v>15</v>
      </c>
      <c r="K221">
        <v>3</v>
      </c>
      <c r="L221">
        <v>2.181</v>
      </c>
      <c r="M221">
        <v>1</v>
      </c>
      <c r="N221" t="s">
        <v>10017</v>
      </c>
      <c r="O221" t="str">
        <f>HYPERLINK("3\0\marker_941_823480.png", "Ver Imagen")</f>
        <v>Ver Imagen</v>
      </c>
      <c r="P221" t="str">
        <f>HYPERLINK("SE\A-492\A-492__79.png", "Ver Imagen")</f>
        <v>Ver Imagen</v>
      </c>
    </row>
    <row r="222" spans="1:16" x14ac:dyDescent="0.25">
      <c r="A222">
        <v>1798</v>
      </c>
      <c r="B222" t="s">
        <v>3609</v>
      </c>
      <c r="C222">
        <v>37.280476805900001</v>
      </c>
      <c r="D222">
        <v>-7.00475923726</v>
      </c>
      <c r="E222">
        <v>3</v>
      </c>
      <c r="F222">
        <v>3</v>
      </c>
      <c r="G222">
        <v>3</v>
      </c>
      <c r="J222" t="s">
        <v>15</v>
      </c>
      <c r="K222">
        <v>3</v>
      </c>
      <c r="L222">
        <v>2.2109999999999999</v>
      </c>
      <c r="M222">
        <v>1</v>
      </c>
      <c r="N222" t="s">
        <v>10018</v>
      </c>
      <c r="O222" t="str">
        <f>HYPERLINK("3\0\marker_967_823605.png", "Ver Imagen")</f>
        <v>Ver Imagen</v>
      </c>
      <c r="P222" t="str">
        <f>HYPERLINK("SE\A-492\A-492__89.png", "Ver Imagen")</f>
        <v>Ver Imagen</v>
      </c>
    </row>
    <row r="223" spans="1:16" x14ac:dyDescent="0.25">
      <c r="A223">
        <v>1802</v>
      </c>
      <c r="B223" t="s">
        <v>3617</v>
      </c>
      <c r="C223">
        <v>37.268324042700002</v>
      </c>
      <c r="D223">
        <v>-6.9727879368799996</v>
      </c>
      <c r="E223">
        <v>3</v>
      </c>
      <c r="F223">
        <v>3</v>
      </c>
      <c r="G223">
        <v>3</v>
      </c>
      <c r="J223" t="s">
        <v>15</v>
      </c>
      <c r="K223">
        <v>3</v>
      </c>
      <c r="L223">
        <v>3.5870000000000002</v>
      </c>
      <c r="M223">
        <v>1</v>
      </c>
      <c r="N223" t="s">
        <v>10017</v>
      </c>
      <c r="O223" t="str">
        <f>HYPERLINK("3\0\marker_679_938063.png", "Ver Imagen")</f>
        <v>Ver Imagen</v>
      </c>
      <c r="P223" t="str">
        <f>HYPERLINK("SE\A-497\A-497__68.png", "Ver Imagen")</f>
        <v>Ver Imagen</v>
      </c>
    </row>
    <row r="224" spans="1:16" x14ac:dyDescent="0.25">
      <c r="A224">
        <v>1806</v>
      </c>
      <c r="B224" t="s">
        <v>3625</v>
      </c>
      <c r="C224">
        <v>37.267531362100002</v>
      </c>
      <c r="D224">
        <v>-6.9645646371499996</v>
      </c>
      <c r="E224">
        <v>3</v>
      </c>
      <c r="F224">
        <v>3</v>
      </c>
      <c r="G224">
        <v>3</v>
      </c>
      <c r="J224" t="s">
        <v>15</v>
      </c>
      <c r="K224">
        <v>3</v>
      </c>
      <c r="L224">
        <v>3.7160000000000002</v>
      </c>
      <c r="M224">
        <v>1</v>
      </c>
      <c r="N224" t="s">
        <v>10018</v>
      </c>
      <c r="O224" t="str">
        <f>HYPERLINK("3\0\marker_612_940330.png", "Ver Imagen")</f>
        <v>Ver Imagen</v>
      </c>
      <c r="P224" t="str">
        <f>HYPERLINK("SE\A-497\A-497__35.png", "Ver Imagen")</f>
        <v>Ver Imagen</v>
      </c>
    </row>
    <row r="225" spans="1:16" x14ac:dyDescent="0.25">
      <c r="A225">
        <v>1809</v>
      </c>
      <c r="B225" t="s">
        <v>3631</v>
      </c>
      <c r="C225">
        <v>37.196284187099998</v>
      </c>
      <c r="D225">
        <v>-7.0031745053599996</v>
      </c>
      <c r="E225">
        <v>3</v>
      </c>
      <c r="F225">
        <v>3</v>
      </c>
      <c r="G225">
        <v>3</v>
      </c>
      <c r="J225" t="s">
        <v>15</v>
      </c>
      <c r="K225">
        <v>3</v>
      </c>
      <c r="L225">
        <v>2.4729999999999999</v>
      </c>
      <c r="M225">
        <v>1</v>
      </c>
      <c r="N225" t="s">
        <v>10019</v>
      </c>
      <c r="O225" t="str">
        <f>HYPERLINK("3\0\marker_421_946554.png", "Ver Imagen")</f>
        <v>Ver Imagen</v>
      </c>
      <c r="P225" t="str">
        <f>HYPERLINK("SE\A-5050\A-5050__116.png", "Ver Imagen")</f>
        <v>Ver Imagen</v>
      </c>
    </row>
    <row r="226" spans="1:16" x14ac:dyDescent="0.25">
      <c r="A226">
        <v>1811</v>
      </c>
      <c r="B226" t="s">
        <v>3635</v>
      </c>
      <c r="C226">
        <v>37.200122564200001</v>
      </c>
      <c r="D226">
        <v>-7.0109442047300004</v>
      </c>
      <c r="E226">
        <v>3</v>
      </c>
      <c r="F226">
        <v>3</v>
      </c>
      <c r="G226">
        <v>3</v>
      </c>
      <c r="J226" t="s">
        <v>15</v>
      </c>
      <c r="K226">
        <v>3</v>
      </c>
      <c r="L226">
        <v>3.5369999999999999</v>
      </c>
      <c r="M226">
        <v>1</v>
      </c>
      <c r="N226" t="s">
        <v>10017</v>
      </c>
      <c r="O226" t="str">
        <f>HYPERLINK("3\0\marker_960_948775.png", "Ver Imagen")</f>
        <v>Ver Imagen</v>
      </c>
      <c r="P226" t="str">
        <f>HYPERLINK("SE\A-5050\A-5050__80.png", "Ver Imagen")</f>
        <v>Ver Imagen</v>
      </c>
    </row>
    <row r="227" spans="1:16" x14ac:dyDescent="0.25">
      <c r="A227">
        <v>1820</v>
      </c>
      <c r="B227" t="s">
        <v>3653</v>
      </c>
      <c r="C227">
        <v>37.205973071899997</v>
      </c>
      <c r="D227">
        <v>-7.01998889516</v>
      </c>
      <c r="E227">
        <v>3</v>
      </c>
      <c r="F227">
        <v>3</v>
      </c>
      <c r="G227">
        <v>3</v>
      </c>
      <c r="J227" t="s">
        <v>15</v>
      </c>
      <c r="K227">
        <v>3</v>
      </c>
      <c r="L227">
        <v>2.3359999999999999</v>
      </c>
      <c r="M227">
        <v>1</v>
      </c>
      <c r="N227" t="s">
        <v>10017</v>
      </c>
      <c r="O227" t="str">
        <f>HYPERLINK("3\0\marker_633_949321.png", "Ver Imagen")</f>
        <v>Ver Imagen</v>
      </c>
      <c r="P227" t="str">
        <f>HYPERLINK("SE\A-5050\A-5050__34.png", "Ver Imagen")</f>
        <v>Ver Imagen</v>
      </c>
    </row>
    <row r="228" spans="1:16" x14ac:dyDescent="0.25">
      <c r="A228">
        <v>1825</v>
      </c>
      <c r="B228" t="s">
        <v>3663</v>
      </c>
      <c r="C228">
        <v>37.2082753181</v>
      </c>
      <c r="D228">
        <v>-7.02422227992</v>
      </c>
      <c r="E228">
        <v>3</v>
      </c>
      <c r="F228">
        <v>3</v>
      </c>
      <c r="G228">
        <v>3</v>
      </c>
      <c r="J228" t="s">
        <v>15</v>
      </c>
      <c r="K228">
        <v>3</v>
      </c>
      <c r="L228">
        <v>2.456</v>
      </c>
      <c r="M228">
        <v>1</v>
      </c>
      <c r="N228" t="s">
        <v>10017</v>
      </c>
      <c r="O228" t="str">
        <f>HYPERLINK("3\0\marker_334_949565.png", "Ver Imagen")</f>
        <v>Ver Imagen</v>
      </c>
      <c r="P228" t="str">
        <f>HYPERLINK("SE\A-5050\A-5050__13.png", "Ver Imagen")</f>
        <v>Ver Imagen</v>
      </c>
    </row>
    <row r="229" spans="1:16" x14ac:dyDescent="0.25">
      <c r="A229">
        <v>1866</v>
      </c>
      <c r="B229" t="s">
        <v>3745</v>
      </c>
      <c r="C229">
        <v>37.270339842200002</v>
      </c>
      <c r="D229">
        <v>-7.1398195134</v>
      </c>
      <c r="E229">
        <v>3</v>
      </c>
      <c r="F229">
        <v>3</v>
      </c>
      <c r="G229">
        <v>3</v>
      </c>
      <c r="J229" t="s">
        <v>15</v>
      </c>
      <c r="K229">
        <v>3</v>
      </c>
      <c r="L229">
        <v>2.4209999999999998</v>
      </c>
      <c r="M229">
        <v>1</v>
      </c>
      <c r="N229" t="s">
        <v>10018</v>
      </c>
      <c r="O229" t="str">
        <f>HYPERLINK("3\0\marker_730_965078.png", "Ver Imagen")</f>
        <v>Ver Imagen</v>
      </c>
      <c r="P229" t="str">
        <f>HYPERLINK("SO\A-5053\A-5053__278.png", "Ver Imagen")</f>
        <v>Ver Imagen</v>
      </c>
    </row>
    <row r="230" spans="1:16" x14ac:dyDescent="0.25">
      <c r="A230">
        <v>1870</v>
      </c>
      <c r="B230" t="s">
        <v>3753</v>
      </c>
      <c r="C230">
        <v>37.267325683000003</v>
      </c>
      <c r="D230">
        <v>-7.13383825868</v>
      </c>
      <c r="E230">
        <v>3</v>
      </c>
      <c r="F230">
        <v>3</v>
      </c>
      <c r="G230">
        <v>3</v>
      </c>
      <c r="J230" t="s">
        <v>15</v>
      </c>
      <c r="K230">
        <v>3</v>
      </c>
      <c r="L230">
        <v>3.952</v>
      </c>
      <c r="M230">
        <v>1</v>
      </c>
      <c r="N230" t="s">
        <v>10018</v>
      </c>
      <c r="O230" t="str">
        <f>HYPERLINK("3\0\marker_624_965421.png", "Ver Imagen")</f>
        <v>Ver Imagen</v>
      </c>
      <c r="P230" t="str">
        <f>HYPERLINK("SO\A-5053\A-5053__249.png", "Ver Imagen")</f>
        <v>Ver Imagen</v>
      </c>
    </row>
    <row r="231" spans="1:16" x14ac:dyDescent="0.25">
      <c r="A231">
        <v>1877</v>
      </c>
      <c r="B231" t="s">
        <v>3767</v>
      </c>
      <c r="C231">
        <v>37.259441834100002</v>
      </c>
      <c r="D231">
        <v>-7.1287369320199998</v>
      </c>
      <c r="E231">
        <v>3</v>
      </c>
      <c r="F231">
        <v>3</v>
      </c>
      <c r="G231">
        <v>3</v>
      </c>
      <c r="J231" t="s">
        <v>15</v>
      </c>
      <c r="K231">
        <v>3</v>
      </c>
      <c r="L231">
        <v>2.44</v>
      </c>
      <c r="M231">
        <v>1</v>
      </c>
      <c r="N231" t="s">
        <v>10017</v>
      </c>
      <c r="O231" t="str">
        <f>HYPERLINK("3\0\marker_843_965843.png", "Ver Imagen")</f>
        <v>Ver Imagen</v>
      </c>
      <c r="P231" t="str">
        <f>HYPERLINK("SO\A-5053\A-5053__205.png", "Ver Imagen")</f>
        <v>Ver Imagen</v>
      </c>
    </row>
    <row r="232" spans="1:16" x14ac:dyDescent="0.25">
      <c r="A232">
        <v>1889</v>
      </c>
      <c r="B232" t="s">
        <v>3791</v>
      </c>
      <c r="C232">
        <v>37.225507917100003</v>
      </c>
      <c r="D232">
        <v>-7.1259347049899997</v>
      </c>
      <c r="E232">
        <v>3</v>
      </c>
      <c r="F232">
        <v>3</v>
      </c>
      <c r="G232">
        <v>3</v>
      </c>
      <c r="J232" t="s">
        <v>15</v>
      </c>
      <c r="K232">
        <v>3</v>
      </c>
      <c r="L232">
        <v>2.4740000000000002</v>
      </c>
      <c r="M232">
        <v>1</v>
      </c>
      <c r="N232" t="s">
        <v>10019</v>
      </c>
      <c r="O232" t="str">
        <f>HYPERLINK("3\0\marker_307_021771.png", "Ver Imagen")</f>
        <v>Ver Imagen</v>
      </c>
      <c r="P232" t="str">
        <f>HYPERLINK("SO\A-5053\A-5053__34.png", "Ver Imagen")</f>
        <v>Ver Imagen</v>
      </c>
    </row>
    <row r="233" spans="1:16" x14ac:dyDescent="0.25">
      <c r="A233">
        <v>1898</v>
      </c>
      <c r="B233" t="s">
        <v>3809</v>
      </c>
      <c r="C233">
        <v>37.220539735999999</v>
      </c>
      <c r="D233">
        <v>-7.1257615308500002</v>
      </c>
      <c r="E233">
        <v>3</v>
      </c>
      <c r="F233">
        <v>3</v>
      </c>
      <c r="G233">
        <v>3</v>
      </c>
      <c r="J233" t="s">
        <v>15</v>
      </c>
      <c r="K233">
        <v>3</v>
      </c>
      <c r="L233">
        <v>2.468</v>
      </c>
      <c r="M233">
        <v>1</v>
      </c>
      <c r="N233" t="s">
        <v>10019</v>
      </c>
      <c r="O233" t="str">
        <f>HYPERLINK("3\0\marker_932_025131.png", "Ver Imagen")</f>
        <v>Ver Imagen</v>
      </c>
      <c r="P233" t="str">
        <f>HYPERLINK("SO\A-5053\A-5053__8.png", "Ver Imagen")</f>
        <v>Ver Imagen</v>
      </c>
    </row>
    <row r="234" spans="1:16" x14ac:dyDescent="0.25">
      <c r="A234">
        <v>1916</v>
      </c>
      <c r="B234" t="s">
        <v>3845</v>
      </c>
      <c r="C234">
        <v>37.439615689599997</v>
      </c>
      <c r="D234">
        <v>-7.0868503807399996</v>
      </c>
      <c r="E234">
        <v>3</v>
      </c>
      <c r="F234">
        <v>3</v>
      </c>
      <c r="G234">
        <v>3</v>
      </c>
      <c r="J234" t="s">
        <v>15</v>
      </c>
      <c r="K234">
        <v>3</v>
      </c>
      <c r="L234">
        <v>2.1739999999999999</v>
      </c>
      <c r="M234">
        <v>1</v>
      </c>
      <c r="N234" t="s">
        <v>10017</v>
      </c>
      <c r="O234" t="str">
        <f>HYPERLINK("3\0\marker_821_381702.png", "Ver Imagen")</f>
        <v>Ver Imagen</v>
      </c>
      <c r="P234" t="str">
        <f>HYPERLINK("NE\A-495\A-495__59.png", "Ver Imagen")</f>
        <v>Ver Imagen</v>
      </c>
    </row>
    <row r="235" spans="1:16" x14ac:dyDescent="0.25">
      <c r="A235">
        <v>1920</v>
      </c>
      <c r="B235" t="s">
        <v>3853</v>
      </c>
      <c r="C235">
        <v>37.436849297800002</v>
      </c>
      <c r="D235">
        <v>-7.0794261373399996</v>
      </c>
      <c r="E235">
        <v>3</v>
      </c>
      <c r="F235">
        <v>3</v>
      </c>
      <c r="G235">
        <v>3</v>
      </c>
      <c r="J235" t="s">
        <v>15</v>
      </c>
      <c r="K235">
        <v>3</v>
      </c>
      <c r="L235">
        <v>2.44</v>
      </c>
      <c r="M235">
        <v>1</v>
      </c>
      <c r="N235" t="s">
        <v>10017</v>
      </c>
      <c r="O235" t="str">
        <f>HYPERLINK("3\0\marker_378_382079.png", "Ver Imagen")</f>
        <v>Ver Imagen</v>
      </c>
      <c r="P235" t="str">
        <f>HYPERLINK("NE\A-495\A-495__92.png", "Ver Imagen")</f>
        <v>Ver Imagen</v>
      </c>
    </row>
    <row r="236" spans="1:16" x14ac:dyDescent="0.25">
      <c r="A236">
        <v>1938</v>
      </c>
      <c r="B236" t="s">
        <v>3889</v>
      </c>
      <c r="C236">
        <v>37.231463289700002</v>
      </c>
      <c r="D236">
        <v>-7.0636714007299997</v>
      </c>
      <c r="E236">
        <v>3</v>
      </c>
      <c r="F236">
        <v>3</v>
      </c>
      <c r="G236">
        <v>3</v>
      </c>
      <c r="J236" t="s">
        <v>15</v>
      </c>
      <c r="K236">
        <v>3</v>
      </c>
      <c r="L236">
        <v>2.1440000000000001</v>
      </c>
      <c r="M236">
        <v>1</v>
      </c>
      <c r="N236" t="s">
        <v>10017</v>
      </c>
      <c r="O236" t="str">
        <f>HYPERLINK("3\0\marker_922_379525.png", "Ver Imagen")</f>
        <v>Ver Imagen</v>
      </c>
      <c r="P236" t="str">
        <f>HYPERLINK("SE\A-5059\A-5059__16.png", "Ver Imagen")</f>
        <v>Ver Imagen</v>
      </c>
    </row>
    <row r="237" spans="1:16" x14ac:dyDescent="0.25">
      <c r="A237">
        <v>1953</v>
      </c>
      <c r="B237" t="s">
        <v>3919</v>
      </c>
      <c r="C237">
        <v>37.224675766600001</v>
      </c>
      <c r="D237">
        <v>-7.0342272151999996</v>
      </c>
      <c r="E237">
        <v>3</v>
      </c>
      <c r="F237">
        <v>3</v>
      </c>
      <c r="G237">
        <v>3</v>
      </c>
      <c r="J237" t="s">
        <v>15</v>
      </c>
      <c r="K237">
        <v>3</v>
      </c>
      <c r="L237">
        <v>2.1360000000000001</v>
      </c>
      <c r="M237">
        <v>1</v>
      </c>
      <c r="N237" t="s">
        <v>10017</v>
      </c>
      <c r="O237" t="str">
        <f>HYPERLINK("3\0\marker_323_380169.png", "Ver Imagen")</f>
        <v>Ver Imagen</v>
      </c>
      <c r="P237" t="str">
        <f>HYPERLINK("SE\A-5058\A-5058__28.png", "Ver Imagen")</f>
        <v>Ver Imagen</v>
      </c>
    </row>
    <row r="238" spans="1:16" x14ac:dyDescent="0.25">
      <c r="A238">
        <v>1958</v>
      </c>
      <c r="B238" t="s">
        <v>3929</v>
      </c>
      <c r="C238">
        <v>37.225482470199999</v>
      </c>
      <c r="D238">
        <v>-7.0416378537900002</v>
      </c>
      <c r="E238">
        <v>3</v>
      </c>
      <c r="F238">
        <v>3</v>
      </c>
      <c r="G238">
        <v>3</v>
      </c>
      <c r="J238" t="s">
        <v>15</v>
      </c>
      <c r="K238">
        <v>3</v>
      </c>
      <c r="L238">
        <v>2.2010000000000001</v>
      </c>
      <c r="M238">
        <v>1</v>
      </c>
      <c r="N238" t="s">
        <v>10018</v>
      </c>
      <c r="O238" t="str">
        <f>HYPERLINK("3\0\marker_910_380634.png", "Ver Imagen")</f>
        <v>Ver Imagen</v>
      </c>
      <c r="P238" t="str">
        <f>HYPERLINK("SE\A-5058\A-5058__59.png", "Ver Imagen")</f>
        <v>Ver Imagen</v>
      </c>
    </row>
    <row r="239" spans="1:16" x14ac:dyDescent="0.25">
      <c r="A239">
        <v>1960</v>
      </c>
      <c r="B239" t="s">
        <v>3933</v>
      </c>
      <c r="C239">
        <v>37.2280394386</v>
      </c>
      <c r="D239">
        <v>-7.0457634566699996</v>
      </c>
      <c r="E239">
        <v>3</v>
      </c>
      <c r="F239">
        <v>3</v>
      </c>
      <c r="G239">
        <v>3</v>
      </c>
      <c r="J239" t="s">
        <v>15</v>
      </c>
      <c r="K239">
        <v>3</v>
      </c>
      <c r="L239">
        <v>2.4540000000000002</v>
      </c>
      <c r="M239">
        <v>1</v>
      </c>
      <c r="N239" t="s">
        <v>10018</v>
      </c>
      <c r="O239" t="str">
        <f>HYPERLINK("3\0\marker_770_380860.png", "Ver Imagen")</f>
        <v>Ver Imagen</v>
      </c>
      <c r="P239" t="str">
        <f>HYPERLINK("SE\A-5058\A-5058__80.png", "Ver Imagen")</f>
        <v>Ver Imagen</v>
      </c>
    </row>
    <row r="240" spans="1:16" x14ac:dyDescent="0.25">
      <c r="A240">
        <v>1966</v>
      </c>
      <c r="B240" t="s">
        <v>3945</v>
      </c>
      <c r="C240">
        <v>37.2338364099</v>
      </c>
      <c r="D240">
        <v>-7.0574778839699999</v>
      </c>
      <c r="E240">
        <v>3</v>
      </c>
      <c r="F240">
        <v>3</v>
      </c>
      <c r="G240">
        <v>3</v>
      </c>
      <c r="J240" t="s">
        <v>15</v>
      </c>
      <c r="K240">
        <v>3</v>
      </c>
      <c r="L240">
        <v>1.923</v>
      </c>
      <c r="M240">
        <v>1</v>
      </c>
      <c r="N240" t="s">
        <v>10018</v>
      </c>
      <c r="O240" t="str">
        <f>HYPERLINK("3\0\marker_535_381518.png", "Ver Imagen")</f>
        <v>Ver Imagen</v>
      </c>
      <c r="P240" t="str">
        <f>HYPERLINK("SE\A-5058\A-5058__135.png", "Ver Imagen")</f>
        <v>Ver Imagen</v>
      </c>
    </row>
    <row r="241" spans="1:16" x14ac:dyDescent="0.25">
      <c r="A241">
        <v>1987</v>
      </c>
      <c r="B241" t="s">
        <v>3987</v>
      </c>
      <c r="C241">
        <v>37.238728792499998</v>
      </c>
      <c r="D241">
        <v>-7.0794756017199996</v>
      </c>
      <c r="E241">
        <v>3</v>
      </c>
      <c r="F241">
        <v>3</v>
      </c>
      <c r="G241">
        <v>3</v>
      </c>
      <c r="J241" t="s">
        <v>15</v>
      </c>
      <c r="K241">
        <v>3</v>
      </c>
      <c r="L241">
        <v>2.492</v>
      </c>
      <c r="M241">
        <v>1</v>
      </c>
      <c r="N241" t="s">
        <v>10017</v>
      </c>
      <c r="O241" t="str">
        <f>HYPERLINK("3\0\marker_987_383249.png", "Ver Imagen")</f>
        <v>Ver Imagen</v>
      </c>
      <c r="P241" t="str">
        <f>HYPERLINK("SO\A-5058\A-5058__230.png", "Ver Imagen")</f>
        <v>Ver Imagen</v>
      </c>
    </row>
    <row r="242" spans="1:16" x14ac:dyDescent="0.25">
      <c r="A242">
        <v>1998</v>
      </c>
      <c r="B242" t="s">
        <v>4009</v>
      </c>
      <c r="C242">
        <v>37.2453028766</v>
      </c>
      <c r="D242">
        <v>-7.0929360377900004</v>
      </c>
      <c r="E242">
        <v>3</v>
      </c>
      <c r="F242">
        <v>3</v>
      </c>
      <c r="G242">
        <v>3</v>
      </c>
      <c r="J242" t="s">
        <v>15</v>
      </c>
      <c r="K242">
        <v>3</v>
      </c>
      <c r="L242">
        <v>1.88</v>
      </c>
      <c r="M242">
        <v>1</v>
      </c>
      <c r="N242" t="s">
        <v>10017</v>
      </c>
      <c r="O242" t="str">
        <f>HYPERLINK("3\0\marker_904_384182.png", "Ver Imagen")</f>
        <v>Ver Imagen</v>
      </c>
      <c r="P242" t="str">
        <f>HYPERLINK("SE\A-5058\A-5058__293.png", "Ver Imagen")</f>
        <v>Ver Imagen</v>
      </c>
    </row>
    <row r="243" spans="1:16" x14ac:dyDescent="0.25">
      <c r="A243">
        <v>1998</v>
      </c>
      <c r="B243" t="s">
        <v>4009</v>
      </c>
      <c r="C243">
        <v>37.2453028766</v>
      </c>
      <c r="D243">
        <v>-7.0929360377900004</v>
      </c>
      <c r="E243">
        <v>3</v>
      </c>
      <c r="F243">
        <v>3</v>
      </c>
      <c r="G243">
        <v>3</v>
      </c>
      <c r="J243" t="s">
        <v>15</v>
      </c>
      <c r="K243">
        <v>3</v>
      </c>
      <c r="L243">
        <v>1.6339999999999999</v>
      </c>
      <c r="M243">
        <v>1</v>
      </c>
      <c r="N243" t="s">
        <v>10017</v>
      </c>
      <c r="O243" t="str">
        <f>HYPERLINK("3\0\marker_904_384182.png", "Ver Imagen")</f>
        <v>Ver Imagen</v>
      </c>
      <c r="P243" t="str">
        <f>HYPERLINK("SO\A-5058\A-5058__293.png", "Ver Imagen")</f>
        <v>Ver Imagen</v>
      </c>
    </row>
    <row r="244" spans="1:16" x14ac:dyDescent="0.25">
      <c r="A244">
        <v>2006</v>
      </c>
      <c r="B244" t="s">
        <v>4025</v>
      </c>
      <c r="C244">
        <v>37.249133442000002</v>
      </c>
      <c r="D244">
        <v>-7.1023310028399997</v>
      </c>
      <c r="E244">
        <v>3</v>
      </c>
      <c r="F244">
        <v>3</v>
      </c>
      <c r="G244">
        <v>3</v>
      </c>
      <c r="J244" t="s">
        <v>15</v>
      </c>
      <c r="K244">
        <v>3</v>
      </c>
      <c r="L244">
        <v>3.5579999999999998</v>
      </c>
      <c r="M244">
        <v>1</v>
      </c>
      <c r="N244" t="s">
        <v>10019</v>
      </c>
      <c r="O244" t="str">
        <f>HYPERLINK("3\0\marker_331_384722.png", "Ver Imagen")</f>
        <v>Ver Imagen</v>
      </c>
      <c r="P244" t="str">
        <f>HYPERLINK("SO\A-5058\A-5058__337.png", "Ver Imagen")</f>
        <v>Ver Imagen</v>
      </c>
    </row>
    <row r="245" spans="1:16" x14ac:dyDescent="0.25">
      <c r="A245">
        <v>2008</v>
      </c>
      <c r="B245" t="s">
        <v>4029</v>
      </c>
      <c r="C245">
        <v>37.254819253400001</v>
      </c>
      <c r="D245">
        <v>-7.10865884658</v>
      </c>
      <c r="E245">
        <v>3</v>
      </c>
      <c r="F245">
        <v>3</v>
      </c>
      <c r="G245">
        <v>3</v>
      </c>
      <c r="J245" t="s">
        <v>15</v>
      </c>
      <c r="K245">
        <v>3</v>
      </c>
      <c r="L245">
        <v>2.472</v>
      </c>
      <c r="M245">
        <v>1</v>
      </c>
      <c r="N245" t="s">
        <v>10017</v>
      </c>
      <c r="O245" t="str">
        <f>HYPERLINK("3\0\marker_550_385144.png", "Ver Imagen")</f>
        <v>Ver Imagen</v>
      </c>
      <c r="P245" t="str">
        <f>HYPERLINK("SO\A-5058\A-5058__376.png", "Ver Imagen")</f>
        <v>Ver Imagen</v>
      </c>
    </row>
    <row r="246" spans="1:16" x14ac:dyDescent="0.25">
      <c r="A246">
        <v>2012</v>
      </c>
      <c r="B246" t="s">
        <v>4037</v>
      </c>
      <c r="C246">
        <v>37.254938344000003</v>
      </c>
      <c r="D246">
        <v>-7.1133811218299998</v>
      </c>
      <c r="E246">
        <v>3</v>
      </c>
      <c r="F246">
        <v>3</v>
      </c>
      <c r="G246">
        <v>3</v>
      </c>
      <c r="J246" t="s">
        <v>15</v>
      </c>
      <c r="K246">
        <v>3</v>
      </c>
      <c r="L246">
        <v>2.4300000000000002</v>
      </c>
      <c r="M246">
        <v>1</v>
      </c>
      <c r="N246" t="s">
        <v>10019</v>
      </c>
      <c r="O246" t="str">
        <f>HYPERLINK("3\0\marker_601_385377.png", "Ver Imagen")</f>
        <v>Ver Imagen</v>
      </c>
      <c r="P246" t="str">
        <f>HYPERLINK("SO\A-5058\A-5058__396.png", "Ver Imagen")</f>
        <v>Ver Imagen</v>
      </c>
    </row>
    <row r="247" spans="1:16" x14ac:dyDescent="0.25">
      <c r="A247">
        <v>2023</v>
      </c>
      <c r="B247" t="s">
        <v>4059</v>
      </c>
      <c r="C247">
        <v>37.481905030299998</v>
      </c>
      <c r="D247">
        <v>-7.1281936607900001</v>
      </c>
      <c r="E247">
        <v>3</v>
      </c>
      <c r="F247">
        <v>3</v>
      </c>
      <c r="G247">
        <v>3</v>
      </c>
      <c r="J247" t="s">
        <v>15</v>
      </c>
      <c r="K247">
        <v>3</v>
      </c>
      <c r="L247">
        <v>2.0259999999999998</v>
      </c>
      <c r="M247">
        <v>1</v>
      </c>
      <c r="N247" t="s">
        <v>10018</v>
      </c>
      <c r="O247" t="str">
        <f>HYPERLINK("3\0\marker_323_383910.png", "Ver Imagen")</f>
        <v>Ver Imagen</v>
      </c>
      <c r="P247" t="str">
        <f>HYPERLINK("NE\A-495_1\A-495_1__178.png", "Ver Imagen")</f>
        <v>Ver Imagen</v>
      </c>
    </row>
    <row r="248" spans="1:16" x14ac:dyDescent="0.25">
      <c r="A248">
        <v>2024</v>
      </c>
      <c r="B248" t="s">
        <v>4061</v>
      </c>
      <c r="C248">
        <v>37.479947840500003</v>
      </c>
      <c r="D248">
        <v>-7.1278928689300001</v>
      </c>
      <c r="E248">
        <v>3</v>
      </c>
      <c r="F248">
        <v>3</v>
      </c>
      <c r="G248">
        <v>3</v>
      </c>
      <c r="J248" t="s">
        <v>15</v>
      </c>
      <c r="K248">
        <v>3</v>
      </c>
      <c r="L248">
        <v>2.4980000000000002</v>
      </c>
      <c r="M248">
        <v>1</v>
      </c>
      <c r="N248" t="s">
        <v>10019</v>
      </c>
      <c r="O248" t="str">
        <f>HYPERLINK("3\0\marker_814_384011.png", "Ver Imagen")</f>
        <v>Ver Imagen</v>
      </c>
      <c r="P248" t="str">
        <f>HYPERLINK("NE\A-495_1\A-495_1__168.png", "Ver Imagen")</f>
        <v>Ver Imagen</v>
      </c>
    </row>
    <row r="249" spans="1:16" x14ac:dyDescent="0.25">
      <c r="A249">
        <v>2027</v>
      </c>
      <c r="B249" t="s">
        <v>4067</v>
      </c>
      <c r="C249">
        <v>37.467378847299997</v>
      </c>
      <c r="D249">
        <v>-7.12294610956</v>
      </c>
      <c r="E249">
        <v>3</v>
      </c>
      <c r="F249">
        <v>3</v>
      </c>
      <c r="G249">
        <v>3</v>
      </c>
      <c r="J249" t="s">
        <v>15</v>
      </c>
      <c r="K249">
        <v>3</v>
      </c>
      <c r="L249">
        <v>2.323</v>
      </c>
      <c r="M249">
        <v>1</v>
      </c>
      <c r="N249" t="s">
        <v>10018</v>
      </c>
      <c r="O249" t="str">
        <f>HYPERLINK("3\0\marker_714_385051.png", "Ver Imagen")</f>
        <v>Ver Imagen</v>
      </c>
      <c r="P249" t="str">
        <f>HYPERLINK("NE\A-495_1\A-495_1__99.png", "Ver Imagen")</f>
        <v>Ver Imagen</v>
      </c>
    </row>
    <row r="250" spans="1:16" x14ac:dyDescent="0.25">
      <c r="A250">
        <v>2035</v>
      </c>
      <c r="B250" t="s">
        <v>4083</v>
      </c>
      <c r="C250">
        <v>37.198416522599999</v>
      </c>
      <c r="D250">
        <v>-6.9814621735899998</v>
      </c>
      <c r="E250">
        <v>3</v>
      </c>
      <c r="F250">
        <v>3</v>
      </c>
      <c r="G250">
        <v>3</v>
      </c>
      <c r="J250" t="s">
        <v>15</v>
      </c>
      <c r="K250">
        <v>3</v>
      </c>
      <c r="L250">
        <v>3.5579999999999998</v>
      </c>
      <c r="M250">
        <v>1</v>
      </c>
      <c r="N250" t="s">
        <v>10019</v>
      </c>
      <c r="O250" t="str">
        <f>HYPERLINK("3\0\marker_636_367648.png", "Ver Imagen")</f>
        <v>Ver Imagen</v>
      </c>
      <c r="P250" t="str">
        <f>HYPERLINK("SE\A-497\A-497__830.png", "Ver Imagen")</f>
        <v>Ver Imagen</v>
      </c>
    </row>
    <row r="251" spans="1:16" x14ac:dyDescent="0.25">
      <c r="A251">
        <v>2038</v>
      </c>
      <c r="B251" t="s">
        <v>4089</v>
      </c>
      <c r="C251">
        <v>37.197552756999997</v>
      </c>
      <c r="D251">
        <v>-6.9800861782899997</v>
      </c>
      <c r="E251">
        <v>3</v>
      </c>
      <c r="F251">
        <v>3</v>
      </c>
      <c r="G251">
        <v>3</v>
      </c>
      <c r="J251" t="s">
        <v>15</v>
      </c>
      <c r="K251">
        <v>3</v>
      </c>
      <c r="L251">
        <v>3.5739999999999998</v>
      </c>
      <c r="M251">
        <v>1</v>
      </c>
      <c r="N251" t="s">
        <v>10018</v>
      </c>
      <c r="O251" t="str">
        <f>HYPERLINK("3\0\marker_891_367721.png", "Ver Imagen")</f>
        <v>Ver Imagen</v>
      </c>
      <c r="P251" t="str">
        <f>HYPERLINK("SE\A-497\A-497__823.png", "Ver Imagen")</f>
        <v>Ver Imagen</v>
      </c>
    </row>
    <row r="252" spans="1:16" x14ac:dyDescent="0.25">
      <c r="A252">
        <v>2085</v>
      </c>
      <c r="B252" t="s">
        <v>4183</v>
      </c>
      <c r="C252">
        <v>37.265194854400001</v>
      </c>
      <c r="D252">
        <v>-6.9976543110099998</v>
      </c>
      <c r="E252">
        <v>3</v>
      </c>
      <c r="F252">
        <v>3</v>
      </c>
      <c r="G252">
        <v>3</v>
      </c>
      <c r="J252" t="s">
        <v>15</v>
      </c>
      <c r="K252">
        <v>3</v>
      </c>
      <c r="L252">
        <v>2.4910000000000001</v>
      </c>
      <c r="M252">
        <v>1</v>
      </c>
      <c r="N252" t="s">
        <v>10017</v>
      </c>
      <c r="O252" t="str">
        <f>HYPERLINK("3\0\marker_347_656312.png", "Ver Imagen")</f>
        <v>Ver Imagen</v>
      </c>
      <c r="P252" t="str">
        <f>HYPERLINK("SE\A-497_2C\A-497_2C__178.png", "Ver Imagen")</f>
        <v>Ver Imagen</v>
      </c>
    </row>
    <row r="253" spans="1:16" x14ac:dyDescent="0.25">
      <c r="A253">
        <v>2095</v>
      </c>
      <c r="B253" t="s">
        <v>4203</v>
      </c>
      <c r="C253">
        <v>37.1966038144</v>
      </c>
      <c r="D253">
        <v>-6.9788666325299999</v>
      </c>
      <c r="E253">
        <v>3</v>
      </c>
      <c r="F253">
        <v>3</v>
      </c>
      <c r="G253">
        <v>3</v>
      </c>
      <c r="J253" t="s">
        <v>15</v>
      </c>
      <c r="K253">
        <v>3</v>
      </c>
      <c r="L253">
        <v>3.5750000000000002</v>
      </c>
      <c r="M253">
        <v>1</v>
      </c>
      <c r="N253" t="s">
        <v>10018</v>
      </c>
      <c r="O253" t="str">
        <f>HYPERLINK("3\0\marker_444_370368.png", "Ver Imagen")</f>
        <v>Ver Imagen</v>
      </c>
      <c r="P253" t="str">
        <f>HYPERLINK("SE\A-497\A-497__701.png", "Ver Imagen")</f>
        <v>Ver Imagen</v>
      </c>
    </row>
    <row r="254" spans="1:16" x14ac:dyDescent="0.25">
      <c r="A254">
        <v>2116</v>
      </c>
      <c r="B254" t="s">
        <v>4245</v>
      </c>
      <c r="C254">
        <v>37.255151180200002</v>
      </c>
      <c r="D254">
        <v>-7.0147953491799999</v>
      </c>
      <c r="E254">
        <v>3</v>
      </c>
      <c r="F254">
        <v>3</v>
      </c>
      <c r="G254">
        <v>3</v>
      </c>
      <c r="J254" t="s">
        <v>15</v>
      </c>
      <c r="K254">
        <v>3</v>
      </c>
      <c r="L254">
        <v>3.6539999999999999</v>
      </c>
      <c r="M254">
        <v>1</v>
      </c>
      <c r="N254" t="s">
        <v>10019</v>
      </c>
      <c r="O254" t="str">
        <f>HYPERLINK("3\0\marker_126_319733.png", "Ver Imagen")</f>
        <v>Ver Imagen</v>
      </c>
      <c r="P254" t="str">
        <f>HYPERLINK("SE\A-497_2C\A-497_2C__269.png", "Ver Imagen")</f>
        <v>Ver Imagen</v>
      </c>
    </row>
    <row r="255" spans="1:16" x14ac:dyDescent="0.25">
      <c r="A255">
        <v>2127</v>
      </c>
      <c r="B255" t="s">
        <v>4267</v>
      </c>
      <c r="C255">
        <v>37.204108574700001</v>
      </c>
      <c r="D255">
        <v>-7.0108890055900002</v>
      </c>
      <c r="E255">
        <v>3</v>
      </c>
      <c r="F255">
        <v>3</v>
      </c>
      <c r="G255">
        <v>3</v>
      </c>
      <c r="J255" t="s">
        <v>15</v>
      </c>
      <c r="K255">
        <v>3</v>
      </c>
      <c r="L255">
        <v>4.0119999999999996</v>
      </c>
      <c r="M255">
        <v>1</v>
      </c>
      <c r="N255" t="s">
        <v>10017</v>
      </c>
      <c r="O255" t="str">
        <f>HYPERLINK("3\0\marker_649_372070.png", "Ver Imagen")</f>
        <v>Ver Imagen</v>
      </c>
      <c r="P255" t="str">
        <f>HYPERLINK("SE\A-497\A-497__567.png", "Ver Imagen")</f>
        <v>Ver Imagen</v>
      </c>
    </row>
    <row r="256" spans="1:16" x14ac:dyDescent="0.25">
      <c r="A256">
        <v>2149</v>
      </c>
      <c r="B256" t="s">
        <v>4311</v>
      </c>
      <c r="C256">
        <v>37.232597944399998</v>
      </c>
      <c r="D256">
        <v>-7.0185616809500004</v>
      </c>
      <c r="E256">
        <v>3</v>
      </c>
      <c r="F256">
        <v>3</v>
      </c>
      <c r="G256">
        <v>3</v>
      </c>
      <c r="J256" t="s">
        <v>15</v>
      </c>
      <c r="K256">
        <v>3</v>
      </c>
      <c r="L256">
        <v>2.492</v>
      </c>
      <c r="M256">
        <v>1</v>
      </c>
      <c r="N256" t="s">
        <v>10018</v>
      </c>
      <c r="O256" t="str">
        <f>HYPERLINK("3\0\marker_158_362740.png", "Ver Imagen")</f>
        <v>Ver Imagen</v>
      </c>
      <c r="P256" t="str">
        <f>HYPERLINK("SE\A-497_2C\A-497_2C__384.png", "Ver Imagen")</f>
        <v>Ver Imagen</v>
      </c>
    </row>
    <row r="257" spans="1:16" x14ac:dyDescent="0.25">
      <c r="A257">
        <v>2218</v>
      </c>
      <c r="B257" t="s">
        <v>4449</v>
      </c>
      <c r="C257">
        <v>37.232703100099997</v>
      </c>
      <c r="D257">
        <v>-7.0183184843599999</v>
      </c>
      <c r="E257">
        <v>3</v>
      </c>
      <c r="F257">
        <v>3</v>
      </c>
      <c r="G257">
        <v>3</v>
      </c>
      <c r="J257" t="s">
        <v>15</v>
      </c>
      <c r="K257">
        <v>3</v>
      </c>
      <c r="L257">
        <v>2.4820000000000002</v>
      </c>
      <c r="M257">
        <v>1</v>
      </c>
      <c r="N257" t="s">
        <v>10019</v>
      </c>
      <c r="O257" t="str">
        <f>HYPERLINK("3\0\marker_681_377301.png", "Ver Imagen")</f>
        <v>Ver Imagen</v>
      </c>
      <c r="P257" t="str">
        <f>HYPERLINK("SE\A-497\A-497__388.png", "Ver Imagen")</f>
        <v>Ver Imagen</v>
      </c>
    </row>
    <row r="258" spans="1:16" x14ac:dyDescent="0.25">
      <c r="A258">
        <v>2238</v>
      </c>
      <c r="B258" t="s">
        <v>4489</v>
      </c>
      <c r="C258">
        <v>37.262154708799997</v>
      </c>
      <c r="D258">
        <v>-7.0098561900899998</v>
      </c>
      <c r="E258">
        <v>3</v>
      </c>
      <c r="F258">
        <v>3</v>
      </c>
      <c r="G258">
        <v>3</v>
      </c>
      <c r="J258" t="s">
        <v>15</v>
      </c>
      <c r="K258">
        <v>3</v>
      </c>
      <c r="L258">
        <v>2.4510000000000001</v>
      </c>
      <c r="M258">
        <v>1</v>
      </c>
      <c r="N258" t="s">
        <v>10018</v>
      </c>
      <c r="O258" t="str">
        <f>HYPERLINK("3\0\marker_567_378991.png", "Ver Imagen")</f>
        <v>Ver Imagen</v>
      </c>
      <c r="P258" t="str">
        <f>HYPERLINK("SE\A-497\A-497__234.png", "Ver Imagen")</f>
        <v>Ver Imagen</v>
      </c>
    </row>
    <row r="259" spans="1:16" x14ac:dyDescent="0.25">
      <c r="A259">
        <v>2240</v>
      </c>
      <c r="B259" t="s">
        <v>4493</v>
      </c>
      <c r="C259">
        <v>37.262691639700002</v>
      </c>
      <c r="D259">
        <v>-7.0090839535100002</v>
      </c>
      <c r="E259">
        <v>3</v>
      </c>
      <c r="F259">
        <v>3</v>
      </c>
      <c r="G259">
        <v>3</v>
      </c>
      <c r="J259" t="s">
        <v>15</v>
      </c>
      <c r="K259">
        <v>3</v>
      </c>
      <c r="L259">
        <v>2.3860000000000001</v>
      </c>
      <c r="M259">
        <v>1</v>
      </c>
      <c r="N259" t="s">
        <v>10018</v>
      </c>
      <c r="O259" t="str">
        <f>HYPERLINK("3\0\marker_745_379038.png", "Ver Imagen")</f>
        <v>Ver Imagen</v>
      </c>
      <c r="P259" t="str">
        <f>HYPERLINK("SE\A-497\A-497__230.png", "Ver Imagen")</f>
        <v>Ver Imagen</v>
      </c>
    </row>
    <row r="260" spans="1:16" x14ac:dyDescent="0.25">
      <c r="A260">
        <v>2255</v>
      </c>
      <c r="B260" t="s">
        <v>4523</v>
      </c>
      <c r="C260">
        <v>37.2650604755</v>
      </c>
      <c r="D260">
        <v>-6.99788552453</v>
      </c>
      <c r="E260">
        <v>3</v>
      </c>
      <c r="F260">
        <v>3</v>
      </c>
      <c r="G260">
        <v>3</v>
      </c>
      <c r="J260" t="s">
        <v>15</v>
      </c>
      <c r="K260">
        <v>3</v>
      </c>
      <c r="L260">
        <v>1.9139999999999999</v>
      </c>
      <c r="M260">
        <v>1</v>
      </c>
      <c r="N260" t="s">
        <v>10017</v>
      </c>
      <c r="O260" t="str">
        <f>HYPERLINK("3\0\marker_141_379596.png", "Ver Imagen")</f>
        <v>Ver Imagen</v>
      </c>
      <c r="P260" t="str">
        <f>HYPERLINK("SE\A-497\A-497__184.png", "Ver Imagen")</f>
        <v>Ver Imagen</v>
      </c>
    </row>
    <row r="261" spans="1:16" x14ac:dyDescent="0.25">
      <c r="A261">
        <v>2268</v>
      </c>
      <c r="B261" t="s">
        <v>4549</v>
      </c>
      <c r="C261">
        <v>37.271157412000001</v>
      </c>
      <c r="D261">
        <v>-6.9884550561700003</v>
      </c>
      <c r="E261">
        <v>3</v>
      </c>
      <c r="F261">
        <v>3</v>
      </c>
      <c r="G261">
        <v>3</v>
      </c>
      <c r="J261" t="s">
        <v>15</v>
      </c>
      <c r="K261">
        <v>3</v>
      </c>
      <c r="L261">
        <v>3.53</v>
      </c>
      <c r="M261">
        <v>1</v>
      </c>
      <c r="N261" t="s">
        <v>10019</v>
      </c>
      <c r="O261" t="str">
        <f>HYPERLINK("3\0\marker_424_380503.png", "Ver Imagen")</f>
        <v>Ver Imagen</v>
      </c>
      <c r="P261" t="str">
        <f>HYPERLINK("SE\A-497\A-497__133.png", "Ver Imagen")</f>
        <v>Ver Imagen</v>
      </c>
    </row>
    <row r="262" spans="1:16" x14ac:dyDescent="0.25">
      <c r="A262">
        <v>2286</v>
      </c>
      <c r="B262" t="s">
        <v>4585</v>
      </c>
      <c r="C262">
        <v>37.280052246099999</v>
      </c>
      <c r="D262">
        <v>-7.0058712734500004</v>
      </c>
      <c r="E262">
        <v>2</v>
      </c>
      <c r="F262">
        <v>3</v>
      </c>
      <c r="G262">
        <v>3</v>
      </c>
      <c r="J262" t="s">
        <v>15</v>
      </c>
      <c r="K262">
        <v>3</v>
      </c>
      <c r="L262">
        <v>2.403</v>
      </c>
      <c r="M262">
        <v>1</v>
      </c>
      <c r="N262" t="s">
        <v>10019</v>
      </c>
      <c r="O262" t="str">
        <f>HYPERLINK("3\1\marker_373_823693.png", "Ver Imagen")</f>
        <v>Ver Imagen</v>
      </c>
      <c r="P262" t="str">
        <f>HYPERLINK("SE\A-492\A-492__94.png", "Ver Imagen")</f>
        <v>Ver Imagen</v>
      </c>
    </row>
    <row r="263" spans="1:16" x14ac:dyDescent="0.25">
      <c r="A263">
        <v>2290</v>
      </c>
      <c r="B263" t="s">
        <v>4593</v>
      </c>
      <c r="C263">
        <v>37.275985499699999</v>
      </c>
      <c r="D263">
        <v>-7.0215216216199998</v>
      </c>
      <c r="E263">
        <v>2</v>
      </c>
      <c r="F263">
        <v>3</v>
      </c>
      <c r="G263">
        <v>3</v>
      </c>
      <c r="J263" t="s">
        <v>15</v>
      </c>
      <c r="K263">
        <v>3</v>
      </c>
      <c r="L263">
        <v>1.8540000000000001</v>
      </c>
      <c r="M263">
        <v>1</v>
      </c>
      <c r="N263" t="s">
        <v>10017</v>
      </c>
      <c r="O263" t="str">
        <f>HYPERLINK("3\1\marker_610_831355.png", "Ver Imagen")</f>
        <v>Ver Imagen</v>
      </c>
      <c r="P263" t="str">
        <f>HYPERLINK("SE\A-492\A-492__163.png", "Ver Imagen")</f>
        <v>Ver Imagen</v>
      </c>
    </row>
    <row r="264" spans="1:16" x14ac:dyDescent="0.25">
      <c r="A264">
        <v>2291</v>
      </c>
      <c r="B264" t="s">
        <v>4595</v>
      </c>
      <c r="C264">
        <v>37.276262449500003</v>
      </c>
      <c r="D264">
        <v>-7.0234935464100001</v>
      </c>
      <c r="E264">
        <v>2</v>
      </c>
      <c r="F264">
        <v>3</v>
      </c>
      <c r="G264">
        <v>3</v>
      </c>
      <c r="J264" t="s">
        <v>15</v>
      </c>
      <c r="K264">
        <v>3</v>
      </c>
      <c r="L264">
        <v>2.4670000000000001</v>
      </c>
      <c r="M264">
        <v>1</v>
      </c>
      <c r="N264" t="s">
        <v>10019</v>
      </c>
      <c r="O264" t="str">
        <f>HYPERLINK("3\1\marker_291_831471.png", "Ver Imagen")</f>
        <v>Ver Imagen</v>
      </c>
      <c r="P264" t="str">
        <f>HYPERLINK("SE\A-492\A-492__171.png", "Ver Imagen")</f>
        <v>Ver Imagen</v>
      </c>
    </row>
    <row r="265" spans="1:16" x14ac:dyDescent="0.25">
      <c r="A265">
        <v>2297</v>
      </c>
      <c r="B265" t="s">
        <v>4607</v>
      </c>
      <c r="C265">
        <v>37.189971049500002</v>
      </c>
      <c r="D265">
        <v>-6.9887687940000003</v>
      </c>
      <c r="E265">
        <v>2</v>
      </c>
      <c r="F265">
        <v>3</v>
      </c>
      <c r="G265">
        <v>3</v>
      </c>
      <c r="J265" t="s">
        <v>15</v>
      </c>
      <c r="K265">
        <v>3</v>
      </c>
      <c r="L265">
        <v>2.0609999999999999</v>
      </c>
      <c r="M265">
        <v>1</v>
      </c>
      <c r="N265" t="s">
        <v>10017</v>
      </c>
      <c r="O265" t="str">
        <f>HYPERLINK("3\1\marker_442_944163.png", "Ver Imagen")</f>
        <v>Ver Imagen</v>
      </c>
      <c r="P265" t="str">
        <f>HYPERLINK("SE\A-5050\A-5050__181.png", "Ver Imagen")</f>
        <v>Ver Imagen</v>
      </c>
    </row>
    <row r="266" spans="1:16" x14ac:dyDescent="0.25">
      <c r="A266">
        <v>2307</v>
      </c>
      <c r="B266" t="s">
        <v>4627</v>
      </c>
      <c r="C266">
        <v>37.196104335000001</v>
      </c>
      <c r="D266">
        <v>-7.0027789739599999</v>
      </c>
      <c r="E266">
        <v>2</v>
      </c>
      <c r="F266">
        <v>3</v>
      </c>
      <c r="G266">
        <v>3</v>
      </c>
      <c r="J266" t="s">
        <v>15</v>
      </c>
      <c r="K266">
        <v>3</v>
      </c>
      <c r="L266">
        <v>2.1379999999999999</v>
      </c>
      <c r="M266">
        <v>1</v>
      </c>
      <c r="N266" t="s">
        <v>10018</v>
      </c>
      <c r="O266" t="str">
        <f>HYPERLINK("3\1\marker_968_946529.png", "Ver Imagen")</f>
        <v>Ver Imagen</v>
      </c>
      <c r="P266" t="str">
        <f>HYPERLINK("SE\A-5050\A-5050__118.png", "Ver Imagen")</f>
        <v>Ver Imagen</v>
      </c>
    </row>
    <row r="267" spans="1:16" x14ac:dyDescent="0.25">
      <c r="A267">
        <v>2308</v>
      </c>
      <c r="B267" t="s">
        <v>4629</v>
      </c>
      <c r="C267">
        <v>37.196403212699998</v>
      </c>
      <c r="D267">
        <v>-7.0034521994999999</v>
      </c>
      <c r="E267">
        <v>2</v>
      </c>
      <c r="F267">
        <v>3</v>
      </c>
      <c r="G267">
        <v>3</v>
      </c>
      <c r="J267" t="s">
        <v>15</v>
      </c>
      <c r="K267">
        <v>3</v>
      </c>
      <c r="L267">
        <v>2.161</v>
      </c>
      <c r="M267">
        <v>1</v>
      </c>
      <c r="N267" t="s">
        <v>10017</v>
      </c>
      <c r="O267" t="str">
        <f>HYPERLINK("3\1\marker_723_946566.png", "Ver Imagen")</f>
        <v>Ver Imagen</v>
      </c>
      <c r="P267" t="str">
        <f>HYPERLINK("SE\A-5050\A-5050__115.png", "Ver Imagen")</f>
        <v>Ver Imagen</v>
      </c>
    </row>
    <row r="268" spans="1:16" x14ac:dyDescent="0.25">
      <c r="A268">
        <v>2309</v>
      </c>
      <c r="B268" t="s">
        <v>4631</v>
      </c>
      <c r="C268">
        <v>37.1964859805</v>
      </c>
      <c r="D268">
        <v>-7.00365134824</v>
      </c>
      <c r="E268">
        <v>2</v>
      </c>
      <c r="F268">
        <v>3</v>
      </c>
      <c r="G268">
        <v>3</v>
      </c>
      <c r="J268" t="s">
        <v>15</v>
      </c>
      <c r="K268">
        <v>3</v>
      </c>
      <c r="L268">
        <v>2.15</v>
      </c>
      <c r="M268">
        <v>1</v>
      </c>
      <c r="N268" t="s">
        <v>10018</v>
      </c>
      <c r="O268" t="str">
        <f>HYPERLINK("3\1\marker_176_946582.png", "Ver Imagen")</f>
        <v>Ver Imagen</v>
      </c>
      <c r="P268" t="str">
        <f>HYPERLINK("SE\A-5050\A-5050__114.png", "Ver Imagen")</f>
        <v>Ver Imagen</v>
      </c>
    </row>
    <row r="269" spans="1:16" x14ac:dyDescent="0.25">
      <c r="A269">
        <v>2310</v>
      </c>
      <c r="B269" t="s">
        <v>4633</v>
      </c>
      <c r="C269">
        <v>37.196583269900003</v>
      </c>
      <c r="D269">
        <v>-7.0038902692700002</v>
      </c>
      <c r="E269">
        <v>2</v>
      </c>
      <c r="F269">
        <v>3</v>
      </c>
      <c r="G269">
        <v>3</v>
      </c>
      <c r="J269" t="s">
        <v>15</v>
      </c>
      <c r="K269">
        <v>3</v>
      </c>
      <c r="L269">
        <v>2.2890000000000001</v>
      </c>
      <c r="M269">
        <v>1</v>
      </c>
      <c r="N269" t="s">
        <v>10017</v>
      </c>
      <c r="O269" t="str">
        <f>HYPERLINK("3\1\marker_717_946611.png", "Ver Imagen")</f>
        <v>Ver Imagen</v>
      </c>
      <c r="P269" t="str">
        <f>HYPERLINK("SE\A-5050\A-5050__113.png", "Ver Imagen")</f>
        <v>Ver Imagen</v>
      </c>
    </row>
    <row r="270" spans="1:16" x14ac:dyDescent="0.25">
      <c r="A270">
        <v>2312</v>
      </c>
      <c r="B270" t="s">
        <v>4637</v>
      </c>
      <c r="C270">
        <v>37.196841898499997</v>
      </c>
      <c r="D270">
        <v>-7.0045486910100001</v>
      </c>
      <c r="E270">
        <v>2</v>
      </c>
      <c r="F270">
        <v>3</v>
      </c>
      <c r="G270">
        <v>3</v>
      </c>
      <c r="J270" t="s">
        <v>15</v>
      </c>
      <c r="K270">
        <v>3</v>
      </c>
      <c r="L270">
        <v>2.1280000000000001</v>
      </c>
      <c r="M270">
        <v>1</v>
      </c>
      <c r="N270" t="s">
        <v>10019</v>
      </c>
      <c r="O270" t="str">
        <f>HYPERLINK("3\1\marker_256_946664.png", "Ver Imagen")</f>
        <v>Ver Imagen</v>
      </c>
      <c r="P270" t="str">
        <f>HYPERLINK("SE\A-5050\A-5050__110.png", "Ver Imagen")</f>
        <v>Ver Imagen</v>
      </c>
    </row>
    <row r="271" spans="1:16" x14ac:dyDescent="0.25">
      <c r="A271">
        <v>2313</v>
      </c>
      <c r="B271" t="s">
        <v>4639</v>
      </c>
      <c r="C271">
        <v>37.196947717500002</v>
      </c>
      <c r="D271">
        <v>-7.00481426199</v>
      </c>
      <c r="E271">
        <v>2</v>
      </c>
      <c r="F271">
        <v>3</v>
      </c>
      <c r="G271">
        <v>3</v>
      </c>
      <c r="J271" t="s">
        <v>15</v>
      </c>
      <c r="K271">
        <v>3</v>
      </c>
      <c r="L271">
        <v>2.343</v>
      </c>
      <c r="M271">
        <v>1</v>
      </c>
      <c r="N271" t="s">
        <v>10019</v>
      </c>
      <c r="O271" t="str">
        <f>HYPERLINK("3\1\marker_586_946674.png", "Ver Imagen")</f>
        <v>Ver Imagen</v>
      </c>
      <c r="P271" t="str">
        <f>HYPERLINK("SE\A-5050\A-5050__109.png", "Ver Imagen")</f>
        <v>Ver Imagen</v>
      </c>
    </row>
    <row r="272" spans="1:16" x14ac:dyDescent="0.25">
      <c r="A272">
        <v>2345</v>
      </c>
      <c r="B272" t="s">
        <v>4703</v>
      </c>
      <c r="C272">
        <v>37.203698002300001</v>
      </c>
      <c r="D272">
        <v>-7.0164234691100003</v>
      </c>
      <c r="E272">
        <v>2</v>
      </c>
      <c r="F272">
        <v>3</v>
      </c>
      <c r="G272">
        <v>3</v>
      </c>
      <c r="J272" t="s">
        <v>15</v>
      </c>
      <c r="K272">
        <v>3</v>
      </c>
      <c r="L272">
        <v>3.6080000000000001</v>
      </c>
      <c r="M272">
        <v>1</v>
      </c>
      <c r="N272" t="s">
        <v>10019</v>
      </c>
      <c r="O272" t="str">
        <f>HYPERLINK("3\1\marker_979_949137.png", "Ver Imagen")</f>
        <v>Ver Imagen</v>
      </c>
      <c r="P272" t="str">
        <f>HYPERLINK("SE\A-5050\A-5050__52.png", "Ver Imagen")</f>
        <v>Ver Imagen</v>
      </c>
    </row>
    <row r="273" spans="1:16" x14ac:dyDescent="0.25">
      <c r="A273">
        <v>2355</v>
      </c>
      <c r="B273" t="s">
        <v>4723</v>
      </c>
      <c r="C273">
        <v>37.208567148699998</v>
      </c>
      <c r="D273">
        <v>-7.0254393545299996</v>
      </c>
      <c r="E273">
        <v>2</v>
      </c>
      <c r="F273">
        <v>3</v>
      </c>
      <c r="G273">
        <v>3</v>
      </c>
      <c r="J273" t="s">
        <v>15</v>
      </c>
      <c r="K273">
        <v>3</v>
      </c>
      <c r="L273">
        <v>2.456</v>
      </c>
      <c r="M273">
        <v>1</v>
      </c>
      <c r="N273" t="s">
        <v>10018</v>
      </c>
      <c r="O273" t="str">
        <f>HYPERLINK("3\1\marker_301_949628.png", "Ver Imagen")</f>
        <v>Ver Imagen</v>
      </c>
      <c r="P273" t="str">
        <f>HYPERLINK("SE\A-5050\A-5050__8.png", "Ver Imagen")</f>
        <v>Ver Imagen</v>
      </c>
    </row>
    <row r="274" spans="1:16" x14ac:dyDescent="0.25">
      <c r="A274">
        <v>2370</v>
      </c>
      <c r="B274" t="s">
        <v>4753</v>
      </c>
      <c r="C274">
        <v>37.211480896200001</v>
      </c>
      <c r="D274">
        <v>-7.0575488268699997</v>
      </c>
      <c r="E274">
        <v>2</v>
      </c>
      <c r="F274">
        <v>3</v>
      </c>
      <c r="G274">
        <v>3</v>
      </c>
      <c r="J274" t="s">
        <v>15</v>
      </c>
      <c r="K274">
        <v>3</v>
      </c>
      <c r="L274">
        <v>2.0819999999999999</v>
      </c>
      <c r="M274">
        <v>1</v>
      </c>
      <c r="N274" t="s">
        <v>10017</v>
      </c>
      <c r="O274" t="str">
        <f>HYPERLINK("3\1\marker_936_960390.png", "Ver Imagen")</f>
        <v>Ver Imagen</v>
      </c>
      <c r="P274" t="str">
        <f>HYPERLINK("SE\A-5052\A-5052__276.png", "Ver Imagen")</f>
        <v>Ver Imagen</v>
      </c>
    </row>
    <row r="275" spans="1:16" x14ac:dyDescent="0.25">
      <c r="A275">
        <v>2375</v>
      </c>
      <c r="B275" t="s">
        <v>4763</v>
      </c>
      <c r="C275">
        <v>37.211200071999997</v>
      </c>
      <c r="D275">
        <v>-7.0503761051599998</v>
      </c>
      <c r="E275">
        <v>2</v>
      </c>
      <c r="F275">
        <v>3</v>
      </c>
      <c r="G275">
        <v>3</v>
      </c>
      <c r="J275" t="s">
        <v>15</v>
      </c>
      <c r="K275">
        <v>3</v>
      </c>
      <c r="L275">
        <v>3.8330000000000002</v>
      </c>
      <c r="M275">
        <v>1</v>
      </c>
      <c r="N275" t="s">
        <v>10017</v>
      </c>
      <c r="O275" t="str">
        <f>HYPERLINK("3\1\marker_864_961011.png", "Ver Imagen")</f>
        <v>Ver Imagen</v>
      </c>
      <c r="P275" t="str">
        <f>HYPERLINK("SE\A-5052\A-5052__305.png", "Ver Imagen")</f>
        <v>Ver Imagen</v>
      </c>
    </row>
    <row r="276" spans="1:16" x14ac:dyDescent="0.25">
      <c r="A276">
        <v>2377</v>
      </c>
      <c r="B276" t="s">
        <v>4767</v>
      </c>
      <c r="C276">
        <v>37.211733865200003</v>
      </c>
      <c r="D276">
        <v>-7.0477027998899997</v>
      </c>
      <c r="E276">
        <v>2</v>
      </c>
      <c r="F276">
        <v>3</v>
      </c>
      <c r="G276">
        <v>3</v>
      </c>
      <c r="J276" t="s">
        <v>15</v>
      </c>
      <c r="K276">
        <v>3</v>
      </c>
      <c r="L276">
        <v>2.4319999999999999</v>
      </c>
      <c r="M276">
        <v>1</v>
      </c>
      <c r="N276" t="s">
        <v>10017</v>
      </c>
      <c r="O276" t="str">
        <f>HYPERLINK("3\1\marker_438_961193.png", "Ver Imagen")</f>
        <v>Ver Imagen</v>
      </c>
      <c r="P276" t="str">
        <f>HYPERLINK("SE\A-5052\A-5052__316.png", "Ver Imagen")</f>
        <v>Ver Imagen</v>
      </c>
    </row>
    <row r="277" spans="1:16" x14ac:dyDescent="0.25">
      <c r="A277">
        <v>2395</v>
      </c>
      <c r="B277" t="s">
        <v>4803</v>
      </c>
      <c r="C277">
        <v>37.200923971800002</v>
      </c>
      <c r="D277">
        <v>-7.01810042339</v>
      </c>
      <c r="E277">
        <v>2</v>
      </c>
      <c r="F277">
        <v>3</v>
      </c>
      <c r="G277">
        <v>3</v>
      </c>
      <c r="J277" t="s">
        <v>15</v>
      </c>
      <c r="K277">
        <v>3</v>
      </c>
      <c r="L277">
        <v>2.206</v>
      </c>
      <c r="M277">
        <v>1</v>
      </c>
      <c r="N277" t="s">
        <v>10017</v>
      </c>
      <c r="O277" t="str">
        <f>HYPERLINK("3\1\marker_564_963128.png", "Ver Imagen")</f>
        <v>Ver Imagen</v>
      </c>
      <c r="P277" t="str">
        <f>HYPERLINK("SE\A-5052\A-5052__445.png", "Ver Imagen")</f>
        <v>Ver Imagen</v>
      </c>
    </row>
    <row r="278" spans="1:16" x14ac:dyDescent="0.25">
      <c r="A278">
        <v>2399</v>
      </c>
      <c r="B278" t="s">
        <v>4811</v>
      </c>
      <c r="C278">
        <v>37.197861522899998</v>
      </c>
      <c r="D278">
        <v>-7.0101470293199997</v>
      </c>
      <c r="E278">
        <v>2</v>
      </c>
      <c r="F278">
        <v>3</v>
      </c>
      <c r="G278">
        <v>3</v>
      </c>
      <c r="J278" t="s">
        <v>15</v>
      </c>
      <c r="K278">
        <v>3</v>
      </c>
      <c r="L278">
        <v>2.194</v>
      </c>
      <c r="M278">
        <v>1</v>
      </c>
      <c r="N278" t="s">
        <v>10018</v>
      </c>
      <c r="O278" t="str">
        <f>HYPERLINK("3\1\marker_346_963491.png", "Ver Imagen")</f>
        <v>Ver Imagen</v>
      </c>
      <c r="P278" t="str">
        <f>HYPERLINK("SE\A-5052\A-5052__480.png", "Ver Imagen")</f>
        <v>Ver Imagen</v>
      </c>
    </row>
    <row r="279" spans="1:16" x14ac:dyDescent="0.25">
      <c r="A279">
        <v>2412</v>
      </c>
      <c r="B279" t="s">
        <v>4837</v>
      </c>
      <c r="C279">
        <v>37.259618879199998</v>
      </c>
      <c r="D279">
        <v>-7.1288490309899997</v>
      </c>
      <c r="E279">
        <v>2</v>
      </c>
      <c r="F279">
        <v>3</v>
      </c>
      <c r="G279">
        <v>3</v>
      </c>
      <c r="J279" t="s">
        <v>15</v>
      </c>
      <c r="K279">
        <v>3</v>
      </c>
      <c r="L279">
        <v>2.1309999999999998</v>
      </c>
      <c r="M279">
        <v>1</v>
      </c>
      <c r="N279" t="s">
        <v>10018</v>
      </c>
      <c r="O279" t="str">
        <f>HYPERLINK("3\1\marker_445_965834.png", "Ver Imagen")</f>
        <v>Ver Imagen</v>
      </c>
      <c r="P279" t="str">
        <f>HYPERLINK("SO\A-5053\A-5053__206.png", "Ver Imagen")</f>
        <v>Ver Imagen</v>
      </c>
    </row>
    <row r="280" spans="1:16" x14ac:dyDescent="0.25">
      <c r="A280">
        <v>2425</v>
      </c>
      <c r="B280" t="s">
        <v>4863</v>
      </c>
      <c r="C280">
        <v>37.437614224699999</v>
      </c>
      <c r="D280">
        <v>-7.0816027455199997</v>
      </c>
      <c r="E280">
        <v>2</v>
      </c>
      <c r="F280">
        <v>3</v>
      </c>
      <c r="G280">
        <v>3</v>
      </c>
      <c r="J280" t="s">
        <v>15</v>
      </c>
      <c r="K280">
        <v>3</v>
      </c>
      <c r="L280">
        <v>2.19</v>
      </c>
      <c r="M280">
        <v>1</v>
      </c>
      <c r="N280" t="s">
        <v>10018</v>
      </c>
      <c r="O280" t="str">
        <f>HYPERLINK("3\1\marker_104_381953.png", "Ver Imagen")</f>
        <v>Ver Imagen</v>
      </c>
      <c r="P280" t="str">
        <f>HYPERLINK("NE\A-495\A-495__82.png", "Ver Imagen")</f>
        <v>Ver Imagen</v>
      </c>
    </row>
    <row r="281" spans="1:16" x14ac:dyDescent="0.25">
      <c r="A281">
        <v>2435</v>
      </c>
      <c r="B281" t="s">
        <v>4883</v>
      </c>
      <c r="C281">
        <v>37.434299918299999</v>
      </c>
      <c r="D281">
        <v>-7.0678640703099997</v>
      </c>
      <c r="E281">
        <v>2</v>
      </c>
      <c r="F281">
        <v>3</v>
      </c>
      <c r="G281">
        <v>3</v>
      </c>
      <c r="J281" t="s">
        <v>15</v>
      </c>
      <c r="K281">
        <v>3</v>
      </c>
      <c r="L281">
        <v>1.99</v>
      </c>
      <c r="M281">
        <v>1</v>
      </c>
      <c r="N281" t="s">
        <v>10017</v>
      </c>
      <c r="O281" t="str">
        <f>HYPERLINK("3\1\marker_731_382588.png", "Ver Imagen")</f>
        <v>Ver Imagen</v>
      </c>
      <c r="P281" t="str">
        <f>HYPERLINK("NE\A-495\A-495__141.png", "Ver Imagen")</f>
        <v>Ver Imagen</v>
      </c>
    </row>
    <row r="282" spans="1:16" x14ac:dyDescent="0.25">
      <c r="A282">
        <v>2436</v>
      </c>
      <c r="B282" t="s">
        <v>4885</v>
      </c>
      <c r="C282">
        <v>37.434226156100003</v>
      </c>
      <c r="D282">
        <v>-7.0676985030899999</v>
      </c>
      <c r="E282">
        <v>2</v>
      </c>
      <c r="F282">
        <v>3</v>
      </c>
      <c r="G282">
        <v>3</v>
      </c>
      <c r="J282" t="s">
        <v>15</v>
      </c>
      <c r="K282">
        <v>3</v>
      </c>
      <c r="L282">
        <v>2.073</v>
      </c>
      <c r="M282">
        <v>1</v>
      </c>
      <c r="N282" t="s">
        <v>10017</v>
      </c>
      <c r="O282" t="str">
        <f>HYPERLINK("3\1\marker_647_382597.png", "Ver Imagen")</f>
        <v>Ver Imagen</v>
      </c>
      <c r="P282" t="str">
        <f>HYPERLINK("NE\A-495\A-495__142.png", "Ver Imagen")</f>
        <v>Ver Imagen</v>
      </c>
    </row>
    <row r="283" spans="1:16" x14ac:dyDescent="0.25">
      <c r="A283">
        <v>2438</v>
      </c>
      <c r="B283" t="s">
        <v>4889</v>
      </c>
      <c r="C283">
        <v>37.433591469900001</v>
      </c>
      <c r="D283">
        <v>-7.0663119868999997</v>
      </c>
      <c r="E283">
        <v>3</v>
      </c>
      <c r="F283">
        <v>3</v>
      </c>
      <c r="G283">
        <v>2</v>
      </c>
      <c r="J283" t="s">
        <v>15</v>
      </c>
      <c r="K283">
        <v>3</v>
      </c>
      <c r="L283">
        <v>2.157</v>
      </c>
      <c r="M283">
        <v>1</v>
      </c>
      <c r="N283" t="s">
        <v>10018</v>
      </c>
      <c r="O283" t="str">
        <f>HYPERLINK("3\1\marker_564_382664.png", "Ver Imagen")</f>
        <v>Ver Imagen</v>
      </c>
      <c r="P283" t="str">
        <f>HYPERLINK("NE\A-495\A-495__148.png", "Ver Imagen")</f>
        <v>Ver Imagen</v>
      </c>
    </row>
    <row r="284" spans="1:16" x14ac:dyDescent="0.25">
      <c r="A284">
        <v>2440</v>
      </c>
      <c r="B284" t="s">
        <v>4893</v>
      </c>
      <c r="C284">
        <v>37.4334219546</v>
      </c>
      <c r="D284">
        <v>-7.0659393671600004</v>
      </c>
      <c r="E284">
        <v>3</v>
      </c>
      <c r="F284">
        <v>3</v>
      </c>
      <c r="G284">
        <v>2</v>
      </c>
      <c r="J284" t="s">
        <v>15</v>
      </c>
      <c r="K284">
        <v>3</v>
      </c>
      <c r="L284">
        <v>2.4300000000000002</v>
      </c>
      <c r="M284">
        <v>1</v>
      </c>
      <c r="N284" t="s">
        <v>10019</v>
      </c>
      <c r="O284" t="str">
        <f>HYPERLINK("3\1\marker_558_382684.png", "Ver Imagen")</f>
        <v>Ver Imagen</v>
      </c>
      <c r="P284" t="str">
        <f>HYPERLINK("NE\A-495\A-495__150.png", "Ver Imagen")</f>
        <v>Ver Imagen</v>
      </c>
    </row>
    <row r="285" spans="1:16" x14ac:dyDescent="0.25">
      <c r="A285">
        <v>2441</v>
      </c>
      <c r="B285" t="s">
        <v>4895</v>
      </c>
      <c r="C285">
        <v>37.232127153</v>
      </c>
      <c r="D285">
        <v>-7.0642571174000004</v>
      </c>
      <c r="E285">
        <v>3</v>
      </c>
      <c r="F285">
        <v>3</v>
      </c>
      <c r="G285">
        <v>2</v>
      </c>
      <c r="J285" t="s">
        <v>15</v>
      </c>
      <c r="K285">
        <v>3</v>
      </c>
      <c r="L285">
        <v>2.3759999999999999</v>
      </c>
      <c r="M285">
        <v>1</v>
      </c>
      <c r="N285" t="s">
        <v>10017</v>
      </c>
      <c r="O285" t="str">
        <f>HYPERLINK("3\1\marker_829_379562.png", "Ver Imagen")</f>
        <v>Ver Imagen</v>
      </c>
      <c r="P285" t="str">
        <f>HYPERLINK("SE\A-5059\A-5059__12.png", "Ver Imagen")</f>
        <v>Ver Imagen</v>
      </c>
    </row>
    <row r="286" spans="1:16" x14ac:dyDescent="0.25">
      <c r="A286">
        <v>2444</v>
      </c>
      <c r="B286" t="s">
        <v>4901</v>
      </c>
      <c r="C286">
        <v>37.225237720099997</v>
      </c>
      <c r="D286">
        <v>-7.0275018708900001</v>
      </c>
      <c r="E286">
        <v>3</v>
      </c>
      <c r="F286">
        <v>3</v>
      </c>
      <c r="G286">
        <v>2</v>
      </c>
      <c r="J286" t="s">
        <v>15</v>
      </c>
      <c r="K286">
        <v>3</v>
      </c>
      <c r="L286">
        <v>2.44</v>
      </c>
      <c r="M286">
        <v>1</v>
      </c>
      <c r="N286" t="s">
        <v>10019</v>
      </c>
      <c r="O286" t="str">
        <f>HYPERLINK("3\1\marker_937_379787.png", "Ver Imagen")</f>
        <v>Ver Imagen</v>
      </c>
      <c r="P286" t="str">
        <f>HYPERLINK("SE\A-5058\A-5058__1.png", "Ver Imagen")</f>
        <v>Ver Imagen</v>
      </c>
    </row>
    <row r="287" spans="1:16" x14ac:dyDescent="0.25">
      <c r="A287">
        <v>2446</v>
      </c>
      <c r="B287" t="s">
        <v>4905</v>
      </c>
      <c r="C287">
        <v>37.225347874800001</v>
      </c>
      <c r="D287">
        <v>-7.0297660295300002</v>
      </c>
      <c r="E287">
        <v>3</v>
      </c>
      <c r="F287">
        <v>3</v>
      </c>
      <c r="G287">
        <v>2</v>
      </c>
      <c r="J287" t="s">
        <v>15</v>
      </c>
      <c r="K287">
        <v>3</v>
      </c>
      <c r="L287">
        <v>2.2429999999999999</v>
      </c>
      <c r="M287">
        <v>1</v>
      </c>
      <c r="N287" t="s">
        <v>10017</v>
      </c>
      <c r="O287" t="str">
        <f>HYPERLINK("3\1\marker_838_379909.png", "Ver Imagen")</f>
        <v>Ver Imagen</v>
      </c>
      <c r="P287" t="str">
        <f>HYPERLINK("SE\A-5058\A-5058__10.png", "Ver Imagen")</f>
        <v>Ver Imagen</v>
      </c>
    </row>
    <row r="288" spans="1:16" x14ac:dyDescent="0.25">
      <c r="A288">
        <v>2453</v>
      </c>
      <c r="B288" t="s">
        <v>4919</v>
      </c>
      <c r="C288">
        <v>37.229014693800003</v>
      </c>
      <c r="D288">
        <v>-7.0470686879900004</v>
      </c>
      <c r="E288">
        <v>2</v>
      </c>
      <c r="F288">
        <v>3</v>
      </c>
      <c r="G288">
        <v>3</v>
      </c>
      <c r="J288" t="s">
        <v>15</v>
      </c>
      <c r="K288">
        <v>3</v>
      </c>
      <c r="L288">
        <v>2.34</v>
      </c>
      <c r="M288">
        <v>1</v>
      </c>
      <c r="N288" t="s">
        <v>10018</v>
      </c>
      <c r="O288" t="str">
        <f>HYPERLINK("3\1\marker_818_380954.png", "Ver Imagen")</f>
        <v>Ver Imagen</v>
      </c>
      <c r="P288" t="str">
        <f>HYPERLINK("SE\A-5058\A-5058__87.png", "Ver Imagen")</f>
        <v>Ver Imagen</v>
      </c>
    </row>
    <row r="289" spans="1:16" x14ac:dyDescent="0.25">
      <c r="A289">
        <v>2466</v>
      </c>
      <c r="B289" t="s">
        <v>4945</v>
      </c>
      <c r="C289">
        <v>37.501340797899999</v>
      </c>
      <c r="D289">
        <v>-7.2666439265299996</v>
      </c>
      <c r="E289">
        <v>2</v>
      </c>
      <c r="F289">
        <v>3</v>
      </c>
      <c r="G289">
        <v>3</v>
      </c>
      <c r="J289" t="s">
        <v>15</v>
      </c>
      <c r="K289">
        <v>3</v>
      </c>
      <c r="L289">
        <v>3.972</v>
      </c>
      <c r="M289">
        <v>1</v>
      </c>
      <c r="N289" t="s">
        <v>10019</v>
      </c>
      <c r="O289" t="str">
        <f>HYPERLINK("3\1\marker_401_793446.png", "Ver Imagen")</f>
        <v>Ver Imagen</v>
      </c>
      <c r="P289" t="str">
        <f>HYPERLINK("NO\A-499\A-499__113.png", "Ver Imagen")</f>
        <v>Ver Imagen</v>
      </c>
    </row>
    <row r="290" spans="1:16" x14ac:dyDescent="0.25">
      <c r="A290">
        <v>2467</v>
      </c>
      <c r="B290" t="s">
        <v>4947</v>
      </c>
      <c r="C290">
        <v>37.501547986200002</v>
      </c>
      <c r="D290">
        <v>-7.2665731719600002</v>
      </c>
      <c r="E290">
        <v>3</v>
      </c>
      <c r="F290">
        <v>3</v>
      </c>
      <c r="G290">
        <v>2</v>
      </c>
      <c r="J290" t="s">
        <v>15</v>
      </c>
      <c r="K290">
        <v>3</v>
      </c>
      <c r="L290">
        <v>3.6560000000000001</v>
      </c>
      <c r="M290">
        <v>1</v>
      </c>
      <c r="N290" t="s">
        <v>10019</v>
      </c>
      <c r="O290" t="str">
        <f>HYPERLINK("3\1\marker_816_793463.png", "Ver Imagen")</f>
        <v>Ver Imagen</v>
      </c>
      <c r="P290" t="str">
        <f>HYPERLINK("NO\A-499\A-499__114.png", "Ver Imagen")</f>
        <v>Ver Imagen</v>
      </c>
    </row>
    <row r="291" spans="1:16" x14ac:dyDescent="0.25">
      <c r="A291">
        <v>2470</v>
      </c>
      <c r="B291" t="s">
        <v>4953</v>
      </c>
      <c r="C291">
        <v>37.507032009900001</v>
      </c>
      <c r="D291">
        <v>-7.2656124791199996</v>
      </c>
      <c r="E291">
        <v>2</v>
      </c>
      <c r="F291">
        <v>3</v>
      </c>
      <c r="G291">
        <v>3</v>
      </c>
      <c r="J291" t="s">
        <v>15</v>
      </c>
      <c r="K291">
        <v>3</v>
      </c>
      <c r="L291">
        <v>1.698</v>
      </c>
      <c r="M291">
        <v>1</v>
      </c>
      <c r="N291" t="s">
        <v>10017</v>
      </c>
      <c r="O291" t="str">
        <f>HYPERLINK("3\1\marker_947_794112.png", "Ver Imagen")</f>
        <v>Ver Imagen</v>
      </c>
      <c r="P291" t="str">
        <f>HYPERLINK("NO\A-499\A-499__142.png", "Ver Imagen")</f>
        <v>Ver Imagen</v>
      </c>
    </row>
    <row r="292" spans="1:16" x14ac:dyDescent="0.25">
      <c r="A292">
        <v>2473</v>
      </c>
      <c r="B292" t="s">
        <v>4959</v>
      </c>
      <c r="C292">
        <v>37.523470819099998</v>
      </c>
      <c r="D292">
        <v>-7.2589446938600002</v>
      </c>
      <c r="E292">
        <v>2</v>
      </c>
      <c r="F292">
        <v>3</v>
      </c>
      <c r="G292">
        <v>3</v>
      </c>
      <c r="J292" t="s">
        <v>15</v>
      </c>
      <c r="K292">
        <v>3</v>
      </c>
      <c r="L292">
        <v>2.028</v>
      </c>
      <c r="M292">
        <v>1</v>
      </c>
      <c r="N292" t="s">
        <v>10018</v>
      </c>
      <c r="O292" t="str">
        <f>HYPERLINK("3\1\marker_784_796905.png", "Ver Imagen")</f>
        <v>Ver Imagen</v>
      </c>
      <c r="P292" t="str">
        <f>HYPERLINK("NO\A-499\A-499__243.png", "Ver Imagen")</f>
        <v>Ver Imagen</v>
      </c>
    </row>
    <row r="293" spans="1:16" x14ac:dyDescent="0.25">
      <c r="A293">
        <v>2486</v>
      </c>
      <c r="B293" t="s">
        <v>4985</v>
      </c>
      <c r="C293">
        <v>37.2649299363</v>
      </c>
      <c r="D293">
        <v>-6.9986274180299999</v>
      </c>
      <c r="E293">
        <v>2</v>
      </c>
      <c r="F293">
        <v>3</v>
      </c>
      <c r="G293">
        <v>3</v>
      </c>
      <c r="J293" t="s">
        <v>15</v>
      </c>
      <c r="K293">
        <v>3</v>
      </c>
      <c r="L293">
        <v>2.4180000000000001</v>
      </c>
      <c r="M293">
        <v>1</v>
      </c>
      <c r="N293" t="s">
        <v>10018</v>
      </c>
      <c r="O293" t="str">
        <f>HYPERLINK("3\1\marker_378_379553.png", "Ver Imagen")</f>
        <v>Ver Imagen</v>
      </c>
      <c r="P293" t="str">
        <f>HYPERLINK("SE\A-497\A-497__187.png", "Ver Imagen")</f>
        <v>Ver Imagen</v>
      </c>
    </row>
    <row r="294" spans="1:16" x14ac:dyDescent="0.25">
      <c r="A294">
        <v>2495</v>
      </c>
      <c r="B294" t="s">
        <v>5003</v>
      </c>
      <c r="C294">
        <v>37.446379677400003</v>
      </c>
      <c r="D294">
        <v>-7.1372080971500003</v>
      </c>
      <c r="E294">
        <v>3</v>
      </c>
      <c r="F294">
        <v>4</v>
      </c>
      <c r="G294">
        <v>3</v>
      </c>
      <c r="J294" t="s">
        <v>15</v>
      </c>
      <c r="K294">
        <v>3</v>
      </c>
      <c r="L294">
        <v>3.99</v>
      </c>
      <c r="M294">
        <v>1</v>
      </c>
      <c r="N294" t="s">
        <v>10017</v>
      </c>
      <c r="O294" t="str">
        <f>HYPERLINK("3\1\marker_343_731292.png", "Ver Imagen")</f>
        <v>Ver Imagen</v>
      </c>
      <c r="P294" t="str">
        <f>HYPERLINK("NE\A-490\A-490__44.png", "Ver Imagen")</f>
        <v>Ver Imagen</v>
      </c>
    </row>
    <row r="295" spans="1:16" x14ac:dyDescent="0.25">
      <c r="A295">
        <v>2496</v>
      </c>
      <c r="B295" t="s">
        <v>5005</v>
      </c>
      <c r="C295">
        <v>37.446441489900003</v>
      </c>
      <c r="D295">
        <v>-7.1374133287300001</v>
      </c>
      <c r="E295">
        <v>2</v>
      </c>
      <c r="F295">
        <v>3</v>
      </c>
      <c r="G295">
        <v>3</v>
      </c>
      <c r="J295" t="s">
        <v>15</v>
      </c>
      <c r="K295">
        <v>3</v>
      </c>
      <c r="L295">
        <v>3.6880000000000002</v>
      </c>
      <c r="M295">
        <v>1</v>
      </c>
      <c r="N295" t="s">
        <v>10018</v>
      </c>
      <c r="O295" t="str">
        <f>HYPERLINK("3\1\marker_761_731313.png", "Ver Imagen")</f>
        <v>Ver Imagen</v>
      </c>
      <c r="P295" t="str">
        <f>HYPERLINK("NE\A-490\A-490__45.png", "Ver Imagen")</f>
        <v>Ver Imagen</v>
      </c>
    </row>
    <row r="296" spans="1:16" x14ac:dyDescent="0.25">
      <c r="A296">
        <v>2517</v>
      </c>
      <c r="B296" t="s">
        <v>5047</v>
      </c>
      <c r="C296">
        <v>37.461217787700001</v>
      </c>
      <c r="D296">
        <v>-7.1738417978499998</v>
      </c>
      <c r="E296">
        <v>2</v>
      </c>
      <c r="F296">
        <v>3</v>
      </c>
      <c r="G296">
        <v>3</v>
      </c>
      <c r="J296" t="s">
        <v>15</v>
      </c>
      <c r="K296">
        <v>3</v>
      </c>
      <c r="L296">
        <v>2.1829999999999998</v>
      </c>
      <c r="M296">
        <v>1</v>
      </c>
      <c r="N296" t="s">
        <v>10019</v>
      </c>
      <c r="O296" t="str">
        <f>HYPERLINK("3\1\marker_377_742718.png", "Ver Imagen")</f>
        <v>Ver Imagen</v>
      </c>
      <c r="P296" t="str">
        <f>HYPERLINK("NE\A-490\A-490__211.png", "Ver Imagen")</f>
        <v>Ver Imagen</v>
      </c>
    </row>
    <row r="297" spans="1:16" x14ac:dyDescent="0.25">
      <c r="A297">
        <v>2527</v>
      </c>
      <c r="B297" t="s">
        <v>5067</v>
      </c>
      <c r="C297">
        <v>37.478735200800003</v>
      </c>
      <c r="D297">
        <v>-7.2074188424900001</v>
      </c>
      <c r="E297">
        <v>2</v>
      </c>
      <c r="F297">
        <v>3</v>
      </c>
      <c r="G297">
        <v>3</v>
      </c>
      <c r="J297" t="s">
        <v>15</v>
      </c>
      <c r="K297">
        <v>3</v>
      </c>
      <c r="L297">
        <v>2.2879999999999998</v>
      </c>
      <c r="M297">
        <v>1</v>
      </c>
      <c r="N297" t="s">
        <v>10018</v>
      </c>
      <c r="O297" t="str">
        <f>HYPERLINK("3\1\marker_913_752081.png", "Ver Imagen")</f>
        <v>Ver Imagen</v>
      </c>
      <c r="P297" t="str">
        <f>HYPERLINK("NO\A-490\A-490__369.png", "Ver Imagen")</f>
        <v>Ver Imagen</v>
      </c>
    </row>
    <row r="298" spans="1:16" x14ac:dyDescent="0.25">
      <c r="A298">
        <v>2531</v>
      </c>
      <c r="B298" t="s">
        <v>5075</v>
      </c>
      <c r="C298">
        <v>37.480241272100002</v>
      </c>
      <c r="D298">
        <v>-7.2109200503800004</v>
      </c>
      <c r="E298">
        <v>2</v>
      </c>
      <c r="F298">
        <v>3</v>
      </c>
      <c r="G298">
        <v>3</v>
      </c>
      <c r="J298" t="s">
        <v>15</v>
      </c>
      <c r="K298">
        <v>3</v>
      </c>
      <c r="L298">
        <v>2.1070000000000002</v>
      </c>
      <c r="M298">
        <v>1</v>
      </c>
      <c r="N298" t="s">
        <v>10017</v>
      </c>
      <c r="O298" t="str">
        <f>HYPERLINK("3\1\marker_597_752447.png", "Ver Imagen")</f>
        <v>Ver Imagen</v>
      </c>
      <c r="P298" t="str">
        <f>HYPERLINK("NO\A-490\A-490__385.png", "Ver Imagen")</f>
        <v>Ver Imagen</v>
      </c>
    </row>
    <row r="299" spans="1:16" x14ac:dyDescent="0.25">
      <c r="A299">
        <v>2533</v>
      </c>
      <c r="B299" t="s">
        <v>5079</v>
      </c>
      <c r="C299">
        <v>37.480641609700001</v>
      </c>
      <c r="D299">
        <v>-7.2118813129900001</v>
      </c>
      <c r="E299">
        <v>2</v>
      </c>
      <c r="F299">
        <v>3</v>
      </c>
      <c r="G299">
        <v>3</v>
      </c>
      <c r="J299" t="s">
        <v>15</v>
      </c>
      <c r="K299">
        <v>3</v>
      </c>
      <c r="L299">
        <v>1.8069999999999999</v>
      </c>
      <c r="M299">
        <v>1</v>
      </c>
      <c r="N299" t="s">
        <v>10017</v>
      </c>
      <c r="O299" t="str">
        <f>HYPERLINK("3\1\marker_766_752511.png", "Ver Imagen")</f>
        <v>Ver Imagen</v>
      </c>
      <c r="P299" t="str">
        <f>HYPERLINK("NO\A-490\A-490__389.png", "Ver Imagen")</f>
        <v>Ver Imagen</v>
      </c>
    </row>
    <row r="300" spans="1:16" x14ac:dyDescent="0.25">
      <c r="A300">
        <v>2534</v>
      </c>
      <c r="B300" t="s">
        <v>5081</v>
      </c>
      <c r="C300">
        <v>37.481249928899999</v>
      </c>
      <c r="D300">
        <v>-7.2135362381499997</v>
      </c>
      <c r="E300">
        <v>2</v>
      </c>
      <c r="F300">
        <v>3</v>
      </c>
      <c r="G300">
        <v>3</v>
      </c>
      <c r="J300" t="s">
        <v>15</v>
      </c>
      <c r="K300">
        <v>3</v>
      </c>
      <c r="L300">
        <v>2.2200000000000002</v>
      </c>
      <c r="M300">
        <v>1</v>
      </c>
      <c r="N300" t="s">
        <v>10017</v>
      </c>
      <c r="O300" t="str">
        <f>HYPERLINK("3\1\marker_349_752931.png", "Ver Imagen")</f>
        <v>Ver Imagen</v>
      </c>
      <c r="P300" t="str">
        <f>HYPERLINK("NO\A-490\A-490__396.png", "Ver Imagen")</f>
        <v>Ver Imagen</v>
      </c>
    </row>
    <row r="301" spans="1:16" x14ac:dyDescent="0.25">
      <c r="A301">
        <v>2536</v>
      </c>
      <c r="B301" t="s">
        <v>5085</v>
      </c>
      <c r="C301">
        <v>37.482520308300003</v>
      </c>
      <c r="D301">
        <v>-7.2177371234600001</v>
      </c>
      <c r="E301">
        <v>2</v>
      </c>
      <c r="F301">
        <v>3</v>
      </c>
      <c r="G301">
        <v>3</v>
      </c>
      <c r="J301" t="s">
        <v>15</v>
      </c>
      <c r="K301">
        <v>3</v>
      </c>
      <c r="L301">
        <v>1.861</v>
      </c>
      <c r="M301">
        <v>1</v>
      </c>
      <c r="N301" t="s">
        <v>10018</v>
      </c>
      <c r="O301" t="str">
        <f>HYPERLINK("3\1\marker_770_754191.png", "Ver Imagen")</f>
        <v>Ver Imagen</v>
      </c>
      <c r="P301" t="str">
        <f>HYPERLINK("NO\A-490\A-490__414.png", "Ver Imagen")</f>
        <v>Ver Imagen</v>
      </c>
    </row>
    <row r="302" spans="1:16" x14ac:dyDescent="0.25">
      <c r="A302">
        <v>2542</v>
      </c>
      <c r="B302" t="s">
        <v>5097</v>
      </c>
      <c r="C302">
        <v>37.484642778400001</v>
      </c>
      <c r="D302">
        <v>-7.2286070990900004</v>
      </c>
      <c r="E302">
        <v>2</v>
      </c>
      <c r="F302">
        <v>3</v>
      </c>
      <c r="G302">
        <v>3</v>
      </c>
      <c r="J302" t="s">
        <v>15</v>
      </c>
      <c r="K302">
        <v>3</v>
      </c>
      <c r="L302">
        <v>1.94</v>
      </c>
      <c r="M302">
        <v>1</v>
      </c>
      <c r="N302" t="s">
        <v>10017</v>
      </c>
      <c r="O302" t="str">
        <f>HYPERLINK("3\1\marker_893_755182.png", "Ver Imagen")</f>
        <v>Ver Imagen</v>
      </c>
      <c r="P302" t="str">
        <f>HYPERLINK("NO\A-490\A-490__458.png", "Ver Imagen")</f>
        <v>Ver Imagen</v>
      </c>
    </row>
    <row r="303" spans="1:16" x14ac:dyDescent="0.25">
      <c r="A303">
        <v>2543</v>
      </c>
      <c r="B303" t="s">
        <v>5099</v>
      </c>
      <c r="C303">
        <v>37.485878375699997</v>
      </c>
      <c r="D303">
        <v>-7.2350491340099996</v>
      </c>
      <c r="E303">
        <v>2</v>
      </c>
      <c r="F303">
        <v>3</v>
      </c>
      <c r="G303">
        <v>3</v>
      </c>
      <c r="J303" t="s">
        <v>15</v>
      </c>
      <c r="K303">
        <v>3</v>
      </c>
      <c r="L303">
        <v>1.7669999999999999</v>
      </c>
      <c r="M303">
        <v>1</v>
      </c>
      <c r="N303" t="s">
        <v>10017</v>
      </c>
      <c r="O303" t="str">
        <f>HYPERLINK("3\1\marker_759_755657.png", "Ver Imagen")</f>
        <v>Ver Imagen</v>
      </c>
      <c r="P303" t="str">
        <f>HYPERLINK("NO\A-490\A-490__484.png", "Ver Imagen")</f>
        <v>Ver Imagen</v>
      </c>
    </row>
    <row r="304" spans="1:16" x14ac:dyDescent="0.25">
      <c r="A304">
        <v>2555</v>
      </c>
      <c r="B304" t="s">
        <v>5123</v>
      </c>
      <c r="C304">
        <v>37.280535169099998</v>
      </c>
      <c r="D304">
        <v>-7.0020060444799999</v>
      </c>
      <c r="E304">
        <v>2</v>
      </c>
      <c r="F304">
        <v>3</v>
      </c>
      <c r="G304">
        <v>3</v>
      </c>
      <c r="J304" t="s">
        <v>15</v>
      </c>
      <c r="K304">
        <v>3</v>
      </c>
      <c r="L304">
        <v>2.3530000000000002</v>
      </c>
      <c r="M304">
        <v>1</v>
      </c>
      <c r="N304" t="s">
        <v>10018</v>
      </c>
      <c r="O304" t="str">
        <f>HYPERLINK("3\1\marker_818_823467.png", "Ver Imagen")</f>
        <v>Ver Imagen</v>
      </c>
      <c r="P304" t="str">
        <f>HYPERLINK("SE\A-492\A-492__78.png", "Ver Imagen")</f>
        <v>Ver Imagen</v>
      </c>
    </row>
    <row r="305" spans="1:16" x14ac:dyDescent="0.25">
      <c r="A305">
        <v>2556</v>
      </c>
      <c r="B305" t="s">
        <v>5125</v>
      </c>
      <c r="C305">
        <v>37.280662171499998</v>
      </c>
      <c r="D305">
        <v>-7.0039811025200001</v>
      </c>
      <c r="E305">
        <v>3</v>
      </c>
      <c r="F305">
        <v>2</v>
      </c>
      <c r="G305">
        <v>3</v>
      </c>
      <c r="J305" t="s">
        <v>15</v>
      </c>
      <c r="K305">
        <v>3</v>
      </c>
      <c r="L305">
        <v>2.2949999999999999</v>
      </c>
      <c r="M305">
        <v>1</v>
      </c>
      <c r="N305" t="s">
        <v>10018</v>
      </c>
      <c r="O305" t="str">
        <f>HYPERLINK("3\1\marker_395_823569.png", "Ver Imagen")</f>
        <v>Ver Imagen</v>
      </c>
      <c r="P305" t="str">
        <f>HYPERLINK("SE\A-492\A-492__86.png", "Ver Imagen")</f>
        <v>Ver Imagen</v>
      </c>
    </row>
    <row r="306" spans="1:16" x14ac:dyDescent="0.25">
      <c r="A306">
        <v>2573</v>
      </c>
      <c r="B306" t="s">
        <v>5159</v>
      </c>
      <c r="C306">
        <v>37.276086768399999</v>
      </c>
      <c r="D306">
        <v>-7.0222580617399997</v>
      </c>
      <c r="E306">
        <v>2</v>
      </c>
      <c r="F306">
        <v>3</v>
      </c>
      <c r="G306">
        <v>3</v>
      </c>
      <c r="J306" t="s">
        <v>15</v>
      </c>
      <c r="K306">
        <v>3</v>
      </c>
      <c r="L306">
        <v>2.38</v>
      </c>
      <c r="M306">
        <v>1</v>
      </c>
      <c r="N306" t="s">
        <v>10018</v>
      </c>
      <c r="O306" t="str">
        <f>HYPERLINK("3\1\marker_496_831393.png", "Ver Imagen")</f>
        <v>Ver Imagen</v>
      </c>
      <c r="P306" t="str">
        <f>HYPERLINK("SE\A-492\A-492__166.png", "Ver Imagen")</f>
        <v>Ver Imagen</v>
      </c>
    </row>
    <row r="307" spans="1:16" x14ac:dyDescent="0.25">
      <c r="A307">
        <v>2574</v>
      </c>
      <c r="B307" t="s">
        <v>5161</v>
      </c>
      <c r="C307">
        <v>37.284798289800001</v>
      </c>
      <c r="D307">
        <v>-7.03971221781</v>
      </c>
      <c r="E307">
        <v>3</v>
      </c>
      <c r="F307">
        <v>4</v>
      </c>
      <c r="G307">
        <v>3</v>
      </c>
      <c r="J307" t="s">
        <v>15</v>
      </c>
      <c r="K307">
        <v>3</v>
      </c>
      <c r="L307">
        <v>2.31</v>
      </c>
      <c r="M307">
        <v>1</v>
      </c>
      <c r="N307" t="s">
        <v>10017</v>
      </c>
      <c r="O307" t="str">
        <f>HYPERLINK("3\1\marker_991_836163.png", "Ver Imagen")</f>
        <v>Ver Imagen</v>
      </c>
      <c r="P307" t="str">
        <f>HYPERLINK("SE\A-492\A-492__254.png", "Ver Imagen")</f>
        <v>Ver Imagen</v>
      </c>
    </row>
    <row r="308" spans="1:16" x14ac:dyDescent="0.25">
      <c r="A308">
        <v>2575</v>
      </c>
      <c r="B308" t="s">
        <v>5163</v>
      </c>
      <c r="C308">
        <v>37.287678450900003</v>
      </c>
      <c r="D308">
        <v>-7.0422729749100004</v>
      </c>
      <c r="E308">
        <v>3</v>
      </c>
      <c r="F308">
        <v>3</v>
      </c>
      <c r="G308">
        <v>4</v>
      </c>
      <c r="J308" t="s">
        <v>15</v>
      </c>
      <c r="K308">
        <v>3</v>
      </c>
      <c r="L308">
        <v>2.4129999999999998</v>
      </c>
      <c r="M308">
        <v>1</v>
      </c>
      <c r="N308" t="s">
        <v>10017</v>
      </c>
      <c r="O308" t="str">
        <f>HYPERLINK("3\1\marker_315_836812.png", "Ver Imagen")</f>
        <v>Ver Imagen</v>
      </c>
      <c r="P308" t="str">
        <f>HYPERLINK("SE\A-492\A-492__272.png", "Ver Imagen")</f>
        <v>Ver Imagen</v>
      </c>
    </row>
    <row r="309" spans="1:16" x14ac:dyDescent="0.25">
      <c r="A309">
        <v>2581</v>
      </c>
      <c r="B309" t="s">
        <v>5175</v>
      </c>
      <c r="C309">
        <v>37.311452316599997</v>
      </c>
      <c r="D309">
        <v>-7.0595034301000004</v>
      </c>
      <c r="E309">
        <v>3</v>
      </c>
      <c r="F309">
        <v>2</v>
      </c>
      <c r="G309">
        <v>3</v>
      </c>
      <c r="J309" t="s">
        <v>15</v>
      </c>
      <c r="K309">
        <v>3</v>
      </c>
      <c r="L309">
        <v>1.907</v>
      </c>
      <c r="M309">
        <v>1</v>
      </c>
      <c r="N309" t="s">
        <v>10018</v>
      </c>
      <c r="O309" t="str">
        <f>HYPERLINK("3\1\marker_873_839343.png", "Ver Imagen")</f>
        <v>Ver Imagen</v>
      </c>
      <c r="P309" t="str">
        <f>HYPERLINK("SE\A-492\A-492__415.png", "Ver Imagen")</f>
        <v>Ver Imagen</v>
      </c>
    </row>
    <row r="310" spans="1:16" x14ac:dyDescent="0.25">
      <c r="A310">
        <v>2601</v>
      </c>
      <c r="B310" t="s">
        <v>5215</v>
      </c>
      <c r="C310">
        <v>37.190362070500001</v>
      </c>
      <c r="D310">
        <v>-6.98963989698</v>
      </c>
      <c r="E310">
        <v>2</v>
      </c>
      <c r="F310">
        <v>3</v>
      </c>
      <c r="G310">
        <v>3</v>
      </c>
      <c r="J310" t="s">
        <v>15</v>
      </c>
      <c r="K310">
        <v>3</v>
      </c>
      <c r="L310">
        <v>2.17</v>
      </c>
      <c r="M310">
        <v>1</v>
      </c>
      <c r="N310" t="s">
        <v>10017</v>
      </c>
      <c r="O310" t="str">
        <f>HYPERLINK("3\1\marker_289_944211.png", "Ver Imagen")</f>
        <v>Ver Imagen</v>
      </c>
      <c r="P310" t="str">
        <f>HYPERLINK("SE\A-5050\A-5050__177.png", "Ver Imagen")</f>
        <v>Ver Imagen</v>
      </c>
    </row>
    <row r="311" spans="1:16" x14ac:dyDescent="0.25">
      <c r="A311">
        <v>2603</v>
      </c>
      <c r="B311" t="s">
        <v>5219</v>
      </c>
      <c r="C311">
        <v>37.190574663200003</v>
      </c>
      <c r="D311">
        <v>-6.9900912317400001</v>
      </c>
      <c r="E311">
        <v>2</v>
      </c>
      <c r="F311">
        <v>3</v>
      </c>
      <c r="G311">
        <v>3</v>
      </c>
      <c r="J311" t="s">
        <v>15</v>
      </c>
      <c r="K311">
        <v>3</v>
      </c>
      <c r="L311">
        <v>2.4700000000000002</v>
      </c>
      <c r="M311">
        <v>1</v>
      </c>
      <c r="N311" t="s">
        <v>10019</v>
      </c>
      <c r="O311" t="str">
        <f>HYPERLINK("3\1\marker_244_944231.png", "Ver Imagen")</f>
        <v>Ver Imagen</v>
      </c>
      <c r="P311" t="str">
        <f>HYPERLINK("SE\A-5050\A-5050__175.png", "Ver Imagen")</f>
        <v>Ver Imagen</v>
      </c>
    </row>
    <row r="312" spans="1:16" x14ac:dyDescent="0.25">
      <c r="A312">
        <v>2612</v>
      </c>
      <c r="B312" t="s">
        <v>5237</v>
      </c>
      <c r="C312">
        <v>37.197301421600002</v>
      </c>
      <c r="D312">
        <v>-7.0056690375399997</v>
      </c>
      <c r="E312">
        <v>2</v>
      </c>
      <c r="F312">
        <v>3</v>
      </c>
      <c r="G312">
        <v>3</v>
      </c>
      <c r="J312" t="s">
        <v>15</v>
      </c>
      <c r="K312">
        <v>3</v>
      </c>
      <c r="L312">
        <v>2.4649999999999999</v>
      </c>
      <c r="M312">
        <v>1</v>
      </c>
      <c r="N312" t="s">
        <v>10018</v>
      </c>
      <c r="O312" t="str">
        <f>HYPERLINK("3\1\marker_874_946720.png", "Ver Imagen")</f>
        <v>Ver Imagen</v>
      </c>
      <c r="P312" t="str">
        <f>HYPERLINK("SE\A-5050\A-5050__105.png", "Ver Imagen")</f>
        <v>Ver Imagen</v>
      </c>
    </row>
    <row r="313" spans="1:16" x14ac:dyDescent="0.25">
      <c r="A313">
        <v>2618</v>
      </c>
      <c r="B313" t="s">
        <v>5249</v>
      </c>
      <c r="C313">
        <v>37.203044587299999</v>
      </c>
      <c r="D313">
        <v>-7.0154213978</v>
      </c>
      <c r="E313">
        <v>3</v>
      </c>
      <c r="F313">
        <v>2</v>
      </c>
      <c r="G313">
        <v>3</v>
      </c>
      <c r="J313" t="s">
        <v>15</v>
      </c>
      <c r="K313">
        <v>3</v>
      </c>
      <c r="L313">
        <v>3.84</v>
      </c>
      <c r="M313">
        <v>1</v>
      </c>
      <c r="N313" t="s">
        <v>10017</v>
      </c>
      <c r="O313" t="str">
        <f>HYPERLINK("3\1\marker_753_949074.png", "Ver Imagen")</f>
        <v>Ver Imagen</v>
      </c>
      <c r="P313" t="str">
        <f>HYPERLINK("SE\A-5050\A-5050__57.png", "Ver Imagen")</f>
        <v>Ver Imagen</v>
      </c>
    </row>
    <row r="314" spans="1:16" x14ac:dyDescent="0.25">
      <c r="A314">
        <v>2623</v>
      </c>
      <c r="B314" t="s">
        <v>5259</v>
      </c>
      <c r="C314">
        <v>37.208348034300002</v>
      </c>
      <c r="D314">
        <v>-7.0247269319900001</v>
      </c>
      <c r="E314">
        <v>2</v>
      </c>
      <c r="F314">
        <v>3</v>
      </c>
      <c r="G314">
        <v>3</v>
      </c>
      <c r="J314" t="s">
        <v>15</v>
      </c>
      <c r="K314">
        <v>3</v>
      </c>
      <c r="L314">
        <v>1.9870000000000001</v>
      </c>
      <c r="M314">
        <v>1</v>
      </c>
      <c r="N314" t="s">
        <v>10017</v>
      </c>
      <c r="O314" t="str">
        <f>HYPERLINK("3\1\marker_669_949597.png", "Ver Imagen")</f>
        <v>Ver Imagen</v>
      </c>
      <c r="P314" t="str">
        <f>HYPERLINK("SE\A-5050\A-5050__11.png", "Ver Imagen")</f>
        <v>Ver Imagen</v>
      </c>
    </row>
    <row r="315" spans="1:16" x14ac:dyDescent="0.25">
      <c r="A315">
        <v>2624</v>
      </c>
      <c r="B315" t="s">
        <v>5261</v>
      </c>
      <c r="C315">
        <v>37.208876503299997</v>
      </c>
      <c r="D315">
        <v>-7.0268814810100002</v>
      </c>
      <c r="E315">
        <v>3</v>
      </c>
      <c r="F315">
        <v>4</v>
      </c>
      <c r="G315">
        <v>3</v>
      </c>
      <c r="J315" t="s">
        <v>15</v>
      </c>
      <c r="K315">
        <v>3</v>
      </c>
      <c r="L315">
        <v>2.456</v>
      </c>
      <c r="M315">
        <v>1</v>
      </c>
      <c r="N315" t="s">
        <v>10018</v>
      </c>
      <c r="O315" t="str">
        <f>HYPERLINK("3\1\marker_946_949693.png", "Ver Imagen")</f>
        <v>Ver Imagen</v>
      </c>
      <c r="P315" t="str">
        <f>HYPERLINK("SE\A-5050\A-5050__2.png", "Ver Imagen")</f>
        <v>Ver Imagen</v>
      </c>
    </row>
    <row r="316" spans="1:16" x14ac:dyDescent="0.25">
      <c r="A316">
        <v>2626</v>
      </c>
      <c r="B316" t="s">
        <v>5265</v>
      </c>
      <c r="C316">
        <v>37.218114282800002</v>
      </c>
      <c r="D316">
        <v>-7.1185699933700004</v>
      </c>
      <c r="E316">
        <v>3</v>
      </c>
      <c r="F316">
        <v>2</v>
      </c>
      <c r="G316">
        <v>3</v>
      </c>
      <c r="J316" t="s">
        <v>15</v>
      </c>
      <c r="K316">
        <v>3</v>
      </c>
      <c r="L316">
        <v>1.8280000000000001</v>
      </c>
      <c r="M316">
        <v>1</v>
      </c>
      <c r="N316" t="s">
        <v>10018</v>
      </c>
      <c r="O316" t="str">
        <f>HYPERLINK("3\1\marker_459_951628.png", "Ver Imagen")</f>
        <v>Ver Imagen</v>
      </c>
      <c r="P316" t="str">
        <f>HYPERLINK("SO\A-5052\A-5052__30.png", "Ver Imagen")</f>
        <v>Ver Imagen</v>
      </c>
    </row>
    <row r="317" spans="1:16" x14ac:dyDescent="0.25">
      <c r="A317">
        <v>2628</v>
      </c>
      <c r="B317" t="s">
        <v>5269</v>
      </c>
      <c r="C317">
        <v>37.216646697900003</v>
      </c>
      <c r="D317">
        <v>-7.0938896504500004</v>
      </c>
      <c r="E317">
        <v>2</v>
      </c>
      <c r="F317">
        <v>3</v>
      </c>
      <c r="G317">
        <v>3</v>
      </c>
      <c r="J317" t="s">
        <v>15</v>
      </c>
      <c r="K317">
        <v>3</v>
      </c>
      <c r="L317">
        <v>1.97</v>
      </c>
      <c r="M317">
        <v>1</v>
      </c>
      <c r="N317" t="s">
        <v>10017</v>
      </c>
      <c r="O317" t="str">
        <f>HYPERLINK("3\1\marker_446_958062.png", "Ver Imagen")</f>
        <v>Ver Imagen</v>
      </c>
      <c r="P317" t="str">
        <f>HYPERLINK("SE\A-5052\A-5052__128.png", "Ver Imagen")</f>
        <v>Ver Imagen</v>
      </c>
    </row>
    <row r="318" spans="1:16" x14ac:dyDescent="0.25">
      <c r="A318">
        <v>2630</v>
      </c>
      <c r="B318" t="s">
        <v>5273</v>
      </c>
      <c r="C318">
        <v>37.211221459199997</v>
      </c>
      <c r="D318">
        <v>-7.0560421440900001</v>
      </c>
      <c r="E318">
        <v>2</v>
      </c>
      <c r="F318">
        <v>3</v>
      </c>
      <c r="G318">
        <v>3</v>
      </c>
      <c r="J318" t="s">
        <v>15</v>
      </c>
      <c r="K318">
        <v>3</v>
      </c>
      <c r="L318">
        <v>2.3969999999999998</v>
      </c>
      <c r="M318">
        <v>1</v>
      </c>
      <c r="N318" t="s">
        <v>10018</v>
      </c>
      <c r="O318" t="str">
        <f>HYPERLINK("3\1\marker_590_960538.png", "Ver Imagen")</f>
        <v>Ver Imagen</v>
      </c>
      <c r="P318" t="str">
        <f>HYPERLINK("SE\A-5052\A-5052__282.png", "Ver Imagen")</f>
        <v>Ver Imagen</v>
      </c>
    </row>
    <row r="319" spans="1:16" x14ac:dyDescent="0.25">
      <c r="A319">
        <v>2634</v>
      </c>
      <c r="B319" t="s">
        <v>5281</v>
      </c>
      <c r="C319">
        <v>37.211767956599999</v>
      </c>
      <c r="D319">
        <v>-7.0482153027500001</v>
      </c>
      <c r="E319">
        <v>3</v>
      </c>
      <c r="F319">
        <v>3</v>
      </c>
      <c r="G319">
        <v>4</v>
      </c>
      <c r="J319" t="s">
        <v>15</v>
      </c>
      <c r="K319">
        <v>3</v>
      </c>
      <c r="L319">
        <v>2.4249999999999998</v>
      </c>
      <c r="M319">
        <v>1</v>
      </c>
      <c r="N319" t="s">
        <v>10019</v>
      </c>
      <c r="O319" t="str">
        <f>HYPERLINK("3\1\marker_832_961172.png", "Ver Imagen")</f>
        <v>Ver Imagen</v>
      </c>
      <c r="P319" t="str">
        <f>HYPERLINK("SE\A-5052\A-5052__314.png", "Ver Imagen")</f>
        <v>Ver Imagen</v>
      </c>
    </row>
    <row r="320" spans="1:16" x14ac:dyDescent="0.25">
      <c r="A320">
        <v>2638</v>
      </c>
      <c r="B320" t="s">
        <v>5289</v>
      </c>
      <c r="C320">
        <v>37.208873119300002</v>
      </c>
      <c r="D320">
        <v>-7.0387851114400002</v>
      </c>
      <c r="E320">
        <v>3</v>
      </c>
      <c r="F320">
        <v>4</v>
      </c>
      <c r="G320">
        <v>3</v>
      </c>
      <c r="J320" t="s">
        <v>15</v>
      </c>
      <c r="K320">
        <v>3</v>
      </c>
      <c r="L320">
        <v>2.4300000000000002</v>
      </c>
      <c r="M320">
        <v>1</v>
      </c>
      <c r="N320" t="s">
        <v>10019</v>
      </c>
      <c r="O320" t="str">
        <f>HYPERLINK("3\1\marker_357_961785.png", "Ver Imagen")</f>
        <v>Ver Imagen</v>
      </c>
      <c r="P320" t="str">
        <f>HYPERLINK("SE\A-5052\A-5052__354.png", "Ver Imagen")</f>
        <v>Ver Imagen</v>
      </c>
    </row>
    <row r="321" spans="1:16" x14ac:dyDescent="0.25">
      <c r="A321">
        <v>2640</v>
      </c>
      <c r="B321" t="s">
        <v>5293</v>
      </c>
      <c r="C321">
        <v>37.206154424799998</v>
      </c>
      <c r="D321">
        <v>-7.0317501130700002</v>
      </c>
      <c r="E321">
        <v>3</v>
      </c>
      <c r="F321">
        <v>4</v>
      </c>
      <c r="G321">
        <v>3</v>
      </c>
      <c r="J321" t="s">
        <v>15</v>
      </c>
      <c r="K321">
        <v>3</v>
      </c>
      <c r="L321">
        <v>2.222</v>
      </c>
      <c r="M321">
        <v>1</v>
      </c>
      <c r="N321" t="s">
        <v>10017</v>
      </c>
      <c r="O321" t="str">
        <f>HYPERLINK("3\1\marker_332_962528.png", "Ver Imagen")</f>
        <v>Ver Imagen</v>
      </c>
      <c r="P321" t="str">
        <f>HYPERLINK("SE\A-5052\A-5052__385.png", "Ver Imagen")</f>
        <v>Ver Imagen</v>
      </c>
    </row>
    <row r="322" spans="1:16" x14ac:dyDescent="0.25">
      <c r="A322">
        <v>2666</v>
      </c>
      <c r="B322" t="s">
        <v>5345</v>
      </c>
      <c r="C322">
        <v>37.231658558900001</v>
      </c>
      <c r="D322">
        <v>-7.0638203610300003</v>
      </c>
      <c r="E322">
        <v>3</v>
      </c>
      <c r="F322">
        <v>2</v>
      </c>
      <c r="G322">
        <v>3</v>
      </c>
      <c r="J322" t="s">
        <v>15</v>
      </c>
      <c r="K322">
        <v>3</v>
      </c>
      <c r="L322">
        <v>2.2490000000000001</v>
      </c>
      <c r="M322">
        <v>1</v>
      </c>
      <c r="N322" t="s">
        <v>10018</v>
      </c>
      <c r="O322" t="str">
        <f>HYPERLINK("3\1\marker_719_379535.png", "Ver Imagen")</f>
        <v>Ver Imagen</v>
      </c>
      <c r="P322" t="str">
        <f>HYPERLINK("SE\A-5059\A-5059__15.png", "Ver Imagen")</f>
        <v>Ver Imagen</v>
      </c>
    </row>
    <row r="323" spans="1:16" x14ac:dyDescent="0.25">
      <c r="A323">
        <v>2673</v>
      </c>
      <c r="B323" t="s">
        <v>5359</v>
      </c>
      <c r="C323">
        <v>37.431901247100001</v>
      </c>
      <c r="D323">
        <v>-7.0626401167599999</v>
      </c>
      <c r="E323">
        <v>3</v>
      </c>
      <c r="F323">
        <v>2</v>
      </c>
      <c r="G323">
        <v>3</v>
      </c>
      <c r="J323" t="s">
        <v>15</v>
      </c>
      <c r="K323">
        <v>3</v>
      </c>
      <c r="L323">
        <v>3.53</v>
      </c>
      <c r="M323">
        <v>1</v>
      </c>
      <c r="N323" t="s">
        <v>10019</v>
      </c>
      <c r="O323" t="str">
        <f>HYPERLINK("3\1\marker_623_382864.png", "Ver Imagen")</f>
        <v>Ver Imagen</v>
      </c>
      <c r="P323" t="str">
        <f>HYPERLINK("NE\A-495\A-495__165.png", "Ver Imagen")</f>
        <v>Ver Imagen</v>
      </c>
    </row>
    <row r="324" spans="1:16" x14ac:dyDescent="0.25">
      <c r="A324">
        <v>2684</v>
      </c>
      <c r="B324" t="s">
        <v>5381</v>
      </c>
      <c r="C324">
        <v>37.231055455899998</v>
      </c>
      <c r="D324">
        <v>-7.0505215251199997</v>
      </c>
      <c r="E324">
        <v>3</v>
      </c>
      <c r="F324">
        <v>2</v>
      </c>
      <c r="G324">
        <v>3</v>
      </c>
      <c r="J324" t="s">
        <v>15</v>
      </c>
      <c r="K324">
        <v>3</v>
      </c>
      <c r="L324">
        <v>2.4209999999999998</v>
      </c>
      <c r="M324">
        <v>1</v>
      </c>
      <c r="N324" t="s">
        <v>10017</v>
      </c>
      <c r="O324" t="str">
        <f>HYPERLINK("3\1\marker_734_381168.png", "Ver Imagen")</f>
        <v>Ver Imagen</v>
      </c>
      <c r="P324" t="str">
        <f>HYPERLINK("SE\A-5058\A-5058__104.png", "Ver Imagen")</f>
        <v>Ver Imagen</v>
      </c>
    </row>
    <row r="325" spans="1:16" x14ac:dyDescent="0.25">
      <c r="A325">
        <v>2705</v>
      </c>
      <c r="B325" t="s">
        <v>5423</v>
      </c>
      <c r="C325">
        <v>37.2336381649</v>
      </c>
      <c r="D325">
        <v>-7.0683532963699998</v>
      </c>
      <c r="E325">
        <v>3</v>
      </c>
      <c r="F325">
        <v>2</v>
      </c>
      <c r="G325">
        <v>3</v>
      </c>
      <c r="J325" t="s">
        <v>15</v>
      </c>
      <c r="K325">
        <v>3</v>
      </c>
      <c r="L325">
        <v>2.35</v>
      </c>
      <c r="M325">
        <v>1</v>
      </c>
      <c r="N325" t="s">
        <v>10018</v>
      </c>
      <c r="O325" t="str">
        <f>HYPERLINK("3\1\marker_261_382527.png", "Ver Imagen")</f>
        <v>Ver Imagen</v>
      </c>
      <c r="P325" t="str">
        <f>HYPERLINK("SE\A-5058\A-5058__179.png", "Ver Imagen")</f>
        <v>Ver Imagen</v>
      </c>
    </row>
    <row r="326" spans="1:16" x14ac:dyDescent="0.25">
      <c r="A326">
        <v>2748</v>
      </c>
      <c r="B326" t="s">
        <v>5509</v>
      </c>
      <c r="C326">
        <v>37.250609882900001</v>
      </c>
      <c r="D326">
        <v>-7.1031863121600001</v>
      </c>
      <c r="E326">
        <v>3</v>
      </c>
      <c r="F326">
        <v>2</v>
      </c>
      <c r="G326">
        <v>3</v>
      </c>
      <c r="J326" t="s">
        <v>15</v>
      </c>
      <c r="K326">
        <v>3</v>
      </c>
      <c r="L326">
        <v>2.36</v>
      </c>
      <c r="M326">
        <v>1</v>
      </c>
      <c r="N326" t="s">
        <v>10017</v>
      </c>
      <c r="O326" t="str">
        <f>HYPERLINK("3\1\marker_123_384817.png", "Ver Imagen")</f>
        <v>Ver Imagen</v>
      </c>
      <c r="P326" t="str">
        <f>HYPERLINK("SE\A-5058\A-5058__345.png", "Ver Imagen")</f>
        <v>Ver Imagen</v>
      </c>
    </row>
    <row r="327" spans="1:16" x14ac:dyDescent="0.25">
      <c r="A327">
        <v>2781</v>
      </c>
      <c r="B327" t="s">
        <v>5575</v>
      </c>
      <c r="C327">
        <v>37.482610791299997</v>
      </c>
      <c r="D327">
        <v>-7.1286572677800004</v>
      </c>
      <c r="E327">
        <v>3</v>
      </c>
      <c r="F327">
        <v>2</v>
      </c>
      <c r="G327">
        <v>3</v>
      </c>
      <c r="J327" t="s">
        <v>15</v>
      </c>
      <c r="K327">
        <v>3</v>
      </c>
      <c r="L327">
        <v>1.8149999999999999</v>
      </c>
      <c r="M327">
        <v>1</v>
      </c>
      <c r="N327" t="s">
        <v>10017</v>
      </c>
      <c r="O327" t="str">
        <f>HYPERLINK("3\1\marker_637_383803.png", "Ver Imagen")</f>
        <v>Ver Imagen</v>
      </c>
      <c r="P327" t="str">
        <f>HYPERLINK("NE\A-495_1\A-495_1__182.png", "Ver Imagen")</f>
        <v>Ver Imagen</v>
      </c>
    </row>
    <row r="328" spans="1:16" x14ac:dyDescent="0.25">
      <c r="A328">
        <v>2787</v>
      </c>
      <c r="B328" t="s">
        <v>5587</v>
      </c>
      <c r="C328">
        <v>37.456088206499999</v>
      </c>
      <c r="D328">
        <v>-7.1263273477700002</v>
      </c>
      <c r="E328">
        <v>3</v>
      </c>
      <c r="F328">
        <v>3</v>
      </c>
      <c r="G328">
        <v>2</v>
      </c>
      <c r="J328" t="s">
        <v>15</v>
      </c>
      <c r="K328">
        <v>3</v>
      </c>
      <c r="L328">
        <v>2.4140000000000001</v>
      </c>
      <c r="M328">
        <v>1</v>
      </c>
      <c r="N328" t="s">
        <v>10019</v>
      </c>
      <c r="O328" t="str">
        <f>HYPERLINK("3\1\marker_862_385645.png", "Ver Imagen")</f>
        <v>Ver Imagen</v>
      </c>
      <c r="P328" t="str">
        <f>HYPERLINK("NE\A-495_1\A-495_1__41.png", "Ver Imagen")</f>
        <v>Ver Imagen</v>
      </c>
    </row>
    <row r="329" spans="1:16" x14ac:dyDescent="0.25">
      <c r="A329">
        <v>2789</v>
      </c>
      <c r="B329" t="s">
        <v>5591</v>
      </c>
      <c r="C329">
        <v>37.495718599600004</v>
      </c>
      <c r="D329">
        <v>-7.2742840499500003</v>
      </c>
      <c r="E329">
        <v>3</v>
      </c>
      <c r="F329">
        <v>2</v>
      </c>
      <c r="G329">
        <v>3</v>
      </c>
      <c r="J329" t="s">
        <v>15</v>
      </c>
      <c r="K329">
        <v>3</v>
      </c>
      <c r="L329">
        <v>2.4780000000000002</v>
      </c>
      <c r="M329">
        <v>1</v>
      </c>
      <c r="N329" t="s">
        <v>10018</v>
      </c>
      <c r="O329" t="str">
        <f>HYPERLINK("3\1\marker_439_534935.png", "Ver Imagen")</f>
        <v>Ver Imagen</v>
      </c>
      <c r="P329" t="str">
        <f>HYPERLINK("NO\A-499\A-499__54.png", "Ver Imagen")</f>
        <v>Ver Imagen</v>
      </c>
    </row>
    <row r="330" spans="1:16" x14ac:dyDescent="0.25">
      <c r="A330">
        <v>2790</v>
      </c>
      <c r="B330" t="s">
        <v>5593</v>
      </c>
      <c r="C330">
        <v>37.4953632287</v>
      </c>
      <c r="D330">
        <v>-7.2710215971199998</v>
      </c>
      <c r="E330">
        <v>3</v>
      </c>
      <c r="F330">
        <v>2</v>
      </c>
      <c r="G330">
        <v>3</v>
      </c>
      <c r="J330" t="s">
        <v>15</v>
      </c>
      <c r="K330">
        <v>3</v>
      </c>
      <c r="L330">
        <v>3.5590000000000002</v>
      </c>
      <c r="M330">
        <v>1</v>
      </c>
      <c r="N330" t="s">
        <v>10017</v>
      </c>
      <c r="O330" t="str">
        <f>HYPERLINK("3\1\marker_963_535145.png", "Ver Imagen")</f>
        <v>Ver Imagen</v>
      </c>
      <c r="P330" t="str">
        <f>HYPERLINK("NO\A-499\A-499__67.png", "Ver Imagen")</f>
        <v>Ver Imagen</v>
      </c>
    </row>
    <row r="331" spans="1:16" x14ac:dyDescent="0.25">
      <c r="A331">
        <v>2795</v>
      </c>
      <c r="B331" t="s">
        <v>5603</v>
      </c>
      <c r="C331">
        <v>37.496041905600002</v>
      </c>
      <c r="D331">
        <v>-7.2681693877800004</v>
      </c>
      <c r="E331">
        <v>3</v>
      </c>
      <c r="F331">
        <v>3</v>
      </c>
      <c r="G331">
        <v>4</v>
      </c>
      <c r="J331" t="s">
        <v>15</v>
      </c>
      <c r="K331">
        <v>3</v>
      </c>
      <c r="L331">
        <v>2.2839999999999998</v>
      </c>
      <c r="M331">
        <v>1</v>
      </c>
      <c r="N331" t="s">
        <v>10019</v>
      </c>
      <c r="O331" t="str">
        <f>HYPERLINK("3\1\marker_748_789874.png", "Ver Imagen")</f>
        <v>Ver Imagen</v>
      </c>
      <c r="P331" t="str">
        <f>HYPERLINK("NO\A-499\A-499__86.png", "Ver Imagen")</f>
        <v>Ver Imagen</v>
      </c>
    </row>
    <row r="332" spans="1:16" x14ac:dyDescent="0.25">
      <c r="A332">
        <v>2810</v>
      </c>
      <c r="B332" t="s">
        <v>5633</v>
      </c>
      <c r="C332">
        <v>37.501699332199998</v>
      </c>
      <c r="D332">
        <v>-7.2665213026400002</v>
      </c>
      <c r="E332">
        <v>3</v>
      </c>
      <c r="F332">
        <v>2</v>
      </c>
      <c r="G332">
        <v>3</v>
      </c>
      <c r="J332" t="s">
        <v>15</v>
      </c>
      <c r="K332">
        <v>3</v>
      </c>
      <c r="L332">
        <v>2.407</v>
      </c>
      <c r="M332">
        <v>1</v>
      </c>
      <c r="N332" t="s">
        <v>10018</v>
      </c>
      <c r="O332" t="str">
        <f>HYPERLINK("3\1\marker_304_793498.png", "Ver Imagen")</f>
        <v>Ver Imagen</v>
      </c>
      <c r="P332" t="str">
        <f>HYPERLINK("NO\A-499\A-499__115.png", "Ver Imagen")</f>
        <v>Ver Imagen</v>
      </c>
    </row>
    <row r="333" spans="1:16" x14ac:dyDescent="0.25">
      <c r="A333">
        <v>2812</v>
      </c>
      <c r="B333" t="s">
        <v>5637</v>
      </c>
      <c r="C333">
        <v>37.502891379399998</v>
      </c>
      <c r="D333">
        <v>-7.2661148225599996</v>
      </c>
      <c r="E333">
        <v>2</v>
      </c>
      <c r="F333">
        <v>3</v>
      </c>
      <c r="G333">
        <v>3</v>
      </c>
      <c r="J333" t="s">
        <v>15</v>
      </c>
      <c r="K333">
        <v>3</v>
      </c>
      <c r="L333">
        <v>1.91</v>
      </c>
      <c r="M333">
        <v>1</v>
      </c>
      <c r="N333" t="s">
        <v>10017</v>
      </c>
      <c r="O333" t="str">
        <f>HYPERLINK("3\1\marker_187_793629.png", "Ver Imagen")</f>
        <v>Ver Imagen</v>
      </c>
      <c r="P333" t="str">
        <f>HYPERLINK("NO\A-499\A-499__121.png", "Ver Imagen")</f>
        <v>Ver Imagen</v>
      </c>
    </row>
    <row r="334" spans="1:16" x14ac:dyDescent="0.25">
      <c r="A334">
        <v>2815</v>
      </c>
      <c r="B334" t="s">
        <v>5643</v>
      </c>
      <c r="C334">
        <v>37.523087429599997</v>
      </c>
      <c r="D334">
        <v>-7.2591263797499996</v>
      </c>
      <c r="E334">
        <v>3</v>
      </c>
      <c r="F334">
        <v>2</v>
      </c>
      <c r="G334">
        <v>3</v>
      </c>
      <c r="J334" t="s">
        <v>15</v>
      </c>
      <c r="K334">
        <v>3</v>
      </c>
      <c r="L334">
        <v>1.7529999999999999</v>
      </c>
      <c r="M334">
        <v>1</v>
      </c>
      <c r="N334" t="s">
        <v>10017</v>
      </c>
      <c r="O334" t="str">
        <f>HYPERLINK("3\1\marker_597_796884.png", "Ver Imagen")</f>
        <v>Ver Imagen</v>
      </c>
      <c r="P334" t="str">
        <f>HYPERLINK("NO\A-499\A-499__241.png", "Ver Imagen")</f>
        <v>Ver Imagen</v>
      </c>
    </row>
    <row r="335" spans="1:16" x14ac:dyDescent="0.25">
      <c r="A335">
        <v>2864</v>
      </c>
      <c r="B335" t="s">
        <v>5741</v>
      </c>
      <c r="C335">
        <v>37.2548310082</v>
      </c>
      <c r="D335">
        <v>-7.0150021249499996</v>
      </c>
      <c r="E335">
        <v>3</v>
      </c>
      <c r="F335">
        <v>4</v>
      </c>
      <c r="G335">
        <v>3</v>
      </c>
      <c r="J335" t="s">
        <v>15</v>
      </c>
      <c r="K335">
        <v>3</v>
      </c>
      <c r="L335">
        <v>3.8119999999999998</v>
      </c>
      <c r="M335">
        <v>1</v>
      </c>
      <c r="N335" t="s">
        <v>10017</v>
      </c>
      <c r="O335" t="str">
        <f>HYPERLINK("3\1\marker_574_319755.png", "Ver Imagen")</f>
        <v>Ver Imagen</v>
      </c>
      <c r="P335" t="str">
        <f>HYPERLINK("SE\A-497_2C\A-497_2C__271.png", "Ver Imagen")</f>
        <v>Ver Imagen</v>
      </c>
    </row>
    <row r="336" spans="1:16" x14ac:dyDescent="0.25">
      <c r="A336">
        <v>2869</v>
      </c>
      <c r="B336" t="s">
        <v>5751</v>
      </c>
      <c r="C336">
        <v>37.250105568999999</v>
      </c>
      <c r="D336">
        <v>-7.0179697609999998</v>
      </c>
      <c r="E336">
        <v>3</v>
      </c>
      <c r="F336">
        <v>2</v>
      </c>
      <c r="G336">
        <v>3</v>
      </c>
      <c r="J336" t="s">
        <v>15</v>
      </c>
      <c r="K336">
        <v>3</v>
      </c>
      <c r="L336">
        <v>3.5419999999999998</v>
      </c>
      <c r="M336">
        <v>1</v>
      </c>
      <c r="N336" t="s">
        <v>10019</v>
      </c>
      <c r="O336" t="str">
        <f>HYPERLINK("3\1\marker_166_320141.png", "Ver Imagen")</f>
        <v>Ver Imagen</v>
      </c>
      <c r="P336" t="str">
        <f>HYPERLINK("SE\A-497_2C\A-497_2C__297.png", "Ver Imagen")</f>
        <v>Ver Imagen</v>
      </c>
    </row>
    <row r="337" spans="1:16" x14ac:dyDescent="0.25">
      <c r="A337">
        <v>2876</v>
      </c>
      <c r="B337" t="s">
        <v>5765</v>
      </c>
      <c r="C337">
        <v>37.206236949500003</v>
      </c>
      <c r="D337">
        <v>-7.0198018624199996</v>
      </c>
      <c r="E337">
        <v>3</v>
      </c>
      <c r="F337">
        <v>2</v>
      </c>
      <c r="G337">
        <v>3</v>
      </c>
      <c r="J337" t="s">
        <v>15</v>
      </c>
      <c r="K337">
        <v>3</v>
      </c>
      <c r="L337">
        <v>2.3149999999999999</v>
      </c>
      <c r="M337">
        <v>1</v>
      </c>
      <c r="N337" t="s">
        <v>10017</v>
      </c>
      <c r="O337" t="str">
        <f>HYPERLINK("3\1\marker_162_372501.png", "Ver Imagen")</f>
        <v>Ver Imagen</v>
      </c>
      <c r="P337" t="str">
        <f>HYPERLINK("SE\A-497\A-497__530.png", "Ver Imagen")</f>
        <v>Ver Imagen</v>
      </c>
    </row>
    <row r="338" spans="1:16" x14ac:dyDescent="0.25">
      <c r="A338">
        <v>2885</v>
      </c>
      <c r="B338" t="s">
        <v>5783</v>
      </c>
      <c r="C338">
        <v>37.234148675699998</v>
      </c>
      <c r="D338">
        <v>-7.0181673957999999</v>
      </c>
      <c r="E338">
        <v>3</v>
      </c>
      <c r="F338">
        <v>2</v>
      </c>
      <c r="G338">
        <v>3</v>
      </c>
      <c r="J338" t="s">
        <v>15</v>
      </c>
      <c r="K338">
        <v>3</v>
      </c>
      <c r="L338">
        <v>2.1349999999999998</v>
      </c>
      <c r="M338">
        <v>1</v>
      </c>
      <c r="N338" t="s">
        <v>10019</v>
      </c>
      <c r="O338" t="str">
        <f>HYPERLINK("3\1\marker_594_362586.png", "Ver Imagen")</f>
        <v>Ver Imagen</v>
      </c>
      <c r="P338" t="str">
        <f>HYPERLINK("SE\A-497_2C\A-497_2C__376.png", "Ver Imagen")</f>
        <v>Ver Imagen</v>
      </c>
    </row>
    <row r="339" spans="1:16" x14ac:dyDescent="0.25">
      <c r="A339">
        <v>2899</v>
      </c>
      <c r="B339" t="s">
        <v>5811</v>
      </c>
      <c r="C339">
        <v>37.210754170599998</v>
      </c>
      <c r="D339">
        <v>-7.0237360561199997</v>
      </c>
      <c r="E339">
        <v>3</v>
      </c>
      <c r="F339">
        <v>2</v>
      </c>
      <c r="G339">
        <v>3</v>
      </c>
      <c r="J339" t="s">
        <v>15</v>
      </c>
      <c r="K339">
        <v>3</v>
      </c>
      <c r="L339">
        <v>2.4870000000000001</v>
      </c>
      <c r="M339">
        <v>1</v>
      </c>
      <c r="N339" t="s">
        <v>10017</v>
      </c>
      <c r="O339" t="str">
        <f>HYPERLINK("3\1\marker_908_376063.png", "Ver Imagen")</f>
        <v>Ver Imagen</v>
      </c>
      <c r="P339" t="str">
        <f>HYPERLINK("SE\A-497\A-497__502.png", "Ver Imagen")</f>
        <v>Ver Imagen</v>
      </c>
    </row>
    <row r="340" spans="1:16" x14ac:dyDescent="0.25">
      <c r="A340">
        <v>2908</v>
      </c>
      <c r="B340" t="s">
        <v>5829</v>
      </c>
      <c r="C340">
        <v>37.218002473799999</v>
      </c>
      <c r="D340">
        <v>-7.0228799778399997</v>
      </c>
      <c r="E340">
        <v>3</v>
      </c>
      <c r="F340">
        <v>2</v>
      </c>
      <c r="G340">
        <v>3</v>
      </c>
      <c r="J340" t="s">
        <v>15</v>
      </c>
      <c r="K340">
        <v>3</v>
      </c>
      <c r="L340">
        <v>2.4020000000000001</v>
      </c>
      <c r="M340">
        <v>1</v>
      </c>
      <c r="N340" t="s">
        <v>10019</v>
      </c>
      <c r="O340" t="str">
        <f>HYPERLINK("3\1\marker_508_376513.png", "Ver Imagen")</f>
        <v>Ver Imagen</v>
      </c>
      <c r="P340" t="str">
        <f>HYPERLINK("SE\A-497\A-497__466.png", "Ver Imagen")</f>
        <v>Ver Imagen</v>
      </c>
    </row>
    <row r="341" spans="1:16" x14ac:dyDescent="0.25">
      <c r="A341">
        <v>2917</v>
      </c>
      <c r="B341" t="s">
        <v>5847</v>
      </c>
      <c r="C341">
        <v>37.204683720299997</v>
      </c>
      <c r="D341">
        <v>-7.0148134460599998</v>
      </c>
      <c r="E341">
        <v>3</v>
      </c>
      <c r="F341">
        <v>2</v>
      </c>
      <c r="G341">
        <v>3</v>
      </c>
      <c r="J341" t="s">
        <v>15</v>
      </c>
      <c r="K341">
        <v>3</v>
      </c>
      <c r="L341">
        <v>3.5209999999999999</v>
      </c>
      <c r="M341">
        <v>1</v>
      </c>
      <c r="N341" t="s">
        <v>10018</v>
      </c>
      <c r="O341" t="str">
        <f>HYPERLINK("3\1\marker_278_364665.png", "Ver Imagen")</f>
        <v>Ver Imagen</v>
      </c>
      <c r="P341" t="str">
        <f>HYPERLINK("SE\A-497_2C\A-497_2C__548.png", "Ver Imagen")</f>
        <v>Ver Imagen</v>
      </c>
    </row>
    <row r="342" spans="1:16" x14ac:dyDescent="0.25">
      <c r="A342">
        <v>2940</v>
      </c>
      <c r="B342" t="s">
        <v>5893</v>
      </c>
      <c r="C342">
        <v>37.232127421000001</v>
      </c>
      <c r="D342">
        <v>-7.0186515404399996</v>
      </c>
      <c r="E342">
        <v>3</v>
      </c>
      <c r="F342">
        <v>2</v>
      </c>
      <c r="G342">
        <v>3</v>
      </c>
      <c r="J342" t="s">
        <v>15</v>
      </c>
      <c r="K342">
        <v>3</v>
      </c>
      <c r="L342">
        <v>2.2440000000000002</v>
      </c>
      <c r="M342">
        <v>1</v>
      </c>
      <c r="N342" t="s">
        <v>10017</v>
      </c>
      <c r="O342" t="str">
        <f>HYPERLINK("3\1\marker_752_377275.png", "Ver Imagen")</f>
        <v>Ver Imagen</v>
      </c>
      <c r="P342" t="str">
        <f>HYPERLINK("SE\A-497\A-497__391.png", "Ver Imagen")</f>
        <v>Ver Imagen</v>
      </c>
    </row>
    <row r="343" spans="1:16" x14ac:dyDescent="0.25">
      <c r="A343">
        <v>2943</v>
      </c>
      <c r="B343" t="s">
        <v>5899</v>
      </c>
      <c r="C343">
        <v>37.242975640899999</v>
      </c>
      <c r="D343">
        <v>-7.0183713651700002</v>
      </c>
      <c r="E343">
        <v>3</v>
      </c>
      <c r="F343">
        <v>2</v>
      </c>
      <c r="G343">
        <v>3</v>
      </c>
      <c r="J343" t="s">
        <v>15</v>
      </c>
      <c r="K343">
        <v>3</v>
      </c>
      <c r="L343">
        <v>3.66</v>
      </c>
      <c r="M343">
        <v>1</v>
      </c>
      <c r="N343" t="s">
        <v>10019</v>
      </c>
      <c r="O343" t="str">
        <f>HYPERLINK("3\1\marker_283_377800.png", "Ver Imagen")</f>
        <v>Ver Imagen</v>
      </c>
      <c r="P343" t="str">
        <f>HYPERLINK("SE\A-497\A-497__337.png", "Ver Imagen")</f>
        <v>Ver Imagen</v>
      </c>
    </row>
    <row r="344" spans="1:16" x14ac:dyDescent="0.25">
      <c r="A344">
        <v>2949</v>
      </c>
      <c r="B344" t="s">
        <v>5911</v>
      </c>
      <c r="C344">
        <v>37.249833071700003</v>
      </c>
      <c r="D344">
        <v>-7.0178876301499997</v>
      </c>
      <c r="E344">
        <v>3</v>
      </c>
      <c r="F344">
        <v>4</v>
      </c>
      <c r="G344">
        <v>3</v>
      </c>
      <c r="J344" t="s">
        <v>15</v>
      </c>
      <c r="K344">
        <v>3</v>
      </c>
      <c r="L344">
        <v>3.569</v>
      </c>
      <c r="M344">
        <v>1</v>
      </c>
      <c r="N344" t="s">
        <v>10019</v>
      </c>
      <c r="O344" t="str">
        <f>HYPERLINK("3\1\marker_546_378171.png", "Ver Imagen")</f>
        <v>Ver Imagen</v>
      </c>
      <c r="P344" t="str">
        <f>HYPERLINK("SE\A-497\A-497__303.png", "Ver Imagen")</f>
        <v>Ver Imagen</v>
      </c>
    </row>
    <row r="345" spans="1:16" x14ac:dyDescent="0.25">
      <c r="A345">
        <v>2989</v>
      </c>
      <c r="B345" t="s">
        <v>5991</v>
      </c>
      <c r="C345">
        <v>37.465381792800002</v>
      </c>
      <c r="D345">
        <v>-7.1810223577399999</v>
      </c>
      <c r="E345">
        <v>4</v>
      </c>
      <c r="F345">
        <v>3</v>
      </c>
      <c r="G345">
        <v>3</v>
      </c>
      <c r="J345" t="s">
        <v>15</v>
      </c>
      <c r="K345">
        <v>3</v>
      </c>
      <c r="L345">
        <v>2.1219999999999999</v>
      </c>
      <c r="M345">
        <v>1</v>
      </c>
      <c r="N345" t="s">
        <v>10017</v>
      </c>
      <c r="O345" t="str">
        <f>HYPERLINK("3\1\marker_232_749422.png", "Ver Imagen")</f>
        <v>Ver Imagen</v>
      </c>
      <c r="P345" t="str">
        <f>HYPERLINK("NE\A-490\A-490__246.png", "Ver Imagen")</f>
        <v>Ver Imagen</v>
      </c>
    </row>
    <row r="346" spans="1:16" x14ac:dyDescent="0.25">
      <c r="A346">
        <v>2991</v>
      </c>
      <c r="B346" t="s">
        <v>5995</v>
      </c>
      <c r="C346">
        <v>37.466647160000001</v>
      </c>
      <c r="D346">
        <v>-7.1833862572999996</v>
      </c>
      <c r="E346">
        <v>3</v>
      </c>
      <c r="F346">
        <v>3</v>
      </c>
      <c r="G346">
        <v>4</v>
      </c>
      <c r="J346" t="s">
        <v>15</v>
      </c>
      <c r="K346">
        <v>3</v>
      </c>
      <c r="L346">
        <v>3.6629999999999998</v>
      </c>
      <c r="M346">
        <v>1</v>
      </c>
      <c r="N346" t="s">
        <v>10018</v>
      </c>
      <c r="O346" t="str">
        <f>HYPERLINK("3\1\marker_609_749644.png", "Ver Imagen")</f>
        <v>Ver Imagen</v>
      </c>
      <c r="P346" t="str">
        <f>HYPERLINK("NE\A-490\A-490__257.png", "Ver Imagen")</f>
        <v>Ver Imagen</v>
      </c>
    </row>
    <row r="347" spans="1:16" x14ac:dyDescent="0.25">
      <c r="A347">
        <v>2992</v>
      </c>
      <c r="B347" t="s">
        <v>5997</v>
      </c>
      <c r="C347">
        <v>37.495231338300002</v>
      </c>
      <c r="D347">
        <v>-7.2676356689599997</v>
      </c>
      <c r="E347">
        <v>4</v>
      </c>
      <c r="F347">
        <v>3</v>
      </c>
      <c r="G347">
        <v>3</v>
      </c>
      <c r="J347" t="s">
        <v>15</v>
      </c>
      <c r="K347">
        <v>3</v>
      </c>
      <c r="L347">
        <v>2.3580000000000001</v>
      </c>
      <c r="M347">
        <v>1</v>
      </c>
      <c r="N347" t="s">
        <v>10019</v>
      </c>
      <c r="O347" t="str">
        <f>HYPERLINK("3\1\marker_751_789296.png", "Ver Imagen")</f>
        <v>Ver Imagen</v>
      </c>
      <c r="P347" t="str">
        <f>HYPERLINK("NO\A-490\A-490__629.png", "Ver Imagen")</f>
        <v>Ver Imagen</v>
      </c>
    </row>
    <row r="348" spans="1:16" x14ac:dyDescent="0.25">
      <c r="A348">
        <v>2993</v>
      </c>
      <c r="B348" t="s">
        <v>5999</v>
      </c>
      <c r="C348">
        <v>37.495433845599997</v>
      </c>
      <c r="D348">
        <v>-7.2676832747200004</v>
      </c>
      <c r="E348">
        <v>4</v>
      </c>
      <c r="F348">
        <v>3</v>
      </c>
      <c r="G348">
        <v>3</v>
      </c>
      <c r="J348" t="s">
        <v>15</v>
      </c>
      <c r="K348">
        <v>3</v>
      </c>
      <c r="L348">
        <v>3.7309999999999999</v>
      </c>
      <c r="M348">
        <v>1</v>
      </c>
      <c r="N348" t="s">
        <v>10018</v>
      </c>
      <c r="O348" t="str">
        <f>HYPERLINK("3\1\marker_946_789339.png", "Ver Imagen")</f>
        <v>Ver Imagen</v>
      </c>
      <c r="P348" t="str">
        <f>HYPERLINK("NO\A-490\A-490__630.png", "Ver Imagen")</f>
        <v>Ver Imagen</v>
      </c>
    </row>
    <row r="349" spans="1:16" x14ac:dyDescent="0.25">
      <c r="A349">
        <v>2995</v>
      </c>
      <c r="B349" t="s">
        <v>6003</v>
      </c>
      <c r="C349">
        <v>37.279976814299999</v>
      </c>
      <c r="D349">
        <v>-6.9989756508400003</v>
      </c>
      <c r="E349">
        <v>3</v>
      </c>
      <c r="F349">
        <v>3</v>
      </c>
      <c r="G349">
        <v>4</v>
      </c>
      <c r="J349" t="s">
        <v>15</v>
      </c>
      <c r="K349">
        <v>3</v>
      </c>
      <c r="L349">
        <v>2.4740000000000002</v>
      </c>
      <c r="M349">
        <v>1</v>
      </c>
      <c r="N349" t="s">
        <v>10019</v>
      </c>
      <c r="O349" t="str">
        <f>HYPERLINK("3\1\marker_878_823190.png", "Ver Imagen")</f>
        <v>Ver Imagen</v>
      </c>
      <c r="P349" t="str">
        <f>HYPERLINK("SE\A-492\A-492__64.png", "Ver Imagen")</f>
        <v>Ver Imagen</v>
      </c>
    </row>
    <row r="350" spans="1:16" x14ac:dyDescent="0.25">
      <c r="A350">
        <v>2997</v>
      </c>
      <c r="B350" t="s">
        <v>6007</v>
      </c>
      <c r="C350">
        <v>37.280593760999999</v>
      </c>
      <c r="D350">
        <v>-7.0006300833999999</v>
      </c>
      <c r="E350">
        <v>3</v>
      </c>
      <c r="F350">
        <v>3</v>
      </c>
      <c r="G350">
        <v>4</v>
      </c>
      <c r="J350" t="s">
        <v>15</v>
      </c>
      <c r="K350">
        <v>3</v>
      </c>
      <c r="L350">
        <v>3.5289999999999999</v>
      </c>
      <c r="M350">
        <v>1</v>
      </c>
      <c r="N350" t="s">
        <v>10019</v>
      </c>
      <c r="O350" t="str">
        <f>HYPERLINK("3\1\marker_543_823361.png", "Ver Imagen")</f>
        <v>Ver Imagen</v>
      </c>
      <c r="P350" t="str">
        <f>HYPERLINK("SE\A-492\A-492__72.png", "Ver Imagen")</f>
        <v>Ver Imagen</v>
      </c>
    </row>
    <row r="351" spans="1:16" x14ac:dyDescent="0.25">
      <c r="A351">
        <v>2998</v>
      </c>
      <c r="B351" t="s">
        <v>6009</v>
      </c>
      <c r="C351">
        <v>37.280472567499999</v>
      </c>
      <c r="D351">
        <v>-7.0012388543900004</v>
      </c>
      <c r="E351">
        <v>3</v>
      </c>
      <c r="F351">
        <v>3</v>
      </c>
      <c r="G351">
        <v>4</v>
      </c>
      <c r="J351" t="s">
        <v>15</v>
      </c>
      <c r="K351">
        <v>3</v>
      </c>
      <c r="L351">
        <v>2.3029999999999999</v>
      </c>
      <c r="M351">
        <v>1</v>
      </c>
      <c r="N351" t="s">
        <v>10019</v>
      </c>
      <c r="O351" t="str">
        <f>HYPERLINK("3\1\marker_327_823407.png", "Ver Imagen")</f>
        <v>Ver Imagen</v>
      </c>
      <c r="P351" t="str">
        <f>HYPERLINK("SE\A-492\A-492__75.png", "Ver Imagen")</f>
        <v>Ver Imagen</v>
      </c>
    </row>
    <row r="352" spans="1:16" x14ac:dyDescent="0.25">
      <c r="A352">
        <v>3018</v>
      </c>
      <c r="B352" t="s">
        <v>6047</v>
      </c>
      <c r="C352">
        <v>37.477173375500001</v>
      </c>
      <c r="D352">
        <v>-7.2037935765099999</v>
      </c>
      <c r="E352">
        <v>2</v>
      </c>
      <c r="F352">
        <v>3</v>
      </c>
      <c r="G352">
        <v>3</v>
      </c>
      <c r="J352" t="s">
        <v>15</v>
      </c>
      <c r="K352">
        <v>3</v>
      </c>
      <c r="L352">
        <v>2.4129999999999998</v>
      </c>
      <c r="M352">
        <v>1</v>
      </c>
      <c r="N352" t="s">
        <v>10017</v>
      </c>
      <c r="O352" t="str">
        <f>HYPERLINK("3\1\marker_989_751729.png", "Ver Imagen")</f>
        <v>Ver Imagen</v>
      </c>
      <c r="P352" t="str">
        <f>HYPERLINK("NE\A-490\A-490__353.png", "Ver Imagen")</f>
        <v>Ver Imagen</v>
      </c>
    </row>
    <row r="353" spans="1:16" x14ac:dyDescent="0.25">
      <c r="A353">
        <v>3027</v>
      </c>
      <c r="B353" t="s">
        <v>6065</v>
      </c>
      <c r="C353">
        <v>37.481981034199997</v>
      </c>
      <c r="D353">
        <v>-7.2155140568</v>
      </c>
      <c r="E353">
        <v>2</v>
      </c>
      <c r="F353">
        <v>3</v>
      </c>
      <c r="G353">
        <v>3</v>
      </c>
      <c r="J353" t="s">
        <v>15</v>
      </c>
      <c r="K353">
        <v>3</v>
      </c>
      <c r="L353">
        <v>3.6760000000000002</v>
      </c>
      <c r="M353">
        <v>1</v>
      </c>
      <c r="N353" t="s">
        <v>10019</v>
      </c>
      <c r="O353" t="str">
        <f>HYPERLINK("3\1\marker_947_753128.png", "Ver Imagen")</f>
        <v>Ver Imagen</v>
      </c>
      <c r="P353" t="str">
        <f>HYPERLINK("NO\A-490\A-490__405.png", "Ver Imagen")</f>
        <v>Ver Imagen</v>
      </c>
    </row>
    <row r="354" spans="1:16" x14ac:dyDescent="0.25">
      <c r="A354">
        <v>3034</v>
      </c>
      <c r="B354" t="s">
        <v>6079</v>
      </c>
      <c r="C354">
        <v>37.279525125500001</v>
      </c>
      <c r="D354">
        <v>-6.9965897331900004</v>
      </c>
      <c r="E354">
        <v>2</v>
      </c>
      <c r="F354">
        <v>3</v>
      </c>
      <c r="G354">
        <v>3</v>
      </c>
      <c r="J354" t="s">
        <v>15</v>
      </c>
      <c r="K354">
        <v>3</v>
      </c>
      <c r="L354">
        <v>2.27</v>
      </c>
      <c r="M354">
        <v>1</v>
      </c>
      <c r="N354" t="s">
        <v>10019</v>
      </c>
      <c r="O354" t="str">
        <f>HYPERLINK("3\1\marker_363_823063.png", "Ver Imagen")</f>
        <v>Ver Imagen</v>
      </c>
      <c r="P354" t="str">
        <f>HYPERLINK("SE\A-492\A-492__54.png", "Ver Imagen")</f>
        <v>Ver Imagen</v>
      </c>
    </row>
    <row r="355" spans="1:16" x14ac:dyDescent="0.25">
      <c r="A355">
        <v>3036</v>
      </c>
      <c r="B355" t="s">
        <v>6083</v>
      </c>
      <c r="C355">
        <v>37.293550775600004</v>
      </c>
      <c r="D355">
        <v>-7.0466668349899999</v>
      </c>
      <c r="E355">
        <v>2</v>
      </c>
      <c r="F355">
        <v>3</v>
      </c>
      <c r="G355">
        <v>3</v>
      </c>
      <c r="J355" t="s">
        <v>15</v>
      </c>
      <c r="K355">
        <v>3</v>
      </c>
      <c r="L355">
        <v>1.9219999999999999</v>
      </c>
      <c r="M355">
        <v>1</v>
      </c>
      <c r="N355" t="s">
        <v>10017</v>
      </c>
      <c r="O355" t="str">
        <f>HYPERLINK("3\1\marker_871_837632.png", "Ver Imagen")</f>
        <v>Ver Imagen</v>
      </c>
      <c r="P355" t="str">
        <f>HYPERLINK("SE\A-492\A-492__307.png", "Ver Imagen")</f>
        <v>Ver Imagen</v>
      </c>
    </row>
    <row r="356" spans="1:16" x14ac:dyDescent="0.25">
      <c r="A356">
        <v>3039</v>
      </c>
      <c r="B356" t="s">
        <v>6089</v>
      </c>
      <c r="C356">
        <v>37.447973612699997</v>
      </c>
      <c r="D356">
        <v>-7.1092931044999998</v>
      </c>
      <c r="E356">
        <v>2</v>
      </c>
      <c r="F356">
        <v>3</v>
      </c>
      <c r="G356">
        <v>3</v>
      </c>
      <c r="J356" t="s">
        <v>15</v>
      </c>
      <c r="K356">
        <v>3</v>
      </c>
      <c r="L356">
        <v>3.82</v>
      </c>
      <c r="M356">
        <v>1</v>
      </c>
      <c r="N356" t="s">
        <v>10018</v>
      </c>
      <c r="O356" t="str">
        <f>HYPERLINK("3\1\marker_796_936835.png", "Ver Imagen")</f>
        <v>Ver Imagen</v>
      </c>
      <c r="P356" t="str">
        <f>HYPERLINK("NE\A-495R\A-495R__16.png", "Ver Imagen")</f>
        <v>Ver Imagen</v>
      </c>
    </row>
    <row r="357" spans="1:16" x14ac:dyDescent="0.25">
      <c r="A357">
        <v>3069</v>
      </c>
      <c r="B357" t="s">
        <v>6149</v>
      </c>
      <c r="C357">
        <v>37.216377036499999</v>
      </c>
      <c r="D357">
        <v>-7.0918932248399997</v>
      </c>
      <c r="E357">
        <v>2</v>
      </c>
      <c r="F357">
        <v>3</v>
      </c>
      <c r="G357">
        <v>3</v>
      </c>
      <c r="J357" t="s">
        <v>15</v>
      </c>
      <c r="K357">
        <v>3</v>
      </c>
      <c r="L357">
        <v>2.23</v>
      </c>
      <c r="M357">
        <v>1</v>
      </c>
      <c r="N357" t="s">
        <v>10018</v>
      </c>
      <c r="O357" t="str">
        <f>HYPERLINK("3\1\marker_825_958175.png", "Ver Imagen")</f>
        <v>Ver Imagen</v>
      </c>
      <c r="P357" t="str">
        <f>HYPERLINK("SO\A-5052\A-5052__136.png", "Ver Imagen")</f>
        <v>Ver Imagen</v>
      </c>
    </row>
    <row r="358" spans="1:16" x14ac:dyDescent="0.25">
      <c r="A358">
        <v>3085</v>
      </c>
      <c r="B358" t="s">
        <v>6181</v>
      </c>
      <c r="C358">
        <v>37.198016565099998</v>
      </c>
      <c r="D358">
        <v>-7.0105523062600001</v>
      </c>
      <c r="E358">
        <v>2</v>
      </c>
      <c r="F358">
        <v>3</v>
      </c>
      <c r="G358">
        <v>3</v>
      </c>
      <c r="J358" t="s">
        <v>15</v>
      </c>
      <c r="K358">
        <v>3</v>
      </c>
      <c r="L358">
        <v>3.7610000000000001</v>
      </c>
      <c r="M358">
        <v>1</v>
      </c>
      <c r="N358" t="s">
        <v>10019</v>
      </c>
      <c r="O358" t="str">
        <f>HYPERLINK("3\1\marker_921_963468.png", "Ver Imagen")</f>
        <v>Ver Imagen</v>
      </c>
      <c r="P358" t="str">
        <f>HYPERLINK("SE\A-5052\A-5052__478.png", "Ver Imagen")</f>
        <v>Ver Imagen</v>
      </c>
    </row>
    <row r="359" spans="1:16" x14ac:dyDescent="0.25">
      <c r="A359">
        <v>3099</v>
      </c>
      <c r="B359" t="s">
        <v>6209</v>
      </c>
      <c r="C359">
        <v>37.271022608999999</v>
      </c>
      <c r="D359">
        <v>-7.1403230348999998</v>
      </c>
      <c r="E359">
        <v>4</v>
      </c>
      <c r="F359">
        <v>3</v>
      </c>
      <c r="G359">
        <v>3</v>
      </c>
      <c r="J359" t="s">
        <v>15</v>
      </c>
      <c r="K359">
        <v>3</v>
      </c>
      <c r="L359">
        <v>3.5329999999999999</v>
      </c>
      <c r="M359">
        <v>1</v>
      </c>
      <c r="N359" t="s">
        <v>10018</v>
      </c>
      <c r="O359" t="str">
        <f>HYPERLINK("3\1\marker_641_965041.png", "Ver Imagen")</f>
        <v>Ver Imagen</v>
      </c>
      <c r="P359" t="str">
        <f>HYPERLINK("SO\A-5053\A-5053__282.png", "Ver Imagen")</f>
        <v>Ver Imagen</v>
      </c>
    </row>
    <row r="360" spans="1:16" x14ac:dyDescent="0.25">
      <c r="A360">
        <v>3103</v>
      </c>
      <c r="B360" t="s">
        <v>6217</v>
      </c>
      <c r="C360">
        <v>37.266993255000003</v>
      </c>
      <c r="D360">
        <v>-7.1335192768500004</v>
      </c>
      <c r="E360">
        <v>4</v>
      </c>
      <c r="F360">
        <v>3</v>
      </c>
      <c r="G360">
        <v>3</v>
      </c>
      <c r="J360" t="s">
        <v>15</v>
      </c>
      <c r="K360">
        <v>3</v>
      </c>
      <c r="L360">
        <v>3.78</v>
      </c>
      <c r="M360">
        <v>1</v>
      </c>
      <c r="N360" t="s">
        <v>10018</v>
      </c>
      <c r="O360" t="str">
        <f>HYPERLINK("3\1\marker_825_965438.png", "Ver Imagen")</f>
        <v>Ver Imagen</v>
      </c>
      <c r="P360" t="str">
        <f>HYPERLINK("SO\A-5053\A-5053__247.png", "Ver Imagen")</f>
        <v>Ver Imagen</v>
      </c>
    </row>
    <row r="361" spans="1:16" x14ac:dyDescent="0.25">
      <c r="A361">
        <v>3105</v>
      </c>
      <c r="B361" t="s">
        <v>6221</v>
      </c>
      <c r="C361">
        <v>37.263939162</v>
      </c>
      <c r="D361">
        <v>-7.1315614894600001</v>
      </c>
      <c r="E361">
        <v>4</v>
      </c>
      <c r="F361">
        <v>3</v>
      </c>
      <c r="G361">
        <v>3</v>
      </c>
      <c r="J361" t="s">
        <v>15</v>
      </c>
      <c r="K361">
        <v>3</v>
      </c>
      <c r="L361">
        <v>2.2709999999999999</v>
      </c>
      <c r="M361">
        <v>1</v>
      </c>
      <c r="N361" t="s">
        <v>10018</v>
      </c>
      <c r="O361" t="str">
        <f>HYPERLINK("3\1\marker_563_965595.png", "Ver Imagen")</f>
        <v>Ver Imagen</v>
      </c>
      <c r="P361" t="str">
        <f>HYPERLINK("SO\A-5053\A-5053__230.png", "Ver Imagen")</f>
        <v>Ver Imagen</v>
      </c>
    </row>
    <row r="362" spans="1:16" x14ac:dyDescent="0.25">
      <c r="A362">
        <v>3109</v>
      </c>
      <c r="B362" t="s">
        <v>6229</v>
      </c>
      <c r="C362">
        <v>37.243464856899998</v>
      </c>
      <c r="D362">
        <v>-7.1282449208500003</v>
      </c>
      <c r="E362">
        <v>2</v>
      </c>
      <c r="F362">
        <v>3</v>
      </c>
      <c r="G362">
        <v>3</v>
      </c>
      <c r="J362" t="s">
        <v>15</v>
      </c>
      <c r="K362">
        <v>3</v>
      </c>
      <c r="L362">
        <v>2.1269999999999998</v>
      </c>
      <c r="M362">
        <v>1</v>
      </c>
      <c r="N362" t="s">
        <v>10017</v>
      </c>
      <c r="O362" t="str">
        <f>HYPERLINK("3\1\marker_757_019551.png", "Ver Imagen")</f>
        <v>Ver Imagen</v>
      </c>
      <c r="P362" t="str">
        <f>HYPERLINK("SO\A-5053\A-5053__124.png", "Ver Imagen")</f>
        <v>Ver Imagen</v>
      </c>
    </row>
    <row r="363" spans="1:16" x14ac:dyDescent="0.25">
      <c r="A363">
        <v>3112</v>
      </c>
      <c r="B363" t="s">
        <v>6235</v>
      </c>
      <c r="C363">
        <v>37.240853483199999</v>
      </c>
      <c r="D363">
        <v>-7.1286005450900003</v>
      </c>
      <c r="E363">
        <v>2</v>
      </c>
      <c r="F363">
        <v>3</v>
      </c>
      <c r="G363">
        <v>3</v>
      </c>
      <c r="J363" t="s">
        <v>15</v>
      </c>
      <c r="K363">
        <v>3</v>
      </c>
      <c r="L363">
        <v>2.4260000000000002</v>
      </c>
      <c r="M363">
        <v>1</v>
      </c>
      <c r="N363" t="s">
        <v>10018</v>
      </c>
      <c r="O363" t="str">
        <f>HYPERLINK("3\1\marker_823_019692.png", "Ver Imagen")</f>
        <v>Ver Imagen</v>
      </c>
      <c r="P363" t="str">
        <f>HYPERLINK("SO\A-5053\A-5053__111.png", "Ver Imagen")</f>
        <v>Ver Imagen</v>
      </c>
    </row>
    <row r="364" spans="1:16" x14ac:dyDescent="0.25">
      <c r="A364">
        <v>3114</v>
      </c>
      <c r="B364" t="s">
        <v>6239</v>
      </c>
      <c r="C364">
        <v>37.2380354298</v>
      </c>
      <c r="D364">
        <v>-7.1283793313899997</v>
      </c>
      <c r="E364">
        <v>2</v>
      </c>
      <c r="F364">
        <v>3</v>
      </c>
      <c r="G364">
        <v>3</v>
      </c>
      <c r="J364" t="s">
        <v>15</v>
      </c>
      <c r="K364">
        <v>3</v>
      </c>
      <c r="L364">
        <v>2.2480000000000002</v>
      </c>
      <c r="M364">
        <v>1</v>
      </c>
      <c r="N364" t="s">
        <v>10017</v>
      </c>
      <c r="O364" t="str">
        <f>HYPERLINK("3\1\marker_637_019842.png", "Ver Imagen")</f>
        <v>Ver Imagen</v>
      </c>
      <c r="P364" t="str">
        <f>HYPERLINK("SO\A-5053\A-5053__97.png", "Ver Imagen")</f>
        <v>Ver Imagen</v>
      </c>
    </row>
    <row r="365" spans="1:16" x14ac:dyDescent="0.25">
      <c r="A365">
        <v>3123</v>
      </c>
      <c r="B365" t="s">
        <v>6257</v>
      </c>
      <c r="C365">
        <v>37.228658078599999</v>
      </c>
      <c r="D365">
        <v>-7.1268055211199997</v>
      </c>
      <c r="E365">
        <v>3</v>
      </c>
      <c r="F365">
        <v>3</v>
      </c>
      <c r="G365">
        <v>4</v>
      </c>
      <c r="J365" t="s">
        <v>15</v>
      </c>
      <c r="K365">
        <v>3</v>
      </c>
      <c r="L365">
        <v>2.081</v>
      </c>
      <c r="M365">
        <v>1</v>
      </c>
      <c r="N365" t="s">
        <v>10018</v>
      </c>
      <c r="O365" t="str">
        <f>HYPERLINK("3\1\marker_287_020992.png", "Ver Imagen")</f>
        <v>Ver Imagen</v>
      </c>
      <c r="P365" t="str">
        <f>HYPERLINK("SO\A-5053\A-5053__50.png", "Ver Imagen")</f>
        <v>Ver Imagen</v>
      </c>
    </row>
    <row r="366" spans="1:16" x14ac:dyDescent="0.25">
      <c r="A366">
        <v>3139</v>
      </c>
      <c r="B366" t="s">
        <v>6289</v>
      </c>
      <c r="C366">
        <v>37.4355246306</v>
      </c>
      <c r="D366">
        <v>-7.0755615767800002</v>
      </c>
      <c r="E366">
        <v>3</v>
      </c>
      <c r="F366">
        <v>3</v>
      </c>
      <c r="G366">
        <v>2</v>
      </c>
      <c r="J366" t="s">
        <v>15</v>
      </c>
      <c r="K366">
        <v>3</v>
      </c>
      <c r="L366">
        <v>2.4449999999999998</v>
      </c>
      <c r="M366">
        <v>1</v>
      </c>
      <c r="N366" t="s">
        <v>10019</v>
      </c>
      <c r="O366" t="str">
        <f>HYPERLINK("3\1\marker_731_382274.png", "Ver Imagen")</f>
        <v>Ver Imagen</v>
      </c>
      <c r="P366" t="str">
        <f>HYPERLINK("NE\A-495\A-495__110.png", "Ver Imagen")</f>
        <v>Ver Imagen</v>
      </c>
    </row>
    <row r="367" spans="1:16" x14ac:dyDescent="0.25">
      <c r="A367">
        <v>3144</v>
      </c>
      <c r="B367" t="s">
        <v>6299</v>
      </c>
      <c r="C367">
        <v>37.434020199099997</v>
      </c>
      <c r="D367">
        <v>-7.06724667731</v>
      </c>
      <c r="E367">
        <v>2</v>
      </c>
      <c r="F367">
        <v>3</v>
      </c>
      <c r="G367">
        <v>3</v>
      </c>
      <c r="J367" t="s">
        <v>15</v>
      </c>
      <c r="K367">
        <v>3</v>
      </c>
      <c r="L367">
        <v>2.3809999999999998</v>
      </c>
      <c r="M367">
        <v>1</v>
      </c>
      <c r="N367" t="s">
        <v>10019</v>
      </c>
      <c r="O367" t="str">
        <f>HYPERLINK("3\1\marker_584_382615.png", "Ver Imagen")</f>
        <v>Ver Imagen</v>
      </c>
      <c r="P367" t="str">
        <f>HYPERLINK("NE\A-495\A-495__144.png", "Ver Imagen")</f>
        <v>Ver Imagen</v>
      </c>
    </row>
    <row r="368" spans="1:16" x14ac:dyDescent="0.25">
      <c r="A368">
        <v>3152</v>
      </c>
      <c r="B368" t="s">
        <v>6315</v>
      </c>
      <c r="C368">
        <v>37.234089119099998</v>
      </c>
      <c r="D368">
        <v>-7.0620401499699996</v>
      </c>
      <c r="E368">
        <v>4</v>
      </c>
      <c r="F368">
        <v>3</v>
      </c>
      <c r="G368">
        <v>3</v>
      </c>
      <c r="J368" t="s">
        <v>15</v>
      </c>
      <c r="K368">
        <v>3</v>
      </c>
      <c r="L368">
        <v>2.0710000000000002</v>
      </c>
      <c r="M368">
        <v>1</v>
      </c>
      <c r="N368" t="s">
        <v>10017</v>
      </c>
      <c r="O368" t="str">
        <f>HYPERLINK("3\1\marker_316_381739.png", "Ver Imagen")</f>
        <v>Ver Imagen</v>
      </c>
      <c r="P368" t="str">
        <f>HYPERLINK("SE\A-5058\A-5058__153.png", "Ver Imagen")</f>
        <v>Ver Imagen</v>
      </c>
    </row>
    <row r="369" spans="1:16" x14ac:dyDescent="0.25">
      <c r="A369">
        <v>3198</v>
      </c>
      <c r="B369" t="s">
        <v>6407</v>
      </c>
      <c r="C369">
        <v>37.242117237199999</v>
      </c>
      <c r="D369">
        <v>-7.08479344656</v>
      </c>
      <c r="E369">
        <v>3</v>
      </c>
      <c r="F369">
        <v>3</v>
      </c>
      <c r="G369">
        <v>4</v>
      </c>
      <c r="J369" t="s">
        <v>15</v>
      </c>
      <c r="K369">
        <v>3</v>
      </c>
      <c r="L369">
        <v>2.4889999999999999</v>
      </c>
      <c r="M369">
        <v>1</v>
      </c>
      <c r="N369" t="s">
        <v>10017</v>
      </c>
      <c r="O369" t="str">
        <f>HYPERLINK("3\1\marker_764_383632.png", "Ver Imagen")</f>
        <v>Ver Imagen</v>
      </c>
      <c r="P369" t="str">
        <f>HYPERLINK("SE\A-5058\A-5058__257.png", "Ver Imagen")</f>
        <v>Ver Imagen</v>
      </c>
    </row>
    <row r="370" spans="1:16" x14ac:dyDescent="0.25">
      <c r="A370">
        <v>3240</v>
      </c>
      <c r="B370" t="s">
        <v>6491</v>
      </c>
      <c r="C370">
        <v>37.256022694499997</v>
      </c>
      <c r="D370">
        <v>-7.1184073446399996</v>
      </c>
      <c r="E370">
        <v>3</v>
      </c>
      <c r="F370">
        <v>3</v>
      </c>
      <c r="G370">
        <v>4</v>
      </c>
      <c r="J370" t="s">
        <v>15</v>
      </c>
      <c r="K370">
        <v>3</v>
      </c>
      <c r="L370">
        <v>2.3580000000000001</v>
      </c>
      <c r="M370">
        <v>1</v>
      </c>
      <c r="N370" t="s">
        <v>10018</v>
      </c>
      <c r="O370" t="str">
        <f>HYPERLINK("3\1\marker_591_388745.png", "Ver Imagen")</f>
        <v>Ver Imagen</v>
      </c>
      <c r="P370" t="str">
        <f>HYPERLINK("SO\A-5058\A-5058__419.png", "Ver Imagen")</f>
        <v>Ver Imagen</v>
      </c>
    </row>
    <row r="371" spans="1:16" x14ac:dyDescent="0.25">
      <c r="A371">
        <v>3243</v>
      </c>
      <c r="B371" t="s">
        <v>6497</v>
      </c>
      <c r="C371">
        <v>37.257078728499998</v>
      </c>
      <c r="D371">
        <v>-7.1191877732700002</v>
      </c>
      <c r="E371">
        <v>3</v>
      </c>
      <c r="F371">
        <v>3</v>
      </c>
      <c r="G371">
        <v>4</v>
      </c>
      <c r="J371" t="s">
        <v>15</v>
      </c>
      <c r="K371">
        <v>3</v>
      </c>
      <c r="L371">
        <v>3.5009999999999999</v>
      </c>
      <c r="M371">
        <v>1</v>
      </c>
      <c r="N371" t="s">
        <v>10019</v>
      </c>
      <c r="O371" t="str">
        <f>HYPERLINK("3\1\marker_850_388803.png", "Ver Imagen")</f>
        <v>Ver Imagen</v>
      </c>
      <c r="P371" t="str">
        <f>HYPERLINK("SO\A-5058\A-5058__425.png", "Ver Imagen")</f>
        <v>Ver Imagen</v>
      </c>
    </row>
    <row r="372" spans="1:16" x14ac:dyDescent="0.25">
      <c r="A372">
        <v>3268</v>
      </c>
      <c r="B372" t="s">
        <v>6547</v>
      </c>
      <c r="C372">
        <v>37.481142070700002</v>
      </c>
      <c r="D372">
        <v>-7.1278569727400001</v>
      </c>
      <c r="E372">
        <v>3</v>
      </c>
      <c r="F372">
        <v>3</v>
      </c>
      <c r="G372">
        <v>2</v>
      </c>
      <c r="J372" t="s">
        <v>15</v>
      </c>
      <c r="K372">
        <v>3</v>
      </c>
      <c r="L372">
        <v>2.4790000000000001</v>
      </c>
      <c r="M372">
        <v>1</v>
      </c>
      <c r="N372" t="s">
        <v>10019</v>
      </c>
      <c r="O372" t="str">
        <f>HYPERLINK("3\1\marker_533_383952.png", "Ver Imagen")</f>
        <v>Ver Imagen</v>
      </c>
      <c r="P372" t="str">
        <f>HYPERLINK("NE\A-495_1\A-495_1__174.png", "Ver Imagen")</f>
        <v>Ver Imagen</v>
      </c>
    </row>
    <row r="373" spans="1:16" x14ac:dyDescent="0.25">
      <c r="A373">
        <v>3270</v>
      </c>
      <c r="B373" t="s">
        <v>6551</v>
      </c>
      <c r="C373">
        <v>37.479756456200001</v>
      </c>
      <c r="D373">
        <v>-7.1279470455</v>
      </c>
      <c r="E373">
        <v>4</v>
      </c>
      <c r="F373">
        <v>3</v>
      </c>
      <c r="G373">
        <v>3</v>
      </c>
      <c r="J373" t="s">
        <v>15</v>
      </c>
      <c r="K373">
        <v>3</v>
      </c>
      <c r="L373">
        <v>3.5990000000000002</v>
      </c>
      <c r="M373">
        <v>1</v>
      </c>
      <c r="N373" t="s">
        <v>10019</v>
      </c>
      <c r="O373" t="str">
        <f>HYPERLINK("3\1\marker_647_384019.png", "Ver Imagen")</f>
        <v>Ver Imagen</v>
      </c>
      <c r="P373" t="str">
        <f>HYPERLINK("NE\A-495_1\A-495_1__167.png", "Ver Imagen")</f>
        <v>Ver Imagen</v>
      </c>
    </row>
    <row r="374" spans="1:16" x14ac:dyDescent="0.25">
      <c r="A374">
        <v>3278</v>
      </c>
      <c r="B374" t="s">
        <v>6567</v>
      </c>
      <c r="C374">
        <v>37.470076068499999</v>
      </c>
      <c r="D374">
        <v>-7.1246898297900003</v>
      </c>
      <c r="E374">
        <v>3</v>
      </c>
      <c r="F374">
        <v>3</v>
      </c>
      <c r="G374">
        <v>2</v>
      </c>
      <c r="J374" t="s">
        <v>15</v>
      </c>
      <c r="K374">
        <v>3</v>
      </c>
      <c r="L374">
        <v>2.407</v>
      </c>
      <c r="M374">
        <v>1</v>
      </c>
      <c r="N374" t="s">
        <v>10018</v>
      </c>
      <c r="O374" t="str">
        <f>HYPERLINK("3\1\marker_328_384682.png", "Ver Imagen")</f>
        <v>Ver Imagen</v>
      </c>
      <c r="P374" t="str">
        <f>HYPERLINK("NE\A-495_1\A-495_1__114.png", "Ver Imagen")</f>
        <v>Ver Imagen</v>
      </c>
    </row>
    <row r="375" spans="1:16" x14ac:dyDescent="0.25">
      <c r="A375">
        <v>3279</v>
      </c>
      <c r="B375" t="s">
        <v>6569</v>
      </c>
      <c r="C375">
        <v>37.4672012837</v>
      </c>
      <c r="D375">
        <v>-7.1228710066099996</v>
      </c>
      <c r="E375">
        <v>3</v>
      </c>
      <c r="F375">
        <v>3</v>
      </c>
      <c r="G375">
        <v>2</v>
      </c>
      <c r="J375" t="s">
        <v>15</v>
      </c>
      <c r="K375">
        <v>3</v>
      </c>
      <c r="L375">
        <v>1.982</v>
      </c>
      <c r="M375">
        <v>1</v>
      </c>
      <c r="N375" t="s">
        <v>10017</v>
      </c>
      <c r="O375" t="str">
        <f>HYPERLINK("3\1\marker_361_385060.png", "Ver Imagen")</f>
        <v>Ver Imagen</v>
      </c>
      <c r="P375" t="str">
        <f>HYPERLINK("NE\A-495_1\A-495_1__98.png", "Ver Imagen")</f>
        <v>Ver Imagen</v>
      </c>
    </row>
    <row r="376" spans="1:16" x14ac:dyDescent="0.25">
      <c r="A376">
        <v>3281</v>
      </c>
      <c r="B376" t="s">
        <v>6573</v>
      </c>
      <c r="C376">
        <v>37.4600180714</v>
      </c>
      <c r="D376">
        <v>-7.1248909067300001</v>
      </c>
      <c r="E376">
        <v>2</v>
      </c>
      <c r="F376">
        <v>3</v>
      </c>
      <c r="G376">
        <v>3</v>
      </c>
      <c r="J376" t="s">
        <v>15</v>
      </c>
      <c r="K376">
        <v>3</v>
      </c>
      <c r="L376">
        <v>1.696</v>
      </c>
      <c r="M376">
        <v>1</v>
      </c>
      <c r="N376" t="s">
        <v>10018</v>
      </c>
      <c r="O376" t="str">
        <f>HYPERLINK("3\1\marker_375_385413.png", "Ver Imagen")</f>
        <v>Ver Imagen</v>
      </c>
      <c r="P376" t="str">
        <f>HYPERLINK("NE\A-495_1\A-495_1__61.png", "Ver Imagen")</f>
        <v>Ver Imagen</v>
      </c>
    </row>
    <row r="377" spans="1:16" x14ac:dyDescent="0.25">
      <c r="A377">
        <v>3286</v>
      </c>
      <c r="B377" t="s">
        <v>6583</v>
      </c>
      <c r="C377">
        <v>37.450142158200002</v>
      </c>
      <c r="D377">
        <v>-7.1272689762499999</v>
      </c>
      <c r="E377">
        <v>2</v>
      </c>
      <c r="F377">
        <v>3</v>
      </c>
      <c r="G377">
        <v>3</v>
      </c>
      <c r="J377" t="s">
        <v>15</v>
      </c>
      <c r="K377">
        <v>3</v>
      </c>
      <c r="L377">
        <v>2.2250000000000001</v>
      </c>
      <c r="M377">
        <v>1</v>
      </c>
      <c r="N377" t="s">
        <v>10017</v>
      </c>
      <c r="O377" t="str">
        <f>HYPERLINK("3\1\marker_743_386216.png", "Ver Imagen")</f>
        <v>Ver Imagen</v>
      </c>
      <c r="P377" t="str">
        <f>HYPERLINK("NE\A-495_1\A-495_1__11.png", "Ver Imagen")</f>
        <v>Ver Imagen</v>
      </c>
    </row>
    <row r="378" spans="1:16" x14ac:dyDescent="0.25">
      <c r="A378">
        <v>3288</v>
      </c>
      <c r="B378" t="s">
        <v>6587</v>
      </c>
      <c r="C378">
        <v>37.449601582200003</v>
      </c>
      <c r="D378">
        <v>-7.1271306129000003</v>
      </c>
      <c r="E378">
        <v>2</v>
      </c>
      <c r="F378">
        <v>3</v>
      </c>
      <c r="G378">
        <v>3</v>
      </c>
      <c r="J378" t="s">
        <v>15</v>
      </c>
      <c r="K378">
        <v>3</v>
      </c>
      <c r="L378">
        <v>2.3260000000000001</v>
      </c>
      <c r="M378">
        <v>1</v>
      </c>
      <c r="N378" t="s">
        <v>10019</v>
      </c>
      <c r="O378" t="str">
        <f>HYPERLINK("3\1\marker_228_386244.png", "Ver Imagen")</f>
        <v>Ver Imagen</v>
      </c>
      <c r="P378" t="str">
        <f>HYPERLINK("NE\A-495_1\A-495_1__8.png", "Ver Imagen")</f>
        <v>Ver Imagen</v>
      </c>
    </row>
    <row r="379" spans="1:16" x14ac:dyDescent="0.25">
      <c r="A379">
        <v>3290</v>
      </c>
      <c r="B379" t="s">
        <v>6591</v>
      </c>
      <c r="C379">
        <v>37.448993081200001</v>
      </c>
      <c r="D379">
        <v>-7.12692472109</v>
      </c>
      <c r="E379">
        <v>3</v>
      </c>
      <c r="F379">
        <v>3</v>
      </c>
      <c r="G379">
        <v>4</v>
      </c>
      <c r="J379" t="s">
        <v>15</v>
      </c>
      <c r="K379">
        <v>3</v>
      </c>
      <c r="L379">
        <v>2.335</v>
      </c>
      <c r="M379">
        <v>1</v>
      </c>
      <c r="N379" t="s">
        <v>10018</v>
      </c>
      <c r="O379" t="str">
        <f>HYPERLINK("3\1\marker_617_386274.png", "Ver Imagen")</f>
        <v>Ver Imagen</v>
      </c>
      <c r="P379" t="str">
        <f>HYPERLINK("NE\A-495_1\A-495_1__5.png", "Ver Imagen")</f>
        <v>Ver Imagen</v>
      </c>
    </row>
    <row r="380" spans="1:16" x14ac:dyDescent="0.25">
      <c r="A380">
        <v>3292</v>
      </c>
      <c r="B380" t="s">
        <v>6595</v>
      </c>
      <c r="C380">
        <v>37.448428935899997</v>
      </c>
      <c r="D380">
        <v>-7.1267244646199996</v>
      </c>
      <c r="E380">
        <v>3</v>
      </c>
      <c r="F380">
        <v>3</v>
      </c>
      <c r="G380">
        <v>4</v>
      </c>
      <c r="J380" t="s">
        <v>15</v>
      </c>
      <c r="K380">
        <v>3</v>
      </c>
      <c r="L380">
        <v>2.3180000000000001</v>
      </c>
      <c r="M380">
        <v>1</v>
      </c>
      <c r="N380" t="s">
        <v>10018</v>
      </c>
      <c r="O380" t="str">
        <f>HYPERLINK("3\1\marker_738_386308.png", "Ver Imagen")</f>
        <v>Ver Imagen</v>
      </c>
      <c r="P380" t="str">
        <f>HYPERLINK("NE\A-495_1\A-495_1__2.png", "Ver Imagen")</f>
        <v>Ver Imagen</v>
      </c>
    </row>
    <row r="381" spans="1:16" x14ac:dyDescent="0.25">
      <c r="A381">
        <v>3293</v>
      </c>
      <c r="B381" t="s">
        <v>6597</v>
      </c>
      <c r="C381">
        <v>37.495698601500003</v>
      </c>
      <c r="D381">
        <v>-7.2747608109900002</v>
      </c>
      <c r="E381">
        <v>2</v>
      </c>
      <c r="F381">
        <v>3</v>
      </c>
      <c r="G381">
        <v>3</v>
      </c>
      <c r="J381" t="s">
        <v>15</v>
      </c>
      <c r="K381">
        <v>3</v>
      </c>
      <c r="L381">
        <v>2.391</v>
      </c>
      <c r="M381">
        <v>1</v>
      </c>
      <c r="N381" t="s">
        <v>10019</v>
      </c>
      <c r="O381" t="str">
        <f>HYPERLINK("3\1\marker_495_534916.png", "Ver Imagen")</f>
        <v>Ver Imagen</v>
      </c>
      <c r="P381" t="str">
        <f>HYPERLINK("NO\A-499\A-499__52.png", "Ver Imagen")</f>
        <v>Ver Imagen</v>
      </c>
    </row>
    <row r="382" spans="1:16" x14ac:dyDescent="0.25">
      <c r="A382">
        <v>3295</v>
      </c>
      <c r="B382" t="s">
        <v>6601</v>
      </c>
      <c r="C382">
        <v>37.495594554900002</v>
      </c>
      <c r="D382">
        <v>-7.2732753456900001</v>
      </c>
      <c r="E382">
        <v>2</v>
      </c>
      <c r="F382">
        <v>3</v>
      </c>
      <c r="G382">
        <v>3</v>
      </c>
      <c r="J382" t="s">
        <v>15</v>
      </c>
      <c r="K382">
        <v>3</v>
      </c>
      <c r="L382">
        <v>2.4889999999999999</v>
      </c>
      <c r="M382">
        <v>1</v>
      </c>
      <c r="N382" t="s">
        <v>10019</v>
      </c>
      <c r="O382" t="str">
        <f>HYPERLINK("3\1\marker_422_534976.png", "Ver Imagen")</f>
        <v>Ver Imagen</v>
      </c>
      <c r="P382" t="str">
        <f>HYPERLINK("NO\A-499\A-499__58.png", "Ver Imagen")</f>
        <v>Ver Imagen</v>
      </c>
    </row>
    <row r="383" spans="1:16" x14ac:dyDescent="0.25">
      <c r="A383">
        <v>3353</v>
      </c>
      <c r="B383" t="s">
        <v>6717</v>
      </c>
      <c r="C383">
        <v>37.271540664200003</v>
      </c>
      <c r="D383">
        <v>-6.9844175250899996</v>
      </c>
      <c r="E383">
        <v>3</v>
      </c>
      <c r="F383">
        <v>3</v>
      </c>
      <c r="G383">
        <v>2</v>
      </c>
      <c r="J383" t="s">
        <v>15</v>
      </c>
      <c r="K383">
        <v>3</v>
      </c>
      <c r="L383">
        <v>2.4910000000000001</v>
      </c>
      <c r="M383">
        <v>1</v>
      </c>
      <c r="N383" t="s">
        <v>10018</v>
      </c>
      <c r="O383" t="str">
        <f>HYPERLINK("3\1\marker_642_655545.png", "Ver Imagen")</f>
        <v>Ver Imagen</v>
      </c>
      <c r="P383" t="str">
        <f>HYPERLINK("SE\A-497_2C\A-497_2C__111.png", "Ver Imagen")</f>
        <v>Ver Imagen</v>
      </c>
    </row>
    <row r="384" spans="1:16" x14ac:dyDescent="0.25">
      <c r="A384">
        <v>3407</v>
      </c>
      <c r="B384" t="s">
        <v>6825</v>
      </c>
      <c r="C384">
        <v>37.200402343500002</v>
      </c>
      <c r="D384">
        <v>-6.9875087648500003</v>
      </c>
      <c r="E384">
        <v>2</v>
      </c>
      <c r="F384">
        <v>3</v>
      </c>
      <c r="G384">
        <v>3</v>
      </c>
      <c r="J384" t="s">
        <v>15</v>
      </c>
      <c r="K384">
        <v>3</v>
      </c>
      <c r="L384">
        <v>2.306</v>
      </c>
      <c r="M384">
        <v>1</v>
      </c>
      <c r="N384" t="s">
        <v>10018</v>
      </c>
      <c r="O384" t="str">
        <f>HYPERLINK("3\1\marker_511_371141.png", "Ver Imagen")</f>
        <v>Ver Imagen</v>
      </c>
      <c r="P384" t="str">
        <f>HYPERLINK("SE\A-497\A-497__661.png", "Ver Imagen")</f>
        <v>Ver Imagen</v>
      </c>
    </row>
    <row r="385" spans="1:16" x14ac:dyDescent="0.25">
      <c r="A385">
        <v>3410</v>
      </c>
      <c r="B385" t="s">
        <v>6831</v>
      </c>
      <c r="C385">
        <v>37.200792038899998</v>
      </c>
      <c r="D385">
        <v>-6.9892323033099997</v>
      </c>
      <c r="E385">
        <v>2</v>
      </c>
      <c r="F385">
        <v>3</v>
      </c>
      <c r="G385">
        <v>3</v>
      </c>
      <c r="J385" t="s">
        <v>15</v>
      </c>
      <c r="K385">
        <v>3</v>
      </c>
      <c r="L385">
        <v>2.3220000000000001</v>
      </c>
      <c r="M385">
        <v>1</v>
      </c>
      <c r="N385" t="s">
        <v>10017</v>
      </c>
      <c r="O385" t="str">
        <f>HYPERLINK("3\1\marker_571_371201.png", "Ver Imagen")</f>
        <v>Ver Imagen</v>
      </c>
      <c r="P385" t="str">
        <f>HYPERLINK("SE\A-497\A-497__654.png", "Ver Imagen")</f>
        <v>Ver Imagen</v>
      </c>
    </row>
    <row r="386" spans="1:16" x14ac:dyDescent="0.25">
      <c r="A386">
        <v>3420</v>
      </c>
      <c r="B386" t="s">
        <v>6851</v>
      </c>
      <c r="C386">
        <v>37.257520313400001</v>
      </c>
      <c r="D386">
        <v>-7.0132806388300004</v>
      </c>
      <c r="E386">
        <v>2</v>
      </c>
      <c r="F386">
        <v>3</v>
      </c>
      <c r="G386">
        <v>3</v>
      </c>
      <c r="J386" t="s">
        <v>15</v>
      </c>
      <c r="K386">
        <v>3</v>
      </c>
      <c r="L386">
        <v>2.1779999999999999</v>
      </c>
      <c r="M386">
        <v>1</v>
      </c>
      <c r="N386" t="s">
        <v>10018</v>
      </c>
      <c r="O386" t="str">
        <f>HYPERLINK("3\1\marker_407_319554.png", "Ver Imagen")</f>
        <v>Ver Imagen</v>
      </c>
      <c r="P386" t="str">
        <f>HYPERLINK("SE\A-497_2C\A-497_2C__256.png", "Ver Imagen")</f>
        <v>Ver Imagen</v>
      </c>
    </row>
    <row r="387" spans="1:16" x14ac:dyDescent="0.25">
      <c r="A387">
        <v>3421</v>
      </c>
      <c r="B387" t="s">
        <v>6853</v>
      </c>
      <c r="C387">
        <v>37.25731554</v>
      </c>
      <c r="D387">
        <v>-7.0134115172299998</v>
      </c>
      <c r="E387">
        <v>2</v>
      </c>
      <c r="F387">
        <v>3</v>
      </c>
      <c r="G387">
        <v>3</v>
      </c>
      <c r="J387" t="s">
        <v>15</v>
      </c>
      <c r="K387">
        <v>3</v>
      </c>
      <c r="L387">
        <v>3.6549999999999998</v>
      </c>
      <c r="M387">
        <v>1</v>
      </c>
      <c r="N387" t="s">
        <v>10019</v>
      </c>
      <c r="O387" t="str">
        <f>HYPERLINK("3\1\marker_341_319563.png", "Ver Imagen")</f>
        <v>Ver Imagen</v>
      </c>
      <c r="P387" t="str">
        <f>HYPERLINK("SE\A-497_2C\A-497_2C__257.png", "Ver Imagen")</f>
        <v>Ver Imagen</v>
      </c>
    </row>
    <row r="388" spans="1:16" x14ac:dyDescent="0.25">
      <c r="A388">
        <v>3448</v>
      </c>
      <c r="B388" t="s">
        <v>6907</v>
      </c>
      <c r="C388">
        <v>37.203317963700002</v>
      </c>
      <c r="D388">
        <v>-7.0056129190599998</v>
      </c>
      <c r="E388">
        <v>2</v>
      </c>
      <c r="F388">
        <v>3</v>
      </c>
      <c r="G388">
        <v>3</v>
      </c>
      <c r="J388" t="s">
        <v>15</v>
      </c>
      <c r="K388">
        <v>3</v>
      </c>
      <c r="L388">
        <v>2.4950000000000001</v>
      </c>
      <c r="M388">
        <v>1</v>
      </c>
      <c r="N388" t="s">
        <v>10019</v>
      </c>
      <c r="O388" t="str">
        <f>HYPERLINK("3\1\marker_589_371852.png", "Ver Imagen")</f>
        <v>Ver Imagen</v>
      </c>
      <c r="P388" t="str">
        <f>HYPERLINK("SE\A-497\A-497__588.png", "Ver Imagen")</f>
        <v>Ver Imagen</v>
      </c>
    </row>
    <row r="389" spans="1:16" x14ac:dyDescent="0.25">
      <c r="A389">
        <v>3452</v>
      </c>
      <c r="B389" t="s">
        <v>6915</v>
      </c>
      <c r="C389">
        <v>37.203486120699999</v>
      </c>
      <c r="D389">
        <v>-7.0068863919800002</v>
      </c>
      <c r="E389">
        <v>4</v>
      </c>
      <c r="F389">
        <v>3</v>
      </c>
      <c r="G389">
        <v>3</v>
      </c>
      <c r="J389" t="s">
        <v>15</v>
      </c>
      <c r="K389">
        <v>3</v>
      </c>
      <c r="L389">
        <v>3.5640000000000001</v>
      </c>
      <c r="M389">
        <v>1</v>
      </c>
      <c r="N389" t="s">
        <v>10018</v>
      </c>
      <c r="O389" t="str">
        <f>HYPERLINK("3\1\marker_392_371897.png", "Ver Imagen")</f>
        <v>Ver Imagen</v>
      </c>
      <c r="P389" t="str">
        <f>HYPERLINK("SE\A-497\A-497__583.png", "Ver Imagen")</f>
        <v>Ver Imagen</v>
      </c>
    </row>
    <row r="390" spans="1:16" x14ac:dyDescent="0.25">
      <c r="A390">
        <v>3471</v>
      </c>
      <c r="B390" t="s">
        <v>6953</v>
      </c>
      <c r="C390">
        <v>37.206918411700002</v>
      </c>
      <c r="D390">
        <v>-7.02101268889</v>
      </c>
      <c r="E390">
        <v>4</v>
      </c>
      <c r="F390">
        <v>3</v>
      </c>
      <c r="G390">
        <v>3</v>
      </c>
      <c r="J390" t="s">
        <v>15</v>
      </c>
      <c r="K390">
        <v>3</v>
      </c>
      <c r="L390">
        <v>2.2599999999999998</v>
      </c>
      <c r="M390">
        <v>1</v>
      </c>
      <c r="N390" t="s">
        <v>10018</v>
      </c>
      <c r="O390" t="str">
        <f>HYPERLINK("3\1\marker_610_372559.png", "Ver Imagen")</f>
        <v>Ver Imagen</v>
      </c>
      <c r="P390" t="str">
        <f>HYPERLINK("SE\A-497\A-497__524.png", "Ver Imagen")</f>
        <v>Ver Imagen</v>
      </c>
    </row>
    <row r="391" spans="1:16" x14ac:dyDescent="0.25">
      <c r="A391">
        <v>3474</v>
      </c>
      <c r="B391" t="s">
        <v>6959</v>
      </c>
      <c r="C391">
        <v>37.210531541599998</v>
      </c>
      <c r="D391">
        <v>-7.0236814088099999</v>
      </c>
      <c r="E391">
        <v>2</v>
      </c>
      <c r="F391">
        <v>3</v>
      </c>
      <c r="G391">
        <v>3</v>
      </c>
      <c r="J391" t="s">
        <v>15</v>
      </c>
      <c r="K391">
        <v>3</v>
      </c>
      <c r="L391">
        <v>2.2890000000000001</v>
      </c>
      <c r="M391">
        <v>1</v>
      </c>
      <c r="N391" t="s">
        <v>10017</v>
      </c>
      <c r="O391" t="str">
        <f>HYPERLINK("3\1\marker_204_376052.png", "Ver Imagen")</f>
        <v>Ver Imagen</v>
      </c>
      <c r="P391" t="str">
        <f>HYPERLINK("SE\A-497\A-497__503.png", "Ver Imagen")</f>
        <v>Ver Imagen</v>
      </c>
    </row>
    <row r="392" spans="1:16" x14ac:dyDescent="0.25">
      <c r="A392">
        <v>3480</v>
      </c>
      <c r="B392" t="s">
        <v>6971</v>
      </c>
      <c r="C392">
        <v>37.229268064700001</v>
      </c>
      <c r="D392">
        <v>-7.0210198400400001</v>
      </c>
      <c r="E392">
        <v>4</v>
      </c>
      <c r="F392">
        <v>3</v>
      </c>
      <c r="G392">
        <v>3</v>
      </c>
      <c r="J392" t="s">
        <v>15</v>
      </c>
      <c r="K392">
        <v>3</v>
      </c>
      <c r="L392">
        <v>1.754</v>
      </c>
      <c r="M392">
        <v>1</v>
      </c>
      <c r="N392" t="s">
        <v>10017</v>
      </c>
      <c r="O392" t="str">
        <f>HYPERLINK("3\1\marker_711_362935.png", "Ver Imagen")</f>
        <v>Ver Imagen</v>
      </c>
      <c r="P392" t="str">
        <f>HYPERLINK("SE\A-497_2C\A-497_2C__403.png", "Ver Imagen")</f>
        <v>Ver Imagen</v>
      </c>
    </row>
    <row r="393" spans="1:16" x14ac:dyDescent="0.25">
      <c r="A393">
        <v>3491</v>
      </c>
      <c r="B393" t="s">
        <v>6993</v>
      </c>
      <c r="C393">
        <v>37.220482520300003</v>
      </c>
      <c r="D393">
        <v>-7.0230063882499998</v>
      </c>
      <c r="E393">
        <v>3</v>
      </c>
      <c r="F393">
        <v>3</v>
      </c>
      <c r="G393">
        <v>4</v>
      </c>
      <c r="J393" t="s">
        <v>15</v>
      </c>
      <c r="K393">
        <v>3</v>
      </c>
      <c r="L393">
        <v>3.5329999999999999</v>
      </c>
      <c r="M393">
        <v>1</v>
      </c>
      <c r="N393" t="s">
        <v>10019</v>
      </c>
      <c r="O393" t="str">
        <f>HYPERLINK("3\1\marker_948_363409.png", "Ver Imagen")</f>
        <v>Ver Imagen</v>
      </c>
      <c r="P393" t="str">
        <f>HYPERLINK("SE\A-497_2C\A-497_2C__449.png", "Ver Imagen")</f>
        <v>Ver Imagen</v>
      </c>
    </row>
    <row r="394" spans="1:16" x14ac:dyDescent="0.25">
      <c r="A394">
        <v>3503</v>
      </c>
      <c r="B394" t="s">
        <v>7017</v>
      </c>
      <c r="C394">
        <v>37.2108011125</v>
      </c>
      <c r="D394">
        <v>-7.0239490733199998</v>
      </c>
      <c r="E394">
        <v>4</v>
      </c>
      <c r="F394">
        <v>3</v>
      </c>
      <c r="G394">
        <v>3</v>
      </c>
      <c r="J394" t="s">
        <v>15</v>
      </c>
      <c r="K394">
        <v>3</v>
      </c>
      <c r="L394">
        <v>2.4700000000000002</v>
      </c>
      <c r="M394">
        <v>1</v>
      </c>
      <c r="N394" t="s">
        <v>10017</v>
      </c>
      <c r="O394" t="str">
        <f>HYPERLINK("3\1\marker_745_364032.png", "Ver Imagen")</f>
        <v>Ver Imagen</v>
      </c>
      <c r="P394" t="str">
        <f>HYPERLINK("SE\A-497_2C\A-497_2C__497.png", "Ver Imagen")</f>
        <v>Ver Imagen</v>
      </c>
    </row>
    <row r="395" spans="1:16" x14ac:dyDescent="0.25">
      <c r="A395">
        <v>3504</v>
      </c>
      <c r="B395" t="s">
        <v>7019</v>
      </c>
      <c r="C395">
        <v>37.210581532200003</v>
      </c>
      <c r="D395">
        <v>-7.0238988822900001</v>
      </c>
      <c r="E395">
        <v>2</v>
      </c>
      <c r="F395">
        <v>3</v>
      </c>
      <c r="G395">
        <v>3</v>
      </c>
      <c r="J395" t="s">
        <v>15</v>
      </c>
      <c r="K395">
        <v>3</v>
      </c>
      <c r="L395">
        <v>2.359</v>
      </c>
      <c r="M395">
        <v>1</v>
      </c>
      <c r="N395" t="s">
        <v>10019</v>
      </c>
      <c r="O395" t="str">
        <f>HYPERLINK("3\1\marker_717_364041.png", "Ver Imagen")</f>
        <v>Ver Imagen</v>
      </c>
      <c r="P395" t="str">
        <f>HYPERLINK("SE\A-497_2C\A-497_2C__498.png", "Ver Imagen")</f>
        <v>Ver Imagen</v>
      </c>
    </row>
    <row r="396" spans="1:16" x14ac:dyDescent="0.25">
      <c r="A396">
        <v>3506</v>
      </c>
      <c r="B396" t="s">
        <v>7023</v>
      </c>
      <c r="C396">
        <v>37.208320863399997</v>
      </c>
      <c r="D396">
        <v>-7.0227742881399999</v>
      </c>
      <c r="E396">
        <v>3</v>
      </c>
      <c r="F396">
        <v>3</v>
      </c>
      <c r="G396">
        <v>2</v>
      </c>
      <c r="J396" t="s">
        <v>15</v>
      </c>
      <c r="K396">
        <v>3</v>
      </c>
      <c r="L396">
        <v>3.899</v>
      </c>
      <c r="M396">
        <v>1</v>
      </c>
      <c r="N396" t="s">
        <v>10017</v>
      </c>
      <c r="O396" t="str">
        <f>HYPERLINK("3\1\marker_670_364159.png", "Ver Imagen")</f>
        <v>Ver Imagen</v>
      </c>
      <c r="P396" t="str">
        <f>HYPERLINK("SE\A-497_2C\A-497_2C__510.png", "Ver Imagen")</f>
        <v>Ver Imagen</v>
      </c>
    </row>
    <row r="397" spans="1:16" x14ac:dyDescent="0.25">
      <c r="A397">
        <v>3509</v>
      </c>
      <c r="B397" t="s">
        <v>7029</v>
      </c>
      <c r="C397">
        <v>37.207650500500002</v>
      </c>
      <c r="D397">
        <v>-7.0221669770000004</v>
      </c>
      <c r="E397">
        <v>2</v>
      </c>
      <c r="F397">
        <v>3</v>
      </c>
      <c r="G397">
        <v>3</v>
      </c>
      <c r="J397" t="s">
        <v>15</v>
      </c>
      <c r="K397">
        <v>3</v>
      </c>
      <c r="L397">
        <v>2.113</v>
      </c>
      <c r="M397">
        <v>1</v>
      </c>
      <c r="N397" t="s">
        <v>10018</v>
      </c>
      <c r="O397" t="str">
        <f>HYPERLINK("3\1\marker_489_364198.png", "Ver Imagen")</f>
        <v>Ver Imagen</v>
      </c>
      <c r="P397" t="str">
        <f>HYPERLINK("SE\A-497_2C\A-497_2C__514.png", "Ver Imagen")</f>
        <v>Ver Imagen</v>
      </c>
    </row>
    <row r="398" spans="1:16" x14ac:dyDescent="0.25">
      <c r="A398">
        <v>3527</v>
      </c>
      <c r="B398" t="s">
        <v>7065</v>
      </c>
      <c r="C398">
        <v>37.241138313500002</v>
      </c>
      <c r="D398">
        <v>-7.0184419995900003</v>
      </c>
      <c r="E398">
        <v>4</v>
      </c>
      <c r="F398">
        <v>3</v>
      </c>
      <c r="G398">
        <v>3</v>
      </c>
      <c r="J398" t="s">
        <v>15</v>
      </c>
      <c r="K398">
        <v>3</v>
      </c>
      <c r="L398">
        <v>3.5110000000000001</v>
      </c>
      <c r="M398">
        <v>1</v>
      </c>
      <c r="N398" t="s">
        <v>10018</v>
      </c>
      <c r="O398" t="str">
        <f>HYPERLINK("3\1\marker_730_377707.png", "Ver Imagen")</f>
        <v>Ver Imagen</v>
      </c>
      <c r="P398" t="str">
        <f>HYPERLINK("SE\A-497\A-497__346.png", "Ver Imagen")</f>
        <v>Ver Imagen</v>
      </c>
    </row>
    <row r="399" spans="1:16" x14ac:dyDescent="0.25">
      <c r="A399">
        <v>3529</v>
      </c>
      <c r="B399" t="s">
        <v>7069</v>
      </c>
      <c r="C399">
        <v>37.242153800600001</v>
      </c>
      <c r="D399">
        <v>-7.0184047615600003</v>
      </c>
      <c r="E399">
        <v>4</v>
      </c>
      <c r="F399">
        <v>3</v>
      </c>
      <c r="G399">
        <v>3</v>
      </c>
      <c r="J399" t="s">
        <v>15</v>
      </c>
      <c r="K399">
        <v>3</v>
      </c>
      <c r="L399">
        <v>3.5710000000000002</v>
      </c>
      <c r="M399">
        <v>1</v>
      </c>
      <c r="N399" t="s">
        <v>10018</v>
      </c>
      <c r="O399" t="str">
        <f>HYPERLINK("3\1\marker_518_377759.png", "Ver Imagen")</f>
        <v>Ver Imagen</v>
      </c>
      <c r="P399" t="str">
        <f>HYPERLINK("SE\A-497\A-497__341.png", "Ver Imagen")</f>
        <v>Ver Imagen</v>
      </c>
    </row>
    <row r="400" spans="1:16" x14ac:dyDescent="0.25">
      <c r="A400">
        <v>3567</v>
      </c>
      <c r="B400" t="s">
        <v>7145</v>
      </c>
      <c r="C400">
        <v>37.466056610899997</v>
      </c>
      <c r="D400">
        <v>-7.1822795457900002</v>
      </c>
      <c r="E400">
        <v>4</v>
      </c>
      <c r="F400">
        <v>4</v>
      </c>
      <c r="G400">
        <v>4</v>
      </c>
      <c r="J400" t="s">
        <v>15</v>
      </c>
      <c r="K400">
        <v>4</v>
      </c>
      <c r="L400">
        <v>3.3959999999999999</v>
      </c>
      <c r="M400">
        <v>1</v>
      </c>
      <c r="N400" t="s">
        <v>10018</v>
      </c>
      <c r="O400" t="str">
        <f>HYPERLINK("4\0\marker_384_749543.png", "Ver Imagen")</f>
        <v>Ver Imagen</v>
      </c>
      <c r="P400" t="str">
        <f>HYPERLINK("NE\A-490\A-490__252.png", "Ver Imagen")</f>
        <v>Ver Imagen</v>
      </c>
    </row>
    <row r="401" spans="1:16" x14ac:dyDescent="0.25">
      <c r="A401">
        <v>3567</v>
      </c>
      <c r="B401" t="s">
        <v>7145</v>
      </c>
      <c r="C401">
        <v>37.466056610899997</v>
      </c>
      <c r="D401">
        <v>-7.1822795457900002</v>
      </c>
      <c r="E401">
        <v>4</v>
      </c>
      <c r="F401">
        <v>4</v>
      </c>
      <c r="G401">
        <v>4</v>
      </c>
      <c r="J401" t="s">
        <v>15</v>
      </c>
      <c r="K401">
        <v>4</v>
      </c>
      <c r="L401">
        <v>3.359</v>
      </c>
      <c r="M401">
        <v>1</v>
      </c>
      <c r="N401" t="s">
        <v>10018</v>
      </c>
      <c r="O401" t="str">
        <f>HYPERLINK("4\0\marker_384_749543.png", "Ver Imagen")</f>
        <v>Ver Imagen</v>
      </c>
      <c r="P401" t="str">
        <f>HYPERLINK("NO\A-490\A-490__252.png", "Ver Imagen")</f>
        <v>Ver Imagen</v>
      </c>
    </row>
    <row r="402" spans="1:16" x14ac:dyDescent="0.25">
      <c r="A402">
        <v>3572</v>
      </c>
      <c r="B402" t="s">
        <v>7155</v>
      </c>
      <c r="C402">
        <v>37.279940480199997</v>
      </c>
      <c r="D402">
        <v>-6.9987809735799997</v>
      </c>
      <c r="E402">
        <v>4</v>
      </c>
      <c r="F402">
        <v>4</v>
      </c>
      <c r="G402">
        <v>4</v>
      </c>
      <c r="J402" t="s">
        <v>15</v>
      </c>
      <c r="K402">
        <v>4</v>
      </c>
      <c r="L402">
        <v>3.1859999999999999</v>
      </c>
      <c r="M402">
        <v>1</v>
      </c>
      <c r="N402" t="s">
        <v>10019</v>
      </c>
      <c r="O402" t="str">
        <f>HYPERLINK("4\0\marker_451_823179.png", "Ver Imagen")</f>
        <v>Ver Imagen</v>
      </c>
      <c r="P402" t="str">
        <f>HYPERLINK("SE\A-492\A-492__63.png", "Ver Imagen")</f>
        <v>Ver Imagen</v>
      </c>
    </row>
    <row r="403" spans="1:16" x14ac:dyDescent="0.25">
      <c r="A403">
        <v>3573</v>
      </c>
      <c r="B403" t="s">
        <v>7157</v>
      </c>
      <c r="C403">
        <v>37.280146668900002</v>
      </c>
      <c r="D403">
        <v>-6.9997203646199999</v>
      </c>
      <c r="E403">
        <v>4</v>
      </c>
      <c r="F403">
        <v>4</v>
      </c>
      <c r="G403">
        <v>4</v>
      </c>
      <c r="J403" t="s">
        <v>15</v>
      </c>
      <c r="K403">
        <v>4</v>
      </c>
      <c r="L403">
        <v>3.4860000000000002</v>
      </c>
      <c r="M403">
        <v>1</v>
      </c>
      <c r="N403" t="s">
        <v>10019</v>
      </c>
      <c r="O403" t="str">
        <f>HYPERLINK("4\0\marker_468_823246.png", "Ver Imagen")</f>
        <v>Ver Imagen</v>
      </c>
      <c r="P403" t="str">
        <f>HYPERLINK("SE\A-492\A-492__67.png", "Ver Imagen")</f>
        <v>Ver Imagen</v>
      </c>
    </row>
    <row r="404" spans="1:16" x14ac:dyDescent="0.25">
      <c r="A404">
        <v>3582</v>
      </c>
      <c r="B404" t="s">
        <v>7175</v>
      </c>
      <c r="C404">
        <v>37.449273859100003</v>
      </c>
      <c r="D404">
        <v>-7.1100277912500003</v>
      </c>
      <c r="E404">
        <v>4</v>
      </c>
      <c r="F404">
        <v>4</v>
      </c>
      <c r="G404">
        <v>4</v>
      </c>
      <c r="J404" t="s">
        <v>15</v>
      </c>
      <c r="K404">
        <v>4</v>
      </c>
      <c r="L404">
        <v>3.452</v>
      </c>
      <c r="M404">
        <v>1</v>
      </c>
      <c r="O404" t="str">
        <f>HYPERLINK("4\0\marker_829_936698.png", "Ver Imagen")</f>
        <v>Ver Imagen</v>
      </c>
      <c r="P404" t="str">
        <f>HYPERLINK("NE\A-495R\A-495R__23.png", "Ver Imagen")</f>
        <v>Ver Imagen</v>
      </c>
    </row>
    <row r="405" spans="1:16" x14ac:dyDescent="0.25">
      <c r="A405">
        <v>3586</v>
      </c>
      <c r="B405" t="s">
        <v>7183</v>
      </c>
      <c r="C405">
        <v>37.268436222600002</v>
      </c>
      <c r="D405">
        <v>-7.1364638122499997</v>
      </c>
      <c r="E405">
        <v>4</v>
      </c>
      <c r="F405">
        <v>4</v>
      </c>
      <c r="G405">
        <v>4</v>
      </c>
      <c r="J405" t="s">
        <v>15</v>
      </c>
      <c r="K405">
        <v>4</v>
      </c>
      <c r="L405">
        <v>3.222</v>
      </c>
      <c r="M405">
        <v>1</v>
      </c>
      <c r="N405" t="s">
        <v>10017</v>
      </c>
      <c r="O405" t="str">
        <f>HYPERLINK("4\0\marker_409_965246.png", "Ver Imagen")</f>
        <v>Ver Imagen</v>
      </c>
      <c r="P405" t="str">
        <f>HYPERLINK("SO\A-5053\A-5053__261.png", "Ver Imagen")</f>
        <v>Ver Imagen</v>
      </c>
    </row>
    <row r="406" spans="1:16" x14ac:dyDescent="0.25">
      <c r="A406">
        <v>3588</v>
      </c>
      <c r="B406" t="s">
        <v>7187</v>
      </c>
      <c r="C406">
        <v>37.264839353200003</v>
      </c>
      <c r="D406">
        <v>-7.1321178299900003</v>
      </c>
      <c r="E406">
        <v>4</v>
      </c>
      <c r="F406">
        <v>4</v>
      </c>
      <c r="G406">
        <v>4</v>
      </c>
      <c r="J406" t="s">
        <v>15</v>
      </c>
      <c r="K406">
        <v>4</v>
      </c>
      <c r="L406">
        <v>3.4649999999999999</v>
      </c>
      <c r="M406">
        <v>1</v>
      </c>
      <c r="N406" t="s">
        <v>10019</v>
      </c>
      <c r="O406" t="str">
        <f>HYPERLINK("4\0\marker_264_965545.png", "Ver Imagen")</f>
        <v>Ver Imagen</v>
      </c>
      <c r="P406" t="str">
        <f>HYPERLINK("SO\A-5053\A-5053__235.png", "Ver Imagen")</f>
        <v>Ver Imagen</v>
      </c>
    </row>
    <row r="407" spans="1:16" x14ac:dyDescent="0.25">
      <c r="A407">
        <v>3589</v>
      </c>
      <c r="B407" t="s">
        <v>7189</v>
      </c>
      <c r="C407">
        <v>37.2448170308</v>
      </c>
      <c r="D407">
        <v>-7.0915858945599997</v>
      </c>
      <c r="E407">
        <v>4</v>
      </c>
      <c r="F407">
        <v>4</v>
      </c>
      <c r="G407">
        <v>4</v>
      </c>
      <c r="J407" t="s">
        <v>15</v>
      </c>
      <c r="K407">
        <v>4</v>
      </c>
      <c r="L407">
        <v>3.4780000000000002</v>
      </c>
      <c r="M407">
        <v>1</v>
      </c>
      <c r="N407" t="s">
        <v>10019</v>
      </c>
      <c r="O407" t="str">
        <f>HYPERLINK("4\0\marker_551_384116.png", "Ver Imagen")</f>
        <v>Ver Imagen</v>
      </c>
      <c r="P407" t="str">
        <f>HYPERLINK("SO\A-5058\A-5058__287.png", "Ver Imagen")</f>
        <v>Ver Imagen</v>
      </c>
    </row>
    <row r="408" spans="1:16" x14ac:dyDescent="0.25">
      <c r="A408">
        <v>3590</v>
      </c>
      <c r="B408" t="s">
        <v>7191</v>
      </c>
      <c r="C408">
        <v>37.2450282207</v>
      </c>
      <c r="D408">
        <v>-7.09204151454</v>
      </c>
      <c r="E408">
        <v>4</v>
      </c>
      <c r="F408">
        <v>4</v>
      </c>
      <c r="G408">
        <v>4</v>
      </c>
      <c r="J408" t="s">
        <v>15</v>
      </c>
      <c r="K408">
        <v>4</v>
      </c>
      <c r="L408">
        <v>2.9279999999999999</v>
      </c>
      <c r="M408">
        <v>1</v>
      </c>
      <c r="N408" t="s">
        <v>10017</v>
      </c>
      <c r="O408" t="str">
        <f>HYPERLINK("4\0\marker_650_384135.png", "Ver Imagen")</f>
        <v>Ver Imagen</v>
      </c>
      <c r="P408" t="str">
        <f>HYPERLINK("SE\A-5058\A-5058__289.png", "Ver Imagen")</f>
        <v>Ver Imagen</v>
      </c>
    </row>
    <row r="409" spans="1:16" x14ac:dyDescent="0.25">
      <c r="A409">
        <v>3592</v>
      </c>
      <c r="B409" t="s">
        <v>7195</v>
      </c>
      <c r="C409">
        <v>37.245382688100001</v>
      </c>
      <c r="D409">
        <v>-7.0934706248500001</v>
      </c>
      <c r="E409">
        <v>4</v>
      </c>
      <c r="F409">
        <v>4</v>
      </c>
      <c r="G409">
        <v>4</v>
      </c>
      <c r="J409" t="s">
        <v>15</v>
      </c>
      <c r="K409">
        <v>4</v>
      </c>
      <c r="L409">
        <v>2.972</v>
      </c>
      <c r="M409">
        <v>1</v>
      </c>
      <c r="N409" t="s">
        <v>10017</v>
      </c>
      <c r="O409" t="str">
        <f>HYPERLINK("4\0\marker_492_384205.png", "Ver Imagen")</f>
        <v>Ver Imagen</v>
      </c>
      <c r="P409" t="str">
        <f>HYPERLINK("SE\A-5058\A-5058__295.png", "Ver Imagen")</f>
        <v>Ver Imagen</v>
      </c>
    </row>
    <row r="410" spans="1:16" x14ac:dyDescent="0.25">
      <c r="A410">
        <v>3593</v>
      </c>
      <c r="B410" t="s">
        <v>7197</v>
      </c>
      <c r="C410">
        <v>37.258938835899997</v>
      </c>
      <c r="D410">
        <v>-7.12407741064</v>
      </c>
      <c r="E410">
        <v>4</v>
      </c>
      <c r="F410">
        <v>4</v>
      </c>
      <c r="G410">
        <v>4</v>
      </c>
      <c r="J410" t="s">
        <v>15</v>
      </c>
      <c r="K410">
        <v>4</v>
      </c>
      <c r="L410">
        <v>3.0649999999999999</v>
      </c>
      <c r="M410">
        <v>1</v>
      </c>
      <c r="N410" t="s">
        <v>10017</v>
      </c>
      <c r="O410" t="str">
        <f>HYPERLINK("4\0\marker_768_389056.png", "Ver Imagen")</f>
        <v>Ver Imagen</v>
      </c>
      <c r="P410" t="str">
        <f>HYPERLINK("SO\A-5058\A-5058__448.png", "Ver Imagen")</f>
        <v>Ver Imagen</v>
      </c>
    </row>
    <row r="411" spans="1:16" x14ac:dyDescent="0.25">
      <c r="A411">
        <v>3607</v>
      </c>
      <c r="B411" t="s">
        <v>7225</v>
      </c>
      <c r="C411">
        <v>37.2317323555</v>
      </c>
      <c r="D411">
        <v>-7.01914393715</v>
      </c>
      <c r="E411">
        <v>4</v>
      </c>
      <c r="F411">
        <v>4</v>
      </c>
      <c r="G411">
        <v>4</v>
      </c>
      <c r="J411" t="s">
        <v>15</v>
      </c>
      <c r="K411">
        <v>4</v>
      </c>
      <c r="L411">
        <v>3.44</v>
      </c>
      <c r="M411">
        <v>1</v>
      </c>
      <c r="N411" t="s">
        <v>10019</v>
      </c>
      <c r="O411" t="str">
        <f>HYPERLINK("4\0\marker_898_362799.png", "Ver Imagen")</f>
        <v>Ver Imagen</v>
      </c>
      <c r="P411" t="str">
        <f>HYPERLINK("SE\A-497_2C\A-497_2C__389.png", "Ver Imagen")</f>
        <v>Ver Imagen</v>
      </c>
    </row>
    <row r="412" spans="1:16" x14ac:dyDescent="0.25">
      <c r="A412">
        <v>3612</v>
      </c>
      <c r="B412" t="s">
        <v>7235</v>
      </c>
      <c r="C412">
        <v>37.271140384500001</v>
      </c>
      <c r="D412">
        <v>-6.9834432092399998</v>
      </c>
      <c r="E412">
        <v>4</v>
      </c>
      <c r="F412">
        <v>4</v>
      </c>
      <c r="G412">
        <v>4</v>
      </c>
      <c r="J412" t="s">
        <v>15</v>
      </c>
      <c r="K412">
        <v>4</v>
      </c>
      <c r="L412">
        <v>3.2189999999999999</v>
      </c>
      <c r="M412">
        <v>1</v>
      </c>
      <c r="N412" t="s">
        <v>10018</v>
      </c>
      <c r="O412" t="str">
        <f>HYPERLINK("4\0\marker_549_380706.png", "Ver Imagen")</f>
        <v>Ver Imagen</v>
      </c>
      <c r="P412" t="str">
        <f>HYPERLINK("SE\A-497\A-497__112.png", "Ver Imagen")</f>
        <v>Ver Imagen</v>
      </c>
    </row>
    <row r="413" spans="1:16" x14ac:dyDescent="0.25">
      <c r="A413">
        <v>3614</v>
      </c>
      <c r="B413" t="s">
        <v>7239</v>
      </c>
      <c r="C413">
        <v>37.270118881800002</v>
      </c>
      <c r="D413">
        <v>-6.9798796814899999</v>
      </c>
      <c r="E413">
        <v>4</v>
      </c>
      <c r="F413">
        <v>4</v>
      </c>
      <c r="G413">
        <v>4</v>
      </c>
      <c r="J413" t="s">
        <v>15</v>
      </c>
      <c r="K413">
        <v>4</v>
      </c>
      <c r="L413">
        <v>3.4510000000000001</v>
      </c>
      <c r="M413">
        <v>1</v>
      </c>
      <c r="N413" t="s">
        <v>10018</v>
      </c>
      <c r="O413" t="str">
        <f>HYPERLINK("4\0\marker_114_380866.png", "Ver Imagen")</f>
        <v>Ver Imagen</v>
      </c>
      <c r="P413" t="str">
        <f>HYPERLINK("SE\A-497\A-497__97.png", "Ver Imagen")</f>
        <v>Ver Imagen</v>
      </c>
    </row>
    <row r="414" spans="1:16" x14ac:dyDescent="0.25">
      <c r="A414">
        <v>3619</v>
      </c>
      <c r="B414" t="s">
        <v>7249</v>
      </c>
      <c r="C414">
        <v>37.204379124299997</v>
      </c>
      <c r="D414">
        <v>-7.0275423002100004</v>
      </c>
      <c r="E414">
        <v>3</v>
      </c>
      <c r="F414">
        <v>4</v>
      </c>
      <c r="G414">
        <v>4</v>
      </c>
      <c r="J414" t="s">
        <v>15</v>
      </c>
      <c r="K414">
        <v>4</v>
      </c>
      <c r="L414">
        <v>3.4380000000000002</v>
      </c>
      <c r="M414">
        <v>1</v>
      </c>
      <c r="N414" t="s">
        <v>10019</v>
      </c>
      <c r="O414" t="str">
        <f>HYPERLINK("4\1\marker_481_962710.png", "Ver Imagen")</f>
        <v>Ver Imagen</v>
      </c>
      <c r="P414" t="str">
        <f>HYPERLINK("SE\A-5052\A-5052__404.png", "Ver Imagen")</f>
        <v>Ver Imagen</v>
      </c>
    </row>
    <row r="415" spans="1:16" x14ac:dyDescent="0.25">
      <c r="A415">
        <v>3632</v>
      </c>
      <c r="B415" t="s">
        <v>7275</v>
      </c>
      <c r="C415">
        <v>37.447264765200003</v>
      </c>
      <c r="D415">
        <v>-7.1269836869000001</v>
      </c>
      <c r="E415">
        <v>4</v>
      </c>
      <c r="F415">
        <v>5</v>
      </c>
      <c r="G415">
        <v>4</v>
      </c>
      <c r="J415" t="s">
        <v>15</v>
      </c>
      <c r="K415">
        <v>4</v>
      </c>
      <c r="L415">
        <v>3.1110000000000002</v>
      </c>
      <c r="M415">
        <v>1</v>
      </c>
      <c r="N415" t="s">
        <v>10019</v>
      </c>
      <c r="O415" t="str">
        <f>HYPERLINK("4\1\marker_163_817296.png", "Ver Imagen")</f>
        <v>Ver Imagen</v>
      </c>
      <c r="P415" t="str">
        <f>HYPERLINK("NE\A-490\A-490__3.png", "Ver Imagen")</f>
        <v>Ver Imagen</v>
      </c>
    </row>
    <row r="416" spans="1:16" x14ac:dyDescent="0.25">
      <c r="A416">
        <v>3636</v>
      </c>
      <c r="B416" t="s">
        <v>7283</v>
      </c>
      <c r="C416">
        <v>37.4470435673</v>
      </c>
      <c r="D416">
        <v>-7.1300083677000003</v>
      </c>
      <c r="E416">
        <v>4</v>
      </c>
      <c r="F416">
        <v>5</v>
      </c>
      <c r="G416">
        <v>4</v>
      </c>
      <c r="J416" t="s">
        <v>15</v>
      </c>
      <c r="K416">
        <v>4</v>
      </c>
      <c r="L416">
        <v>2.8969999999999998</v>
      </c>
      <c r="M416">
        <v>1</v>
      </c>
      <c r="N416" t="s">
        <v>10017</v>
      </c>
      <c r="O416" t="str">
        <f>HYPERLINK("4\1\marker_466_728126.png", "Ver Imagen")</f>
        <v>Ver Imagen</v>
      </c>
      <c r="P416" t="str">
        <f>HYPERLINK("NE\A-490\A-490__15.png", "Ver Imagen")</f>
        <v>Ver Imagen</v>
      </c>
    </row>
    <row r="417" spans="1:16" x14ac:dyDescent="0.25">
      <c r="A417">
        <v>3645</v>
      </c>
      <c r="B417" t="s">
        <v>7301</v>
      </c>
      <c r="C417">
        <v>37.4556673027</v>
      </c>
      <c r="D417">
        <v>-7.1663911521000001</v>
      </c>
      <c r="E417">
        <v>3</v>
      </c>
      <c r="F417">
        <v>4</v>
      </c>
      <c r="G417">
        <v>4</v>
      </c>
      <c r="J417" t="s">
        <v>15</v>
      </c>
      <c r="K417">
        <v>4</v>
      </c>
      <c r="L417">
        <v>3.2679999999999998</v>
      </c>
      <c r="M417">
        <v>1</v>
      </c>
      <c r="N417" t="s">
        <v>10017</v>
      </c>
      <c r="O417" t="str">
        <f>HYPERLINK("4\1\marker_511_741501.png", "Ver Imagen")</f>
        <v>Ver Imagen</v>
      </c>
      <c r="P417" t="str">
        <f>HYPERLINK("NE\A-490\A-490__171.png", "Ver Imagen")</f>
        <v>Ver Imagen</v>
      </c>
    </row>
    <row r="418" spans="1:16" x14ac:dyDescent="0.25">
      <c r="A418">
        <v>3649</v>
      </c>
      <c r="B418" t="s">
        <v>7309</v>
      </c>
      <c r="C418">
        <v>37.464350421200002</v>
      </c>
      <c r="D418">
        <v>-7.1791692316800004</v>
      </c>
      <c r="E418">
        <v>4</v>
      </c>
      <c r="F418">
        <v>4</v>
      </c>
      <c r="G418">
        <v>5</v>
      </c>
      <c r="J418" t="s">
        <v>15</v>
      </c>
      <c r="K418">
        <v>4</v>
      </c>
      <c r="L418">
        <v>3.4049999999999998</v>
      </c>
      <c r="M418">
        <v>1</v>
      </c>
      <c r="N418" t="s">
        <v>10019</v>
      </c>
      <c r="O418" t="str">
        <f>HYPERLINK("4\1\marker_101_744049.png", "Ver Imagen")</f>
        <v>Ver Imagen</v>
      </c>
      <c r="P418" t="str">
        <f>HYPERLINK("NE\A-490\A-490__237.png", "Ver Imagen")</f>
        <v>Ver Imagen</v>
      </c>
    </row>
    <row r="419" spans="1:16" x14ac:dyDescent="0.25">
      <c r="A419">
        <v>3656</v>
      </c>
      <c r="B419" t="s">
        <v>7323</v>
      </c>
      <c r="C419">
        <v>37.452368833199998</v>
      </c>
      <c r="D419">
        <v>-7.1117201009700004</v>
      </c>
      <c r="E419">
        <v>4</v>
      </c>
      <c r="F419">
        <v>5</v>
      </c>
      <c r="G419">
        <v>4</v>
      </c>
      <c r="J419" t="s">
        <v>15</v>
      </c>
      <c r="K419">
        <v>4</v>
      </c>
      <c r="L419">
        <v>3.4769999999999999</v>
      </c>
      <c r="M419">
        <v>1</v>
      </c>
      <c r="N419" t="s">
        <v>10019</v>
      </c>
      <c r="O419" t="str">
        <f>HYPERLINK("4\1\marker_280_936521.png", "Ver Imagen")</f>
        <v>Ver Imagen</v>
      </c>
      <c r="P419" t="str">
        <f>HYPERLINK("NE\A-495R\A-495R__40.png", "Ver Imagen")</f>
        <v>Ver Imagen</v>
      </c>
    </row>
    <row r="420" spans="1:16" x14ac:dyDescent="0.25">
      <c r="A420">
        <v>3657</v>
      </c>
      <c r="B420" t="s">
        <v>7325</v>
      </c>
      <c r="C420">
        <v>37.274176864700003</v>
      </c>
      <c r="D420">
        <v>-6.9913078776599997</v>
      </c>
      <c r="E420">
        <v>3</v>
      </c>
      <c r="F420">
        <v>4</v>
      </c>
      <c r="G420">
        <v>4</v>
      </c>
      <c r="J420" t="s">
        <v>15</v>
      </c>
      <c r="K420">
        <v>4</v>
      </c>
      <c r="L420">
        <v>2.8250000000000002</v>
      </c>
      <c r="M420">
        <v>1</v>
      </c>
      <c r="N420" t="s">
        <v>10018</v>
      </c>
      <c r="O420" t="str">
        <f>HYPERLINK("4\1\marker_339_821945.png", "Ver Imagen")</f>
        <v>Ver Imagen</v>
      </c>
      <c r="P420" t="str">
        <f>HYPERLINK("SE\A-492\A-492__14.png", "Ver Imagen")</f>
        <v>Ver Imagen</v>
      </c>
    </row>
    <row r="421" spans="1:16" x14ac:dyDescent="0.25">
      <c r="A421">
        <v>3662</v>
      </c>
      <c r="B421" t="s">
        <v>7335</v>
      </c>
      <c r="C421">
        <v>37.280271391500001</v>
      </c>
      <c r="D421">
        <v>-6.9999970025799998</v>
      </c>
      <c r="E421">
        <v>4</v>
      </c>
      <c r="F421">
        <v>3</v>
      </c>
      <c r="G421">
        <v>4</v>
      </c>
      <c r="J421" t="s">
        <v>15</v>
      </c>
      <c r="K421">
        <v>4</v>
      </c>
      <c r="L421">
        <v>3.2610000000000001</v>
      </c>
      <c r="M421">
        <v>1</v>
      </c>
      <c r="N421" t="s">
        <v>10018</v>
      </c>
      <c r="O421" t="str">
        <f>HYPERLINK("4\1\marker_342_823273.png", "Ver Imagen")</f>
        <v>Ver Imagen</v>
      </c>
      <c r="P421" t="str">
        <f>HYPERLINK("SE\A-492\A-492__69.png", "Ver Imagen")</f>
        <v>Ver Imagen</v>
      </c>
    </row>
    <row r="422" spans="1:16" x14ac:dyDescent="0.25">
      <c r="A422">
        <v>3683</v>
      </c>
      <c r="B422" t="s">
        <v>7375</v>
      </c>
      <c r="C422">
        <v>37.270158966700002</v>
      </c>
      <c r="D422">
        <v>-7.13969102151</v>
      </c>
      <c r="E422">
        <v>4</v>
      </c>
      <c r="F422">
        <v>3</v>
      </c>
      <c r="G422">
        <v>4</v>
      </c>
      <c r="J422" t="s">
        <v>15</v>
      </c>
      <c r="K422">
        <v>4</v>
      </c>
      <c r="L422">
        <v>2.653</v>
      </c>
      <c r="M422">
        <v>1</v>
      </c>
      <c r="N422" t="s">
        <v>10018</v>
      </c>
      <c r="O422" t="str">
        <f>HYPERLINK("4\1\marker_645_965087.png", "Ver Imagen")</f>
        <v>Ver Imagen</v>
      </c>
      <c r="P422" t="str">
        <f>HYPERLINK("SO\A-5053\A-5053__277.png", "Ver Imagen")</f>
        <v>Ver Imagen</v>
      </c>
    </row>
    <row r="423" spans="1:16" x14ac:dyDescent="0.25">
      <c r="A423">
        <v>3685</v>
      </c>
      <c r="B423" t="s">
        <v>7379</v>
      </c>
      <c r="C423">
        <v>37.2687942341</v>
      </c>
      <c r="D423">
        <v>-7.1379424055199996</v>
      </c>
      <c r="E423">
        <v>4</v>
      </c>
      <c r="F423">
        <v>3</v>
      </c>
      <c r="G423">
        <v>4</v>
      </c>
      <c r="J423" t="s">
        <v>15</v>
      </c>
      <c r="K423">
        <v>4</v>
      </c>
      <c r="L423">
        <v>3.2349999999999999</v>
      </c>
      <c r="M423">
        <v>1</v>
      </c>
      <c r="N423" t="s">
        <v>10017</v>
      </c>
      <c r="O423" t="str">
        <f>HYPERLINK("4\1\marker_953_965173.png", "Ver Imagen")</f>
        <v>Ver Imagen</v>
      </c>
      <c r="P423" t="str">
        <f>HYPERLINK("SO\A-5053\A-5053__267.png", "Ver Imagen")</f>
        <v>Ver Imagen</v>
      </c>
    </row>
    <row r="424" spans="1:16" x14ac:dyDescent="0.25">
      <c r="A424">
        <v>3686</v>
      </c>
      <c r="B424" t="s">
        <v>7381</v>
      </c>
      <c r="C424">
        <v>37.268717873299998</v>
      </c>
      <c r="D424">
        <v>-7.1376879682199998</v>
      </c>
      <c r="E424">
        <v>5</v>
      </c>
      <c r="F424">
        <v>4</v>
      </c>
      <c r="G424">
        <v>4</v>
      </c>
      <c r="J424" t="s">
        <v>15</v>
      </c>
      <c r="K424">
        <v>4</v>
      </c>
      <c r="L424">
        <v>2.9940000000000002</v>
      </c>
      <c r="M424">
        <v>1</v>
      </c>
      <c r="N424" t="s">
        <v>10018</v>
      </c>
      <c r="O424" t="str">
        <f>HYPERLINK("4\1\marker_724_965182.png", "Ver Imagen")</f>
        <v>Ver Imagen</v>
      </c>
      <c r="P424" t="str">
        <f>HYPERLINK("SO\A-5053\A-5053__266.png", "Ver Imagen")</f>
        <v>Ver Imagen</v>
      </c>
    </row>
    <row r="425" spans="1:16" x14ac:dyDescent="0.25">
      <c r="A425">
        <v>3698</v>
      </c>
      <c r="B425" t="s">
        <v>7405</v>
      </c>
      <c r="C425">
        <v>37.233847903799997</v>
      </c>
      <c r="D425">
        <v>-7.0660532953599997</v>
      </c>
      <c r="E425">
        <v>4</v>
      </c>
      <c r="F425">
        <v>3</v>
      </c>
      <c r="G425">
        <v>4</v>
      </c>
      <c r="J425" t="s">
        <v>15</v>
      </c>
      <c r="K425">
        <v>4</v>
      </c>
      <c r="L425">
        <v>2.99</v>
      </c>
      <c r="M425">
        <v>1</v>
      </c>
      <c r="N425" t="s">
        <v>10017</v>
      </c>
      <c r="O425" t="str">
        <f>HYPERLINK("4\1\marker_790_382375.png", "Ver Imagen")</f>
        <v>Ver Imagen</v>
      </c>
      <c r="P425" t="str">
        <f>HYPERLINK("SE\A-5058\A-5058__169.png", "Ver Imagen")</f>
        <v>Ver Imagen</v>
      </c>
    </row>
    <row r="426" spans="1:16" x14ac:dyDescent="0.25">
      <c r="A426">
        <v>3701</v>
      </c>
      <c r="B426" t="s">
        <v>7411</v>
      </c>
      <c r="C426">
        <v>37.233877761899997</v>
      </c>
      <c r="D426">
        <v>-7.0666647479</v>
      </c>
      <c r="E426">
        <v>4</v>
      </c>
      <c r="F426">
        <v>3</v>
      </c>
      <c r="G426">
        <v>4</v>
      </c>
      <c r="J426" t="s">
        <v>15</v>
      </c>
      <c r="K426">
        <v>4</v>
      </c>
      <c r="L426">
        <v>2.8109999999999999</v>
      </c>
      <c r="M426">
        <v>1</v>
      </c>
      <c r="N426" t="s">
        <v>10018</v>
      </c>
      <c r="O426" t="str">
        <f>HYPERLINK("4\1\marker_441_382414.png", "Ver Imagen")</f>
        <v>Ver Imagen</v>
      </c>
      <c r="P426" t="str">
        <f>HYPERLINK("SE\A-5058\A-5058__172.png", "Ver Imagen")</f>
        <v>Ver Imagen</v>
      </c>
    </row>
    <row r="427" spans="1:16" x14ac:dyDescent="0.25">
      <c r="A427">
        <v>3702</v>
      </c>
      <c r="B427" t="s">
        <v>7413</v>
      </c>
      <c r="C427">
        <v>37.235159558399999</v>
      </c>
      <c r="D427">
        <v>-7.0732964249799997</v>
      </c>
      <c r="E427">
        <v>4</v>
      </c>
      <c r="F427">
        <v>3</v>
      </c>
      <c r="G427">
        <v>4</v>
      </c>
      <c r="J427" t="s">
        <v>15</v>
      </c>
      <c r="K427">
        <v>4</v>
      </c>
      <c r="L427">
        <v>2.8119999999999998</v>
      </c>
      <c r="M427">
        <v>1</v>
      </c>
      <c r="N427" t="s">
        <v>10017</v>
      </c>
      <c r="O427" t="str">
        <f>HYPERLINK("4\1\marker_661_382893.png", "Ver Imagen")</f>
        <v>Ver Imagen</v>
      </c>
      <c r="P427" t="str">
        <f>HYPERLINK("SE\A-5058\A-5058__200.png", "Ver Imagen")</f>
        <v>Ver Imagen</v>
      </c>
    </row>
    <row r="428" spans="1:16" x14ac:dyDescent="0.25">
      <c r="A428">
        <v>3703</v>
      </c>
      <c r="B428" t="s">
        <v>7415</v>
      </c>
      <c r="C428">
        <v>37.235759551000001</v>
      </c>
      <c r="D428">
        <v>-7.0743751913499997</v>
      </c>
      <c r="E428">
        <v>4</v>
      </c>
      <c r="F428">
        <v>3</v>
      </c>
      <c r="G428">
        <v>4</v>
      </c>
      <c r="J428" t="s">
        <v>15</v>
      </c>
      <c r="K428">
        <v>4</v>
      </c>
      <c r="L428">
        <v>2.7839999999999998</v>
      </c>
      <c r="M428">
        <v>1</v>
      </c>
      <c r="N428" t="s">
        <v>10018</v>
      </c>
      <c r="O428" t="str">
        <f>HYPERLINK("4\1\marker_136_382951.png", "Ver Imagen")</f>
        <v>Ver Imagen</v>
      </c>
      <c r="P428" t="str">
        <f>HYPERLINK("SE\A-5058\A-5058__205.png", "Ver Imagen")</f>
        <v>Ver Imagen</v>
      </c>
    </row>
    <row r="429" spans="1:16" x14ac:dyDescent="0.25">
      <c r="A429">
        <v>3703</v>
      </c>
      <c r="B429" t="s">
        <v>7415</v>
      </c>
      <c r="C429">
        <v>37.235759551000001</v>
      </c>
      <c r="D429">
        <v>-7.0743751913499997</v>
      </c>
      <c r="E429">
        <v>4</v>
      </c>
      <c r="F429">
        <v>3</v>
      </c>
      <c r="G429">
        <v>4</v>
      </c>
      <c r="J429" t="s">
        <v>15</v>
      </c>
      <c r="K429">
        <v>4</v>
      </c>
      <c r="L429">
        <v>3.399</v>
      </c>
      <c r="M429">
        <v>1</v>
      </c>
      <c r="N429" t="s">
        <v>10018</v>
      </c>
      <c r="O429" t="str">
        <f>HYPERLINK("4\1\marker_136_382951.png", "Ver Imagen")</f>
        <v>Ver Imagen</v>
      </c>
      <c r="P429" t="str">
        <f>HYPERLINK("SO\A-5058\A-5058__205.png", "Ver Imagen")</f>
        <v>Ver Imagen</v>
      </c>
    </row>
    <row r="430" spans="1:16" x14ac:dyDescent="0.25">
      <c r="A430">
        <v>3705</v>
      </c>
      <c r="B430" t="s">
        <v>7419</v>
      </c>
      <c r="C430">
        <v>37.237028753899999</v>
      </c>
      <c r="D430">
        <v>-7.0766445714800001</v>
      </c>
      <c r="E430">
        <v>4</v>
      </c>
      <c r="F430">
        <v>3</v>
      </c>
      <c r="G430">
        <v>4</v>
      </c>
      <c r="J430" t="s">
        <v>15</v>
      </c>
      <c r="K430">
        <v>4</v>
      </c>
      <c r="L430">
        <v>2.8090000000000002</v>
      </c>
      <c r="M430">
        <v>1</v>
      </c>
      <c r="N430" t="s">
        <v>10017</v>
      </c>
      <c r="O430" t="str">
        <f>HYPERLINK("4\1\marker_305_383080.png", "Ver Imagen")</f>
        <v>Ver Imagen</v>
      </c>
      <c r="P430" t="str">
        <f>HYPERLINK("SE\A-5058\A-5058__216.png", "Ver Imagen")</f>
        <v>Ver Imagen</v>
      </c>
    </row>
    <row r="431" spans="1:16" x14ac:dyDescent="0.25">
      <c r="A431">
        <v>3713</v>
      </c>
      <c r="B431" t="s">
        <v>7435</v>
      </c>
      <c r="C431">
        <v>37.244699470199997</v>
      </c>
      <c r="D431">
        <v>-7.0913528107500001</v>
      </c>
      <c r="E431">
        <v>4</v>
      </c>
      <c r="F431">
        <v>3</v>
      </c>
      <c r="G431">
        <v>4</v>
      </c>
      <c r="J431" t="s">
        <v>15</v>
      </c>
      <c r="K431">
        <v>4</v>
      </c>
      <c r="L431">
        <v>3.39</v>
      </c>
      <c r="M431">
        <v>1</v>
      </c>
      <c r="N431" t="s">
        <v>10019</v>
      </c>
      <c r="O431" t="str">
        <f>HYPERLINK("4\1\marker_343_384094.png", "Ver Imagen")</f>
        <v>Ver Imagen</v>
      </c>
      <c r="P431" t="str">
        <f>HYPERLINK("SE\A-5058\A-5058__286.png", "Ver Imagen")</f>
        <v>Ver Imagen</v>
      </c>
    </row>
    <row r="432" spans="1:16" x14ac:dyDescent="0.25">
      <c r="A432">
        <v>3713</v>
      </c>
      <c r="B432" t="s">
        <v>7435</v>
      </c>
      <c r="C432">
        <v>37.244699470199997</v>
      </c>
      <c r="D432">
        <v>-7.0913528107500001</v>
      </c>
      <c r="E432">
        <v>4</v>
      </c>
      <c r="F432">
        <v>3</v>
      </c>
      <c r="G432">
        <v>4</v>
      </c>
      <c r="J432" t="s">
        <v>15</v>
      </c>
      <c r="K432">
        <v>4</v>
      </c>
      <c r="L432">
        <v>3.3540000000000001</v>
      </c>
      <c r="M432">
        <v>1</v>
      </c>
      <c r="N432" t="s">
        <v>10019</v>
      </c>
      <c r="O432" t="str">
        <f>HYPERLINK("4\1\marker_343_384094.png", "Ver Imagen")</f>
        <v>Ver Imagen</v>
      </c>
      <c r="P432" t="str">
        <f>HYPERLINK("SO\A-5058\A-5058__286.png", "Ver Imagen")</f>
        <v>Ver Imagen</v>
      </c>
    </row>
    <row r="433" spans="1:16" x14ac:dyDescent="0.25">
      <c r="A433">
        <v>3714</v>
      </c>
      <c r="B433" t="s">
        <v>7437</v>
      </c>
      <c r="C433">
        <v>37.245180878699998</v>
      </c>
      <c r="D433">
        <v>-7.0924641901300003</v>
      </c>
      <c r="E433">
        <v>4</v>
      </c>
      <c r="F433">
        <v>3</v>
      </c>
      <c r="G433">
        <v>4</v>
      </c>
      <c r="J433" t="s">
        <v>15</v>
      </c>
      <c r="K433">
        <v>4</v>
      </c>
      <c r="L433">
        <v>3.49</v>
      </c>
      <c r="M433">
        <v>1</v>
      </c>
      <c r="N433" t="s">
        <v>10019</v>
      </c>
      <c r="O433" t="str">
        <f>HYPERLINK("4\1\marker_579_384159.png", "Ver Imagen")</f>
        <v>Ver Imagen</v>
      </c>
      <c r="P433" t="str">
        <f>HYPERLINK("SO\A-5058\A-5058__291.png", "Ver Imagen")</f>
        <v>Ver Imagen</v>
      </c>
    </row>
    <row r="434" spans="1:16" x14ac:dyDescent="0.25">
      <c r="A434">
        <v>3715</v>
      </c>
      <c r="B434" t="s">
        <v>7439</v>
      </c>
      <c r="C434">
        <v>37.245406704099999</v>
      </c>
      <c r="D434">
        <v>-7.0937097192499996</v>
      </c>
      <c r="E434">
        <v>4</v>
      </c>
      <c r="F434">
        <v>3</v>
      </c>
      <c r="G434">
        <v>4</v>
      </c>
      <c r="J434" t="s">
        <v>15</v>
      </c>
      <c r="K434">
        <v>4</v>
      </c>
      <c r="L434">
        <v>3.3279999999999998</v>
      </c>
      <c r="M434">
        <v>1</v>
      </c>
      <c r="N434" t="s">
        <v>10017</v>
      </c>
      <c r="O434" t="str">
        <f>HYPERLINK("4\1\marker_916_384224.png", "Ver Imagen")</f>
        <v>Ver Imagen</v>
      </c>
      <c r="P434" t="str">
        <f>HYPERLINK("SE\A-5058\A-5058__296.png", "Ver Imagen")</f>
        <v>Ver Imagen</v>
      </c>
    </row>
    <row r="435" spans="1:16" x14ac:dyDescent="0.25">
      <c r="A435">
        <v>3716</v>
      </c>
      <c r="B435" t="s">
        <v>7441</v>
      </c>
      <c r="C435">
        <v>37.245449673499998</v>
      </c>
      <c r="D435">
        <v>-7.09423117543</v>
      </c>
      <c r="E435">
        <v>4</v>
      </c>
      <c r="F435">
        <v>3</v>
      </c>
      <c r="G435">
        <v>4</v>
      </c>
      <c r="J435" t="s">
        <v>15</v>
      </c>
      <c r="K435">
        <v>4</v>
      </c>
      <c r="L435">
        <v>2.64</v>
      </c>
      <c r="M435">
        <v>1</v>
      </c>
      <c r="N435" t="s">
        <v>10018</v>
      </c>
      <c r="O435" t="str">
        <f>HYPERLINK("4\1\marker_518_384247.png", "Ver Imagen")</f>
        <v>Ver Imagen</v>
      </c>
      <c r="P435" t="str">
        <f>HYPERLINK("SE\A-5058\A-5058__298.png", "Ver Imagen")</f>
        <v>Ver Imagen</v>
      </c>
    </row>
    <row r="436" spans="1:16" x14ac:dyDescent="0.25">
      <c r="A436">
        <v>3718</v>
      </c>
      <c r="B436" t="s">
        <v>7445</v>
      </c>
      <c r="C436">
        <v>37.246284484199997</v>
      </c>
      <c r="D436">
        <v>-7.0988333051900003</v>
      </c>
      <c r="E436">
        <v>4</v>
      </c>
      <c r="F436">
        <v>3</v>
      </c>
      <c r="G436">
        <v>4</v>
      </c>
      <c r="J436" t="s">
        <v>15</v>
      </c>
      <c r="K436">
        <v>4</v>
      </c>
      <c r="L436">
        <v>3.4420000000000002</v>
      </c>
      <c r="M436">
        <v>1</v>
      </c>
      <c r="N436" t="s">
        <v>10019</v>
      </c>
      <c r="O436" t="str">
        <f>HYPERLINK("4\1\marker_965_384468.png", "Ver Imagen")</f>
        <v>Ver Imagen</v>
      </c>
      <c r="P436" t="str">
        <f>HYPERLINK("SO\A-5058\A-5058__317.png", "Ver Imagen")</f>
        <v>Ver Imagen</v>
      </c>
    </row>
    <row r="437" spans="1:16" x14ac:dyDescent="0.25">
      <c r="A437">
        <v>3719</v>
      </c>
      <c r="B437" t="s">
        <v>7447</v>
      </c>
      <c r="C437">
        <v>37.246795190100002</v>
      </c>
      <c r="D437">
        <v>-7.0996355597500003</v>
      </c>
      <c r="E437">
        <v>4</v>
      </c>
      <c r="F437">
        <v>3</v>
      </c>
      <c r="G437">
        <v>4</v>
      </c>
      <c r="J437" t="s">
        <v>15</v>
      </c>
      <c r="K437">
        <v>4</v>
      </c>
      <c r="L437">
        <v>3.242</v>
      </c>
      <c r="M437">
        <v>1</v>
      </c>
      <c r="N437" t="s">
        <v>10019</v>
      </c>
      <c r="O437" t="str">
        <f>HYPERLINK("4\1\marker_892_384511.png", "Ver Imagen")</f>
        <v>Ver Imagen</v>
      </c>
      <c r="P437" t="str">
        <f>HYPERLINK("SO\A-5058\A-5058__321.png", "Ver Imagen")</f>
        <v>Ver Imagen</v>
      </c>
    </row>
    <row r="438" spans="1:16" x14ac:dyDescent="0.25">
      <c r="A438">
        <v>3721</v>
      </c>
      <c r="B438" t="s">
        <v>7451</v>
      </c>
      <c r="C438">
        <v>37.248422620200003</v>
      </c>
      <c r="D438">
        <v>-7.1018806882299996</v>
      </c>
      <c r="E438">
        <v>4</v>
      </c>
      <c r="F438">
        <v>3</v>
      </c>
      <c r="G438">
        <v>4</v>
      </c>
      <c r="J438" t="s">
        <v>15</v>
      </c>
      <c r="K438">
        <v>4</v>
      </c>
      <c r="L438">
        <v>3.331</v>
      </c>
      <c r="M438">
        <v>1</v>
      </c>
      <c r="N438" t="s">
        <v>10017</v>
      </c>
      <c r="O438" t="str">
        <f>HYPERLINK("4\1\marker_630_384667.png", "Ver Imagen")</f>
        <v>Ver Imagen</v>
      </c>
      <c r="P438" t="str">
        <f>HYPERLINK("SE\A-5058\A-5058__333.png", "Ver Imagen")</f>
        <v>Ver Imagen</v>
      </c>
    </row>
    <row r="439" spans="1:16" x14ac:dyDescent="0.25">
      <c r="A439">
        <v>3722</v>
      </c>
      <c r="B439" t="s">
        <v>7453</v>
      </c>
      <c r="C439">
        <v>37.248786894399998</v>
      </c>
      <c r="D439">
        <v>-7.1021282667900003</v>
      </c>
      <c r="E439">
        <v>4</v>
      </c>
      <c r="F439">
        <v>3</v>
      </c>
      <c r="G439">
        <v>4</v>
      </c>
      <c r="J439" t="s">
        <v>15</v>
      </c>
      <c r="K439">
        <v>4</v>
      </c>
      <c r="L439">
        <v>3.3580000000000001</v>
      </c>
      <c r="M439">
        <v>1</v>
      </c>
      <c r="N439" t="s">
        <v>10018</v>
      </c>
      <c r="O439" t="str">
        <f>HYPERLINK("4\1\marker_294_384704.png", "Ver Imagen")</f>
        <v>Ver Imagen</v>
      </c>
      <c r="P439" t="str">
        <f>HYPERLINK("SO\A-5058\A-5058__335.png", "Ver Imagen")</f>
        <v>Ver Imagen</v>
      </c>
    </row>
    <row r="440" spans="1:16" x14ac:dyDescent="0.25">
      <c r="A440">
        <v>3725</v>
      </c>
      <c r="B440" t="s">
        <v>7459</v>
      </c>
      <c r="C440">
        <v>37.480332424099998</v>
      </c>
      <c r="D440">
        <v>-7.1277918034200001</v>
      </c>
      <c r="E440">
        <v>4</v>
      </c>
      <c r="F440">
        <v>3</v>
      </c>
      <c r="G440">
        <v>4</v>
      </c>
      <c r="J440" t="s">
        <v>15</v>
      </c>
      <c r="K440">
        <v>4</v>
      </c>
      <c r="L440">
        <v>2.8860000000000001</v>
      </c>
      <c r="M440">
        <v>1</v>
      </c>
      <c r="N440" t="s">
        <v>10018</v>
      </c>
      <c r="O440" t="str">
        <f>HYPERLINK("4\1\marker_357_383986.png", "Ver Imagen")</f>
        <v>Ver Imagen</v>
      </c>
      <c r="P440" t="str">
        <f>HYPERLINK("NE\A-495_1\A-495_1__170.png", "Ver Imagen")</f>
        <v>Ver Imagen</v>
      </c>
    </row>
    <row r="441" spans="1:16" x14ac:dyDescent="0.25">
      <c r="A441">
        <v>3738</v>
      </c>
      <c r="B441" t="s">
        <v>7485</v>
      </c>
      <c r="C441">
        <v>37.471286272699999</v>
      </c>
      <c r="D441">
        <v>-7.1256380483399999</v>
      </c>
      <c r="E441">
        <v>4</v>
      </c>
      <c r="F441">
        <v>3</v>
      </c>
      <c r="G441">
        <v>4</v>
      </c>
      <c r="J441" t="s">
        <v>15</v>
      </c>
      <c r="K441">
        <v>4</v>
      </c>
      <c r="L441">
        <v>3.0179999999999998</v>
      </c>
      <c r="M441">
        <v>1</v>
      </c>
      <c r="N441" t="s">
        <v>10017</v>
      </c>
      <c r="O441" t="str">
        <f>HYPERLINK("4\1\marker_635_384560.png", "Ver Imagen")</f>
        <v>Ver Imagen</v>
      </c>
      <c r="P441" t="str">
        <f>HYPERLINK("NE\A-495_1\A-495_1__121.png", "Ver Imagen")</f>
        <v>Ver Imagen</v>
      </c>
    </row>
    <row r="442" spans="1:16" x14ac:dyDescent="0.25">
      <c r="A442">
        <v>3750</v>
      </c>
      <c r="B442" t="s">
        <v>7509</v>
      </c>
      <c r="C442">
        <v>37.269286724099999</v>
      </c>
      <c r="D442">
        <v>-6.9765311797200003</v>
      </c>
      <c r="E442">
        <v>4</v>
      </c>
      <c r="F442">
        <v>3</v>
      </c>
      <c r="G442">
        <v>4</v>
      </c>
      <c r="J442" t="s">
        <v>15</v>
      </c>
      <c r="K442">
        <v>4</v>
      </c>
      <c r="L442">
        <v>3.4060000000000001</v>
      </c>
      <c r="M442">
        <v>1</v>
      </c>
      <c r="N442" t="s">
        <v>10019</v>
      </c>
      <c r="O442" t="str">
        <f>HYPERLINK("4\1\marker_727_655108.png", "Ver Imagen")</f>
        <v>Ver Imagen</v>
      </c>
      <c r="P442" t="str">
        <f>HYPERLINK("SE\A-497_2C\A-497_2C__78.png", "Ver Imagen")</f>
        <v>Ver Imagen</v>
      </c>
    </row>
    <row r="443" spans="1:16" x14ac:dyDescent="0.25">
      <c r="A443">
        <v>3753</v>
      </c>
      <c r="B443" t="s">
        <v>7515</v>
      </c>
      <c r="C443">
        <v>37.192395569399999</v>
      </c>
      <c r="D443">
        <v>-6.9774921060799997</v>
      </c>
      <c r="E443">
        <v>4</v>
      </c>
      <c r="F443">
        <v>3</v>
      </c>
      <c r="G443">
        <v>4</v>
      </c>
      <c r="J443" t="s">
        <v>15</v>
      </c>
      <c r="K443">
        <v>4</v>
      </c>
      <c r="L443">
        <v>2.976</v>
      </c>
      <c r="M443">
        <v>1</v>
      </c>
      <c r="N443" t="s">
        <v>10018</v>
      </c>
      <c r="O443" t="str">
        <f>HYPERLINK("4\1\marker_455_369034.png", "Ver Imagen")</f>
        <v>Ver Imagen</v>
      </c>
      <c r="P443" t="str">
        <f>HYPERLINK("SE\A-497\A-497__723.png", "Ver Imagen")</f>
        <v>Ver Imagen</v>
      </c>
    </row>
    <row r="444" spans="1:16" x14ac:dyDescent="0.25">
      <c r="A444">
        <v>3756</v>
      </c>
      <c r="B444" t="s">
        <v>7521</v>
      </c>
      <c r="C444">
        <v>37.203072257999999</v>
      </c>
      <c r="D444">
        <v>-7.0035943733400003</v>
      </c>
      <c r="E444">
        <v>4</v>
      </c>
      <c r="F444">
        <v>3</v>
      </c>
      <c r="G444">
        <v>4</v>
      </c>
      <c r="J444" t="s">
        <v>15</v>
      </c>
      <c r="K444">
        <v>4</v>
      </c>
      <c r="L444">
        <v>3.0009999999999999</v>
      </c>
      <c r="M444">
        <v>1</v>
      </c>
      <c r="N444" t="s">
        <v>10018</v>
      </c>
      <c r="O444" t="str">
        <f>HYPERLINK("4\1\marker_928_371748.png", "Ver Imagen")</f>
        <v>Ver Imagen</v>
      </c>
      <c r="P444" t="str">
        <f>HYPERLINK("SE\A-497\A-497__596.png", "Ver Imagen")</f>
        <v>Ver Imagen</v>
      </c>
    </row>
    <row r="445" spans="1:16" x14ac:dyDescent="0.25">
      <c r="A445">
        <v>3763</v>
      </c>
      <c r="B445" t="s">
        <v>7535</v>
      </c>
      <c r="C445">
        <v>37.205359925899998</v>
      </c>
      <c r="D445">
        <v>-7.0172448687399998</v>
      </c>
      <c r="E445">
        <v>4</v>
      </c>
      <c r="F445">
        <v>3</v>
      </c>
      <c r="G445">
        <v>4</v>
      </c>
      <c r="J445" t="s">
        <v>15</v>
      </c>
      <c r="K445">
        <v>4</v>
      </c>
      <c r="L445">
        <v>2.5569999999999999</v>
      </c>
      <c r="M445">
        <v>1</v>
      </c>
      <c r="N445" t="s">
        <v>10018</v>
      </c>
      <c r="O445" t="str">
        <f>HYPERLINK("4\1\marker_611_372366.png", "Ver Imagen")</f>
        <v>Ver Imagen</v>
      </c>
      <c r="P445" t="str">
        <f>HYPERLINK("SE\A-497\A-497__541.png", "Ver Imagen")</f>
        <v>Ver Imagen</v>
      </c>
    </row>
    <row r="446" spans="1:16" x14ac:dyDescent="0.25">
      <c r="A446">
        <v>3773</v>
      </c>
      <c r="B446" t="s">
        <v>7555</v>
      </c>
      <c r="C446">
        <v>37.218182752600001</v>
      </c>
      <c r="D446">
        <v>-7.0230403313099998</v>
      </c>
      <c r="E446">
        <v>4</v>
      </c>
      <c r="F446">
        <v>3</v>
      </c>
      <c r="G446">
        <v>4</v>
      </c>
      <c r="J446" t="s">
        <v>15</v>
      </c>
      <c r="K446">
        <v>4</v>
      </c>
      <c r="L446">
        <v>2.726</v>
      </c>
      <c r="M446">
        <v>1</v>
      </c>
      <c r="N446" t="s">
        <v>10018</v>
      </c>
      <c r="O446" t="str">
        <f>HYPERLINK("4\1\marker_825_363535.png", "Ver Imagen")</f>
        <v>Ver Imagen</v>
      </c>
      <c r="P446" t="str">
        <f>HYPERLINK("SE\A-497_2C\A-497_2C__460.png", "Ver Imagen")</f>
        <v>Ver Imagen</v>
      </c>
    </row>
    <row r="447" spans="1:16" x14ac:dyDescent="0.25">
      <c r="A447">
        <v>3782</v>
      </c>
      <c r="B447" t="s">
        <v>7573</v>
      </c>
      <c r="C447">
        <v>37.209789024400003</v>
      </c>
      <c r="D447">
        <v>-7.0236374396999999</v>
      </c>
      <c r="E447">
        <v>4</v>
      </c>
      <c r="F447">
        <v>3</v>
      </c>
      <c r="G447">
        <v>4</v>
      </c>
      <c r="J447" t="s">
        <v>15</v>
      </c>
      <c r="K447">
        <v>4</v>
      </c>
      <c r="L447">
        <v>2.5739999999999998</v>
      </c>
      <c r="M447">
        <v>1</v>
      </c>
      <c r="N447" t="s">
        <v>10018</v>
      </c>
      <c r="O447" t="str">
        <f>HYPERLINK("4\1\marker_956_364082.png", "Ver Imagen")</f>
        <v>Ver Imagen</v>
      </c>
      <c r="P447" t="str">
        <f>HYPERLINK("SE\A-497_2C\A-497_2C__502.png", "Ver Imagen")</f>
        <v>Ver Imagen</v>
      </c>
    </row>
    <row r="448" spans="1:16" x14ac:dyDescent="0.25">
      <c r="A448">
        <v>3793</v>
      </c>
      <c r="B448" t="s">
        <v>7595</v>
      </c>
      <c r="C448">
        <v>37.259995785500003</v>
      </c>
      <c r="D448">
        <v>-7.0115090710899999</v>
      </c>
      <c r="E448">
        <v>4</v>
      </c>
      <c r="F448">
        <v>3</v>
      </c>
      <c r="G448">
        <v>4</v>
      </c>
      <c r="J448" t="s">
        <v>15</v>
      </c>
      <c r="K448">
        <v>4</v>
      </c>
      <c r="L448">
        <v>2.6560000000000001</v>
      </c>
      <c r="M448">
        <v>1</v>
      </c>
      <c r="N448" t="s">
        <v>10017</v>
      </c>
      <c r="O448" t="str">
        <f>HYPERLINK("4\1\marker_534_378812.png", "Ver Imagen")</f>
        <v>Ver Imagen</v>
      </c>
      <c r="P448" t="str">
        <f>HYPERLINK("SE\A-497\A-497__247.png", "Ver Imagen")</f>
        <v>Ver Imagen</v>
      </c>
    </row>
    <row r="449" spans="1:16" x14ac:dyDescent="0.25">
      <c r="A449">
        <v>3794</v>
      </c>
      <c r="B449" t="s">
        <v>7597</v>
      </c>
      <c r="C449">
        <v>37.263019744799998</v>
      </c>
      <c r="D449">
        <v>-7.00842203856</v>
      </c>
      <c r="E449">
        <v>4</v>
      </c>
      <c r="F449">
        <v>3</v>
      </c>
      <c r="G449">
        <v>4</v>
      </c>
      <c r="J449" t="s">
        <v>15</v>
      </c>
      <c r="K449">
        <v>4</v>
      </c>
      <c r="L449">
        <v>2.8929999999999998</v>
      </c>
      <c r="M449">
        <v>1</v>
      </c>
      <c r="N449" t="s">
        <v>10017</v>
      </c>
      <c r="O449" t="str">
        <f>HYPERLINK("4\1\marker_174_379070.png", "Ver Imagen")</f>
        <v>Ver Imagen</v>
      </c>
      <c r="P449" t="str">
        <f>HYPERLINK("SE\A-497\A-497__227.png", "Ver Imagen")</f>
        <v>Ver Imagen</v>
      </c>
    </row>
    <row r="450" spans="1:16" x14ac:dyDescent="0.25">
      <c r="A450">
        <v>3796</v>
      </c>
      <c r="B450" t="s">
        <v>7601</v>
      </c>
      <c r="C450">
        <v>37.2710731592</v>
      </c>
      <c r="D450">
        <v>-6.9832102298600001</v>
      </c>
      <c r="E450">
        <v>4</v>
      </c>
      <c r="F450">
        <v>3</v>
      </c>
      <c r="G450">
        <v>4</v>
      </c>
      <c r="J450" t="s">
        <v>15</v>
      </c>
      <c r="K450">
        <v>4</v>
      </c>
      <c r="L450">
        <v>3.4350000000000001</v>
      </c>
      <c r="M450">
        <v>1</v>
      </c>
      <c r="N450" t="s">
        <v>10017</v>
      </c>
      <c r="O450" t="str">
        <f>HYPERLINK("4\1\marker_970_380714.png", "Ver Imagen")</f>
        <v>Ver Imagen</v>
      </c>
      <c r="P450" t="str">
        <f>HYPERLINK("SE\A-497\A-497__111.png", "Ver Imagen")</f>
        <v>Ver Imagen</v>
      </c>
    </row>
    <row r="451" spans="1:16" x14ac:dyDescent="0.25">
      <c r="A451">
        <v>3797</v>
      </c>
      <c r="B451" t="s">
        <v>7603</v>
      </c>
      <c r="C451">
        <v>37.270867183100002</v>
      </c>
      <c r="D451">
        <v>-6.9824911545699999</v>
      </c>
      <c r="E451">
        <v>4</v>
      </c>
      <c r="F451">
        <v>3</v>
      </c>
      <c r="G451">
        <v>4</v>
      </c>
      <c r="J451" t="s">
        <v>15</v>
      </c>
      <c r="K451">
        <v>4</v>
      </c>
      <c r="L451">
        <v>3.282</v>
      </c>
      <c r="M451">
        <v>1</v>
      </c>
      <c r="N451" t="s">
        <v>10017</v>
      </c>
      <c r="O451" t="str">
        <f>HYPERLINK("4\1\marker_460_380747.png", "Ver Imagen")</f>
        <v>Ver Imagen</v>
      </c>
      <c r="P451" t="str">
        <f>HYPERLINK("SE\A-497\A-497__108.png", "Ver Imagen")</f>
        <v>Ver Imagen</v>
      </c>
    </row>
    <row r="452" spans="1:16" x14ac:dyDescent="0.25">
      <c r="A452">
        <v>3798</v>
      </c>
      <c r="B452" t="s">
        <v>7605</v>
      </c>
      <c r="C452">
        <v>37.269897309999998</v>
      </c>
      <c r="D452">
        <v>-6.9791054688900003</v>
      </c>
      <c r="E452">
        <v>4</v>
      </c>
      <c r="F452">
        <v>3</v>
      </c>
      <c r="G452">
        <v>4</v>
      </c>
      <c r="J452" t="s">
        <v>15</v>
      </c>
      <c r="K452">
        <v>4</v>
      </c>
      <c r="L452">
        <v>3.48</v>
      </c>
      <c r="M452">
        <v>1</v>
      </c>
      <c r="N452" t="s">
        <v>10017</v>
      </c>
      <c r="O452" t="str">
        <f>HYPERLINK("4\1\marker_734_380898.png", "Ver Imagen")</f>
        <v>Ver Imagen</v>
      </c>
      <c r="P452" t="str">
        <f>HYPERLINK("SE\A-497\A-497__94.png", "Ver Imagen")</f>
        <v>Ver Imagen</v>
      </c>
    </row>
    <row r="453" spans="1:16" x14ac:dyDescent="0.25">
      <c r="A453">
        <v>3812</v>
      </c>
      <c r="B453" t="s">
        <v>7633</v>
      </c>
      <c r="C453">
        <v>37.268789635300003</v>
      </c>
      <c r="D453">
        <v>-6.9750118796600002</v>
      </c>
      <c r="E453">
        <v>4</v>
      </c>
      <c r="F453">
        <v>4</v>
      </c>
      <c r="G453">
        <v>5</v>
      </c>
      <c r="J453" t="s">
        <v>15</v>
      </c>
      <c r="K453">
        <v>4</v>
      </c>
      <c r="L453">
        <v>3.3610000000000002</v>
      </c>
      <c r="M453">
        <v>1</v>
      </c>
      <c r="N453" t="s">
        <v>10019</v>
      </c>
      <c r="O453" t="str">
        <f>HYPERLINK("4\1\marker_799_937970.png", "Ver Imagen")</f>
        <v>Ver Imagen</v>
      </c>
      <c r="P453" t="str">
        <f>HYPERLINK("SE\A-497\A-497__77.png", "Ver Imagen")</f>
        <v>Ver Imagen</v>
      </c>
    </row>
    <row r="454" spans="1:16" x14ac:dyDescent="0.25">
      <c r="A454">
        <v>3819</v>
      </c>
      <c r="B454" t="s">
        <v>7647</v>
      </c>
      <c r="C454">
        <v>37.275593556300002</v>
      </c>
      <c r="D454">
        <v>-6.9911276510600002</v>
      </c>
      <c r="E454">
        <v>3</v>
      </c>
      <c r="F454">
        <v>4</v>
      </c>
      <c r="G454">
        <v>4</v>
      </c>
      <c r="J454" t="s">
        <v>15</v>
      </c>
      <c r="K454">
        <v>4</v>
      </c>
      <c r="L454">
        <v>3.218</v>
      </c>
      <c r="M454">
        <v>1</v>
      </c>
      <c r="N454" t="s">
        <v>10018</v>
      </c>
      <c r="O454" t="str">
        <f>HYPERLINK("4\1\marker_424_822039.png", "Ver Imagen")</f>
        <v>Ver Imagen</v>
      </c>
      <c r="P454" t="str">
        <f>HYPERLINK("SE\A-492\A-492__21.png", "Ver Imagen")</f>
        <v>Ver Imagen</v>
      </c>
    </row>
    <row r="455" spans="1:16" x14ac:dyDescent="0.25">
      <c r="A455">
        <v>3824</v>
      </c>
      <c r="B455" t="s">
        <v>7657</v>
      </c>
      <c r="C455">
        <v>37.316092050500004</v>
      </c>
      <c r="D455">
        <v>-7.0691746891799996</v>
      </c>
      <c r="E455">
        <v>3</v>
      </c>
      <c r="F455">
        <v>4</v>
      </c>
      <c r="G455">
        <v>4</v>
      </c>
      <c r="J455" t="s">
        <v>15</v>
      </c>
      <c r="K455">
        <v>4</v>
      </c>
      <c r="L455">
        <v>2.9550000000000001</v>
      </c>
      <c r="M455">
        <v>1</v>
      </c>
      <c r="N455" t="s">
        <v>10018</v>
      </c>
      <c r="O455" t="str">
        <f>HYPERLINK("4\1\marker_995_839929.png", "Ver Imagen")</f>
        <v>Ver Imagen</v>
      </c>
      <c r="P455" t="str">
        <f>HYPERLINK("SE\A-492\A-492__460.png", "Ver Imagen")</f>
        <v>Ver Imagen</v>
      </c>
    </row>
    <row r="456" spans="1:16" x14ac:dyDescent="0.25">
      <c r="A456">
        <v>3825</v>
      </c>
      <c r="B456" t="s">
        <v>7659</v>
      </c>
      <c r="C456">
        <v>37.457163583000003</v>
      </c>
      <c r="D456">
        <v>-7.11396894629</v>
      </c>
      <c r="E456">
        <v>3</v>
      </c>
      <c r="F456">
        <v>4</v>
      </c>
      <c r="G456">
        <v>4</v>
      </c>
      <c r="J456" t="s">
        <v>15</v>
      </c>
      <c r="K456">
        <v>4</v>
      </c>
      <c r="L456">
        <v>4.6120000000000001</v>
      </c>
      <c r="M456">
        <v>1</v>
      </c>
      <c r="O456" t="str">
        <f>HYPERLINK("4\1\marker_414_935386.png", "Ver Imagen")</f>
        <v>Ver Imagen</v>
      </c>
      <c r="P456" t="str">
        <f>HYPERLINK("NE\A-495R\A-495R__65.png", "Ver Imagen")</f>
        <v>Ver Imagen</v>
      </c>
    </row>
    <row r="457" spans="1:16" x14ac:dyDescent="0.25">
      <c r="A457">
        <v>3841</v>
      </c>
      <c r="B457" t="s">
        <v>7691</v>
      </c>
      <c r="C457">
        <v>37.435426608699998</v>
      </c>
      <c r="D457">
        <v>-7.0732497807000003</v>
      </c>
      <c r="E457">
        <v>4</v>
      </c>
      <c r="F457">
        <v>4</v>
      </c>
      <c r="G457">
        <v>5</v>
      </c>
      <c r="J457" t="s">
        <v>15</v>
      </c>
      <c r="K457">
        <v>4</v>
      </c>
      <c r="L457">
        <v>3.4969999999999999</v>
      </c>
      <c r="M457">
        <v>1</v>
      </c>
      <c r="N457" t="s">
        <v>10019</v>
      </c>
      <c r="O457" t="str">
        <f>HYPERLINK("4\1\marker_349_382358.png", "Ver Imagen")</f>
        <v>Ver Imagen</v>
      </c>
      <c r="P457" t="str">
        <f>HYPERLINK("NE\A-495\A-495__119.png", "Ver Imagen")</f>
        <v>Ver Imagen</v>
      </c>
    </row>
    <row r="458" spans="1:16" x14ac:dyDescent="0.25">
      <c r="A458">
        <v>3846</v>
      </c>
      <c r="B458" t="s">
        <v>7701</v>
      </c>
      <c r="C458">
        <v>37.2493200073</v>
      </c>
      <c r="D458">
        <v>-7.1024388241400001</v>
      </c>
      <c r="E458">
        <v>3</v>
      </c>
      <c r="F458">
        <v>4</v>
      </c>
      <c r="G458">
        <v>4</v>
      </c>
      <c r="J458" t="s">
        <v>15</v>
      </c>
      <c r="K458">
        <v>4</v>
      </c>
      <c r="L458">
        <v>3.0939999999999999</v>
      </c>
      <c r="M458">
        <v>1</v>
      </c>
      <c r="N458" t="s">
        <v>10018</v>
      </c>
      <c r="O458" t="str">
        <f>HYPERLINK("4\1\marker_735_384731.png", "Ver Imagen")</f>
        <v>Ver Imagen</v>
      </c>
      <c r="P458" t="str">
        <f>HYPERLINK("SE\A-5058\A-5058__338.png", "Ver Imagen")</f>
        <v>Ver Imagen</v>
      </c>
    </row>
    <row r="459" spans="1:16" x14ac:dyDescent="0.25">
      <c r="A459">
        <v>3847</v>
      </c>
      <c r="B459" t="s">
        <v>7703</v>
      </c>
      <c r="C459">
        <v>37.254993649699998</v>
      </c>
      <c r="D459">
        <v>-7.1131585774800001</v>
      </c>
      <c r="E459">
        <v>3</v>
      </c>
      <c r="F459">
        <v>4</v>
      </c>
      <c r="G459">
        <v>4</v>
      </c>
      <c r="J459" t="s">
        <v>15</v>
      </c>
      <c r="K459">
        <v>4</v>
      </c>
      <c r="L459">
        <v>3.4140000000000001</v>
      </c>
      <c r="M459">
        <v>1</v>
      </c>
      <c r="N459" t="s">
        <v>10018</v>
      </c>
      <c r="O459" t="str">
        <f>HYPERLINK("4\1\marker_719_385369.png", "Ver Imagen")</f>
        <v>Ver Imagen</v>
      </c>
      <c r="P459" t="str">
        <f>HYPERLINK("SO\A-5058\A-5058__395.png", "Ver Imagen")</f>
        <v>Ver Imagen</v>
      </c>
    </row>
    <row r="460" spans="1:16" x14ac:dyDescent="0.25">
      <c r="A460">
        <v>3849</v>
      </c>
      <c r="B460" t="s">
        <v>7707</v>
      </c>
      <c r="C460">
        <v>37.440037752599999</v>
      </c>
      <c r="D460">
        <v>-7.0877339554700001</v>
      </c>
      <c r="E460">
        <v>4</v>
      </c>
      <c r="F460">
        <v>4</v>
      </c>
      <c r="G460">
        <v>3</v>
      </c>
      <c r="J460" t="s">
        <v>15</v>
      </c>
      <c r="K460">
        <v>4</v>
      </c>
      <c r="L460">
        <v>3.3940000000000001</v>
      </c>
      <c r="M460">
        <v>1</v>
      </c>
      <c r="N460" t="s">
        <v>10019</v>
      </c>
      <c r="O460" t="str">
        <f>HYPERLINK("4\1\marker_267_381661.png", "Ver Imagen")</f>
        <v>Ver Imagen</v>
      </c>
      <c r="P460" t="str">
        <f>HYPERLINK("NE\A-495\A-495__55.png", "Ver Imagen")</f>
        <v>Ver Imagen</v>
      </c>
    </row>
    <row r="461" spans="1:16" x14ac:dyDescent="0.25">
      <c r="A461">
        <v>3850</v>
      </c>
      <c r="B461" t="s">
        <v>7709</v>
      </c>
      <c r="C461">
        <v>37.4787379415</v>
      </c>
      <c r="D461">
        <v>-7.1278849314799997</v>
      </c>
      <c r="E461">
        <v>4</v>
      </c>
      <c r="F461">
        <v>4</v>
      </c>
      <c r="G461">
        <v>3</v>
      </c>
      <c r="J461" t="s">
        <v>15</v>
      </c>
      <c r="K461">
        <v>4</v>
      </c>
      <c r="L461">
        <v>3.1890000000000001</v>
      </c>
      <c r="M461">
        <v>1</v>
      </c>
      <c r="N461" t="s">
        <v>10018</v>
      </c>
      <c r="O461" t="str">
        <f>HYPERLINK("4\1\marker_235_384064.png", "Ver Imagen")</f>
        <v>Ver Imagen</v>
      </c>
      <c r="P461" t="str">
        <f>HYPERLINK("NE\A-495_1\A-495_1__162.png", "Ver Imagen")</f>
        <v>Ver Imagen</v>
      </c>
    </row>
    <row r="462" spans="1:16" x14ac:dyDescent="0.25">
      <c r="A462">
        <v>3863</v>
      </c>
      <c r="B462" t="s">
        <v>7735</v>
      </c>
      <c r="C462">
        <v>37.265655191</v>
      </c>
      <c r="D462">
        <v>-6.9952056164699998</v>
      </c>
      <c r="E462">
        <v>5</v>
      </c>
      <c r="F462">
        <v>4</v>
      </c>
      <c r="G462">
        <v>4</v>
      </c>
      <c r="J462" t="s">
        <v>15</v>
      </c>
      <c r="K462">
        <v>4</v>
      </c>
      <c r="L462">
        <v>2.93</v>
      </c>
      <c r="M462">
        <v>1</v>
      </c>
      <c r="N462" t="s">
        <v>10018</v>
      </c>
      <c r="O462" t="str">
        <f>HYPERLINK("4\1\marker_369_656179.png", "Ver Imagen")</f>
        <v>Ver Imagen</v>
      </c>
      <c r="P462" t="str">
        <f>HYPERLINK("SE\A-497_2C\A-497_2C__168.png", "Ver Imagen")</f>
        <v>Ver Imagen</v>
      </c>
    </row>
    <row r="463" spans="1:16" x14ac:dyDescent="0.25">
      <c r="A463">
        <v>3867</v>
      </c>
      <c r="B463" t="s">
        <v>7743</v>
      </c>
      <c r="C463">
        <v>37.264910383900002</v>
      </c>
      <c r="D463">
        <v>-6.9993997183100003</v>
      </c>
      <c r="E463">
        <v>4</v>
      </c>
      <c r="F463">
        <v>4</v>
      </c>
      <c r="G463">
        <v>3</v>
      </c>
      <c r="J463" t="s">
        <v>15</v>
      </c>
      <c r="K463">
        <v>4</v>
      </c>
      <c r="L463">
        <v>2.972</v>
      </c>
      <c r="M463">
        <v>1</v>
      </c>
      <c r="N463" t="s">
        <v>10017</v>
      </c>
      <c r="O463" t="str">
        <f>HYPERLINK("4\1\marker_746_656373.png", "Ver Imagen")</f>
        <v>Ver Imagen</v>
      </c>
      <c r="P463" t="str">
        <f>HYPERLINK("SE\A-497_2C\A-497_2C__185.png", "Ver Imagen")</f>
        <v>Ver Imagen</v>
      </c>
    </row>
    <row r="464" spans="1:16" x14ac:dyDescent="0.25">
      <c r="A464">
        <v>3869</v>
      </c>
      <c r="B464" t="s">
        <v>7747</v>
      </c>
      <c r="C464">
        <v>37.1958700494</v>
      </c>
      <c r="D464">
        <v>-6.9783332736999997</v>
      </c>
      <c r="E464">
        <v>3</v>
      </c>
      <c r="F464">
        <v>4</v>
      </c>
      <c r="G464">
        <v>4</v>
      </c>
      <c r="J464" t="s">
        <v>15</v>
      </c>
      <c r="K464">
        <v>4</v>
      </c>
      <c r="L464">
        <v>2.9729999999999999</v>
      </c>
      <c r="M464">
        <v>1</v>
      </c>
      <c r="N464" t="s">
        <v>10018</v>
      </c>
      <c r="O464" t="str">
        <f>HYPERLINK("4\1\marker_269_370330.png", "Ver Imagen")</f>
        <v>Ver Imagen</v>
      </c>
      <c r="P464" t="str">
        <f>HYPERLINK("SE\A-497\A-497__705.png", "Ver Imagen")</f>
        <v>Ver Imagen</v>
      </c>
    </row>
    <row r="465" spans="1:16" x14ac:dyDescent="0.25">
      <c r="A465">
        <v>3871</v>
      </c>
      <c r="B465" t="s">
        <v>7751</v>
      </c>
      <c r="C465">
        <v>37.264651823000001</v>
      </c>
      <c r="D465">
        <v>-7.0008775744899996</v>
      </c>
      <c r="E465">
        <v>4</v>
      </c>
      <c r="F465">
        <v>4</v>
      </c>
      <c r="G465">
        <v>3</v>
      </c>
      <c r="J465" t="s">
        <v>15</v>
      </c>
      <c r="K465">
        <v>4</v>
      </c>
      <c r="L465">
        <v>3.4319999999999999</v>
      </c>
      <c r="M465">
        <v>1</v>
      </c>
      <c r="N465" t="s">
        <v>10019</v>
      </c>
      <c r="O465" t="str">
        <f>HYPERLINK("4\1\marker_947_656434.png", "Ver Imagen")</f>
        <v>Ver Imagen</v>
      </c>
      <c r="P465" t="str">
        <f>HYPERLINK("SE\A-497_2C\A-497_2C__191.png", "Ver Imagen")</f>
        <v>Ver Imagen</v>
      </c>
    </row>
    <row r="466" spans="1:16" x14ac:dyDescent="0.25">
      <c r="A466">
        <v>3872</v>
      </c>
      <c r="B466" t="s">
        <v>7753</v>
      </c>
      <c r="C466">
        <v>37.198336408899998</v>
      </c>
      <c r="D466">
        <v>-6.9809756700900003</v>
      </c>
      <c r="E466">
        <v>3</v>
      </c>
      <c r="F466">
        <v>4</v>
      </c>
      <c r="G466">
        <v>4</v>
      </c>
      <c r="J466" t="s">
        <v>15</v>
      </c>
      <c r="K466">
        <v>4</v>
      </c>
      <c r="L466">
        <v>3.4089999999999998</v>
      </c>
      <c r="M466">
        <v>1</v>
      </c>
      <c r="N466" t="s">
        <v>10019</v>
      </c>
      <c r="O466" t="str">
        <f>HYPERLINK("4\1\marker_119_370484.png", "Ver Imagen")</f>
        <v>Ver Imagen</v>
      </c>
      <c r="P466" t="str">
        <f>HYPERLINK("SE\A-497\A-497__689.png", "Ver Imagen")</f>
        <v>Ver Imagen</v>
      </c>
    </row>
    <row r="467" spans="1:16" x14ac:dyDescent="0.25">
      <c r="A467">
        <v>3873</v>
      </c>
      <c r="B467" t="s">
        <v>7755</v>
      </c>
      <c r="C467">
        <v>37.261992521899998</v>
      </c>
      <c r="D467">
        <v>-7.0102735786799997</v>
      </c>
      <c r="E467">
        <v>3</v>
      </c>
      <c r="F467">
        <v>4</v>
      </c>
      <c r="G467">
        <v>4</v>
      </c>
      <c r="J467" t="s">
        <v>15</v>
      </c>
      <c r="K467">
        <v>4</v>
      </c>
      <c r="L467">
        <v>2.875</v>
      </c>
      <c r="M467">
        <v>1</v>
      </c>
      <c r="N467" t="s">
        <v>10018</v>
      </c>
      <c r="O467" t="str">
        <f>HYPERLINK("4\1\marker_576_656891.png", "Ver Imagen")</f>
        <v>Ver Imagen</v>
      </c>
      <c r="P467" t="str">
        <f>HYPERLINK("SE\A-497_2C\A-497_2C__231.png", "Ver Imagen")</f>
        <v>Ver Imagen</v>
      </c>
    </row>
    <row r="468" spans="1:16" x14ac:dyDescent="0.25">
      <c r="A468">
        <v>3874</v>
      </c>
      <c r="B468" t="s">
        <v>7757</v>
      </c>
      <c r="C468">
        <v>37.261817189699997</v>
      </c>
      <c r="D468">
        <v>-7.0104433332199996</v>
      </c>
      <c r="E468">
        <v>3</v>
      </c>
      <c r="F468">
        <v>4</v>
      </c>
      <c r="G468">
        <v>4</v>
      </c>
      <c r="J468" t="s">
        <v>15</v>
      </c>
      <c r="K468">
        <v>4</v>
      </c>
      <c r="L468">
        <v>3.4159999999999999</v>
      </c>
      <c r="M468">
        <v>1</v>
      </c>
      <c r="N468" t="s">
        <v>10019</v>
      </c>
      <c r="O468" t="str">
        <f>HYPERLINK("4\1\marker_456_656899.png", "Ver Imagen")</f>
        <v>Ver Imagen</v>
      </c>
      <c r="P468" t="str">
        <f>HYPERLINK("SE\A-497_2C\A-497_2C__232.png", "Ver Imagen")</f>
        <v>Ver Imagen</v>
      </c>
    </row>
    <row r="469" spans="1:16" x14ac:dyDescent="0.25">
      <c r="A469">
        <v>3875</v>
      </c>
      <c r="B469" t="s">
        <v>7759</v>
      </c>
      <c r="C469">
        <v>37.200673946899997</v>
      </c>
      <c r="D469">
        <v>-6.98871386162</v>
      </c>
      <c r="E469">
        <v>5</v>
      </c>
      <c r="F469">
        <v>4</v>
      </c>
      <c r="G469">
        <v>4</v>
      </c>
      <c r="J469" t="s">
        <v>15</v>
      </c>
      <c r="K469">
        <v>4</v>
      </c>
      <c r="L469">
        <v>3.4780000000000002</v>
      </c>
      <c r="M469">
        <v>1</v>
      </c>
      <c r="N469" t="s">
        <v>10019</v>
      </c>
      <c r="O469" t="str">
        <f>HYPERLINK("4\1\marker_462_371183.png", "Ver Imagen")</f>
        <v>Ver Imagen</v>
      </c>
      <c r="P469" t="str">
        <f>HYPERLINK("SE\A-497\A-497__656.png", "Ver Imagen")</f>
        <v>Ver Imagen</v>
      </c>
    </row>
    <row r="470" spans="1:16" x14ac:dyDescent="0.25">
      <c r="A470">
        <v>3876</v>
      </c>
      <c r="B470" t="s">
        <v>7761</v>
      </c>
      <c r="C470">
        <v>37.200736419199998</v>
      </c>
      <c r="D470">
        <v>-6.9889930364500001</v>
      </c>
      <c r="E470">
        <v>5</v>
      </c>
      <c r="F470">
        <v>4</v>
      </c>
      <c r="G470">
        <v>4</v>
      </c>
      <c r="J470" t="s">
        <v>15</v>
      </c>
      <c r="K470">
        <v>4</v>
      </c>
      <c r="L470">
        <v>3.4860000000000002</v>
      </c>
      <c r="M470">
        <v>1</v>
      </c>
      <c r="N470" t="s">
        <v>10019</v>
      </c>
      <c r="O470" t="str">
        <f>HYPERLINK("4\1\marker_610_371193.png", "Ver Imagen")</f>
        <v>Ver Imagen</v>
      </c>
      <c r="P470" t="str">
        <f>HYPERLINK("SE\A-497\A-497__655.png", "Ver Imagen")</f>
        <v>Ver Imagen</v>
      </c>
    </row>
    <row r="471" spans="1:16" x14ac:dyDescent="0.25">
      <c r="A471">
        <v>3878</v>
      </c>
      <c r="B471" t="s">
        <v>7765</v>
      </c>
      <c r="C471">
        <v>37.202330945299998</v>
      </c>
      <c r="D471">
        <v>-6.9976464515199996</v>
      </c>
      <c r="E471">
        <v>5</v>
      </c>
      <c r="F471">
        <v>4</v>
      </c>
      <c r="G471">
        <v>4</v>
      </c>
      <c r="J471" t="s">
        <v>15</v>
      </c>
      <c r="K471">
        <v>4</v>
      </c>
      <c r="L471">
        <v>2.6659999999999999</v>
      </c>
      <c r="M471">
        <v>1</v>
      </c>
      <c r="N471" t="s">
        <v>10017</v>
      </c>
      <c r="O471" t="str">
        <f>HYPERLINK("4\1\marker_641_371528.png", "Ver Imagen")</f>
        <v>Ver Imagen</v>
      </c>
      <c r="P471" t="str">
        <f>HYPERLINK("SE\A-497\A-497__620.png", "Ver Imagen")</f>
        <v>Ver Imagen</v>
      </c>
    </row>
    <row r="472" spans="1:16" x14ac:dyDescent="0.25">
      <c r="A472">
        <v>3879</v>
      </c>
      <c r="B472" t="s">
        <v>7767</v>
      </c>
      <c r="C472">
        <v>37.202616890500003</v>
      </c>
      <c r="D472">
        <v>-6.9996678873400002</v>
      </c>
      <c r="E472">
        <v>4</v>
      </c>
      <c r="F472">
        <v>4</v>
      </c>
      <c r="G472">
        <v>3</v>
      </c>
      <c r="J472" t="s">
        <v>15</v>
      </c>
      <c r="K472">
        <v>4</v>
      </c>
      <c r="L472">
        <v>3.3929999999999998</v>
      </c>
      <c r="M472">
        <v>1</v>
      </c>
      <c r="N472" t="s">
        <v>10019</v>
      </c>
      <c r="O472" t="str">
        <f>HYPERLINK("4\1\marker_882_371603.png", "Ver Imagen")</f>
        <v>Ver Imagen</v>
      </c>
      <c r="P472" t="str">
        <f>HYPERLINK("SE\A-497\A-497__612.png", "Ver Imagen")</f>
        <v>Ver Imagen</v>
      </c>
    </row>
    <row r="473" spans="1:16" x14ac:dyDescent="0.25">
      <c r="A473">
        <v>3881</v>
      </c>
      <c r="B473" t="s">
        <v>7771</v>
      </c>
      <c r="C473">
        <v>37.203351820800002</v>
      </c>
      <c r="D473">
        <v>-7.0058729303599998</v>
      </c>
      <c r="E473">
        <v>5</v>
      </c>
      <c r="F473">
        <v>4</v>
      </c>
      <c r="G473">
        <v>4</v>
      </c>
      <c r="J473" t="s">
        <v>15</v>
      </c>
      <c r="K473">
        <v>4</v>
      </c>
      <c r="L473">
        <v>3.4510000000000001</v>
      </c>
      <c r="M473">
        <v>1</v>
      </c>
      <c r="N473" t="s">
        <v>10019</v>
      </c>
      <c r="O473" t="str">
        <f>HYPERLINK("4\1\marker_247_371861.png", "Ver Imagen")</f>
        <v>Ver Imagen</v>
      </c>
      <c r="P473" t="str">
        <f>HYPERLINK("SE\A-497\A-497__587.png", "Ver Imagen")</f>
        <v>Ver Imagen</v>
      </c>
    </row>
    <row r="474" spans="1:16" x14ac:dyDescent="0.25">
      <c r="A474">
        <v>3895</v>
      </c>
      <c r="B474" t="s">
        <v>7799</v>
      </c>
      <c r="C474">
        <v>37.243681218699997</v>
      </c>
      <c r="D474">
        <v>-7.0185394724799997</v>
      </c>
      <c r="E474">
        <v>3</v>
      </c>
      <c r="F474">
        <v>4</v>
      </c>
      <c r="G474">
        <v>4</v>
      </c>
      <c r="J474" t="s">
        <v>15</v>
      </c>
      <c r="K474">
        <v>4</v>
      </c>
      <c r="L474">
        <v>3.2639999999999998</v>
      </c>
      <c r="M474">
        <v>1</v>
      </c>
      <c r="N474" t="s">
        <v>10017</v>
      </c>
      <c r="O474" t="str">
        <f>HYPERLINK("4\1\marker_443_362009.png", "Ver Imagen")</f>
        <v>Ver Imagen</v>
      </c>
      <c r="P474" t="str">
        <f>HYPERLINK("SE\A-497_2C\A-497_2C__329.png", "Ver Imagen")</f>
        <v>Ver Imagen</v>
      </c>
    </row>
    <row r="475" spans="1:16" x14ac:dyDescent="0.25">
      <c r="A475">
        <v>3897</v>
      </c>
      <c r="B475" t="s">
        <v>7803</v>
      </c>
      <c r="C475">
        <v>37.243038178399999</v>
      </c>
      <c r="D475">
        <v>-7.0185654617299997</v>
      </c>
      <c r="E475">
        <v>4</v>
      </c>
      <c r="F475">
        <v>4</v>
      </c>
      <c r="G475">
        <v>5</v>
      </c>
      <c r="J475" t="s">
        <v>15</v>
      </c>
      <c r="K475">
        <v>4</v>
      </c>
      <c r="L475">
        <v>3.4220000000000002</v>
      </c>
      <c r="M475">
        <v>1</v>
      </c>
      <c r="N475" t="s">
        <v>10017</v>
      </c>
      <c r="O475" t="str">
        <f>HYPERLINK("4\1\marker_159_362037.png", "Ver Imagen")</f>
        <v>Ver Imagen</v>
      </c>
      <c r="P475" t="str">
        <f>HYPERLINK("SE\A-497_2C\A-497_2C__332.png", "Ver Imagen")</f>
        <v>Ver Imagen</v>
      </c>
    </row>
    <row r="476" spans="1:16" x14ac:dyDescent="0.25">
      <c r="A476">
        <v>3902</v>
      </c>
      <c r="B476" t="s">
        <v>7813</v>
      </c>
      <c r="C476">
        <v>37.2361509877</v>
      </c>
      <c r="D476">
        <v>-7.0185784122300001</v>
      </c>
      <c r="E476">
        <v>5</v>
      </c>
      <c r="F476">
        <v>4</v>
      </c>
      <c r="G476">
        <v>4</v>
      </c>
      <c r="J476" t="s">
        <v>15</v>
      </c>
      <c r="K476">
        <v>4</v>
      </c>
      <c r="L476">
        <v>2.7759999999999998</v>
      </c>
      <c r="M476">
        <v>1</v>
      </c>
      <c r="N476" t="s">
        <v>10017</v>
      </c>
      <c r="O476" t="str">
        <f>HYPERLINK("4\1\marker_629_362424.png", "Ver Imagen")</f>
        <v>Ver Imagen</v>
      </c>
      <c r="P476" t="str">
        <f>HYPERLINK("SE\A-497_2C\A-497_2C__366.png", "Ver Imagen")</f>
        <v>Ver Imagen</v>
      </c>
    </row>
    <row r="477" spans="1:16" x14ac:dyDescent="0.25">
      <c r="A477">
        <v>3914</v>
      </c>
      <c r="B477" t="s">
        <v>7837</v>
      </c>
      <c r="C477">
        <v>37.203200401499998</v>
      </c>
      <c r="D477">
        <v>-7.0058219892200002</v>
      </c>
      <c r="E477">
        <v>4</v>
      </c>
      <c r="F477">
        <v>4</v>
      </c>
      <c r="G477">
        <v>3</v>
      </c>
      <c r="J477" t="s">
        <v>15</v>
      </c>
      <c r="K477">
        <v>4</v>
      </c>
      <c r="L477">
        <v>3.484</v>
      </c>
      <c r="M477">
        <v>1</v>
      </c>
      <c r="N477" t="s">
        <v>10019</v>
      </c>
      <c r="O477" t="str">
        <f>HYPERLINK("4\1\marker_348_366609.png", "Ver Imagen")</f>
        <v>Ver Imagen</v>
      </c>
      <c r="P477" t="str">
        <f>HYPERLINK("SE\A-497_2C\A-497_2C__584.png", "Ver Imagen")</f>
        <v>Ver Imagen</v>
      </c>
    </row>
    <row r="478" spans="1:16" x14ac:dyDescent="0.25">
      <c r="A478">
        <v>3916</v>
      </c>
      <c r="B478" t="s">
        <v>7841</v>
      </c>
      <c r="C478">
        <v>37.202982614100002</v>
      </c>
      <c r="D478">
        <v>-7.0041123458600003</v>
      </c>
      <c r="E478">
        <v>3</v>
      </c>
      <c r="F478">
        <v>4</v>
      </c>
      <c r="G478">
        <v>4</v>
      </c>
      <c r="J478" t="s">
        <v>15</v>
      </c>
      <c r="K478">
        <v>4</v>
      </c>
      <c r="L478">
        <v>3.081</v>
      </c>
      <c r="M478">
        <v>1</v>
      </c>
      <c r="N478" t="s">
        <v>10018</v>
      </c>
      <c r="O478" t="str">
        <f>HYPERLINK("4\1\marker_892_366680.png", "Ver Imagen")</f>
        <v>Ver Imagen</v>
      </c>
      <c r="P478" t="str">
        <f>HYPERLINK("SE\A-497_2C\A-497_2C__591.png", "Ver Imagen")</f>
        <v>Ver Imagen</v>
      </c>
    </row>
    <row r="479" spans="1:16" x14ac:dyDescent="0.25">
      <c r="A479">
        <v>3918</v>
      </c>
      <c r="B479" t="s">
        <v>7845</v>
      </c>
      <c r="C479">
        <v>37.201940321000002</v>
      </c>
      <c r="D479">
        <v>-6.9960827855299996</v>
      </c>
      <c r="E479">
        <v>4</v>
      </c>
      <c r="F479">
        <v>4</v>
      </c>
      <c r="G479">
        <v>3</v>
      </c>
      <c r="J479" t="s">
        <v>15</v>
      </c>
      <c r="K479">
        <v>4</v>
      </c>
      <c r="L479">
        <v>3.2349999999999999</v>
      </c>
      <c r="M479">
        <v>1</v>
      </c>
      <c r="N479" t="s">
        <v>10018</v>
      </c>
      <c r="O479" t="str">
        <f>HYPERLINK("4\1\marker_417_367017.png", "Ver Imagen")</f>
        <v>Ver Imagen</v>
      </c>
      <c r="P479" t="str">
        <f>HYPERLINK("SE\A-497_2C\A-497_2C__623.png", "Ver Imagen")</f>
        <v>Ver Imagen</v>
      </c>
    </row>
    <row r="480" spans="1:16" x14ac:dyDescent="0.25">
      <c r="A480">
        <v>3921</v>
      </c>
      <c r="B480" t="s">
        <v>7851</v>
      </c>
      <c r="C480">
        <v>37.230279109800001</v>
      </c>
      <c r="D480">
        <v>-7.0200424423100003</v>
      </c>
      <c r="E480">
        <v>4</v>
      </c>
      <c r="F480">
        <v>4</v>
      </c>
      <c r="G480">
        <v>3</v>
      </c>
      <c r="J480" t="s">
        <v>15</v>
      </c>
      <c r="K480">
        <v>4</v>
      </c>
      <c r="L480">
        <v>3.4860000000000002</v>
      </c>
      <c r="M480">
        <v>1</v>
      </c>
      <c r="N480" t="s">
        <v>10019</v>
      </c>
      <c r="O480" t="str">
        <f>HYPERLINK("4\1\marker_394_377176.png", "Ver Imagen")</f>
        <v>Ver Imagen</v>
      </c>
      <c r="P480" t="str">
        <f>HYPERLINK("SE\A-497\A-497__402.png", "Ver Imagen")</f>
        <v>Ver Imagen</v>
      </c>
    </row>
    <row r="481" spans="1:16" x14ac:dyDescent="0.25">
      <c r="A481">
        <v>3922</v>
      </c>
      <c r="B481" t="s">
        <v>7853</v>
      </c>
      <c r="C481">
        <v>37.230638663500002</v>
      </c>
      <c r="D481">
        <v>-7.0197657516499996</v>
      </c>
      <c r="E481">
        <v>4</v>
      </c>
      <c r="F481">
        <v>4</v>
      </c>
      <c r="G481">
        <v>3</v>
      </c>
      <c r="J481" t="s">
        <v>15</v>
      </c>
      <c r="K481">
        <v>4</v>
      </c>
      <c r="L481">
        <v>2.7410000000000001</v>
      </c>
      <c r="M481">
        <v>1</v>
      </c>
      <c r="N481" t="s">
        <v>10017</v>
      </c>
      <c r="O481" t="str">
        <f>HYPERLINK("4\1\marker_263_377194.png", "Ver Imagen")</f>
        <v>Ver Imagen</v>
      </c>
      <c r="P481" t="str">
        <f>HYPERLINK("SE\A-497\A-497__400.png", "Ver Imagen")</f>
        <v>Ver Imagen</v>
      </c>
    </row>
    <row r="482" spans="1:16" x14ac:dyDescent="0.25">
      <c r="A482">
        <v>3930</v>
      </c>
      <c r="B482" t="s">
        <v>7869</v>
      </c>
      <c r="C482">
        <v>37.263478605899998</v>
      </c>
      <c r="D482">
        <v>-7.0067907717100004</v>
      </c>
      <c r="E482">
        <v>4</v>
      </c>
      <c r="F482">
        <v>4</v>
      </c>
      <c r="G482">
        <v>3</v>
      </c>
      <c r="J482" t="s">
        <v>15</v>
      </c>
      <c r="K482">
        <v>4</v>
      </c>
      <c r="L482">
        <v>3.496</v>
      </c>
      <c r="M482">
        <v>1</v>
      </c>
      <c r="N482" t="s">
        <v>10019</v>
      </c>
      <c r="O482" t="str">
        <f>HYPERLINK("4\1\marker_639_379144.png", "Ver Imagen")</f>
        <v>Ver Imagen</v>
      </c>
      <c r="P482" t="str">
        <f>HYPERLINK("SE\A-497\A-497__220.png", "Ver Imagen")</f>
        <v>Ver Imagen</v>
      </c>
    </row>
    <row r="483" spans="1:16" x14ac:dyDescent="0.25">
      <c r="A483">
        <v>3935</v>
      </c>
      <c r="B483" t="s">
        <v>7879</v>
      </c>
      <c r="C483">
        <v>37.454462034000002</v>
      </c>
      <c r="D483">
        <v>-7.1128600472699999</v>
      </c>
      <c r="E483">
        <v>5</v>
      </c>
      <c r="F483">
        <v>5</v>
      </c>
      <c r="G483">
        <v>5</v>
      </c>
      <c r="J483" t="s">
        <v>15</v>
      </c>
      <c r="K483">
        <v>5</v>
      </c>
      <c r="L483">
        <v>4.1779999999999999</v>
      </c>
      <c r="M483">
        <v>1</v>
      </c>
      <c r="N483" t="s">
        <v>10018</v>
      </c>
      <c r="O483" t="str">
        <f>HYPERLINK("5\0\marker_750_935651.png", "Ver Imagen")</f>
        <v>Ver Imagen</v>
      </c>
      <c r="P483" t="str">
        <f>HYPERLINK("NE\A-495R\A-495R__51.png", "Ver Imagen")</f>
        <v>Ver Imagen</v>
      </c>
    </row>
    <row r="484" spans="1:16" x14ac:dyDescent="0.25">
      <c r="A484">
        <v>3937</v>
      </c>
      <c r="B484" t="s">
        <v>7883</v>
      </c>
      <c r="C484">
        <v>37.450623465699998</v>
      </c>
      <c r="D484">
        <v>-7.11059612729</v>
      </c>
      <c r="E484">
        <v>5</v>
      </c>
      <c r="F484">
        <v>5</v>
      </c>
      <c r="G484">
        <v>5</v>
      </c>
      <c r="J484" t="s">
        <v>15</v>
      </c>
      <c r="K484">
        <v>5</v>
      </c>
      <c r="L484">
        <v>4.3620000000000001</v>
      </c>
      <c r="M484">
        <v>1</v>
      </c>
      <c r="N484" t="s">
        <v>10018</v>
      </c>
      <c r="O484" t="str">
        <f>HYPERLINK("5\0\marker_994_936622.png", "Ver Imagen")</f>
        <v>Ver Imagen</v>
      </c>
      <c r="P484" t="str">
        <f>HYPERLINK("NE\A-495R\A-495R__30.png", "Ver Imagen")</f>
        <v>Ver Imagen</v>
      </c>
    </row>
    <row r="485" spans="1:16" x14ac:dyDescent="0.25">
      <c r="A485">
        <v>3956</v>
      </c>
      <c r="B485" t="s">
        <v>7921</v>
      </c>
      <c r="C485">
        <v>37.452031665600003</v>
      </c>
      <c r="D485">
        <v>-7.1115366080199998</v>
      </c>
      <c r="E485">
        <v>5</v>
      </c>
      <c r="F485">
        <v>4</v>
      </c>
      <c r="G485">
        <v>5</v>
      </c>
      <c r="J485" t="s">
        <v>15</v>
      </c>
      <c r="K485">
        <v>5</v>
      </c>
      <c r="L485">
        <v>4.2050000000000001</v>
      </c>
      <c r="M485">
        <v>1</v>
      </c>
      <c r="N485" t="s">
        <v>10018</v>
      </c>
      <c r="O485" t="str">
        <f>HYPERLINK("5\1\marker_620_936541.png", "Ver Imagen")</f>
        <v>Ver Imagen</v>
      </c>
      <c r="P485" t="str">
        <f>HYPERLINK("NE\A-495R\A-495R__38.png", "Ver Imagen")</f>
        <v>Ver Imagen</v>
      </c>
    </row>
    <row r="486" spans="1:16" x14ac:dyDescent="0.25">
      <c r="A486">
        <v>3960</v>
      </c>
      <c r="B486" t="s">
        <v>7929</v>
      </c>
      <c r="C486">
        <v>37.213224074000003</v>
      </c>
      <c r="D486">
        <v>-7.06366603785</v>
      </c>
      <c r="E486">
        <v>5</v>
      </c>
      <c r="F486">
        <v>4</v>
      </c>
      <c r="G486">
        <v>5</v>
      </c>
      <c r="J486" t="s">
        <v>15</v>
      </c>
      <c r="K486">
        <v>5</v>
      </c>
      <c r="L486">
        <v>3.7120000000000002</v>
      </c>
      <c r="M486">
        <v>1</v>
      </c>
      <c r="N486" t="s">
        <v>10017</v>
      </c>
      <c r="O486" t="str">
        <f>HYPERLINK("5\1\marker_583_960093.png", "Ver Imagen")</f>
        <v>Ver Imagen</v>
      </c>
      <c r="P486" t="str">
        <f>HYPERLINK("SE\A-5052\A-5052__250.png", "Ver Imagen")</f>
        <v>Ver Imagen</v>
      </c>
    </row>
    <row r="487" spans="1:16" x14ac:dyDescent="0.25">
      <c r="A487">
        <v>3983</v>
      </c>
      <c r="B487" t="s">
        <v>7975</v>
      </c>
      <c r="C487">
        <v>37.202767697699997</v>
      </c>
      <c r="D487">
        <v>-7.0008909504099996</v>
      </c>
      <c r="E487">
        <v>5</v>
      </c>
      <c r="F487">
        <v>4</v>
      </c>
      <c r="G487">
        <v>5</v>
      </c>
      <c r="J487" t="s">
        <v>15</v>
      </c>
      <c r="K487">
        <v>5</v>
      </c>
      <c r="L487">
        <v>3.5710000000000002</v>
      </c>
      <c r="M487">
        <v>1</v>
      </c>
      <c r="N487" t="s">
        <v>10017</v>
      </c>
      <c r="O487" t="str">
        <f>HYPERLINK("5\1\marker_942_371650.png", "Ver Imagen")</f>
        <v>Ver Imagen</v>
      </c>
      <c r="P487" t="str">
        <f>HYPERLINK("SE\A-497\A-497__607.png", "Ver Imagen")</f>
        <v>Ver Imagen</v>
      </c>
    </row>
    <row r="488" spans="1:16" x14ac:dyDescent="0.25">
      <c r="A488">
        <v>3989</v>
      </c>
      <c r="B488" t="s">
        <v>7987</v>
      </c>
      <c r="C488">
        <v>37.2394274153</v>
      </c>
      <c r="D488">
        <v>-7.0187001999599996</v>
      </c>
      <c r="E488">
        <v>5</v>
      </c>
      <c r="F488">
        <v>4</v>
      </c>
      <c r="G488">
        <v>5</v>
      </c>
      <c r="J488" t="s">
        <v>15</v>
      </c>
      <c r="K488">
        <v>5</v>
      </c>
      <c r="L488">
        <v>4.0369999999999999</v>
      </c>
      <c r="M488">
        <v>1</v>
      </c>
      <c r="N488" t="s">
        <v>10017</v>
      </c>
      <c r="O488" t="str">
        <f>HYPERLINK("5\1\marker_497_362231.png", "Ver Imagen")</f>
        <v>Ver Imagen</v>
      </c>
      <c r="P488" t="str">
        <f>HYPERLINK("SE\A-497_2C\A-497_2C__350.png", "Ver Imagen")</f>
        <v>Ver Imagen</v>
      </c>
    </row>
    <row r="489" spans="1:16" x14ac:dyDescent="0.25">
      <c r="A489">
        <v>3992</v>
      </c>
      <c r="B489" t="s">
        <v>7993</v>
      </c>
      <c r="C489">
        <v>37.253794219100001</v>
      </c>
      <c r="D489">
        <v>-7.0154627350399998</v>
      </c>
      <c r="E489">
        <v>5</v>
      </c>
      <c r="F489">
        <v>4</v>
      </c>
      <c r="G489">
        <v>5</v>
      </c>
      <c r="J489" t="s">
        <v>15</v>
      </c>
      <c r="K489">
        <v>5</v>
      </c>
      <c r="L489">
        <v>3.57</v>
      </c>
      <c r="M489">
        <v>1</v>
      </c>
      <c r="N489" t="s">
        <v>10018</v>
      </c>
      <c r="O489" t="str">
        <f>HYPERLINK("5\1\marker_454_378457.png", "Ver Imagen")</f>
        <v>Ver Imagen</v>
      </c>
      <c r="P489" t="str">
        <f>HYPERLINK("SE\A-497\A-497__281.png", "Ver Imagen")</f>
        <v>Ver Imagen</v>
      </c>
    </row>
    <row r="490" spans="1:16" x14ac:dyDescent="0.25">
      <c r="A490">
        <v>4008</v>
      </c>
      <c r="B490" t="s">
        <v>8026</v>
      </c>
      <c r="C490">
        <v>37.194216439800002</v>
      </c>
      <c r="D490">
        <v>-6.9982314308899998</v>
      </c>
      <c r="E490">
        <v>1</v>
      </c>
      <c r="F490">
        <v>3</v>
      </c>
      <c r="G490">
        <v>2</v>
      </c>
      <c r="H490">
        <v>2</v>
      </c>
      <c r="I490">
        <v>2</v>
      </c>
      <c r="J490" t="s">
        <v>8005</v>
      </c>
      <c r="K490">
        <v>2</v>
      </c>
      <c r="L490">
        <v>1.4630000000000001</v>
      </c>
      <c r="M490">
        <v>1</v>
      </c>
      <c r="N490" t="s">
        <v>10018</v>
      </c>
      <c r="O490" t="str">
        <f>HYPERLINK("NoConsenso\marker_342_945862.png", "Ver Imagen")</f>
        <v>Ver Imagen</v>
      </c>
      <c r="P490" t="str">
        <f>HYPERLINK("SE\A-5050\A-5050__138.png", "Ver Imagen")</f>
        <v>Ver Imagen</v>
      </c>
    </row>
    <row r="491" spans="1:16" x14ac:dyDescent="0.25">
      <c r="A491">
        <v>4017</v>
      </c>
      <c r="B491" t="s">
        <v>8044</v>
      </c>
      <c r="C491">
        <v>37.215304962499999</v>
      </c>
      <c r="D491">
        <v>-7.0807341513899997</v>
      </c>
      <c r="E491">
        <v>1</v>
      </c>
      <c r="F491">
        <v>2</v>
      </c>
      <c r="G491">
        <v>3</v>
      </c>
      <c r="H491">
        <v>1</v>
      </c>
      <c r="I491">
        <v>1</v>
      </c>
      <c r="J491" t="s">
        <v>8005</v>
      </c>
      <c r="K491">
        <v>1</v>
      </c>
      <c r="L491">
        <v>1.7330000000000001</v>
      </c>
      <c r="M491">
        <v>1</v>
      </c>
      <c r="N491" t="s">
        <v>10018</v>
      </c>
      <c r="O491" t="str">
        <f>HYPERLINK("NoConsenso\marker_905_959094.png", "Ver Imagen")</f>
        <v>Ver Imagen</v>
      </c>
      <c r="P491" t="str">
        <f>HYPERLINK("SE\A-5052\A-5052__181.png", "Ver Imagen")</f>
        <v>Ver Imagen</v>
      </c>
    </row>
    <row r="492" spans="1:16" x14ac:dyDescent="0.25">
      <c r="A492">
        <v>4026</v>
      </c>
      <c r="B492" t="s">
        <v>8063</v>
      </c>
      <c r="C492">
        <v>37.439302403100001</v>
      </c>
      <c r="D492">
        <v>-7.0861815230699996</v>
      </c>
      <c r="E492">
        <v>3</v>
      </c>
      <c r="F492">
        <v>2</v>
      </c>
      <c r="G492">
        <v>1</v>
      </c>
      <c r="H492">
        <v>2</v>
      </c>
      <c r="I492">
        <v>2</v>
      </c>
      <c r="J492" t="s">
        <v>8005</v>
      </c>
      <c r="K492">
        <v>2</v>
      </c>
      <c r="L492">
        <v>2.5819999999999999</v>
      </c>
      <c r="M492">
        <v>1</v>
      </c>
      <c r="N492" t="s">
        <v>10019</v>
      </c>
      <c r="O492" t="str">
        <f>HYPERLINK("NoConsenso\marker_321_381730.png", "Ver Imagen")</f>
        <v>Ver Imagen</v>
      </c>
      <c r="P492" t="str">
        <f>HYPERLINK("NE\A-495\A-495__62.png", "Ver Imagen")</f>
        <v>Ver Imagen</v>
      </c>
    </row>
    <row r="493" spans="1:16" x14ac:dyDescent="0.25">
      <c r="A493">
        <v>4070</v>
      </c>
      <c r="B493" t="s">
        <v>8151</v>
      </c>
      <c r="C493">
        <v>37.300710531299998</v>
      </c>
      <c r="D493">
        <v>-7.0559613532099998</v>
      </c>
      <c r="E493">
        <v>2</v>
      </c>
      <c r="F493">
        <v>3</v>
      </c>
      <c r="G493">
        <v>4</v>
      </c>
      <c r="H493">
        <v>3</v>
      </c>
      <c r="I493">
        <v>2</v>
      </c>
      <c r="J493" t="s">
        <v>8005</v>
      </c>
      <c r="K493">
        <v>3</v>
      </c>
      <c r="L493">
        <v>2.141</v>
      </c>
      <c r="M493">
        <v>1</v>
      </c>
      <c r="N493" t="s">
        <v>10017</v>
      </c>
      <c r="O493" t="str">
        <f>HYPERLINK("NoConsenso\marker_304_838618.png", "Ver Imagen")</f>
        <v>Ver Imagen</v>
      </c>
      <c r="P493" t="str">
        <f>HYPERLINK("SE\A-492\A-492__359.png", "Ver Imagen")</f>
        <v>Ver Imagen</v>
      </c>
    </row>
    <row r="494" spans="1:16" x14ac:dyDescent="0.25">
      <c r="A494">
        <v>4071</v>
      </c>
      <c r="B494" t="s">
        <v>8153</v>
      </c>
      <c r="C494">
        <v>37.3011079479</v>
      </c>
      <c r="D494">
        <v>-7.0562039324799999</v>
      </c>
      <c r="E494">
        <v>2</v>
      </c>
      <c r="F494">
        <v>3</v>
      </c>
      <c r="G494">
        <v>4</v>
      </c>
      <c r="H494">
        <v>2</v>
      </c>
      <c r="I494">
        <v>2</v>
      </c>
      <c r="J494" t="s">
        <v>8052</v>
      </c>
      <c r="K494">
        <v>3</v>
      </c>
      <c r="L494">
        <v>2.4870000000000001</v>
      </c>
      <c r="M494">
        <v>1</v>
      </c>
      <c r="N494" t="s">
        <v>10017</v>
      </c>
      <c r="O494" t="str">
        <f>HYPERLINK("NoConsenso\marker_911_838638.png", "Ver Imagen")</f>
        <v>Ver Imagen</v>
      </c>
      <c r="P494" t="str">
        <f>HYPERLINK("SE\A-492\A-492__361.png", "Ver Imagen")</f>
        <v>Ver Imagen</v>
      </c>
    </row>
    <row r="495" spans="1:16" x14ac:dyDescent="0.25">
      <c r="A495">
        <v>4081</v>
      </c>
      <c r="B495" t="s">
        <v>8173</v>
      </c>
      <c r="C495">
        <v>37.311598502099997</v>
      </c>
      <c r="D495">
        <v>-7.05966275789</v>
      </c>
      <c r="E495">
        <v>2</v>
      </c>
      <c r="F495">
        <v>1</v>
      </c>
      <c r="G495">
        <v>3</v>
      </c>
      <c r="H495">
        <v>1</v>
      </c>
      <c r="I495">
        <v>1</v>
      </c>
      <c r="J495" t="s">
        <v>8005</v>
      </c>
      <c r="K495">
        <v>1</v>
      </c>
      <c r="L495">
        <v>2.4900000000000002</v>
      </c>
      <c r="M495">
        <v>1</v>
      </c>
      <c r="N495" t="s">
        <v>10017</v>
      </c>
      <c r="O495" t="str">
        <f>HYPERLINK("NoConsenso\marker_543_839353.png", "Ver Imagen")</f>
        <v>Ver Imagen</v>
      </c>
      <c r="P495" t="str">
        <f>HYPERLINK("SE\A-492\A-492__416.png", "Ver Imagen")</f>
        <v>Ver Imagen</v>
      </c>
    </row>
    <row r="496" spans="1:16" x14ac:dyDescent="0.25">
      <c r="A496">
        <v>4091</v>
      </c>
      <c r="B496" t="s">
        <v>8193</v>
      </c>
      <c r="C496">
        <v>37.2677610677</v>
      </c>
      <c r="D496">
        <v>-6.9688158788300001</v>
      </c>
      <c r="E496">
        <v>2</v>
      </c>
      <c r="F496">
        <v>4</v>
      </c>
      <c r="G496">
        <v>2</v>
      </c>
      <c r="H496">
        <v>3</v>
      </c>
      <c r="I496">
        <v>4</v>
      </c>
      <c r="J496" t="s">
        <v>8052</v>
      </c>
      <c r="K496">
        <v>4</v>
      </c>
      <c r="L496">
        <v>3.39</v>
      </c>
      <c r="M496">
        <v>1</v>
      </c>
      <c r="N496" t="s">
        <v>10019</v>
      </c>
      <c r="O496" t="str">
        <f>HYPERLINK("NoConsenso\marker_840_938366.png", "Ver Imagen")</f>
        <v>Ver Imagen</v>
      </c>
      <c r="P496" t="str">
        <f>HYPERLINK("SE\A-497\A-497__52.png", "Ver Imagen")</f>
        <v>Ver Imagen</v>
      </c>
    </row>
    <row r="497" spans="1:16" x14ac:dyDescent="0.25">
      <c r="A497">
        <v>4093</v>
      </c>
      <c r="B497" t="s">
        <v>8197</v>
      </c>
      <c r="C497">
        <v>37.267604760899999</v>
      </c>
      <c r="D497">
        <v>-6.9668012277900004</v>
      </c>
      <c r="E497">
        <v>2</v>
      </c>
      <c r="F497">
        <v>4</v>
      </c>
      <c r="G497">
        <v>2</v>
      </c>
      <c r="H497">
        <v>3</v>
      </c>
      <c r="I497">
        <v>3</v>
      </c>
      <c r="J497" t="s">
        <v>8052</v>
      </c>
      <c r="K497">
        <v>4</v>
      </c>
      <c r="L497">
        <v>3.3519999999999999</v>
      </c>
      <c r="M497">
        <v>1</v>
      </c>
      <c r="N497" t="s">
        <v>10019</v>
      </c>
      <c r="O497" t="str">
        <f>HYPERLINK("NoConsenso\marker_786_938459.png", "Ver Imagen")</f>
        <v>Ver Imagen</v>
      </c>
      <c r="P497" t="str">
        <f>HYPERLINK("SE\A-497\A-497__44.png", "Ver Imagen")</f>
        <v>Ver Imagen</v>
      </c>
    </row>
    <row r="498" spans="1:16" x14ac:dyDescent="0.25">
      <c r="A498">
        <v>4097</v>
      </c>
      <c r="B498" t="s">
        <v>8205</v>
      </c>
      <c r="C498">
        <v>37.267041194800001</v>
      </c>
      <c r="D498">
        <v>-6.9572329120800003</v>
      </c>
      <c r="E498">
        <v>2</v>
      </c>
      <c r="F498">
        <v>2</v>
      </c>
      <c r="G498">
        <v>4</v>
      </c>
      <c r="H498">
        <v>1</v>
      </c>
      <c r="I498">
        <v>1</v>
      </c>
      <c r="J498" t="s">
        <v>8005</v>
      </c>
      <c r="K498">
        <v>2</v>
      </c>
      <c r="L498">
        <v>3.238</v>
      </c>
      <c r="M498">
        <v>1</v>
      </c>
      <c r="N498" t="s">
        <v>10017</v>
      </c>
      <c r="O498" t="str">
        <f>HYPERLINK("NoConsenso\marker_886_944040.png", "Ver Imagen")</f>
        <v>Ver Imagen</v>
      </c>
      <c r="P498" t="str">
        <f>HYPERLINK("SE\A-497\A-497__4.png", "Ver Imagen")</f>
        <v>Ver Imagen</v>
      </c>
    </row>
    <row r="499" spans="1:16" x14ac:dyDescent="0.25">
      <c r="A499">
        <v>4103</v>
      </c>
      <c r="B499" t="s">
        <v>8217</v>
      </c>
      <c r="C499">
        <v>37.2034329715</v>
      </c>
      <c r="D499">
        <v>-7.0160130132000003</v>
      </c>
      <c r="E499">
        <v>2</v>
      </c>
      <c r="F499">
        <v>3</v>
      </c>
      <c r="G499">
        <v>4</v>
      </c>
      <c r="H499">
        <v>3</v>
      </c>
      <c r="I499">
        <v>4</v>
      </c>
      <c r="J499" t="s">
        <v>8052</v>
      </c>
      <c r="K499">
        <v>4</v>
      </c>
      <c r="L499">
        <v>3.4020000000000001</v>
      </c>
      <c r="M499">
        <v>1</v>
      </c>
      <c r="N499" t="s">
        <v>10019</v>
      </c>
      <c r="O499" t="str">
        <f>HYPERLINK("NoConsenso\marker_880_949118.png", "Ver Imagen")</f>
        <v>Ver Imagen</v>
      </c>
      <c r="P499" t="str">
        <f>HYPERLINK("SE\A-5050\A-5050__54.png", "Ver Imagen")</f>
        <v>Ver Imagen</v>
      </c>
    </row>
    <row r="500" spans="1:16" x14ac:dyDescent="0.25">
      <c r="A500">
        <v>4129</v>
      </c>
      <c r="B500" t="s">
        <v>8269</v>
      </c>
      <c r="C500">
        <v>37.474144854599999</v>
      </c>
      <c r="D500">
        <v>-7.1261910749900004</v>
      </c>
      <c r="E500">
        <v>4</v>
      </c>
      <c r="F500">
        <v>3</v>
      </c>
      <c r="G500">
        <v>2</v>
      </c>
      <c r="H500">
        <v>2</v>
      </c>
      <c r="I500">
        <v>2</v>
      </c>
      <c r="J500" t="s">
        <v>8005</v>
      </c>
      <c r="K500">
        <v>2</v>
      </c>
      <c r="L500">
        <v>2.5219999999999998</v>
      </c>
      <c r="M500">
        <v>1</v>
      </c>
      <c r="N500" t="s">
        <v>10017</v>
      </c>
      <c r="O500" t="str">
        <f>HYPERLINK("NoConsenso\marker_321_384413.png", "Ver Imagen")</f>
        <v>Ver Imagen</v>
      </c>
      <c r="P500" t="str">
        <f>HYPERLINK("NE\A-495_1\A-495_1__136.png", "Ver Imagen")</f>
        <v>Ver Imagen</v>
      </c>
    </row>
    <row r="501" spans="1:16" x14ac:dyDescent="0.25">
      <c r="A501">
        <v>4131</v>
      </c>
      <c r="B501" t="s">
        <v>8273</v>
      </c>
      <c r="C501">
        <v>37.495275788500003</v>
      </c>
      <c r="D501">
        <v>-7.2764443832100003</v>
      </c>
      <c r="E501">
        <v>4</v>
      </c>
      <c r="F501">
        <v>2</v>
      </c>
      <c r="G501">
        <v>2</v>
      </c>
      <c r="H501">
        <v>2</v>
      </c>
      <c r="I501">
        <v>2</v>
      </c>
      <c r="J501" t="s">
        <v>8005</v>
      </c>
      <c r="K501">
        <v>2</v>
      </c>
      <c r="L501">
        <v>3.43</v>
      </c>
      <c r="M501">
        <v>1</v>
      </c>
      <c r="N501" t="s">
        <v>10018</v>
      </c>
      <c r="O501" t="str">
        <f>HYPERLINK("NoConsenso\marker_303_534812.png", "Ver Imagen")</f>
        <v>Ver Imagen</v>
      </c>
      <c r="P501" t="str">
        <f>HYPERLINK("NO\A-499\A-499__45.png", "Ver Imagen")</f>
        <v>Ver Imagen</v>
      </c>
    </row>
    <row r="502" spans="1:16" x14ac:dyDescent="0.25">
      <c r="A502">
        <v>4135</v>
      </c>
      <c r="B502" t="s">
        <v>8281</v>
      </c>
      <c r="C502">
        <v>37.515604612200001</v>
      </c>
      <c r="D502">
        <v>-7.26824560795</v>
      </c>
      <c r="E502">
        <v>2</v>
      </c>
      <c r="F502">
        <v>1</v>
      </c>
      <c r="G502">
        <v>3</v>
      </c>
      <c r="H502">
        <v>2</v>
      </c>
      <c r="I502">
        <v>1</v>
      </c>
      <c r="J502" t="s">
        <v>8052</v>
      </c>
      <c r="K502">
        <v>1</v>
      </c>
      <c r="L502">
        <v>1.891</v>
      </c>
      <c r="M502">
        <v>1</v>
      </c>
      <c r="N502" t="s">
        <v>10018</v>
      </c>
      <c r="O502" t="str">
        <f>HYPERLINK("NoConsenso\marker_198_795779.png", "Ver Imagen")</f>
        <v>Ver Imagen</v>
      </c>
      <c r="P502" t="str">
        <f>HYPERLINK("NO\A-499\A-499__188.png", "Ver Imagen")</f>
        <v>Ver Imagen</v>
      </c>
    </row>
    <row r="503" spans="1:16" x14ac:dyDescent="0.25">
      <c r="A503">
        <v>4137</v>
      </c>
      <c r="B503" t="s">
        <v>8285</v>
      </c>
      <c r="C503">
        <v>37.521402454799997</v>
      </c>
      <c r="D503">
        <v>-7.25995736544</v>
      </c>
      <c r="E503">
        <v>2</v>
      </c>
      <c r="F503">
        <v>1</v>
      </c>
      <c r="G503">
        <v>3</v>
      </c>
      <c r="H503">
        <v>1</v>
      </c>
      <c r="I503">
        <v>1</v>
      </c>
      <c r="J503" t="s">
        <v>8005</v>
      </c>
      <c r="K503">
        <v>1</v>
      </c>
      <c r="L503">
        <v>1.8560000000000001</v>
      </c>
      <c r="M503">
        <v>1</v>
      </c>
      <c r="N503" t="s">
        <v>10017</v>
      </c>
      <c r="O503" t="str">
        <f>HYPERLINK("NoConsenso\marker_585_796669.png", "Ver Imagen")</f>
        <v>Ver Imagen</v>
      </c>
      <c r="P503" t="str">
        <f>HYPERLINK("NO\A-499\A-499__232.png", "Ver Imagen")</f>
        <v>Ver Imagen</v>
      </c>
    </row>
    <row r="504" spans="1:16" x14ac:dyDescent="0.25">
      <c r="A504">
        <v>4140</v>
      </c>
      <c r="B504" t="s">
        <v>8291</v>
      </c>
      <c r="C504">
        <v>37.526852356100001</v>
      </c>
      <c r="D504">
        <v>-7.2550545351100002</v>
      </c>
      <c r="E504">
        <v>2</v>
      </c>
      <c r="F504">
        <v>1</v>
      </c>
      <c r="G504">
        <v>3</v>
      </c>
      <c r="H504">
        <v>1</v>
      </c>
      <c r="I504">
        <v>1</v>
      </c>
      <c r="J504" t="s">
        <v>8005</v>
      </c>
      <c r="K504">
        <v>1</v>
      </c>
      <c r="L504">
        <v>1.927</v>
      </c>
      <c r="M504">
        <v>1</v>
      </c>
      <c r="N504" t="s">
        <v>10017</v>
      </c>
      <c r="O504" t="str">
        <f>HYPERLINK("NoConsenso\marker_556_797341.png", "Ver Imagen")</f>
        <v>Ver Imagen</v>
      </c>
      <c r="P504" t="str">
        <f>HYPERLINK("NO\A-499\A-499__266.png", "Ver Imagen")</f>
        <v>Ver Imagen</v>
      </c>
    </row>
    <row r="505" spans="1:16" x14ac:dyDescent="0.25">
      <c r="A505">
        <v>4155</v>
      </c>
      <c r="B505" t="s">
        <v>8321</v>
      </c>
      <c r="C505">
        <v>37.448629089599997</v>
      </c>
      <c r="D505">
        <v>-7.1459538331800001</v>
      </c>
      <c r="E505">
        <v>3</v>
      </c>
      <c r="F505">
        <v>4</v>
      </c>
      <c r="G505">
        <v>5</v>
      </c>
      <c r="H505">
        <v>3</v>
      </c>
      <c r="I505">
        <v>3</v>
      </c>
      <c r="J505" t="s">
        <v>8005</v>
      </c>
      <c r="K505">
        <v>3</v>
      </c>
      <c r="L505">
        <v>3.69</v>
      </c>
      <c r="M505">
        <v>1</v>
      </c>
      <c r="N505" t="s">
        <v>10019</v>
      </c>
      <c r="O505" t="str">
        <f>HYPERLINK("NoConsenso\marker_719_738677.png", "Ver Imagen")</f>
        <v>Ver Imagen</v>
      </c>
      <c r="P505" t="str">
        <f>HYPERLINK("NE\A-490\A-490__81.png", "Ver Imagen")</f>
        <v>Ver Imagen</v>
      </c>
    </row>
    <row r="506" spans="1:16" x14ac:dyDescent="0.25">
      <c r="A506">
        <v>4163</v>
      </c>
      <c r="B506" t="s">
        <v>8337</v>
      </c>
      <c r="C506">
        <v>37.453853381000002</v>
      </c>
      <c r="D506">
        <v>-7.1634736915700001</v>
      </c>
      <c r="E506">
        <v>2</v>
      </c>
      <c r="F506">
        <v>4</v>
      </c>
      <c r="G506">
        <v>3</v>
      </c>
      <c r="H506">
        <v>2</v>
      </c>
      <c r="I506">
        <v>2</v>
      </c>
      <c r="J506" t="s">
        <v>8005</v>
      </c>
      <c r="K506">
        <v>2</v>
      </c>
      <c r="L506">
        <v>2.8180000000000001</v>
      </c>
      <c r="M506">
        <v>1</v>
      </c>
      <c r="N506" t="s">
        <v>10018</v>
      </c>
      <c r="O506" t="str">
        <f>HYPERLINK("NoConsenso\marker_774_740894.png", "Ver Imagen")</f>
        <v>Ver Imagen</v>
      </c>
      <c r="P506" t="str">
        <f>HYPERLINK("NE\A-490\A-490__156.png", "Ver Imagen")</f>
        <v>Ver Imagen</v>
      </c>
    </row>
    <row r="507" spans="1:16" x14ac:dyDescent="0.25">
      <c r="A507">
        <v>4165</v>
      </c>
      <c r="B507" t="s">
        <v>8341</v>
      </c>
      <c r="C507">
        <v>37.454839057500003</v>
      </c>
      <c r="D507">
        <v>-7.1653463428700004</v>
      </c>
      <c r="E507">
        <v>1</v>
      </c>
      <c r="F507">
        <v>3</v>
      </c>
      <c r="G507">
        <v>3</v>
      </c>
      <c r="H507">
        <v>2</v>
      </c>
      <c r="I507">
        <v>2</v>
      </c>
      <c r="J507" t="s">
        <v>8005</v>
      </c>
      <c r="K507">
        <v>2</v>
      </c>
      <c r="L507">
        <v>3.4489999999999998</v>
      </c>
      <c r="M507">
        <v>1</v>
      </c>
      <c r="N507" t="s">
        <v>10018</v>
      </c>
      <c r="O507" t="str">
        <f>HYPERLINK("NoConsenso\marker_754_741353.png", "Ver Imagen")</f>
        <v>Ver Imagen</v>
      </c>
      <c r="P507" t="str">
        <f>HYPERLINK("NE\A-490\A-490__165.png", "Ver Imagen")</f>
        <v>Ver Imagen</v>
      </c>
    </row>
    <row r="508" spans="1:16" x14ac:dyDescent="0.25">
      <c r="A508">
        <v>4170</v>
      </c>
      <c r="B508" t="s">
        <v>8351</v>
      </c>
      <c r="C508">
        <v>37.4608440027</v>
      </c>
      <c r="D508">
        <v>-7.1732233225600002</v>
      </c>
      <c r="E508">
        <v>1</v>
      </c>
      <c r="F508">
        <v>3</v>
      </c>
      <c r="G508">
        <v>3</v>
      </c>
      <c r="H508">
        <v>2</v>
      </c>
      <c r="I508">
        <v>2</v>
      </c>
      <c r="J508" t="s">
        <v>8005</v>
      </c>
      <c r="K508">
        <v>2</v>
      </c>
      <c r="L508">
        <v>2.8780000000000001</v>
      </c>
      <c r="M508">
        <v>1</v>
      </c>
      <c r="N508" t="s">
        <v>10018</v>
      </c>
      <c r="O508" t="str">
        <f>HYPERLINK("NoConsenso\marker_402_742625.png", "Ver Imagen")</f>
        <v>Ver Imagen</v>
      </c>
      <c r="P508" t="str">
        <f>HYPERLINK("NE\A-490\A-490__208.png", "Ver Imagen")</f>
        <v>Ver Imagen</v>
      </c>
    </row>
    <row r="509" spans="1:16" x14ac:dyDescent="0.25">
      <c r="A509">
        <v>4200</v>
      </c>
      <c r="B509" t="s">
        <v>8411</v>
      </c>
      <c r="C509">
        <v>37.494553755200002</v>
      </c>
      <c r="D509">
        <v>-7.2662345513000002</v>
      </c>
      <c r="E509">
        <v>1</v>
      </c>
      <c r="F509">
        <v>3</v>
      </c>
      <c r="G509">
        <v>3</v>
      </c>
      <c r="H509">
        <v>3</v>
      </c>
      <c r="I509">
        <v>2</v>
      </c>
      <c r="J509" t="s">
        <v>8005</v>
      </c>
      <c r="K509">
        <v>3</v>
      </c>
      <c r="L509">
        <v>1.885</v>
      </c>
      <c r="M509">
        <v>1</v>
      </c>
      <c r="N509" t="s">
        <v>10017</v>
      </c>
      <c r="O509" t="str">
        <f>HYPERLINK("NoConsenso\marker_779_820331.png", "Ver Imagen")</f>
        <v>Ver Imagen</v>
      </c>
      <c r="P509" t="str">
        <f>HYPERLINK("NO\A-490\A-490__622.png", "Ver Imagen")</f>
        <v>Ver Imagen</v>
      </c>
    </row>
    <row r="510" spans="1:16" x14ac:dyDescent="0.25">
      <c r="A510">
        <v>4207</v>
      </c>
      <c r="B510" t="s">
        <v>8425</v>
      </c>
      <c r="C510">
        <v>37.276196582700003</v>
      </c>
      <c r="D510">
        <v>-7.0141712611399996</v>
      </c>
      <c r="E510">
        <v>3</v>
      </c>
      <c r="F510">
        <v>2</v>
      </c>
      <c r="G510">
        <v>4</v>
      </c>
      <c r="H510">
        <v>3</v>
      </c>
      <c r="I510">
        <v>3</v>
      </c>
      <c r="J510" t="s">
        <v>8005</v>
      </c>
      <c r="K510">
        <v>3</v>
      </c>
      <c r="L510">
        <v>2.181</v>
      </c>
      <c r="M510">
        <v>1</v>
      </c>
      <c r="N510" t="s">
        <v>10018</v>
      </c>
      <c r="O510" t="str">
        <f>HYPERLINK("NoConsenso\marker_271_824565.png", "Ver Imagen")</f>
        <v>Ver Imagen</v>
      </c>
      <c r="P510" t="str">
        <f>HYPERLINK("SE\A-492\A-492__132.png", "Ver Imagen")</f>
        <v>Ver Imagen</v>
      </c>
    </row>
    <row r="511" spans="1:16" x14ac:dyDescent="0.25">
      <c r="A511">
        <v>4208</v>
      </c>
      <c r="B511" t="s">
        <v>8427</v>
      </c>
      <c r="C511">
        <v>37.2756161601</v>
      </c>
      <c r="D511">
        <v>-7.0156116428599997</v>
      </c>
      <c r="E511">
        <v>3</v>
      </c>
      <c r="F511">
        <v>2</v>
      </c>
      <c r="G511">
        <v>4</v>
      </c>
      <c r="H511">
        <v>2</v>
      </c>
      <c r="I511">
        <v>3</v>
      </c>
      <c r="J511" t="s">
        <v>8052</v>
      </c>
      <c r="K511">
        <v>2</v>
      </c>
      <c r="L511">
        <v>3.145</v>
      </c>
      <c r="M511">
        <v>1</v>
      </c>
      <c r="N511" t="s">
        <v>10017</v>
      </c>
      <c r="O511" t="str">
        <f>HYPERLINK("NoConsenso\marker_746_824661.png", "Ver Imagen")</f>
        <v>Ver Imagen</v>
      </c>
      <c r="P511" t="str">
        <f>HYPERLINK("SE\A-492\A-492__139.png", "Ver Imagen")</f>
        <v>Ver Imagen</v>
      </c>
    </row>
    <row r="512" spans="1:16" x14ac:dyDescent="0.25">
      <c r="A512">
        <v>4210</v>
      </c>
      <c r="B512" t="s">
        <v>8431</v>
      </c>
      <c r="C512">
        <v>37.2760512738</v>
      </c>
      <c r="D512">
        <v>-7.0220099488900001</v>
      </c>
      <c r="E512">
        <v>1</v>
      </c>
      <c r="F512">
        <v>3</v>
      </c>
      <c r="G512">
        <v>3</v>
      </c>
      <c r="H512">
        <v>3</v>
      </c>
      <c r="I512">
        <v>3</v>
      </c>
      <c r="J512" t="s">
        <v>8005</v>
      </c>
      <c r="K512">
        <v>3</v>
      </c>
      <c r="L512">
        <v>1.948</v>
      </c>
      <c r="M512">
        <v>1</v>
      </c>
      <c r="N512" t="s">
        <v>10017</v>
      </c>
      <c r="O512" t="str">
        <f>HYPERLINK("NoConsenso\marker_968_831380.png", "Ver Imagen")</f>
        <v>Ver Imagen</v>
      </c>
      <c r="P512" t="str">
        <f>HYPERLINK("SE\A-492\A-492__165.png", "Ver Imagen")</f>
        <v>Ver Imagen</v>
      </c>
    </row>
    <row r="513" spans="1:16" x14ac:dyDescent="0.25">
      <c r="A513">
        <v>4237</v>
      </c>
      <c r="B513" t="s">
        <v>8483</v>
      </c>
      <c r="C513">
        <v>37.231278549099997</v>
      </c>
      <c r="D513">
        <v>-7.0509447003499996</v>
      </c>
      <c r="E513">
        <v>3</v>
      </c>
      <c r="F513">
        <v>1</v>
      </c>
      <c r="G513">
        <v>3</v>
      </c>
      <c r="H513">
        <v>2</v>
      </c>
      <c r="I513">
        <v>2</v>
      </c>
      <c r="J513" t="s">
        <v>8005</v>
      </c>
      <c r="K513">
        <v>2</v>
      </c>
      <c r="L513">
        <v>2.8719999999999999</v>
      </c>
      <c r="M513">
        <v>1</v>
      </c>
      <c r="N513" t="s">
        <v>10017</v>
      </c>
      <c r="O513" t="str">
        <f>HYPERLINK("NoConsenso\marker_547_381200.png", "Ver Imagen")</f>
        <v>Ver Imagen</v>
      </c>
      <c r="P513" t="str">
        <f>HYPERLINK("SE\A-5058\A-5058__106.png", "Ver Imagen")</f>
        <v>Ver Imagen</v>
      </c>
    </row>
    <row r="514" spans="1:16" x14ac:dyDescent="0.25">
      <c r="A514">
        <v>4239</v>
      </c>
      <c r="B514" t="s">
        <v>8487</v>
      </c>
      <c r="C514">
        <v>37.248101973700003</v>
      </c>
      <c r="D514">
        <v>-7.10156740511</v>
      </c>
      <c r="E514">
        <v>3</v>
      </c>
      <c r="F514">
        <v>1</v>
      </c>
      <c r="G514">
        <v>3</v>
      </c>
      <c r="H514">
        <v>2</v>
      </c>
      <c r="I514">
        <v>2</v>
      </c>
      <c r="J514" t="s">
        <v>8005</v>
      </c>
      <c r="K514">
        <v>2</v>
      </c>
      <c r="L514">
        <v>3.1339999999999999</v>
      </c>
      <c r="M514">
        <v>1</v>
      </c>
      <c r="N514" t="s">
        <v>10017</v>
      </c>
      <c r="O514" t="str">
        <f>HYPERLINK("NoConsenso\marker_526_384645.png", "Ver Imagen")</f>
        <v>Ver Imagen</v>
      </c>
      <c r="P514" t="str">
        <f>HYPERLINK("SO\A-5058\A-5058__331.png", "Ver Imagen")</f>
        <v>Ver Imagen</v>
      </c>
    </row>
    <row r="515" spans="1:16" x14ac:dyDescent="0.25">
      <c r="A515">
        <v>4245</v>
      </c>
      <c r="B515" t="s">
        <v>8499</v>
      </c>
      <c r="C515">
        <v>37.255056783199997</v>
      </c>
      <c r="D515">
        <v>-7.1092596744799996</v>
      </c>
      <c r="E515">
        <v>3</v>
      </c>
      <c r="F515">
        <v>1</v>
      </c>
      <c r="G515">
        <v>3</v>
      </c>
      <c r="H515">
        <v>2</v>
      </c>
      <c r="I515">
        <v>2</v>
      </c>
      <c r="J515" t="s">
        <v>8005</v>
      </c>
      <c r="K515">
        <v>2</v>
      </c>
      <c r="L515">
        <v>3.4209999999999998</v>
      </c>
      <c r="M515">
        <v>1</v>
      </c>
      <c r="N515" t="s">
        <v>10017</v>
      </c>
      <c r="O515" t="str">
        <f>HYPERLINK("NoConsenso\marker_840_385185.png", "Ver Imagen")</f>
        <v>Ver Imagen</v>
      </c>
      <c r="P515" t="str">
        <f>HYPERLINK("SO\A-5058\A-5058__379.png", "Ver Imagen")</f>
        <v>Ver Imagen</v>
      </c>
    </row>
    <row r="516" spans="1:16" x14ac:dyDescent="0.25">
      <c r="A516">
        <v>4254</v>
      </c>
      <c r="B516" t="s">
        <v>8517</v>
      </c>
      <c r="C516">
        <v>37.207348985000003</v>
      </c>
      <c r="D516">
        <v>-7.0215746485699997</v>
      </c>
      <c r="E516">
        <v>3</v>
      </c>
      <c r="F516">
        <v>1</v>
      </c>
      <c r="G516">
        <v>3</v>
      </c>
      <c r="H516">
        <v>2</v>
      </c>
      <c r="I516">
        <v>2</v>
      </c>
      <c r="J516" t="s">
        <v>8005</v>
      </c>
      <c r="K516">
        <v>2</v>
      </c>
      <c r="L516">
        <v>2.72</v>
      </c>
      <c r="M516">
        <v>1</v>
      </c>
      <c r="N516" t="s">
        <v>10018</v>
      </c>
      <c r="O516" t="str">
        <f>HYPERLINK("NoConsenso\marker_579_372584.png", "Ver Imagen")</f>
        <v>Ver Imagen</v>
      </c>
      <c r="P516" t="str">
        <f>HYPERLINK("SE\A-497\A-497__521.png", "Ver Imagen")</f>
        <v>Ver Imagen</v>
      </c>
    </row>
    <row r="517" spans="1:16" x14ac:dyDescent="0.25">
      <c r="A517">
        <v>4258</v>
      </c>
      <c r="B517" t="s">
        <v>8525</v>
      </c>
      <c r="C517">
        <v>37.446732115700001</v>
      </c>
      <c r="D517">
        <v>-7.1312688690200003</v>
      </c>
      <c r="E517">
        <v>2</v>
      </c>
      <c r="F517">
        <v>4</v>
      </c>
      <c r="G517">
        <v>4</v>
      </c>
      <c r="H517">
        <v>4</v>
      </c>
      <c r="I517">
        <v>4</v>
      </c>
      <c r="J517" t="s">
        <v>8005</v>
      </c>
      <c r="K517">
        <v>4</v>
      </c>
      <c r="L517">
        <v>2.891</v>
      </c>
      <c r="M517">
        <v>1</v>
      </c>
      <c r="N517" t="s">
        <v>10017</v>
      </c>
      <c r="O517" t="str">
        <f>HYPERLINK("NoConsenso\marker_812_730666.png", "Ver Imagen")</f>
        <v>Ver Imagen</v>
      </c>
      <c r="P517" t="str">
        <f>HYPERLINK("NE\A-490\A-490__20.png", "Ver Imagen")</f>
        <v>Ver Imagen</v>
      </c>
    </row>
    <row r="518" spans="1:16" x14ac:dyDescent="0.25">
      <c r="A518">
        <v>4259</v>
      </c>
      <c r="B518" t="s">
        <v>8527</v>
      </c>
      <c r="C518">
        <v>37.446261094500002</v>
      </c>
      <c r="D518">
        <v>-7.13447958234</v>
      </c>
      <c r="E518">
        <v>2</v>
      </c>
      <c r="F518">
        <v>4</v>
      </c>
      <c r="G518">
        <v>4</v>
      </c>
      <c r="H518">
        <v>4</v>
      </c>
      <c r="I518">
        <v>4</v>
      </c>
      <c r="J518" t="s">
        <v>8005</v>
      </c>
      <c r="K518">
        <v>4</v>
      </c>
      <c r="L518">
        <v>3.423</v>
      </c>
      <c r="M518">
        <v>1</v>
      </c>
      <c r="N518" t="s">
        <v>10019</v>
      </c>
      <c r="O518" t="str">
        <f>HYPERLINK("NoConsenso\marker_703_731013.png", "Ver Imagen")</f>
        <v>Ver Imagen</v>
      </c>
      <c r="P518" t="str">
        <f>HYPERLINK("NE\A-490\A-490__33.png", "Ver Imagen")</f>
        <v>Ver Imagen</v>
      </c>
    </row>
    <row r="519" spans="1:16" x14ac:dyDescent="0.25">
      <c r="A519">
        <v>4260</v>
      </c>
      <c r="B519" t="s">
        <v>8529</v>
      </c>
      <c r="C519">
        <v>37.446647855599998</v>
      </c>
      <c r="D519">
        <v>-7.1381317956999997</v>
      </c>
      <c r="E519">
        <v>2</v>
      </c>
      <c r="F519">
        <v>4</v>
      </c>
      <c r="G519">
        <v>4</v>
      </c>
      <c r="H519">
        <v>4</v>
      </c>
      <c r="I519">
        <v>5</v>
      </c>
      <c r="J519" t="s">
        <v>8005</v>
      </c>
      <c r="K519">
        <v>4</v>
      </c>
      <c r="L519">
        <v>2.798</v>
      </c>
      <c r="M519">
        <v>1</v>
      </c>
      <c r="N519" t="s">
        <v>10017</v>
      </c>
      <c r="O519" t="str">
        <f>HYPERLINK("NoConsenso\marker_138_731408.png", "Ver Imagen")</f>
        <v>Ver Imagen</v>
      </c>
      <c r="P519" t="str">
        <f>HYPERLINK("NE\A-490\A-490__48.png", "Ver Imagen")</f>
        <v>Ver Imagen</v>
      </c>
    </row>
    <row r="520" spans="1:16" x14ac:dyDescent="0.25">
      <c r="A520">
        <v>4261</v>
      </c>
      <c r="B520" t="s">
        <v>8531</v>
      </c>
      <c r="C520">
        <v>37.446998499400003</v>
      </c>
      <c r="D520">
        <v>-7.1392885049799997</v>
      </c>
      <c r="E520">
        <v>2</v>
      </c>
      <c r="F520">
        <v>3</v>
      </c>
      <c r="G520">
        <v>4</v>
      </c>
      <c r="H520">
        <v>4</v>
      </c>
      <c r="I520">
        <v>4</v>
      </c>
      <c r="J520" t="s">
        <v>8005</v>
      </c>
      <c r="K520">
        <v>4</v>
      </c>
      <c r="L520">
        <v>3.4870000000000001</v>
      </c>
      <c r="M520">
        <v>1</v>
      </c>
      <c r="N520" t="s">
        <v>10019</v>
      </c>
      <c r="O520" t="str">
        <f>HYPERLINK("NoConsenso\marker_865_732363.png", "Ver Imagen")</f>
        <v>Ver Imagen</v>
      </c>
      <c r="P520" t="str">
        <f>HYPERLINK("NE\A-490\A-490__53.png", "Ver Imagen")</f>
        <v>Ver Imagen</v>
      </c>
    </row>
    <row r="521" spans="1:16" x14ac:dyDescent="0.25">
      <c r="A521">
        <v>4263</v>
      </c>
      <c r="B521" t="s">
        <v>8535</v>
      </c>
      <c r="C521">
        <v>37.447874643799999</v>
      </c>
      <c r="D521">
        <v>-7.1413294706199997</v>
      </c>
      <c r="E521">
        <v>2</v>
      </c>
      <c r="F521">
        <v>3</v>
      </c>
      <c r="G521">
        <v>4</v>
      </c>
      <c r="H521">
        <v>4</v>
      </c>
      <c r="I521">
        <v>4</v>
      </c>
      <c r="J521" t="s">
        <v>8005</v>
      </c>
      <c r="K521">
        <v>4</v>
      </c>
      <c r="L521">
        <v>3.4260000000000002</v>
      </c>
      <c r="M521">
        <v>1</v>
      </c>
      <c r="N521" t="s">
        <v>10019</v>
      </c>
      <c r="O521" t="str">
        <f>HYPERLINK("NoConsenso\marker_655_737950.png", "Ver Imagen")</f>
        <v>Ver Imagen</v>
      </c>
      <c r="P521" t="str">
        <f>HYPERLINK("NE\A-490\A-490__62.png", "Ver Imagen")</f>
        <v>Ver Imagen</v>
      </c>
    </row>
    <row r="522" spans="1:16" x14ac:dyDescent="0.25">
      <c r="A522">
        <v>4282</v>
      </c>
      <c r="B522" t="s">
        <v>8573</v>
      </c>
      <c r="C522">
        <v>37.465960205000002</v>
      </c>
      <c r="D522">
        <v>-7.1821022467600004</v>
      </c>
      <c r="E522">
        <v>3</v>
      </c>
      <c r="F522">
        <v>5</v>
      </c>
      <c r="G522">
        <v>4</v>
      </c>
      <c r="H522">
        <v>4</v>
      </c>
      <c r="I522">
        <v>4</v>
      </c>
      <c r="J522" t="s">
        <v>8005</v>
      </c>
      <c r="K522">
        <v>4</v>
      </c>
      <c r="L522">
        <v>3.069</v>
      </c>
      <c r="M522">
        <v>1</v>
      </c>
      <c r="N522" t="s">
        <v>10017</v>
      </c>
      <c r="O522" t="str">
        <f>HYPERLINK("NoConsenso\marker_124_749514.png", "Ver Imagen")</f>
        <v>Ver Imagen</v>
      </c>
      <c r="P522" t="str">
        <f>HYPERLINK("NE\A-490\A-490__251.png", "Ver Imagen")</f>
        <v>Ver Imagen</v>
      </c>
    </row>
    <row r="523" spans="1:16" x14ac:dyDescent="0.25">
      <c r="A523">
        <v>4297</v>
      </c>
      <c r="B523" t="s">
        <v>8603</v>
      </c>
      <c r="C523">
        <v>37.315721618300003</v>
      </c>
      <c r="D523">
        <v>-7.0682555523900001</v>
      </c>
      <c r="E523">
        <v>2</v>
      </c>
      <c r="F523">
        <v>3</v>
      </c>
      <c r="G523">
        <v>4</v>
      </c>
      <c r="H523">
        <v>3</v>
      </c>
      <c r="I523">
        <v>4</v>
      </c>
      <c r="J523" t="s">
        <v>8005</v>
      </c>
      <c r="K523">
        <v>3</v>
      </c>
      <c r="L523">
        <v>1.819</v>
      </c>
      <c r="M523">
        <v>1</v>
      </c>
      <c r="N523" t="s">
        <v>10017</v>
      </c>
      <c r="O523" t="str">
        <f>HYPERLINK("NoConsenso\marker_353_839879.png", "Ver Imagen")</f>
        <v>Ver Imagen</v>
      </c>
      <c r="P523" t="str">
        <f>HYPERLINK("SE\A-492\A-492__456.png", "Ver Imagen")</f>
        <v>Ver Imagen</v>
      </c>
    </row>
    <row r="524" spans="1:16" x14ac:dyDescent="0.25">
      <c r="A524">
        <v>4304</v>
      </c>
      <c r="B524" t="s">
        <v>8617</v>
      </c>
      <c r="C524">
        <v>37.2179662255</v>
      </c>
      <c r="D524">
        <v>-7.12128775492</v>
      </c>
      <c r="E524">
        <v>5</v>
      </c>
      <c r="F524">
        <v>3</v>
      </c>
      <c r="G524">
        <v>4</v>
      </c>
      <c r="H524">
        <v>4</v>
      </c>
      <c r="I524">
        <v>4</v>
      </c>
      <c r="J524" t="s">
        <v>8005</v>
      </c>
      <c r="K524">
        <v>4</v>
      </c>
      <c r="L524">
        <v>2.76</v>
      </c>
      <c r="M524">
        <v>1</v>
      </c>
      <c r="N524" t="s">
        <v>10017</v>
      </c>
      <c r="O524" t="str">
        <f>HYPERLINK("NoConsenso\marker_254_950289.png", "Ver Imagen")</f>
        <v>Ver Imagen</v>
      </c>
      <c r="P524" t="str">
        <f>HYPERLINK("SO\A-5052\A-5052__19.png", "Ver Imagen")</f>
        <v>Ver Imagen</v>
      </c>
    </row>
    <row r="525" spans="1:16" x14ac:dyDescent="0.25">
      <c r="A525">
        <v>4306</v>
      </c>
      <c r="B525" t="s">
        <v>8621</v>
      </c>
      <c r="C525">
        <v>37.245248761399999</v>
      </c>
      <c r="D525">
        <v>-7.0927032723099996</v>
      </c>
      <c r="E525">
        <v>4</v>
      </c>
      <c r="F525">
        <v>2</v>
      </c>
      <c r="G525">
        <v>4</v>
      </c>
      <c r="H525">
        <v>3</v>
      </c>
      <c r="I525">
        <v>3</v>
      </c>
      <c r="J525" t="s">
        <v>8005</v>
      </c>
      <c r="K525">
        <v>3</v>
      </c>
      <c r="L525">
        <v>2.3119999999999998</v>
      </c>
      <c r="M525">
        <v>1</v>
      </c>
      <c r="N525" t="s">
        <v>10018</v>
      </c>
      <c r="O525" t="str">
        <f>HYPERLINK("NoConsenso\marker_197_384170.png", "Ver Imagen")</f>
        <v>Ver Imagen</v>
      </c>
      <c r="P525" t="str">
        <f>HYPERLINK("SO\A-5058\A-5058__292.png", "Ver Imagen")</f>
        <v>Ver Imagen</v>
      </c>
    </row>
    <row r="526" spans="1:16" x14ac:dyDescent="0.25">
      <c r="A526">
        <v>4318</v>
      </c>
      <c r="B526" t="s">
        <v>8645</v>
      </c>
      <c r="C526">
        <v>37.200525342900001</v>
      </c>
      <c r="D526">
        <v>-6.9880467530999999</v>
      </c>
      <c r="E526">
        <v>4</v>
      </c>
      <c r="F526">
        <v>2</v>
      </c>
      <c r="G526">
        <v>4</v>
      </c>
      <c r="H526">
        <v>2</v>
      </c>
      <c r="I526">
        <v>1</v>
      </c>
      <c r="J526" t="s">
        <v>8005</v>
      </c>
      <c r="K526">
        <v>2</v>
      </c>
      <c r="L526">
        <v>2.9460000000000002</v>
      </c>
      <c r="M526">
        <v>1</v>
      </c>
      <c r="N526" t="s">
        <v>10017</v>
      </c>
      <c r="O526" t="str">
        <f>HYPERLINK("NoConsenso\marker_529_371156.png", "Ver Imagen")</f>
        <v>Ver Imagen</v>
      </c>
      <c r="P526" t="str">
        <f>HYPERLINK("SE\A-497\A-497__659.png", "Ver Imagen")</f>
        <v>Ver Imagen</v>
      </c>
    </row>
    <row r="527" spans="1:16" x14ac:dyDescent="0.25">
      <c r="A527">
        <v>4335</v>
      </c>
      <c r="B527" t="s">
        <v>8677</v>
      </c>
      <c r="C527">
        <v>37.269099584800003</v>
      </c>
      <c r="D527">
        <v>-6.9762751069300002</v>
      </c>
      <c r="E527">
        <v>3</v>
      </c>
      <c r="F527">
        <v>4</v>
      </c>
      <c r="G527">
        <v>5</v>
      </c>
      <c r="H527">
        <v>4</v>
      </c>
      <c r="I527">
        <v>4</v>
      </c>
      <c r="J527" t="s">
        <v>8005</v>
      </c>
      <c r="K527">
        <v>4</v>
      </c>
      <c r="L527">
        <v>3.4710000000000001</v>
      </c>
      <c r="M527">
        <v>1</v>
      </c>
      <c r="N527" t="s">
        <v>10019</v>
      </c>
      <c r="O527" t="str">
        <f>HYPERLINK("NoConsenso\marker_122_937440.png", "Ver Imagen")</f>
        <v>Ver Imagen</v>
      </c>
      <c r="P527" t="str">
        <f>HYPERLINK("SE\A-497\A-497__82.png", "Ver Imagen")</f>
        <v>Ver Imagen</v>
      </c>
    </row>
    <row r="528" spans="1:16" x14ac:dyDescent="0.25">
      <c r="A528">
        <v>4349</v>
      </c>
      <c r="B528" t="s">
        <v>8705</v>
      </c>
      <c r="C528">
        <v>37.4463473932</v>
      </c>
      <c r="D528">
        <v>-7.1337630319000001</v>
      </c>
      <c r="E528">
        <v>2</v>
      </c>
      <c r="F528">
        <v>4</v>
      </c>
      <c r="G528">
        <v>3</v>
      </c>
      <c r="H528">
        <v>4</v>
      </c>
      <c r="I528">
        <v>4</v>
      </c>
      <c r="J528" t="s">
        <v>8005</v>
      </c>
      <c r="K528">
        <v>4</v>
      </c>
      <c r="L528">
        <v>2.6339999999999999</v>
      </c>
      <c r="M528">
        <v>1</v>
      </c>
      <c r="N528" t="s">
        <v>10017</v>
      </c>
      <c r="O528" t="str">
        <f>HYPERLINK("NoConsenso\marker_928_730925.png", "Ver Imagen")</f>
        <v>Ver Imagen</v>
      </c>
      <c r="P528" t="str">
        <f>HYPERLINK("NE\A-490\A-490__30.png", "Ver Imagen")</f>
        <v>Ver Imagen</v>
      </c>
    </row>
    <row r="529" spans="1:16" x14ac:dyDescent="0.25">
      <c r="A529">
        <v>4359</v>
      </c>
      <c r="B529" t="s">
        <v>8725</v>
      </c>
      <c r="C529">
        <v>37.448649121099997</v>
      </c>
      <c r="D529">
        <v>-7.1464466403199998</v>
      </c>
      <c r="E529">
        <v>2</v>
      </c>
      <c r="F529">
        <v>2</v>
      </c>
      <c r="G529">
        <v>4</v>
      </c>
      <c r="H529">
        <v>3</v>
      </c>
      <c r="I529">
        <v>3</v>
      </c>
      <c r="J529" t="s">
        <v>8005</v>
      </c>
      <c r="K529">
        <v>3</v>
      </c>
      <c r="L529">
        <v>3.7490000000000001</v>
      </c>
      <c r="M529">
        <v>1</v>
      </c>
      <c r="N529" t="s">
        <v>10019</v>
      </c>
      <c r="O529" t="str">
        <f>HYPERLINK("NoConsenso\marker_165_738734.png", "Ver Imagen")</f>
        <v>Ver Imagen</v>
      </c>
      <c r="P529" t="str">
        <f>HYPERLINK("NE\A-490\A-490__83.png", "Ver Imagen")</f>
        <v>Ver Imagen</v>
      </c>
    </row>
    <row r="530" spans="1:16" x14ac:dyDescent="0.25">
      <c r="A530">
        <v>4367</v>
      </c>
      <c r="B530" t="s">
        <v>8741</v>
      </c>
      <c r="C530">
        <v>37.451354966899999</v>
      </c>
      <c r="D530">
        <v>-7.1552365139200003</v>
      </c>
      <c r="E530">
        <v>2</v>
      </c>
      <c r="F530">
        <v>4</v>
      </c>
      <c r="G530">
        <v>4</v>
      </c>
      <c r="H530">
        <v>3</v>
      </c>
      <c r="I530">
        <v>3</v>
      </c>
      <c r="J530" t="s">
        <v>8005</v>
      </c>
      <c r="K530">
        <v>3</v>
      </c>
      <c r="L530">
        <v>3.5630000000000002</v>
      </c>
      <c r="M530">
        <v>1</v>
      </c>
      <c r="N530" t="s">
        <v>10018</v>
      </c>
      <c r="O530" t="str">
        <f>HYPERLINK("NoConsenso\marker_857_740038.png", "Ver Imagen")</f>
        <v>Ver Imagen</v>
      </c>
      <c r="P530" t="str">
        <f>HYPERLINK("NE\A-490\A-490__121.png", "Ver Imagen")</f>
        <v>Ver Imagen</v>
      </c>
    </row>
    <row r="531" spans="1:16" x14ac:dyDescent="0.25">
      <c r="A531">
        <v>4368</v>
      </c>
      <c r="B531" t="s">
        <v>8743</v>
      </c>
      <c r="C531">
        <v>37.451448233400001</v>
      </c>
      <c r="D531">
        <v>-7.1556710706100004</v>
      </c>
      <c r="E531">
        <v>3</v>
      </c>
      <c r="F531">
        <v>4</v>
      </c>
      <c r="G531">
        <v>5</v>
      </c>
      <c r="H531">
        <v>5</v>
      </c>
      <c r="I531">
        <v>4</v>
      </c>
      <c r="J531" t="s">
        <v>8005</v>
      </c>
      <c r="K531">
        <v>4</v>
      </c>
      <c r="L531">
        <v>3.23</v>
      </c>
      <c r="M531">
        <v>1</v>
      </c>
      <c r="N531" t="s">
        <v>10019</v>
      </c>
      <c r="O531" t="str">
        <f>HYPERLINK("NoConsenso\marker_411_740073.png", "Ver Imagen")</f>
        <v>Ver Imagen</v>
      </c>
      <c r="P531" t="str">
        <f>HYPERLINK("NE\A-490\A-490__122.png", "Ver Imagen")</f>
        <v>Ver Imagen</v>
      </c>
    </row>
    <row r="532" spans="1:16" x14ac:dyDescent="0.25">
      <c r="A532">
        <v>4373</v>
      </c>
      <c r="B532" t="s">
        <v>8753</v>
      </c>
      <c r="C532">
        <v>37.451829521199997</v>
      </c>
      <c r="D532">
        <v>-7.1574776183799997</v>
      </c>
      <c r="E532">
        <v>1</v>
      </c>
      <c r="F532">
        <v>2</v>
      </c>
      <c r="G532">
        <v>3</v>
      </c>
      <c r="H532">
        <v>2</v>
      </c>
      <c r="I532">
        <v>2</v>
      </c>
      <c r="J532" t="s">
        <v>8005</v>
      </c>
      <c r="K532">
        <v>2</v>
      </c>
      <c r="L532">
        <v>2.657</v>
      </c>
      <c r="M532">
        <v>1</v>
      </c>
      <c r="N532" t="s">
        <v>10017</v>
      </c>
      <c r="O532" t="str">
        <f>HYPERLINK("NoConsenso\marker_714_740241.png", "Ver Imagen")</f>
        <v>Ver Imagen</v>
      </c>
      <c r="P532" t="str">
        <f>HYPERLINK("NE\A-490\A-490__130.png", "Ver Imagen")</f>
        <v>Ver Imagen</v>
      </c>
    </row>
    <row r="533" spans="1:16" x14ac:dyDescent="0.25">
      <c r="A533">
        <v>4379</v>
      </c>
      <c r="B533" t="s">
        <v>8765</v>
      </c>
      <c r="C533">
        <v>37.452990587499997</v>
      </c>
      <c r="D533">
        <v>-7.1617772300400002</v>
      </c>
      <c r="E533">
        <v>1</v>
      </c>
      <c r="F533">
        <v>3</v>
      </c>
      <c r="G533">
        <v>3</v>
      </c>
      <c r="H533">
        <v>2</v>
      </c>
      <c r="I533">
        <v>1</v>
      </c>
      <c r="J533" t="s">
        <v>8005</v>
      </c>
      <c r="K533">
        <v>2</v>
      </c>
      <c r="L533">
        <v>2.63</v>
      </c>
      <c r="M533">
        <v>1</v>
      </c>
      <c r="N533" t="s">
        <v>10019</v>
      </c>
      <c r="O533" t="str">
        <f>HYPERLINK("NoConsenso\marker_875_740718.png", "Ver Imagen")</f>
        <v>Ver Imagen</v>
      </c>
      <c r="P533" t="str">
        <f>HYPERLINK("NE\A-490\A-490__148.png", "Ver Imagen")</f>
        <v>Ver Imagen</v>
      </c>
    </row>
    <row r="534" spans="1:16" x14ac:dyDescent="0.25">
      <c r="A534">
        <v>4381</v>
      </c>
      <c r="B534" t="s">
        <v>8769</v>
      </c>
      <c r="C534">
        <v>37.454170159599997</v>
      </c>
      <c r="D534">
        <v>-7.1641089744100004</v>
      </c>
      <c r="E534">
        <v>1</v>
      </c>
      <c r="F534">
        <v>3</v>
      </c>
      <c r="G534">
        <v>3</v>
      </c>
      <c r="H534">
        <v>1</v>
      </c>
      <c r="I534">
        <v>1</v>
      </c>
      <c r="J534" t="s">
        <v>8005</v>
      </c>
      <c r="K534">
        <v>1</v>
      </c>
      <c r="L534">
        <v>1.5669999999999999</v>
      </c>
      <c r="M534">
        <v>1</v>
      </c>
      <c r="N534" t="s">
        <v>10019</v>
      </c>
      <c r="O534" t="str">
        <f>HYPERLINK("NoConsenso\marker_517_741201.png", "Ver Imagen")</f>
        <v>Ver Imagen</v>
      </c>
      <c r="P534" t="str">
        <f>HYPERLINK("NE\A-490\A-490__159.png", "Ver Imagen")</f>
        <v>Ver Imagen</v>
      </c>
    </row>
    <row r="535" spans="1:16" x14ac:dyDescent="0.25">
      <c r="A535">
        <v>4390</v>
      </c>
      <c r="B535" t="s">
        <v>8787</v>
      </c>
      <c r="C535">
        <v>37.459849799200001</v>
      </c>
      <c r="D535">
        <v>-7.1716096941199998</v>
      </c>
      <c r="E535">
        <v>1</v>
      </c>
      <c r="F535">
        <v>3</v>
      </c>
      <c r="G535">
        <v>2</v>
      </c>
      <c r="H535">
        <v>2</v>
      </c>
      <c r="I535">
        <v>3</v>
      </c>
      <c r="J535" t="s">
        <v>8005</v>
      </c>
      <c r="K535">
        <v>2</v>
      </c>
      <c r="L535">
        <v>2.8010000000000002</v>
      </c>
      <c r="M535">
        <v>1</v>
      </c>
      <c r="N535" t="s">
        <v>10018</v>
      </c>
      <c r="O535" t="str">
        <f>HYPERLINK("NoConsenso\marker_399_742352.png", "Ver Imagen")</f>
        <v>Ver Imagen</v>
      </c>
      <c r="P535" t="str">
        <f>HYPERLINK("NE\A-490\A-490__200.png", "Ver Imagen")</f>
        <v>Ver Imagen</v>
      </c>
    </row>
    <row r="536" spans="1:16" x14ac:dyDescent="0.25">
      <c r="A536">
        <v>4396</v>
      </c>
      <c r="B536" t="s">
        <v>8799</v>
      </c>
      <c r="C536">
        <v>37.464246051300002</v>
      </c>
      <c r="D536">
        <v>-7.1789779455499998</v>
      </c>
      <c r="E536">
        <v>2</v>
      </c>
      <c r="F536">
        <v>3</v>
      </c>
      <c r="G536">
        <v>4</v>
      </c>
      <c r="H536">
        <v>2</v>
      </c>
      <c r="I536">
        <v>2</v>
      </c>
      <c r="J536" t="s">
        <v>8005</v>
      </c>
      <c r="K536">
        <v>2</v>
      </c>
      <c r="L536">
        <v>2.5910000000000002</v>
      </c>
      <c r="M536">
        <v>1</v>
      </c>
      <c r="N536" t="s">
        <v>10019</v>
      </c>
      <c r="O536" t="str">
        <f>HYPERLINK("NoConsenso\marker_226_744014.png", "Ver Imagen")</f>
        <v>Ver Imagen</v>
      </c>
      <c r="P536" t="str">
        <f>HYPERLINK("NE\A-490\A-490__236.png", "Ver Imagen")</f>
        <v>Ver Imagen</v>
      </c>
    </row>
    <row r="537" spans="1:16" x14ac:dyDescent="0.25">
      <c r="A537">
        <v>4447</v>
      </c>
      <c r="B537" t="s">
        <v>8901</v>
      </c>
      <c r="C537">
        <v>37.490656014700001</v>
      </c>
      <c r="D537">
        <v>-7.25273619797</v>
      </c>
      <c r="E537">
        <v>1</v>
      </c>
      <c r="F537">
        <v>3</v>
      </c>
      <c r="G537">
        <v>2</v>
      </c>
      <c r="H537">
        <v>2</v>
      </c>
      <c r="I537">
        <v>1</v>
      </c>
      <c r="J537" t="s">
        <v>8005</v>
      </c>
      <c r="K537">
        <v>2</v>
      </c>
      <c r="L537">
        <v>1.2509999999999999</v>
      </c>
      <c r="M537">
        <v>1</v>
      </c>
      <c r="N537" t="s">
        <v>10019</v>
      </c>
      <c r="O537" t="str">
        <f>HYPERLINK("NoConsenso\marker_903_819175.png", "Ver Imagen")</f>
        <v>Ver Imagen</v>
      </c>
      <c r="P537" t="str">
        <f>HYPERLINK("NO\A-490\A-490__560.png", "Ver Imagen")</f>
        <v>Ver Imagen</v>
      </c>
    </row>
    <row r="538" spans="1:16" x14ac:dyDescent="0.25">
      <c r="A538">
        <v>4448</v>
      </c>
      <c r="B538" t="s">
        <v>8903</v>
      </c>
      <c r="C538">
        <v>37.490388044500001</v>
      </c>
      <c r="D538">
        <v>-7.2559680737400001</v>
      </c>
      <c r="E538">
        <v>1</v>
      </c>
      <c r="F538">
        <v>3</v>
      </c>
      <c r="G538">
        <v>2</v>
      </c>
      <c r="H538">
        <v>2</v>
      </c>
      <c r="I538">
        <v>2</v>
      </c>
      <c r="J538" t="s">
        <v>8005</v>
      </c>
      <c r="K538">
        <v>2</v>
      </c>
      <c r="L538">
        <v>1.1579999999999999</v>
      </c>
      <c r="M538">
        <v>1</v>
      </c>
      <c r="N538" t="s">
        <v>10019</v>
      </c>
      <c r="O538" t="str">
        <f>HYPERLINK("NoConsenso\marker_998_819375.png", "Ver Imagen")</f>
        <v>Ver Imagen</v>
      </c>
      <c r="P538" t="str">
        <f>HYPERLINK("NO\A-490\A-490__573.png", "Ver Imagen")</f>
        <v>Ver Imagen</v>
      </c>
    </row>
    <row r="539" spans="1:16" x14ac:dyDescent="0.25">
      <c r="A539">
        <v>4450</v>
      </c>
      <c r="B539" t="s">
        <v>8907</v>
      </c>
      <c r="C539">
        <v>37.490538027500001</v>
      </c>
      <c r="D539">
        <v>-7.2600451972500002</v>
      </c>
      <c r="E539">
        <v>1</v>
      </c>
      <c r="F539">
        <v>3</v>
      </c>
      <c r="G539">
        <v>3</v>
      </c>
      <c r="H539">
        <v>2</v>
      </c>
      <c r="I539">
        <v>1</v>
      </c>
      <c r="J539" t="s">
        <v>8052</v>
      </c>
      <c r="K539">
        <v>1</v>
      </c>
      <c r="L539">
        <v>1.79</v>
      </c>
      <c r="M539">
        <v>1</v>
      </c>
      <c r="N539" t="s">
        <v>10018</v>
      </c>
      <c r="O539" t="str">
        <f>HYPERLINK("NoConsenso\marker_976_819627.png", "Ver Imagen")</f>
        <v>Ver Imagen</v>
      </c>
      <c r="P539" t="str">
        <f>HYPERLINK("NO\A-490\A-490__590.png", "Ver Imagen")</f>
        <v>Ver Imagen</v>
      </c>
    </row>
    <row r="540" spans="1:16" x14ac:dyDescent="0.25">
      <c r="A540">
        <v>4454</v>
      </c>
      <c r="B540" t="s">
        <v>8915</v>
      </c>
      <c r="C540">
        <v>37.491937615799998</v>
      </c>
      <c r="D540">
        <v>-7.2614435331799996</v>
      </c>
      <c r="E540">
        <v>2</v>
      </c>
      <c r="F540">
        <v>4</v>
      </c>
      <c r="G540">
        <v>3</v>
      </c>
      <c r="H540">
        <v>3</v>
      </c>
      <c r="I540">
        <v>3</v>
      </c>
      <c r="J540" t="s">
        <v>8005</v>
      </c>
      <c r="K540">
        <v>3</v>
      </c>
      <c r="L540">
        <v>3.802</v>
      </c>
      <c r="M540">
        <v>1</v>
      </c>
      <c r="N540" t="s">
        <v>10019</v>
      </c>
      <c r="O540" t="str">
        <f>HYPERLINK("NoConsenso\marker_348_819813.png", "Ver Imagen")</f>
        <v>Ver Imagen</v>
      </c>
      <c r="P540" t="str">
        <f>HYPERLINK("NO\A-490\A-490__599.png", "Ver Imagen")</f>
        <v>Ver Imagen</v>
      </c>
    </row>
    <row r="541" spans="1:16" x14ac:dyDescent="0.25">
      <c r="A541">
        <v>4456</v>
      </c>
      <c r="B541" t="s">
        <v>8919</v>
      </c>
      <c r="C541">
        <v>37.4928970295</v>
      </c>
      <c r="D541">
        <v>-7.2628089264</v>
      </c>
      <c r="E541">
        <v>1</v>
      </c>
      <c r="F541">
        <v>3</v>
      </c>
      <c r="G541">
        <v>2</v>
      </c>
      <c r="H541">
        <v>1</v>
      </c>
      <c r="I541">
        <v>2</v>
      </c>
      <c r="J541" t="s">
        <v>8052</v>
      </c>
      <c r="K541">
        <v>1</v>
      </c>
      <c r="L541">
        <v>1.623</v>
      </c>
      <c r="M541">
        <v>1</v>
      </c>
      <c r="N541" t="s">
        <v>10019</v>
      </c>
      <c r="O541" t="str">
        <f>HYPERLINK("NoConsenso\marker_723_820163.png", "Ver Imagen")</f>
        <v>Ver Imagen</v>
      </c>
      <c r="P541" t="str">
        <f>HYPERLINK("NO\A-490\A-490__606.png", "Ver Imagen")</f>
        <v>Ver Imagen</v>
      </c>
    </row>
    <row r="542" spans="1:16" x14ac:dyDescent="0.25">
      <c r="A542">
        <v>4479</v>
      </c>
      <c r="B542" t="s">
        <v>8965</v>
      </c>
      <c r="C542">
        <v>37.275686468799996</v>
      </c>
      <c r="D542">
        <v>-7.0192729980799999</v>
      </c>
      <c r="E542">
        <v>1</v>
      </c>
      <c r="F542">
        <v>2</v>
      </c>
      <c r="G542">
        <v>3</v>
      </c>
      <c r="H542">
        <v>1</v>
      </c>
      <c r="I542">
        <v>1</v>
      </c>
      <c r="J542" t="s">
        <v>8005</v>
      </c>
      <c r="K542">
        <v>1</v>
      </c>
      <c r="L542">
        <v>1.782</v>
      </c>
      <c r="M542">
        <v>1</v>
      </c>
      <c r="N542" t="s">
        <v>10018</v>
      </c>
      <c r="O542" t="str">
        <f>HYPERLINK("NoConsenso\marker_188_824885.png", "Ver Imagen")</f>
        <v>Ver Imagen</v>
      </c>
      <c r="P542" t="str">
        <f>HYPERLINK("SE\A-492\A-492__154.png", "Ver Imagen")</f>
        <v>Ver Imagen</v>
      </c>
    </row>
    <row r="543" spans="1:16" x14ac:dyDescent="0.25">
      <c r="A543">
        <v>4481</v>
      </c>
      <c r="B543" t="s">
        <v>8969</v>
      </c>
      <c r="C543">
        <v>37.275759111500001</v>
      </c>
      <c r="D543">
        <v>-7.0198176600900002</v>
      </c>
      <c r="E543">
        <v>1</v>
      </c>
      <c r="F543">
        <v>3</v>
      </c>
      <c r="G543">
        <v>3</v>
      </c>
      <c r="H543">
        <v>2</v>
      </c>
      <c r="I543">
        <v>2</v>
      </c>
      <c r="J543" t="s">
        <v>8005</v>
      </c>
      <c r="K543">
        <v>2</v>
      </c>
      <c r="L543">
        <v>3.0270000000000001</v>
      </c>
      <c r="M543">
        <v>1</v>
      </c>
      <c r="N543" t="s">
        <v>10018</v>
      </c>
      <c r="O543" t="str">
        <f>HYPERLINK("NoConsenso\marker_818_824908.png", "Ver Imagen")</f>
        <v>Ver Imagen</v>
      </c>
      <c r="P543" t="str">
        <f>HYPERLINK("SE\A-492\A-492__156.png", "Ver Imagen")</f>
        <v>Ver Imagen</v>
      </c>
    </row>
    <row r="544" spans="1:16" x14ac:dyDescent="0.25">
      <c r="A544">
        <v>4527</v>
      </c>
      <c r="B544" t="s">
        <v>9061</v>
      </c>
      <c r="C544">
        <v>37.295077269899998</v>
      </c>
      <c r="D544">
        <v>-7.0487204858399997</v>
      </c>
      <c r="E544">
        <v>2</v>
      </c>
      <c r="F544">
        <v>3</v>
      </c>
      <c r="G544">
        <v>4</v>
      </c>
      <c r="H544">
        <v>3</v>
      </c>
      <c r="I544">
        <v>3</v>
      </c>
      <c r="J544" t="s">
        <v>8005</v>
      </c>
      <c r="K544">
        <v>3</v>
      </c>
      <c r="L544">
        <v>2.2890000000000001</v>
      </c>
      <c r="M544">
        <v>1</v>
      </c>
      <c r="N544" t="s">
        <v>10018</v>
      </c>
      <c r="O544" t="str">
        <f>HYPERLINK("NoConsenso\marker_757_837928.png", "Ver Imagen")</f>
        <v>Ver Imagen</v>
      </c>
      <c r="P544" t="str">
        <f>HYPERLINK("SE\A-492\A-492__318.png", "Ver Imagen")</f>
        <v>Ver Imagen</v>
      </c>
    </row>
    <row r="545" spans="1:16" x14ac:dyDescent="0.25">
      <c r="A545">
        <v>4538</v>
      </c>
      <c r="B545" t="s">
        <v>9083</v>
      </c>
      <c r="C545">
        <v>37.311122973099998</v>
      </c>
      <c r="D545">
        <v>-7.0591903348300002</v>
      </c>
      <c r="E545">
        <v>1</v>
      </c>
      <c r="F545">
        <v>2</v>
      </c>
      <c r="G545">
        <v>3</v>
      </c>
      <c r="H545">
        <v>1</v>
      </c>
      <c r="I545">
        <v>2</v>
      </c>
      <c r="J545" t="s">
        <v>8052</v>
      </c>
      <c r="K545">
        <v>1</v>
      </c>
      <c r="L545">
        <v>2.0950000000000002</v>
      </c>
      <c r="M545">
        <v>1</v>
      </c>
      <c r="N545" t="s">
        <v>10017</v>
      </c>
      <c r="O545" t="str">
        <f>HYPERLINK("NoConsenso\marker_427_839322.png", "Ver Imagen")</f>
        <v>Ver Imagen</v>
      </c>
      <c r="P545" t="str">
        <f>HYPERLINK("SE\A-492\A-492__413.png", "Ver Imagen")</f>
        <v>Ver Imagen</v>
      </c>
    </row>
    <row r="546" spans="1:16" x14ac:dyDescent="0.25">
      <c r="A546">
        <v>4555</v>
      </c>
      <c r="B546" t="s">
        <v>9117</v>
      </c>
      <c r="C546">
        <v>37.269282551099998</v>
      </c>
      <c r="D546">
        <v>-6.97694645269</v>
      </c>
      <c r="E546">
        <v>3</v>
      </c>
      <c r="F546">
        <v>4</v>
      </c>
      <c r="G546">
        <v>5</v>
      </c>
      <c r="H546">
        <v>3</v>
      </c>
      <c r="I546">
        <v>4</v>
      </c>
      <c r="J546" t="s">
        <v>8005</v>
      </c>
      <c r="K546">
        <v>4</v>
      </c>
      <c r="L546">
        <v>2.9510000000000001</v>
      </c>
      <c r="M546">
        <v>1</v>
      </c>
      <c r="N546" t="s">
        <v>10017</v>
      </c>
      <c r="O546" t="str">
        <f>HYPERLINK("NoConsenso\marker_529_937406.png", "Ver Imagen")</f>
        <v>Ver Imagen</v>
      </c>
      <c r="P546" t="str">
        <f>HYPERLINK("SE\A-497\A-497__85.png", "Ver Imagen")</f>
        <v>Ver Imagen</v>
      </c>
    </row>
    <row r="547" spans="1:16" x14ac:dyDescent="0.25">
      <c r="A547">
        <v>4573</v>
      </c>
      <c r="B547" t="s">
        <v>9153</v>
      </c>
      <c r="C547">
        <v>37.266637515200003</v>
      </c>
      <c r="D547">
        <v>-6.9579361002200004</v>
      </c>
      <c r="E547">
        <v>2</v>
      </c>
      <c r="F547">
        <v>2</v>
      </c>
      <c r="G547">
        <v>4</v>
      </c>
      <c r="H547">
        <v>2</v>
      </c>
      <c r="I547">
        <v>3</v>
      </c>
      <c r="J547" t="s">
        <v>8005</v>
      </c>
      <c r="K547">
        <v>2</v>
      </c>
      <c r="L547">
        <v>3.3069999999999999</v>
      </c>
      <c r="M547">
        <v>1</v>
      </c>
      <c r="N547" t="s">
        <v>10018</v>
      </c>
      <c r="O547" t="str">
        <f>HYPERLINK("NoConsenso\marker_244_943995.png", "Ver Imagen")</f>
        <v>Ver Imagen</v>
      </c>
      <c r="P547" t="str">
        <f>HYPERLINK("SE\A-497\A-497__8.png", "Ver Imagen")</f>
        <v>Ver Imagen</v>
      </c>
    </row>
    <row r="548" spans="1:16" x14ac:dyDescent="0.25">
      <c r="A548">
        <v>4594</v>
      </c>
      <c r="B548" t="s">
        <v>9195</v>
      </c>
      <c r="C548">
        <v>37.267940994</v>
      </c>
      <c r="D548">
        <v>-7.1347694261100001</v>
      </c>
      <c r="E548">
        <v>5</v>
      </c>
      <c r="F548">
        <v>3</v>
      </c>
      <c r="G548">
        <v>4</v>
      </c>
      <c r="H548">
        <v>3</v>
      </c>
      <c r="I548">
        <v>4</v>
      </c>
      <c r="J548" t="s">
        <v>8005</v>
      </c>
      <c r="K548">
        <v>4</v>
      </c>
      <c r="L548">
        <v>3.274</v>
      </c>
      <c r="M548">
        <v>1</v>
      </c>
      <c r="N548" t="s">
        <v>10019</v>
      </c>
      <c r="O548" t="str">
        <f>HYPERLINK("NoConsenso\marker_705_965314.png", "Ver Imagen")</f>
        <v>Ver Imagen</v>
      </c>
      <c r="P548" t="str">
        <f>HYPERLINK("SO\A-5053\A-5053__254.png", "Ver Imagen")</f>
        <v>Ver Imagen</v>
      </c>
    </row>
    <row r="549" spans="1:16" x14ac:dyDescent="0.25">
      <c r="A549">
        <v>4603</v>
      </c>
      <c r="B549" t="s">
        <v>9213</v>
      </c>
      <c r="C549">
        <v>37.439101590900002</v>
      </c>
      <c r="D549">
        <v>-7.0857392932299996</v>
      </c>
      <c r="E549">
        <v>3</v>
      </c>
      <c r="F549">
        <v>3</v>
      </c>
      <c r="G549">
        <v>5</v>
      </c>
      <c r="H549">
        <v>2</v>
      </c>
      <c r="I549">
        <v>1</v>
      </c>
      <c r="J549" t="s">
        <v>8052</v>
      </c>
      <c r="K549">
        <v>2</v>
      </c>
      <c r="L549">
        <v>2.7730000000000001</v>
      </c>
      <c r="M549">
        <v>1</v>
      </c>
      <c r="N549" t="s">
        <v>10018</v>
      </c>
      <c r="O549" t="str">
        <f>HYPERLINK("NoConsenso\marker_638_381752.png", "Ver Imagen")</f>
        <v>Ver Imagen</v>
      </c>
      <c r="P549" t="str">
        <f>HYPERLINK("NE\A-495\A-495__64.png", "Ver Imagen")</f>
        <v>Ver Imagen</v>
      </c>
    </row>
    <row r="550" spans="1:16" x14ac:dyDescent="0.25">
      <c r="A550">
        <v>4617</v>
      </c>
      <c r="B550" t="s">
        <v>9241</v>
      </c>
      <c r="C550">
        <v>37.435171062000002</v>
      </c>
      <c r="D550">
        <v>-7.0707321871</v>
      </c>
      <c r="E550">
        <v>3</v>
      </c>
      <c r="F550">
        <v>3</v>
      </c>
      <c r="G550">
        <v>1</v>
      </c>
      <c r="H550">
        <v>3</v>
      </c>
      <c r="I550">
        <v>3</v>
      </c>
      <c r="J550" t="s">
        <v>8005</v>
      </c>
      <c r="K550">
        <v>3</v>
      </c>
      <c r="L550">
        <v>2.274</v>
      </c>
      <c r="M550">
        <v>1</v>
      </c>
      <c r="N550" t="s">
        <v>10019</v>
      </c>
      <c r="O550" t="str">
        <f>HYPERLINK("NoConsenso\marker_569_382466.png", "Ver Imagen")</f>
        <v>Ver Imagen</v>
      </c>
      <c r="P550" t="str">
        <f>HYPERLINK("NE\A-495\A-495__129.png", "Ver Imagen")</f>
        <v>Ver Imagen</v>
      </c>
    </row>
    <row r="551" spans="1:16" x14ac:dyDescent="0.25">
      <c r="A551">
        <v>4618</v>
      </c>
      <c r="B551" t="s">
        <v>9243</v>
      </c>
      <c r="C551">
        <v>37.434903599199998</v>
      </c>
      <c r="D551">
        <v>-7.0695227484999998</v>
      </c>
      <c r="E551">
        <v>3</v>
      </c>
      <c r="F551">
        <v>3</v>
      </c>
      <c r="G551">
        <v>1</v>
      </c>
      <c r="H551">
        <v>3</v>
      </c>
      <c r="I551">
        <v>3</v>
      </c>
      <c r="J551" t="s">
        <v>8005</v>
      </c>
      <c r="K551">
        <v>3</v>
      </c>
      <c r="L551">
        <v>1.9119999999999999</v>
      </c>
      <c r="M551">
        <v>1</v>
      </c>
      <c r="N551" t="s">
        <v>10018</v>
      </c>
      <c r="O551" t="str">
        <f>HYPERLINK("NoConsenso\marker_994_382519.png", "Ver Imagen")</f>
        <v>Ver Imagen</v>
      </c>
      <c r="P551" t="str">
        <f>HYPERLINK("NE\A-495\A-495__134.png", "Ver Imagen")</f>
        <v>Ver Imagen</v>
      </c>
    </row>
    <row r="552" spans="1:16" x14ac:dyDescent="0.25">
      <c r="A552">
        <v>4624</v>
      </c>
      <c r="B552" t="s">
        <v>9255</v>
      </c>
      <c r="C552">
        <v>37.241804261600002</v>
      </c>
      <c r="D552">
        <v>-7.0841646256999997</v>
      </c>
      <c r="E552">
        <v>3</v>
      </c>
      <c r="F552">
        <v>2</v>
      </c>
      <c r="G552">
        <v>4</v>
      </c>
      <c r="H552">
        <v>2</v>
      </c>
      <c r="I552">
        <v>2</v>
      </c>
      <c r="J552" t="s">
        <v>8005</v>
      </c>
      <c r="K552">
        <v>2</v>
      </c>
      <c r="L552">
        <v>2.5659999999999998</v>
      </c>
      <c r="M552">
        <v>1</v>
      </c>
      <c r="N552" t="s">
        <v>10019</v>
      </c>
      <c r="O552" t="str">
        <f>HYPERLINK("NoConsenso\marker_309_383584.png", "Ver Imagen")</f>
        <v>Ver Imagen</v>
      </c>
      <c r="P552" t="str">
        <f>HYPERLINK("SE\A-5058\A-5058__254.png", "Ver Imagen")</f>
        <v>Ver Imagen</v>
      </c>
    </row>
    <row r="553" spans="1:16" x14ac:dyDescent="0.25">
      <c r="A553">
        <v>4624</v>
      </c>
      <c r="B553" t="s">
        <v>9255</v>
      </c>
      <c r="C553">
        <v>37.241804261600002</v>
      </c>
      <c r="D553">
        <v>-7.0841646256999997</v>
      </c>
      <c r="E553">
        <v>3</v>
      </c>
      <c r="F553">
        <v>2</v>
      </c>
      <c r="G553">
        <v>4</v>
      </c>
      <c r="H553">
        <v>2</v>
      </c>
      <c r="I553">
        <v>2</v>
      </c>
      <c r="J553" t="s">
        <v>8005</v>
      </c>
      <c r="K553">
        <v>2</v>
      </c>
      <c r="L553">
        <v>2.6040000000000001</v>
      </c>
      <c r="M553">
        <v>1</v>
      </c>
      <c r="N553" t="s">
        <v>10019</v>
      </c>
      <c r="O553" t="str">
        <f>HYPERLINK("NoConsenso\marker_309_383584.png", "Ver Imagen")</f>
        <v>Ver Imagen</v>
      </c>
      <c r="P553" t="str">
        <f>HYPERLINK("SO\A-5058\A-5058__254.png", "Ver Imagen")</f>
        <v>Ver Imagen</v>
      </c>
    </row>
    <row r="554" spans="1:16" x14ac:dyDescent="0.25">
      <c r="A554">
        <v>4625</v>
      </c>
      <c r="B554" t="s">
        <v>9257</v>
      </c>
      <c r="C554">
        <v>37.247821658699998</v>
      </c>
      <c r="D554">
        <v>-7.1011808370600003</v>
      </c>
      <c r="E554">
        <v>3</v>
      </c>
      <c r="F554">
        <v>2</v>
      </c>
      <c r="G554">
        <v>4</v>
      </c>
      <c r="H554">
        <v>2</v>
      </c>
      <c r="I554">
        <v>3</v>
      </c>
      <c r="J554" t="s">
        <v>8052</v>
      </c>
      <c r="K554">
        <v>2</v>
      </c>
      <c r="L554">
        <v>2.6589999999999998</v>
      </c>
      <c r="M554">
        <v>1</v>
      </c>
      <c r="N554" t="s">
        <v>10018</v>
      </c>
      <c r="O554" t="str">
        <f>HYPERLINK("NoConsenso\marker_336_384611.png", "Ver Imagen")</f>
        <v>Ver Imagen</v>
      </c>
      <c r="P554" t="str">
        <f>HYPERLINK("SE\A-5058\A-5058__329.png", "Ver Imagen")</f>
        <v>Ver Imagen</v>
      </c>
    </row>
    <row r="555" spans="1:16" x14ac:dyDescent="0.25">
      <c r="A555">
        <v>4625</v>
      </c>
      <c r="B555" t="s">
        <v>9257</v>
      </c>
      <c r="C555">
        <v>37.247821658699998</v>
      </c>
      <c r="D555">
        <v>-7.1011808370600003</v>
      </c>
      <c r="E555">
        <v>3</v>
      </c>
      <c r="F555">
        <v>2</v>
      </c>
      <c r="G555">
        <v>4</v>
      </c>
      <c r="H555">
        <v>2</v>
      </c>
      <c r="I555">
        <v>3</v>
      </c>
      <c r="J555" t="s">
        <v>8052</v>
      </c>
      <c r="K555">
        <v>2</v>
      </c>
      <c r="L555">
        <v>3.1429999999999998</v>
      </c>
      <c r="M555">
        <v>1</v>
      </c>
      <c r="N555" t="s">
        <v>10018</v>
      </c>
      <c r="O555" t="str">
        <f>HYPERLINK("NoConsenso\marker_336_384611.png", "Ver Imagen")</f>
        <v>Ver Imagen</v>
      </c>
      <c r="P555" t="str">
        <f>HYPERLINK("SO\A-5058\A-5058__329.png", "Ver Imagen")</f>
        <v>Ver Imagen</v>
      </c>
    </row>
    <row r="556" spans="1:16" x14ac:dyDescent="0.25">
      <c r="A556">
        <v>4636</v>
      </c>
      <c r="B556" t="s">
        <v>9279</v>
      </c>
      <c r="C556">
        <v>37.259871133099999</v>
      </c>
      <c r="D556">
        <v>-7.1264702160000004</v>
      </c>
      <c r="E556">
        <v>3</v>
      </c>
      <c r="F556">
        <v>2</v>
      </c>
      <c r="G556">
        <v>4</v>
      </c>
      <c r="H556">
        <v>2</v>
      </c>
      <c r="I556">
        <v>2</v>
      </c>
      <c r="J556" t="s">
        <v>8005</v>
      </c>
      <c r="K556">
        <v>2</v>
      </c>
      <c r="L556">
        <v>2.6760000000000002</v>
      </c>
      <c r="M556">
        <v>1</v>
      </c>
      <c r="N556" t="s">
        <v>10019</v>
      </c>
      <c r="O556" t="str">
        <f>HYPERLINK("NoConsenso\marker_807_389303.png", "Ver Imagen")</f>
        <v>Ver Imagen</v>
      </c>
      <c r="P556" t="str">
        <f>HYPERLINK("SO\A-5058\A-5058__459.png", "Ver Imagen")</f>
        <v>Ver Imagen</v>
      </c>
    </row>
    <row r="557" spans="1:16" x14ac:dyDescent="0.25">
      <c r="A557">
        <v>4637</v>
      </c>
      <c r="B557" t="s">
        <v>9281</v>
      </c>
      <c r="C557">
        <v>37.260493537499997</v>
      </c>
      <c r="D557">
        <v>-7.1270947206399997</v>
      </c>
      <c r="E557">
        <v>3</v>
      </c>
      <c r="F557">
        <v>2</v>
      </c>
      <c r="G557">
        <v>4</v>
      </c>
      <c r="H557">
        <v>2</v>
      </c>
      <c r="I557">
        <v>2</v>
      </c>
      <c r="J557" t="s">
        <v>8005</v>
      </c>
      <c r="K557">
        <v>2</v>
      </c>
      <c r="L557">
        <v>2.5459999999999998</v>
      </c>
      <c r="M557">
        <v>1</v>
      </c>
      <c r="N557" t="s">
        <v>10019</v>
      </c>
      <c r="O557" t="str">
        <f>HYPERLINK("NoConsenso\marker_358_389342.png", "Ver Imagen")</f>
        <v>Ver Imagen</v>
      </c>
      <c r="P557" t="str">
        <f>HYPERLINK("SO\A-5058\A-5058__463.png", "Ver Imagen")</f>
        <v>Ver Imagen</v>
      </c>
    </row>
    <row r="558" spans="1:16" x14ac:dyDescent="0.25">
      <c r="A558">
        <v>4639</v>
      </c>
      <c r="B558" t="s">
        <v>9285</v>
      </c>
      <c r="C558">
        <v>37.444086111600001</v>
      </c>
      <c r="D558">
        <v>-7.1000021493499998</v>
      </c>
      <c r="E558">
        <v>5</v>
      </c>
      <c r="F558">
        <v>3</v>
      </c>
      <c r="G558">
        <v>3</v>
      </c>
      <c r="H558">
        <v>4</v>
      </c>
      <c r="I558">
        <v>3</v>
      </c>
      <c r="J558" t="s">
        <v>8005</v>
      </c>
      <c r="K558">
        <v>3</v>
      </c>
      <c r="L558">
        <v>2.4319999999999999</v>
      </c>
      <c r="M558">
        <v>1</v>
      </c>
      <c r="N558" t="s">
        <v>10017</v>
      </c>
      <c r="O558" t="str">
        <f>HYPERLINK("NoConsenso\marker_986_380981.png", "Ver Imagen")</f>
        <v>Ver Imagen</v>
      </c>
      <c r="P558" t="str">
        <f>HYPERLINK("NE\A-495\A-495__2.png", "Ver Imagen")</f>
        <v>Ver Imagen</v>
      </c>
    </row>
    <row r="559" spans="1:16" x14ac:dyDescent="0.25">
      <c r="A559">
        <v>4652</v>
      </c>
      <c r="B559" t="s">
        <v>9311</v>
      </c>
      <c r="C559">
        <v>37.186384467899998</v>
      </c>
      <c r="D559">
        <v>-6.9797013793999998</v>
      </c>
      <c r="E559">
        <v>3</v>
      </c>
      <c r="F559">
        <v>4</v>
      </c>
      <c r="G559">
        <v>5</v>
      </c>
      <c r="H559">
        <v>3</v>
      </c>
      <c r="I559">
        <v>4</v>
      </c>
      <c r="J559" t="s">
        <v>8005</v>
      </c>
      <c r="K559">
        <v>4</v>
      </c>
      <c r="L559">
        <v>3.1520000000000001</v>
      </c>
      <c r="M559">
        <v>1</v>
      </c>
      <c r="N559" t="s">
        <v>10017</v>
      </c>
      <c r="O559" t="str">
        <f>HYPERLINK("NoConsenso\marker_531_368623.png", "Ver Imagen")</f>
        <v>Ver Imagen</v>
      </c>
      <c r="P559" t="str">
        <f>HYPERLINK("SE\A-497\A-497__755.png", "Ver Imagen")</f>
        <v>Ver Imagen</v>
      </c>
    </row>
    <row r="560" spans="1:16" x14ac:dyDescent="0.25">
      <c r="A560">
        <v>4660</v>
      </c>
      <c r="B560" t="s">
        <v>9327</v>
      </c>
      <c r="C560">
        <v>37.508051429399998</v>
      </c>
      <c r="D560">
        <v>-7.2664015167900002</v>
      </c>
      <c r="E560">
        <v>2</v>
      </c>
      <c r="F560">
        <v>1</v>
      </c>
      <c r="G560">
        <v>3</v>
      </c>
      <c r="H560">
        <v>1</v>
      </c>
      <c r="I560">
        <v>1</v>
      </c>
      <c r="J560" t="s">
        <v>8005</v>
      </c>
      <c r="K560">
        <v>1</v>
      </c>
      <c r="L560">
        <v>2.2719999999999998</v>
      </c>
      <c r="M560">
        <v>1</v>
      </c>
      <c r="N560" t="s">
        <v>10018</v>
      </c>
      <c r="O560" t="str">
        <f>HYPERLINK("NoConsenso\marker_814_794252.png", "Ver Imagen")</f>
        <v>Ver Imagen</v>
      </c>
      <c r="P560" t="str">
        <f>HYPERLINK("NO\A-499\A-499__148.png", "Ver Imagen")</f>
        <v>Ver Imagen</v>
      </c>
    </row>
    <row r="561" spans="1:16" x14ac:dyDescent="0.25">
      <c r="A561">
        <v>4668</v>
      </c>
      <c r="B561" t="s">
        <v>9343</v>
      </c>
      <c r="C561">
        <v>37.5221139959</v>
      </c>
      <c r="D561">
        <v>-7.2595041239700002</v>
      </c>
      <c r="E561">
        <v>2</v>
      </c>
      <c r="F561">
        <v>1</v>
      </c>
      <c r="G561">
        <v>3</v>
      </c>
      <c r="H561">
        <v>1</v>
      </c>
      <c r="I561">
        <v>1</v>
      </c>
      <c r="J561" t="s">
        <v>8005</v>
      </c>
      <c r="K561">
        <v>1</v>
      </c>
      <c r="L561">
        <v>1.9239999999999999</v>
      </c>
      <c r="M561">
        <v>1</v>
      </c>
      <c r="N561" t="s">
        <v>10017</v>
      </c>
      <c r="O561" t="str">
        <f>HYPERLINK("NoConsenso\marker_538_796726.png", "Ver Imagen")</f>
        <v>Ver Imagen</v>
      </c>
      <c r="P561" t="str">
        <f>HYPERLINK("NO\A-499\A-499__236.png", "Ver Imagen")</f>
        <v>Ver Imagen</v>
      </c>
    </row>
    <row r="562" spans="1:16" x14ac:dyDescent="0.25">
      <c r="A562">
        <v>4681</v>
      </c>
      <c r="B562" t="s">
        <v>9369</v>
      </c>
      <c r="C562">
        <v>37.199624282599999</v>
      </c>
      <c r="D562">
        <v>-6.9843792640300002</v>
      </c>
      <c r="E562">
        <v>2</v>
      </c>
      <c r="F562">
        <v>3</v>
      </c>
      <c r="G562">
        <v>4</v>
      </c>
      <c r="H562">
        <v>2</v>
      </c>
      <c r="I562">
        <v>1</v>
      </c>
      <c r="J562" t="s">
        <v>8005</v>
      </c>
      <c r="K562">
        <v>2</v>
      </c>
      <c r="L562">
        <v>2.6629999999999998</v>
      </c>
      <c r="M562">
        <v>1</v>
      </c>
      <c r="N562" t="s">
        <v>10017</v>
      </c>
      <c r="O562" t="str">
        <f>HYPERLINK("NoConsenso\marker_449_370740.png", "Ver Imagen")</f>
        <v>Ver Imagen</v>
      </c>
      <c r="P562" t="str">
        <f>HYPERLINK("SE\A-497\A-497__674.png", "Ver Imagen")</f>
        <v>Ver Imagen</v>
      </c>
    </row>
    <row r="563" spans="1:16" x14ac:dyDescent="0.25">
      <c r="A563">
        <v>4689</v>
      </c>
      <c r="B563" t="s">
        <v>9385</v>
      </c>
      <c r="C563">
        <v>37.256280100600002</v>
      </c>
      <c r="D563">
        <v>-7.0140712583499996</v>
      </c>
      <c r="E563">
        <v>2</v>
      </c>
      <c r="F563">
        <v>4</v>
      </c>
      <c r="G563">
        <v>3</v>
      </c>
      <c r="H563">
        <v>3</v>
      </c>
      <c r="I563">
        <v>2</v>
      </c>
      <c r="J563" t="s">
        <v>8005</v>
      </c>
      <c r="K563">
        <v>3</v>
      </c>
      <c r="L563">
        <v>2.4820000000000002</v>
      </c>
      <c r="M563">
        <v>1</v>
      </c>
      <c r="N563" t="s">
        <v>10018</v>
      </c>
      <c r="O563" t="str">
        <f>HYPERLINK("NoConsenso\marker_100_319657.png", "Ver Imagen")</f>
        <v>Ver Imagen</v>
      </c>
      <c r="P563" t="str">
        <f>HYPERLINK("SE\A-497_2C\A-497_2C__263.png", "Ver Imagen")</f>
        <v>Ver Imagen</v>
      </c>
    </row>
    <row r="564" spans="1:16" x14ac:dyDescent="0.25">
      <c r="A564">
        <v>4691</v>
      </c>
      <c r="B564" t="s">
        <v>9389</v>
      </c>
      <c r="C564">
        <v>37.203524809999998</v>
      </c>
      <c r="D564">
        <v>-7.0071648983400001</v>
      </c>
      <c r="E564">
        <v>5</v>
      </c>
      <c r="F564">
        <v>3</v>
      </c>
      <c r="G564">
        <v>4</v>
      </c>
      <c r="H564">
        <v>2</v>
      </c>
      <c r="I564">
        <v>2</v>
      </c>
      <c r="J564" t="s">
        <v>8005</v>
      </c>
      <c r="K564">
        <v>3</v>
      </c>
      <c r="L564">
        <v>3.819</v>
      </c>
      <c r="M564">
        <v>1</v>
      </c>
      <c r="N564" t="s">
        <v>10018</v>
      </c>
      <c r="O564" t="str">
        <f>HYPERLINK("NoConsenso\marker_780_371907.png", "Ver Imagen")</f>
        <v>Ver Imagen</v>
      </c>
      <c r="P564" t="str">
        <f>HYPERLINK("SE\A-497\A-497__582.png", "Ver Imagen")</f>
        <v>Ver Imagen</v>
      </c>
    </row>
    <row r="565" spans="1:16" x14ac:dyDescent="0.25">
      <c r="A565">
        <v>4694</v>
      </c>
      <c r="B565" t="s">
        <v>9395</v>
      </c>
      <c r="C565">
        <v>37.203698311399997</v>
      </c>
      <c r="D565">
        <v>-7.0083312113499998</v>
      </c>
      <c r="E565">
        <v>5</v>
      </c>
      <c r="F565">
        <v>4</v>
      </c>
      <c r="G565">
        <v>3</v>
      </c>
      <c r="H565">
        <v>3</v>
      </c>
      <c r="I565">
        <v>4</v>
      </c>
      <c r="J565" t="s">
        <v>8005</v>
      </c>
      <c r="K565">
        <v>4</v>
      </c>
      <c r="L565">
        <v>3.3860000000000001</v>
      </c>
      <c r="M565">
        <v>1</v>
      </c>
      <c r="N565" t="s">
        <v>10019</v>
      </c>
      <c r="O565" t="str">
        <f>HYPERLINK("NoConsenso\marker_823_371954.png", "Ver Imagen")</f>
        <v>Ver Imagen</v>
      </c>
      <c r="P565" t="str">
        <f>HYPERLINK("SE\A-497\A-497__577.png", "Ver Imagen")</f>
        <v>Ver Imagen</v>
      </c>
    </row>
    <row r="566" spans="1:16" x14ac:dyDescent="0.25">
      <c r="A566">
        <v>4702</v>
      </c>
      <c r="B566" t="s">
        <v>9411</v>
      </c>
      <c r="C566">
        <v>37.205769482800001</v>
      </c>
      <c r="D566">
        <v>-7.0186407447199999</v>
      </c>
      <c r="E566">
        <v>5</v>
      </c>
      <c r="F566">
        <v>3</v>
      </c>
      <c r="G566">
        <v>4</v>
      </c>
      <c r="H566">
        <v>3</v>
      </c>
      <c r="I566">
        <v>2</v>
      </c>
      <c r="J566" t="s">
        <v>8005</v>
      </c>
      <c r="K566">
        <v>3</v>
      </c>
      <c r="L566">
        <v>2.36</v>
      </c>
      <c r="M566">
        <v>1</v>
      </c>
      <c r="N566" t="s">
        <v>10018</v>
      </c>
      <c r="O566" t="str">
        <f>HYPERLINK("NoConsenso\marker_665_372441.png", "Ver Imagen")</f>
        <v>Ver Imagen</v>
      </c>
      <c r="P566" t="str">
        <f>HYPERLINK("SE\A-497\A-497__535.png", "Ver Imagen")</f>
        <v>Ver Imagen</v>
      </c>
    </row>
    <row r="567" spans="1:16" x14ac:dyDescent="0.25">
      <c r="A567">
        <v>4710</v>
      </c>
      <c r="B567" t="s">
        <v>9427</v>
      </c>
      <c r="C567">
        <v>37.234786179499999</v>
      </c>
      <c r="D567">
        <v>-7.0182323477599997</v>
      </c>
      <c r="E567">
        <v>4</v>
      </c>
      <c r="F567">
        <v>2</v>
      </c>
      <c r="G567">
        <v>3</v>
      </c>
      <c r="H567">
        <v>2</v>
      </c>
      <c r="I567">
        <v>2</v>
      </c>
      <c r="J567" t="s">
        <v>8005</v>
      </c>
      <c r="K567">
        <v>2</v>
      </c>
      <c r="L567">
        <v>2.927</v>
      </c>
      <c r="M567">
        <v>1</v>
      </c>
      <c r="N567" t="s">
        <v>10018</v>
      </c>
      <c r="O567" t="str">
        <f>HYPERLINK("NoConsenso\marker_830_362521.png", "Ver Imagen")</f>
        <v>Ver Imagen</v>
      </c>
      <c r="P567" t="str">
        <f>HYPERLINK("SE\A-497_2C\A-497_2C__373.png", "Ver Imagen")</f>
        <v>Ver Imagen</v>
      </c>
    </row>
    <row r="568" spans="1:16" x14ac:dyDescent="0.25">
      <c r="A568">
        <v>4722</v>
      </c>
      <c r="B568" t="s">
        <v>9451</v>
      </c>
      <c r="C568">
        <v>37.262019109199997</v>
      </c>
      <c r="D568">
        <v>-7.0100135521200002</v>
      </c>
      <c r="E568">
        <v>4</v>
      </c>
      <c r="F568">
        <v>2</v>
      </c>
      <c r="G568">
        <v>3</v>
      </c>
      <c r="H568">
        <v>2</v>
      </c>
      <c r="I568">
        <v>2</v>
      </c>
      <c r="J568" t="s">
        <v>8005</v>
      </c>
      <c r="K568">
        <v>2</v>
      </c>
      <c r="L568">
        <v>2.68</v>
      </c>
      <c r="M568">
        <v>1</v>
      </c>
      <c r="N568" t="s">
        <v>10017</v>
      </c>
      <c r="O568" t="str">
        <f>HYPERLINK("NoConsenso\marker_183_378976.png", "Ver Imagen")</f>
        <v>Ver Imagen</v>
      </c>
      <c r="P568" t="str">
        <f>HYPERLINK("SE\A-497\A-497__235.png", "Ver Imagen")</f>
        <v>Ver Imagen</v>
      </c>
    </row>
    <row r="569" spans="1:16" x14ac:dyDescent="0.25">
      <c r="A569">
        <v>4730</v>
      </c>
      <c r="B569" t="s">
        <v>9467</v>
      </c>
      <c r="C569">
        <v>37.199288235200001</v>
      </c>
      <c r="D569">
        <v>-6.9832307912299996</v>
      </c>
      <c r="E569">
        <v>2</v>
      </c>
      <c r="F569">
        <v>3</v>
      </c>
      <c r="G569">
        <v>5</v>
      </c>
      <c r="H569">
        <v>2</v>
      </c>
      <c r="I569">
        <v>3</v>
      </c>
      <c r="J569" t="s">
        <v>8005</v>
      </c>
      <c r="K569">
        <v>3</v>
      </c>
      <c r="L569">
        <v>2.1619999999999999</v>
      </c>
      <c r="M569">
        <v>1</v>
      </c>
      <c r="N569" t="s">
        <v>10017</v>
      </c>
      <c r="O569" t="str">
        <f>HYPERLINK("NoConsenso\marker_546_370583.png", "Ver Imagen")</f>
        <v>Ver Imagen</v>
      </c>
      <c r="P569" t="str">
        <f>HYPERLINK("SE\A-497\A-497__679.png", "Ver Imagen")</f>
        <v>Ver Imagen</v>
      </c>
    </row>
    <row r="570" spans="1:16" x14ac:dyDescent="0.25">
      <c r="A570">
        <v>4735</v>
      </c>
      <c r="B570" t="s">
        <v>9477</v>
      </c>
      <c r="C570">
        <v>37.450836380200002</v>
      </c>
      <c r="D570">
        <v>-7.15362006327</v>
      </c>
      <c r="E570">
        <v>2</v>
      </c>
      <c r="F570">
        <v>5</v>
      </c>
      <c r="G570">
        <v>4</v>
      </c>
      <c r="H570">
        <v>4</v>
      </c>
      <c r="I570">
        <v>4</v>
      </c>
      <c r="J570" t="s">
        <v>8005</v>
      </c>
      <c r="K570">
        <v>4</v>
      </c>
      <c r="L570">
        <v>3.4039999999999999</v>
      </c>
      <c r="M570">
        <v>1</v>
      </c>
      <c r="N570" t="s">
        <v>10019</v>
      </c>
      <c r="O570" t="str">
        <f>HYPERLINK("NoConsenso\marker_164_739861.png", "Ver Imagen")</f>
        <v>Ver Imagen</v>
      </c>
      <c r="P570" t="str">
        <f>HYPERLINK("NE\A-490\A-490__114.png", "Ver Imagen")</f>
        <v>Ver Imagen</v>
      </c>
    </row>
    <row r="571" spans="1:16" x14ac:dyDescent="0.25">
      <c r="A571">
        <v>4741</v>
      </c>
      <c r="B571" t="s">
        <v>9489</v>
      </c>
      <c r="C571">
        <v>37.447072885399997</v>
      </c>
      <c r="D571">
        <v>-7.1395239408400002</v>
      </c>
      <c r="E571">
        <v>2</v>
      </c>
      <c r="F571">
        <v>5</v>
      </c>
      <c r="G571">
        <v>5</v>
      </c>
      <c r="H571">
        <v>4</v>
      </c>
      <c r="I571">
        <v>5</v>
      </c>
      <c r="J571" t="s">
        <v>8005</v>
      </c>
      <c r="K571">
        <v>5</v>
      </c>
      <c r="L571">
        <v>3.8290000000000002</v>
      </c>
      <c r="M571">
        <v>1</v>
      </c>
      <c r="N571" t="s">
        <v>10017</v>
      </c>
      <c r="O571" t="str">
        <f>HYPERLINK("NoConsenso\marker_904_732381.png", "Ver Imagen")</f>
        <v>Ver Imagen</v>
      </c>
      <c r="P571" t="str">
        <f>HYPERLINK("NE\A-490\A-490__54.png", "Ver Imagen")</f>
        <v>Ver Imagen</v>
      </c>
    </row>
    <row r="572" spans="1:16" x14ac:dyDescent="0.25">
      <c r="A572">
        <v>4742</v>
      </c>
      <c r="B572" t="s">
        <v>9491</v>
      </c>
      <c r="C572">
        <v>37.269345932299998</v>
      </c>
      <c r="D572">
        <v>-6.97717464687</v>
      </c>
      <c r="E572">
        <v>2</v>
      </c>
      <c r="F572">
        <v>4</v>
      </c>
      <c r="G572">
        <v>5</v>
      </c>
      <c r="H572">
        <v>4</v>
      </c>
      <c r="I572">
        <v>4</v>
      </c>
      <c r="J572" t="s">
        <v>8005</v>
      </c>
      <c r="K572">
        <v>4</v>
      </c>
      <c r="L572">
        <v>2.9750000000000001</v>
      </c>
      <c r="M572">
        <v>1</v>
      </c>
      <c r="N572" t="s">
        <v>10018</v>
      </c>
      <c r="O572" t="str">
        <f>HYPERLINK("NoConsenso\marker_880_937391.png", "Ver Imagen")</f>
        <v>Ver Imagen</v>
      </c>
      <c r="P572" t="str">
        <f>HYPERLINK("SE\A-497\A-497__86.png", "Ver Imagen")</f>
        <v>Ver Imagen</v>
      </c>
    </row>
    <row r="573" spans="1:16" x14ac:dyDescent="0.25">
      <c r="A573">
        <v>4747</v>
      </c>
      <c r="B573" t="s">
        <v>9501</v>
      </c>
      <c r="C573">
        <v>37.446588611000003</v>
      </c>
      <c r="D573">
        <v>-7.1379219536400003</v>
      </c>
      <c r="E573">
        <v>2</v>
      </c>
      <c r="F573">
        <v>5</v>
      </c>
      <c r="G573">
        <v>4</v>
      </c>
      <c r="H573">
        <v>4</v>
      </c>
      <c r="I573">
        <v>4</v>
      </c>
      <c r="J573" t="s">
        <v>8005</v>
      </c>
      <c r="K573">
        <v>4</v>
      </c>
      <c r="L573">
        <v>2.6469999999999998</v>
      </c>
      <c r="M573">
        <v>1</v>
      </c>
      <c r="N573" t="s">
        <v>10017</v>
      </c>
      <c r="O573" t="str">
        <f>HYPERLINK("NoConsenso\marker_823_731377.png", "Ver Imagen")</f>
        <v>Ver Imagen</v>
      </c>
      <c r="P573" t="str">
        <f>HYPERLINK("NE\A-490\A-490__47.png", "Ver Imagen")</f>
        <v>Ver Imagen</v>
      </c>
    </row>
    <row r="574" spans="1:16" x14ac:dyDescent="0.25">
      <c r="A574">
        <v>4749</v>
      </c>
      <c r="B574" t="s">
        <v>9505</v>
      </c>
      <c r="C574">
        <v>37.448562428599999</v>
      </c>
      <c r="D574">
        <v>-7.1446770580300001</v>
      </c>
      <c r="E574">
        <v>2</v>
      </c>
      <c r="F574">
        <v>3</v>
      </c>
      <c r="G574">
        <v>5</v>
      </c>
      <c r="H574">
        <v>3</v>
      </c>
      <c r="I574">
        <v>3</v>
      </c>
      <c r="J574" t="s">
        <v>8005</v>
      </c>
      <c r="K574">
        <v>3</v>
      </c>
      <c r="L574">
        <v>3.6150000000000002</v>
      </c>
      <c r="M574">
        <v>1</v>
      </c>
      <c r="N574" t="s">
        <v>10018</v>
      </c>
      <c r="O574" t="str">
        <f>HYPERLINK("NoConsenso\marker_600_738485.png", "Ver Imagen")</f>
        <v>Ver Imagen</v>
      </c>
      <c r="P574" t="str">
        <f>HYPERLINK("NE\A-490\A-490__76.png", "Ver Imagen")</f>
        <v>Ver Imagen</v>
      </c>
    </row>
    <row r="575" spans="1:16" x14ac:dyDescent="0.25">
      <c r="A575">
        <v>4781</v>
      </c>
      <c r="B575" t="s">
        <v>9569</v>
      </c>
      <c r="C575">
        <v>37.310938261499999</v>
      </c>
      <c r="D575">
        <v>-7.0590311111900004</v>
      </c>
      <c r="E575">
        <v>1</v>
      </c>
      <c r="F575">
        <v>1</v>
      </c>
      <c r="G575">
        <v>4</v>
      </c>
      <c r="H575">
        <v>1</v>
      </c>
      <c r="I575">
        <v>1</v>
      </c>
      <c r="J575" t="s">
        <v>8005</v>
      </c>
      <c r="K575">
        <v>1</v>
      </c>
      <c r="L575">
        <v>2.15</v>
      </c>
      <c r="M575">
        <v>1</v>
      </c>
      <c r="N575" t="s">
        <v>10018</v>
      </c>
      <c r="O575" t="str">
        <f>HYPERLINK("NoConsenso\marker_522_839309.png", "Ver Imagen")</f>
        <v>Ver Imagen</v>
      </c>
      <c r="P575" t="str">
        <f>HYPERLINK("SE\A-492\A-492__412.png", "Ver Imagen")</f>
        <v>Ver Imagen</v>
      </c>
    </row>
    <row r="576" spans="1:16" x14ac:dyDescent="0.25">
      <c r="A576">
        <v>4785</v>
      </c>
      <c r="B576" t="s">
        <v>9575</v>
      </c>
      <c r="C576">
        <v>37.438649324300002</v>
      </c>
      <c r="D576">
        <v>-7.0846273963600002</v>
      </c>
      <c r="E576">
        <v>3</v>
      </c>
      <c r="F576">
        <v>2</v>
      </c>
      <c r="G576">
        <v>5</v>
      </c>
      <c r="H576">
        <v>2</v>
      </c>
      <c r="I576">
        <v>3</v>
      </c>
      <c r="J576" t="s">
        <v>8052</v>
      </c>
      <c r="K576">
        <v>2</v>
      </c>
      <c r="L576">
        <v>2.5470000000000002</v>
      </c>
      <c r="M576">
        <v>1</v>
      </c>
      <c r="N576" t="s">
        <v>10017</v>
      </c>
      <c r="O576" t="str">
        <f>HYPERLINK("NoConsenso\marker_358_381804.png", "Ver Imagen")</f>
        <v>Ver Imagen</v>
      </c>
      <c r="P576" t="str">
        <f>HYPERLINK("NE\A-495\A-495__69.png", "Ver Imagen")</f>
        <v>Ver Imagen</v>
      </c>
    </row>
    <row r="577" spans="1:16" x14ac:dyDescent="0.25">
      <c r="A577">
        <v>4786</v>
      </c>
      <c r="B577" t="s">
        <v>9577</v>
      </c>
      <c r="C577">
        <v>37.438571372600002</v>
      </c>
      <c r="D577">
        <v>-7.0844143695500001</v>
      </c>
      <c r="E577">
        <v>3</v>
      </c>
      <c r="F577">
        <v>2</v>
      </c>
      <c r="G577">
        <v>5</v>
      </c>
      <c r="H577">
        <v>2</v>
      </c>
      <c r="I577">
        <v>2</v>
      </c>
      <c r="J577" t="s">
        <v>8005</v>
      </c>
      <c r="K577">
        <v>2</v>
      </c>
      <c r="L577">
        <v>2.97</v>
      </c>
      <c r="M577">
        <v>1</v>
      </c>
      <c r="N577" t="s">
        <v>10018</v>
      </c>
      <c r="O577" t="str">
        <f>HYPERLINK("NoConsenso\marker_643_381816.png", "Ver Imagen")</f>
        <v>Ver Imagen</v>
      </c>
      <c r="P577" t="str">
        <f>HYPERLINK("NE\A-495\A-495__70.png", "Ver Imagen")</f>
        <v>Ver Imagen</v>
      </c>
    </row>
    <row r="578" spans="1:16" x14ac:dyDescent="0.25">
      <c r="A578">
        <v>4788</v>
      </c>
      <c r="B578" t="s">
        <v>9581</v>
      </c>
      <c r="C578">
        <v>37.438327267399998</v>
      </c>
      <c r="D578">
        <v>-7.0837042948700004</v>
      </c>
      <c r="E578">
        <v>2</v>
      </c>
      <c r="F578">
        <v>3</v>
      </c>
      <c r="G578">
        <v>5</v>
      </c>
      <c r="H578">
        <v>2</v>
      </c>
      <c r="I578">
        <v>2</v>
      </c>
      <c r="J578" t="s">
        <v>8052</v>
      </c>
      <c r="K578">
        <v>2</v>
      </c>
      <c r="L578">
        <v>2.964</v>
      </c>
      <c r="M578">
        <v>1</v>
      </c>
      <c r="N578" t="s">
        <v>10017</v>
      </c>
      <c r="O578" t="str">
        <f>HYPERLINK("NoConsenso\marker_376_381844.png", "Ver Imagen")</f>
        <v>Ver Imagen</v>
      </c>
      <c r="P578" t="str">
        <f>HYPERLINK("NE\A-495\A-495__73.png", "Ver Imagen")</f>
        <v>Ver Imagen</v>
      </c>
    </row>
    <row r="579" spans="1:16" x14ac:dyDescent="0.25">
      <c r="A579">
        <v>4804</v>
      </c>
      <c r="B579" t="s">
        <v>9613</v>
      </c>
      <c r="C579">
        <v>37.249037465500002</v>
      </c>
      <c r="D579">
        <v>-7.0181023385600003</v>
      </c>
      <c r="E579">
        <v>2</v>
      </c>
      <c r="G579">
        <v>2</v>
      </c>
      <c r="H579">
        <v>2</v>
      </c>
      <c r="I579">
        <v>2</v>
      </c>
      <c r="J579" t="s">
        <v>8005</v>
      </c>
      <c r="K579">
        <v>2</v>
      </c>
      <c r="L579">
        <v>2.516</v>
      </c>
      <c r="M579">
        <v>1</v>
      </c>
      <c r="N579" t="s">
        <v>10019</v>
      </c>
      <c r="O579" t="str">
        <f>HYPERLINK("Solo2\marker_473_378128.png", "Ver Imagen")</f>
        <v>Ver Imagen</v>
      </c>
      <c r="P579" t="str">
        <f>HYPERLINK("SE\A-497\A-497__307.png", "Ver Imagen")</f>
        <v>Ver Imagen</v>
      </c>
    </row>
    <row r="580" spans="1:16" x14ac:dyDescent="0.25">
      <c r="A580">
        <v>4811</v>
      </c>
      <c r="B580" t="s">
        <v>9627</v>
      </c>
      <c r="C580">
        <v>37.447133647500003</v>
      </c>
      <c r="D580">
        <v>-7.1282545745499997</v>
      </c>
      <c r="E580">
        <v>2</v>
      </c>
      <c r="G580">
        <v>3</v>
      </c>
      <c r="H580">
        <v>3</v>
      </c>
      <c r="I580">
        <v>3</v>
      </c>
      <c r="J580" t="s">
        <v>8005</v>
      </c>
      <c r="K580">
        <v>3</v>
      </c>
      <c r="L580">
        <v>1.863</v>
      </c>
      <c r="M580">
        <v>1</v>
      </c>
      <c r="N580" t="s">
        <v>10018</v>
      </c>
      <c r="O580" t="str">
        <f>HYPERLINK("Solo2\marker_857_641313.png", "Ver Imagen")</f>
        <v>Ver Imagen</v>
      </c>
      <c r="P580" t="str">
        <f>HYPERLINK("NE\A-490\A-490__8.png", "Ver Imagen")</f>
        <v>Ver Imagen</v>
      </c>
    </row>
    <row r="581" spans="1:16" x14ac:dyDescent="0.25">
      <c r="A581">
        <v>4812</v>
      </c>
      <c r="B581" t="s">
        <v>9629</v>
      </c>
      <c r="C581">
        <v>37.448702303399998</v>
      </c>
      <c r="D581">
        <v>-7.1475160584399999</v>
      </c>
      <c r="E581">
        <v>2</v>
      </c>
      <c r="G581">
        <v>3</v>
      </c>
      <c r="H581">
        <v>4</v>
      </c>
      <c r="I581">
        <v>4</v>
      </c>
      <c r="J581" t="s">
        <v>8005</v>
      </c>
      <c r="K581">
        <v>3.5</v>
      </c>
      <c r="L581">
        <v>3.2789999999999999</v>
      </c>
      <c r="M581">
        <v>1</v>
      </c>
      <c r="N581" t="s">
        <v>10019</v>
      </c>
      <c r="O581" t="str">
        <f>HYPERLINK("Solo2\marker_606_649431.png", "Ver Imagen")</f>
        <v>Ver Imagen</v>
      </c>
      <c r="P581" t="str">
        <f>HYPERLINK("NE\A-490\A-490__87.png", "Ver Imagen")</f>
        <v>Ver Imagen</v>
      </c>
    </row>
    <row r="582" spans="1:16" x14ac:dyDescent="0.25">
      <c r="A582">
        <v>4818</v>
      </c>
      <c r="B582" t="s">
        <v>9641</v>
      </c>
      <c r="C582">
        <v>37.262468133399999</v>
      </c>
      <c r="D582">
        <v>-7.0094397963599997</v>
      </c>
      <c r="E582">
        <v>2</v>
      </c>
      <c r="G582">
        <v>3</v>
      </c>
      <c r="H582">
        <v>2</v>
      </c>
      <c r="I582">
        <v>4</v>
      </c>
      <c r="J582" t="s">
        <v>8005</v>
      </c>
      <c r="K582">
        <v>2.5</v>
      </c>
      <c r="L582">
        <v>2.85</v>
      </c>
      <c r="M582">
        <v>1</v>
      </c>
      <c r="N582" t="s">
        <v>10017</v>
      </c>
      <c r="O582" t="str">
        <f>HYPERLINK("Solo2\marker_326_895145.png", "Ver Imagen")</f>
        <v>Ver Imagen</v>
      </c>
      <c r="P582" t="str">
        <f>HYPERLINK("SE\A-497\A-497__232.png", "Ver Imagen")</f>
        <v>Ver Imagen</v>
      </c>
    </row>
    <row r="583" spans="1:16" x14ac:dyDescent="0.25">
      <c r="A583">
        <v>4824</v>
      </c>
      <c r="B583" t="s">
        <v>9653</v>
      </c>
      <c r="C583">
        <v>37.278204928999997</v>
      </c>
      <c r="D583">
        <v>-6.9929260281500003</v>
      </c>
      <c r="E583">
        <v>3</v>
      </c>
      <c r="G583">
        <v>4</v>
      </c>
      <c r="H583">
        <v>4</v>
      </c>
      <c r="I583">
        <v>4</v>
      </c>
      <c r="J583" t="s">
        <v>8005</v>
      </c>
      <c r="K583">
        <v>4</v>
      </c>
      <c r="L583">
        <v>3.4729999999999999</v>
      </c>
      <c r="M583">
        <v>1</v>
      </c>
      <c r="N583" t="s">
        <v>10019</v>
      </c>
      <c r="O583" t="str">
        <f>HYPERLINK("Solo2\marker_413_822839.png", "Ver Imagen")</f>
        <v>Ver Imagen</v>
      </c>
      <c r="P583" t="str">
        <f>HYPERLINK("SE\A-492\A-492__38.png", "Ver Imagen")</f>
        <v>Ver Imagen</v>
      </c>
    </row>
    <row r="584" spans="1:16" x14ac:dyDescent="0.25">
      <c r="A584">
        <v>4833</v>
      </c>
      <c r="B584" t="s">
        <v>9671</v>
      </c>
      <c r="C584">
        <v>37.469559783500003</v>
      </c>
      <c r="D584">
        <v>-7.1888529869399997</v>
      </c>
      <c r="E584">
        <v>2</v>
      </c>
      <c r="F584">
        <v>1</v>
      </c>
      <c r="H584">
        <v>1</v>
      </c>
      <c r="I584">
        <v>1</v>
      </c>
      <c r="J584" t="s">
        <v>8005</v>
      </c>
      <c r="K584">
        <v>1</v>
      </c>
      <c r="L584">
        <v>1.5189999999999999</v>
      </c>
      <c r="M584">
        <v>1</v>
      </c>
      <c r="N584" t="s">
        <v>10018</v>
      </c>
      <c r="O584" t="str">
        <f>HYPERLINK("Solo2\marker_226_750216.png", "Ver Imagen")</f>
        <v>Ver Imagen</v>
      </c>
      <c r="P584" t="str">
        <f>HYPERLINK("NO\A-490\A-490__283.png", "Ver Imagen")</f>
        <v>Ver Imagen</v>
      </c>
    </row>
    <row r="585" spans="1:16" x14ac:dyDescent="0.25">
      <c r="A585">
        <v>4835</v>
      </c>
      <c r="B585" t="s">
        <v>9675</v>
      </c>
      <c r="C585">
        <v>37.2836129473</v>
      </c>
      <c r="D585">
        <v>-7.0339027100199996</v>
      </c>
      <c r="E585">
        <v>2</v>
      </c>
      <c r="F585">
        <v>2</v>
      </c>
      <c r="H585">
        <v>2</v>
      </c>
      <c r="I585">
        <v>1</v>
      </c>
      <c r="J585" t="s">
        <v>8005</v>
      </c>
      <c r="K585">
        <v>1</v>
      </c>
      <c r="L585">
        <v>2.1579999999999999</v>
      </c>
      <c r="M585">
        <v>1</v>
      </c>
      <c r="N585" t="s">
        <v>10018</v>
      </c>
      <c r="O585" t="str">
        <f>HYPERLINK("Solo2\marker_319_835795.png", "Ver Imagen")</f>
        <v>Ver Imagen</v>
      </c>
      <c r="P585" t="str">
        <f>HYPERLINK("SE\A-492\A-492__230.png", "Ver Imagen")</f>
        <v>Ver Imagen</v>
      </c>
    </row>
    <row r="586" spans="1:16" x14ac:dyDescent="0.25">
      <c r="A586">
        <v>4846</v>
      </c>
      <c r="B586" t="s">
        <v>9697</v>
      </c>
      <c r="C586">
        <v>37.2610798567</v>
      </c>
      <c r="D586">
        <v>-7.1296644430000002</v>
      </c>
      <c r="F586">
        <v>3</v>
      </c>
      <c r="G586">
        <v>3</v>
      </c>
      <c r="H586">
        <v>3</v>
      </c>
      <c r="I586">
        <v>4</v>
      </c>
      <c r="J586" t="s">
        <v>8052</v>
      </c>
      <c r="K586">
        <v>4</v>
      </c>
      <c r="L586">
        <v>3.1930000000000001</v>
      </c>
      <c r="M586">
        <v>1</v>
      </c>
      <c r="N586" t="s">
        <v>10018</v>
      </c>
      <c r="O586" t="str">
        <f>HYPERLINK("Solo2\marker_904_965747.png", "Ver Imagen")</f>
        <v>Ver Imagen</v>
      </c>
      <c r="P586" t="str">
        <f>HYPERLINK("SO\A-5053\A-5053__214.png", "Ver Imagen")</f>
        <v>Ver Imagen</v>
      </c>
    </row>
    <row r="587" spans="1:16" x14ac:dyDescent="0.25">
      <c r="A587">
        <v>4851</v>
      </c>
      <c r="B587" t="s">
        <v>9707</v>
      </c>
      <c r="C587">
        <v>37.471983010400002</v>
      </c>
      <c r="D587">
        <v>-7.1931602365599998</v>
      </c>
      <c r="E587">
        <v>2</v>
      </c>
      <c r="F587">
        <v>4</v>
      </c>
      <c r="H587">
        <v>3</v>
      </c>
      <c r="I587">
        <v>3</v>
      </c>
      <c r="J587" t="s">
        <v>8005</v>
      </c>
      <c r="K587">
        <v>3</v>
      </c>
      <c r="L587">
        <v>2.2730000000000001</v>
      </c>
      <c r="M587">
        <v>1</v>
      </c>
      <c r="N587" t="s">
        <v>10019</v>
      </c>
      <c r="O587" t="str">
        <f>HYPERLINK("Solo2\marker_904_750639.png", "Ver Imagen")</f>
        <v>Ver Imagen</v>
      </c>
      <c r="P587" t="str">
        <f>HYPERLINK("NO\A-490\A-490__304.png", "Ver Imagen")</f>
        <v>Ver Imagen</v>
      </c>
    </row>
    <row r="588" spans="1:16" x14ac:dyDescent="0.25">
      <c r="A588">
        <v>4852</v>
      </c>
      <c r="B588" t="s">
        <v>9709</v>
      </c>
      <c r="C588">
        <v>37.4755227156</v>
      </c>
      <c r="D588">
        <v>-7.1999458964900001</v>
      </c>
      <c r="E588">
        <v>1</v>
      </c>
      <c r="F588">
        <v>3</v>
      </c>
      <c r="H588">
        <v>3</v>
      </c>
      <c r="I588">
        <v>3</v>
      </c>
      <c r="J588" t="s">
        <v>8005</v>
      </c>
      <c r="K588">
        <v>3</v>
      </c>
      <c r="L588">
        <v>3.5430000000000001</v>
      </c>
      <c r="M588">
        <v>1</v>
      </c>
      <c r="N588" t="s">
        <v>10019</v>
      </c>
      <c r="O588" t="str">
        <f>HYPERLINK("Solo2\marker_903_751408.png", "Ver Imagen")</f>
        <v>Ver Imagen</v>
      </c>
      <c r="P588" t="str">
        <f>HYPERLINK("NO\A-490\A-490__336.png", "Ver Imagen")</f>
        <v>Ver Imagen</v>
      </c>
    </row>
    <row r="589" spans="1:16" x14ac:dyDescent="0.25">
      <c r="A589">
        <v>4859</v>
      </c>
      <c r="B589" t="s">
        <v>9723</v>
      </c>
      <c r="C589">
        <v>37.468650296</v>
      </c>
      <c r="D589">
        <v>-7.1871739509700001</v>
      </c>
      <c r="E589">
        <v>1</v>
      </c>
      <c r="F589">
        <v>2</v>
      </c>
      <c r="H589">
        <v>1</v>
      </c>
      <c r="I589">
        <v>1</v>
      </c>
      <c r="J589" t="s">
        <v>8005</v>
      </c>
      <c r="K589">
        <v>1</v>
      </c>
      <c r="L589">
        <v>1.83</v>
      </c>
      <c r="M589">
        <v>1</v>
      </c>
      <c r="N589" t="s">
        <v>10017</v>
      </c>
      <c r="O589" t="str">
        <f>HYPERLINK("Solo2\marker_978_750010.png", "Ver Imagen")</f>
        <v>Ver Imagen</v>
      </c>
      <c r="P589" t="str">
        <f>HYPERLINK("NO\A-490\A-490__275.png", "Ver Imagen")</f>
        <v>Ver Imagen</v>
      </c>
    </row>
    <row r="590" spans="1:16" x14ac:dyDescent="0.25">
      <c r="A590">
        <v>4861</v>
      </c>
      <c r="B590" t="s">
        <v>9727</v>
      </c>
      <c r="C590">
        <v>37.468854603499999</v>
      </c>
      <c r="D590">
        <v>-7.1875483492200001</v>
      </c>
      <c r="E590">
        <v>2</v>
      </c>
      <c r="F590">
        <v>4</v>
      </c>
      <c r="H590">
        <v>3</v>
      </c>
      <c r="I590">
        <v>3</v>
      </c>
      <c r="J590" t="s">
        <v>8005</v>
      </c>
      <c r="K590">
        <v>3</v>
      </c>
      <c r="L590">
        <v>1.5069999999999999</v>
      </c>
      <c r="M590">
        <v>1</v>
      </c>
      <c r="N590" t="s">
        <v>10017</v>
      </c>
      <c r="O590" t="str">
        <f>HYPERLINK("Solo2\marker_357_750049.png", "Ver Imagen")</f>
        <v>Ver Imagen</v>
      </c>
      <c r="P590" t="str">
        <f>HYPERLINK("NE\A-490\A-490__277.png", "Ver Imagen")</f>
        <v>Ver Imagen</v>
      </c>
    </row>
    <row r="591" spans="1:16" x14ac:dyDescent="0.25">
      <c r="A591">
        <v>4861</v>
      </c>
      <c r="B591" t="s">
        <v>9727</v>
      </c>
      <c r="C591">
        <v>37.468854603499999</v>
      </c>
      <c r="D591">
        <v>-7.1875483492200001</v>
      </c>
      <c r="E591">
        <v>2</v>
      </c>
      <c r="F591">
        <v>4</v>
      </c>
      <c r="H591">
        <v>3</v>
      </c>
      <c r="I591">
        <v>3</v>
      </c>
      <c r="J591" t="s">
        <v>8005</v>
      </c>
      <c r="K591">
        <v>3</v>
      </c>
      <c r="L591">
        <v>1.9850000000000001</v>
      </c>
      <c r="M591">
        <v>1</v>
      </c>
      <c r="N591" t="s">
        <v>10017</v>
      </c>
      <c r="O591" t="str">
        <f>HYPERLINK("Solo2\marker_357_750049.png", "Ver Imagen")</f>
        <v>Ver Imagen</v>
      </c>
      <c r="P591" t="str">
        <f>HYPERLINK("NO\A-490\A-490__277.png", "Ver Imagen")</f>
        <v>Ver Imagen</v>
      </c>
    </row>
    <row r="592" spans="1:16" x14ac:dyDescent="0.25">
      <c r="A592">
        <v>4868</v>
      </c>
      <c r="B592" t="s">
        <v>9741</v>
      </c>
      <c r="C592">
        <v>37.469804185299999</v>
      </c>
      <c r="D592">
        <v>-7.1893053178699997</v>
      </c>
      <c r="E592">
        <v>1</v>
      </c>
      <c r="F592">
        <v>2</v>
      </c>
      <c r="H592">
        <v>1</v>
      </c>
      <c r="I592">
        <v>1</v>
      </c>
      <c r="J592" t="s">
        <v>8005</v>
      </c>
      <c r="K592">
        <v>1</v>
      </c>
      <c r="L592">
        <v>1.5089999999999999</v>
      </c>
      <c r="M592">
        <v>1</v>
      </c>
      <c r="N592" t="s">
        <v>10018</v>
      </c>
      <c r="O592" t="str">
        <f>HYPERLINK("Solo2\marker_426_750247.png", "Ver Imagen")</f>
        <v>Ver Imagen</v>
      </c>
      <c r="P592" t="str">
        <f>HYPERLINK("NE\A-490\A-490__285.png", "Ver Imagen")</f>
        <v>Ver Imagen</v>
      </c>
    </row>
    <row r="593" spans="1:16" x14ac:dyDescent="0.25">
      <c r="A593">
        <v>4874</v>
      </c>
      <c r="B593" t="s">
        <v>9753</v>
      </c>
      <c r="C593">
        <v>37.470463391700001</v>
      </c>
      <c r="D593">
        <v>-7.1905333556400004</v>
      </c>
      <c r="E593">
        <v>1</v>
      </c>
      <c r="F593">
        <v>2</v>
      </c>
      <c r="H593">
        <v>1</v>
      </c>
      <c r="I593">
        <v>1</v>
      </c>
      <c r="J593" t="s">
        <v>8005</v>
      </c>
      <c r="K593">
        <v>1</v>
      </c>
      <c r="L593">
        <v>1.8580000000000001</v>
      </c>
      <c r="M593">
        <v>1</v>
      </c>
      <c r="N593" t="s">
        <v>10017</v>
      </c>
      <c r="O593" t="str">
        <f>HYPERLINK("Solo2\marker_284_750358.png", "Ver Imagen")</f>
        <v>Ver Imagen</v>
      </c>
      <c r="P593" t="str">
        <f>HYPERLINK("NO\A-490\A-490__291.png", "Ver Imagen")</f>
        <v>Ver Imagen</v>
      </c>
    </row>
    <row r="594" spans="1:16" x14ac:dyDescent="0.25">
      <c r="A594">
        <v>4876</v>
      </c>
      <c r="B594" t="s">
        <v>9757</v>
      </c>
      <c r="C594">
        <v>37.470700817000001</v>
      </c>
      <c r="D594">
        <v>-7.1909699320499998</v>
      </c>
      <c r="E594">
        <v>1</v>
      </c>
      <c r="F594">
        <v>2</v>
      </c>
      <c r="H594">
        <v>1</v>
      </c>
      <c r="I594">
        <v>1</v>
      </c>
      <c r="J594" t="s">
        <v>8005</v>
      </c>
      <c r="K594">
        <v>1</v>
      </c>
      <c r="L594">
        <v>1.9770000000000001</v>
      </c>
      <c r="M594">
        <v>1</v>
      </c>
      <c r="N594" t="s">
        <v>10017</v>
      </c>
      <c r="O594" t="str">
        <f>HYPERLINK("Solo2\marker_858_750393.png", "Ver Imagen")</f>
        <v>Ver Imagen</v>
      </c>
      <c r="P594" t="str">
        <f>HYPERLINK("NE\A-490\A-490__293.png", "Ver Imagen")</f>
        <v>Ver Imagen</v>
      </c>
    </row>
    <row r="595" spans="1:16" x14ac:dyDescent="0.25">
      <c r="A595">
        <v>4883</v>
      </c>
      <c r="B595" t="s">
        <v>9771</v>
      </c>
      <c r="C595">
        <v>37.471518539900003</v>
      </c>
      <c r="D595">
        <v>-7.1923804736100001</v>
      </c>
      <c r="E595">
        <v>1</v>
      </c>
      <c r="F595">
        <v>3</v>
      </c>
      <c r="H595">
        <v>3</v>
      </c>
      <c r="I595">
        <v>2</v>
      </c>
      <c r="J595" t="s">
        <v>8005</v>
      </c>
      <c r="K595">
        <v>2.5</v>
      </c>
      <c r="L595">
        <v>1.389</v>
      </c>
      <c r="M595">
        <v>1</v>
      </c>
      <c r="N595" t="s">
        <v>10017</v>
      </c>
      <c r="O595" t="str">
        <f>HYPERLINK("Solo2\marker_365_750560.png", "Ver Imagen")</f>
        <v>Ver Imagen</v>
      </c>
      <c r="P595" t="str">
        <f>HYPERLINK("NE\A-490\A-490__300.png", "Ver Imagen")</f>
        <v>Ver Imagen</v>
      </c>
    </row>
    <row r="596" spans="1:16" x14ac:dyDescent="0.25">
      <c r="A596">
        <v>4887</v>
      </c>
      <c r="B596" t="s">
        <v>9779</v>
      </c>
      <c r="C596">
        <v>37.472281985899997</v>
      </c>
      <c r="D596">
        <v>-7.1936600374799999</v>
      </c>
      <c r="E596">
        <v>2</v>
      </c>
      <c r="F596">
        <v>3</v>
      </c>
      <c r="H596">
        <v>3</v>
      </c>
      <c r="I596">
        <v>3</v>
      </c>
      <c r="J596" t="s">
        <v>8005</v>
      </c>
      <c r="K596">
        <v>3</v>
      </c>
      <c r="L596">
        <v>1.7330000000000001</v>
      </c>
      <c r="M596">
        <v>1</v>
      </c>
      <c r="N596" t="s">
        <v>10018</v>
      </c>
      <c r="O596" t="str">
        <f>HYPERLINK("Solo2\marker_982_750699.png", "Ver Imagen")</f>
        <v>Ver Imagen</v>
      </c>
      <c r="P596" t="str">
        <f>HYPERLINK("NE\A-490\A-490__306.png", "Ver Imagen")</f>
        <v>Ver Imagen</v>
      </c>
    </row>
    <row r="597" spans="1:16" x14ac:dyDescent="0.25">
      <c r="A597">
        <v>4887</v>
      </c>
      <c r="B597" t="s">
        <v>9779</v>
      </c>
      <c r="C597">
        <v>37.472281985899997</v>
      </c>
      <c r="D597">
        <v>-7.1936600374799999</v>
      </c>
      <c r="E597">
        <v>2</v>
      </c>
      <c r="F597">
        <v>3</v>
      </c>
      <c r="H597">
        <v>3</v>
      </c>
      <c r="I597">
        <v>3</v>
      </c>
      <c r="J597" t="s">
        <v>8005</v>
      </c>
      <c r="K597">
        <v>3</v>
      </c>
      <c r="L597">
        <v>2.4660000000000002</v>
      </c>
      <c r="M597">
        <v>1</v>
      </c>
      <c r="N597" t="s">
        <v>10018</v>
      </c>
      <c r="O597" t="str">
        <f>HYPERLINK("Solo2\marker_982_750699.png", "Ver Imagen")</f>
        <v>Ver Imagen</v>
      </c>
      <c r="P597" t="str">
        <f>HYPERLINK("NO\A-490\A-490__306.png", "Ver Imagen")</f>
        <v>Ver Imagen</v>
      </c>
    </row>
    <row r="598" spans="1:16" x14ac:dyDescent="0.25">
      <c r="A598">
        <v>4893</v>
      </c>
      <c r="B598" t="s">
        <v>9791</v>
      </c>
      <c r="C598">
        <v>37.472955910000003</v>
      </c>
      <c r="D598">
        <v>-7.1947934957499999</v>
      </c>
      <c r="E598">
        <v>2</v>
      </c>
      <c r="F598">
        <v>4</v>
      </c>
      <c r="H598">
        <v>3</v>
      </c>
      <c r="I598">
        <v>3</v>
      </c>
      <c r="J598" t="s">
        <v>8005</v>
      </c>
      <c r="K598">
        <v>3</v>
      </c>
      <c r="L598">
        <v>3.5150000000000001</v>
      </c>
      <c r="M598">
        <v>1</v>
      </c>
      <c r="N598" t="s">
        <v>10019</v>
      </c>
      <c r="O598" t="str">
        <f>HYPERLINK("Solo2\marker_265_750814.png", "Ver Imagen")</f>
        <v>Ver Imagen</v>
      </c>
      <c r="P598" t="str">
        <f>HYPERLINK("NO\A-490\A-490__312.png", "Ver Imagen")</f>
        <v>Ver Imagen</v>
      </c>
    </row>
    <row r="599" spans="1:16" x14ac:dyDescent="0.25">
      <c r="A599">
        <v>4894</v>
      </c>
      <c r="B599" t="s">
        <v>9793</v>
      </c>
      <c r="C599">
        <v>37.473109006100003</v>
      </c>
      <c r="D599">
        <v>-7.1950482884999998</v>
      </c>
      <c r="E599">
        <v>2</v>
      </c>
      <c r="F599">
        <v>4</v>
      </c>
      <c r="H599">
        <v>3</v>
      </c>
      <c r="I599">
        <v>3</v>
      </c>
      <c r="J599" t="s">
        <v>8005</v>
      </c>
      <c r="K599">
        <v>3</v>
      </c>
      <c r="L599">
        <v>3.5129999999999999</v>
      </c>
      <c r="M599">
        <v>1</v>
      </c>
      <c r="N599" t="s">
        <v>10019</v>
      </c>
      <c r="O599" t="str">
        <f>HYPERLINK("Solo2\marker_125_750832.png", "Ver Imagen")</f>
        <v>Ver Imagen</v>
      </c>
      <c r="P599" t="str">
        <f>HYPERLINK("NO\A-490\A-490__313.png", "Ver Imagen")</f>
        <v>Ver Imagen</v>
      </c>
    </row>
    <row r="600" spans="1:16" x14ac:dyDescent="0.25">
      <c r="A600">
        <v>4913</v>
      </c>
      <c r="B600" t="s">
        <v>9831</v>
      </c>
      <c r="C600">
        <v>37.4751279424</v>
      </c>
      <c r="D600">
        <v>-7.19904321954</v>
      </c>
      <c r="E600">
        <v>2</v>
      </c>
      <c r="F600">
        <v>3</v>
      </c>
      <c r="H600">
        <v>3</v>
      </c>
      <c r="I600">
        <v>3</v>
      </c>
      <c r="J600" t="s">
        <v>8005</v>
      </c>
      <c r="K600">
        <v>3</v>
      </c>
      <c r="L600">
        <v>2.0840000000000001</v>
      </c>
      <c r="M600">
        <v>1</v>
      </c>
      <c r="N600" t="s">
        <v>10017</v>
      </c>
      <c r="O600" t="str">
        <f>HYPERLINK("Solo2\marker_287_751295.png", "Ver Imagen")</f>
        <v>Ver Imagen</v>
      </c>
      <c r="P600" t="str">
        <f>HYPERLINK("NO\A-490\A-490__332.png", "Ver Imagen")</f>
        <v>Ver Imagen</v>
      </c>
    </row>
    <row r="601" spans="1:16" x14ac:dyDescent="0.25">
      <c r="A601">
        <v>4914</v>
      </c>
      <c r="B601" t="s">
        <v>9833</v>
      </c>
      <c r="C601">
        <v>37.475245038300002</v>
      </c>
      <c r="D601">
        <v>-7.1993097345899999</v>
      </c>
      <c r="E601">
        <v>2</v>
      </c>
      <c r="F601">
        <v>3</v>
      </c>
      <c r="H601">
        <v>2</v>
      </c>
      <c r="I601">
        <v>2</v>
      </c>
      <c r="J601" t="s">
        <v>8005</v>
      </c>
      <c r="K601">
        <v>2</v>
      </c>
      <c r="L601">
        <v>2.5329999999999999</v>
      </c>
      <c r="M601">
        <v>1</v>
      </c>
      <c r="N601" t="s">
        <v>10018</v>
      </c>
      <c r="O601" t="str">
        <f>HYPERLINK("Solo2\marker_417_751317.png", "Ver Imagen")</f>
        <v>Ver Imagen</v>
      </c>
      <c r="P601" t="str">
        <f>HYPERLINK("NO\A-490\A-490__333.png", "Ver Imagen")</f>
        <v>Ver Imagen</v>
      </c>
    </row>
    <row r="602" spans="1:16" x14ac:dyDescent="0.25">
      <c r="A602">
        <v>4917</v>
      </c>
      <c r="B602" t="s">
        <v>9839</v>
      </c>
      <c r="C602">
        <v>37.475633336500003</v>
      </c>
      <c r="D602">
        <v>-7.2002062167099998</v>
      </c>
      <c r="E602">
        <v>2</v>
      </c>
      <c r="F602">
        <v>4</v>
      </c>
      <c r="H602">
        <v>3</v>
      </c>
      <c r="I602">
        <v>3</v>
      </c>
      <c r="J602" t="s">
        <v>8005</v>
      </c>
      <c r="K602">
        <v>3</v>
      </c>
      <c r="L602">
        <v>2.1240000000000001</v>
      </c>
      <c r="M602">
        <v>1</v>
      </c>
      <c r="N602" t="s">
        <v>10017</v>
      </c>
      <c r="O602" t="str">
        <f>HYPERLINK("Solo2\marker_399_751429.png", "Ver Imagen")</f>
        <v>Ver Imagen</v>
      </c>
      <c r="P602" t="str">
        <f>HYPERLINK("NE\A-490\A-490__337.png", "Ver Imagen")</f>
        <v>Ver Imagen</v>
      </c>
    </row>
    <row r="603" spans="1:16" x14ac:dyDescent="0.25">
      <c r="A603">
        <v>4918</v>
      </c>
      <c r="B603" t="s">
        <v>9841</v>
      </c>
      <c r="C603">
        <v>37.475731765799999</v>
      </c>
      <c r="D603">
        <v>-7.2004369858499997</v>
      </c>
      <c r="E603">
        <v>2</v>
      </c>
      <c r="F603">
        <v>3</v>
      </c>
      <c r="H603">
        <v>3</v>
      </c>
      <c r="I603">
        <v>3</v>
      </c>
      <c r="J603" t="s">
        <v>8005</v>
      </c>
      <c r="K603">
        <v>3</v>
      </c>
      <c r="L603">
        <v>2.2429999999999999</v>
      </c>
      <c r="M603">
        <v>1</v>
      </c>
      <c r="N603" t="s">
        <v>10017</v>
      </c>
      <c r="O603" t="str">
        <f>HYPERLINK("Solo2\marker_629_751453.png", "Ver Imagen")</f>
        <v>Ver Imagen</v>
      </c>
      <c r="P603" t="str">
        <f>HYPERLINK("NO\A-490\A-490__338.png", "Ver Imagen")</f>
        <v>Ver Imagen</v>
      </c>
    </row>
    <row r="604" spans="1:16" x14ac:dyDescent="0.25">
      <c r="A604">
        <v>4923</v>
      </c>
      <c r="B604" t="s">
        <v>9851</v>
      </c>
      <c r="C604">
        <v>37.476226089999997</v>
      </c>
      <c r="D604">
        <v>-7.2015869737699996</v>
      </c>
      <c r="E604">
        <v>1</v>
      </c>
      <c r="F604">
        <v>2</v>
      </c>
      <c r="H604">
        <v>1</v>
      </c>
      <c r="I604">
        <v>1</v>
      </c>
      <c r="J604" t="s">
        <v>8005</v>
      </c>
      <c r="K604">
        <v>1</v>
      </c>
      <c r="L604">
        <v>2.0649999999999999</v>
      </c>
      <c r="M604">
        <v>1</v>
      </c>
      <c r="N604" t="s">
        <v>10017</v>
      </c>
      <c r="O604" t="str">
        <f>HYPERLINK("Solo2\marker_114_751549.png", "Ver Imagen")</f>
        <v>Ver Imagen</v>
      </c>
      <c r="P604" t="str">
        <f>HYPERLINK("NE\A-490\A-490__343.png", "Ver Imagen")</f>
        <v>Ver Imagen</v>
      </c>
    </row>
    <row r="605" spans="1:16" x14ac:dyDescent="0.25">
      <c r="A605">
        <v>4938</v>
      </c>
      <c r="B605" t="s">
        <v>9881</v>
      </c>
      <c r="C605">
        <v>37.284468761900001</v>
      </c>
      <c r="D605">
        <v>-7.0385823216899999</v>
      </c>
      <c r="E605">
        <v>1</v>
      </c>
      <c r="F605">
        <v>1</v>
      </c>
      <c r="H605">
        <v>1</v>
      </c>
      <c r="I605">
        <v>1</v>
      </c>
      <c r="J605" t="s">
        <v>8005</v>
      </c>
      <c r="K605">
        <v>1</v>
      </c>
      <c r="L605">
        <v>2.3639999999999999</v>
      </c>
      <c r="M605">
        <v>1</v>
      </c>
      <c r="N605" t="s">
        <v>10018</v>
      </c>
      <c r="O605" t="str">
        <f>HYPERLINK("Solo2\marker_396_836086.png", "Ver Imagen")</f>
        <v>Ver Imagen</v>
      </c>
      <c r="P605" t="str">
        <f>HYPERLINK("SE\A-492\A-492__249.png", "Ver Imagen")</f>
        <v>Ver Imagen</v>
      </c>
    </row>
    <row r="606" spans="1:16" x14ac:dyDescent="0.25">
      <c r="A606">
        <v>4943</v>
      </c>
      <c r="B606" t="s">
        <v>9891</v>
      </c>
      <c r="C606">
        <v>37.465349991099998</v>
      </c>
      <c r="D606">
        <v>-7.1222822920300004</v>
      </c>
      <c r="E606">
        <v>3</v>
      </c>
      <c r="F606">
        <v>2</v>
      </c>
      <c r="H606">
        <v>1</v>
      </c>
      <c r="I606">
        <v>2</v>
      </c>
      <c r="J606" t="s">
        <v>8005</v>
      </c>
      <c r="K606">
        <v>2</v>
      </c>
      <c r="L606">
        <v>2.5840000000000001</v>
      </c>
      <c r="M606">
        <v>1</v>
      </c>
      <c r="N606" t="s">
        <v>10019</v>
      </c>
      <c r="O606" t="str">
        <f>HYPERLINK("Solo2\marker_433_895376.png", "Ver Imagen")</f>
        <v>Ver Imagen</v>
      </c>
      <c r="P606" t="str">
        <f>HYPERLINK("NE\A-495R\A-495R__120.png", "Ver Imagen")</f>
        <v>Ver Imagen</v>
      </c>
    </row>
    <row r="607" spans="1:16" x14ac:dyDescent="0.25">
      <c r="A607">
        <v>4945</v>
      </c>
      <c r="B607" t="s">
        <v>9895</v>
      </c>
      <c r="C607">
        <v>37.465137242499999</v>
      </c>
      <c r="D607">
        <v>-7.1215344742899997</v>
      </c>
      <c r="E607">
        <v>2</v>
      </c>
      <c r="F607">
        <v>1</v>
      </c>
      <c r="H607">
        <v>1</v>
      </c>
      <c r="I607">
        <v>1</v>
      </c>
      <c r="J607" t="s">
        <v>8005</v>
      </c>
      <c r="K607">
        <v>1</v>
      </c>
      <c r="L607">
        <v>1.8839999999999999</v>
      </c>
      <c r="M607">
        <v>1</v>
      </c>
      <c r="O607" t="str">
        <f>HYPERLINK("Solo2\marker_767_895431.png", "Ver Imagen")</f>
        <v>Ver Imagen</v>
      </c>
      <c r="P607" t="str">
        <f>HYPERLINK("NE\A-495R\A-495R__117.png", "Ver Imagen")</f>
        <v>Ver Imagen</v>
      </c>
    </row>
    <row r="608" spans="1:16" x14ac:dyDescent="0.25">
      <c r="A608">
        <v>4950</v>
      </c>
      <c r="B608" t="s">
        <v>9903</v>
      </c>
      <c r="C608">
        <v>37.217238311999999</v>
      </c>
      <c r="D608">
        <v>-7.1065063283300001</v>
      </c>
      <c r="F608">
        <v>2</v>
      </c>
      <c r="G608">
        <v>2</v>
      </c>
      <c r="H608">
        <v>1</v>
      </c>
      <c r="I608">
        <v>1</v>
      </c>
      <c r="J608" t="s">
        <v>8052</v>
      </c>
      <c r="K608">
        <v>1</v>
      </c>
      <c r="L608">
        <v>1.554</v>
      </c>
      <c r="M608">
        <v>1</v>
      </c>
      <c r="N608" t="s">
        <v>10018</v>
      </c>
      <c r="O608" t="str">
        <f>HYPERLINK("Solo2\marker_205_957264.png", "Ver Imagen")</f>
        <v>Ver Imagen</v>
      </c>
      <c r="P608" t="str">
        <f>HYPERLINK("SO\A-5052\A-5052__78.png", "Ver Imagen")</f>
        <v>Ver Imagen</v>
      </c>
    </row>
    <row r="609" spans="1:16" x14ac:dyDescent="0.25">
      <c r="A609">
        <v>4959</v>
      </c>
      <c r="B609" t="s">
        <v>9921</v>
      </c>
      <c r="C609">
        <v>37.196731131500002</v>
      </c>
      <c r="D609">
        <v>-7.0048245790900001</v>
      </c>
      <c r="E609">
        <v>2</v>
      </c>
      <c r="F609">
        <v>2</v>
      </c>
      <c r="H609">
        <v>1</v>
      </c>
      <c r="I609">
        <v>1</v>
      </c>
      <c r="J609" t="s">
        <v>8005</v>
      </c>
      <c r="K609">
        <v>1.5</v>
      </c>
      <c r="L609">
        <v>1.387</v>
      </c>
      <c r="M609">
        <v>1</v>
      </c>
      <c r="N609" t="s">
        <v>10019</v>
      </c>
      <c r="O609" t="str">
        <f>HYPERLINK("Solo2\marker_676_963699.png", "Ver Imagen")</f>
        <v>Ver Imagen</v>
      </c>
      <c r="P609" t="str">
        <f>HYPERLINK("SE\A-5052\A-5052__502.png", "Ver Imagen")</f>
        <v>Ver Imagen</v>
      </c>
    </row>
    <row r="610" spans="1:16" x14ac:dyDescent="0.25">
      <c r="A610">
        <v>4965</v>
      </c>
      <c r="B610" t="s">
        <v>9933</v>
      </c>
      <c r="C610">
        <v>37.442446825499999</v>
      </c>
      <c r="D610">
        <v>-7.0930139780400001</v>
      </c>
      <c r="E610">
        <v>3</v>
      </c>
      <c r="F610">
        <v>3</v>
      </c>
      <c r="H610">
        <v>2</v>
      </c>
      <c r="I610">
        <v>2</v>
      </c>
      <c r="J610" t="s">
        <v>8005</v>
      </c>
      <c r="K610">
        <v>2.5</v>
      </c>
      <c r="L610">
        <v>2.6240000000000001</v>
      </c>
      <c r="M610">
        <v>1</v>
      </c>
      <c r="N610" t="s">
        <v>10018</v>
      </c>
      <c r="O610" t="str">
        <f>HYPERLINK("Solo2\marker_575_381405.png", "Ver Imagen")</f>
        <v>Ver Imagen</v>
      </c>
      <c r="P610" t="str">
        <f>HYPERLINK("NE\A-495\A-495__31.png", "Ver Imagen")</f>
        <v>Ver Imagen</v>
      </c>
    </row>
    <row r="611" spans="1:16" x14ac:dyDescent="0.25">
      <c r="A611">
        <v>4978</v>
      </c>
      <c r="B611" t="s">
        <v>9959</v>
      </c>
      <c r="C611">
        <v>37.257277080999998</v>
      </c>
      <c r="D611">
        <v>-7.1193322461299999</v>
      </c>
      <c r="F611">
        <v>3</v>
      </c>
      <c r="G611">
        <v>4</v>
      </c>
      <c r="H611">
        <v>3</v>
      </c>
      <c r="I611">
        <v>2</v>
      </c>
      <c r="J611" t="s">
        <v>8052</v>
      </c>
      <c r="K611">
        <v>2</v>
      </c>
      <c r="L611">
        <v>2.5049999999999999</v>
      </c>
      <c r="M611">
        <v>1</v>
      </c>
      <c r="N611" t="s">
        <v>10019</v>
      </c>
      <c r="O611" t="str">
        <f>HYPERLINK("Solo2\marker_731_388817.png", "Ver Imagen")</f>
        <v>Ver Imagen</v>
      </c>
      <c r="P611" t="str">
        <f>HYPERLINK("SO\A-5058\A-5058__426.png", "Ver Imagen")</f>
        <v>Ver Imagen</v>
      </c>
    </row>
    <row r="612" spans="1:16" x14ac:dyDescent="0.25">
      <c r="A612">
        <v>4986</v>
      </c>
      <c r="B612" t="s">
        <v>9975</v>
      </c>
      <c r="C612">
        <v>37.185858127400003</v>
      </c>
      <c r="D612">
        <v>-6.9800413534899999</v>
      </c>
      <c r="F612">
        <v>4</v>
      </c>
      <c r="G612">
        <v>4</v>
      </c>
      <c r="H612">
        <v>3</v>
      </c>
      <c r="I612">
        <v>4</v>
      </c>
      <c r="J612" t="s">
        <v>8005</v>
      </c>
      <c r="K612">
        <v>4</v>
      </c>
      <c r="L612">
        <v>3.468</v>
      </c>
      <c r="M612">
        <v>1</v>
      </c>
      <c r="N612" t="s">
        <v>10019</v>
      </c>
      <c r="O612" t="str">
        <f>HYPERLINK("Solo2\marker_513_368591.png", "Ver Imagen")</f>
        <v>Ver Imagen</v>
      </c>
      <c r="P612" t="str">
        <f>HYPERLINK("SE\A-497\A-497__758.png", "Ver Imagen")</f>
        <v>Ver Imagen</v>
      </c>
    </row>
    <row r="613" spans="1:16" x14ac:dyDescent="0.25">
      <c r="A613">
        <v>4991</v>
      </c>
      <c r="B613" t="s">
        <v>9985</v>
      </c>
      <c r="C613">
        <v>37.202367392600003</v>
      </c>
      <c r="D613">
        <v>-6.9978981120399997</v>
      </c>
      <c r="F613">
        <v>4</v>
      </c>
      <c r="G613">
        <v>5</v>
      </c>
      <c r="H613">
        <v>3</v>
      </c>
      <c r="I613">
        <v>3</v>
      </c>
      <c r="J613" t="s">
        <v>8052</v>
      </c>
      <c r="K613">
        <v>3</v>
      </c>
      <c r="L613">
        <v>3.516</v>
      </c>
      <c r="M613">
        <v>1</v>
      </c>
      <c r="N613" t="s">
        <v>10017</v>
      </c>
      <c r="O613" t="str">
        <f>HYPERLINK("Solo2\marker_229_371537.png", "Ver Imagen")</f>
        <v>Ver Imagen</v>
      </c>
      <c r="P613" t="str">
        <f>HYPERLINK("SE\A-497\A-497__619.png", "Ver Imagen")</f>
        <v>Ver Imagen</v>
      </c>
    </row>
    <row r="614" spans="1:16" x14ac:dyDescent="0.25">
      <c r="A614">
        <v>4993</v>
      </c>
      <c r="B614" t="s">
        <v>9989</v>
      </c>
      <c r="C614">
        <v>37.245697334799999</v>
      </c>
      <c r="D614">
        <v>-7.0184614640399996</v>
      </c>
      <c r="E614">
        <v>3</v>
      </c>
      <c r="F614">
        <v>4</v>
      </c>
      <c r="H614">
        <v>3</v>
      </c>
      <c r="I614">
        <v>3</v>
      </c>
      <c r="J614" t="s">
        <v>8005</v>
      </c>
      <c r="K614">
        <v>3</v>
      </c>
      <c r="L614">
        <v>3.649</v>
      </c>
      <c r="M614">
        <v>1</v>
      </c>
      <c r="N614" t="s">
        <v>10017</v>
      </c>
      <c r="O614" t="str">
        <f>HYPERLINK("Solo2\marker_160_361918.png", "Ver Imagen")</f>
        <v>Ver Imagen</v>
      </c>
      <c r="P614" t="str">
        <f>HYPERLINK("SE\A-497_2C\A-497_2C__319.png", "Ver Imagen")</f>
        <v>Ver Imagen</v>
      </c>
    </row>
    <row r="615" spans="1:16" x14ac:dyDescent="0.25">
      <c r="A615">
        <v>4994</v>
      </c>
      <c r="B615" t="s">
        <v>9991</v>
      </c>
      <c r="C615">
        <v>37.495195432099997</v>
      </c>
      <c r="D615">
        <v>-7.2676600230000004</v>
      </c>
      <c r="E615">
        <v>3</v>
      </c>
      <c r="H615">
        <v>2</v>
      </c>
      <c r="I615">
        <v>3</v>
      </c>
      <c r="J615" t="s">
        <v>8005</v>
      </c>
      <c r="K615">
        <v>3</v>
      </c>
      <c r="L615">
        <v>2.3050000000000002</v>
      </c>
      <c r="M615">
        <v>1</v>
      </c>
      <c r="N615" t="s">
        <v>10019</v>
      </c>
      <c r="O615" t="str">
        <f>HYPERLINK("Solo2\marker_656_799839.png", "Ver Imagen")</f>
        <v>Ver Imagen</v>
      </c>
      <c r="P615" t="str">
        <f>HYPERLINK("NO\A-499\A-499__81.png", "Ver Imagen")</f>
        <v>Ver Imagen</v>
      </c>
    </row>
    <row r="616" spans="1:16" x14ac:dyDescent="0.25">
      <c r="A616">
        <v>1</v>
      </c>
      <c r="B616" t="s">
        <v>13</v>
      </c>
      <c r="C616">
        <v>37.490584882100002</v>
      </c>
      <c r="D616">
        <v>-7.2536924738200002</v>
      </c>
      <c r="E616">
        <v>1</v>
      </c>
      <c r="F616">
        <v>1</v>
      </c>
      <c r="G616">
        <v>1</v>
      </c>
      <c r="J616" t="s">
        <v>15</v>
      </c>
      <c r="K616">
        <v>1</v>
      </c>
      <c r="L616">
        <v>1.0189999999999999</v>
      </c>
      <c r="M616">
        <v>0</v>
      </c>
      <c r="N616" t="s">
        <v>10019</v>
      </c>
      <c r="O616" t="str">
        <f>HYPERLINK("1\0\marker_306_819233.png", "Ver Imagen")</f>
        <v>Ver Imagen</v>
      </c>
      <c r="P616" t="str">
        <f>HYPERLINK("NO\A-490\A-490__564.png", "Ver Imagen")</f>
        <v>Ver Imagen</v>
      </c>
    </row>
    <row r="617" spans="1:16" x14ac:dyDescent="0.25">
      <c r="A617">
        <v>2</v>
      </c>
      <c r="B617" t="s">
        <v>16</v>
      </c>
      <c r="C617">
        <v>37.490473999700001</v>
      </c>
      <c r="D617">
        <v>-7.2549748260299998</v>
      </c>
      <c r="E617">
        <v>1</v>
      </c>
      <c r="F617">
        <v>1</v>
      </c>
      <c r="G617">
        <v>1</v>
      </c>
      <c r="J617" t="s">
        <v>15</v>
      </c>
      <c r="K617">
        <v>1</v>
      </c>
      <c r="L617">
        <v>1</v>
      </c>
      <c r="M617">
        <v>0</v>
      </c>
      <c r="N617" t="s">
        <v>10019</v>
      </c>
      <c r="O617" t="str">
        <f>HYPERLINK("1\0\marker_718_819307.png", "Ver Imagen")</f>
        <v>Ver Imagen</v>
      </c>
      <c r="P617" t="str">
        <f>HYPERLINK("NO\A-490\A-490__569.png", "Ver Imagen")</f>
        <v>Ver Imagen</v>
      </c>
    </row>
    <row r="618" spans="1:16" x14ac:dyDescent="0.25">
      <c r="A618">
        <v>3</v>
      </c>
      <c r="B618" t="s">
        <v>18</v>
      </c>
      <c r="C618">
        <v>37.490408225899998</v>
      </c>
      <c r="D618">
        <v>-7.2557441266199998</v>
      </c>
      <c r="E618">
        <v>1</v>
      </c>
      <c r="F618">
        <v>1</v>
      </c>
      <c r="G618">
        <v>1</v>
      </c>
      <c r="J618" t="s">
        <v>15</v>
      </c>
      <c r="K618">
        <v>1</v>
      </c>
      <c r="L618">
        <v>1.1259999999999999</v>
      </c>
      <c r="M618">
        <v>0</v>
      </c>
      <c r="N618" t="s">
        <v>10019</v>
      </c>
      <c r="O618" t="str">
        <f>HYPERLINK("1\0\marker_478_819358.png", "Ver Imagen")</f>
        <v>Ver Imagen</v>
      </c>
      <c r="P618" t="str">
        <f>HYPERLINK("NO\A-490\A-490__572.png", "Ver Imagen")</f>
        <v>Ver Imagen</v>
      </c>
    </row>
    <row r="619" spans="1:16" x14ac:dyDescent="0.25">
      <c r="A619">
        <v>4</v>
      </c>
      <c r="B619" t="s">
        <v>20</v>
      </c>
      <c r="C619">
        <v>37.4902857716</v>
      </c>
      <c r="D619">
        <v>-7.2570025382000001</v>
      </c>
      <c r="E619">
        <v>1</v>
      </c>
      <c r="F619">
        <v>1</v>
      </c>
      <c r="G619">
        <v>1</v>
      </c>
      <c r="J619" t="s">
        <v>15</v>
      </c>
      <c r="K619">
        <v>1</v>
      </c>
      <c r="L619">
        <v>1</v>
      </c>
      <c r="M619">
        <v>0</v>
      </c>
      <c r="N619" t="s">
        <v>10019</v>
      </c>
      <c r="O619" t="str">
        <f>HYPERLINK("1\0\marker_851_819431.png", "Ver Imagen")</f>
        <v>Ver Imagen</v>
      </c>
      <c r="P619" t="str">
        <f>HYPERLINK("NO\A-490\A-490__577.png", "Ver Imagen")</f>
        <v>Ver Imagen</v>
      </c>
    </row>
    <row r="620" spans="1:16" x14ac:dyDescent="0.25">
      <c r="A620">
        <v>5</v>
      </c>
      <c r="B620" t="s">
        <v>22</v>
      </c>
      <c r="C620">
        <v>37.4901839678</v>
      </c>
      <c r="D620">
        <v>-7.2577493328299996</v>
      </c>
      <c r="E620">
        <v>1</v>
      </c>
      <c r="F620">
        <v>1</v>
      </c>
      <c r="G620">
        <v>1</v>
      </c>
      <c r="J620" t="s">
        <v>15</v>
      </c>
      <c r="K620">
        <v>1</v>
      </c>
      <c r="L620">
        <v>1.0649999999999999</v>
      </c>
      <c r="M620">
        <v>0</v>
      </c>
      <c r="N620" t="s">
        <v>10019</v>
      </c>
      <c r="O620" t="str">
        <f>HYPERLINK("1\0\marker_387_819473.png", "Ver Imagen")</f>
        <v>Ver Imagen</v>
      </c>
      <c r="P620" t="str">
        <f>HYPERLINK("NO\A-490\A-490__580.png", "Ver Imagen")</f>
        <v>Ver Imagen</v>
      </c>
    </row>
    <row r="621" spans="1:16" x14ac:dyDescent="0.25">
      <c r="A621">
        <v>6</v>
      </c>
      <c r="B621" t="s">
        <v>24</v>
      </c>
      <c r="C621">
        <v>37.490121516599999</v>
      </c>
      <c r="D621">
        <v>-7.2582315820699996</v>
      </c>
      <c r="E621">
        <v>1</v>
      </c>
      <c r="F621">
        <v>1</v>
      </c>
      <c r="G621">
        <v>1</v>
      </c>
      <c r="J621" t="s">
        <v>15</v>
      </c>
      <c r="K621">
        <v>1</v>
      </c>
      <c r="L621">
        <v>1.4950000000000001</v>
      </c>
      <c r="M621">
        <v>0</v>
      </c>
      <c r="N621" t="s">
        <v>10019</v>
      </c>
      <c r="O621" t="str">
        <f>HYPERLINK("1\0\marker_683_819501.png", "Ver Imagen")</f>
        <v>Ver Imagen</v>
      </c>
      <c r="P621" t="str">
        <f>HYPERLINK("NO\A-490\A-490__582.png", "Ver Imagen")</f>
        <v>Ver Imagen</v>
      </c>
    </row>
    <row r="622" spans="1:16" x14ac:dyDescent="0.25">
      <c r="A622">
        <v>7</v>
      </c>
      <c r="B622" t="s">
        <v>26</v>
      </c>
      <c r="C622">
        <v>37.493912071799997</v>
      </c>
      <c r="D622">
        <v>-7.2652538047700004</v>
      </c>
      <c r="E622">
        <v>1</v>
      </c>
      <c r="F622">
        <v>1</v>
      </c>
      <c r="G622">
        <v>1</v>
      </c>
      <c r="J622" t="s">
        <v>15</v>
      </c>
      <c r="K622">
        <v>1</v>
      </c>
      <c r="L622">
        <v>1</v>
      </c>
      <c r="M622">
        <v>0</v>
      </c>
      <c r="N622" t="s">
        <v>10019</v>
      </c>
      <c r="O622" t="str">
        <f>HYPERLINK("1\0\marker_303_820275.png", "Ver Imagen")</f>
        <v>Ver Imagen</v>
      </c>
      <c r="P622" t="str">
        <f>HYPERLINK("NO\A-490\A-490__617.png", "Ver Imagen")</f>
        <v>Ver Imagen</v>
      </c>
    </row>
    <row r="623" spans="1:16" x14ac:dyDescent="0.25">
      <c r="A623">
        <v>8</v>
      </c>
      <c r="B623" t="s">
        <v>28</v>
      </c>
      <c r="C623">
        <v>37.465062512000003</v>
      </c>
      <c r="D623">
        <v>-7.1213172741399999</v>
      </c>
      <c r="E623">
        <v>1</v>
      </c>
      <c r="F623">
        <v>1</v>
      </c>
      <c r="G623">
        <v>1</v>
      </c>
      <c r="J623" t="s">
        <v>15</v>
      </c>
      <c r="K623">
        <v>1</v>
      </c>
      <c r="L623">
        <v>1.0880000000000001</v>
      </c>
      <c r="M623">
        <v>0</v>
      </c>
      <c r="N623" t="s">
        <v>10019</v>
      </c>
      <c r="O623" t="str">
        <f>HYPERLINK("1\0\marker_263_895446.png", "Ver Imagen")</f>
        <v>Ver Imagen</v>
      </c>
      <c r="P623" t="str">
        <f>HYPERLINK("NE\A-495R\A-495R__116.png", "Ver Imagen")</f>
        <v>Ver Imagen</v>
      </c>
    </row>
    <row r="624" spans="1:16" x14ac:dyDescent="0.25">
      <c r="A624">
        <v>9</v>
      </c>
      <c r="B624" t="s">
        <v>30</v>
      </c>
      <c r="C624">
        <v>37.464905177799999</v>
      </c>
      <c r="D624">
        <v>-7.1208362617700001</v>
      </c>
      <c r="E624">
        <v>1</v>
      </c>
      <c r="F624">
        <v>1</v>
      </c>
      <c r="G624">
        <v>1</v>
      </c>
      <c r="J624" t="s">
        <v>15</v>
      </c>
      <c r="K624">
        <v>1</v>
      </c>
      <c r="L624">
        <v>1</v>
      </c>
      <c r="M624">
        <v>0</v>
      </c>
      <c r="N624" t="s">
        <v>10019</v>
      </c>
      <c r="O624" t="str">
        <f>HYPERLINK("1\0\marker_846_895649.png", "Ver Imagen")</f>
        <v>Ver Imagen</v>
      </c>
      <c r="P624" t="str">
        <f>HYPERLINK("NE\A-495R\A-495R__114.png", "Ver Imagen")</f>
        <v>Ver Imagen</v>
      </c>
    </row>
    <row r="625" spans="1:16" x14ac:dyDescent="0.25">
      <c r="A625">
        <v>13</v>
      </c>
      <c r="B625" t="s">
        <v>38</v>
      </c>
      <c r="C625">
        <v>37.464591632500003</v>
      </c>
      <c r="D625">
        <v>-7.1198585737300002</v>
      </c>
      <c r="E625">
        <v>1</v>
      </c>
      <c r="F625">
        <v>1</v>
      </c>
      <c r="G625">
        <v>1</v>
      </c>
      <c r="J625" t="s">
        <v>15</v>
      </c>
      <c r="K625">
        <v>1</v>
      </c>
      <c r="L625">
        <v>1</v>
      </c>
      <c r="M625">
        <v>0</v>
      </c>
      <c r="N625" t="s">
        <v>10019</v>
      </c>
      <c r="O625" t="str">
        <f>HYPERLINK("1\0\marker_787_895727.png", "Ver Imagen")</f>
        <v>Ver Imagen</v>
      </c>
      <c r="P625" t="str">
        <f>HYPERLINK("NE\A-495R\A-495R__110.png", "Ver Imagen")</f>
        <v>Ver Imagen</v>
      </c>
    </row>
    <row r="626" spans="1:16" x14ac:dyDescent="0.25">
      <c r="A626">
        <v>14</v>
      </c>
      <c r="B626" t="s">
        <v>40</v>
      </c>
      <c r="C626">
        <v>37.4645183226</v>
      </c>
      <c r="D626">
        <v>-7.11964083234</v>
      </c>
      <c r="E626">
        <v>1</v>
      </c>
      <c r="F626">
        <v>1</v>
      </c>
      <c r="G626">
        <v>1</v>
      </c>
      <c r="J626" t="s">
        <v>15</v>
      </c>
      <c r="K626">
        <v>1</v>
      </c>
      <c r="L626">
        <v>1</v>
      </c>
      <c r="M626">
        <v>0</v>
      </c>
      <c r="N626" t="s">
        <v>10019</v>
      </c>
      <c r="O626" t="str">
        <f>HYPERLINK("1\0\marker_979_895762.png", "Ver Imagen")</f>
        <v>Ver Imagen</v>
      </c>
      <c r="P626" t="str">
        <f>HYPERLINK("NE\A-495R\A-495R__109.png", "Ver Imagen")</f>
        <v>Ver Imagen</v>
      </c>
    </row>
    <row r="627" spans="1:16" x14ac:dyDescent="0.25">
      <c r="A627">
        <v>15</v>
      </c>
      <c r="B627" t="s">
        <v>42</v>
      </c>
      <c r="C627">
        <v>37.213134241799999</v>
      </c>
      <c r="D627">
        <v>-7.0624066620499999</v>
      </c>
      <c r="E627">
        <v>1</v>
      </c>
      <c r="F627">
        <v>1</v>
      </c>
      <c r="G627">
        <v>1</v>
      </c>
      <c r="J627" t="s">
        <v>15</v>
      </c>
      <c r="K627">
        <v>1</v>
      </c>
      <c r="L627">
        <v>1.24</v>
      </c>
      <c r="M627">
        <v>0</v>
      </c>
      <c r="N627" t="s">
        <v>10019</v>
      </c>
      <c r="O627" t="str">
        <f>HYPERLINK("1\0\marker_728_960145.png", "Ver Imagen")</f>
        <v>Ver Imagen</v>
      </c>
      <c r="P627" t="str">
        <f>HYPERLINK("SE\A-5052\A-5052__255.png", "Ver Imagen")</f>
        <v>Ver Imagen</v>
      </c>
    </row>
    <row r="628" spans="1:16" x14ac:dyDescent="0.25">
      <c r="A628">
        <v>17</v>
      </c>
      <c r="B628" t="s">
        <v>46</v>
      </c>
      <c r="C628">
        <v>37.203017422499997</v>
      </c>
      <c r="D628">
        <v>-7.0235748525400004</v>
      </c>
      <c r="E628">
        <v>1</v>
      </c>
      <c r="F628">
        <v>1</v>
      </c>
      <c r="G628">
        <v>1</v>
      </c>
      <c r="J628" t="s">
        <v>15</v>
      </c>
      <c r="K628">
        <v>1</v>
      </c>
      <c r="L628">
        <v>1.071</v>
      </c>
      <c r="M628">
        <v>0</v>
      </c>
      <c r="N628" t="s">
        <v>10019</v>
      </c>
      <c r="O628" t="str">
        <f>HYPERLINK("1\0\marker_870_962882.png", "Ver Imagen")</f>
        <v>Ver Imagen</v>
      </c>
      <c r="P628" t="str">
        <f>HYPERLINK("SE\A-5052\A-5052__421.png", "Ver Imagen")</f>
        <v>Ver Imagen</v>
      </c>
    </row>
    <row r="629" spans="1:16" x14ac:dyDescent="0.25">
      <c r="A629">
        <v>18</v>
      </c>
      <c r="B629" t="s">
        <v>48</v>
      </c>
      <c r="C629">
        <v>37.202941772599999</v>
      </c>
      <c r="D629">
        <v>-7.0233800621500002</v>
      </c>
      <c r="E629">
        <v>1</v>
      </c>
      <c r="F629">
        <v>1</v>
      </c>
      <c r="G629">
        <v>1</v>
      </c>
      <c r="J629" t="s">
        <v>15</v>
      </c>
      <c r="K629">
        <v>1</v>
      </c>
      <c r="L629">
        <v>1.08</v>
      </c>
      <c r="M629">
        <v>0</v>
      </c>
      <c r="N629" t="s">
        <v>10019</v>
      </c>
      <c r="O629" t="str">
        <f>HYPERLINK("1\0\marker_828_962895.png", "Ver Imagen")</f>
        <v>Ver Imagen</v>
      </c>
      <c r="P629" t="str">
        <f>HYPERLINK("SE\A-5052\A-5052__422.png", "Ver Imagen")</f>
        <v>Ver Imagen</v>
      </c>
    </row>
    <row r="630" spans="1:16" x14ac:dyDescent="0.25">
      <c r="A630">
        <v>19</v>
      </c>
      <c r="B630" t="s">
        <v>50</v>
      </c>
      <c r="C630">
        <v>37.202768263199999</v>
      </c>
      <c r="D630">
        <v>-7.02290963999</v>
      </c>
      <c r="E630">
        <v>1</v>
      </c>
      <c r="F630">
        <v>1</v>
      </c>
      <c r="G630">
        <v>1</v>
      </c>
      <c r="J630" t="s">
        <v>15</v>
      </c>
      <c r="K630">
        <v>1</v>
      </c>
      <c r="L630">
        <v>1.091</v>
      </c>
      <c r="M630">
        <v>0</v>
      </c>
      <c r="N630" t="s">
        <v>10019</v>
      </c>
      <c r="O630" t="str">
        <f>HYPERLINK("1\0\marker_322_962914.png", "Ver Imagen")</f>
        <v>Ver Imagen</v>
      </c>
      <c r="P630" t="str">
        <f>HYPERLINK("SE\A-5052\A-5052__424.png", "Ver Imagen")</f>
        <v>Ver Imagen</v>
      </c>
    </row>
    <row r="631" spans="1:16" x14ac:dyDescent="0.25">
      <c r="A631">
        <v>20</v>
      </c>
      <c r="B631" t="s">
        <v>52</v>
      </c>
      <c r="C631">
        <v>37.202679419900001</v>
      </c>
      <c r="D631">
        <v>-7.0226752106700001</v>
      </c>
      <c r="E631">
        <v>1</v>
      </c>
      <c r="F631">
        <v>1</v>
      </c>
      <c r="G631">
        <v>1</v>
      </c>
      <c r="J631" t="s">
        <v>15</v>
      </c>
      <c r="K631">
        <v>1</v>
      </c>
      <c r="L631">
        <v>1.08</v>
      </c>
      <c r="M631">
        <v>0</v>
      </c>
      <c r="N631" t="s">
        <v>10019</v>
      </c>
      <c r="O631" t="str">
        <f>HYPERLINK("1\0\marker_362_962923.png", "Ver Imagen")</f>
        <v>Ver Imagen</v>
      </c>
      <c r="P631" t="str">
        <f>HYPERLINK("SE\A-5052\A-5052__425.png", "Ver Imagen")</f>
        <v>Ver Imagen</v>
      </c>
    </row>
    <row r="632" spans="1:16" x14ac:dyDescent="0.25">
      <c r="A632">
        <v>21</v>
      </c>
      <c r="B632" t="s">
        <v>54</v>
      </c>
      <c r="C632">
        <v>37.2025916403</v>
      </c>
      <c r="D632">
        <v>-7.0224453321000002</v>
      </c>
      <c r="E632">
        <v>1</v>
      </c>
      <c r="F632">
        <v>1</v>
      </c>
      <c r="G632">
        <v>1</v>
      </c>
      <c r="J632" t="s">
        <v>15</v>
      </c>
      <c r="K632">
        <v>1</v>
      </c>
      <c r="L632">
        <v>1</v>
      </c>
      <c r="M632">
        <v>0</v>
      </c>
      <c r="N632" t="s">
        <v>10019</v>
      </c>
      <c r="O632" t="str">
        <f>HYPERLINK("1\0\marker_493_962931.png", "Ver Imagen")</f>
        <v>Ver Imagen</v>
      </c>
      <c r="P632" t="str">
        <f>HYPERLINK("SE\A-5052\A-5052__426.png", "Ver Imagen")</f>
        <v>Ver Imagen</v>
      </c>
    </row>
    <row r="633" spans="1:16" x14ac:dyDescent="0.25">
      <c r="A633">
        <v>22</v>
      </c>
      <c r="B633" t="s">
        <v>56</v>
      </c>
      <c r="C633">
        <v>37.202500742600002</v>
      </c>
      <c r="D633">
        <v>-7.0222092632099997</v>
      </c>
      <c r="E633">
        <v>1</v>
      </c>
      <c r="F633">
        <v>1</v>
      </c>
      <c r="G633">
        <v>1</v>
      </c>
      <c r="J633" t="s">
        <v>15</v>
      </c>
      <c r="K633">
        <v>1</v>
      </c>
      <c r="L633">
        <v>1.3879999999999999</v>
      </c>
      <c r="M633">
        <v>0</v>
      </c>
      <c r="N633" t="s">
        <v>10019</v>
      </c>
      <c r="O633" t="str">
        <f>HYPERLINK("1\0\marker_636_962939.png", "Ver Imagen")</f>
        <v>Ver Imagen</v>
      </c>
      <c r="P633" t="str">
        <f>HYPERLINK("SE\A-5052\A-5052__427.png", "Ver Imagen")</f>
        <v>Ver Imagen</v>
      </c>
    </row>
    <row r="634" spans="1:16" x14ac:dyDescent="0.25">
      <c r="A634">
        <v>23</v>
      </c>
      <c r="B634" t="s">
        <v>58</v>
      </c>
      <c r="C634">
        <v>37.202419817699997</v>
      </c>
      <c r="D634">
        <v>-7.0220007547799996</v>
      </c>
      <c r="E634">
        <v>1</v>
      </c>
      <c r="F634">
        <v>1</v>
      </c>
      <c r="G634">
        <v>1</v>
      </c>
      <c r="J634" t="s">
        <v>15</v>
      </c>
      <c r="K634">
        <v>1</v>
      </c>
      <c r="L634">
        <v>1.4179999999999999</v>
      </c>
      <c r="M634">
        <v>0</v>
      </c>
      <c r="N634" t="s">
        <v>10018</v>
      </c>
      <c r="O634" t="str">
        <f>HYPERLINK("1\0\marker_988_962947.png", "Ver Imagen")</f>
        <v>Ver Imagen</v>
      </c>
      <c r="P634" t="str">
        <f>HYPERLINK("SE\A-5052\A-5052__428.png", "Ver Imagen")</f>
        <v>Ver Imagen</v>
      </c>
    </row>
    <row r="635" spans="1:16" x14ac:dyDescent="0.25">
      <c r="A635">
        <v>24</v>
      </c>
      <c r="B635" t="s">
        <v>60</v>
      </c>
      <c r="C635">
        <v>37.202154107399998</v>
      </c>
      <c r="D635">
        <v>-7.0213068942200003</v>
      </c>
      <c r="E635">
        <v>1</v>
      </c>
      <c r="F635">
        <v>1</v>
      </c>
      <c r="G635">
        <v>1</v>
      </c>
      <c r="J635" t="s">
        <v>15</v>
      </c>
      <c r="K635">
        <v>1</v>
      </c>
      <c r="L635">
        <v>1.1399999999999999</v>
      </c>
      <c r="M635">
        <v>0</v>
      </c>
      <c r="N635" t="s">
        <v>10019</v>
      </c>
      <c r="O635" t="str">
        <f>HYPERLINK("1\0\marker_898_962974.png", "Ver Imagen")</f>
        <v>Ver Imagen</v>
      </c>
      <c r="P635" t="str">
        <f>HYPERLINK("SE\A-5052\A-5052__431.png", "Ver Imagen")</f>
        <v>Ver Imagen</v>
      </c>
    </row>
    <row r="636" spans="1:16" x14ac:dyDescent="0.25">
      <c r="A636">
        <v>25</v>
      </c>
      <c r="B636" t="s">
        <v>62</v>
      </c>
      <c r="C636">
        <v>37.202066352199999</v>
      </c>
      <c r="D636">
        <v>-7.02107645285</v>
      </c>
      <c r="E636">
        <v>1</v>
      </c>
      <c r="F636">
        <v>1</v>
      </c>
      <c r="G636">
        <v>1</v>
      </c>
      <c r="J636" t="s">
        <v>15</v>
      </c>
      <c r="K636">
        <v>1</v>
      </c>
      <c r="L636">
        <v>1.4550000000000001</v>
      </c>
      <c r="M636">
        <v>0</v>
      </c>
      <c r="N636" t="s">
        <v>10019</v>
      </c>
      <c r="O636" t="str">
        <f>HYPERLINK("1\0\marker_839_962996.png", "Ver Imagen")</f>
        <v>Ver Imagen</v>
      </c>
      <c r="P636" t="str">
        <f>HYPERLINK("SE\A-5052\A-5052__432.png", "Ver Imagen")</f>
        <v>Ver Imagen</v>
      </c>
    </row>
    <row r="637" spans="1:16" x14ac:dyDescent="0.25">
      <c r="A637">
        <v>26</v>
      </c>
      <c r="B637" t="s">
        <v>64</v>
      </c>
      <c r="C637">
        <v>37.201980766699997</v>
      </c>
      <c r="D637">
        <v>-7.0208527109799999</v>
      </c>
      <c r="E637">
        <v>1</v>
      </c>
      <c r="F637">
        <v>1</v>
      </c>
      <c r="G637">
        <v>1</v>
      </c>
      <c r="J637" t="s">
        <v>15</v>
      </c>
      <c r="K637">
        <v>1</v>
      </c>
      <c r="L637">
        <v>1.0780000000000001</v>
      </c>
      <c r="M637">
        <v>0</v>
      </c>
      <c r="N637" t="s">
        <v>10019</v>
      </c>
      <c r="O637" t="str">
        <f>HYPERLINK("1\0\marker_439_963006.png", "Ver Imagen")</f>
        <v>Ver Imagen</v>
      </c>
      <c r="P637" t="str">
        <f>HYPERLINK("SE\A-5052\A-5052__433.png", "Ver Imagen")</f>
        <v>Ver Imagen</v>
      </c>
    </row>
    <row r="638" spans="1:16" x14ac:dyDescent="0.25">
      <c r="A638">
        <v>27</v>
      </c>
      <c r="B638" t="s">
        <v>66</v>
      </c>
      <c r="C638">
        <v>37.2017139417</v>
      </c>
      <c r="D638">
        <v>-7.0201597753599998</v>
      </c>
      <c r="E638">
        <v>1</v>
      </c>
      <c r="F638">
        <v>1</v>
      </c>
      <c r="G638">
        <v>1</v>
      </c>
      <c r="J638" t="s">
        <v>15</v>
      </c>
      <c r="K638">
        <v>1</v>
      </c>
      <c r="L638">
        <v>1.179</v>
      </c>
      <c r="M638">
        <v>0</v>
      </c>
      <c r="N638" t="s">
        <v>10019</v>
      </c>
      <c r="O638" t="str">
        <f>HYPERLINK("1\0\marker_455_963038.png", "Ver Imagen")</f>
        <v>Ver Imagen</v>
      </c>
      <c r="P638" t="str">
        <f>HYPERLINK("SE\A-5052\A-5052__436.png", "Ver Imagen")</f>
        <v>Ver Imagen</v>
      </c>
    </row>
    <row r="639" spans="1:16" x14ac:dyDescent="0.25">
      <c r="A639">
        <v>28</v>
      </c>
      <c r="B639" t="s">
        <v>68</v>
      </c>
      <c r="C639">
        <v>37.200308670399998</v>
      </c>
      <c r="D639">
        <v>-7.0165034044999999</v>
      </c>
      <c r="E639">
        <v>1</v>
      </c>
      <c r="F639">
        <v>1</v>
      </c>
      <c r="G639">
        <v>1</v>
      </c>
      <c r="J639" t="s">
        <v>15</v>
      </c>
      <c r="K639">
        <v>1</v>
      </c>
      <c r="L639">
        <v>1.345</v>
      </c>
      <c r="M639">
        <v>0</v>
      </c>
      <c r="N639" t="s">
        <v>10017</v>
      </c>
      <c r="O639" t="str">
        <f>HYPERLINK("1\0\marker_490_963199.png", "Ver Imagen")</f>
        <v>Ver Imagen</v>
      </c>
      <c r="P639" t="str">
        <f>HYPERLINK("SE\A-5052\A-5052__452.png", "Ver Imagen")</f>
        <v>Ver Imagen</v>
      </c>
    </row>
    <row r="640" spans="1:16" x14ac:dyDescent="0.25">
      <c r="A640">
        <v>29</v>
      </c>
      <c r="B640" t="s">
        <v>70</v>
      </c>
      <c r="C640">
        <v>37.200227294199998</v>
      </c>
      <c r="D640">
        <v>-7.0162936652500001</v>
      </c>
      <c r="E640">
        <v>1</v>
      </c>
      <c r="F640">
        <v>1</v>
      </c>
      <c r="G640">
        <v>1</v>
      </c>
      <c r="J640" t="s">
        <v>15</v>
      </c>
      <c r="K640">
        <v>1</v>
      </c>
      <c r="L640">
        <v>1.0780000000000001</v>
      </c>
      <c r="M640">
        <v>0</v>
      </c>
      <c r="N640" t="s">
        <v>10019</v>
      </c>
      <c r="O640" t="str">
        <f>HYPERLINK("1\0\marker_439_963207.png", "Ver Imagen")</f>
        <v>Ver Imagen</v>
      </c>
      <c r="P640" t="str">
        <f>HYPERLINK("SE\A-5052\A-5052__453.png", "Ver Imagen")</f>
        <v>Ver Imagen</v>
      </c>
    </row>
    <row r="641" spans="1:16" x14ac:dyDescent="0.25">
      <c r="A641">
        <v>30</v>
      </c>
      <c r="B641" t="s">
        <v>72</v>
      </c>
      <c r="C641">
        <v>37.1997810481</v>
      </c>
      <c r="D641">
        <v>-7.0151143009299997</v>
      </c>
      <c r="E641">
        <v>1</v>
      </c>
      <c r="F641">
        <v>1</v>
      </c>
      <c r="G641">
        <v>1</v>
      </c>
      <c r="J641" t="s">
        <v>15</v>
      </c>
      <c r="K641">
        <v>1</v>
      </c>
      <c r="L641">
        <v>1.016</v>
      </c>
      <c r="M641">
        <v>0</v>
      </c>
      <c r="N641" t="s">
        <v>10019</v>
      </c>
      <c r="O641" t="str">
        <f>HYPERLINK("1\0\marker_545_963261.png", "Ver Imagen")</f>
        <v>Ver Imagen</v>
      </c>
      <c r="P641" t="str">
        <f>HYPERLINK("SE\A-5052\A-5052__458.png", "Ver Imagen")</f>
        <v>Ver Imagen</v>
      </c>
    </row>
    <row r="642" spans="1:16" x14ac:dyDescent="0.25">
      <c r="A642">
        <v>31</v>
      </c>
      <c r="B642" t="s">
        <v>74</v>
      </c>
      <c r="C642">
        <v>37.1993582295</v>
      </c>
      <c r="D642">
        <v>-7.0140126984900002</v>
      </c>
      <c r="E642">
        <v>1</v>
      </c>
      <c r="F642">
        <v>1</v>
      </c>
      <c r="G642">
        <v>1</v>
      </c>
      <c r="J642" t="s">
        <v>15</v>
      </c>
      <c r="K642">
        <v>1</v>
      </c>
      <c r="L642">
        <v>1.0249999999999999</v>
      </c>
      <c r="M642">
        <v>0</v>
      </c>
      <c r="N642" t="s">
        <v>10019</v>
      </c>
      <c r="O642" t="str">
        <f>HYPERLINK("1\0\marker_563_963306.png", "Ver Imagen")</f>
        <v>Ver Imagen</v>
      </c>
      <c r="P642" t="str">
        <f>HYPERLINK("SE\A-5052\A-5052__463.png", "Ver Imagen")</f>
        <v>Ver Imagen</v>
      </c>
    </row>
    <row r="643" spans="1:16" x14ac:dyDescent="0.25">
      <c r="A643">
        <v>32</v>
      </c>
      <c r="B643" t="s">
        <v>76</v>
      </c>
      <c r="C643">
        <v>37.199265427999997</v>
      </c>
      <c r="D643">
        <v>-7.01377104109</v>
      </c>
      <c r="E643">
        <v>1</v>
      </c>
      <c r="F643">
        <v>1</v>
      </c>
      <c r="G643">
        <v>1</v>
      </c>
      <c r="J643" t="s">
        <v>15</v>
      </c>
      <c r="K643">
        <v>1</v>
      </c>
      <c r="L643">
        <v>1</v>
      </c>
      <c r="M643">
        <v>0</v>
      </c>
      <c r="N643" t="s">
        <v>10019</v>
      </c>
      <c r="O643" t="str">
        <f>HYPERLINK("1\0\marker_843_963316.png", "Ver Imagen")</f>
        <v>Ver Imagen</v>
      </c>
      <c r="P643" t="str">
        <f>HYPERLINK("SE\A-5052\A-5052__464.png", "Ver Imagen")</f>
        <v>Ver Imagen</v>
      </c>
    </row>
    <row r="644" spans="1:16" x14ac:dyDescent="0.25">
      <c r="A644">
        <v>33</v>
      </c>
      <c r="B644" t="s">
        <v>78</v>
      </c>
      <c r="C644">
        <v>37.199174401599997</v>
      </c>
      <c r="D644">
        <v>-7.0135351215400004</v>
      </c>
      <c r="E644">
        <v>1</v>
      </c>
      <c r="F644">
        <v>1</v>
      </c>
      <c r="G644">
        <v>1</v>
      </c>
      <c r="J644" t="s">
        <v>15</v>
      </c>
      <c r="K644">
        <v>1</v>
      </c>
      <c r="L644">
        <v>1.1240000000000001</v>
      </c>
      <c r="M644">
        <v>0</v>
      </c>
      <c r="N644" t="s">
        <v>10019</v>
      </c>
      <c r="O644" t="str">
        <f>HYPERLINK("1\0\marker_224_963344.png", "Ver Imagen")</f>
        <v>Ver Imagen</v>
      </c>
      <c r="P644" t="str">
        <f>HYPERLINK("SE\A-5052\A-5052__465.png", "Ver Imagen")</f>
        <v>Ver Imagen</v>
      </c>
    </row>
    <row r="645" spans="1:16" x14ac:dyDescent="0.25">
      <c r="A645">
        <v>34</v>
      </c>
      <c r="B645" t="s">
        <v>80</v>
      </c>
      <c r="C645">
        <v>37.1974462202</v>
      </c>
      <c r="D645">
        <v>-7.0089830617900004</v>
      </c>
      <c r="E645">
        <v>1</v>
      </c>
      <c r="F645">
        <v>1</v>
      </c>
      <c r="G645">
        <v>1</v>
      </c>
      <c r="J645" t="s">
        <v>15</v>
      </c>
      <c r="K645">
        <v>1</v>
      </c>
      <c r="L645">
        <v>1.31</v>
      </c>
      <c r="M645">
        <v>0</v>
      </c>
      <c r="N645" t="s">
        <v>10019</v>
      </c>
      <c r="O645" t="str">
        <f>HYPERLINK("1\0\marker_345_963541.png", "Ver Imagen")</f>
        <v>Ver Imagen</v>
      </c>
      <c r="P645" t="str">
        <f>HYPERLINK("SE\A-5052\A-5052__485.png", "Ver Imagen")</f>
        <v>Ver Imagen</v>
      </c>
    </row>
    <row r="646" spans="1:16" x14ac:dyDescent="0.25">
      <c r="A646">
        <v>35</v>
      </c>
      <c r="B646" t="s">
        <v>82</v>
      </c>
      <c r="C646">
        <v>37.197393903600002</v>
      </c>
      <c r="D646">
        <v>-7.0087512994000001</v>
      </c>
      <c r="E646">
        <v>1</v>
      </c>
      <c r="F646">
        <v>1</v>
      </c>
      <c r="G646">
        <v>1</v>
      </c>
      <c r="J646" t="s">
        <v>15</v>
      </c>
      <c r="K646">
        <v>1</v>
      </c>
      <c r="L646">
        <v>1.198</v>
      </c>
      <c r="M646">
        <v>0</v>
      </c>
      <c r="N646" t="s">
        <v>10019</v>
      </c>
      <c r="O646" t="str">
        <f>HYPERLINK("1\0\marker_546_963550.png", "Ver Imagen")</f>
        <v>Ver Imagen</v>
      </c>
      <c r="P646" t="str">
        <f>HYPERLINK("SE\A-5052\A-5052__486.png", "Ver Imagen")</f>
        <v>Ver Imagen</v>
      </c>
    </row>
    <row r="647" spans="1:16" x14ac:dyDescent="0.25">
      <c r="A647">
        <v>36</v>
      </c>
      <c r="B647" t="s">
        <v>84</v>
      </c>
      <c r="C647">
        <v>37.1973261495</v>
      </c>
      <c r="D647">
        <v>-7.0082540560100002</v>
      </c>
      <c r="E647">
        <v>1</v>
      </c>
      <c r="F647">
        <v>1</v>
      </c>
      <c r="G647">
        <v>1</v>
      </c>
      <c r="J647" t="s">
        <v>15</v>
      </c>
      <c r="K647">
        <v>1</v>
      </c>
      <c r="L647">
        <v>1</v>
      </c>
      <c r="M647">
        <v>0</v>
      </c>
      <c r="N647" t="s">
        <v>10019</v>
      </c>
      <c r="O647" t="str">
        <f>HYPERLINK("1\0\marker_401_963569.png", "Ver Imagen")</f>
        <v>Ver Imagen</v>
      </c>
      <c r="P647" t="str">
        <f>HYPERLINK("SE\A-5052\A-5052__488.png", "Ver Imagen")</f>
        <v>Ver Imagen</v>
      </c>
    </row>
    <row r="648" spans="1:16" x14ac:dyDescent="0.25">
      <c r="A648">
        <v>37</v>
      </c>
      <c r="B648" t="s">
        <v>86</v>
      </c>
      <c r="C648">
        <v>37.197176966800001</v>
      </c>
      <c r="D648">
        <v>-7.0067016041399999</v>
      </c>
      <c r="E648">
        <v>1</v>
      </c>
      <c r="F648">
        <v>1</v>
      </c>
      <c r="G648">
        <v>1</v>
      </c>
      <c r="J648" t="s">
        <v>15</v>
      </c>
      <c r="K648">
        <v>1</v>
      </c>
      <c r="L648">
        <v>1.3759999999999999</v>
      </c>
      <c r="M648">
        <v>0</v>
      </c>
      <c r="N648" t="s">
        <v>10019</v>
      </c>
      <c r="O648" t="str">
        <f>HYPERLINK("1\0\marker_626_963624.png", "Ver Imagen")</f>
        <v>Ver Imagen</v>
      </c>
      <c r="P648" t="str">
        <f>HYPERLINK("SE\A-5052\A-5052__494.png", "Ver Imagen")</f>
        <v>Ver Imagen</v>
      </c>
    </row>
    <row r="649" spans="1:16" x14ac:dyDescent="0.25">
      <c r="A649">
        <v>38</v>
      </c>
      <c r="B649" t="s">
        <v>88</v>
      </c>
      <c r="C649">
        <v>37.465212516999998</v>
      </c>
      <c r="D649">
        <v>-7.1230777116299997</v>
      </c>
      <c r="E649">
        <v>1</v>
      </c>
      <c r="F649">
        <v>1</v>
      </c>
      <c r="G649">
        <v>1</v>
      </c>
      <c r="J649" t="s">
        <v>15</v>
      </c>
      <c r="K649">
        <v>1</v>
      </c>
      <c r="L649">
        <v>1.2350000000000001</v>
      </c>
      <c r="M649">
        <v>0</v>
      </c>
      <c r="N649" t="s">
        <v>10019</v>
      </c>
      <c r="O649" t="str">
        <f>HYPERLINK("1\0\marker_291_385165.png", "Ver Imagen")</f>
        <v>Ver Imagen</v>
      </c>
      <c r="P649" t="str">
        <f>HYPERLINK("NE\A-495_1\A-495_1__88.png", "Ver Imagen")</f>
        <v>Ver Imagen</v>
      </c>
    </row>
    <row r="650" spans="1:16" x14ac:dyDescent="0.25">
      <c r="A650">
        <v>39</v>
      </c>
      <c r="B650" t="s">
        <v>90</v>
      </c>
      <c r="C650">
        <v>37.4580456355</v>
      </c>
      <c r="D650">
        <v>-7.1256093535099998</v>
      </c>
      <c r="E650">
        <v>1</v>
      </c>
      <c r="F650">
        <v>1</v>
      </c>
      <c r="G650">
        <v>1</v>
      </c>
      <c r="J650" t="s">
        <v>15</v>
      </c>
      <c r="K650">
        <v>1</v>
      </c>
      <c r="L650">
        <v>1.032</v>
      </c>
      <c r="M650">
        <v>0</v>
      </c>
      <c r="N650" t="s">
        <v>10019</v>
      </c>
      <c r="O650" t="str">
        <f>HYPERLINK("1\0\marker_539_385553.png", "Ver Imagen")</f>
        <v>Ver Imagen</v>
      </c>
      <c r="P650" t="str">
        <f>HYPERLINK("NE\A-495_1\A-495_1__51.png", "Ver Imagen")</f>
        <v>Ver Imagen</v>
      </c>
    </row>
    <row r="651" spans="1:16" x14ac:dyDescent="0.25">
      <c r="A651">
        <v>40</v>
      </c>
      <c r="B651" t="s">
        <v>92</v>
      </c>
      <c r="C651">
        <v>37.453776880200003</v>
      </c>
      <c r="D651">
        <v>-7.1271574949599996</v>
      </c>
      <c r="E651">
        <v>1</v>
      </c>
      <c r="F651">
        <v>1</v>
      </c>
      <c r="G651">
        <v>1</v>
      </c>
      <c r="J651" t="s">
        <v>15</v>
      </c>
      <c r="K651">
        <v>1</v>
      </c>
      <c r="L651">
        <v>1.004</v>
      </c>
      <c r="M651">
        <v>0</v>
      </c>
      <c r="N651" t="s">
        <v>10019</v>
      </c>
      <c r="O651" t="str">
        <f>HYPERLINK("1\0\marker_667_385889.png", "Ver Imagen")</f>
        <v>Ver Imagen</v>
      </c>
      <c r="P651" t="str">
        <f>HYPERLINK("NE\A-495_1\A-495_1__29.png", "Ver Imagen")</f>
        <v>Ver Imagen</v>
      </c>
    </row>
    <row r="652" spans="1:16" x14ac:dyDescent="0.25">
      <c r="A652">
        <v>44</v>
      </c>
      <c r="B652" t="s">
        <v>100</v>
      </c>
      <c r="C652">
        <v>37.208885279</v>
      </c>
      <c r="D652">
        <v>-7.0231739988799999</v>
      </c>
      <c r="E652">
        <v>1</v>
      </c>
      <c r="F652">
        <v>1</v>
      </c>
      <c r="G652">
        <v>1</v>
      </c>
      <c r="J652" t="s">
        <v>15</v>
      </c>
      <c r="K652">
        <v>1</v>
      </c>
      <c r="L652">
        <v>1.0920000000000001</v>
      </c>
      <c r="M652">
        <v>0</v>
      </c>
      <c r="N652" t="s">
        <v>10019</v>
      </c>
      <c r="O652" t="str">
        <f>HYPERLINK("1\0\marker_495_364130.png", "Ver Imagen")</f>
        <v>Ver Imagen</v>
      </c>
      <c r="P652" t="str">
        <f>HYPERLINK("SE\A-497_2C\A-497_2C__507.png", "Ver Imagen")</f>
        <v>Ver Imagen</v>
      </c>
    </row>
    <row r="653" spans="1:16" x14ac:dyDescent="0.25">
      <c r="A653">
        <v>45</v>
      </c>
      <c r="B653" t="s">
        <v>102</v>
      </c>
      <c r="C653">
        <v>37.228561540199998</v>
      </c>
      <c r="D653">
        <v>-7.0213524055400001</v>
      </c>
      <c r="E653">
        <v>1</v>
      </c>
      <c r="F653">
        <v>1</v>
      </c>
      <c r="G653">
        <v>1</v>
      </c>
      <c r="J653" t="s">
        <v>15</v>
      </c>
      <c r="K653">
        <v>1</v>
      </c>
      <c r="L653">
        <v>1.3380000000000001</v>
      </c>
      <c r="M653">
        <v>0</v>
      </c>
      <c r="N653" t="s">
        <v>10018</v>
      </c>
      <c r="O653" t="str">
        <f>HYPERLINK("1\0\marker_583_377084.png", "Ver Imagen")</f>
        <v>Ver Imagen</v>
      </c>
      <c r="P653" t="str">
        <f>HYPERLINK("SE\A-497\A-497__412.png", "Ver Imagen")</f>
        <v>Ver Imagen</v>
      </c>
    </row>
    <row r="654" spans="1:16" x14ac:dyDescent="0.25">
      <c r="A654">
        <v>46</v>
      </c>
      <c r="B654" t="s">
        <v>104</v>
      </c>
      <c r="C654">
        <v>37.228707952000001</v>
      </c>
      <c r="D654">
        <v>-7.0212395610099998</v>
      </c>
      <c r="E654">
        <v>1</v>
      </c>
      <c r="F654">
        <v>1</v>
      </c>
      <c r="G654">
        <v>1</v>
      </c>
      <c r="J654" t="s">
        <v>15</v>
      </c>
      <c r="K654">
        <v>1</v>
      </c>
      <c r="L654">
        <v>1.347</v>
      </c>
      <c r="M654">
        <v>0</v>
      </c>
      <c r="N654" t="s">
        <v>10017</v>
      </c>
      <c r="O654" t="str">
        <f>HYPERLINK("1\0\marker_448_377091.png", "Ver Imagen")</f>
        <v>Ver Imagen</v>
      </c>
      <c r="P654" t="str">
        <f>HYPERLINK("SE\A-497\A-497__411.png", "Ver Imagen")</f>
        <v>Ver Imagen</v>
      </c>
    </row>
    <row r="655" spans="1:16" x14ac:dyDescent="0.25">
      <c r="A655">
        <v>47</v>
      </c>
      <c r="B655" t="s">
        <v>106</v>
      </c>
      <c r="C655">
        <v>37.228834491800001</v>
      </c>
      <c r="D655">
        <v>-7.0211424964500004</v>
      </c>
      <c r="E655">
        <v>1</v>
      </c>
      <c r="F655">
        <v>1</v>
      </c>
      <c r="G655">
        <v>1</v>
      </c>
      <c r="J655" t="s">
        <v>15</v>
      </c>
      <c r="K655">
        <v>1</v>
      </c>
      <c r="L655">
        <v>1</v>
      </c>
      <c r="M655">
        <v>0</v>
      </c>
      <c r="N655" t="s">
        <v>10019</v>
      </c>
      <c r="O655" t="str">
        <f>HYPERLINK("1\0\marker_622_377099.png", "Ver Imagen")</f>
        <v>Ver Imagen</v>
      </c>
      <c r="P655" t="str">
        <f>HYPERLINK("SE\A-497\A-497__410.png", "Ver Imagen")</f>
        <v>Ver Imagen</v>
      </c>
    </row>
    <row r="656" spans="1:16" x14ac:dyDescent="0.25">
      <c r="A656">
        <v>48</v>
      </c>
      <c r="B656" t="s">
        <v>108</v>
      </c>
      <c r="C656">
        <v>37.229028700599997</v>
      </c>
      <c r="D656">
        <v>-7.0209945495200001</v>
      </c>
      <c r="E656">
        <v>1</v>
      </c>
      <c r="F656">
        <v>1</v>
      </c>
      <c r="G656">
        <v>1</v>
      </c>
      <c r="J656" t="s">
        <v>15</v>
      </c>
      <c r="K656">
        <v>1</v>
      </c>
      <c r="L656">
        <v>1</v>
      </c>
      <c r="M656">
        <v>0</v>
      </c>
      <c r="N656" t="s">
        <v>10019</v>
      </c>
      <c r="O656" t="str">
        <f>HYPERLINK("1\0\marker_820_377108.png", "Ver Imagen")</f>
        <v>Ver Imagen</v>
      </c>
      <c r="P656" t="str">
        <f>HYPERLINK("SE\A-497\A-497__409.png", "Ver Imagen")</f>
        <v>Ver Imagen</v>
      </c>
    </row>
    <row r="657" spans="1:16" x14ac:dyDescent="0.25">
      <c r="A657">
        <v>49</v>
      </c>
      <c r="B657" t="s">
        <v>110</v>
      </c>
      <c r="C657">
        <v>37.467528188800003</v>
      </c>
      <c r="D657">
        <v>-7.1850930435700002</v>
      </c>
      <c r="E657">
        <v>1</v>
      </c>
      <c r="F657">
        <v>2</v>
      </c>
      <c r="G657">
        <v>1</v>
      </c>
      <c r="J657" t="s">
        <v>15</v>
      </c>
      <c r="K657">
        <v>1</v>
      </c>
      <c r="L657">
        <v>1.2330000000000001</v>
      </c>
      <c r="M657">
        <v>0</v>
      </c>
      <c r="N657" t="s">
        <v>10019</v>
      </c>
      <c r="O657" t="str">
        <f>HYPERLINK("1\1\marker_134_749807.png", "Ver Imagen")</f>
        <v>Ver Imagen</v>
      </c>
      <c r="P657" t="str">
        <f>HYPERLINK("NE\A-490\A-490__265.png", "Ver Imagen")</f>
        <v>Ver Imagen</v>
      </c>
    </row>
    <row r="658" spans="1:16" x14ac:dyDescent="0.25">
      <c r="A658">
        <v>49</v>
      </c>
      <c r="B658" t="s">
        <v>110</v>
      </c>
      <c r="C658">
        <v>37.467528188800003</v>
      </c>
      <c r="D658">
        <v>-7.1850930435700002</v>
      </c>
      <c r="E658">
        <v>1</v>
      </c>
      <c r="F658">
        <v>2</v>
      </c>
      <c r="G658">
        <v>1</v>
      </c>
      <c r="J658" t="s">
        <v>15</v>
      </c>
      <c r="K658">
        <v>1</v>
      </c>
      <c r="L658">
        <v>1.304</v>
      </c>
      <c r="M658">
        <v>0</v>
      </c>
      <c r="N658" t="s">
        <v>10019</v>
      </c>
      <c r="O658" t="str">
        <f>HYPERLINK("1\1\marker_134_749807.png", "Ver Imagen")</f>
        <v>Ver Imagen</v>
      </c>
      <c r="P658" t="str">
        <f>HYPERLINK("NO\A-490\A-490__265.png", "Ver Imagen")</f>
        <v>Ver Imagen</v>
      </c>
    </row>
    <row r="659" spans="1:16" x14ac:dyDescent="0.25">
      <c r="A659">
        <v>50</v>
      </c>
      <c r="B659" t="s">
        <v>112</v>
      </c>
      <c r="C659">
        <v>37.467618986700003</v>
      </c>
      <c r="D659">
        <v>-7.1852621116300002</v>
      </c>
      <c r="E659">
        <v>1</v>
      </c>
      <c r="F659">
        <v>2</v>
      </c>
      <c r="G659">
        <v>1</v>
      </c>
      <c r="J659" t="s">
        <v>15</v>
      </c>
      <c r="K659">
        <v>1</v>
      </c>
      <c r="L659">
        <v>1.1439999999999999</v>
      </c>
      <c r="M659">
        <v>0</v>
      </c>
      <c r="N659" t="s">
        <v>10019</v>
      </c>
      <c r="O659" t="str">
        <f>HYPERLINK("1\1\marker_933_749826.png", "Ver Imagen")</f>
        <v>Ver Imagen</v>
      </c>
      <c r="P659" t="str">
        <f>HYPERLINK("NE\A-490\A-490__266.png", "Ver Imagen")</f>
        <v>Ver Imagen</v>
      </c>
    </row>
    <row r="660" spans="1:16" x14ac:dyDescent="0.25">
      <c r="A660">
        <v>50</v>
      </c>
      <c r="B660" t="s">
        <v>112</v>
      </c>
      <c r="C660">
        <v>37.467618986700003</v>
      </c>
      <c r="D660">
        <v>-7.1852621116300002</v>
      </c>
      <c r="E660">
        <v>1</v>
      </c>
      <c r="F660">
        <v>2</v>
      </c>
      <c r="G660">
        <v>1</v>
      </c>
      <c r="J660" t="s">
        <v>15</v>
      </c>
      <c r="K660">
        <v>1</v>
      </c>
      <c r="L660">
        <v>1.0620000000000001</v>
      </c>
      <c r="M660">
        <v>0</v>
      </c>
      <c r="N660" t="s">
        <v>10019</v>
      </c>
      <c r="O660" t="str">
        <f>HYPERLINK("1\1\marker_933_749826.png", "Ver Imagen")</f>
        <v>Ver Imagen</v>
      </c>
      <c r="P660" t="str">
        <f>HYPERLINK("NO\A-490\A-490__266.png", "Ver Imagen")</f>
        <v>Ver Imagen</v>
      </c>
    </row>
    <row r="661" spans="1:16" x14ac:dyDescent="0.25">
      <c r="A661">
        <v>51</v>
      </c>
      <c r="B661" t="s">
        <v>114</v>
      </c>
      <c r="C661">
        <v>37.4677631108</v>
      </c>
      <c r="D661">
        <v>-7.1855302331999997</v>
      </c>
      <c r="E661">
        <v>1</v>
      </c>
      <c r="F661">
        <v>2</v>
      </c>
      <c r="G661">
        <v>1</v>
      </c>
      <c r="J661" t="s">
        <v>15</v>
      </c>
      <c r="K661">
        <v>1</v>
      </c>
      <c r="L661">
        <v>1.0649999999999999</v>
      </c>
      <c r="M661">
        <v>0</v>
      </c>
      <c r="N661" t="s">
        <v>10019</v>
      </c>
      <c r="O661" t="str">
        <f>HYPERLINK("1\1\marker_333_749843.png", "Ver Imagen")</f>
        <v>Ver Imagen</v>
      </c>
      <c r="P661" t="str">
        <f>HYPERLINK("NE\A-490\A-490__267.png", "Ver Imagen")</f>
        <v>Ver Imagen</v>
      </c>
    </row>
    <row r="662" spans="1:16" x14ac:dyDescent="0.25">
      <c r="A662">
        <v>51</v>
      </c>
      <c r="B662" t="s">
        <v>114</v>
      </c>
      <c r="C662">
        <v>37.4677631108</v>
      </c>
      <c r="D662">
        <v>-7.1855302331999997</v>
      </c>
      <c r="E662">
        <v>1</v>
      </c>
      <c r="F662">
        <v>2</v>
      </c>
      <c r="G662">
        <v>1</v>
      </c>
      <c r="J662" t="s">
        <v>15</v>
      </c>
      <c r="K662">
        <v>1</v>
      </c>
      <c r="L662">
        <v>1.1319999999999999</v>
      </c>
      <c r="M662">
        <v>0</v>
      </c>
      <c r="N662" t="s">
        <v>10019</v>
      </c>
      <c r="O662" t="str">
        <f>HYPERLINK("1\1\marker_333_749843.png", "Ver Imagen")</f>
        <v>Ver Imagen</v>
      </c>
      <c r="P662" t="str">
        <f>HYPERLINK("NO\A-490\A-490__267.png", "Ver Imagen")</f>
        <v>Ver Imagen</v>
      </c>
    </row>
    <row r="663" spans="1:16" x14ac:dyDescent="0.25">
      <c r="A663">
        <v>52</v>
      </c>
      <c r="B663" t="s">
        <v>116</v>
      </c>
      <c r="C663">
        <v>37.467833600600002</v>
      </c>
      <c r="D663">
        <v>-7.1856613199400003</v>
      </c>
      <c r="E663">
        <v>1</v>
      </c>
      <c r="F663">
        <v>2</v>
      </c>
      <c r="G663">
        <v>1</v>
      </c>
      <c r="J663" t="s">
        <v>15</v>
      </c>
      <c r="K663">
        <v>1</v>
      </c>
      <c r="L663">
        <v>1.0780000000000001</v>
      </c>
      <c r="M663">
        <v>0</v>
      </c>
      <c r="N663" t="s">
        <v>10019</v>
      </c>
      <c r="O663" t="str">
        <f>HYPERLINK("1\1\marker_690_749857.png", "Ver Imagen")</f>
        <v>Ver Imagen</v>
      </c>
      <c r="P663" t="str">
        <f>HYPERLINK("NE\A-490\A-490__268.png", "Ver Imagen")</f>
        <v>Ver Imagen</v>
      </c>
    </row>
    <row r="664" spans="1:16" x14ac:dyDescent="0.25">
      <c r="A664">
        <v>52</v>
      </c>
      <c r="B664" t="s">
        <v>116</v>
      </c>
      <c r="C664">
        <v>37.467833600600002</v>
      </c>
      <c r="D664">
        <v>-7.1856613199400003</v>
      </c>
      <c r="E664">
        <v>1</v>
      </c>
      <c r="F664">
        <v>2</v>
      </c>
      <c r="G664">
        <v>1</v>
      </c>
      <c r="J664" t="s">
        <v>15</v>
      </c>
      <c r="K664">
        <v>1</v>
      </c>
      <c r="L664">
        <v>1.27</v>
      </c>
      <c r="M664">
        <v>0</v>
      </c>
      <c r="N664" t="s">
        <v>10019</v>
      </c>
      <c r="O664" t="str">
        <f>HYPERLINK("1\1\marker_690_749857.png", "Ver Imagen")</f>
        <v>Ver Imagen</v>
      </c>
      <c r="P664" t="str">
        <f>HYPERLINK("NO\A-490\A-490__268.png", "Ver Imagen")</f>
        <v>Ver Imagen</v>
      </c>
    </row>
    <row r="665" spans="1:16" x14ac:dyDescent="0.25">
      <c r="A665">
        <v>53</v>
      </c>
      <c r="B665" t="s">
        <v>118</v>
      </c>
      <c r="C665">
        <v>37.4900800952</v>
      </c>
      <c r="D665">
        <v>-7.2488707481899999</v>
      </c>
      <c r="E665">
        <v>1</v>
      </c>
      <c r="F665">
        <v>2</v>
      </c>
      <c r="G665">
        <v>1</v>
      </c>
      <c r="J665" t="s">
        <v>15</v>
      </c>
      <c r="K665">
        <v>1</v>
      </c>
      <c r="L665">
        <v>1.274</v>
      </c>
      <c r="M665">
        <v>0</v>
      </c>
      <c r="N665" t="s">
        <v>10019</v>
      </c>
      <c r="O665" t="str">
        <f>HYPERLINK("1\1\marker_218_818404.png", "Ver Imagen")</f>
        <v>Ver Imagen</v>
      </c>
      <c r="P665" t="str">
        <f>HYPERLINK("NO\A-490\A-490__544.png", "Ver Imagen")</f>
        <v>Ver Imagen</v>
      </c>
    </row>
    <row r="666" spans="1:16" x14ac:dyDescent="0.25">
      <c r="A666">
        <v>54</v>
      </c>
      <c r="B666" t="s">
        <v>120</v>
      </c>
      <c r="C666">
        <v>37.490087161399998</v>
      </c>
      <c r="D666">
        <v>-7.2585390925900004</v>
      </c>
      <c r="E666">
        <v>1</v>
      </c>
      <c r="F666">
        <v>2</v>
      </c>
      <c r="G666">
        <v>1</v>
      </c>
      <c r="J666" t="s">
        <v>15</v>
      </c>
      <c r="K666">
        <v>1</v>
      </c>
      <c r="L666">
        <v>1</v>
      </c>
      <c r="M666">
        <v>0</v>
      </c>
      <c r="N666" t="s">
        <v>10019</v>
      </c>
      <c r="O666" t="str">
        <f>HYPERLINK("1\1\marker_219_819513.png", "Ver Imagen")</f>
        <v>Ver Imagen</v>
      </c>
      <c r="P666" t="str">
        <f>HYPERLINK("NO\A-490\A-490__583.png", "Ver Imagen")</f>
        <v>Ver Imagen</v>
      </c>
    </row>
    <row r="667" spans="1:16" x14ac:dyDescent="0.25">
      <c r="A667">
        <v>56</v>
      </c>
      <c r="B667" t="s">
        <v>124</v>
      </c>
      <c r="C667">
        <v>37.4766149282</v>
      </c>
      <c r="D667">
        <v>-7.2024947993400001</v>
      </c>
      <c r="E667">
        <v>1</v>
      </c>
      <c r="F667">
        <v>2</v>
      </c>
      <c r="G667">
        <v>1</v>
      </c>
      <c r="J667" t="s">
        <v>15</v>
      </c>
      <c r="K667">
        <v>1</v>
      </c>
      <c r="L667">
        <v>1.06</v>
      </c>
      <c r="M667">
        <v>0</v>
      </c>
      <c r="N667" t="s">
        <v>10018</v>
      </c>
      <c r="O667" t="str">
        <f>HYPERLINK("1\1\marker_213_751630.png", "Ver Imagen")</f>
        <v>Ver Imagen</v>
      </c>
      <c r="P667" t="str">
        <f>HYPERLINK("NE\A-490\A-490__347.png", "Ver Imagen")</f>
        <v>Ver Imagen</v>
      </c>
    </row>
    <row r="668" spans="1:16" x14ac:dyDescent="0.25">
      <c r="A668">
        <v>58</v>
      </c>
      <c r="B668" t="s">
        <v>128</v>
      </c>
      <c r="C668">
        <v>37.482079334300003</v>
      </c>
      <c r="D668">
        <v>-7.2157907908499999</v>
      </c>
      <c r="E668">
        <v>1</v>
      </c>
      <c r="F668">
        <v>2</v>
      </c>
      <c r="G668">
        <v>1</v>
      </c>
      <c r="J668" t="s">
        <v>15</v>
      </c>
      <c r="K668">
        <v>1</v>
      </c>
      <c r="L668">
        <v>1.1200000000000001</v>
      </c>
      <c r="M668">
        <v>0</v>
      </c>
      <c r="N668" t="s">
        <v>10019</v>
      </c>
      <c r="O668" t="str">
        <f>HYPERLINK("1\1\marker_900_753151.png", "Ver Imagen")</f>
        <v>Ver Imagen</v>
      </c>
      <c r="P668" t="str">
        <f>HYPERLINK("NO\A-490\A-490__406.png", "Ver Imagen")</f>
        <v>Ver Imagen</v>
      </c>
    </row>
    <row r="669" spans="1:16" x14ac:dyDescent="0.25">
      <c r="A669">
        <v>59</v>
      </c>
      <c r="B669" t="s">
        <v>130</v>
      </c>
      <c r="C669">
        <v>37.483450780799998</v>
      </c>
      <c r="D669">
        <v>-7.2224566830499999</v>
      </c>
      <c r="E669">
        <v>1</v>
      </c>
      <c r="F669">
        <v>2</v>
      </c>
      <c r="G669">
        <v>1</v>
      </c>
      <c r="J669" t="s">
        <v>15</v>
      </c>
      <c r="K669">
        <v>1</v>
      </c>
      <c r="L669">
        <v>1.0069999999999999</v>
      </c>
      <c r="M669">
        <v>0</v>
      </c>
      <c r="N669" t="s">
        <v>10019</v>
      </c>
      <c r="O669" t="str">
        <f>HYPERLINK("1\1\marker_423_754540.png", "Ver Imagen")</f>
        <v>Ver Imagen</v>
      </c>
      <c r="P669" t="str">
        <f>HYPERLINK("NO\A-490\A-490__433.png", "Ver Imagen")</f>
        <v>Ver Imagen</v>
      </c>
    </row>
    <row r="670" spans="1:16" x14ac:dyDescent="0.25">
      <c r="A670">
        <v>60</v>
      </c>
      <c r="B670" t="s">
        <v>132</v>
      </c>
      <c r="C670">
        <v>37.483486268500002</v>
      </c>
      <c r="D670">
        <v>-7.2226408682400001</v>
      </c>
      <c r="E670">
        <v>1</v>
      </c>
      <c r="F670">
        <v>2</v>
      </c>
      <c r="G670">
        <v>1</v>
      </c>
      <c r="J670" t="s">
        <v>15</v>
      </c>
      <c r="K670">
        <v>1</v>
      </c>
      <c r="L670">
        <v>1.399</v>
      </c>
      <c r="M670">
        <v>0</v>
      </c>
      <c r="N670" t="s">
        <v>10019</v>
      </c>
      <c r="O670" t="str">
        <f>HYPERLINK("1\1\marker_752_754560.png", "Ver Imagen")</f>
        <v>Ver Imagen</v>
      </c>
      <c r="P670" t="str">
        <f>HYPERLINK("NO\A-490\A-490__434.png", "Ver Imagen")</f>
        <v>Ver Imagen</v>
      </c>
    </row>
    <row r="671" spans="1:16" x14ac:dyDescent="0.25">
      <c r="A671">
        <v>62</v>
      </c>
      <c r="B671" t="s">
        <v>136</v>
      </c>
      <c r="C671">
        <v>37.485726239900004</v>
      </c>
      <c r="D671">
        <v>-7.2342644689600002</v>
      </c>
      <c r="E671">
        <v>1</v>
      </c>
      <c r="F671">
        <v>2</v>
      </c>
      <c r="G671">
        <v>1</v>
      </c>
      <c r="J671" t="s">
        <v>15</v>
      </c>
      <c r="K671">
        <v>1</v>
      </c>
      <c r="L671">
        <v>1.2809999999999999</v>
      </c>
      <c r="M671">
        <v>0</v>
      </c>
      <c r="N671" t="s">
        <v>10019</v>
      </c>
      <c r="O671" t="str">
        <f>HYPERLINK("1\1\marker_230_755606.png", "Ver Imagen")</f>
        <v>Ver Imagen</v>
      </c>
      <c r="P671" t="str">
        <f>HYPERLINK("NO\A-490\A-490__481.png", "Ver Imagen")</f>
        <v>Ver Imagen</v>
      </c>
    </row>
    <row r="672" spans="1:16" x14ac:dyDescent="0.25">
      <c r="A672">
        <v>63</v>
      </c>
      <c r="B672" t="s">
        <v>138</v>
      </c>
      <c r="C672">
        <v>37.4881311842</v>
      </c>
      <c r="D672">
        <v>-7.24573575377</v>
      </c>
      <c r="E672">
        <v>1</v>
      </c>
      <c r="F672">
        <v>2</v>
      </c>
      <c r="G672">
        <v>1</v>
      </c>
      <c r="J672" t="s">
        <v>15</v>
      </c>
      <c r="K672">
        <v>1</v>
      </c>
      <c r="L672">
        <v>1</v>
      </c>
      <c r="M672">
        <v>0</v>
      </c>
      <c r="N672" t="s">
        <v>10019</v>
      </c>
      <c r="O672" t="str">
        <f>HYPERLINK("1\1\marker_897_818180.png", "Ver Imagen")</f>
        <v>Ver Imagen</v>
      </c>
      <c r="P672" t="str">
        <f>HYPERLINK("NO\A-490\A-490__528.png", "Ver Imagen")</f>
        <v>Ver Imagen</v>
      </c>
    </row>
    <row r="673" spans="1:16" x14ac:dyDescent="0.25">
      <c r="A673">
        <v>64</v>
      </c>
      <c r="B673" t="s">
        <v>140</v>
      </c>
      <c r="C673">
        <v>37.488235332999999</v>
      </c>
      <c r="D673">
        <v>-7.2460041407100002</v>
      </c>
      <c r="E673">
        <v>1</v>
      </c>
      <c r="F673">
        <v>2</v>
      </c>
      <c r="G673">
        <v>1</v>
      </c>
      <c r="J673" t="s">
        <v>15</v>
      </c>
      <c r="K673">
        <v>1</v>
      </c>
      <c r="L673">
        <v>1</v>
      </c>
      <c r="M673">
        <v>0</v>
      </c>
      <c r="N673" t="s">
        <v>10019</v>
      </c>
      <c r="O673" t="str">
        <f>HYPERLINK("1\1\marker_511_818192.png", "Ver Imagen")</f>
        <v>Ver Imagen</v>
      </c>
      <c r="P673" t="str">
        <f>HYPERLINK("NO\A-490\A-490__529.png", "Ver Imagen")</f>
        <v>Ver Imagen</v>
      </c>
    </row>
    <row r="674" spans="1:16" x14ac:dyDescent="0.25">
      <c r="A674">
        <v>67</v>
      </c>
      <c r="B674" t="s">
        <v>146</v>
      </c>
      <c r="C674">
        <v>37.490705820000002</v>
      </c>
      <c r="D674">
        <v>-7.2514278879100003</v>
      </c>
      <c r="E674">
        <v>1</v>
      </c>
      <c r="F674">
        <v>2</v>
      </c>
      <c r="G674">
        <v>1</v>
      </c>
      <c r="J674" t="s">
        <v>15</v>
      </c>
      <c r="K674">
        <v>1</v>
      </c>
      <c r="L674">
        <v>1</v>
      </c>
      <c r="M674">
        <v>0</v>
      </c>
      <c r="N674" t="s">
        <v>10019</v>
      </c>
      <c r="O674" t="str">
        <f>HYPERLINK("1\1\marker_529_818698.png", "Ver Imagen")</f>
        <v>Ver Imagen</v>
      </c>
      <c r="P674" t="str">
        <f>HYPERLINK("NO\A-490\A-490__555.png", "Ver Imagen")</f>
        <v>Ver Imagen</v>
      </c>
    </row>
    <row r="675" spans="1:16" x14ac:dyDescent="0.25">
      <c r="A675">
        <v>68</v>
      </c>
      <c r="B675" t="s">
        <v>148</v>
      </c>
      <c r="C675">
        <v>37.490690115600003</v>
      </c>
      <c r="D675">
        <v>-7.2519672977300003</v>
      </c>
      <c r="E675">
        <v>1</v>
      </c>
      <c r="F675">
        <v>2</v>
      </c>
      <c r="G675">
        <v>1</v>
      </c>
      <c r="J675" t="s">
        <v>15</v>
      </c>
      <c r="K675">
        <v>1</v>
      </c>
      <c r="L675">
        <v>1.1539999999999999</v>
      </c>
      <c r="M675">
        <v>0</v>
      </c>
      <c r="N675" t="s">
        <v>10019</v>
      </c>
      <c r="O675" t="str">
        <f>HYPERLINK("1\1\marker_749_819120.png", "Ver Imagen")</f>
        <v>Ver Imagen</v>
      </c>
      <c r="P675" t="str">
        <f>HYPERLINK("NO\A-490\A-490__557.png", "Ver Imagen")</f>
        <v>Ver Imagen</v>
      </c>
    </row>
    <row r="676" spans="1:16" x14ac:dyDescent="0.25">
      <c r="A676">
        <v>69</v>
      </c>
      <c r="B676" t="s">
        <v>150</v>
      </c>
      <c r="C676">
        <v>37.490679926200002</v>
      </c>
      <c r="D676">
        <v>-7.2522529755800003</v>
      </c>
      <c r="E676">
        <v>1</v>
      </c>
      <c r="F676">
        <v>2</v>
      </c>
      <c r="G676">
        <v>1</v>
      </c>
      <c r="J676" t="s">
        <v>15</v>
      </c>
      <c r="K676">
        <v>1</v>
      </c>
      <c r="L676">
        <v>1.028</v>
      </c>
      <c r="M676">
        <v>0</v>
      </c>
      <c r="N676" t="s">
        <v>10019</v>
      </c>
      <c r="O676" t="str">
        <f>HYPERLINK("1\1\marker_919_819141.png", "Ver Imagen")</f>
        <v>Ver Imagen</v>
      </c>
      <c r="P676" t="str">
        <f>HYPERLINK("NO\A-490\A-490__558.png", "Ver Imagen")</f>
        <v>Ver Imagen</v>
      </c>
    </row>
    <row r="677" spans="1:16" x14ac:dyDescent="0.25">
      <c r="A677">
        <v>70</v>
      </c>
      <c r="B677" t="s">
        <v>152</v>
      </c>
      <c r="C677">
        <v>37.490668233199997</v>
      </c>
      <c r="D677">
        <v>-7.2525110048199997</v>
      </c>
      <c r="E677">
        <v>1</v>
      </c>
      <c r="F677">
        <v>2</v>
      </c>
      <c r="G677">
        <v>1</v>
      </c>
      <c r="J677" t="s">
        <v>15</v>
      </c>
      <c r="K677">
        <v>1</v>
      </c>
      <c r="L677">
        <v>1</v>
      </c>
      <c r="M677">
        <v>0</v>
      </c>
      <c r="N677" t="s">
        <v>10019</v>
      </c>
      <c r="O677" t="str">
        <f>HYPERLINK("1\1\marker_863_819158.png", "Ver Imagen")</f>
        <v>Ver Imagen</v>
      </c>
      <c r="P677" t="str">
        <f>HYPERLINK("NO\A-490\A-490__559.png", "Ver Imagen")</f>
        <v>Ver Imagen</v>
      </c>
    </row>
    <row r="678" spans="1:16" x14ac:dyDescent="0.25">
      <c r="A678">
        <v>71</v>
      </c>
      <c r="B678" t="s">
        <v>154</v>
      </c>
      <c r="C678">
        <v>37.4906034762</v>
      </c>
      <c r="D678">
        <v>-7.25346488985</v>
      </c>
      <c r="E678">
        <v>1</v>
      </c>
      <c r="F678">
        <v>2</v>
      </c>
      <c r="G678">
        <v>1</v>
      </c>
      <c r="J678" t="s">
        <v>15</v>
      </c>
      <c r="K678">
        <v>1</v>
      </c>
      <c r="L678">
        <v>1.028</v>
      </c>
      <c r="M678">
        <v>0</v>
      </c>
      <c r="N678" t="s">
        <v>10019</v>
      </c>
      <c r="O678" t="str">
        <f>HYPERLINK("1\1\marker_146_819219.png", "Ver Imagen")</f>
        <v>Ver Imagen</v>
      </c>
      <c r="P678" t="str">
        <f>HYPERLINK("NO\A-490\A-490__563.png", "Ver Imagen")</f>
        <v>Ver Imagen</v>
      </c>
    </row>
    <row r="679" spans="1:16" x14ac:dyDescent="0.25">
      <c r="A679">
        <v>72</v>
      </c>
      <c r="B679" t="s">
        <v>156</v>
      </c>
      <c r="C679">
        <v>37.490562537700001</v>
      </c>
      <c r="D679">
        <v>-7.2539585901399999</v>
      </c>
      <c r="E679">
        <v>1</v>
      </c>
      <c r="F679">
        <v>2</v>
      </c>
      <c r="G679">
        <v>1</v>
      </c>
      <c r="J679" t="s">
        <v>15</v>
      </c>
      <c r="K679">
        <v>1</v>
      </c>
      <c r="L679">
        <v>1.141</v>
      </c>
      <c r="M679">
        <v>0</v>
      </c>
      <c r="N679" t="s">
        <v>10019</v>
      </c>
      <c r="O679" t="str">
        <f>HYPERLINK("1\1\marker_423_819248.png", "Ver Imagen")</f>
        <v>Ver Imagen</v>
      </c>
      <c r="P679" t="str">
        <f>HYPERLINK("NO\A-490\A-490__565.png", "Ver Imagen")</f>
        <v>Ver Imagen</v>
      </c>
    </row>
    <row r="680" spans="1:16" x14ac:dyDescent="0.25">
      <c r="A680">
        <v>73</v>
      </c>
      <c r="B680" t="s">
        <v>158</v>
      </c>
      <c r="C680">
        <v>37.490540759799998</v>
      </c>
      <c r="D680">
        <v>-7.2542095241300002</v>
      </c>
      <c r="E680">
        <v>1</v>
      </c>
      <c r="F680">
        <v>2</v>
      </c>
      <c r="G680">
        <v>1</v>
      </c>
      <c r="J680" t="s">
        <v>15</v>
      </c>
      <c r="K680">
        <v>1</v>
      </c>
      <c r="L680">
        <v>1</v>
      </c>
      <c r="M680">
        <v>0</v>
      </c>
      <c r="N680" t="s">
        <v>10019</v>
      </c>
      <c r="O680" t="str">
        <f>HYPERLINK("1\1\marker_845_819262.png", "Ver Imagen")</f>
        <v>Ver Imagen</v>
      </c>
      <c r="P680" t="str">
        <f>HYPERLINK("NO\A-490\A-490__566.png", "Ver Imagen")</f>
        <v>Ver Imagen</v>
      </c>
    </row>
    <row r="681" spans="1:16" x14ac:dyDescent="0.25">
      <c r="A681">
        <v>74</v>
      </c>
      <c r="B681" t="s">
        <v>160</v>
      </c>
      <c r="C681">
        <v>37.490513712899997</v>
      </c>
      <c r="D681">
        <v>-7.2545149376399998</v>
      </c>
      <c r="E681">
        <v>1</v>
      </c>
      <c r="F681">
        <v>2</v>
      </c>
      <c r="G681">
        <v>1</v>
      </c>
      <c r="J681" t="s">
        <v>15</v>
      </c>
      <c r="K681">
        <v>1</v>
      </c>
      <c r="L681">
        <v>1</v>
      </c>
      <c r="M681">
        <v>0</v>
      </c>
      <c r="N681" t="s">
        <v>10019</v>
      </c>
      <c r="O681" t="str">
        <f>HYPERLINK("1\1\marker_896_819277.png", "Ver Imagen")</f>
        <v>Ver Imagen</v>
      </c>
      <c r="P681" t="str">
        <f>HYPERLINK("NO\A-490\A-490__567.png", "Ver Imagen")</f>
        <v>Ver Imagen</v>
      </c>
    </row>
    <row r="682" spans="1:16" x14ac:dyDescent="0.25">
      <c r="A682">
        <v>75</v>
      </c>
      <c r="B682" t="s">
        <v>162</v>
      </c>
      <c r="C682">
        <v>37.4904484455</v>
      </c>
      <c r="D682">
        <v>-7.2552793281100003</v>
      </c>
      <c r="E682">
        <v>1</v>
      </c>
      <c r="F682">
        <v>2</v>
      </c>
      <c r="G682">
        <v>1</v>
      </c>
      <c r="J682" t="s">
        <v>15</v>
      </c>
      <c r="K682">
        <v>1</v>
      </c>
      <c r="L682">
        <v>1</v>
      </c>
      <c r="M682">
        <v>0</v>
      </c>
      <c r="N682" t="s">
        <v>10019</v>
      </c>
      <c r="O682" t="str">
        <f>HYPERLINK("1\1\marker_480_819328.png", "Ver Imagen")</f>
        <v>Ver Imagen</v>
      </c>
      <c r="P682" t="str">
        <f>HYPERLINK("NO\A-490\A-490__570.png", "Ver Imagen")</f>
        <v>Ver Imagen</v>
      </c>
    </row>
    <row r="683" spans="1:16" x14ac:dyDescent="0.25">
      <c r="A683">
        <v>76</v>
      </c>
      <c r="B683" t="s">
        <v>164</v>
      </c>
      <c r="C683">
        <v>37.490363689399999</v>
      </c>
      <c r="D683">
        <v>-7.2562420467799997</v>
      </c>
      <c r="E683">
        <v>1</v>
      </c>
      <c r="F683">
        <v>2</v>
      </c>
      <c r="G683">
        <v>1</v>
      </c>
      <c r="J683" t="s">
        <v>15</v>
      </c>
      <c r="K683">
        <v>1</v>
      </c>
      <c r="L683">
        <v>1.034</v>
      </c>
      <c r="M683">
        <v>0</v>
      </c>
      <c r="N683" t="s">
        <v>10019</v>
      </c>
      <c r="O683" t="str">
        <f>HYPERLINK("1\1\marker_114_819394.png", "Ver Imagen")</f>
        <v>Ver Imagen</v>
      </c>
      <c r="P683" t="str">
        <f>HYPERLINK("NO\A-490\A-490__574.png", "Ver Imagen")</f>
        <v>Ver Imagen</v>
      </c>
    </row>
    <row r="684" spans="1:16" x14ac:dyDescent="0.25">
      <c r="A684">
        <v>77</v>
      </c>
      <c r="B684" t="s">
        <v>166</v>
      </c>
      <c r="C684">
        <v>37.490340661099999</v>
      </c>
      <c r="D684">
        <v>-7.2564977972799998</v>
      </c>
      <c r="E684">
        <v>1</v>
      </c>
      <c r="F684">
        <v>2</v>
      </c>
      <c r="G684">
        <v>1</v>
      </c>
      <c r="J684" t="s">
        <v>15</v>
      </c>
      <c r="K684">
        <v>1</v>
      </c>
      <c r="L684">
        <v>1</v>
      </c>
      <c r="M684">
        <v>0</v>
      </c>
      <c r="N684" t="s">
        <v>10019</v>
      </c>
      <c r="O684" t="str">
        <f>HYPERLINK("1\1\marker_297_819408.png", "Ver Imagen")</f>
        <v>Ver Imagen</v>
      </c>
      <c r="P684" t="str">
        <f>HYPERLINK("NO\A-490\A-490__575.png", "Ver Imagen")</f>
        <v>Ver Imagen</v>
      </c>
    </row>
    <row r="685" spans="1:16" x14ac:dyDescent="0.25">
      <c r="A685">
        <v>78</v>
      </c>
      <c r="B685" t="s">
        <v>168</v>
      </c>
      <c r="C685">
        <v>37.490312496599998</v>
      </c>
      <c r="D685">
        <v>-7.2567738402600002</v>
      </c>
      <c r="E685">
        <v>1</v>
      </c>
      <c r="F685">
        <v>2</v>
      </c>
      <c r="G685">
        <v>1</v>
      </c>
      <c r="J685" t="s">
        <v>15</v>
      </c>
      <c r="K685">
        <v>1</v>
      </c>
      <c r="L685">
        <v>1.1180000000000001</v>
      </c>
      <c r="M685">
        <v>0</v>
      </c>
      <c r="N685" t="s">
        <v>10019</v>
      </c>
      <c r="O685" t="str">
        <f>HYPERLINK("1\1\marker_376_819420.png", "Ver Imagen")</f>
        <v>Ver Imagen</v>
      </c>
      <c r="P685" t="str">
        <f>HYPERLINK("NO\A-490\A-490__576.png", "Ver Imagen")</f>
        <v>Ver Imagen</v>
      </c>
    </row>
    <row r="686" spans="1:16" x14ac:dyDescent="0.25">
      <c r="A686">
        <v>79</v>
      </c>
      <c r="B686" t="s">
        <v>170</v>
      </c>
      <c r="C686">
        <v>37.4902549898</v>
      </c>
      <c r="D686">
        <v>-7.2572418595099997</v>
      </c>
      <c r="E686">
        <v>1</v>
      </c>
      <c r="F686">
        <v>2</v>
      </c>
      <c r="G686">
        <v>1</v>
      </c>
      <c r="J686" t="s">
        <v>15</v>
      </c>
      <c r="K686">
        <v>1</v>
      </c>
      <c r="L686">
        <v>1.036</v>
      </c>
      <c r="M686">
        <v>0</v>
      </c>
      <c r="N686" t="s">
        <v>10019</v>
      </c>
      <c r="O686" t="str">
        <f>HYPERLINK("1\1\marker_464_819445.png", "Ver Imagen")</f>
        <v>Ver Imagen</v>
      </c>
      <c r="P686" t="str">
        <f>HYPERLINK("NO\A-490\A-490__578.png", "Ver Imagen")</f>
        <v>Ver Imagen</v>
      </c>
    </row>
    <row r="687" spans="1:16" x14ac:dyDescent="0.25">
      <c r="A687">
        <v>80</v>
      </c>
      <c r="B687" t="s">
        <v>172</v>
      </c>
      <c r="C687">
        <v>37.490220811</v>
      </c>
      <c r="D687">
        <v>-7.2574897178400004</v>
      </c>
      <c r="E687">
        <v>1</v>
      </c>
      <c r="F687">
        <v>2</v>
      </c>
      <c r="G687">
        <v>1</v>
      </c>
      <c r="J687" t="s">
        <v>15</v>
      </c>
      <c r="K687">
        <v>1</v>
      </c>
      <c r="L687">
        <v>1</v>
      </c>
      <c r="M687">
        <v>0</v>
      </c>
      <c r="N687" t="s">
        <v>10019</v>
      </c>
      <c r="O687" t="str">
        <f>HYPERLINK("1\1\marker_145_819457.png", "Ver Imagen")</f>
        <v>Ver Imagen</v>
      </c>
      <c r="P687" t="str">
        <f>HYPERLINK("NO\A-490\A-490__579.png", "Ver Imagen")</f>
        <v>Ver Imagen</v>
      </c>
    </row>
    <row r="688" spans="1:16" x14ac:dyDescent="0.25">
      <c r="A688">
        <v>82</v>
      </c>
      <c r="B688" t="s">
        <v>176</v>
      </c>
      <c r="C688">
        <v>37.493137105999999</v>
      </c>
      <c r="D688">
        <v>-7.2634838042299998</v>
      </c>
      <c r="E688">
        <v>1</v>
      </c>
      <c r="F688">
        <v>2</v>
      </c>
      <c r="G688">
        <v>1</v>
      </c>
      <c r="J688" t="s">
        <v>15</v>
      </c>
      <c r="K688">
        <v>1</v>
      </c>
      <c r="L688">
        <v>1.0049999999999999</v>
      </c>
      <c r="M688">
        <v>0</v>
      </c>
      <c r="N688" t="s">
        <v>10019</v>
      </c>
      <c r="O688" t="str">
        <f>HYPERLINK("1\1\marker_729_820194.png", "Ver Imagen")</f>
        <v>Ver Imagen</v>
      </c>
      <c r="P688" t="str">
        <f>HYPERLINK("NO\A-490\A-490__609.png", "Ver Imagen")</f>
        <v>Ver Imagen</v>
      </c>
    </row>
    <row r="689" spans="1:16" x14ac:dyDescent="0.25">
      <c r="A689">
        <v>83</v>
      </c>
      <c r="B689" t="s">
        <v>178</v>
      </c>
      <c r="C689">
        <v>37.464974236899998</v>
      </c>
      <c r="D689">
        <v>-7.1210508192099997</v>
      </c>
      <c r="E689">
        <v>1</v>
      </c>
      <c r="F689">
        <v>1</v>
      </c>
      <c r="G689">
        <v>2</v>
      </c>
      <c r="J689" t="s">
        <v>15</v>
      </c>
      <c r="K689">
        <v>1</v>
      </c>
      <c r="L689">
        <v>1</v>
      </c>
      <c r="M689">
        <v>0</v>
      </c>
      <c r="N689" t="s">
        <v>10019</v>
      </c>
      <c r="O689" t="str">
        <f>HYPERLINK("1\1\marker_472_895631.png", "Ver Imagen")</f>
        <v>Ver Imagen</v>
      </c>
      <c r="P689" t="str">
        <f>HYPERLINK("NE\A-495R\A-495R__115.png", "Ver Imagen")</f>
        <v>Ver Imagen</v>
      </c>
    </row>
    <row r="690" spans="1:16" x14ac:dyDescent="0.25">
      <c r="A690">
        <v>84</v>
      </c>
      <c r="B690" t="s">
        <v>180</v>
      </c>
      <c r="C690">
        <v>37.464431157200003</v>
      </c>
      <c r="D690">
        <v>-7.1193903455800003</v>
      </c>
      <c r="E690">
        <v>1</v>
      </c>
      <c r="F690">
        <v>1</v>
      </c>
      <c r="G690">
        <v>2</v>
      </c>
      <c r="J690" t="s">
        <v>15</v>
      </c>
      <c r="K690">
        <v>1</v>
      </c>
      <c r="L690">
        <v>1</v>
      </c>
      <c r="M690">
        <v>0</v>
      </c>
      <c r="N690" t="s">
        <v>10019</v>
      </c>
      <c r="O690" t="str">
        <f>HYPERLINK("1\1\marker_608_895773.png", "Ver Imagen")</f>
        <v>Ver Imagen</v>
      </c>
      <c r="P690" t="str">
        <f>HYPERLINK("NE\A-495R\A-495R__108.png", "Ver Imagen")</f>
        <v>Ver Imagen</v>
      </c>
    </row>
    <row r="691" spans="1:16" x14ac:dyDescent="0.25">
      <c r="A691">
        <v>87</v>
      </c>
      <c r="B691" t="s">
        <v>186</v>
      </c>
      <c r="C691">
        <v>37.463318292799997</v>
      </c>
      <c r="D691">
        <v>-7.1179926808999996</v>
      </c>
      <c r="E691">
        <v>1</v>
      </c>
      <c r="F691">
        <v>1</v>
      </c>
      <c r="G691">
        <v>2</v>
      </c>
      <c r="J691" t="s">
        <v>15</v>
      </c>
      <c r="K691">
        <v>1</v>
      </c>
      <c r="L691">
        <v>1</v>
      </c>
      <c r="M691">
        <v>0</v>
      </c>
      <c r="N691" t="s">
        <v>10019</v>
      </c>
      <c r="O691" t="str">
        <f>HYPERLINK("1\1\marker_420_896595.png", "Ver Imagen")</f>
        <v>Ver Imagen</v>
      </c>
      <c r="P691" t="str">
        <f>HYPERLINK("NE\A-495R\A-495R__100.png", "Ver Imagen")</f>
        <v>Ver Imagen</v>
      </c>
    </row>
    <row r="692" spans="1:16" x14ac:dyDescent="0.25">
      <c r="A692">
        <v>88</v>
      </c>
      <c r="B692" t="s">
        <v>188</v>
      </c>
      <c r="C692">
        <v>37.463154811800003</v>
      </c>
      <c r="D692">
        <v>-7.1178717141799996</v>
      </c>
      <c r="E692">
        <v>1</v>
      </c>
      <c r="F692">
        <v>1</v>
      </c>
      <c r="G692">
        <v>2</v>
      </c>
      <c r="J692" t="s">
        <v>15</v>
      </c>
      <c r="K692">
        <v>1</v>
      </c>
      <c r="L692">
        <v>1.014</v>
      </c>
      <c r="M692">
        <v>0</v>
      </c>
      <c r="N692" t="s">
        <v>10019</v>
      </c>
      <c r="O692" t="str">
        <f>HYPERLINK("1\1\marker_390_896605.png", "Ver Imagen")</f>
        <v>Ver Imagen</v>
      </c>
      <c r="P692" t="str">
        <f>HYPERLINK("NE\A-495R\A-495R__99.png", "Ver Imagen")</f>
        <v>Ver Imagen</v>
      </c>
    </row>
    <row r="693" spans="1:16" x14ac:dyDescent="0.25">
      <c r="A693">
        <v>89</v>
      </c>
      <c r="B693" t="s">
        <v>190</v>
      </c>
      <c r="C693">
        <v>37.462790816000002</v>
      </c>
      <c r="D693">
        <v>-7.1176336435399996</v>
      </c>
      <c r="E693">
        <v>1</v>
      </c>
      <c r="F693">
        <v>1</v>
      </c>
      <c r="G693">
        <v>2</v>
      </c>
      <c r="J693" t="s">
        <v>15</v>
      </c>
      <c r="K693">
        <v>1</v>
      </c>
      <c r="L693">
        <v>1.159</v>
      </c>
      <c r="M693">
        <v>0</v>
      </c>
      <c r="N693" t="s">
        <v>10017</v>
      </c>
      <c r="O693" t="str">
        <f>HYPERLINK("1\1\marker_279_906537.png", "Ver Imagen")</f>
        <v>Ver Imagen</v>
      </c>
      <c r="P693" t="str">
        <f>HYPERLINK("NE\A-495R\A-495R__97.png", "Ver Imagen")</f>
        <v>Ver Imagen</v>
      </c>
    </row>
    <row r="694" spans="1:16" x14ac:dyDescent="0.25">
      <c r="A694">
        <v>90</v>
      </c>
      <c r="B694" t="s">
        <v>192</v>
      </c>
      <c r="C694">
        <v>37.462410349999999</v>
      </c>
      <c r="D694">
        <v>-7.11738555144</v>
      </c>
      <c r="E694">
        <v>1</v>
      </c>
      <c r="F694">
        <v>1</v>
      </c>
      <c r="G694">
        <v>2</v>
      </c>
      <c r="J694" t="s">
        <v>15</v>
      </c>
      <c r="K694">
        <v>1</v>
      </c>
      <c r="L694">
        <v>1.4510000000000001</v>
      </c>
      <c r="M694">
        <v>0</v>
      </c>
      <c r="N694" t="s">
        <v>10019</v>
      </c>
      <c r="O694" t="str">
        <f>HYPERLINK("1\1\marker_485_906559.png", "Ver Imagen")</f>
        <v>Ver Imagen</v>
      </c>
      <c r="P694" t="str">
        <f>HYPERLINK("NE\A-495R\A-495R__95.png", "Ver Imagen")</f>
        <v>Ver Imagen</v>
      </c>
    </row>
    <row r="695" spans="1:16" x14ac:dyDescent="0.25">
      <c r="A695">
        <v>92</v>
      </c>
      <c r="B695" t="s">
        <v>196</v>
      </c>
      <c r="C695">
        <v>37.462096770199999</v>
      </c>
      <c r="D695">
        <v>-7.1171371355700002</v>
      </c>
      <c r="E695">
        <v>1</v>
      </c>
      <c r="F695">
        <v>1</v>
      </c>
      <c r="G695">
        <v>2</v>
      </c>
      <c r="J695" t="s">
        <v>15</v>
      </c>
      <c r="K695">
        <v>1</v>
      </c>
      <c r="L695">
        <v>1</v>
      </c>
      <c r="M695">
        <v>0</v>
      </c>
      <c r="N695" t="s">
        <v>10019</v>
      </c>
      <c r="O695" t="str">
        <f>HYPERLINK("1\1\marker_845_906580.png", "Ver Imagen")</f>
        <v>Ver Imagen</v>
      </c>
      <c r="P695" t="str">
        <f>HYPERLINK("NE\A-495R\A-495R__93.png", "Ver Imagen")</f>
        <v>Ver Imagen</v>
      </c>
    </row>
    <row r="696" spans="1:16" x14ac:dyDescent="0.25">
      <c r="A696">
        <v>93</v>
      </c>
      <c r="B696" t="s">
        <v>198</v>
      </c>
      <c r="C696">
        <v>37.4619249239</v>
      </c>
      <c r="D696">
        <v>-7.1169766619899999</v>
      </c>
      <c r="E696">
        <v>1</v>
      </c>
      <c r="F696">
        <v>1</v>
      </c>
      <c r="G696">
        <v>2</v>
      </c>
      <c r="J696" t="s">
        <v>15</v>
      </c>
      <c r="K696">
        <v>1</v>
      </c>
      <c r="L696">
        <v>1.3029999999999999</v>
      </c>
      <c r="M696">
        <v>0</v>
      </c>
      <c r="N696" t="s">
        <v>10019</v>
      </c>
      <c r="O696" t="str">
        <f>HYPERLINK("1\1\marker_229_906591.png", "Ver Imagen")</f>
        <v>Ver Imagen</v>
      </c>
      <c r="P696" t="str">
        <f>HYPERLINK("NE\A-495R\A-495R__92.png", "Ver Imagen")</f>
        <v>Ver Imagen</v>
      </c>
    </row>
    <row r="697" spans="1:16" x14ac:dyDescent="0.25">
      <c r="A697">
        <v>97</v>
      </c>
      <c r="B697" t="s">
        <v>206</v>
      </c>
      <c r="C697">
        <v>37.461192681900002</v>
      </c>
      <c r="D697">
        <v>-7.1161015666100003</v>
      </c>
      <c r="E697">
        <v>1</v>
      </c>
      <c r="F697">
        <v>1</v>
      </c>
      <c r="G697">
        <v>2</v>
      </c>
      <c r="J697" t="s">
        <v>15</v>
      </c>
      <c r="K697">
        <v>1</v>
      </c>
      <c r="L697">
        <v>1</v>
      </c>
      <c r="M697">
        <v>0</v>
      </c>
      <c r="N697" t="s">
        <v>10019</v>
      </c>
      <c r="O697" t="str">
        <f>HYPERLINK("1\1\marker_942_906648.png", "Ver Imagen")</f>
        <v>Ver Imagen</v>
      </c>
      <c r="P697" t="str">
        <f>HYPERLINK("NE\A-495R\A-495R__87.png", "Ver Imagen")</f>
        <v>Ver Imagen</v>
      </c>
    </row>
    <row r="698" spans="1:16" x14ac:dyDescent="0.25">
      <c r="A698">
        <v>99</v>
      </c>
      <c r="B698" t="s">
        <v>210</v>
      </c>
      <c r="C698">
        <v>37.217836762799998</v>
      </c>
      <c r="D698">
        <v>-7.1165117258899997</v>
      </c>
      <c r="E698">
        <v>1</v>
      </c>
      <c r="F698">
        <v>1</v>
      </c>
      <c r="G698">
        <v>2</v>
      </c>
      <c r="J698" t="s">
        <v>15</v>
      </c>
      <c r="K698">
        <v>1</v>
      </c>
      <c r="L698">
        <v>1.224</v>
      </c>
      <c r="M698">
        <v>0</v>
      </c>
      <c r="N698" t="s">
        <v>10019</v>
      </c>
      <c r="O698" t="str">
        <f>HYPERLINK("1\1\marker_346_956781.png", "Ver Imagen")</f>
        <v>Ver Imagen</v>
      </c>
      <c r="P698" t="str">
        <f>HYPERLINK("SO\A-5052\A-5052__38.png", "Ver Imagen")</f>
        <v>Ver Imagen</v>
      </c>
    </row>
    <row r="699" spans="1:16" x14ac:dyDescent="0.25">
      <c r="A699">
        <v>100</v>
      </c>
      <c r="B699" t="s">
        <v>212</v>
      </c>
      <c r="C699">
        <v>37.217800616700004</v>
      </c>
      <c r="D699">
        <v>-7.1162511940200002</v>
      </c>
      <c r="E699">
        <v>1</v>
      </c>
      <c r="F699">
        <v>1</v>
      </c>
      <c r="G699">
        <v>2</v>
      </c>
      <c r="J699" t="s">
        <v>15</v>
      </c>
      <c r="K699">
        <v>1</v>
      </c>
      <c r="L699">
        <v>1.0549999999999999</v>
      </c>
      <c r="M699">
        <v>0</v>
      </c>
      <c r="N699" t="s">
        <v>10019</v>
      </c>
      <c r="O699" t="str">
        <f>HYPERLINK("1\1\marker_237_956791.png", "Ver Imagen")</f>
        <v>Ver Imagen</v>
      </c>
      <c r="P699" t="str">
        <f>HYPERLINK("SO\A-5052\A-5052__39.png", "Ver Imagen")</f>
        <v>Ver Imagen</v>
      </c>
    </row>
    <row r="700" spans="1:16" x14ac:dyDescent="0.25">
      <c r="A700">
        <v>101</v>
      </c>
      <c r="B700" t="s">
        <v>214</v>
      </c>
      <c r="C700">
        <v>37.217768080299997</v>
      </c>
      <c r="D700">
        <v>-7.1160083822600004</v>
      </c>
      <c r="E700">
        <v>1</v>
      </c>
      <c r="F700">
        <v>1</v>
      </c>
      <c r="G700">
        <v>2</v>
      </c>
      <c r="J700" t="s">
        <v>15</v>
      </c>
      <c r="K700">
        <v>1</v>
      </c>
      <c r="L700">
        <v>1.07</v>
      </c>
      <c r="M700">
        <v>0</v>
      </c>
      <c r="N700" t="s">
        <v>10019</v>
      </c>
      <c r="O700" t="str">
        <f>HYPERLINK("1\1\marker_121_956809.png", "Ver Imagen")</f>
        <v>Ver Imagen</v>
      </c>
      <c r="P700" t="str">
        <f>HYPERLINK("SO\A-5052\A-5052__40.png", "Ver Imagen")</f>
        <v>Ver Imagen</v>
      </c>
    </row>
    <row r="701" spans="1:16" x14ac:dyDescent="0.25">
      <c r="A701">
        <v>102</v>
      </c>
      <c r="B701" t="s">
        <v>216</v>
      </c>
      <c r="C701">
        <v>37.217732590600001</v>
      </c>
      <c r="D701">
        <v>-7.1157445932999996</v>
      </c>
      <c r="E701">
        <v>1</v>
      </c>
      <c r="F701">
        <v>1</v>
      </c>
      <c r="G701">
        <v>2</v>
      </c>
      <c r="J701" t="s">
        <v>15</v>
      </c>
      <c r="K701">
        <v>1</v>
      </c>
      <c r="L701">
        <v>1.042</v>
      </c>
      <c r="M701">
        <v>0</v>
      </c>
      <c r="N701" t="s">
        <v>10019</v>
      </c>
      <c r="O701" t="str">
        <f>HYPERLINK("1\1\marker_644_956821.png", "Ver Imagen")</f>
        <v>Ver Imagen</v>
      </c>
      <c r="P701" t="str">
        <f>HYPERLINK("SO\A-5052\A-5052__41.png", "Ver Imagen")</f>
        <v>Ver Imagen</v>
      </c>
    </row>
    <row r="702" spans="1:16" x14ac:dyDescent="0.25">
      <c r="A702">
        <v>103</v>
      </c>
      <c r="B702" t="s">
        <v>218</v>
      </c>
      <c r="C702">
        <v>37.217592942700001</v>
      </c>
      <c r="D702">
        <v>-7.11470679473</v>
      </c>
      <c r="E702">
        <v>1</v>
      </c>
      <c r="F702">
        <v>1</v>
      </c>
      <c r="G702">
        <v>2</v>
      </c>
      <c r="J702" t="s">
        <v>15</v>
      </c>
      <c r="K702">
        <v>1</v>
      </c>
      <c r="L702">
        <v>1.2809999999999999</v>
      </c>
      <c r="M702">
        <v>0</v>
      </c>
      <c r="N702" t="s">
        <v>10019</v>
      </c>
      <c r="O702" t="str">
        <f>HYPERLINK("1\1\marker_734_956868.png", "Ver Imagen")</f>
        <v>Ver Imagen</v>
      </c>
      <c r="P702" t="str">
        <f>HYPERLINK("SO\A-5052\A-5052__45.png", "Ver Imagen")</f>
        <v>Ver Imagen</v>
      </c>
    </row>
    <row r="703" spans="1:16" x14ac:dyDescent="0.25">
      <c r="A703">
        <v>104</v>
      </c>
      <c r="B703" t="s">
        <v>220</v>
      </c>
      <c r="C703">
        <v>37.2176408009</v>
      </c>
      <c r="D703">
        <v>-7.1104482628600003</v>
      </c>
      <c r="E703">
        <v>1</v>
      </c>
      <c r="F703">
        <v>1</v>
      </c>
      <c r="G703">
        <v>2</v>
      </c>
      <c r="J703" t="s">
        <v>15</v>
      </c>
      <c r="K703">
        <v>1</v>
      </c>
      <c r="L703">
        <v>1.111</v>
      </c>
      <c r="M703">
        <v>0</v>
      </c>
      <c r="N703" t="s">
        <v>10019</v>
      </c>
      <c r="O703" t="str">
        <f>HYPERLINK("1\1\marker_421_957088.png", "Ver Imagen")</f>
        <v>Ver Imagen</v>
      </c>
      <c r="P703" t="str">
        <f>HYPERLINK("SO\A-5052\A-5052__62.png", "Ver Imagen")</f>
        <v>Ver Imagen</v>
      </c>
    </row>
    <row r="704" spans="1:16" x14ac:dyDescent="0.25">
      <c r="A704">
        <v>105</v>
      </c>
      <c r="B704" t="s">
        <v>222</v>
      </c>
      <c r="C704">
        <v>37.217650068600001</v>
      </c>
      <c r="D704">
        <v>-7.1101947003000001</v>
      </c>
      <c r="E704">
        <v>1</v>
      </c>
      <c r="F704">
        <v>1</v>
      </c>
      <c r="G704">
        <v>2</v>
      </c>
      <c r="J704" t="s">
        <v>15</v>
      </c>
      <c r="K704">
        <v>1</v>
      </c>
      <c r="L704">
        <v>1.1180000000000001</v>
      </c>
      <c r="M704">
        <v>0</v>
      </c>
      <c r="N704" t="s">
        <v>10019</v>
      </c>
      <c r="O704" t="str">
        <f>HYPERLINK("1\1\marker_195_957100.png", "Ver Imagen")</f>
        <v>Ver Imagen</v>
      </c>
      <c r="P704" t="str">
        <f>HYPERLINK("SO\A-5052\A-5052__63.png", "Ver Imagen")</f>
        <v>Ver Imagen</v>
      </c>
    </row>
    <row r="705" spans="1:16" x14ac:dyDescent="0.25">
      <c r="A705">
        <v>107</v>
      </c>
      <c r="B705" t="s">
        <v>226</v>
      </c>
      <c r="C705">
        <v>37.217262937599997</v>
      </c>
      <c r="D705">
        <v>-7.1066792680699997</v>
      </c>
      <c r="E705">
        <v>1</v>
      </c>
      <c r="F705">
        <v>1</v>
      </c>
      <c r="G705">
        <v>2</v>
      </c>
      <c r="J705" t="s">
        <v>15</v>
      </c>
      <c r="K705">
        <v>1</v>
      </c>
      <c r="L705">
        <v>1.482</v>
      </c>
      <c r="M705">
        <v>0</v>
      </c>
      <c r="N705" t="s">
        <v>10019</v>
      </c>
      <c r="O705" t="str">
        <f>HYPERLINK("1\1\marker_475_957254.png", "Ver Imagen")</f>
        <v>Ver Imagen</v>
      </c>
      <c r="P705" t="str">
        <f>HYPERLINK("SO\A-5052\A-5052__77.png", "Ver Imagen")</f>
        <v>Ver Imagen</v>
      </c>
    </row>
    <row r="706" spans="1:16" x14ac:dyDescent="0.25">
      <c r="A706">
        <v>108</v>
      </c>
      <c r="B706" t="s">
        <v>228</v>
      </c>
      <c r="C706">
        <v>37.217196227000002</v>
      </c>
      <c r="D706">
        <v>-7.1062007170700001</v>
      </c>
      <c r="E706">
        <v>1</v>
      </c>
      <c r="F706">
        <v>1</v>
      </c>
      <c r="G706">
        <v>2</v>
      </c>
      <c r="J706" t="s">
        <v>15</v>
      </c>
      <c r="K706">
        <v>1</v>
      </c>
      <c r="L706">
        <v>1.0880000000000001</v>
      </c>
      <c r="M706">
        <v>0</v>
      </c>
      <c r="N706" t="s">
        <v>10018</v>
      </c>
      <c r="O706" t="str">
        <f>HYPERLINK("1\1\marker_987_957274.png", "Ver Imagen")</f>
        <v>Ver Imagen</v>
      </c>
      <c r="P706" t="str">
        <f>HYPERLINK("SO\A-5052\A-5052__79.png", "Ver Imagen")</f>
        <v>Ver Imagen</v>
      </c>
    </row>
    <row r="707" spans="1:16" x14ac:dyDescent="0.25">
      <c r="A707">
        <v>109</v>
      </c>
      <c r="B707" t="s">
        <v>230</v>
      </c>
      <c r="C707">
        <v>37.217161013199998</v>
      </c>
      <c r="D707">
        <v>-7.1059420426299997</v>
      </c>
      <c r="E707">
        <v>1</v>
      </c>
      <c r="F707">
        <v>1</v>
      </c>
      <c r="G707">
        <v>2</v>
      </c>
      <c r="J707" t="s">
        <v>15</v>
      </c>
      <c r="K707">
        <v>1</v>
      </c>
      <c r="L707">
        <v>1.2470000000000001</v>
      </c>
      <c r="M707">
        <v>0</v>
      </c>
      <c r="N707" t="s">
        <v>10019</v>
      </c>
      <c r="O707" t="str">
        <f>HYPERLINK("1\1\marker_570_957286.png", "Ver Imagen")</f>
        <v>Ver Imagen</v>
      </c>
      <c r="P707" t="str">
        <f>HYPERLINK("SO\A-5052\A-5052__80.png", "Ver Imagen")</f>
        <v>Ver Imagen</v>
      </c>
    </row>
    <row r="708" spans="1:16" x14ac:dyDescent="0.25">
      <c r="A708">
        <v>110</v>
      </c>
      <c r="B708" t="s">
        <v>232</v>
      </c>
      <c r="C708">
        <v>37.216944109499998</v>
      </c>
      <c r="D708">
        <v>-7.1036803806400002</v>
      </c>
      <c r="E708">
        <v>1</v>
      </c>
      <c r="F708">
        <v>1</v>
      </c>
      <c r="G708">
        <v>2</v>
      </c>
      <c r="J708" t="s">
        <v>15</v>
      </c>
      <c r="K708">
        <v>1</v>
      </c>
      <c r="L708">
        <v>1.008</v>
      </c>
      <c r="M708">
        <v>0</v>
      </c>
      <c r="N708" t="s">
        <v>10019</v>
      </c>
      <c r="O708" t="str">
        <f>HYPERLINK("1\1\marker_134_957487.png", "Ver Imagen")</f>
        <v>Ver Imagen</v>
      </c>
      <c r="P708" t="str">
        <f>HYPERLINK("SO\A-5052\A-5052__89.png", "Ver Imagen")</f>
        <v>Ver Imagen</v>
      </c>
    </row>
    <row r="709" spans="1:16" x14ac:dyDescent="0.25">
      <c r="A709">
        <v>111</v>
      </c>
      <c r="B709" t="s">
        <v>234</v>
      </c>
      <c r="C709">
        <v>37.2169227654</v>
      </c>
      <c r="D709">
        <v>-7.1034431284300004</v>
      </c>
      <c r="E709">
        <v>1</v>
      </c>
      <c r="F709">
        <v>1</v>
      </c>
      <c r="G709">
        <v>2</v>
      </c>
      <c r="J709" t="s">
        <v>15</v>
      </c>
      <c r="K709">
        <v>1</v>
      </c>
      <c r="L709">
        <v>1.1020000000000001</v>
      </c>
      <c r="M709">
        <v>0</v>
      </c>
      <c r="N709" t="s">
        <v>10019</v>
      </c>
      <c r="O709" t="str">
        <f>HYPERLINK("1\1\marker_642_957497.png", "Ver Imagen")</f>
        <v>Ver Imagen</v>
      </c>
      <c r="P709" t="str">
        <f>HYPERLINK("SO\A-5052\A-5052__90.png", "Ver Imagen")</f>
        <v>Ver Imagen</v>
      </c>
    </row>
    <row r="710" spans="1:16" x14ac:dyDescent="0.25">
      <c r="A710">
        <v>112</v>
      </c>
      <c r="B710" t="s">
        <v>236</v>
      </c>
      <c r="C710">
        <v>37.216902488599999</v>
      </c>
      <c r="D710">
        <v>-7.1032062828400004</v>
      </c>
      <c r="E710">
        <v>1</v>
      </c>
      <c r="F710">
        <v>1</v>
      </c>
      <c r="G710">
        <v>2</v>
      </c>
      <c r="J710" t="s">
        <v>15</v>
      </c>
      <c r="K710">
        <v>1</v>
      </c>
      <c r="L710">
        <v>1.143</v>
      </c>
      <c r="M710">
        <v>0</v>
      </c>
      <c r="N710" t="s">
        <v>10019</v>
      </c>
      <c r="O710" t="str">
        <f>HYPERLINK("1\1\marker_932_957508.png", "Ver Imagen")</f>
        <v>Ver Imagen</v>
      </c>
      <c r="P710" t="str">
        <f>HYPERLINK("SE\A-5052\A-5052__91.png", "Ver Imagen")</f>
        <v>Ver Imagen</v>
      </c>
    </row>
    <row r="711" spans="1:16" x14ac:dyDescent="0.25">
      <c r="A711">
        <v>112</v>
      </c>
      <c r="B711" t="s">
        <v>236</v>
      </c>
      <c r="C711">
        <v>37.216902488599999</v>
      </c>
      <c r="D711">
        <v>-7.1032062828400004</v>
      </c>
      <c r="E711">
        <v>1</v>
      </c>
      <c r="F711">
        <v>1</v>
      </c>
      <c r="G711">
        <v>2</v>
      </c>
      <c r="J711" t="s">
        <v>15</v>
      </c>
      <c r="K711">
        <v>1</v>
      </c>
      <c r="L711">
        <v>1.159</v>
      </c>
      <c r="M711">
        <v>0</v>
      </c>
      <c r="N711" t="s">
        <v>10019</v>
      </c>
      <c r="O711" t="str">
        <f>HYPERLINK("1\1\marker_932_957508.png", "Ver Imagen")</f>
        <v>Ver Imagen</v>
      </c>
      <c r="P711" t="str">
        <f>HYPERLINK("SO\A-5052\A-5052__91.png", "Ver Imagen")</f>
        <v>Ver Imagen</v>
      </c>
    </row>
    <row r="712" spans="1:16" x14ac:dyDescent="0.25">
      <c r="A712">
        <v>113</v>
      </c>
      <c r="B712" t="s">
        <v>238</v>
      </c>
      <c r="C712">
        <v>37.216787592800003</v>
      </c>
      <c r="D712">
        <v>-7.1019256173400001</v>
      </c>
      <c r="E712">
        <v>1</v>
      </c>
      <c r="F712">
        <v>1</v>
      </c>
      <c r="G712">
        <v>2</v>
      </c>
      <c r="J712" t="s">
        <v>15</v>
      </c>
      <c r="K712">
        <v>1</v>
      </c>
      <c r="L712">
        <v>1.0089999999999999</v>
      </c>
      <c r="M712">
        <v>0</v>
      </c>
      <c r="N712" t="s">
        <v>10019</v>
      </c>
      <c r="O712" t="str">
        <f>HYPERLINK("1\1\marker_323_957613.png", "Ver Imagen")</f>
        <v>Ver Imagen</v>
      </c>
      <c r="P712" t="str">
        <f>HYPERLINK("SE\A-5052\A-5052__96.png", "Ver Imagen")</f>
        <v>Ver Imagen</v>
      </c>
    </row>
    <row r="713" spans="1:16" x14ac:dyDescent="0.25">
      <c r="A713">
        <v>113</v>
      </c>
      <c r="B713" t="s">
        <v>238</v>
      </c>
      <c r="C713">
        <v>37.216787592800003</v>
      </c>
      <c r="D713">
        <v>-7.1019256173400001</v>
      </c>
      <c r="E713">
        <v>1</v>
      </c>
      <c r="F713">
        <v>1</v>
      </c>
      <c r="G713">
        <v>2</v>
      </c>
      <c r="J713" t="s">
        <v>15</v>
      </c>
      <c r="K713">
        <v>1</v>
      </c>
      <c r="L713">
        <v>1.3169999999999999</v>
      </c>
      <c r="M713">
        <v>0</v>
      </c>
      <c r="N713" t="s">
        <v>10019</v>
      </c>
      <c r="O713" t="str">
        <f>HYPERLINK("1\1\marker_323_957613.png", "Ver Imagen")</f>
        <v>Ver Imagen</v>
      </c>
      <c r="P713" t="str">
        <f>HYPERLINK("SO\A-5052\A-5052__96.png", "Ver Imagen")</f>
        <v>Ver Imagen</v>
      </c>
    </row>
    <row r="714" spans="1:16" x14ac:dyDescent="0.25">
      <c r="A714">
        <v>114</v>
      </c>
      <c r="B714" t="s">
        <v>240</v>
      </c>
      <c r="C714">
        <v>37.216825970899997</v>
      </c>
      <c r="D714">
        <v>-7.1011628906400004</v>
      </c>
      <c r="E714">
        <v>1</v>
      </c>
      <c r="F714">
        <v>1</v>
      </c>
      <c r="G714">
        <v>2</v>
      </c>
      <c r="J714" t="s">
        <v>15</v>
      </c>
      <c r="K714">
        <v>1</v>
      </c>
      <c r="L714">
        <v>1.06</v>
      </c>
      <c r="M714">
        <v>0</v>
      </c>
      <c r="N714" t="s">
        <v>10018</v>
      </c>
      <c r="O714" t="str">
        <f>HYPERLINK("1\1\marker_104_957649.png", "Ver Imagen")</f>
        <v>Ver Imagen</v>
      </c>
      <c r="P714" t="str">
        <f>HYPERLINK("SE\A-5052\A-5052__99.png", "Ver Imagen")</f>
        <v>Ver Imagen</v>
      </c>
    </row>
    <row r="715" spans="1:16" x14ac:dyDescent="0.25">
      <c r="A715">
        <v>114</v>
      </c>
      <c r="B715" t="s">
        <v>240</v>
      </c>
      <c r="C715">
        <v>37.216825970899997</v>
      </c>
      <c r="D715">
        <v>-7.1011628906400004</v>
      </c>
      <c r="E715">
        <v>1</v>
      </c>
      <c r="F715">
        <v>1</v>
      </c>
      <c r="G715">
        <v>2</v>
      </c>
      <c r="J715" t="s">
        <v>15</v>
      </c>
      <c r="K715">
        <v>1</v>
      </c>
      <c r="L715">
        <v>1.4339999999999999</v>
      </c>
      <c r="M715">
        <v>0</v>
      </c>
      <c r="N715" t="s">
        <v>10018</v>
      </c>
      <c r="O715" t="str">
        <f>HYPERLINK("1\1\marker_104_957649.png", "Ver Imagen")</f>
        <v>Ver Imagen</v>
      </c>
      <c r="P715" t="str">
        <f>HYPERLINK("SO\A-5052\A-5052__99.png", "Ver Imagen")</f>
        <v>Ver Imagen</v>
      </c>
    </row>
    <row r="716" spans="1:16" x14ac:dyDescent="0.25">
      <c r="A716">
        <v>115</v>
      </c>
      <c r="B716" t="s">
        <v>242</v>
      </c>
      <c r="C716">
        <v>37.2166573911</v>
      </c>
      <c r="D716">
        <v>-7.09565970392</v>
      </c>
      <c r="E716">
        <v>1</v>
      </c>
      <c r="F716">
        <v>1</v>
      </c>
      <c r="G716">
        <v>2</v>
      </c>
      <c r="J716" t="s">
        <v>15</v>
      </c>
      <c r="K716">
        <v>1</v>
      </c>
      <c r="L716">
        <v>1.1299999999999999</v>
      </c>
      <c r="M716">
        <v>0</v>
      </c>
      <c r="N716" t="s">
        <v>10018</v>
      </c>
      <c r="O716" t="str">
        <f>HYPERLINK("1\1\marker_532_957950.png", "Ver Imagen")</f>
        <v>Ver Imagen</v>
      </c>
      <c r="P716" t="str">
        <f>HYPERLINK("SE\A-5052\A-5052__121.png", "Ver Imagen")</f>
        <v>Ver Imagen</v>
      </c>
    </row>
    <row r="717" spans="1:16" x14ac:dyDescent="0.25">
      <c r="A717">
        <v>116</v>
      </c>
      <c r="B717" t="s">
        <v>244</v>
      </c>
      <c r="C717">
        <v>37.216021548800001</v>
      </c>
      <c r="D717">
        <v>-7.0876144180400003</v>
      </c>
      <c r="E717">
        <v>1</v>
      </c>
      <c r="F717">
        <v>1</v>
      </c>
      <c r="G717">
        <v>2</v>
      </c>
      <c r="J717" t="s">
        <v>15</v>
      </c>
      <c r="K717">
        <v>1</v>
      </c>
      <c r="L717">
        <v>1.103</v>
      </c>
      <c r="M717">
        <v>0</v>
      </c>
      <c r="N717" t="s">
        <v>10019</v>
      </c>
      <c r="O717" t="str">
        <f>HYPERLINK("1\1\marker_590_958567.png", "Ver Imagen")</f>
        <v>Ver Imagen</v>
      </c>
      <c r="P717" t="str">
        <f>HYPERLINK("SE\A-5052\A-5052__153.png", "Ver Imagen")</f>
        <v>Ver Imagen</v>
      </c>
    </row>
    <row r="718" spans="1:16" x14ac:dyDescent="0.25">
      <c r="A718">
        <v>116</v>
      </c>
      <c r="B718" t="s">
        <v>244</v>
      </c>
      <c r="C718">
        <v>37.216021548800001</v>
      </c>
      <c r="D718">
        <v>-7.0876144180400003</v>
      </c>
      <c r="E718">
        <v>1</v>
      </c>
      <c r="F718">
        <v>1</v>
      </c>
      <c r="G718">
        <v>2</v>
      </c>
      <c r="J718" t="s">
        <v>15</v>
      </c>
      <c r="K718">
        <v>1</v>
      </c>
      <c r="L718">
        <v>1</v>
      </c>
      <c r="M718">
        <v>0</v>
      </c>
      <c r="N718" t="s">
        <v>10019</v>
      </c>
      <c r="O718" t="str">
        <f>HYPERLINK("1\1\marker_590_958567.png", "Ver Imagen")</f>
        <v>Ver Imagen</v>
      </c>
      <c r="P718" t="str">
        <f>HYPERLINK("SO\A-5052\A-5052__153.png", "Ver Imagen")</f>
        <v>Ver Imagen</v>
      </c>
    </row>
    <row r="719" spans="1:16" x14ac:dyDescent="0.25">
      <c r="A719">
        <v>117</v>
      </c>
      <c r="B719" t="s">
        <v>246</v>
      </c>
      <c r="C719">
        <v>37.216227173</v>
      </c>
      <c r="D719">
        <v>-7.0843834838399999</v>
      </c>
      <c r="E719">
        <v>1</v>
      </c>
      <c r="F719">
        <v>1</v>
      </c>
      <c r="G719">
        <v>2</v>
      </c>
      <c r="J719" t="s">
        <v>15</v>
      </c>
      <c r="K719">
        <v>1</v>
      </c>
      <c r="L719">
        <v>1.0640000000000001</v>
      </c>
      <c r="M719">
        <v>0</v>
      </c>
      <c r="N719" t="s">
        <v>10017</v>
      </c>
      <c r="O719" t="str">
        <f>HYPERLINK("1\1\marker_710_958849.png", "Ver Imagen")</f>
        <v>Ver Imagen</v>
      </c>
      <c r="P719" t="str">
        <f>HYPERLINK("SO\A-5052\A-5052__166.png", "Ver Imagen")</f>
        <v>Ver Imagen</v>
      </c>
    </row>
    <row r="720" spans="1:16" x14ac:dyDescent="0.25">
      <c r="A720">
        <v>118</v>
      </c>
      <c r="B720" t="s">
        <v>248</v>
      </c>
      <c r="C720">
        <v>37.215662479000002</v>
      </c>
      <c r="D720">
        <v>-7.0819953365400004</v>
      </c>
      <c r="E720">
        <v>1</v>
      </c>
      <c r="F720">
        <v>1</v>
      </c>
      <c r="G720">
        <v>2</v>
      </c>
      <c r="J720" t="s">
        <v>15</v>
      </c>
      <c r="K720">
        <v>1</v>
      </c>
      <c r="L720">
        <v>1.143</v>
      </c>
      <c r="M720">
        <v>0</v>
      </c>
      <c r="N720" t="s">
        <v>10019</v>
      </c>
      <c r="O720" t="str">
        <f>HYPERLINK("1\1\marker_220_959029.png", "Ver Imagen")</f>
        <v>Ver Imagen</v>
      </c>
      <c r="P720" t="str">
        <f>HYPERLINK("SE\A-5052\A-5052__176.png", "Ver Imagen")</f>
        <v>Ver Imagen</v>
      </c>
    </row>
    <row r="721" spans="1:16" x14ac:dyDescent="0.25">
      <c r="A721">
        <v>118</v>
      </c>
      <c r="B721" t="s">
        <v>248</v>
      </c>
      <c r="C721">
        <v>37.215662479000002</v>
      </c>
      <c r="D721">
        <v>-7.0819953365400004</v>
      </c>
      <c r="E721">
        <v>1</v>
      </c>
      <c r="F721">
        <v>1</v>
      </c>
      <c r="G721">
        <v>2</v>
      </c>
      <c r="J721" t="s">
        <v>15</v>
      </c>
      <c r="K721">
        <v>1</v>
      </c>
      <c r="L721">
        <v>1.3440000000000001</v>
      </c>
      <c r="M721">
        <v>0</v>
      </c>
      <c r="N721" t="s">
        <v>10019</v>
      </c>
      <c r="O721" t="str">
        <f>HYPERLINK("1\1\marker_220_959029.png", "Ver Imagen")</f>
        <v>Ver Imagen</v>
      </c>
      <c r="P721" t="str">
        <f>HYPERLINK("SO\A-5052\A-5052__176.png", "Ver Imagen")</f>
        <v>Ver Imagen</v>
      </c>
    </row>
    <row r="722" spans="1:16" x14ac:dyDescent="0.25">
      <c r="A722">
        <v>120</v>
      </c>
      <c r="B722" t="s">
        <v>252</v>
      </c>
      <c r="C722">
        <v>37.2146018969</v>
      </c>
      <c r="D722">
        <v>-7.0775733329600001</v>
      </c>
      <c r="E722">
        <v>1</v>
      </c>
      <c r="F722">
        <v>1</v>
      </c>
      <c r="G722">
        <v>2</v>
      </c>
      <c r="J722" t="s">
        <v>15</v>
      </c>
      <c r="K722">
        <v>1</v>
      </c>
      <c r="L722">
        <v>1.17</v>
      </c>
      <c r="M722">
        <v>0</v>
      </c>
      <c r="N722" t="s">
        <v>10019</v>
      </c>
      <c r="O722" t="str">
        <f>HYPERLINK("1\1\marker_834_959393.png", "Ver Imagen")</f>
        <v>Ver Imagen</v>
      </c>
      <c r="P722" t="str">
        <f>HYPERLINK("SE\A-5052\A-5052__194.png", "Ver Imagen")</f>
        <v>Ver Imagen</v>
      </c>
    </row>
    <row r="723" spans="1:16" x14ac:dyDescent="0.25">
      <c r="A723">
        <v>120</v>
      </c>
      <c r="B723" t="s">
        <v>252</v>
      </c>
      <c r="C723">
        <v>37.2146018969</v>
      </c>
      <c r="D723">
        <v>-7.0775733329600001</v>
      </c>
      <c r="E723">
        <v>1</v>
      </c>
      <c r="F723">
        <v>1</v>
      </c>
      <c r="G723">
        <v>2</v>
      </c>
      <c r="J723" t="s">
        <v>15</v>
      </c>
      <c r="K723">
        <v>1</v>
      </c>
      <c r="L723">
        <v>1.173</v>
      </c>
      <c r="M723">
        <v>0</v>
      </c>
      <c r="N723" t="s">
        <v>10019</v>
      </c>
      <c r="O723" t="str">
        <f>HYPERLINK("1\1\marker_834_959393.png", "Ver Imagen")</f>
        <v>Ver Imagen</v>
      </c>
      <c r="P723" t="str">
        <f>HYPERLINK("SO\A-5052\A-5052__194.png", "Ver Imagen")</f>
        <v>Ver Imagen</v>
      </c>
    </row>
    <row r="724" spans="1:16" x14ac:dyDescent="0.25">
      <c r="A724">
        <v>121</v>
      </c>
      <c r="B724" t="s">
        <v>254</v>
      </c>
      <c r="C724">
        <v>37.214555141200002</v>
      </c>
      <c r="D724">
        <v>-7.0773280982499998</v>
      </c>
      <c r="E724">
        <v>1</v>
      </c>
      <c r="F724">
        <v>1</v>
      </c>
      <c r="G724">
        <v>2</v>
      </c>
      <c r="J724" t="s">
        <v>15</v>
      </c>
      <c r="K724">
        <v>1</v>
      </c>
      <c r="L724">
        <v>1.044</v>
      </c>
      <c r="M724">
        <v>0</v>
      </c>
      <c r="N724" t="s">
        <v>10019</v>
      </c>
      <c r="O724" t="str">
        <f>HYPERLINK("1\1\marker_226_959402.png", "Ver Imagen")</f>
        <v>Ver Imagen</v>
      </c>
      <c r="P724" t="str">
        <f>HYPERLINK("SE\A-5052\A-5052__195.png", "Ver Imagen")</f>
        <v>Ver Imagen</v>
      </c>
    </row>
    <row r="725" spans="1:16" x14ac:dyDescent="0.25">
      <c r="A725">
        <v>121</v>
      </c>
      <c r="B725" t="s">
        <v>254</v>
      </c>
      <c r="C725">
        <v>37.214555141200002</v>
      </c>
      <c r="D725">
        <v>-7.0773280982499998</v>
      </c>
      <c r="E725">
        <v>1</v>
      </c>
      <c r="F725">
        <v>1</v>
      </c>
      <c r="G725">
        <v>2</v>
      </c>
      <c r="J725" t="s">
        <v>15</v>
      </c>
      <c r="K725">
        <v>1</v>
      </c>
      <c r="L725">
        <v>1</v>
      </c>
      <c r="M725">
        <v>0</v>
      </c>
      <c r="N725" t="s">
        <v>10019</v>
      </c>
      <c r="O725" t="str">
        <f>HYPERLINK("1\1\marker_226_959402.png", "Ver Imagen")</f>
        <v>Ver Imagen</v>
      </c>
      <c r="P725" t="str">
        <f>HYPERLINK("SO\A-5052\A-5052__195.png", "Ver Imagen")</f>
        <v>Ver Imagen</v>
      </c>
    </row>
    <row r="726" spans="1:16" x14ac:dyDescent="0.25">
      <c r="A726">
        <v>122</v>
      </c>
      <c r="B726" t="s">
        <v>256</v>
      </c>
      <c r="C726">
        <v>37.214462614699997</v>
      </c>
      <c r="D726">
        <v>-7.0768366407299998</v>
      </c>
      <c r="E726">
        <v>1</v>
      </c>
      <c r="F726">
        <v>1</v>
      </c>
      <c r="G726">
        <v>2</v>
      </c>
      <c r="J726" t="s">
        <v>15</v>
      </c>
      <c r="K726">
        <v>1</v>
      </c>
      <c r="L726">
        <v>1</v>
      </c>
      <c r="M726">
        <v>0</v>
      </c>
      <c r="N726" t="s">
        <v>10017</v>
      </c>
      <c r="O726" t="str">
        <f>HYPERLINK("1\1\marker_567_959419.png", "Ver Imagen")</f>
        <v>Ver Imagen</v>
      </c>
      <c r="P726" t="str">
        <f>HYPERLINK("SE\A-5052\A-5052__197.png", "Ver Imagen")</f>
        <v>Ver Imagen</v>
      </c>
    </row>
    <row r="727" spans="1:16" x14ac:dyDescent="0.25">
      <c r="A727">
        <v>122</v>
      </c>
      <c r="B727" t="s">
        <v>256</v>
      </c>
      <c r="C727">
        <v>37.214462614699997</v>
      </c>
      <c r="D727">
        <v>-7.0768366407299998</v>
      </c>
      <c r="E727">
        <v>1</v>
      </c>
      <c r="F727">
        <v>1</v>
      </c>
      <c r="G727">
        <v>2</v>
      </c>
      <c r="J727" t="s">
        <v>15</v>
      </c>
      <c r="K727">
        <v>1</v>
      </c>
      <c r="L727">
        <v>1.012</v>
      </c>
      <c r="M727">
        <v>0</v>
      </c>
      <c r="N727" t="s">
        <v>10017</v>
      </c>
      <c r="O727" t="str">
        <f>HYPERLINK("1\1\marker_567_959419.png", "Ver Imagen")</f>
        <v>Ver Imagen</v>
      </c>
      <c r="P727" t="str">
        <f>HYPERLINK("SO\A-5052\A-5052__197.png", "Ver Imagen")</f>
        <v>Ver Imagen</v>
      </c>
    </row>
    <row r="728" spans="1:16" x14ac:dyDescent="0.25">
      <c r="A728">
        <v>123</v>
      </c>
      <c r="B728" t="s">
        <v>258</v>
      </c>
      <c r="C728">
        <v>37.214409569700003</v>
      </c>
      <c r="D728">
        <v>-7.0765522281599997</v>
      </c>
      <c r="E728">
        <v>1</v>
      </c>
      <c r="F728">
        <v>1</v>
      </c>
      <c r="G728">
        <v>2</v>
      </c>
      <c r="J728" t="s">
        <v>15</v>
      </c>
      <c r="K728">
        <v>1</v>
      </c>
      <c r="L728">
        <v>1.0269999999999999</v>
      </c>
      <c r="M728">
        <v>0</v>
      </c>
      <c r="N728" t="s">
        <v>10019</v>
      </c>
      <c r="O728" t="str">
        <f>HYPERLINK("1\1\marker_155_959442.png", "Ver Imagen")</f>
        <v>Ver Imagen</v>
      </c>
      <c r="P728" t="str">
        <f>HYPERLINK("SE\A-5052\A-5052__198.png", "Ver Imagen")</f>
        <v>Ver Imagen</v>
      </c>
    </row>
    <row r="729" spans="1:16" x14ac:dyDescent="0.25">
      <c r="A729">
        <v>123</v>
      </c>
      <c r="B729" t="s">
        <v>258</v>
      </c>
      <c r="C729">
        <v>37.214409569700003</v>
      </c>
      <c r="D729">
        <v>-7.0765522281599997</v>
      </c>
      <c r="E729">
        <v>1</v>
      </c>
      <c r="F729">
        <v>1</v>
      </c>
      <c r="G729">
        <v>2</v>
      </c>
      <c r="J729" t="s">
        <v>15</v>
      </c>
      <c r="K729">
        <v>1</v>
      </c>
      <c r="L729">
        <v>1.091</v>
      </c>
      <c r="M729">
        <v>0</v>
      </c>
      <c r="N729" t="s">
        <v>10019</v>
      </c>
      <c r="O729" t="str">
        <f>HYPERLINK("1\1\marker_155_959442.png", "Ver Imagen")</f>
        <v>Ver Imagen</v>
      </c>
      <c r="P729" t="str">
        <f>HYPERLINK("SO\A-5052\A-5052__198.png", "Ver Imagen")</f>
        <v>Ver Imagen</v>
      </c>
    </row>
    <row r="730" spans="1:16" x14ac:dyDescent="0.25">
      <c r="A730">
        <v>124</v>
      </c>
      <c r="B730" t="s">
        <v>260</v>
      </c>
      <c r="C730">
        <v>37.214372957199998</v>
      </c>
      <c r="D730">
        <v>-7.0763607039699998</v>
      </c>
      <c r="E730">
        <v>1</v>
      </c>
      <c r="F730">
        <v>1</v>
      </c>
      <c r="G730">
        <v>2</v>
      </c>
      <c r="J730" t="s">
        <v>15</v>
      </c>
      <c r="K730">
        <v>1</v>
      </c>
      <c r="L730">
        <v>1</v>
      </c>
      <c r="M730">
        <v>0</v>
      </c>
      <c r="N730" t="s">
        <v>10019</v>
      </c>
      <c r="O730" t="str">
        <f>HYPERLINK("1\1\marker_691_959454.png", "Ver Imagen")</f>
        <v>Ver Imagen</v>
      </c>
      <c r="P730" t="str">
        <f>HYPERLINK("SE\A-5052\A-5052__199.png", "Ver Imagen")</f>
        <v>Ver Imagen</v>
      </c>
    </row>
    <row r="731" spans="1:16" x14ac:dyDescent="0.25">
      <c r="A731">
        <v>124</v>
      </c>
      <c r="B731" t="s">
        <v>260</v>
      </c>
      <c r="C731">
        <v>37.214372957199998</v>
      </c>
      <c r="D731">
        <v>-7.0763607039699998</v>
      </c>
      <c r="E731">
        <v>1</v>
      </c>
      <c r="F731">
        <v>1</v>
      </c>
      <c r="G731">
        <v>2</v>
      </c>
      <c r="J731" t="s">
        <v>15</v>
      </c>
      <c r="K731">
        <v>1</v>
      </c>
      <c r="L731">
        <v>1.0149999999999999</v>
      </c>
      <c r="M731">
        <v>0</v>
      </c>
      <c r="N731" t="s">
        <v>10019</v>
      </c>
      <c r="O731" t="str">
        <f>HYPERLINK("1\1\marker_691_959454.png", "Ver Imagen")</f>
        <v>Ver Imagen</v>
      </c>
      <c r="P731" t="str">
        <f>HYPERLINK("SO\A-5052\A-5052__199.png", "Ver Imagen")</f>
        <v>Ver Imagen</v>
      </c>
    </row>
    <row r="732" spans="1:16" x14ac:dyDescent="0.25">
      <c r="A732">
        <v>125</v>
      </c>
      <c r="B732" t="s">
        <v>262</v>
      </c>
      <c r="C732">
        <v>37.2143231282</v>
      </c>
      <c r="D732">
        <v>-7.0761088343300003</v>
      </c>
      <c r="E732">
        <v>1</v>
      </c>
      <c r="F732">
        <v>1</v>
      </c>
      <c r="G732">
        <v>2</v>
      </c>
      <c r="J732" t="s">
        <v>15</v>
      </c>
      <c r="K732">
        <v>1</v>
      </c>
      <c r="L732">
        <v>1.2090000000000001</v>
      </c>
      <c r="M732">
        <v>0</v>
      </c>
      <c r="N732" t="s">
        <v>10019</v>
      </c>
      <c r="O732" t="str">
        <f>HYPERLINK("1\1\marker_382_959472.png", "Ver Imagen")</f>
        <v>Ver Imagen</v>
      </c>
      <c r="P732" t="str">
        <f>HYPERLINK("SE\A-5052\A-5052__200.png", "Ver Imagen")</f>
        <v>Ver Imagen</v>
      </c>
    </row>
    <row r="733" spans="1:16" x14ac:dyDescent="0.25">
      <c r="A733">
        <v>125</v>
      </c>
      <c r="B733" t="s">
        <v>262</v>
      </c>
      <c r="C733">
        <v>37.2143231282</v>
      </c>
      <c r="D733">
        <v>-7.0761088343300003</v>
      </c>
      <c r="E733">
        <v>1</v>
      </c>
      <c r="F733">
        <v>1</v>
      </c>
      <c r="G733">
        <v>2</v>
      </c>
      <c r="J733" t="s">
        <v>15</v>
      </c>
      <c r="K733">
        <v>1</v>
      </c>
      <c r="L733">
        <v>1.3879999999999999</v>
      </c>
      <c r="M733">
        <v>0</v>
      </c>
      <c r="N733" t="s">
        <v>10019</v>
      </c>
      <c r="O733" t="str">
        <f>HYPERLINK("1\1\marker_382_959472.png", "Ver Imagen")</f>
        <v>Ver Imagen</v>
      </c>
      <c r="P733" t="str">
        <f>HYPERLINK("SO\A-5052\A-5052__200.png", "Ver Imagen")</f>
        <v>Ver Imagen</v>
      </c>
    </row>
    <row r="734" spans="1:16" x14ac:dyDescent="0.25">
      <c r="A734">
        <v>126</v>
      </c>
      <c r="B734" t="s">
        <v>264</v>
      </c>
      <c r="C734">
        <v>37.214280316100002</v>
      </c>
      <c r="D734">
        <v>-7.0758904570399999</v>
      </c>
      <c r="E734">
        <v>1</v>
      </c>
      <c r="F734">
        <v>1</v>
      </c>
      <c r="G734">
        <v>2</v>
      </c>
      <c r="J734" t="s">
        <v>15</v>
      </c>
      <c r="K734">
        <v>1</v>
      </c>
      <c r="L734">
        <v>1.1659999999999999</v>
      </c>
      <c r="M734">
        <v>0</v>
      </c>
      <c r="N734" t="s">
        <v>10019</v>
      </c>
      <c r="O734" t="str">
        <f>HYPERLINK("1\1\marker_906_959482.png", "Ver Imagen")</f>
        <v>Ver Imagen</v>
      </c>
      <c r="P734" t="str">
        <f>HYPERLINK("SE\A-5052\A-5052__201.png", "Ver Imagen")</f>
        <v>Ver Imagen</v>
      </c>
    </row>
    <row r="735" spans="1:16" x14ac:dyDescent="0.25">
      <c r="A735">
        <v>126</v>
      </c>
      <c r="B735" t="s">
        <v>264</v>
      </c>
      <c r="C735">
        <v>37.214280316100002</v>
      </c>
      <c r="D735">
        <v>-7.0758904570399999</v>
      </c>
      <c r="E735">
        <v>1</v>
      </c>
      <c r="F735">
        <v>1</v>
      </c>
      <c r="G735">
        <v>2</v>
      </c>
      <c r="J735" t="s">
        <v>15</v>
      </c>
      <c r="K735">
        <v>1</v>
      </c>
      <c r="L735">
        <v>1.1339999999999999</v>
      </c>
      <c r="M735">
        <v>0</v>
      </c>
      <c r="N735" t="s">
        <v>10019</v>
      </c>
      <c r="O735" t="str">
        <f>HYPERLINK("1\1\marker_906_959482.png", "Ver Imagen")</f>
        <v>Ver Imagen</v>
      </c>
      <c r="P735" t="str">
        <f>HYPERLINK("SO\A-5052\A-5052__201.png", "Ver Imagen")</f>
        <v>Ver Imagen</v>
      </c>
    </row>
    <row r="736" spans="1:16" x14ac:dyDescent="0.25">
      <c r="A736">
        <v>127</v>
      </c>
      <c r="B736" t="s">
        <v>266</v>
      </c>
      <c r="C736">
        <v>37.2142291734</v>
      </c>
      <c r="D736">
        <v>-7.0756251793000002</v>
      </c>
      <c r="E736">
        <v>1</v>
      </c>
      <c r="F736">
        <v>1</v>
      </c>
      <c r="G736">
        <v>2</v>
      </c>
      <c r="J736" t="s">
        <v>15</v>
      </c>
      <c r="K736">
        <v>1</v>
      </c>
      <c r="L736">
        <v>1.2549999999999999</v>
      </c>
      <c r="M736">
        <v>0</v>
      </c>
      <c r="N736" t="s">
        <v>10019</v>
      </c>
      <c r="O736" t="str">
        <f>HYPERLINK("1\1\marker_899_959490.png", "Ver Imagen")</f>
        <v>Ver Imagen</v>
      </c>
      <c r="P736" t="str">
        <f>HYPERLINK("SE\A-5052\A-5052__202.png", "Ver Imagen")</f>
        <v>Ver Imagen</v>
      </c>
    </row>
    <row r="737" spans="1:16" x14ac:dyDescent="0.25">
      <c r="A737">
        <v>127</v>
      </c>
      <c r="B737" t="s">
        <v>266</v>
      </c>
      <c r="C737">
        <v>37.2142291734</v>
      </c>
      <c r="D737">
        <v>-7.0756251793000002</v>
      </c>
      <c r="E737">
        <v>1</v>
      </c>
      <c r="F737">
        <v>1</v>
      </c>
      <c r="G737">
        <v>2</v>
      </c>
      <c r="J737" t="s">
        <v>15</v>
      </c>
      <c r="K737">
        <v>1</v>
      </c>
      <c r="L737">
        <v>1.1319999999999999</v>
      </c>
      <c r="M737">
        <v>0</v>
      </c>
      <c r="N737" t="s">
        <v>10019</v>
      </c>
      <c r="O737" t="str">
        <f>HYPERLINK("1\1\marker_899_959490.png", "Ver Imagen")</f>
        <v>Ver Imagen</v>
      </c>
      <c r="P737" t="str">
        <f>HYPERLINK("SO\A-5052\A-5052__202.png", "Ver Imagen")</f>
        <v>Ver Imagen</v>
      </c>
    </row>
    <row r="738" spans="1:16" x14ac:dyDescent="0.25">
      <c r="A738">
        <v>128</v>
      </c>
      <c r="B738" t="s">
        <v>268</v>
      </c>
      <c r="C738">
        <v>37.214183838399997</v>
      </c>
      <c r="D738">
        <v>-7.07538416538</v>
      </c>
      <c r="E738">
        <v>1</v>
      </c>
      <c r="F738">
        <v>1</v>
      </c>
      <c r="G738">
        <v>2</v>
      </c>
      <c r="J738" t="s">
        <v>15</v>
      </c>
      <c r="K738">
        <v>1</v>
      </c>
      <c r="L738">
        <v>1.095</v>
      </c>
      <c r="M738">
        <v>0</v>
      </c>
      <c r="N738" t="s">
        <v>10019</v>
      </c>
      <c r="O738" t="str">
        <f>HYPERLINK("1\1\marker_695_959499.png", "Ver Imagen")</f>
        <v>Ver Imagen</v>
      </c>
      <c r="P738" t="str">
        <f>HYPERLINK("SE\A-5052\A-5052__203.png", "Ver Imagen")</f>
        <v>Ver Imagen</v>
      </c>
    </row>
    <row r="739" spans="1:16" x14ac:dyDescent="0.25">
      <c r="A739">
        <v>128</v>
      </c>
      <c r="B739" t="s">
        <v>268</v>
      </c>
      <c r="C739">
        <v>37.214183838399997</v>
      </c>
      <c r="D739">
        <v>-7.07538416538</v>
      </c>
      <c r="E739">
        <v>1</v>
      </c>
      <c r="F739">
        <v>1</v>
      </c>
      <c r="G739">
        <v>2</v>
      </c>
      <c r="J739" t="s">
        <v>15</v>
      </c>
      <c r="K739">
        <v>1</v>
      </c>
      <c r="L739">
        <v>1.4630000000000001</v>
      </c>
      <c r="M739">
        <v>0</v>
      </c>
      <c r="N739" t="s">
        <v>10019</v>
      </c>
      <c r="O739" t="str">
        <f>HYPERLINK("1\1\marker_695_959499.png", "Ver Imagen")</f>
        <v>Ver Imagen</v>
      </c>
      <c r="P739" t="str">
        <f>HYPERLINK("SO\A-5052\A-5052__203.png", "Ver Imagen")</f>
        <v>Ver Imagen</v>
      </c>
    </row>
    <row r="740" spans="1:16" x14ac:dyDescent="0.25">
      <c r="A740">
        <v>129</v>
      </c>
      <c r="B740" t="s">
        <v>270</v>
      </c>
      <c r="C740">
        <v>37.214009448200002</v>
      </c>
      <c r="D740">
        <v>-7.07440724843</v>
      </c>
      <c r="E740">
        <v>1</v>
      </c>
      <c r="F740">
        <v>1</v>
      </c>
      <c r="G740">
        <v>2</v>
      </c>
      <c r="J740" t="s">
        <v>15</v>
      </c>
      <c r="K740">
        <v>1</v>
      </c>
      <c r="L740">
        <v>1.077</v>
      </c>
      <c r="M740">
        <v>0</v>
      </c>
      <c r="N740" t="s">
        <v>10019</v>
      </c>
      <c r="O740" t="str">
        <f>HYPERLINK("1\1\marker_473_959556.png", "Ver Imagen")</f>
        <v>Ver Imagen</v>
      </c>
      <c r="P740" t="str">
        <f>HYPERLINK("SE\A-5052\A-5052__207.png", "Ver Imagen")</f>
        <v>Ver Imagen</v>
      </c>
    </row>
    <row r="741" spans="1:16" x14ac:dyDescent="0.25">
      <c r="A741">
        <v>129</v>
      </c>
      <c r="B741" t="s">
        <v>270</v>
      </c>
      <c r="C741">
        <v>37.214009448200002</v>
      </c>
      <c r="D741">
        <v>-7.07440724843</v>
      </c>
      <c r="E741">
        <v>1</v>
      </c>
      <c r="F741">
        <v>1</v>
      </c>
      <c r="G741">
        <v>2</v>
      </c>
      <c r="J741" t="s">
        <v>15</v>
      </c>
      <c r="K741">
        <v>1</v>
      </c>
      <c r="L741">
        <v>1</v>
      </c>
      <c r="M741">
        <v>0</v>
      </c>
      <c r="N741" t="s">
        <v>10019</v>
      </c>
      <c r="O741" t="str">
        <f>HYPERLINK("1\1\marker_473_959556.png", "Ver Imagen")</f>
        <v>Ver Imagen</v>
      </c>
      <c r="P741" t="str">
        <f>HYPERLINK("SO\A-5052\A-5052__207.png", "Ver Imagen")</f>
        <v>Ver Imagen</v>
      </c>
    </row>
    <row r="742" spans="1:16" x14ac:dyDescent="0.25">
      <c r="A742">
        <v>130</v>
      </c>
      <c r="B742" t="s">
        <v>272</v>
      </c>
      <c r="C742">
        <v>37.213612889899998</v>
      </c>
      <c r="D742">
        <v>-7.0711185219299999</v>
      </c>
      <c r="E742">
        <v>1</v>
      </c>
      <c r="F742">
        <v>1</v>
      </c>
      <c r="G742">
        <v>2</v>
      </c>
      <c r="J742" t="s">
        <v>15</v>
      </c>
      <c r="K742">
        <v>1</v>
      </c>
      <c r="L742">
        <v>1.0840000000000001</v>
      </c>
      <c r="M742">
        <v>0</v>
      </c>
      <c r="N742" t="s">
        <v>10019</v>
      </c>
      <c r="O742" t="str">
        <f>HYPERLINK("1\1\marker_920_959721.png", "Ver Imagen")</f>
        <v>Ver Imagen</v>
      </c>
      <c r="P742" t="str">
        <f>HYPERLINK("SE\A-5052\A-5052__220.png", "Ver Imagen")</f>
        <v>Ver Imagen</v>
      </c>
    </row>
    <row r="743" spans="1:16" x14ac:dyDescent="0.25">
      <c r="A743">
        <v>131</v>
      </c>
      <c r="B743" t="s">
        <v>274</v>
      </c>
      <c r="C743">
        <v>37.213557827000002</v>
      </c>
      <c r="D743">
        <v>-7.0706241247700001</v>
      </c>
      <c r="E743">
        <v>1</v>
      </c>
      <c r="F743">
        <v>1</v>
      </c>
      <c r="G743">
        <v>2</v>
      </c>
      <c r="J743" t="s">
        <v>15</v>
      </c>
      <c r="K743">
        <v>1</v>
      </c>
      <c r="L743">
        <v>1.1399999999999999</v>
      </c>
      <c r="M743">
        <v>0</v>
      </c>
      <c r="N743" t="s">
        <v>10019</v>
      </c>
      <c r="O743" t="str">
        <f>HYPERLINK("1\1\marker_984_959739.png", "Ver Imagen")</f>
        <v>Ver Imagen</v>
      </c>
      <c r="P743" t="str">
        <f>HYPERLINK("SE\A-5052\A-5052__222.png", "Ver Imagen")</f>
        <v>Ver Imagen</v>
      </c>
    </row>
    <row r="744" spans="1:16" x14ac:dyDescent="0.25">
      <c r="A744">
        <v>133</v>
      </c>
      <c r="B744" t="s">
        <v>278</v>
      </c>
      <c r="C744">
        <v>37.213512476299996</v>
      </c>
      <c r="D744">
        <v>-7.07014968984</v>
      </c>
      <c r="E744">
        <v>1</v>
      </c>
      <c r="F744">
        <v>1</v>
      </c>
      <c r="G744">
        <v>2</v>
      </c>
      <c r="J744" t="s">
        <v>15</v>
      </c>
      <c r="K744">
        <v>1</v>
      </c>
      <c r="L744">
        <v>1.4379999999999999</v>
      </c>
      <c r="M744">
        <v>0</v>
      </c>
      <c r="N744" t="s">
        <v>10019</v>
      </c>
      <c r="O744" t="str">
        <f>HYPERLINK("1\1\marker_434_959757.png", "Ver Imagen")</f>
        <v>Ver Imagen</v>
      </c>
      <c r="P744" t="str">
        <f>HYPERLINK("SE\A-5052\A-5052__224.png", "Ver Imagen")</f>
        <v>Ver Imagen</v>
      </c>
    </row>
    <row r="745" spans="1:16" x14ac:dyDescent="0.25">
      <c r="A745">
        <v>134</v>
      </c>
      <c r="B745" t="s">
        <v>280</v>
      </c>
      <c r="C745">
        <v>37.213493518200004</v>
      </c>
      <c r="D745">
        <v>-7.0698987901999999</v>
      </c>
      <c r="E745">
        <v>1</v>
      </c>
      <c r="F745">
        <v>1</v>
      </c>
      <c r="G745">
        <v>2</v>
      </c>
      <c r="J745" t="s">
        <v>15</v>
      </c>
      <c r="K745">
        <v>1</v>
      </c>
      <c r="L745">
        <v>1.2849999999999999</v>
      </c>
      <c r="M745">
        <v>0</v>
      </c>
      <c r="N745" t="s">
        <v>10019</v>
      </c>
      <c r="O745" t="str">
        <f>HYPERLINK("1\1\marker_186_959770.png", "Ver Imagen")</f>
        <v>Ver Imagen</v>
      </c>
      <c r="P745" t="str">
        <f>HYPERLINK("SE\A-5052\A-5052__225.png", "Ver Imagen")</f>
        <v>Ver Imagen</v>
      </c>
    </row>
    <row r="746" spans="1:16" x14ac:dyDescent="0.25">
      <c r="A746">
        <v>136</v>
      </c>
      <c r="B746" t="s">
        <v>284</v>
      </c>
      <c r="C746">
        <v>37.2134582702</v>
      </c>
      <c r="D746">
        <v>-7.0691522952000003</v>
      </c>
      <c r="E746">
        <v>1</v>
      </c>
      <c r="F746">
        <v>1</v>
      </c>
      <c r="G746">
        <v>2</v>
      </c>
      <c r="J746" t="s">
        <v>15</v>
      </c>
      <c r="K746">
        <v>1</v>
      </c>
      <c r="L746">
        <v>1</v>
      </c>
      <c r="M746">
        <v>0</v>
      </c>
      <c r="N746" t="s">
        <v>10019</v>
      </c>
      <c r="O746" t="str">
        <f>HYPERLINK("1\1\marker_428_959800.png", "Ver Imagen")</f>
        <v>Ver Imagen</v>
      </c>
      <c r="P746" t="str">
        <f>HYPERLINK("SE\A-5052\A-5052__228.png", "Ver Imagen")</f>
        <v>Ver Imagen</v>
      </c>
    </row>
    <row r="747" spans="1:16" x14ac:dyDescent="0.25">
      <c r="A747">
        <v>138</v>
      </c>
      <c r="B747" t="s">
        <v>288</v>
      </c>
      <c r="C747">
        <v>37.213401263500003</v>
      </c>
      <c r="D747">
        <v>-7.0678530266299999</v>
      </c>
      <c r="E747">
        <v>1</v>
      </c>
      <c r="F747">
        <v>1</v>
      </c>
      <c r="G747">
        <v>2</v>
      </c>
      <c r="J747" t="s">
        <v>15</v>
      </c>
      <c r="K747">
        <v>1</v>
      </c>
      <c r="L747">
        <v>1.069</v>
      </c>
      <c r="M747">
        <v>0</v>
      </c>
      <c r="N747" t="s">
        <v>10019</v>
      </c>
      <c r="O747" t="str">
        <f>HYPERLINK("1\1\marker_293_959863.png", "Ver Imagen")</f>
        <v>Ver Imagen</v>
      </c>
      <c r="P747" t="str">
        <f>HYPERLINK("SE\A-5052\A-5052__233.png", "Ver Imagen")</f>
        <v>Ver Imagen</v>
      </c>
    </row>
    <row r="748" spans="1:16" x14ac:dyDescent="0.25">
      <c r="A748">
        <v>140</v>
      </c>
      <c r="B748" t="s">
        <v>292</v>
      </c>
      <c r="C748">
        <v>37.213307809600003</v>
      </c>
      <c r="D748">
        <v>-7.0653542036400001</v>
      </c>
      <c r="E748">
        <v>1</v>
      </c>
      <c r="F748">
        <v>1</v>
      </c>
      <c r="G748">
        <v>2</v>
      </c>
      <c r="J748" t="s">
        <v>15</v>
      </c>
      <c r="K748">
        <v>1</v>
      </c>
      <c r="L748">
        <v>1.28</v>
      </c>
      <c r="M748">
        <v>0</v>
      </c>
      <c r="N748" t="s">
        <v>10019</v>
      </c>
      <c r="O748" t="str">
        <f>HYPERLINK("1\1\marker_608_959988.png", "Ver Imagen")</f>
        <v>Ver Imagen</v>
      </c>
      <c r="P748" t="str">
        <f>HYPERLINK("SE\A-5052\A-5052__243.png", "Ver Imagen")</f>
        <v>Ver Imagen</v>
      </c>
    </row>
    <row r="749" spans="1:16" x14ac:dyDescent="0.25">
      <c r="A749">
        <v>141</v>
      </c>
      <c r="B749" t="s">
        <v>294</v>
      </c>
      <c r="C749">
        <v>37.211947150299999</v>
      </c>
      <c r="D749">
        <v>-7.0589051030299999</v>
      </c>
      <c r="E749">
        <v>2</v>
      </c>
      <c r="F749">
        <v>1</v>
      </c>
      <c r="G749">
        <v>1</v>
      </c>
      <c r="J749" t="s">
        <v>15</v>
      </c>
      <c r="K749">
        <v>1</v>
      </c>
      <c r="L749">
        <v>1.101</v>
      </c>
      <c r="M749">
        <v>0</v>
      </c>
      <c r="N749" t="s">
        <v>10019</v>
      </c>
      <c r="O749" t="str">
        <f>HYPERLINK("1\1\marker_174_960318.png", "Ver Imagen")</f>
        <v>Ver Imagen</v>
      </c>
      <c r="P749" t="str">
        <f>HYPERLINK("SE\A-5052\A-5052__270.png", "Ver Imagen")</f>
        <v>Ver Imagen</v>
      </c>
    </row>
    <row r="750" spans="1:16" x14ac:dyDescent="0.25">
      <c r="A750">
        <v>143</v>
      </c>
      <c r="B750" t="s">
        <v>298</v>
      </c>
      <c r="C750">
        <v>37.203917001900003</v>
      </c>
      <c r="D750">
        <v>-7.0258793363400001</v>
      </c>
      <c r="E750">
        <v>1</v>
      </c>
      <c r="F750">
        <v>2</v>
      </c>
      <c r="G750">
        <v>1</v>
      </c>
      <c r="J750" t="s">
        <v>15</v>
      </c>
      <c r="K750">
        <v>1</v>
      </c>
      <c r="L750">
        <v>1.1220000000000001</v>
      </c>
      <c r="M750">
        <v>0</v>
      </c>
      <c r="N750" t="s">
        <v>10019</v>
      </c>
      <c r="O750" t="str">
        <f>HYPERLINK("1\1\marker_850_962784.png", "Ver Imagen")</f>
        <v>Ver Imagen</v>
      </c>
      <c r="P750" t="str">
        <f>HYPERLINK("SE\A-5052\A-5052__411.png", "Ver Imagen")</f>
        <v>Ver Imagen</v>
      </c>
    </row>
    <row r="751" spans="1:16" x14ac:dyDescent="0.25">
      <c r="A751">
        <v>144</v>
      </c>
      <c r="B751" t="s">
        <v>300</v>
      </c>
      <c r="C751">
        <v>37.203826780699998</v>
      </c>
      <c r="D751">
        <v>-7.0256451443200003</v>
      </c>
      <c r="E751">
        <v>1</v>
      </c>
      <c r="F751">
        <v>2</v>
      </c>
      <c r="G751">
        <v>1</v>
      </c>
      <c r="J751" t="s">
        <v>15</v>
      </c>
      <c r="K751">
        <v>1</v>
      </c>
      <c r="L751">
        <v>1.0960000000000001</v>
      </c>
      <c r="M751">
        <v>0</v>
      </c>
      <c r="N751" t="s">
        <v>10019</v>
      </c>
      <c r="O751" t="str">
        <f>HYPERLINK("1\1\marker_781_962793.png", "Ver Imagen")</f>
        <v>Ver Imagen</v>
      </c>
      <c r="P751" t="str">
        <f>HYPERLINK("SE\A-5052\A-5052__412.png", "Ver Imagen")</f>
        <v>Ver Imagen</v>
      </c>
    </row>
    <row r="752" spans="1:16" x14ac:dyDescent="0.25">
      <c r="A752">
        <v>146</v>
      </c>
      <c r="B752" t="s">
        <v>304</v>
      </c>
      <c r="C752">
        <v>37.202849861899999</v>
      </c>
      <c r="D752">
        <v>-7.0231303238300002</v>
      </c>
      <c r="E752">
        <v>1</v>
      </c>
      <c r="F752">
        <v>2</v>
      </c>
      <c r="G752">
        <v>1</v>
      </c>
      <c r="J752" t="s">
        <v>15</v>
      </c>
      <c r="K752">
        <v>1</v>
      </c>
      <c r="L752">
        <v>1.2290000000000001</v>
      </c>
      <c r="M752">
        <v>0</v>
      </c>
      <c r="N752" t="s">
        <v>10019</v>
      </c>
      <c r="O752" t="str">
        <f>HYPERLINK("1\1\marker_832_962905.png", "Ver Imagen")</f>
        <v>Ver Imagen</v>
      </c>
      <c r="P752" t="str">
        <f>HYPERLINK("SE\A-5052\A-5052__423.png", "Ver Imagen")</f>
        <v>Ver Imagen</v>
      </c>
    </row>
    <row r="753" spans="1:16" x14ac:dyDescent="0.25">
      <c r="A753">
        <v>147</v>
      </c>
      <c r="B753" t="s">
        <v>306</v>
      </c>
      <c r="C753">
        <v>37.202328762699999</v>
      </c>
      <c r="D753">
        <v>-7.0217655519999997</v>
      </c>
      <c r="E753">
        <v>1</v>
      </c>
      <c r="F753">
        <v>1</v>
      </c>
      <c r="G753">
        <v>2</v>
      </c>
      <c r="J753" t="s">
        <v>15</v>
      </c>
      <c r="K753">
        <v>1</v>
      </c>
      <c r="L753">
        <v>1</v>
      </c>
      <c r="M753">
        <v>0</v>
      </c>
      <c r="N753" t="s">
        <v>10019</v>
      </c>
      <c r="O753" t="str">
        <f>HYPERLINK("1\1\marker_645_962956.png", "Ver Imagen")</f>
        <v>Ver Imagen</v>
      </c>
      <c r="P753" t="str">
        <f>HYPERLINK("SE\A-5052\A-5052__429.png", "Ver Imagen")</f>
        <v>Ver Imagen</v>
      </c>
    </row>
    <row r="754" spans="1:16" x14ac:dyDescent="0.25">
      <c r="A754">
        <v>148</v>
      </c>
      <c r="B754" t="s">
        <v>308</v>
      </c>
      <c r="C754">
        <v>37.202232066900002</v>
      </c>
      <c r="D754">
        <v>-7.0215129771799996</v>
      </c>
      <c r="E754">
        <v>1</v>
      </c>
      <c r="F754">
        <v>2</v>
      </c>
      <c r="G754">
        <v>1</v>
      </c>
      <c r="J754" t="s">
        <v>15</v>
      </c>
      <c r="K754">
        <v>1</v>
      </c>
      <c r="L754">
        <v>1.034</v>
      </c>
      <c r="M754">
        <v>0</v>
      </c>
      <c r="N754" t="s">
        <v>10019</v>
      </c>
      <c r="O754" t="str">
        <f>HYPERLINK("1\1\marker_683_962965.png", "Ver Imagen")</f>
        <v>Ver Imagen</v>
      </c>
      <c r="P754" t="str">
        <f>HYPERLINK("SE\A-5052\A-5052__430.png", "Ver Imagen")</f>
        <v>Ver Imagen</v>
      </c>
    </row>
    <row r="755" spans="1:16" x14ac:dyDescent="0.25">
      <c r="A755">
        <v>149</v>
      </c>
      <c r="B755" t="s">
        <v>310</v>
      </c>
      <c r="C755">
        <v>37.201795479799998</v>
      </c>
      <c r="D755">
        <v>-7.02037208515</v>
      </c>
      <c r="E755">
        <v>1</v>
      </c>
      <c r="F755">
        <v>1</v>
      </c>
      <c r="G755">
        <v>2</v>
      </c>
      <c r="J755" t="s">
        <v>15</v>
      </c>
      <c r="K755">
        <v>1</v>
      </c>
      <c r="L755">
        <v>1</v>
      </c>
      <c r="M755">
        <v>0</v>
      </c>
      <c r="N755" t="s">
        <v>10019</v>
      </c>
      <c r="O755" t="str">
        <f>HYPERLINK("1\1\marker_313_963026.png", "Ver Imagen")</f>
        <v>Ver Imagen</v>
      </c>
      <c r="P755" t="str">
        <f>HYPERLINK("SE\A-5052\A-5052__435.png", "Ver Imagen")</f>
        <v>Ver Imagen</v>
      </c>
    </row>
    <row r="756" spans="1:16" x14ac:dyDescent="0.25">
      <c r="A756">
        <v>150</v>
      </c>
      <c r="B756" t="s">
        <v>312</v>
      </c>
      <c r="C756">
        <v>37.200488997299999</v>
      </c>
      <c r="D756">
        <v>-7.0169700740399996</v>
      </c>
      <c r="E756">
        <v>2</v>
      </c>
      <c r="F756">
        <v>1</v>
      </c>
      <c r="G756">
        <v>1</v>
      </c>
      <c r="J756" t="s">
        <v>15</v>
      </c>
      <c r="K756">
        <v>1</v>
      </c>
      <c r="L756">
        <v>1</v>
      </c>
      <c r="M756">
        <v>0</v>
      </c>
      <c r="N756" t="s">
        <v>10019</v>
      </c>
      <c r="O756" t="str">
        <f>HYPERLINK("1\1\marker_226_963179.png", "Ver Imagen")</f>
        <v>Ver Imagen</v>
      </c>
      <c r="P756" t="str">
        <f>HYPERLINK("SE\A-5052\A-5052__450.png", "Ver Imagen")</f>
        <v>Ver Imagen</v>
      </c>
    </row>
    <row r="757" spans="1:16" x14ac:dyDescent="0.25">
      <c r="A757">
        <v>151</v>
      </c>
      <c r="B757" t="s">
        <v>314</v>
      </c>
      <c r="C757">
        <v>37.200136913400002</v>
      </c>
      <c r="D757">
        <v>-7.0160574146899997</v>
      </c>
      <c r="E757">
        <v>1</v>
      </c>
      <c r="F757">
        <v>1</v>
      </c>
      <c r="G757">
        <v>2</v>
      </c>
      <c r="J757" t="s">
        <v>15</v>
      </c>
      <c r="K757">
        <v>1</v>
      </c>
      <c r="L757">
        <v>1.1180000000000001</v>
      </c>
      <c r="M757">
        <v>0</v>
      </c>
      <c r="N757" t="s">
        <v>10019</v>
      </c>
      <c r="O757" t="str">
        <f>HYPERLINK("1\1\marker_347_963225.png", "Ver Imagen")</f>
        <v>Ver Imagen</v>
      </c>
      <c r="P757" t="str">
        <f>HYPERLINK("SE\A-5052\A-5052__454.png", "Ver Imagen")</f>
        <v>Ver Imagen</v>
      </c>
    </row>
    <row r="758" spans="1:16" x14ac:dyDescent="0.25">
      <c r="A758">
        <v>152</v>
      </c>
      <c r="B758" t="s">
        <v>316</v>
      </c>
      <c r="C758">
        <v>37.199692967899999</v>
      </c>
      <c r="D758">
        <v>-7.0148840703699999</v>
      </c>
      <c r="E758">
        <v>1</v>
      </c>
      <c r="F758">
        <v>1</v>
      </c>
      <c r="G758">
        <v>2</v>
      </c>
      <c r="J758" t="s">
        <v>15</v>
      </c>
      <c r="K758">
        <v>1</v>
      </c>
      <c r="L758">
        <v>1.0329999999999999</v>
      </c>
      <c r="M758">
        <v>0</v>
      </c>
      <c r="N758" t="s">
        <v>10019</v>
      </c>
      <c r="O758" t="str">
        <f>HYPERLINK("1\1\marker_803_963271.png", "Ver Imagen")</f>
        <v>Ver Imagen</v>
      </c>
      <c r="P758" t="str">
        <f>HYPERLINK("SE\A-5052\A-5052__459.png", "Ver Imagen")</f>
        <v>Ver Imagen</v>
      </c>
    </row>
    <row r="759" spans="1:16" x14ac:dyDescent="0.25">
      <c r="A759">
        <v>153</v>
      </c>
      <c r="B759" t="s">
        <v>318</v>
      </c>
      <c r="C759">
        <v>37.1996009163</v>
      </c>
      <c r="D759">
        <v>-7.0146446707600001</v>
      </c>
      <c r="E759">
        <v>1</v>
      </c>
      <c r="F759">
        <v>1</v>
      </c>
      <c r="G759">
        <v>2</v>
      </c>
      <c r="J759" t="s">
        <v>15</v>
      </c>
      <c r="K759">
        <v>1</v>
      </c>
      <c r="L759">
        <v>1.2170000000000001</v>
      </c>
      <c r="M759">
        <v>0</v>
      </c>
      <c r="N759" t="s">
        <v>10019</v>
      </c>
      <c r="O759" t="str">
        <f>HYPERLINK("1\1\marker_507_963280.png", "Ver Imagen")</f>
        <v>Ver Imagen</v>
      </c>
      <c r="P759" t="str">
        <f>HYPERLINK("SE\A-5052\A-5052__460.png", "Ver Imagen")</f>
        <v>Ver Imagen</v>
      </c>
    </row>
    <row r="760" spans="1:16" x14ac:dyDescent="0.25">
      <c r="A760">
        <v>154</v>
      </c>
      <c r="B760" t="s">
        <v>320</v>
      </c>
      <c r="C760">
        <v>37.199524289800003</v>
      </c>
      <c r="D760">
        <v>-7.0144445631299996</v>
      </c>
      <c r="E760">
        <v>0</v>
      </c>
      <c r="F760">
        <v>1</v>
      </c>
      <c r="G760">
        <v>1</v>
      </c>
      <c r="J760" t="s">
        <v>15</v>
      </c>
      <c r="K760">
        <v>1</v>
      </c>
      <c r="L760">
        <v>1.091</v>
      </c>
      <c r="M760">
        <v>0</v>
      </c>
      <c r="N760" t="s">
        <v>10019</v>
      </c>
      <c r="O760" t="str">
        <f>HYPERLINK("1\1\marker_832_963288.png", "Ver Imagen")</f>
        <v>Ver Imagen</v>
      </c>
      <c r="P760" t="str">
        <f>HYPERLINK("SE\A-5052\A-5052__461.png", "Ver Imagen")</f>
        <v>Ver Imagen</v>
      </c>
    </row>
    <row r="761" spans="1:16" x14ac:dyDescent="0.25">
      <c r="A761">
        <v>155</v>
      </c>
      <c r="B761" t="s">
        <v>322</v>
      </c>
      <c r="C761">
        <v>37.199440213099997</v>
      </c>
      <c r="D761">
        <v>-7.0142258689899997</v>
      </c>
      <c r="E761">
        <v>1</v>
      </c>
      <c r="F761">
        <v>1</v>
      </c>
      <c r="G761">
        <v>2</v>
      </c>
      <c r="J761" t="s">
        <v>15</v>
      </c>
      <c r="K761">
        <v>1</v>
      </c>
      <c r="L761">
        <v>1.0209999999999999</v>
      </c>
      <c r="M761">
        <v>0</v>
      </c>
      <c r="N761" t="s">
        <v>10019</v>
      </c>
      <c r="O761" t="str">
        <f>HYPERLINK("1\1\marker_921_963297.png", "Ver Imagen")</f>
        <v>Ver Imagen</v>
      </c>
      <c r="P761" t="str">
        <f>HYPERLINK("SE\A-5052\A-5052__462.png", "Ver Imagen")</f>
        <v>Ver Imagen</v>
      </c>
    </row>
    <row r="762" spans="1:16" x14ac:dyDescent="0.25">
      <c r="A762">
        <v>156</v>
      </c>
      <c r="B762" t="s">
        <v>324</v>
      </c>
      <c r="C762">
        <v>37.197300523300001</v>
      </c>
      <c r="D762">
        <v>-7.0079759575800002</v>
      </c>
      <c r="E762">
        <v>1</v>
      </c>
      <c r="F762">
        <v>1</v>
      </c>
      <c r="G762">
        <v>2</v>
      </c>
      <c r="J762" t="s">
        <v>15</v>
      </c>
      <c r="K762">
        <v>1</v>
      </c>
      <c r="L762">
        <v>1.2889999999999999</v>
      </c>
      <c r="M762">
        <v>0</v>
      </c>
      <c r="N762" t="s">
        <v>10019</v>
      </c>
      <c r="O762" t="str">
        <f>HYPERLINK("1\1\marker_879_963579.png", "Ver Imagen")</f>
        <v>Ver Imagen</v>
      </c>
      <c r="P762" t="str">
        <f>HYPERLINK("SE\A-5052\A-5052__489.png", "Ver Imagen")</f>
        <v>Ver Imagen</v>
      </c>
    </row>
    <row r="763" spans="1:16" x14ac:dyDescent="0.25">
      <c r="A763">
        <v>157</v>
      </c>
      <c r="B763" t="s">
        <v>326</v>
      </c>
      <c r="C763">
        <v>37.197143595199996</v>
      </c>
      <c r="D763">
        <v>-7.0064638505700003</v>
      </c>
      <c r="E763">
        <v>1</v>
      </c>
      <c r="F763">
        <v>2</v>
      </c>
      <c r="G763">
        <v>1</v>
      </c>
      <c r="J763" t="s">
        <v>15</v>
      </c>
      <c r="K763">
        <v>1</v>
      </c>
      <c r="L763">
        <v>1.2569999999999999</v>
      </c>
      <c r="M763">
        <v>0</v>
      </c>
      <c r="N763" t="s">
        <v>10019</v>
      </c>
      <c r="O763" t="str">
        <f>HYPERLINK("1\1\marker_100_963633.png", "Ver Imagen")</f>
        <v>Ver Imagen</v>
      </c>
      <c r="P763" t="str">
        <f>HYPERLINK("SE\A-5052\A-5052__495.png", "Ver Imagen")</f>
        <v>Ver Imagen</v>
      </c>
    </row>
    <row r="764" spans="1:16" x14ac:dyDescent="0.25">
      <c r="A764">
        <v>158</v>
      </c>
      <c r="B764" t="s">
        <v>328</v>
      </c>
      <c r="C764">
        <v>37.286130169300002</v>
      </c>
      <c r="D764">
        <v>-7.1417665162199997</v>
      </c>
      <c r="E764">
        <v>1</v>
      </c>
      <c r="F764">
        <v>1</v>
      </c>
      <c r="G764">
        <v>2</v>
      </c>
      <c r="J764" t="s">
        <v>15</v>
      </c>
      <c r="K764">
        <v>1</v>
      </c>
      <c r="L764">
        <v>1.141</v>
      </c>
      <c r="M764">
        <v>0</v>
      </c>
      <c r="N764" t="s">
        <v>10019</v>
      </c>
      <c r="O764" t="str">
        <f>HYPERLINK("1\1\marker_847_963978.png", "Ver Imagen")</f>
        <v>Ver Imagen</v>
      </c>
      <c r="P764" t="str">
        <f>HYPERLINK("SO\A-5053\A-5053__368.png", "Ver Imagen")</f>
        <v>Ver Imagen</v>
      </c>
    </row>
    <row r="765" spans="1:16" x14ac:dyDescent="0.25">
      <c r="A765">
        <v>159</v>
      </c>
      <c r="B765" t="s">
        <v>330</v>
      </c>
      <c r="C765">
        <v>37.282118669799999</v>
      </c>
      <c r="D765">
        <v>-7.1442891711799996</v>
      </c>
      <c r="E765">
        <v>1</v>
      </c>
      <c r="F765">
        <v>1</v>
      </c>
      <c r="G765">
        <v>2</v>
      </c>
      <c r="J765" t="s">
        <v>15</v>
      </c>
      <c r="K765">
        <v>1</v>
      </c>
      <c r="L765">
        <v>1.137</v>
      </c>
      <c r="M765">
        <v>0</v>
      </c>
      <c r="N765" t="s">
        <v>10019</v>
      </c>
      <c r="O765" t="str">
        <f>HYPERLINK("1\1\marker_854_964226.png", "Ver Imagen")</f>
        <v>Ver Imagen</v>
      </c>
      <c r="P765" t="str">
        <f>HYPERLINK("SO\A-5053\A-5053__345.png", "Ver Imagen")</f>
        <v>Ver Imagen</v>
      </c>
    </row>
    <row r="766" spans="1:16" x14ac:dyDescent="0.25">
      <c r="A766">
        <v>160</v>
      </c>
      <c r="B766" t="s">
        <v>332</v>
      </c>
      <c r="C766">
        <v>37.241231924899999</v>
      </c>
      <c r="D766">
        <v>-7.1285721725700002</v>
      </c>
      <c r="E766">
        <v>1</v>
      </c>
      <c r="F766">
        <v>1</v>
      </c>
      <c r="G766">
        <v>2</v>
      </c>
      <c r="J766" t="s">
        <v>15</v>
      </c>
      <c r="K766">
        <v>1</v>
      </c>
      <c r="L766">
        <v>1.1599999999999999</v>
      </c>
      <c r="M766">
        <v>0</v>
      </c>
      <c r="N766" t="s">
        <v>10019</v>
      </c>
      <c r="O766" t="str">
        <f>HYPERLINK("1\1\marker_648_019675.png", "Ver Imagen")</f>
        <v>Ver Imagen</v>
      </c>
      <c r="P766" t="str">
        <f>HYPERLINK("SO\A-5053\A-5053__113.png", "Ver Imagen")</f>
        <v>Ver Imagen</v>
      </c>
    </row>
    <row r="767" spans="1:16" x14ac:dyDescent="0.25">
      <c r="A767">
        <v>161</v>
      </c>
      <c r="B767" t="s">
        <v>334</v>
      </c>
      <c r="C767">
        <v>37.2218070471</v>
      </c>
      <c r="D767">
        <v>-7.1252192934199998</v>
      </c>
      <c r="E767">
        <v>1</v>
      </c>
      <c r="F767">
        <v>1</v>
      </c>
      <c r="G767">
        <v>2</v>
      </c>
      <c r="J767" t="s">
        <v>15</v>
      </c>
      <c r="K767">
        <v>1</v>
      </c>
      <c r="L767">
        <v>1.117</v>
      </c>
      <c r="M767">
        <v>0</v>
      </c>
      <c r="N767" t="s">
        <v>10019</v>
      </c>
      <c r="O767" t="str">
        <f>HYPERLINK("1\1\marker_544_025051.png", "Ver Imagen")</f>
        <v>Ver Imagen</v>
      </c>
      <c r="P767" t="str">
        <f>HYPERLINK("SO\A-5053\A-5053__15.png", "Ver Imagen")</f>
        <v>Ver Imagen</v>
      </c>
    </row>
    <row r="768" spans="1:16" x14ac:dyDescent="0.25">
      <c r="A768">
        <v>162</v>
      </c>
      <c r="B768" t="s">
        <v>336</v>
      </c>
      <c r="C768">
        <v>37.435887683799997</v>
      </c>
      <c r="D768">
        <v>-7.0769456238700004</v>
      </c>
      <c r="E768">
        <v>2</v>
      </c>
      <c r="F768">
        <v>1</v>
      </c>
      <c r="G768">
        <v>1</v>
      </c>
      <c r="J768" t="s">
        <v>15</v>
      </c>
      <c r="K768">
        <v>1</v>
      </c>
      <c r="L768">
        <v>1</v>
      </c>
      <c r="M768">
        <v>0</v>
      </c>
      <c r="N768" t="s">
        <v>10019</v>
      </c>
      <c r="O768" t="str">
        <f>HYPERLINK("1\1\marker_159_382185.png", "Ver Imagen")</f>
        <v>Ver Imagen</v>
      </c>
      <c r="P768" t="str">
        <f>HYPERLINK("NE\A-495\A-495__103.png", "Ver Imagen")</f>
        <v>Ver Imagen</v>
      </c>
    </row>
    <row r="769" spans="1:16" x14ac:dyDescent="0.25">
      <c r="A769">
        <v>163</v>
      </c>
      <c r="B769" t="s">
        <v>338</v>
      </c>
      <c r="C769">
        <v>37.435468408699997</v>
      </c>
      <c r="D769">
        <v>-7.0766853322500003</v>
      </c>
      <c r="E769">
        <v>1</v>
      </c>
      <c r="F769">
        <v>2</v>
      </c>
      <c r="G769">
        <v>1</v>
      </c>
      <c r="J769" t="s">
        <v>15</v>
      </c>
      <c r="K769">
        <v>1</v>
      </c>
      <c r="L769">
        <v>1.052</v>
      </c>
      <c r="M769">
        <v>0</v>
      </c>
      <c r="N769" t="s">
        <v>10019</v>
      </c>
      <c r="O769" t="str">
        <f>HYPERLINK("1\1\marker_995_382211.png", "Ver Imagen")</f>
        <v>Ver Imagen</v>
      </c>
      <c r="P769" t="str">
        <f>HYPERLINK("NE\A-495\A-495__105.png", "Ver Imagen")</f>
        <v>Ver Imagen</v>
      </c>
    </row>
    <row r="770" spans="1:16" x14ac:dyDescent="0.25">
      <c r="A770">
        <v>165</v>
      </c>
      <c r="B770" t="s">
        <v>342</v>
      </c>
      <c r="C770">
        <v>37.465818290900003</v>
      </c>
      <c r="D770">
        <v>-7.12280292175</v>
      </c>
      <c r="E770">
        <v>1</v>
      </c>
      <c r="F770">
        <v>2</v>
      </c>
      <c r="G770">
        <v>1</v>
      </c>
      <c r="J770" t="s">
        <v>15</v>
      </c>
      <c r="K770">
        <v>1</v>
      </c>
      <c r="L770">
        <v>1</v>
      </c>
      <c r="M770">
        <v>0</v>
      </c>
      <c r="N770" t="s">
        <v>10019</v>
      </c>
      <c r="O770" t="str">
        <f>HYPERLINK("1\1\marker_293_385127.png", "Ver Imagen")</f>
        <v>Ver Imagen</v>
      </c>
      <c r="P770" t="str">
        <f>HYPERLINK("NE\A-495_1\A-495_1__91.png", "Ver Imagen")</f>
        <v>Ver Imagen</v>
      </c>
    </row>
    <row r="771" spans="1:16" x14ac:dyDescent="0.25">
      <c r="A771">
        <v>168</v>
      </c>
      <c r="B771" t="s">
        <v>348</v>
      </c>
      <c r="C771">
        <v>37.463190984199997</v>
      </c>
      <c r="D771">
        <v>-7.1241301375499999</v>
      </c>
      <c r="E771">
        <v>1</v>
      </c>
      <c r="F771">
        <v>1</v>
      </c>
      <c r="G771">
        <v>2</v>
      </c>
      <c r="J771" t="s">
        <v>15</v>
      </c>
      <c r="K771">
        <v>1</v>
      </c>
      <c r="L771">
        <v>1</v>
      </c>
      <c r="M771">
        <v>0</v>
      </c>
      <c r="N771" t="s">
        <v>10019</v>
      </c>
      <c r="O771" t="str">
        <f>HYPERLINK("1\1\marker_316_385260.png", "Ver Imagen")</f>
        <v>Ver Imagen</v>
      </c>
      <c r="P771" t="str">
        <f>HYPERLINK("NE\A-495_1\A-495_1__77.png", "Ver Imagen")</f>
        <v>Ver Imagen</v>
      </c>
    </row>
    <row r="772" spans="1:16" x14ac:dyDescent="0.25">
      <c r="A772">
        <v>170</v>
      </c>
      <c r="B772" t="s">
        <v>352</v>
      </c>
      <c r="C772">
        <v>37.459621140499998</v>
      </c>
      <c r="D772">
        <v>-7.12503114057</v>
      </c>
      <c r="E772">
        <v>1</v>
      </c>
      <c r="F772">
        <v>1</v>
      </c>
      <c r="G772">
        <v>2</v>
      </c>
      <c r="J772" t="s">
        <v>15</v>
      </c>
      <c r="K772">
        <v>1</v>
      </c>
      <c r="L772">
        <v>1.2150000000000001</v>
      </c>
      <c r="M772">
        <v>0</v>
      </c>
      <c r="N772" t="s">
        <v>10019</v>
      </c>
      <c r="O772" t="str">
        <f>HYPERLINK("1\1\marker_996_385479.png", "Ver Imagen")</f>
        <v>Ver Imagen</v>
      </c>
      <c r="P772" t="str">
        <f>HYPERLINK("NE\A-495_1\A-495_1__59.png", "Ver Imagen")</f>
        <v>Ver Imagen</v>
      </c>
    </row>
    <row r="773" spans="1:16" x14ac:dyDescent="0.25">
      <c r="A773">
        <v>172</v>
      </c>
      <c r="B773" t="s">
        <v>356</v>
      </c>
      <c r="C773">
        <v>37.4584425802</v>
      </c>
      <c r="D773">
        <v>-7.1254625140999996</v>
      </c>
      <c r="E773">
        <v>1</v>
      </c>
      <c r="F773">
        <v>1</v>
      </c>
      <c r="G773">
        <v>2</v>
      </c>
      <c r="J773" t="s">
        <v>15</v>
      </c>
      <c r="K773">
        <v>1</v>
      </c>
      <c r="L773">
        <v>1.3660000000000001</v>
      </c>
      <c r="M773">
        <v>0</v>
      </c>
      <c r="N773" t="s">
        <v>10019</v>
      </c>
      <c r="O773" t="str">
        <f>HYPERLINK("1\1\marker_591_385536.png", "Ver Imagen")</f>
        <v>Ver Imagen</v>
      </c>
      <c r="P773" t="str">
        <f>HYPERLINK("NE\A-495_1\A-495_1__53.png", "Ver Imagen")</f>
        <v>Ver Imagen</v>
      </c>
    </row>
    <row r="774" spans="1:16" x14ac:dyDescent="0.25">
      <c r="A774">
        <v>173</v>
      </c>
      <c r="B774" t="s">
        <v>358</v>
      </c>
      <c r="C774">
        <v>37.458265132299999</v>
      </c>
      <c r="D774">
        <v>-7.1255282100399997</v>
      </c>
      <c r="E774">
        <v>1</v>
      </c>
      <c r="F774">
        <v>1</v>
      </c>
      <c r="G774">
        <v>2</v>
      </c>
      <c r="J774" t="s">
        <v>15</v>
      </c>
      <c r="K774">
        <v>1</v>
      </c>
      <c r="L774">
        <v>1.139</v>
      </c>
      <c r="M774">
        <v>0</v>
      </c>
      <c r="N774" t="s">
        <v>10019</v>
      </c>
      <c r="O774" t="str">
        <f>HYPERLINK("1\1\marker_881_385544.png", "Ver Imagen")</f>
        <v>Ver Imagen</v>
      </c>
      <c r="P774" t="str">
        <f>HYPERLINK("NE\A-495_1\A-495_1__52.png", "Ver Imagen")</f>
        <v>Ver Imagen</v>
      </c>
    </row>
    <row r="775" spans="1:16" x14ac:dyDescent="0.25">
      <c r="A775">
        <v>174</v>
      </c>
      <c r="B775" t="s">
        <v>360</v>
      </c>
      <c r="C775">
        <v>37.456493069499999</v>
      </c>
      <c r="D775">
        <v>-7.1261765697900001</v>
      </c>
      <c r="E775">
        <v>1</v>
      </c>
      <c r="F775">
        <v>1</v>
      </c>
      <c r="G775">
        <v>2</v>
      </c>
      <c r="J775" t="s">
        <v>15</v>
      </c>
      <c r="K775">
        <v>1</v>
      </c>
      <c r="L775">
        <v>1.236</v>
      </c>
      <c r="M775">
        <v>0</v>
      </c>
      <c r="N775" t="s">
        <v>10019</v>
      </c>
      <c r="O775" t="str">
        <f>HYPERLINK("1\1\marker_776_385627.png", "Ver Imagen")</f>
        <v>Ver Imagen</v>
      </c>
      <c r="P775" t="str">
        <f>HYPERLINK("NE\A-495_1\A-495_1__43.png", "Ver Imagen")</f>
        <v>Ver Imagen</v>
      </c>
    </row>
    <row r="776" spans="1:16" x14ac:dyDescent="0.25">
      <c r="A776">
        <v>175</v>
      </c>
      <c r="B776" t="s">
        <v>362</v>
      </c>
      <c r="C776">
        <v>37.455334911599998</v>
      </c>
      <c r="D776">
        <v>-7.1266031989299998</v>
      </c>
      <c r="E776">
        <v>2</v>
      </c>
      <c r="F776">
        <v>1</v>
      </c>
      <c r="G776">
        <v>1</v>
      </c>
      <c r="J776" t="s">
        <v>15</v>
      </c>
      <c r="K776">
        <v>1</v>
      </c>
      <c r="L776">
        <v>1.163</v>
      </c>
      <c r="M776">
        <v>0</v>
      </c>
      <c r="N776" t="s">
        <v>10019</v>
      </c>
      <c r="O776" t="str">
        <f>HYPERLINK("1\1\marker_890_385681.png", "Ver Imagen")</f>
        <v>Ver Imagen</v>
      </c>
      <c r="P776" t="str">
        <f>HYPERLINK("NE\A-495_1\A-495_1__37.png", "Ver Imagen")</f>
        <v>Ver Imagen</v>
      </c>
    </row>
    <row r="777" spans="1:16" x14ac:dyDescent="0.25">
      <c r="A777">
        <v>176</v>
      </c>
      <c r="B777" t="s">
        <v>364</v>
      </c>
      <c r="C777">
        <v>37.454959689699997</v>
      </c>
      <c r="D777">
        <v>-7.1267418854300004</v>
      </c>
      <c r="E777">
        <v>1</v>
      </c>
      <c r="F777">
        <v>1</v>
      </c>
      <c r="G777">
        <v>2</v>
      </c>
      <c r="J777" t="s">
        <v>15</v>
      </c>
      <c r="K777">
        <v>1</v>
      </c>
      <c r="L777">
        <v>1.284</v>
      </c>
      <c r="M777">
        <v>0</v>
      </c>
      <c r="N777" t="s">
        <v>10019</v>
      </c>
      <c r="O777" t="str">
        <f>HYPERLINK("1\1\marker_845_385732.png", "Ver Imagen")</f>
        <v>Ver Imagen</v>
      </c>
      <c r="P777" t="str">
        <f>HYPERLINK("NE\A-495_1\A-495_1__35.png", "Ver Imagen")</f>
        <v>Ver Imagen</v>
      </c>
    </row>
    <row r="778" spans="1:16" x14ac:dyDescent="0.25">
      <c r="A778">
        <v>177</v>
      </c>
      <c r="B778" t="s">
        <v>366</v>
      </c>
      <c r="C778">
        <v>37.454577942100002</v>
      </c>
      <c r="D778">
        <v>-7.1268819465300002</v>
      </c>
      <c r="E778">
        <v>1</v>
      </c>
      <c r="F778">
        <v>1</v>
      </c>
      <c r="G778">
        <v>2</v>
      </c>
      <c r="J778" t="s">
        <v>15</v>
      </c>
      <c r="K778">
        <v>1</v>
      </c>
      <c r="L778">
        <v>1</v>
      </c>
      <c r="M778">
        <v>0</v>
      </c>
      <c r="N778" t="s">
        <v>10019</v>
      </c>
      <c r="O778" t="str">
        <f>HYPERLINK("1\1\marker_372_385845.png", "Ver Imagen")</f>
        <v>Ver Imagen</v>
      </c>
      <c r="P778" t="str">
        <f>HYPERLINK("NE\A-495_1\A-495_1__33.png", "Ver Imagen")</f>
        <v>Ver Imagen</v>
      </c>
    </row>
    <row r="779" spans="1:16" x14ac:dyDescent="0.25">
      <c r="A779">
        <v>178</v>
      </c>
      <c r="B779" t="s">
        <v>368</v>
      </c>
      <c r="C779">
        <v>37.454372168900001</v>
      </c>
      <c r="D779">
        <v>-7.1269561717499998</v>
      </c>
      <c r="E779">
        <v>2</v>
      </c>
      <c r="F779">
        <v>1</v>
      </c>
      <c r="G779">
        <v>1</v>
      </c>
      <c r="J779" t="s">
        <v>15</v>
      </c>
      <c r="K779">
        <v>1</v>
      </c>
      <c r="L779">
        <v>1.04</v>
      </c>
      <c r="M779">
        <v>0</v>
      </c>
      <c r="N779" t="s">
        <v>10019</v>
      </c>
      <c r="O779" t="str">
        <f>HYPERLINK("1\1\marker_356_385854.png", "Ver Imagen")</f>
        <v>Ver Imagen</v>
      </c>
      <c r="P779" t="str">
        <f>HYPERLINK("NE\A-495_1\A-495_1__32.png", "Ver Imagen")</f>
        <v>Ver Imagen</v>
      </c>
    </row>
    <row r="780" spans="1:16" x14ac:dyDescent="0.25">
      <c r="A780">
        <v>179</v>
      </c>
      <c r="B780" t="s">
        <v>370</v>
      </c>
      <c r="C780">
        <v>37.453220563400002</v>
      </c>
      <c r="D780">
        <v>-7.1273076301899998</v>
      </c>
      <c r="E780">
        <v>1</v>
      </c>
      <c r="F780">
        <v>1</v>
      </c>
      <c r="G780">
        <v>2</v>
      </c>
      <c r="J780" t="s">
        <v>15</v>
      </c>
      <c r="K780">
        <v>1</v>
      </c>
      <c r="L780">
        <v>1.204</v>
      </c>
      <c r="M780">
        <v>0</v>
      </c>
      <c r="N780" t="s">
        <v>10019</v>
      </c>
      <c r="O780" t="str">
        <f>HYPERLINK("1\1\marker_788_385916.png", "Ver Imagen")</f>
        <v>Ver Imagen</v>
      </c>
      <c r="P780" t="str">
        <f>HYPERLINK("NE\A-495_1\A-495_1__26.png", "Ver Imagen")</f>
        <v>Ver Imagen</v>
      </c>
    </row>
    <row r="781" spans="1:16" x14ac:dyDescent="0.25">
      <c r="A781">
        <v>181</v>
      </c>
      <c r="B781" t="s">
        <v>374</v>
      </c>
      <c r="C781">
        <v>37.452386651499999</v>
      </c>
      <c r="D781">
        <v>-7.1274403171199996</v>
      </c>
      <c r="E781">
        <v>1</v>
      </c>
      <c r="F781">
        <v>1</v>
      </c>
      <c r="G781">
        <v>2</v>
      </c>
      <c r="J781" t="s">
        <v>15</v>
      </c>
      <c r="K781">
        <v>1</v>
      </c>
      <c r="L781">
        <v>1.157</v>
      </c>
      <c r="M781">
        <v>0</v>
      </c>
      <c r="N781" t="s">
        <v>10019</v>
      </c>
      <c r="O781" t="str">
        <f>HYPERLINK("1\1\marker_452_385952.png", "Ver Imagen")</f>
        <v>Ver Imagen</v>
      </c>
      <c r="P781" t="str">
        <f>HYPERLINK("NE\A-495_1\A-495_1__22.png", "Ver Imagen")</f>
        <v>Ver Imagen</v>
      </c>
    </row>
    <row r="782" spans="1:16" x14ac:dyDescent="0.25">
      <c r="A782">
        <v>182</v>
      </c>
      <c r="B782" t="s">
        <v>376</v>
      </c>
      <c r="C782">
        <v>37.452211020199996</v>
      </c>
      <c r="D782">
        <v>-7.1274543326800002</v>
      </c>
      <c r="E782">
        <v>1</v>
      </c>
      <c r="F782">
        <v>1</v>
      </c>
      <c r="G782">
        <v>2</v>
      </c>
      <c r="J782" t="s">
        <v>15</v>
      </c>
      <c r="K782">
        <v>1</v>
      </c>
      <c r="L782">
        <v>1.236</v>
      </c>
      <c r="M782">
        <v>0</v>
      </c>
      <c r="N782" t="s">
        <v>10019</v>
      </c>
      <c r="O782" t="str">
        <f>HYPERLINK("1\1\marker_893_385971.png", "Ver Imagen")</f>
        <v>Ver Imagen</v>
      </c>
      <c r="P782" t="str">
        <f>HYPERLINK("NE\A-495_1\A-495_1__21.png", "Ver Imagen")</f>
        <v>Ver Imagen</v>
      </c>
    </row>
    <row r="783" spans="1:16" x14ac:dyDescent="0.25">
      <c r="A783">
        <v>185</v>
      </c>
      <c r="B783" t="s">
        <v>382</v>
      </c>
      <c r="C783">
        <v>37.493608680100003</v>
      </c>
      <c r="D783">
        <v>-7.2771062038099998</v>
      </c>
      <c r="E783">
        <v>1</v>
      </c>
      <c r="F783">
        <v>1</v>
      </c>
      <c r="G783">
        <v>2</v>
      </c>
      <c r="J783" t="s">
        <v>15</v>
      </c>
      <c r="K783">
        <v>1</v>
      </c>
      <c r="L783">
        <v>1.357</v>
      </c>
      <c r="M783">
        <v>0</v>
      </c>
      <c r="N783" t="s">
        <v>10019</v>
      </c>
      <c r="O783" t="str">
        <f>HYPERLINK("1\1\marker_385_529986.png", "Ver Imagen")</f>
        <v>Ver Imagen</v>
      </c>
      <c r="P783" t="str">
        <f>HYPERLINK("NO\A-499\A-499__36.png", "Ver Imagen")</f>
        <v>Ver Imagen</v>
      </c>
    </row>
    <row r="784" spans="1:16" x14ac:dyDescent="0.25">
      <c r="A784">
        <v>186</v>
      </c>
      <c r="B784" t="s">
        <v>384</v>
      </c>
      <c r="C784">
        <v>37.500169580700003</v>
      </c>
      <c r="D784">
        <v>-7.2670414024800003</v>
      </c>
      <c r="E784">
        <v>1</v>
      </c>
      <c r="F784">
        <v>1</v>
      </c>
      <c r="G784">
        <v>2</v>
      </c>
      <c r="J784" t="s">
        <v>15</v>
      </c>
      <c r="K784">
        <v>1</v>
      </c>
      <c r="L784">
        <v>1.2669999999999999</v>
      </c>
      <c r="M784">
        <v>0</v>
      </c>
      <c r="N784" t="s">
        <v>10019</v>
      </c>
      <c r="O784" t="str">
        <f>HYPERLINK("1\1\marker_598_793336.png", "Ver Imagen")</f>
        <v>Ver Imagen</v>
      </c>
      <c r="P784" t="str">
        <f>HYPERLINK("NO\A-499\A-499__107.png", "Ver Imagen")</f>
        <v>Ver Imagen</v>
      </c>
    </row>
    <row r="785" spans="1:16" x14ac:dyDescent="0.25">
      <c r="A785">
        <v>187</v>
      </c>
      <c r="B785" t="s">
        <v>386</v>
      </c>
      <c r="C785">
        <v>37.517688912499999</v>
      </c>
      <c r="D785">
        <v>-7.2645119702500001</v>
      </c>
      <c r="E785">
        <v>1</v>
      </c>
      <c r="F785">
        <v>1</v>
      </c>
      <c r="G785">
        <v>2</v>
      </c>
      <c r="J785" t="s">
        <v>15</v>
      </c>
      <c r="K785">
        <v>1</v>
      </c>
      <c r="L785">
        <v>1</v>
      </c>
      <c r="M785">
        <v>0</v>
      </c>
      <c r="N785" t="s">
        <v>10019</v>
      </c>
      <c r="O785" t="str">
        <f>HYPERLINK("1\1\marker_164_796224.png", "Ver Imagen")</f>
        <v>Ver Imagen</v>
      </c>
      <c r="P785" t="str">
        <f>HYPERLINK("NO\A-499\A-499__206.png", "Ver Imagen")</f>
        <v>Ver Imagen</v>
      </c>
    </row>
    <row r="786" spans="1:16" x14ac:dyDescent="0.25">
      <c r="A786">
        <v>188</v>
      </c>
      <c r="B786" t="s">
        <v>388</v>
      </c>
      <c r="C786">
        <v>37.518013654400001</v>
      </c>
      <c r="D786">
        <v>-7.2638753617300003</v>
      </c>
      <c r="E786">
        <v>1</v>
      </c>
      <c r="F786">
        <v>1</v>
      </c>
      <c r="G786">
        <v>2</v>
      </c>
      <c r="J786" t="s">
        <v>15</v>
      </c>
      <c r="K786">
        <v>1</v>
      </c>
      <c r="L786">
        <v>1.371</v>
      </c>
      <c r="M786">
        <v>0</v>
      </c>
      <c r="N786" t="s">
        <v>10019</v>
      </c>
      <c r="O786" t="str">
        <f>HYPERLINK("1\1\marker_331_796299.png", "Ver Imagen")</f>
        <v>Ver Imagen</v>
      </c>
      <c r="P786" t="str">
        <f>HYPERLINK("NO\A-499\A-499__209.png", "Ver Imagen")</f>
        <v>Ver Imagen</v>
      </c>
    </row>
    <row r="787" spans="1:16" x14ac:dyDescent="0.25">
      <c r="A787">
        <v>189</v>
      </c>
      <c r="B787" t="s">
        <v>390</v>
      </c>
      <c r="C787">
        <v>37.271008046699997</v>
      </c>
      <c r="D787">
        <v>-6.9888626754200001</v>
      </c>
      <c r="E787">
        <v>2</v>
      </c>
      <c r="F787">
        <v>1</v>
      </c>
      <c r="G787">
        <v>1</v>
      </c>
      <c r="J787" t="s">
        <v>15</v>
      </c>
      <c r="K787">
        <v>1</v>
      </c>
      <c r="L787">
        <v>1.3360000000000001</v>
      </c>
      <c r="M787">
        <v>0</v>
      </c>
      <c r="N787" t="s">
        <v>10019</v>
      </c>
      <c r="O787" t="str">
        <f>HYPERLINK("1\1\marker_697_655773.png", "Ver Imagen")</f>
        <v>Ver Imagen</v>
      </c>
      <c r="P787" t="str">
        <f>HYPERLINK("SE\A-497_2C\A-497_2C__130.png", "Ver Imagen")</f>
        <v>Ver Imagen</v>
      </c>
    </row>
    <row r="788" spans="1:16" x14ac:dyDescent="0.25">
      <c r="A788">
        <v>190</v>
      </c>
      <c r="B788" t="s">
        <v>392</v>
      </c>
      <c r="C788">
        <v>37.270476864599999</v>
      </c>
      <c r="D788">
        <v>-6.9893159840000001</v>
      </c>
      <c r="E788">
        <v>1</v>
      </c>
      <c r="F788">
        <v>1</v>
      </c>
      <c r="G788">
        <v>2</v>
      </c>
      <c r="J788" t="s">
        <v>15</v>
      </c>
      <c r="K788">
        <v>1</v>
      </c>
      <c r="L788">
        <v>1</v>
      </c>
      <c r="M788">
        <v>0</v>
      </c>
      <c r="N788" t="s">
        <v>10019</v>
      </c>
      <c r="O788" t="str">
        <f>HYPERLINK("1\1\marker_646_655800.png", "Ver Imagen")</f>
        <v>Ver Imagen</v>
      </c>
      <c r="P788" t="str">
        <f>HYPERLINK("SE\A-497_2C\A-497_2C__133.png", "Ver Imagen")</f>
        <v>Ver Imagen</v>
      </c>
    </row>
    <row r="789" spans="1:16" x14ac:dyDescent="0.25">
      <c r="A789">
        <v>191</v>
      </c>
      <c r="B789" t="s">
        <v>394</v>
      </c>
      <c r="C789">
        <v>37.270309899200001</v>
      </c>
      <c r="D789">
        <v>-6.9894328575799998</v>
      </c>
      <c r="E789">
        <v>1</v>
      </c>
      <c r="F789">
        <v>1</v>
      </c>
      <c r="G789">
        <v>2</v>
      </c>
      <c r="J789" t="s">
        <v>15</v>
      </c>
      <c r="K789">
        <v>1</v>
      </c>
      <c r="L789">
        <v>1.397</v>
      </c>
      <c r="M789">
        <v>0</v>
      </c>
      <c r="N789" t="s">
        <v>10019</v>
      </c>
      <c r="O789" t="str">
        <f>HYPERLINK("1\1\marker_638_655808.png", "Ver Imagen")</f>
        <v>Ver Imagen</v>
      </c>
      <c r="P789" t="str">
        <f>HYPERLINK("SE\A-497_2C\A-497_2C__134.png", "Ver Imagen")</f>
        <v>Ver Imagen</v>
      </c>
    </row>
    <row r="790" spans="1:16" x14ac:dyDescent="0.25">
      <c r="A790">
        <v>192</v>
      </c>
      <c r="B790" t="s">
        <v>396</v>
      </c>
      <c r="C790">
        <v>37.2655222438</v>
      </c>
      <c r="D790">
        <v>-6.9959534888199997</v>
      </c>
      <c r="E790">
        <v>2</v>
      </c>
      <c r="F790">
        <v>1</v>
      </c>
      <c r="G790">
        <v>1</v>
      </c>
      <c r="J790" t="s">
        <v>15</v>
      </c>
      <c r="K790">
        <v>1</v>
      </c>
      <c r="L790">
        <v>1.107</v>
      </c>
      <c r="M790">
        <v>0</v>
      </c>
      <c r="N790" t="s">
        <v>10019</v>
      </c>
      <c r="O790" t="str">
        <f>HYPERLINK("1\1\marker_491_656209.png", "Ver Imagen")</f>
        <v>Ver Imagen</v>
      </c>
      <c r="P790" t="str">
        <f>HYPERLINK("SE\A-497_2C\A-497_2C__171.png", "Ver Imagen")</f>
        <v>Ver Imagen</v>
      </c>
    </row>
    <row r="791" spans="1:16" x14ac:dyDescent="0.25">
      <c r="A791">
        <v>193</v>
      </c>
      <c r="B791" t="s">
        <v>398</v>
      </c>
      <c r="C791">
        <v>37.265479634999998</v>
      </c>
      <c r="D791">
        <v>-6.9961804902700004</v>
      </c>
      <c r="E791">
        <v>1</v>
      </c>
      <c r="F791">
        <v>2</v>
      </c>
      <c r="G791">
        <v>1</v>
      </c>
      <c r="J791" t="s">
        <v>15</v>
      </c>
      <c r="K791">
        <v>1</v>
      </c>
      <c r="L791">
        <v>1.2110000000000001</v>
      </c>
      <c r="M791">
        <v>0</v>
      </c>
      <c r="N791" t="s">
        <v>10019</v>
      </c>
      <c r="O791" t="str">
        <f>HYPERLINK("1\1\marker_532_656217.png", "Ver Imagen")</f>
        <v>Ver Imagen</v>
      </c>
      <c r="P791" t="str">
        <f>HYPERLINK("SE\A-497_2C\A-497_2C__172.png", "Ver Imagen")</f>
        <v>Ver Imagen</v>
      </c>
    </row>
    <row r="792" spans="1:16" x14ac:dyDescent="0.25">
      <c r="A792">
        <v>194</v>
      </c>
      <c r="B792" t="s">
        <v>400</v>
      </c>
      <c r="C792">
        <v>37.213597397000001</v>
      </c>
      <c r="D792">
        <v>-7.0236596093100001</v>
      </c>
      <c r="E792">
        <v>1</v>
      </c>
      <c r="F792">
        <v>1</v>
      </c>
      <c r="G792">
        <v>2</v>
      </c>
      <c r="J792" t="s">
        <v>15</v>
      </c>
      <c r="K792">
        <v>1</v>
      </c>
      <c r="L792">
        <v>1.22</v>
      </c>
      <c r="M792">
        <v>0</v>
      </c>
      <c r="N792" t="s">
        <v>10019</v>
      </c>
      <c r="O792" t="str">
        <f>HYPERLINK("1\1\marker_654_376217.png", "Ver Imagen")</f>
        <v>Ver Imagen</v>
      </c>
      <c r="P792" t="str">
        <f>HYPERLINK("SE\A-497\A-497__488.png", "Ver Imagen")</f>
        <v>Ver Imagen</v>
      </c>
    </row>
    <row r="793" spans="1:16" x14ac:dyDescent="0.25">
      <c r="A793">
        <v>195</v>
      </c>
      <c r="B793" t="s">
        <v>402</v>
      </c>
      <c r="C793">
        <v>37.213972956799999</v>
      </c>
      <c r="D793">
        <v>-7.0235947766200004</v>
      </c>
      <c r="E793">
        <v>1</v>
      </c>
      <c r="F793">
        <v>1</v>
      </c>
      <c r="G793">
        <v>2</v>
      </c>
      <c r="J793" t="s">
        <v>15</v>
      </c>
      <c r="K793">
        <v>1</v>
      </c>
      <c r="L793">
        <v>1.32</v>
      </c>
      <c r="M793">
        <v>0</v>
      </c>
      <c r="N793" t="s">
        <v>10019</v>
      </c>
      <c r="O793" t="str">
        <f>HYPERLINK("1\1\marker_664_376239.png", "Ver Imagen")</f>
        <v>Ver Imagen</v>
      </c>
      <c r="P793" t="str">
        <f>HYPERLINK("SE\A-497\A-497__486.png", "Ver Imagen")</f>
        <v>Ver Imagen</v>
      </c>
    </row>
    <row r="794" spans="1:16" x14ac:dyDescent="0.25">
      <c r="A794">
        <v>196</v>
      </c>
      <c r="B794" t="s">
        <v>404</v>
      </c>
      <c r="C794">
        <v>37.214154613300003</v>
      </c>
      <c r="D794">
        <v>-7.0235632742199998</v>
      </c>
      <c r="E794">
        <v>1</v>
      </c>
      <c r="F794">
        <v>1</v>
      </c>
      <c r="G794">
        <v>2</v>
      </c>
      <c r="J794" t="s">
        <v>15</v>
      </c>
      <c r="K794">
        <v>1</v>
      </c>
      <c r="L794">
        <v>1.4350000000000001</v>
      </c>
      <c r="M794">
        <v>0</v>
      </c>
      <c r="N794" t="s">
        <v>10019</v>
      </c>
      <c r="O794" t="str">
        <f>HYPERLINK("1\1\marker_443_376249.png", "Ver Imagen")</f>
        <v>Ver Imagen</v>
      </c>
      <c r="P794" t="str">
        <f>HYPERLINK("SE\A-497\A-497__485.png", "Ver Imagen")</f>
        <v>Ver Imagen</v>
      </c>
    </row>
    <row r="795" spans="1:16" x14ac:dyDescent="0.25">
      <c r="A795">
        <v>198</v>
      </c>
      <c r="B795" t="s">
        <v>408</v>
      </c>
      <c r="C795">
        <v>37.2252934805</v>
      </c>
      <c r="D795">
        <v>-7.0233598681</v>
      </c>
      <c r="E795">
        <v>1</v>
      </c>
      <c r="F795">
        <v>1</v>
      </c>
      <c r="G795">
        <v>2</v>
      </c>
      <c r="J795" t="s">
        <v>15</v>
      </c>
      <c r="K795">
        <v>1</v>
      </c>
      <c r="L795">
        <v>1.393</v>
      </c>
      <c r="M795">
        <v>0</v>
      </c>
      <c r="N795" t="s">
        <v>10019</v>
      </c>
      <c r="O795" t="str">
        <f>HYPERLINK("1\1\marker_526_363160.png", "Ver Imagen")</f>
        <v>Ver Imagen</v>
      </c>
      <c r="P795" t="str">
        <f>HYPERLINK("SE\A-497_2C\A-497_2C__425.png", "Ver Imagen")</f>
        <v>Ver Imagen</v>
      </c>
    </row>
    <row r="796" spans="1:16" x14ac:dyDescent="0.25">
      <c r="A796">
        <v>199</v>
      </c>
      <c r="B796" t="s">
        <v>410</v>
      </c>
      <c r="C796">
        <v>37.225118102700002</v>
      </c>
      <c r="D796">
        <v>-7.0233795077799996</v>
      </c>
      <c r="E796">
        <v>1</v>
      </c>
      <c r="F796">
        <v>1</v>
      </c>
      <c r="G796">
        <v>2</v>
      </c>
      <c r="J796" t="s">
        <v>15</v>
      </c>
      <c r="K796">
        <v>1</v>
      </c>
      <c r="L796">
        <v>1.0649999999999999</v>
      </c>
      <c r="M796">
        <v>0</v>
      </c>
      <c r="N796" t="s">
        <v>10019</v>
      </c>
      <c r="O796" t="str">
        <f>HYPERLINK("1\1\marker_205_363169.png", "Ver Imagen")</f>
        <v>Ver Imagen</v>
      </c>
      <c r="P796" t="str">
        <f>HYPERLINK("SE\A-497_2C\A-497_2C__426.png", "Ver Imagen")</f>
        <v>Ver Imagen</v>
      </c>
    </row>
    <row r="797" spans="1:16" x14ac:dyDescent="0.25">
      <c r="A797">
        <v>200</v>
      </c>
      <c r="B797" t="s">
        <v>412</v>
      </c>
      <c r="C797">
        <v>37.224096768499997</v>
      </c>
      <c r="D797">
        <v>-7.0233507939699997</v>
      </c>
      <c r="E797">
        <v>1</v>
      </c>
      <c r="F797">
        <v>1</v>
      </c>
      <c r="G797">
        <v>2</v>
      </c>
      <c r="J797" t="s">
        <v>15</v>
      </c>
      <c r="K797">
        <v>1</v>
      </c>
      <c r="L797">
        <v>1.425</v>
      </c>
      <c r="M797">
        <v>0</v>
      </c>
      <c r="N797" t="s">
        <v>10019</v>
      </c>
      <c r="O797" t="str">
        <f>HYPERLINK("1\1\marker_230_363215.png", "Ver Imagen")</f>
        <v>Ver Imagen</v>
      </c>
      <c r="P797" t="str">
        <f>HYPERLINK("SE\A-497_2C\A-497_2C__431.png", "Ver Imagen")</f>
        <v>Ver Imagen</v>
      </c>
    </row>
    <row r="798" spans="1:16" x14ac:dyDescent="0.25">
      <c r="A798">
        <v>201</v>
      </c>
      <c r="B798" t="s">
        <v>414</v>
      </c>
      <c r="C798">
        <v>37.223898026800001</v>
      </c>
      <c r="D798">
        <v>-7.0233324848000001</v>
      </c>
      <c r="E798">
        <v>1</v>
      </c>
      <c r="F798">
        <v>1</v>
      </c>
      <c r="G798">
        <v>2</v>
      </c>
      <c r="J798" t="s">
        <v>15</v>
      </c>
      <c r="K798">
        <v>1</v>
      </c>
      <c r="L798">
        <v>1.4570000000000001</v>
      </c>
      <c r="M798">
        <v>0</v>
      </c>
      <c r="N798" t="s">
        <v>10019</v>
      </c>
      <c r="O798" t="str">
        <f>HYPERLINK("1\1\marker_822_363224.png", "Ver Imagen")</f>
        <v>Ver Imagen</v>
      </c>
      <c r="P798" t="str">
        <f>HYPERLINK("SE\A-497_2C\A-497_2C__432.png", "Ver Imagen")</f>
        <v>Ver Imagen</v>
      </c>
    </row>
    <row r="799" spans="1:16" x14ac:dyDescent="0.25">
      <c r="A799">
        <v>202</v>
      </c>
      <c r="B799" t="s">
        <v>416</v>
      </c>
      <c r="C799">
        <v>37.209406719500002</v>
      </c>
      <c r="D799">
        <v>-7.0234663690100003</v>
      </c>
      <c r="E799">
        <v>1</v>
      </c>
      <c r="F799">
        <v>1</v>
      </c>
      <c r="G799">
        <v>2</v>
      </c>
      <c r="J799" t="s">
        <v>15</v>
      </c>
      <c r="K799">
        <v>1</v>
      </c>
      <c r="L799">
        <v>1.1140000000000001</v>
      </c>
      <c r="M799">
        <v>0</v>
      </c>
      <c r="N799" t="s">
        <v>10019</v>
      </c>
      <c r="O799" t="str">
        <f>HYPERLINK("1\1\marker_809_364100.png", "Ver Imagen")</f>
        <v>Ver Imagen</v>
      </c>
      <c r="P799" t="str">
        <f>HYPERLINK("SE\A-497_2C\A-497_2C__504.png", "Ver Imagen")</f>
        <v>Ver Imagen</v>
      </c>
    </row>
    <row r="800" spans="1:16" x14ac:dyDescent="0.25">
      <c r="A800">
        <v>203</v>
      </c>
      <c r="B800" t="s">
        <v>418</v>
      </c>
      <c r="C800">
        <v>37.2092259211</v>
      </c>
      <c r="D800">
        <v>-7.0233729754900001</v>
      </c>
      <c r="E800">
        <v>1</v>
      </c>
      <c r="F800">
        <v>1</v>
      </c>
      <c r="G800">
        <v>2</v>
      </c>
      <c r="J800" t="s">
        <v>15</v>
      </c>
      <c r="K800">
        <v>1</v>
      </c>
      <c r="L800">
        <v>1.4179999999999999</v>
      </c>
      <c r="M800">
        <v>0</v>
      </c>
      <c r="N800" t="s">
        <v>10017</v>
      </c>
      <c r="O800" t="str">
        <f>HYPERLINK("1\1\marker_679_364110.png", "Ver Imagen")</f>
        <v>Ver Imagen</v>
      </c>
      <c r="P800" t="str">
        <f>HYPERLINK("SE\A-497_2C\A-497_2C__505.png", "Ver Imagen")</f>
        <v>Ver Imagen</v>
      </c>
    </row>
    <row r="801" spans="1:16" x14ac:dyDescent="0.25">
      <c r="A801">
        <v>204</v>
      </c>
      <c r="B801" t="s">
        <v>420</v>
      </c>
      <c r="C801">
        <v>37.209052309900002</v>
      </c>
      <c r="D801">
        <v>-7.0232755115999996</v>
      </c>
      <c r="E801">
        <v>1</v>
      </c>
      <c r="F801">
        <v>1</v>
      </c>
      <c r="G801">
        <v>2</v>
      </c>
      <c r="J801" t="s">
        <v>15</v>
      </c>
      <c r="K801">
        <v>1</v>
      </c>
      <c r="L801">
        <v>1.1779999999999999</v>
      </c>
      <c r="M801">
        <v>0</v>
      </c>
      <c r="N801" t="s">
        <v>10019</v>
      </c>
      <c r="O801" t="str">
        <f>HYPERLINK("1\1\marker_569_364120.png", "Ver Imagen")</f>
        <v>Ver Imagen</v>
      </c>
      <c r="P801" t="str">
        <f>HYPERLINK("SE\A-497_2C\A-497_2C__506.png", "Ver Imagen")</f>
        <v>Ver Imagen</v>
      </c>
    </row>
    <row r="802" spans="1:16" x14ac:dyDescent="0.25">
      <c r="A802">
        <v>208</v>
      </c>
      <c r="B802" t="s">
        <v>428</v>
      </c>
      <c r="C802">
        <v>37.205232534399997</v>
      </c>
      <c r="D802">
        <v>-7.01734578742</v>
      </c>
      <c r="E802">
        <v>1</v>
      </c>
      <c r="F802">
        <v>1</v>
      </c>
      <c r="G802">
        <v>2</v>
      </c>
      <c r="J802" t="s">
        <v>15</v>
      </c>
      <c r="K802">
        <v>1</v>
      </c>
      <c r="L802">
        <v>1.2150000000000001</v>
      </c>
      <c r="M802">
        <v>0</v>
      </c>
      <c r="N802" t="s">
        <v>10019</v>
      </c>
      <c r="O802" t="str">
        <f>HYPERLINK("1\1\marker_734_364511.png", "Ver Imagen")</f>
        <v>Ver Imagen</v>
      </c>
      <c r="P802" t="str">
        <f>HYPERLINK("SE\A-497_2C\A-497_2C__537.png", "Ver Imagen")</f>
        <v>Ver Imagen</v>
      </c>
    </row>
    <row r="803" spans="1:16" x14ac:dyDescent="0.25">
      <c r="A803">
        <v>209</v>
      </c>
      <c r="B803" t="s">
        <v>430</v>
      </c>
      <c r="C803">
        <v>37.221648925899999</v>
      </c>
      <c r="D803">
        <v>-7.0229317840099998</v>
      </c>
      <c r="E803">
        <v>1</v>
      </c>
      <c r="F803">
        <v>1</v>
      </c>
      <c r="G803">
        <v>2</v>
      </c>
      <c r="J803" t="s">
        <v>15</v>
      </c>
      <c r="K803">
        <v>1</v>
      </c>
      <c r="L803">
        <v>1</v>
      </c>
      <c r="M803">
        <v>0</v>
      </c>
      <c r="N803" t="s">
        <v>10019</v>
      </c>
      <c r="O803" t="str">
        <f>HYPERLINK("1\1\marker_907_376709.png", "Ver Imagen")</f>
        <v>Ver Imagen</v>
      </c>
      <c r="P803" t="str">
        <f>HYPERLINK("SE\A-497\A-497__448.png", "Ver Imagen")</f>
        <v>Ver Imagen</v>
      </c>
    </row>
    <row r="804" spans="1:16" x14ac:dyDescent="0.25">
      <c r="A804">
        <v>212</v>
      </c>
      <c r="B804" t="s">
        <v>436</v>
      </c>
      <c r="C804">
        <v>37.227625043300002</v>
      </c>
      <c r="D804">
        <v>-7.0220586818599999</v>
      </c>
      <c r="E804">
        <v>2</v>
      </c>
      <c r="F804">
        <v>1</v>
      </c>
      <c r="G804">
        <v>1</v>
      </c>
      <c r="J804" t="s">
        <v>15</v>
      </c>
      <c r="K804">
        <v>1</v>
      </c>
      <c r="L804">
        <v>1.0980000000000001</v>
      </c>
      <c r="M804">
        <v>0</v>
      </c>
      <c r="N804" t="s">
        <v>10019</v>
      </c>
      <c r="O804" t="str">
        <f>HYPERLINK("1\1\marker_986_377040.png", "Ver Imagen")</f>
        <v>Ver Imagen</v>
      </c>
      <c r="P804" t="str">
        <f>HYPERLINK("SE\A-497\A-497__417.png", "Ver Imagen")</f>
        <v>Ver Imagen</v>
      </c>
    </row>
    <row r="805" spans="1:16" x14ac:dyDescent="0.25">
      <c r="A805">
        <v>213</v>
      </c>
      <c r="B805" t="s">
        <v>438</v>
      </c>
      <c r="C805">
        <v>37.2283785917</v>
      </c>
      <c r="D805">
        <v>-7.0214924630400004</v>
      </c>
      <c r="E805">
        <v>1</v>
      </c>
      <c r="F805">
        <v>1</v>
      </c>
      <c r="G805">
        <v>2</v>
      </c>
      <c r="J805" t="s">
        <v>15</v>
      </c>
      <c r="K805">
        <v>1</v>
      </c>
      <c r="L805">
        <v>1.008</v>
      </c>
      <c r="M805">
        <v>0</v>
      </c>
      <c r="N805" t="s">
        <v>10019</v>
      </c>
      <c r="O805" t="str">
        <f>HYPERLINK("1\1\marker_689_377075.png", "Ver Imagen")</f>
        <v>Ver Imagen</v>
      </c>
      <c r="P805" t="str">
        <f>HYPERLINK("SE\A-497\A-497__413.png", "Ver Imagen")</f>
        <v>Ver Imagen</v>
      </c>
    </row>
    <row r="806" spans="1:16" x14ac:dyDescent="0.25">
      <c r="A806">
        <v>214</v>
      </c>
      <c r="B806" t="s">
        <v>440</v>
      </c>
      <c r="C806">
        <v>37.229210176400002</v>
      </c>
      <c r="D806">
        <v>-7.0208570232599996</v>
      </c>
      <c r="E806">
        <v>1</v>
      </c>
      <c r="F806">
        <v>1</v>
      </c>
      <c r="G806">
        <v>2</v>
      </c>
      <c r="J806" t="s">
        <v>15</v>
      </c>
      <c r="K806">
        <v>1</v>
      </c>
      <c r="L806">
        <v>1</v>
      </c>
      <c r="M806">
        <v>0</v>
      </c>
      <c r="N806" t="s">
        <v>10019</v>
      </c>
      <c r="O806" t="str">
        <f>HYPERLINK("1\1\marker_961_377117.png", "Ver Imagen")</f>
        <v>Ver Imagen</v>
      </c>
      <c r="P806" t="str">
        <f>HYPERLINK("SE\A-497\A-497__408.png", "Ver Imagen")</f>
        <v>Ver Imagen</v>
      </c>
    </row>
    <row r="807" spans="1:16" x14ac:dyDescent="0.25">
      <c r="A807">
        <v>215</v>
      </c>
      <c r="B807" t="s">
        <v>442</v>
      </c>
      <c r="C807">
        <v>37.264882143100003</v>
      </c>
      <c r="D807">
        <v>-6.9989017240900004</v>
      </c>
      <c r="E807">
        <v>1</v>
      </c>
      <c r="F807">
        <v>2</v>
      </c>
      <c r="G807">
        <v>1</v>
      </c>
      <c r="J807" t="s">
        <v>15</v>
      </c>
      <c r="K807">
        <v>1</v>
      </c>
      <c r="L807">
        <v>1</v>
      </c>
      <c r="M807">
        <v>0</v>
      </c>
      <c r="N807" t="s">
        <v>10019</v>
      </c>
      <c r="O807" t="str">
        <f>HYPERLINK("1\1\marker_566_379542.png", "Ver Imagen")</f>
        <v>Ver Imagen</v>
      </c>
      <c r="P807" t="str">
        <f>HYPERLINK("SE\A-497\A-497__188.png", "Ver Imagen")</f>
        <v>Ver Imagen</v>
      </c>
    </row>
    <row r="808" spans="1:16" x14ac:dyDescent="0.25">
      <c r="A808">
        <v>216</v>
      </c>
      <c r="B808" t="s">
        <v>444</v>
      </c>
      <c r="C808">
        <v>37.2650146792</v>
      </c>
      <c r="D808">
        <v>-6.9981442285700002</v>
      </c>
      <c r="E808">
        <v>1</v>
      </c>
      <c r="F808">
        <v>2</v>
      </c>
      <c r="G808">
        <v>1</v>
      </c>
      <c r="J808" t="s">
        <v>15</v>
      </c>
      <c r="K808">
        <v>1</v>
      </c>
      <c r="L808">
        <v>1</v>
      </c>
      <c r="M808">
        <v>0</v>
      </c>
      <c r="N808" t="s">
        <v>10019</v>
      </c>
      <c r="O808" t="str">
        <f>HYPERLINK("1\1\marker_506_379584.png", "Ver Imagen")</f>
        <v>Ver Imagen</v>
      </c>
      <c r="P808" t="str">
        <f>HYPERLINK("SE\A-497\A-497__185.png", "Ver Imagen")</f>
        <v>Ver Imagen</v>
      </c>
    </row>
    <row r="809" spans="1:16" x14ac:dyDescent="0.25">
      <c r="A809">
        <v>217</v>
      </c>
      <c r="B809" t="s">
        <v>446</v>
      </c>
      <c r="C809">
        <v>37.265284673899998</v>
      </c>
      <c r="D809">
        <v>-6.9966499049599999</v>
      </c>
      <c r="E809">
        <v>1</v>
      </c>
      <c r="F809">
        <v>2</v>
      </c>
      <c r="G809">
        <v>1</v>
      </c>
      <c r="J809" t="s">
        <v>15</v>
      </c>
      <c r="K809">
        <v>1</v>
      </c>
      <c r="L809">
        <v>1</v>
      </c>
      <c r="M809">
        <v>0</v>
      </c>
      <c r="N809" t="s">
        <v>10019</v>
      </c>
      <c r="O809" t="str">
        <f>HYPERLINK("1\1\marker_940_379652.png", "Ver Imagen")</f>
        <v>Ver Imagen</v>
      </c>
      <c r="P809" t="str">
        <f>HYPERLINK("SE\A-497\A-497__179.png", "Ver Imagen")</f>
        <v>Ver Imagen</v>
      </c>
    </row>
    <row r="810" spans="1:16" x14ac:dyDescent="0.25">
      <c r="A810">
        <v>218</v>
      </c>
      <c r="B810" t="s">
        <v>448</v>
      </c>
      <c r="C810">
        <v>37.265505572499997</v>
      </c>
      <c r="D810">
        <v>-6.9953928651900004</v>
      </c>
      <c r="E810">
        <v>1</v>
      </c>
      <c r="F810">
        <v>2</v>
      </c>
      <c r="G810">
        <v>1</v>
      </c>
      <c r="J810" t="s">
        <v>15</v>
      </c>
      <c r="K810">
        <v>1</v>
      </c>
      <c r="L810">
        <v>1</v>
      </c>
      <c r="M810">
        <v>0</v>
      </c>
      <c r="N810" t="s">
        <v>10019</v>
      </c>
      <c r="O810" t="str">
        <f>HYPERLINK("1\1\marker_434_379714.png", "Ver Imagen")</f>
        <v>Ver Imagen</v>
      </c>
      <c r="P810" t="str">
        <f>HYPERLINK("SE\A-497\A-497__174.png", "Ver Imagen")</f>
        <v>Ver Imagen</v>
      </c>
    </row>
    <row r="811" spans="1:16" x14ac:dyDescent="0.25">
      <c r="A811">
        <v>219</v>
      </c>
      <c r="B811" t="s">
        <v>450</v>
      </c>
      <c r="C811">
        <v>37.487144796599999</v>
      </c>
      <c r="D811">
        <v>-7.2426827427199996</v>
      </c>
      <c r="E811">
        <v>1</v>
      </c>
      <c r="F811">
        <v>1</v>
      </c>
      <c r="G811">
        <v>2</v>
      </c>
      <c r="J811" t="s">
        <v>15</v>
      </c>
      <c r="K811">
        <v>1</v>
      </c>
      <c r="L811">
        <v>1.2749999999999999</v>
      </c>
      <c r="M811">
        <v>0</v>
      </c>
      <c r="N811" t="s">
        <v>10019</v>
      </c>
      <c r="O811" t="str">
        <f>HYPERLINK("1\1\marker_269_817901.png", "Ver Imagen")</f>
        <v>Ver Imagen</v>
      </c>
      <c r="P811" t="str">
        <f>HYPERLINK("NO\A-490\A-490__515.png", "Ver Imagen")</f>
        <v>Ver Imagen</v>
      </c>
    </row>
    <row r="812" spans="1:16" x14ac:dyDescent="0.25">
      <c r="A812">
        <v>220</v>
      </c>
      <c r="B812" t="s">
        <v>452</v>
      </c>
      <c r="C812">
        <v>37.483925458100003</v>
      </c>
      <c r="D812">
        <v>-7.22493053017</v>
      </c>
      <c r="E812">
        <v>1</v>
      </c>
      <c r="F812">
        <v>1</v>
      </c>
      <c r="G812">
        <v>2</v>
      </c>
      <c r="J812" t="s">
        <v>15</v>
      </c>
      <c r="K812">
        <v>1</v>
      </c>
      <c r="L812">
        <v>1.036</v>
      </c>
      <c r="M812">
        <v>0</v>
      </c>
      <c r="N812" t="s">
        <v>10019</v>
      </c>
      <c r="O812" t="str">
        <f>HYPERLINK("1\1\marker_155_754718.png", "Ver Imagen")</f>
        <v>Ver Imagen</v>
      </c>
      <c r="P812" t="str">
        <f>HYPERLINK("NO\A-490\A-490__443.png", "Ver Imagen")</f>
        <v>Ver Imagen</v>
      </c>
    </row>
    <row r="813" spans="1:16" x14ac:dyDescent="0.25">
      <c r="A813">
        <v>222</v>
      </c>
      <c r="B813" t="s">
        <v>456</v>
      </c>
      <c r="C813">
        <v>37.484243458900004</v>
      </c>
      <c r="D813">
        <v>-7.2265821317199999</v>
      </c>
      <c r="E813">
        <v>1</v>
      </c>
      <c r="F813">
        <v>1</v>
      </c>
      <c r="G813">
        <v>2</v>
      </c>
      <c r="J813" t="s">
        <v>15</v>
      </c>
      <c r="K813">
        <v>1</v>
      </c>
      <c r="L813">
        <v>1.1080000000000001</v>
      </c>
      <c r="M813">
        <v>0</v>
      </c>
      <c r="N813" t="s">
        <v>10019</v>
      </c>
      <c r="O813" t="str">
        <f>HYPERLINK("1\1\marker_301_755035.png", "Ver Imagen")</f>
        <v>Ver Imagen</v>
      </c>
      <c r="P813" t="str">
        <f>HYPERLINK("NO\A-490\A-490__450.png", "Ver Imagen")</f>
        <v>Ver Imagen</v>
      </c>
    </row>
    <row r="814" spans="1:16" x14ac:dyDescent="0.25">
      <c r="A814">
        <v>223</v>
      </c>
      <c r="B814" t="s">
        <v>458</v>
      </c>
      <c r="C814">
        <v>37.484316395299999</v>
      </c>
      <c r="D814">
        <v>-7.2269555144700002</v>
      </c>
      <c r="E814">
        <v>1</v>
      </c>
      <c r="F814">
        <v>1</v>
      </c>
      <c r="G814">
        <v>2</v>
      </c>
      <c r="J814" t="s">
        <v>15</v>
      </c>
      <c r="K814">
        <v>1</v>
      </c>
      <c r="L814">
        <v>1.143</v>
      </c>
      <c r="M814">
        <v>0</v>
      </c>
      <c r="N814" t="s">
        <v>10019</v>
      </c>
      <c r="O814" t="str">
        <f>HYPERLINK("1\1\marker_943_755051.png", "Ver Imagen")</f>
        <v>Ver Imagen</v>
      </c>
      <c r="P814" t="str">
        <f>HYPERLINK("NO\A-490\A-490__451.png", "Ver Imagen")</f>
        <v>Ver Imagen</v>
      </c>
    </row>
    <row r="815" spans="1:16" x14ac:dyDescent="0.25">
      <c r="A815">
        <v>224</v>
      </c>
      <c r="B815" t="s">
        <v>460</v>
      </c>
      <c r="C815">
        <v>37.4843929002</v>
      </c>
      <c r="D815">
        <v>-7.2273399735400004</v>
      </c>
      <c r="E815">
        <v>1</v>
      </c>
      <c r="F815">
        <v>1</v>
      </c>
      <c r="G815">
        <v>2</v>
      </c>
      <c r="J815" t="s">
        <v>15</v>
      </c>
      <c r="K815">
        <v>1</v>
      </c>
      <c r="L815">
        <v>1.204</v>
      </c>
      <c r="M815">
        <v>0</v>
      </c>
      <c r="N815" t="s">
        <v>10019</v>
      </c>
      <c r="O815" t="str">
        <f>HYPERLINK("1\1\marker_156_755097.png", "Ver Imagen")</f>
        <v>Ver Imagen</v>
      </c>
      <c r="P815" t="str">
        <f>HYPERLINK("NO\A-490\A-490__453.png", "Ver Imagen")</f>
        <v>Ver Imagen</v>
      </c>
    </row>
    <row r="816" spans="1:16" x14ac:dyDescent="0.25">
      <c r="A816">
        <v>225</v>
      </c>
      <c r="B816" t="s">
        <v>462</v>
      </c>
      <c r="C816">
        <v>37.484878667499999</v>
      </c>
      <c r="D816">
        <v>-7.2298223733200002</v>
      </c>
      <c r="E816">
        <v>1</v>
      </c>
      <c r="F816">
        <v>1</v>
      </c>
      <c r="G816">
        <v>2</v>
      </c>
      <c r="J816" t="s">
        <v>15</v>
      </c>
      <c r="K816">
        <v>1</v>
      </c>
      <c r="L816">
        <v>1.3260000000000001</v>
      </c>
      <c r="M816">
        <v>0</v>
      </c>
      <c r="N816" t="s">
        <v>10019</v>
      </c>
      <c r="O816" t="str">
        <f>HYPERLINK("1\1\marker_465_755271.png", "Ver Imagen")</f>
        <v>Ver Imagen</v>
      </c>
      <c r="P816" t="str">
        <f>HYPERLINK("NO\A-490\A-490__463.png", "Ver Imagen")</f>
        <v>Ver Imagen</v>
      </c>
    </row>
    <row r="817" spans="1:16" x14ac:dyDescent="0.25">
      <c r="A817">
        <v>226</v>
      </c>
      <c r="B817" t="s">
        <v>464</v>
      </c>
      <c r="C817">
        <v>37.4851193975</v>
      </c>
      <c r="D817">
        <v>-7.2310644812199998</v>
      </c>
      <c r="E817">
        <v>1</v>
      </c>
      <c r="F817">
        <v>1</v>
      </c>
      <c r="G817">
        <v>2</v>
      </c>
      <c r="J817" t="s">
        <v>15</v>
      </c>
      <c r="K817">
        <v>1</v>
      </c>
      <c r="L817">
        <v>1.0269999999999999</v>
      </c>
      <c r="M817">
        <v>0</v>
      </c>
      <c r="N817" t="s">
        <v>10019</v>
      </c>
      <c r="O817" t="str">
        <f>HYPERLINK("1\1\marker_273_755360.png", "Ver Imagen")</f>
        <v>Ver Imagen</v>
      </c>
      <c r="P817" t="str">
        <f>HYPERLINK("NO\A-490\A-490__468.png", "Ver Imagen")</f>
        <v>Ver Imagen</v>
      </c>
    </row>
    <row r="818" spans="1:16" x14ac:dyDescent="0.25">
      <c r="A818">
        <v>227</v>
      </c>
      <c r="B818" t="s">
        <v>466</v>
      </c>
      <c r="C818">
        <v>37.4851589039</v>
      </c>
      <c r="D818">
        <v>-7.2312690074499999</v>
      </c>
      <c r="E818">
        <v>1</v>
      </c>
      <c r="F818">
        <v>1</v>
      </c>
      <c r="G818">
        <v>2</v>
      </c>
      <c r="J818" t="s">
        <v>15</v>
      </c>
      <c r="K818">
        <v>1</v>
      </c>
      <c r="L818">
        <v>1</v>
      </c>
      <c r="M818">
        <v>0</v>
      </c>
      <c r="N818" t="s">
        <v>10019</v>
      </c>
      <c r="O818" t="str">
        <f>HYPERLINK("1\1\marker_521_755378.png", "Ver Imagen")</f>
        <v>Ver Imagen</v>
      </c>
      <c r="P818" t="str">
        <f>HYPERLINK("NO\A-490\A-490__469.png", "Ver Imagen")</f>
        <v>Ver Imagen</v>
      </c>
    </row>
    <row r="819" spans="1:16" x14ac:dyDescent="0.25">
      <c r="A819">
        <v>228</v>
      </c>
      <c r="B819" t="s">
        <v>468</v>
      </c>
      <c r="C819">
        <v>37.485354665000003</v>
      </c>
      <c r="D819">
        <v>-7.2323011594400004</v>
      </c>
      <c r="E819">
        <v>1</v>
      </c>
      <c r="F819">
        <v>1</v>
      </c>
      <c r="G819">
        <v>2</v>
      </c>
      <c r="J819" t="s">
        <v>15</v>
      </c>
      <c r="K819">
        <v>1</v>
      </c>
      <c r="L819">
        <v>1</v>
      </c>
      <c r="M819">
        <v>0</v>
      </c>
      <c r="N819" t="s">
        <v>10019</v>
      </c>
      <c r="O819" t="str">
        <f>HYPERLINK("1\1\marker_562_755450.png", "Ver Imagen")</f>
        <v>Ver Imagen</v>
      </c>
      <c r="P819" t="str">
        <f>HYPERLINK("NO\A-490\A-490__473.png", "Ver Imagen")</f>
        <v>Ver Imagen</v>
      </c>
    </row>
    <row r="820" spans="1:16" x14ac:dyDescent="0.25">
      <c r="A820">
        <v>229</v>
      </c>
      <c r="B820" t="s">
        <v>470</v>
      </c>
      <c r="C820">
        <v>37.486256415100002</v>
      </c>
      <c r="D820">
        <v>-7.2369854071999997</v>
      </c>
      <c r="E820">
        <v>1</v>
      </c>
      <c r="F820">
        <v>1</v>
      </c>
      <c r="G820">
        <v>2</v>
      </c>
      <c r="J820" t="s">
        <v>15</v>
      </c>
      <c r="K820">
        <v>1</v>
      </c>
      <c r="L820">
        <v>1.0780000000000001</v>
      </c>
      <c r="M820">
        <v>0</v>
      </c>
      <c r="N820" t="s">
        <v>10019</v>
      </c>
      <c r="O820" t="str">
        <f>HYPERLINK("1\1\marker_481_755796.png", "Ver Imagen")</f>
        <v>Ver Imagen</v>
      </c>
      <c r="P820" t="str">
        <f>HYPERLINK("NO\A-490\A-490__492.png", "Ver Imagen")</f>
        <v>Ver Imagen</v>
      </c>
    </row>
    <row r="821" spans="1:16" x14ac:dyDescent="0.25">
      <c r="A821">
        <v>230</v>
      </c>
      <c r="B821" t="s">
        <v>472</v>
      </c>
      <c r="C821">
        <v>37.4893515618</v>
      </c>
      <c r="D821">
        <v>-7.2480459035100004</v>
      </c>
      <c r="E821">
        <v>1</v>
      </c>
      <c r="F821">
        <v>1</v>
      </c>
      <c r="G821">
        <v>2</v>
      </c>
      <c r="J821" t="s">
        <v>15</v>
      </c>
      <c r="K821">
        <v>1</v>
      </c>
      <c r="L821">
        <v>1.353</v>
      </c>
      <c r="M821">
        <v>0</v>
      </c>
      <c r="N821" t="s">
        <v>10019</v>
      </c>
      <c r="O821" t="str">
        <f>HYPERLINK("1\1\marker_175_818333.png", "Ver Imagen")</f>
        <v>Ver Imagen</v>
      </c>
      <c r="P821" t="str">
        <f>HYPERLINK("NO\A-490\A-490__539.png", "Ver Imagen")</f>
        <v>Ver Imagen</v>
      </c>
    </row>
    <row r="822" spans="1:16" x14ac:dyDescent="0.25">
      <c r="A822">
        <v>231</v>
      </c>
      <c r="B822" t="s">
        <v>474</v>
      </c>
      <c r="C822">
        <v>37.490530656499999</v>
      </c>
      <c r="D822">
        <v>-7.2494637520299996</v>
      </c>
      <c r="E822">
        <v>1</v>
      </c>
      <c r="F822">
        <v>1</v>
      </c>
      <c r="G822">
        <v>2</v>
      </c>
      <c r="J822" t="s">
        <v>15</v>
      </c>
      <c r="K822">
        <v>1</v>
      </c>
      <c r="L822">
        <v>1.0229999999999999</v>
      </c>
      <c r="M822">
        <v>0</v>
      </c>
      <c r="N822" t="s">
        <v>10019</v>
      </c>
      <c r="O822" t="str">
        <f>HYPERLINK("1\1\marker_636_818479.png", "Ver Imagen")</f>
        <v>Ver Imagen</v>
      </c>
      <c r="P822" t="str">
        <f>HYPERLINK("NO\A-490\A-490__547.png", "Ver Imagen")</f>
        <v>Ver Imagen</v>
      </c>
    </row>
    <row r="823" spans="1:16" x14ac:dyDescent="0.25">
      <c r="A823">
        <v>232</v>
      </c>
      <c r="B823" t="s">
        <v>476</v>
      </c>
      <c r="C823">
        <v>37.490682174900002</v>
      </c>
      <c r="D823">
        <v>-7.2602002512599997</v>
      </c>
      <c r="E823">
        <v>1</v>
      </c>
      <c r="F823">
        <v>1</v>
      </c>
      <c r="G823">
        <v>2</v>
      </c>
      <c r="J823" t="s">
        <v>15</v>
      </c>
      <c r="K823">
        <v>1</v>
      </c>
      <c r="L823">
        <v>1.17</v>
      </c>
      <c r="M823">
        <v>0</v>
      </c>
      <c r="N823" t="s">
        <v>10019</v>
      </c>
      <c r="O823" t="str">
        <f>HYPERLINK("1\1\marker_483_819640.png", "Ver Imagen")</f>
        <v>Ver Imagen</v>
      </c>
      <c r="P823" t="str">
        <f>HYPERLINK("NO\A-490\A-490__591.png", "Ver Imagen")</f>
        <v>Ver Imagen</v>
      </c>
    </row>
    <row r="824" spans="1:16" x14ac:dyDescent="0.25">
      <c r="A824">
        <v>234</v>
      </c>
      <c r="B824" t="s">
        <v>480</v>
      </c>
      <c r="C824">
        <v>37.278995243499999</v>
      </c>
      <c r="D824">
        <v>-7.0304281258900003</v>
      </c>
      <c r="E824">
        <v>1</v>
      </c>
      <c r="F824">
        <v>1</v>
      </c>
      <c r="G824">
        <v>2</v>
      </c>
      <c r="J824" t="s">
        <v>15</v>
      </c>
      <c r="K824">
        <v>1</v>
      </c>
      <c r="L824">
        <v>1.2609999999999999</v>
      </c>
      <c r="M824">
        <v>0</v>
      </c>
      <c r="N824" t="s">
        <v>10019</v>
      </c>
      <c r="O824" t="str">
        <f>HYPERLINK("1\1\marker_331_831958.png", "Ver Imagen")</f>
        <v>Ver Imagen</v>
      </c>
      <c r="P824" t="str">
        <f>HYPERLINK("SE\A-492\A-492__203.png", "Ver Imagen")</f>
        <v>Ver Imagen</v>
      </c>
    </row>
    <row r="825" spans="1:16" x14ac:dyDescent="0.25">
      <c r="A825">
        <v>235</v>
      </c>
      <c r="B825" t="s">
        <v>482</v>
      </c>
      <c r="C825">
        <v>37.284103924299998</v>
      </c>
      <c r="D825">
        <v>-7.0358398401400004</v>
      </c>
      <c r="E825">
        <v>1</v>
      </c>
      <c r="F825">
        <v>1</v>
      </c>
      <c r="G825">
        <v>2</v>
      </c>
      <c r="J825" t="s">
        <v>15</v>
      </c>
      <c r="K825">
        <v>1</v>
      </c>
      <c r="L825">
        <v>1.2230000000000001</v>
      </c>
      <c r="M825">
        <v>0</v>
      </c>
      <c r="N825" t="s">
        <v>10019</v>
      </c>
      <c r="O825" t="str">
        <f>HYPERLINK("1\1\marker_993_835921.png", "Ver Imagen")</f>
        <v>Ver Imagen</v>
      </c>
      <c r="P825" t="str">
        <f>HYPERLINK("SE\A-492\A-492__238.png", "Ver Imagen")</f>
        <v>Ver Imagen</v>
      </c>
    </row>
    <row r="826" spans="1:16" x14ac:dyDescent="0.25">
      <c r="A826">
        <v>237</v>
      </c>
      <c r="B826" t="s">
        <v>486</v>
      </c>
      <c r="C826">
        <v>37.284335613099998</v>
      </c>
      <c r="D826">
        <v>-7.0380552111599997</v>
      </c>
      <c r="E826">
        <v>1</v>
      </c>
      <c r="F826">
        <v>1</v>
      </c>
      <c r="G826">
        <v>2</v>
      </c>
      <c r="J826" t="s">
        <v>15</v>
      </c>
      <c r="K826">
        <v>1</v>
      </c>
      <c r="L826">
        <v>1.0669999999999999</v>
      </c>
      <c r="M826">
        <v>0</v>
      </c>
      <c r="N826" t="s">
        <v>10019</v>
      </c>
      <c r="O826" t="str">
        <f>HYPERLINK("1\1\marker_275_836056.png", "Ver Imagen")</f>
        <v>Ver Imagen</v>
      </c>
      <c r="P826" t="str">
        <f>HYPERLINK("SE\A-492\A-492__247.png", "Ver Imagen")</f>
        <v>Ver Imagen</v>
      </c>
    </row>
    <row r="827" spans="1:16" x14ac:dyDescent="0.25">
      <c r="A827">
        <v>238</v>
      </c>
      <c r="B827" t="s">
        <v>488</v>
      </c>
      <c r="C827">
        <v>37.284394822199999</v>
      </c>
      <c r="D827">
        <v>-7.0382897021700002</v>
      </c>
      <c r="E827">
        <v>1</v>
      </c>
      <c r="F827">
        <v>1</v>
      </c>
      <c r="G827">
        <v>2</v>
      </c>
      <c r="J827" t="s">
        <v>15</v>
      </c>
      <c r="K827">
        <v>1</v>
      </c>
      <c r="L827">
        <v>1.1379999999999999</v>
      </c>
      <c r="M827">
        <v>0</v>
      </c>
      <c r="N827" t="s">
        <v>10019</v>
      </c>
      <c r="O827" t="str">
        <f>HYPERLINK("1\1\marker_940_836074.png", "Ver Imagen")</f>
        <v>Ver Imagen</v>
      </c>
      <c r="P827" t="str">
        <f>HYPERLINK("SE\A-492\A-492__248.png", "Ver Imagen")</f>
        <v>Ver Imagen</v>
      </c>
    </row>
    <row r="828" spans="1:16" x14ac:dyDescent="0.25">
      <c r="A828">
        <v>239</v>
      </c>
      <c r="B828" t="s">
        <v>490</v>
      </c>
      <c r="C828">
        <v>37.285684816699998</v>
      </c>
      <c r="D828">
        <v>-7.0411257100800002</v>
      </c>
      <c r="E828">
        <v>1</v>
      </c>
      <c r="F828">
        <v>1</v>
      </c>
      <c r="G828">
        <v>2</v>
      </c>
      <c r="J828" t="s">
        <v>15</v>
      </c>
      <c r="K828">
        <v>1</v>
      </c>
      <c r="L828">
        <v>1.1579999999999999</v>
      </c>
      <c r="M828">
        <v>0</v>
      </c>
      <c r="N828" t="s">
        <v>10019</v>
      </c>
      <c r="O828" t="str">
        <f>HYPERLINK("1\1\marker_761_836595.png", "Ver Imagen")</f>
        <v>Ver Imagen</v>
      </c>
      <c r="P828" t="str">
        <f>HYPERLINK("SE\A-492\A-492__261.png", "Ver Imagen")</f>
        <v>Ver Imagen</v>
      </c>
    </row>
    <row r="829" spans="1:16" x14ac:dyDescent="0.25">
      <c r="A829">
        <v>240</v>
      </c>
      <c r="B829" t="s">
        <v>492</v>
      </c>
      <c r="C829">
        <v>37.2858226484</v>
      </c>
      <c r="D829">
        <v>-7.0412578183000001</v>
      </c>
      <c r="E829">
        <v>1</v>
      </c>
      <c r="F829">
        <v>1</v>
      </c>
      <c r="G829">
        <v>2</v>
      </c>
      <c r="J829" t="s">
        <v>15</v>
      </c>
      <c r="K829">
        <v>1</v>
      </c>
      <c r="L829">
        <v>1.1859999999999999</v>
      </c>
      <c r="M829">
        <v>0</v>
      </c>
      <c r="N829" t="s">
        <v>10019</v>
      </c>
      <c r="O829" t="str">
        <f>HYPERLINK("1\1\marker_410_836609.png", "Ver Imagen")</f>
        <v>Ver Imagen</v>
      </c>
      <c r="P829" t="str">
        <f>HYPERLINK("SE\A-492\A-492__262.png", "Ver Imagen")</f>
        <v>Ver Imagen</v>
      </c>
    </row>
    <row r="830" spans="1:16" x14ac:dyDescent="0.25">
      <c r="A830">
        <v>241</v>
      </c>
      <c r="B830" t="s">
        <v>494</v>
      </c>
      <c r="C830">
        <v>37.289361486700003</v>
      </c>
      <c r="D830">
        <v>-7.0440166029600002</v>
      </c>
      <c r="E830">
        <v>1</v>
      </c>
      <c r="F830">
        <v>1</v>
      </c>
      <c r="G830">
        <v>2</v>
      </c>
      <c r="J830" t="s">
        <v>15</v>
      </c>
      <c r="K830">
        <v>1</v>
      </c>
      <c r="L830">
        <v>1.099</v>
      </c>
      <c r="M830">
        <v>0</v>
      </c>
      <c r="N830" t="s">
        <v>10019</v>
      </c>
      <c r="O830" t="str">
        <f>HYPERLINK("1\1\marker_341_837338.png", "Ver Imagen")</f>
        <v>Ver Imagen</v>
      </c>
      <c r="P830" t="str">
        <f>HYPERLINK("SE\A-492\A-492__283.png", "Ver Imagen")</f>
        <v>Ver Imagen</v>
      </c>
    </row>
    <row r="831" spans="1:16" x14ac:dyDescent="0.25">
      <c r="A831">
        <v>242</v>
      </c>
      <c r="B831" t="s">
        <v>496</v>
      </c>
      <c r="C831">
        <v>37.294643174000001</v>
      </c>
      <c r="D831">
        <v>-7.0481560596700001</v>
      </c>
      <c r="E831">
        <v>1</v>
      </c>
      <c r="F831">
        <v>1</v>
      </c>
      <c r="G831">
        <v>2</v>
      </c>
      <c r="J831" t="s">
        <v>15</v>
      </c>
      <c r="K831">
        <v>1</v>
      </c>
      <c r="L831">
        <v>1</v>
      </c>
      <c r="M831">
        <v>0</v>
      </c>
      <c r="N831" t="s">
        <v>10019</v>
      </c>
      <c r="O831" t="str">
        <f>HYPERLINK("1\1\marker_795_837727.png", "Ver Imagen")</f>
        <v>Ver Imagen</v>
      </c>
      <c r="P831" t="str">
        <f>HYPERLINK("SE\A-492\A-492__315.png", "Ver Imagen")</f>
        <v>Ver Imagen</v>
      </c>
    </row>
    <row r="832" spans="1:16" x14ac:dyDescent="0.25">
      <c r="A832">
        <v>243</v>
      </c>
      <c r="B832" t="s">
        <v>498</v>
      </c>
      <c r="C832">
        <v>37.302893321100001</v>
      </c>
      <c r="D832">
        <v>-7.0566212226199996</v>
      </c>
      <c r="E832">
        <v>1</v>
      </c>
      <c r="F832">
        <v>1</v>
      </c>
      <c r="G832">
        <v>2</v>
      </c>
      <c r="J832" t="s">
        <v>15</v>
      </c>
      <c r="K832">
        <v>1</v>
      </c>
      <c r="L832">
        <v>1</v>
      </c>
      <c r="M832">
        <v>0</v>
      </c>
      <c r="N832" t="s">
        <v>10019</v>
      </c>
      <c r="O832" t="str">
        <f>HYPERLINK("1\1\marker_651_838758.png", "Ver Imagen")</f>
        <v>Ver Imagen</v>
      </c>
      <c r="P832" t="str">
        <f>HYPERLINK("SE\A-492\A-492__370.png", "Ver Imagen")</f>
        <v>Ver Imagen</v>
      </c>
    </row>
    <row r="833" spans="1:16" x14ac:dyDescent="0.25">
      <c r="A833">
        <v>244</v>
      </c>
      <c r="B833" t="s">
        <v>500</v>
      </c>
      <c r="C833">
        <v>37.3034567897</v>
      </c>
      <c r="D833">
        <v>-7.0567106920400002</v>
      </c>
      <c r="E833">
        <v>1</v>
      </c>
      <c r="F833">
        <v>1</v>
      </c>
      <c r="G833">
        <v>2</v>
      </c>
      <c r="J833" t="s">
        <v>15</v>
      </c>
      <c r="K833">
        <v>1</v>
      </c>
      <c r="L833">
        <v>1</v>
      </c>
      <c r="M833">
        <v>0</v>
      </c>
      <c r="N833" t="s">
        <v>10019</v>
      </c>
      <c r="O833" t="str">
        <f>HYPERLINK("1\1\marker_861_838793.png", "Ver Imagen")</f>
        <v>Ver Imagen</v>
      </c>
      <c r="P833" t="str">
        <f>HYPERLINK("SE\A-492\A-492__373.png", "Ver Imagen")</f>
        <v>Ver Imagen</v>
      </c>
    </row>
    <row r="834" spans="1:16" x14ac:dyDescent="0.25">
      <c r="A834">
        <v>246</v>
      </c>
      <c r="B834" t="s">
        <v>504</v>
      </c>
      <c r="C834">
        <v>37.305094695400001</v>
      </c>
      <c r="D834">
        <v>-7.0567362267</v>
      </c>
      <c r="E834">
        <v>1</v>
      </c>
      <c r="F834">
        <v>1</v>
      </c>
      <c r="G834">
        <v>2</v>
      </c>
      <c r="J834" t="s">
        <v>15</v>
      </c>
      <c r="K834">
        <v>1</v>
      </c>
      <c r="L834">
        <v>1.296</v>
      </c>
      <c r="M834">
        <v>0</v>
      </c>
      <c r="N834" t="s">
        <v>10019</v>
      </c>
      <c r="O834" t="str">
        <f>HYPERLINK("1\1\marker_579_838903.png", "Ver Imagen")</f>
        <v>Ver Imagen</v>
      </c>
      <c r="P834" t="str">
        <f>HYPERLINK("SE\A-492\A-492__381.png", "Ver Imagen")</f>
        <v>Ver Imagen</v>
      </c>
    </row>
    <row r="835" spans="1:16" x14ac:dyDescent="0.25">
      <c r="A835">
        <v>247</v>
      </c>
      <c r="B835" t="s">
        <v>506</v>
      </c>
      <c r="C835">
        <v>37.3100827353</v>
      </c>
      <c r="D835">
        <v>-7.0583043278000002</v>
      </c>
      <c r="E835">
        <v>1</v>
      </c>
      <c r="F835">
        <v>1</v>
      </c>
      <c r="G835">
        <v>2</v>
      </c>
      <c r="J835" t="s">
        <v>15</v>
      </c>
      <c r="K835">
        <v>1</v>
      </c>
      <c r="L835">
        <v>1.167</v>
      </c>
      <c r="M835">
        <v>0</v>
      </c>
      <c r="N835" t="s">
        <v>10019</v>
      </c>
      <c r="O835" t="str">
        <f>HYPERLINK("1\1\marker_455_839258.png", "Ver Imagen")</f>
        <v>Ver Imagen</v>
      </c>
      <c r="P835" t="str">
        <f>HYPERLINK("SE\A-492\A-492__407.png", "Ver Imagen")</f>
        <v>Ver Imagen</v>
      </c>
    </row>
    <row r="836" spans="1:16" x14ac:dyDescent="0.25">
      <c r="A836">
        <v>248</v>
      </c>
      <c r="B836" t="s">
        <v>508</v>
      </c>
      <c r="C836">
        <v>37.313943542700002</v>
      </c>
      <c r="D836">
        <v>-7.0634877316300004</v>
      </c>
      <c r="E836">
        <v>1</v>
      </c>
      <c r="F836">
        <v>1</v>
      </c>
      <c r="G836">
        <v>2</v>
      </c>
      <c r="J836" t="s">
        <v>15</v>
      </c>
      <c r="K836">
        <v>1</v>
      </c>
      <c r="L836">
        <v>1.329</v>
      </c>
      <c r="M836">
        <v>0</v>
      </c>
      <c r="N836" t="s">
        <v>10019</v>
      </c>
      <c r="O836" t="str">
        <f>HYPERLINK("1\1\marker_596_839586.png", "Ver Imagen")</f>
        <v>Ver Imagen</v>
      </c>
      <c r="P836" t="str">
        <f>HYPERLINK("SE\A-492\A-492__435.png", "Ver Imagen")</f>
        <v>Ver Imagen</v>
      </c>
    </row>
    <row r="837" spans="1:16" x14ac:dyDescent="0.25">
      <c r="A837">
        <v>249</v>
      </c>
      <c r="B837" t="s">
        <v>510</v>
      </c>
      <c r="C837">
        <v>37.314140017699998</v>
      </c>
      <c r="D837">
        <v>-7.0638580168600003</v>
      </c>
      <c r="E837">
        <v>1</v>
      </c>
      <c r="F837">
        <v>1</v>
      </c>
      <c r="G837">
        <v>2</v>
      </c>
      <c r="J837" t="s">
        <v>15</v>
      </c>
      <c r="K837">
        <v>1</v>
      </c>
      <c r="L837">
        <v>1.2689999999999999</v>
      </c>
      <c r="M837">
        <v>0</v>
      </c>
      <c r="N837" t="s">
        <v>10019</v>
      </c>
      <c r="O837" t="str">
        <f>HYPERLINK("1\1\marker_994_839617.png", "Ver Imagen")</f>
        <v>Ver Imagen</v>
      </c>
      <c r="P837" t="str">
        <f>HYPERLINK("SE\A-492\A-492__437.png", "Ver Imagen")</f>
        <v>Ver Imagen</v>
      </c>
    </row>
    <row r="838" spans="1:16" x14ac:dyDescent="0.25">
      <c r="A838">
        <v>250</v>
      </c>
      <c r="B838" t="s">
        <v>512</v>
      </c>
      <c r="C838">
        <v>37.314382794099998</v>
      </c>
      <c r="D838">
        <v>-7.0643103461100001</v>
      </c>
      <c r="E838">
        <v>1</v>
      </c>
      <c r="F838">
        <v>1</v>
      </c>
      <c r="G838">
        <v>2</v>
      </c>
      <c r="J838" t="s">
        <v>15</v>
      </c>
      <c r="K838">
        <v>1</v>
      </c>
      <c r="L838">
        <v>1.38</v>
      </c>
      <c r="M838">
        <v>0</v>
      </c>
      <c r="N838" t="s">
        <v>10019</v>
      </c>
      <c r="O838" t="str">
        <f>HYPERLINK("1\1\marker_471_839642.png", "Ver Imagen")</f>
        <v>Ver Imagen</v>
      </c>
      <c r="P838" t="str">
        <f>HYPERLINK("SE\A-492\A-492__439.png", "Ver Imagen")</f>
        <v>Ver Imagen</v>
      </c>
    </row>
    <row r="839" spans="1:16" x14ac:dyDescent="0.25">
      <c r="A839">
        <v>251</v>
      </c>
      <c r="B839" t="s">
        <v>514</v>
      </c>
      <c r="C839">
        <v>37.315113013599998</v>
      </c>
      <c r="D839">
        <v>-7.0657999838499999</v>
      </c>
      <c r="E839">
        <v>1</v>
      </c>
      <c r="F839">
        <v>1</v>
      </c>
      <c r="G839">
        <v>2</v>
      </c>
      <c r="J839" t="s">
        <v>15</v>
      </c>
      <c r="K839">
        <v>1</v>
      </c>
      <c r="L839">
        <v>1.2470000000000001</v>
      </c>
      <c r="M839">
        <v>0</v>
      </c>
      <c r="N839" t="s">
        <v>10019</v>
      </c>
      <c r="O839" t="str">
        <f>HYPERLINK("1\1\marker_877_839774.png", "Ver Imagen")</f>
        <v>Ver Imagen</v>
      </c>
      <c r="P839" t="str">
        <f>HYPERLINK("SE\A-492\A-492__446.png", "Ver Imagen")</f>
        <v>Ver Imagen</v>
      </c>
    </row>
    <row r="840" spans="1:16" x14ac:dyDescent="0.25">
      <c r="A840">
        <v>252</v>
      </c>
      <c r="B840" t="s">
        <v>516</v>
      </c>
      <c r="C840">
        <v>37.3151885288</v>
      </c>
      <c r="D840">
        <v>-7.0660510211999998</v>
      </c>
      <c r="E840">
        <v>1</v>
      </c>
      <c r="F840">
        <v>1</v>
      </c>
      <c r="G840">
        <v>2</v>
      </c>
      <c r="J840" t="s">
        <v>15</v>
      </c>
      <c r="K840">
        <v>1</v>
      </c>
      <c r="L840">
        <v>1.1080000000000001</v>
      </c>
      <c r="M840">
        <v>0</v>
      </c>
      <c r="N840" t="s">
        <v>10019</v>
      </c>
      <c r="O840" t="str">
        <f>HYPERLINK("1\1\marker_508_839784.png", "Ver Imagen")</f>
        <v>Ver Imagen</v>
      </c>
      <c r="P840" t="str">
        <f>HYPERLINK("SE\A-492\A-492__447.png", "Ver Imagen")</f>
        <v>Ver Imagen</v>
      </c>
    </row>
    <row r="841" spans="1:16" x14ac:dyDescent="0.25">
      <c r="A841">
        <v>253</v>
      </c>
      <c r="B841" t="s">
        <v>518</v>
      </c>
      <c r="C841">
        <v>37.3152448568</v>
      </c>
      <c r="D841">
        <v>-7.0662695471200001</v>
      </c>
      <c r="E841">
        <v>1</v>
      </c>
      <c r="F841">
        <v>1</v>
      </c>
      <c r="G841">
        <v>2</v>
      </c>
      <c r="J841" t="s">
        <v>15</v>
      </c>
      <c r="K841">
        <v>1</v>
      </c>
      <c r="L841">
        <v>1.3080000000000001</v>
      </c>
      <c r="M841">
        <v>0</v>
      </c>
      <c r="N841" t="s">
        <v>10019</v>
      </c>
      <c r="O841" t="str">
        <f>HYPERLINK("1\1\marker_542_839794.png", "Ver Imagen")</f>
        <v>Ver Imagen</v>
      </c>
      <c r="P841" t="str">
        <f>HYPERLINK("SE\A-492\A-492__448.png", "Ver Imagen")</f>
        <v>Ver Imagen</v>
      </c>
    </row>
    <row r="842" spans="1:16" x14ac:dyDescent="0.25">
      <c r="A842">
        <v>255</v>
      </c>
      <c r="B842" t="s">
        <v>522</v>
      </c>
      <c r="C842">
        <v>37.315373435700003</v>
      </c>
      <c r="D842">
        <v>-7.0668117538399997</v>
      </c>
      <c r="E842">
        <v>1</v>
      </c>
      <c r="F842">
        <v>1</v>
      </c>
      <c r="G842">
        <v>2</v>
      </c>
      <c r="J842" t="s">
        <v>15</v>
      </c>
      <c r="K842">
        <v>1</v>
      </c>
      <c r="L842">
        <v>1.111</v>
      </c>
      <c r="M842">
        <v>0</v>
      </c>
      <c r="N842" t="s">
        <v>10019</v>
      </c>
      <c r="O842" t="str">
        <f>HYPERLINK("1\1\marker_243_839814.png", "Ver Imagen")</f>
        <v>Ver Imagen</v>
      </c>
      <c r="P842" t="str">
        <f>HYPERLINK("SE\A-492\A-492__450.png", "Ver Imagen")</f>
        <v>Ver Imagen</v>
      </c>
    </row>
    <row r="843" spans="1:16" x14ac:dyDescent="0.25">
      <c r="A843">
        <v>257</v>
      </c>
      <c r="B843" t="s">
        <v>526</v>
      </c>
      <c r="C843">
        <v>37.459407171000002</v>
      </c>
      <c r="D843">
        <v>-7.1149234735700002</v>
      </c>
      <c r="E843">
        <v>1</v>
      </c>
      <c r="F843">
        <v>1</v>
      </c>
      <c r="G843">
        <v>2</v>
      </c>
      <c r="J843" t="s">
        <v>15</v>
      </c>
      <c r="K843">
        <v>1</v>
      </c>
      <c r="L843">
        <v>1.419</v>
      </c>
      <c r="M843">
        <v>0</v>
      </c>
      <c r="N843" t="s">
        <v>10017</v>
      </c>
      <c r="O843" t="str">
        <f>HYPERLINK("1\1\marker_756_935135.png", "Ver Imagen")</f>
        <v>Ver Imagen</v>
      </c>
      <c r="P843" t="str">
        <f>HYPERLINK("NE\A-495R\A-495R__77.png", "Ver Imagen")</f>
        <v>Ver Imagen</v>
      </c>
    </row>
    <row r="844" spans="1:16" x14ac:dyDescent="0.25">
      <c r="A844">
        <v>259</v>
      </c>
      <c r="B844" t="s">
        <v>530</v>
      </c>
      <c r="C844">
        <v>37.459043581099998</v>
      </c>
      <c r="D844">
        <v>-7.1148190950599997</v>
      </c>
      <c r="E844">
        <v>1</v>
      </c>
      <c r="F844">
        <v>1</v>
      </c>
      <c r="G844">
        <v>2</v>
      </c>
      <c r="J844" t="s">
        <v>15</v>
      </c>
      <c r="K844">
        <v>1</v>
      </c>
      <c r="L844">
        <v>1.282</v>
      </c>
      <c r="M844">
        <v>0</v>
      </c>
      <c r="N844" t="s">
        <v>10019</v>
      </c>
      <c r="O844" t="str">
        <f>HYPERLINK("1\1\marker_376_935159.png", "Ver Imagen")</f>
        <v>Ver Imagen</v>
      </c>
      <c r="P844" t="str">
        <f>HYPERLINK("NE\A-495R\A-495R__75.png", "Ver Imagen")</f>
        <v>Ver Imagen</v>
      </c>
    </row>
    <row r="845" spans="1:16" x14ac:dyDescent="0.25">
      <c r="A845">
        <v>260</v>
      </c>
      <c r="B845" t="s">
        <v>532</v>
      </c>
      <c r="C845">
        <v>37.2167797197</v>
      </c>
      <c r="D845">
        <v>-7.0969221290700002</v>
      </c>
      <c r="E845">
        <v>1</v>
      </c>
      <c r="F845">
        <v>1</v>
      </c>
      <c r="G845">
        <v>2</v>
      </c>
      <c r="J845" t="s">
        <v>15</v>
      </c>
      <c r="K845">
        <v>1</v>
      </c>
      <c r="L845">
        <v>1.3819999999999999</v>
      </c>
      <c r="M845">
        <v>0</v>
      </c>
      <c r="N845" t="s">
        <v>10019</v>
      </c>
      <c r="O845" t="str">
        <f>HYPERLINK("1\1\marker_459_957895.png", "Ver Imagen")</f>
        <v>Ver Imagen</v>
      </c>
      <c r="P845" t="str">
        <f>HYPERLINK("SE\A-5052\A-5052__116.png", "Ver Imagen")</f>
        <v>Ver Imagen</v>
      </c>
    </row>
    <row r="846" spans="1:16" x14ac:dyDescent="0.25">
      <c r="A846">
        <v>260</v>
      </c>
      <c r="B846" t="s">
        <v>532</v>
      </c>
      <c r="C846">
        <v>37.2167797197</v>
      </c>
      <c r="D846">
        <v>-7.0969221290700002</v>
      </c>
      <c r="E846">
        <v>1</v>
      </c>
      <c r="F846">
        <v>1</v>
      </c>
      <c r="G846">
        <v>2</v>
      </c>
      <c r="J846" t="s">
        <v>15</v>
      </c>
      <c r="K846">
        <v>1</v>
      </c>
      <c r="L846">
        <v>1</v>
      </c>
      <c r="M846">
        <v>0</v>
      </c>
      <c r="N846" t="s">
        <v>10019</v>
      </c>
      <c r="O846" t="str">
        <f>HYPERLINK("1\1\marker_459_957895.png", "Ver Imagen")</f>
        <v>Ver Imagen</v>
      </c>
      <c r="P846" t="str">
        <f>HYPERLINK("SO\A-5052\A-5052__116.png", "Ver Imagen")</f>
        <v>Ver Imagen</v>
      </c>
    </row>
    <row r="847" spans="1:16" x14ac:dyDescent="0.25">
      <c r="A847">
        <v>261</v>
      </c>
      <c r="B847" t="s">
        <v>534</v>
      </c>
      <c r="C847">
        <v>37.2133168525</v>
      </c>
      <c r="D847">
        <v>-7.0658385151700003</v>
      </c>
      <c r="E847">
        <v>1</v>
      </c>
      <c r="F847">
        <v>1</v>
      </c>
      <c r="G847">
        <v>2</v>
      </c>
      <c r="J847" t="s">
        <v>15</v>
      </c>
      <c r="K847">
        <v>1</v>
      </c>
      <c r="L847">
        <v>1.042</v>
      </c>
      <c r="M847">
        <v>0</v>
      </c>
      <c r="N847" t="s">
        <v>10019</v>
      </c>
      <c r="O847" t="str">
        <f>HYPERLINK("1\1\marker_347_959965.png", "Ver Imagen")</f>
        <v>Ver Imagen</v>
      </c>
      <c r="P847" t="str">
        <f>HYPERLINK("SE\A-5052\A-5052__241.png", "Ver Imagen")</f>
        <v>Ver Imagen</v>
      </c>
    </row>
    <row r="848" spans="1:16" x14ac:dyDescent="0.25">
      <c r="A848">
        <v>262</v>
      </c>
      <c r="B848" t="s">
        <v>536</v>
      </c>
      <c r="C848">
        <v>37.211381921799997</v>
      </c>
      <c r="D848">
        <v>-7.0457510762400002</v>
      </c>
      <c r="E848">
        <v>1</v>
      </c>
      <c r="F848">
        <v>1</v>
      </c>
      <c r="G848">
        <v>2</v>
      </c>
      <c r="J848" t="s">
        <v>15</v>
      </c>
      <c r="K848">
        <v>1</v>
      </c>
      <c r="L848">
        <v>1.0489999999999999</v>
      </c>
      <c r="M848">
        <v>0</v>
      </c>
      <c r="N848" t="s">
        <v>10019</v>
      </c>
      <c r="O848" t="str">
        <f>HYPERLINK("1\1\marker_294_961314.png", "Ver Imagen")</f>
        <v>Ver Imagen</v>
      </c>
      <c r="P848" t="str">
        <f>HYPERLINK("SE\A-5052\A-5052__324.png", "Ver Imagen")</f>
        <v>Ver Imagen</v>
      </c>
    </row>
    <row r="849" spans="1:16" x14ac:dyDescent="0.25">
      <c r="A849">
        <v>263</v>
      </c>
      <c r="B849" t="s">
        <v>538</v>
      </c>
      <c r="C849">
        <v>37.4735585683</v>
      </c>
      <c r="D849">
        <v>-7.1263179280399997</v>
      </c>
      <c r="E849">
        <v>2</v>
      </c>
      <c r="F849">
        <v>1</v>
      </c>
      <c r="G849">
        <v>1</v>
      </c>
      <c r="J849" t="s">
        <v>15</v>
      </c>
      <c r="K849">
        <v>1</v>
      </c>
      <c r="L849">
        <v>1.2070000000000001</v>
      </c>
      <c r="M849">
        <v>0</v>
      </c>
      <c r="N849" t="s">
        <v>10019</v>
      </c>
      <c r="O849" t="str">
        <f>HYPERLINK("1\1\marker_791_384440.png", "Ver Imagen")</f>
        <v>Ver Imagen</v>
      </c>
      <c r="P849" t="str">
        <f>HYPERLINK("NE\A-495_1\A-495_1__133.png", "Ver Imagen")</f>
        <v>Ver Imagen</v>
      </c>
    </row>
    <row r="850" spans="1:16" x14ac:dyDescent="0.25">
      <c r="A850">
        <v>264</v>
      </c>
      <c r="B850" t="s">
        <v>540</v>
      </c>
      <c r="C850">
        <v>37.448423712</v>
      </c>
      <c r="D850">
        <v>-7.1426461863800004</v>
      </c>
      <c r="E850">
        <v>2</v>
      </c>
      <c r="F850">
        <v>2</v>
      </c>
      <c r="G850">
        <v>2</v>
      </c>
      <c r="J850" t="s">
        <v>15</v>
      </c>
      <c r="K850">
        <v>2</v>
      </c>
      <c r="L850">
        <v>1.8939999999999999</v>
      </c>
      <c r="M850">
        <v>0</v>
      </c>
      <c r="N850" t="s">
        <v>10019</v>
      </c>
      <c r="O850" t="str">
        <f>HYPERLINK("2\0\marker_512_738103.png", "Ver Imagen")</f>
        <v>Ver Imagen</v>
      </c>
      <c r="P850" t="str">
        <f>HYPERLINK("NE\A-490\A-490__68.png", "Ver Imagen")</f>
        <v>Ver Imagen</v>
      </c>
    </row>
    <row r="851" spans="1:16" x14ac:dyDescent="0.25">
      <c r="A851">
        <v>265</v>
      </c>
      <c r="B851" t="s">
        <v>542</v>
      </c>
      <c r="C851">
        <v>37.467960987399998</v>
      </c>
      <c r="D851">
        <v>-7.1858986200699997</v>
      </c>
      <c r="E851">
        <v>2</v>
      </c>
      <c r="F851">
        <v>2</v>
      </c>
      <c r="G851">
        <v>2</v>
      </c>
      <c r="J851" t="s">
        <v>15</v>
      </c>
      <c r="K851">
        <v>2</v>
      </c>
      <c r="L851">
        <v>1.998</v>
      </c>
      <c r="M851">
        <v>0</v>
      </c>
      <c r="N851" t="s">
        <v>10019</v>
      </c>
      <c r="O851" t="str">
        <f>HYPERLINK("2\0\marker_724_749880.png", "Ver Imagen")</f>
        <v>Ver Imagen</v>
      </c>
      <c r="P851" t="str">
        <f>HYPERLINK("NE\A-490\A-490__269.png", "Ver Imagen")</f>
        <v>Ver Imagen</v>
      </c>
    </row>
    <row r="852" spans="1:16" x14ac:dyDescent="0.25">
      <c r="A852">
        <v>265</v>
      </c>
      <c r="B852" t="s">
        <v>542</v>
      </c>
      <c r="C852">
        <v>37.467960987399998</v>
      </c>
      <c r="D852">
        <v>-7.1858986200699997</v>
      </c>
      <c r="E852">
        <v>2</v>
      </c>
      <c r="F852">
        <v>2</v>
      </c>
      <c r="G852">
        <v>2</v>
      </c>
      <c r="J852" t="s">
        <v>15</v>
      </c>
      <c r="K852">
        <v>2</v>
      </c>
      <c r="L852">
        <v>1.8049999999999999</v>
      </c>
      <c r="M852">
        <v>0</v>
      </c>
      <c r="N852" t="s">
        <v>10019</v>
      </c>
      <c r="O852" t="str">
        <f>HYPERLINK("2\0\marker_724_749880.png", "Ver Imagen")</f>
        <v>Ver Imagen</v>
      </c>
      <c r="P852" t="str">
        <f>HYPERLINK("NO\A-490\A-490__269.png", "Ver Imagen")</f>
        <v>Ver Imagen</v>
      </c>
    </row>
    <row r="853" spans="1:16" x14ac:dyDescent="0.25">
      <c r="A853">
        <v>267</v>
      </c>
      <c r="B853" t="s">
        <v>546</v>
      </c>
      <c r="C853">
        <v>37.4827287986</v>
      </c>
      <c r="D853">
        <v>-7.2187894583699999</v>
      </c>
      <c r="E853">
        <v>2</v>
      </c>
      <c r="F853">
        <v>2</v>
      </c>
      <c r="G853">
        <v>2</v>
      </c>
      <c r="J853" t="s">
        <v>15</v>
      </c>
      <c r="K853">
        <v>2</v>
      </c>
      <c r="L853">
        <v>1.9019999999999999</v>
      </c>
      <c r="M853">
        <v>0</v>
      </c>
      <c r="N853" t="s">
        <v>10019</v>
      </c>
      <c r="O853" t="str">
        <f>HYPERLINK("2\0\marker_329_754266.png", "Ver Imagen")</f>
        <v>Ver Imagen</v>
      </c>
      <c r="P853" t="str">
        <f>HYPERLINK("NO\A-490\A-490__418.png", "Ver Imagen")</f>
        <v>Ver Imagen</v>
      </c>
    </row>
    <row r="854" spans="1:16" x14ac:dyDescent="0.25">
      <c r="A854">
        <v>268</v>
      </c>
      <c r="B854" t="s">
        <v>548</v>
      </c>
      <c r="C854">
        <v>37.483739781399997</v>
      </c>
      <c r="D854">
        <v>-7.2239591183899998</v>
      </c>
      <c r="E854">
        <v>2</v>
      </c>
      <c r="F854">
        <v>2</v>
      </c>
      <c r="G854">
        <v>2</v>
      </c>
      <c r="J854" t="s">
        <v>15</v>
      </c>
      <c r="K854">
        <v>2</v>
      </c>
      <c r="L854">
        <v>2.214</v>
      </c>
      <c r="M854">
        <v>0</v>
      </c>
      <c r="N854" t="s">
        <v>10018</v>
      </c>
      <c r="O854" t="str">
        <f>HYPERLINK("2\0\marker_633_754637.png", "Ver Imagen")</f>
        <v>Ver Imagen</v>
      </c>
      <c r="P854" t="str">
        <f>HYPERLINK("NO\A-490\A-490__439.png", "Ver Imagen")</f>
        <v>Ver Imagen</v>
      </c>
    </row>
    <row r="855" spans="1:16" x14ac:dyDescent="0.25">
      <c r="A855">
        <v>269</v>
      </c>
      <c r="B855" t="s">
        <v>550</v>
      </c>
      <c r="C855">
        <v>37.4840611264</v>
      </c>
      <c r="D855">
        <v>-7.2256242669199997</v>
      </c>
      <c r="E855">
        <v>2</v>
      </c>
      <c r="F855">
        <v>2</v>
      </c>
      <c r="G855">
        <v>2</v>
      </c>
      <c r="J855" t="s">
        <v>15</v>
      </c>
      <c r="K855">
        <v>2</v>
      </c>
      <c r="L855">
        <v>2.3639999999999999</v>
      </c>
      <c r="M855">
        <v>0</v>
      </c>
      <c r="N855" t="s">
        <v>10019</v>
      </c>
      <c r="O855" t="str">
        <f>HYPERLINK("2\0\marker_242_754904.png", "Ver Imagen")</f>
        <v>Ver Imagen</v>
      </c>
      <c r="P855" t="str">
        <f>HYPERLINK("NO\A-490\A-490__446.png", "Ver Imagen")</f>
        <v>Ver Imagen</v>
      </c>
    </row>
    <row r="856" spans="1:16" x14ac:dyDescent="0.25">
      <c r="A856">
        <v>270</v>
      </c>
      <c r="B856" t="s">
        <v>552</v>
      </c>
      <c r="C856">
        <v>37.484149327600001</v>
      </c>
      <c r="D856">
        <v>-7.2260801533799999</v>
      </c>
      <c r="E856">
        <v>2</v>
      </c>
      <c r="F856">
        <v>2</v>
      </c>
      <c r="G856">
        <v>2</v>
      </c>
      <c r="J856" t="s">
        <v>15</v>
      </c>
      <c r="K856">
        <v>2</v>
      </c>
      <c r="L856">
        <v>2.1280000000000001</v>
      </c>
      <c r="M856">
        <v>0</v>
      </c>
      <c r="N856" t="s">
        <v>10018</v>
      </c>
      <c r="O856" t="str">
        <f>HYPERLINK("2\0\marker_282_754987.png", "Ver Imagen")</f>
        <v>Ver Imagen</v>
      </c>
      <c r="P856" t="str">
        <f>HYPERLINK("NO\A-490\A-490__448.png", "Ver Imagen")</f>
        <v>Ver Imagen</v>
      </c>
    </row>
    <row r="857" spans="1:16" x14ac:dyDescent="0.25">
      <c r="A857">
        <v>271</v>
      </c>
      <c r="B857" t="s">
        <v>554</v>
      </c>
      <c r="C857">
        <v>37.4842006509</v>
      </c>
      <c r="D857">
        <v>-7.2263533618400002</v>
      </c>
      <c r="E857">
        <v>2</v>
      </c>
      <c r="F857">
        <v>2</v>
      </c>
      <c r="G857">
        <v>2</v>
      </c>
      <c r="J857" t="s">
        <v>15</v>
      </c>
      <c r="K857">
        <v>2</v>
      </c>
      <c r="L857">
        <v>1.946</v>
      </c>
      <c r="M857">
        <v>0</v>
      </c>
      <c r="N857" t="s">
        <v>10019</v>
      </c>
      <c r="O857" t="str">
        <f>HYPERLINK("2\0\marker_386_755003.png", "Ver Imagen")</f>
        <v>Ver Imagen</v>
      </c>
      <c r="P857" t="str">
        <f>HYPERLINK("NO\A-490\A-490__449.png", "Ver Imagen")</f>
        <v>Ver Imagen</v>
      </c>
    </row>
    <row r="858" spans="1:16" x14ac:dyDescent="0.25">
      <c r="A858">
        <v>272</v>
      </c>
      <c r="B858" t="s">
        <v>556</v>
      </c>
      <c r="C858">
        <v>37.484600689899999</v>
      </c>
      <c r="D858">
        <v>-7.2283922550400002</v>
      </c>
      <c r="E858">
        <v>2</v>
      </c>
      <c r="F858">
        <v>2</v>
      </c>
      <c r="G858">
        <v>2</v>
      </c>
      <c r="J858" t="s">
        <v>15</v>
      </c>
      <c r="K858">
        <v>2</v>
      </c>
      <c r="L858">
        <v>1.8120000000000001</v>
      </c>
      <c r="M858">
        <v>0</v>
      </c>
      <c r="N858" t="s">
        <v>10019</v>
      </c>
      <c r="O858" t="str">
        <f>HYPERLINK("2\0\marker_349_755165.png", "Ver Imagen")</f>
        <v>Ver Imagen</v>
      </c>
      <c r="P858" t="str">
        <f>HYPERLINK("NO\A-490\A-490__457.png", "Ver Imagen")</f>
        <v>Ver Imagen</v>
      </c>
    </row>
    <row r="859" spans="1:16" x14ac:dyDescent="0.25">
      <c r="A859">
        <v>273</v>
      </c>
      <c r="B859" t="s">
        <v>558</v>
      </c>
      <c r="C859">
        <v>37.484683681</v>
      </c>
      <c r="D859">
        <v>-7.2288164176900001</v>
      </c>
      <c r="E859">
        <v>2</v>
      </c>
      <c r="F859">
        <v>2</v>
      </c>
      <c r="G859">
        <v>2</v>
      </c>
      <c r="J859" t="s">
        <v>15</v>
      </c>
      <c r="K859">
        <v>2</v>
      </c>
      <c r="L859">
        <v>2.1669999999999998</v>
      </c>
      <c r="M859">
        <v>0</v>
      </c>
      <c r="N859" t="s">
        <v>10019</v>
      </c>
      <c r="O859" t="str">
        <f>HYPERLINK("2\0\marker_154_755199.png", "Ver Imagen")</f>
        <v>Ver Imagen</v>
      </c>
      <c r="P859" t="str">
        <f>HYPERLINK("NO\A-490\A-490__459.png", "Ver Imagen")</f>
        <v>Ver Imagen</v>
      </c>
    </row>
    <row r="860" spans="1:16" x14ac:dyDescent="0.25">
      <c r="A860">
        <v>274</v>
      </c>
      <c r="B860" t="s">
        <v>560</v>
      </c>
      <c r="C860">
        <v>37.484780285200003</v>
      </c>
      <c r="D860">
        <v>-7.2293169833200004</v>
      </c>
      <c r="E860">
        <v>2</v>
      </c>
      <c r="F860">
        <v>2</v>
      </c>
      <c r="G860">
        <v>2</v>
      </c>
      <c r="J860" t="s">
        <v>15</v>
      </c>
      <c r="K860">
        <v>2</v>
      </c>
      <c r="L860">
        <v>1.9219999999999999</v>
      </c>
      <c r="M860">
        <v>0</v>
      </c>
      <c r="N860" t="s">
        <v>10019</v>
      </c>
      <c r="O860" t="str">
        <f>HYPERLINK("2\0\marker_680_755233.png", "Ver Imagen")</f>
        <v>Ver Imagen</v>
      </c>
      <c r="P860" t="str">
        <f>HYPERLINK("NO\A-490\A-490__461.png", "Ver Imagen")</f>
        <v>Ver Imagen</v>
      </c>
    </row>
    <row r="861" spans="1:16" x14ac:dyDescent="0.25">
      <c r="A861">
        <v>275</v>
      </c>
      <c r="B861" t="s">
        <v>562</v>
      </c>
      <c r="C861">
        <v>37.4852683887</v>
      </c>
      <c r="D861">
        <v>-7.2318471392500001</v>
      </c>
      <c r="E861">
        <v>2</v>
      </c>
      <c r="F861">
        <v>2</v>
      </c>
      <c r="G861">
        <v>2</v>
      </c>
      <c r="J861" t="s">
        <v>15</v>
      </c>
      <c r="K861">
        <v>2</v>
      </c>
      <c r="L861">
        <v>1.738</v>
      </c>
      <c r="M861">
        <v>0</v>
      </c>
      <c r="N861" t="s">
        <v>10019</v>
      </c>
      <c r="O861" t="str">
        <f>HYPERLINK("2\0\marker_143_755416.png", "Ver Imagen")</f>
        <v>Ver Imagen</v>
      </c>
      <c r="P861" t="str">
        <f>HYPERLINK("NO\A-490\A-490__471.png", "Ver Imagen")</f>
        <v>Ver Imagen</v>
      </c>
    </row>
    <row r="862" spans="1:16" x14ac:dyDescent="0.25">
      <c r="A862">
        <v>276</v>
      </c>
      <c r="B862" t="s">
        <v>564</v>
      </c>
      <c r="C862">
        <v>37.485777462500003</v>
      </c>
      <c r="D862">
        <v>-7.2345331871600003</v>
      </c>
      <c r="E862">
        <v>2</v>
      </c>
      <c r="F862">
        <v>2</v>
      </c>
      <c r="G862">
        <v>2</v>
      </c>
      <c r="J862" t="s">
        <v>15</v>
      </c>
      <c r="K862">
        <v>2</v>
      </c>
      <c r="L862">
        <v>1.8620000000000001</v>
      </c>
      <c r="M862">
        <v>0</v>
      </c>
      <c r="N862" t="s">
        <v>10019</v>
      </c>
      <c r="O862" t="str">
        <f>HYPERLINK("2\0\marker_228_755620.png", "Ver Imagen")</f>
        <v>Ver Imagen</v>
      </c>
      <c r="P862" t="str">
        <f>HYPERLINK("NO\A-490\A-490__482.png", "Ver Imagen")</f>
        <v>Ver Imagen</v>
      </c>
    </row>
    <row r="863" spans="1:16" x14ac:dyDescent="0.25">
      <c r="A863">
        <v>277</v>
      </c>
      <c r="B863" t="s">
        <v>566</v>
      </c>
      <c r="C863">
        <v>37.485830227900003</v>
      </c>
      <c r="D863">
        <v>-7.2348040948400003</v>
      </c>
      <c r="E863">
        <v>2</v>
      </c>
      <c r="F863">
        <v>2</v>
      </c>
      <c r="G863">
        <v>2</v>
      </c>
      <c r="J863" t="s">
        <v>15</v>
      </c>
      <c r="K863">
        <v>2</v>
      </c>
      <c r="L863">
        <v>1.9890000000000001</v>
      </c>
      <c r="M863">
        <v>0</v>
      </c>
      <c r="N863" t="s">
        <v>10019</v>
      </c>
      <c r="O863" t="str">
        <f>HYPERLINK("2\0\marker_472_755634.png", "Ver Imagen")</f>
        <v>Ver Imagen</v>
      </c>
      <c r="P863" t="str">
        <f>HYPERLINK("NO\A-490\A-490__483.png", "Ver Imagen")</f>
        <v>Ver Imagen</v>
      </c>
    </row>
    <row r="864" spans="1:16" x14ac:dyDescent="0.25">
      <c r="A864">
        <v>278</v>
      </c>
      <c r="B864" t="s">
        <v>568</v>
      </c>
      <c r="C864">
        <v>37.485920790900003</v>
      </c>
      <c r="D864">
        <v>-7.2352630768199999</v>
      </c>
      <c r="E864">
        <v>2</v>
      </c>
      <c r="F864">
        <v>2</v>
      </c>
      <c r="G864">
        <v>2</v>
      </c>
      <c r="J864" t="s">
        <v>15</v>
      </c>
      <c r="K864">
        <v>2</v>
      </c>
      <c r="L864">
        <v>1.93</v>
      </c>
      <c r="M864">
        <v>0</v>
      </c>
      <c r="N864" t="s">
        <v>10018</v>
      </c>
      <c r="O864" t="str">
        <f>HYPERLINK("2\0\marker_553_755672.png", "Ver Imagen")</f>
        <v>Ver Imagen</v>
      </c>
      <c r="P864" t="str">
        <f>HYPERLINK("NO\A-490\A-490__485.png", "Ver Imagen")</f>
        <v>Ver Imagen</v>
      </c>
    </row>
    <row r="865" spans="1:16" x14ac:dyDescent="0.25">
      <c r="A865">
        <v>279</v>
      </c>
      <c r="B865" t="s">
        <v>570</v>
      </c>
      <c r="C865">
        <v>37.4859643936</v>
      </c>
      <c r="D865">
        <v>-7.2354825515599996</v>
      </c>
      <c r="E865">
        <v>2</v>
      </c>
      <c r="F865">
        <v>2</v>
      </c>
      <c r="G865">
        <v>2</v>
      </c>
      <c r="J865" t="s">
        <v>15</v>
      </c>
      <c r="K865">
        <v>2</v>
      </c>
      <c r="L865">
        <v>1.5249999999999999</v>
      </c>
      <c r="M865">
        <v>0</v>
      </c>
      <c r="N865" t="s">
        <v>10018</v>
      </c>
      <c r="O865" t="str">
        <f>HYPERLINK("2\0\marker_161_755689.png", "Ver Imagen")</f>
        <v>Ver Imagen</v>
      </c>
      <c r="P865" t="str">
        <f>HYPERLINK("NO\A-490\A-490__486.png", "Ver Imagen")</f>
        <v>Ver Imagen</v>
      </c>
    </row>
    <row r="866" spans="1:16" x14ac:dyDescent="0.25">
      <c r="A866">
        <v>280</v>
      </c>
      <c r="B866" t="s">
        <v>572</v>
      </c>
      <c r="C866">
        <v>37.4865876247</v>
      </c>
      <c r="D866">
        <v>-7.2387283519199999</v>
      </c>
      <c r="E866">
        <v>2</v>
      </c>
      <c r="F866">
        <v>2</v>
      </c>
      <c r="G866">
        <v>2</v>
      </c>
      <c r="J866" t="s">
        <v>15</v>
      </c>
      <c r="K866">
        <v>2</v>
      </c>
      <c r="L866">
        <v>2.133</v>
      </c>
      <c r="M866">
        <v>0</v>
      </c>
      <c r="N866" t="s">
        <v>10019</v>
      </c>
      <c r="O866" t="str">
        <f>HYPERLINK("2\0\marker_154_817552.png", "Ver Imagen")</f>
        <v>Ver Imagen</v>
      </c>
      <c r="P866" t="str">
        <f>HYPERLINK("NO\A-490\A-490__499.png", "Ver Imagen")</f>
        <v>Ver Imagen</v>
      </c>
    </row>
    <row r="867" spans="1:16" x14ac:dyDescent="0.25">
      <c r="A867">
        <v>281</v>
      </c>
      <c r="B867" t="s">
        <v>574</v>
      </c>
      <c r="C867">
        <v>37.487033628699997</v>
      </c>
      <c r="D867">
        <v>-7.2414579656900004</v>
      </c>
      <c r="E867">
        <v>2</v>
      </c>
      <c r="F867">
        <v>2</v>
      </c>
      <c r="G867">
        <v>2</v>
      </c>
      <c r="J867" t="s">
        <v>15</v>
      </c>
      <c r="K867">
        <v>2</v>
      </c>
      <c r="L867">
        <v>1.9019999999999999</v>
      </c>
      <c r="M867">
        <v>0</v>
      </c>
      <c r="N867" t="s">
        <v>10019</v>
      </c>
      <c r="O867" t="str">
        <f>HYPERLINK("2\0\marker_168_817773.png", "Ver Imagen")</f>
        <v>Ver Imagen</v>
      </c>
      <c r="P867" t="str">
        <f>HYPERLINK("NO\A-490\A-490__510.png", "Ver Imagen")</f>
        <v>Ver Imagen</v>
      </c>
    </row>
    <row r="868" spans="1:16" x14ac:dyDescent="0.25">
      <c r="A868">
        <v>282</v>
      </c>
      <c r="B868" t="s">
        <v>576</v>
      </c>
      <c r="C868">
        <v>37.487100808100003</v>
      </c>
      <c r="D868">
        <v>-7.2421983272099997</v>
      </c>
      <c r="E868">
        <v>2</v>
      </c>
      <c r="F868">
        <v>2</v>
      </c>
      <c r="G868">
        <v>2</v>
      </c>
      <c r="J868" t="s">
        <v>15</v>
      </c>
      <c r="K868">
        <v>2</v>
      </c>
      <c r="L868">
        <v>1.9510000000000001</v>
      </c>
      <c r="M868">
        <v>0</v>
      </c>
      <c r="N868" t="s">
        <v>10019</v>
      </c>
      <c r="O868" t="str">
        <f>HYPERLINK("2\0\marker_509_817870.png", "Ver Imagen")</f>
        <v>Ver Imagen</v>
      </c>
      <c r="P868" t="str">
        <f>HYPERLINK("NO\A-490\A-490__513.png", "Ver Imagen")</f>
        <v>Ver Imagen</v>
      </c>
    </row>
    <row r="869" spans="1:16" x14ac:dyDescent="0.25">
      <c r="A869">
        <v>283</v>
      </c>
      <c r="B869" t="s">
        <v>578</v>
      </c>
      <c r="C869">
        <v>37.487592904700001</v>
      </c>
      <c r="D869">
        <v>-7.2443757519299998</v>
      </c>
      <c r="E869">
        <v>2</v>
      </c>
      <c r="F869">
        <v>2</v>
      </c>
      <c r="G869">
        <v>2</v>
      </c>
      <c r="J869" t="s">
        <v>15</v>
      </c>
      <c r="K869">
        <v>2</v>
      </c>
      <c r="L869">
        <v>2.4870000000000001</v>
      </c>
      <c r="M869">
        <v>0</v>
      </c>
      <c r="N869" t="s">
        <v>10018</v>
      </c>
      <c r="O869" t="str">
        <f>HYPERLINK("2\0\marker_864_818086.png", "Ver Imagen")</f>
        <v>Ver Imagen</v>
      </c>
      <c r="P869" t="str">
        <f>HYPERLINK("NO\A-490\A-490__522.png", "Ver Imagen")</f>
        <v>Ver Imagen</v>
      </c>
    </row>
    <row r="870" spans="1:16" x14ac:dyDescent="0.25">
      <c r="A870">
        <v>284</v>
      </c>
      <c r="B870" t="s">
        <v>580</v>
      </c>
      <c r="C870">
        <v>37.4896609185</v>
      </c>
      <c r="D870">
        <v>-7.24839515687</v>
      </c>
      <c r="E870">
        <v>2</v>
      </c>
      <c r="F870">
        <v>2</v>
      </c>
      <c r="G870">
        <v>2</v>
      </c>
      <c r="J870" t="s">
        <v>15</v>
      </c>
      <c r="K870">
        <v>2</v>
      </c>
      <c r="L870">
        <v>2.4580000000000002</v>
      </c>
      <c r="M870">
        <v>0</v>
      </c>
      <c r="N870" t="s">
        <v>10019</v>
      </c>
      <c r="O870" t="str">
        <f>HYPERLINK("2\0\marker_448_818359.png", "Ver Imagen")</f>
        <v>Ver Imagen</v>
      </c>
      <c r="P870" t="str">
        <f>HYPERLINK("NO\A-490\A-490__541.png", "Ver Imagen")</f>
        <v>Ver Imagen</v>
      </c>
    </row>
    <row r="871" spans="1:16" x14ac:dyDescent="0.25">
      <c r="A871">
        <v>285</v>
      </c>
      <c r="B871" t="s">
        <v>582</v>
      </c>
      <c r="C871">
        <v>37.491008040300002</v>
      </c>
      <c r="D871">
        <v>-7.2605299437499999</v>
      </c>
      <c r="E871">
        <v>2</v>
      </c>
      <c r="F871">
        <v>2</v>
      </c>
      <c r="G871">
        <v>2</v>
      </c>
      <c r="J871" t="s">
        <v>15</v>
      </c>
      <c r="K871">
        <v>2</v>
      </c>
      <c r="L871">
        <v>2.028</v>
      </c>
      <c r="M871">
        <v>0</v>
      </c>
      <c r="N871" t="s">
        <v>10019</v>
      </c>
      <c r="O871" t="str">
        <f>HYPERLINK("2\0\marker_790_819665.png", "Ver Imagen")</f>
        <v>Ver Imagen</v>
      </c>
      <c r="P871" t="str">
        <f>HYPERLINK("NO\A-490\A-490__593.png", "Ver Imagen")</f>
        <v>Ver Imagen</v>
      </c>
    </row>
    <row r="872" spans="1:16" x14ac:dyDescent="0.25">
      <c r="A872">
        <v>286</v>
      </c>
      <c r="B872" t="s">
        <v>584</v>
      </c>
      <c r="C872">
        <v>37.279173254699998</v>
      </c>
      <c r="D872">
        <v>-6.9951040456199998</v>
      </c>
      <c r="E872">
        <v>2</v>
      </c>
      <c r="F872">
        <v>2</v>
      </c>
      <c r="G872">
        <v>2</v>
      </c>
      <c r="J872" t="s">
        <v>15</v>
      </c>
      <c r="K872">
        <v>2</v>
      </c>
      <c r="L872">
        <v>1.9730000000000001</v>
      </c>
      <c r="M872">
        <v>0</v>
      </c>
      <c r="N872" t="s">
        <v>10019</v>
      </c>
      <c r="O872" t="str">
        <f>HYPERLINK("2\0\marker_456_822972.png", "Ver Imagen")</f>
        <v>Ver Imagen</v>
      </c>
      <c r="P872" t="str">
        <f>HYPERLINK("SE\A-492\A-492__48.png", "Ver Imagen")</f>
        <v>Ver Imagen</v>
      </c>
    </row>
    <row r="873" spans="1:16" x14ac:dyDescent="0.25">
      <c r="A873">
        <v>287</v>
      </c>
      <c r="B873" t="s">
        <v>586</v>
      </c>
      <c r="C873">
        <v>37.279235862500002</v>
      </c>
      <c r="D873">
        <v>-6.9953562405899996</v>
      </c>
      <c r="E873">
        <v>2</v>
      </c>
      <c r="F873">
        <v>2</v>
      </c>
      <c r="G873">
        <v>2</v>
      </c>
      <c r="J873" t="s">
        <v>15</v>
      </c>
      <c r="K873">
        <v>2</v>
      </c>
      <c r="L873">
        <v>1.613</v>
      </c>
      <c r="M873">
        <v>0</v>
      </c>
      <c r="N873" t="s">
        <v>10019</v>
      </c>
      <c r="O873" t="str">
        <f>HYPERLINK("2\0\marker_570_822991.png", "Ver Imagen")</f>
        <v>Ver Imagen</v>
      </c>
      <c r="P873" t="str">
        <f>HYPERLINK("SE\A-492\A-492__49.png", "Ver Imagen")</f>
        <v>Ver Imagen</v>
      </c>
    </row>
    <row r="874" spans="1:16" x14ac:dyDescent="0.25">
      <c r="A874">
        <v>288</v>
      </c>
      <c r="B874" t="s">
        <v>588</v>
      </c>
      <c r="C874">
        <v>37.280662570099999</v>
      </c>
      <c r="D874">
        <v>-7.0027589522999998</v>
      </c>
      <c r="E874">
        <v>2</v>
      </c>
      <c r="F874">
        <v>2</v>
      </c>
      <c r="G874">
        <v>2</v>
      </c>
      <c r="J874" t="s">
        <v>15</v>
      </c>
      <c r="K874">
        <v>2</v>
      </c>
      <c r="L874">
        <v>1.734</v>
      </c>
      <c r="M874">
        <v>0</v>
      </c>
      <c r="N874" t="s">
        <v>10019</v>
      </c>
      <c r="O874" t="str">
        <f>HYPERLINK("2\0\marker_282_823501.png", "Ver Imagen")</f>
        <v>Ver Imagen</v>
      </c>
      <c r="P874" t="str">
        <f>HYPERLINK("SE\A-492\A-492__81.png", "Ver Imagen")</f>
        <v>Ver Imagen</v>
      </c>
    </row>
    <row r="875" spans="1:16" x14ac:dyDescent="0.25">
      <c r="A875">
        <v>289</v>
      </c>
      <c r="B875" t="s">
        <v>590</v>
      </c>
      <c r="C875">
        <v>37.275358036299998</v>
      </c>
      <c r="D875">
        <v>-7.0167299353599999</v>
      </c>
      <c r="E875">
        <v>2</v>
      </c>
      <c r="F875">
        <v>2</v>
      </c>
      <c r="G875">
        <v>2</v>
      </c>
      <c r="J875" t="s">
        <v>15</v>
      </c>
      <c r="K875">
        <v>2</v>
      </c>
      <c r="L875">
        <v>1.7809999999999999</v>
      </c>
      <c r="M875">
        <v>0</v>
      </c>
      <c r="N875" t="s">
        <v>10018</v>
      </c>
      <c r="O875" t="str">
        <f>HYPERLINK("2\0\marker_917_824724.png", "Ver Imagen")</f>
        <v>Ver Imagen</v>
      </c>
      <c r="P875" t="str">
        <f>HYPERLINK("SE\A-492\A-492__144.png", "Ver Imagen")</f>
        <v>Ver Imagen</v>
      </c>
    </row>
    <row r="876" spans="1:16" x14ac:dyDescent="0.25">
      <c r="A876">
        <v>290</v>
      </c>
      <c r="B876" t="s">
        <v>592</v>
      </c>
      <c r="C876">
        <v>37.279172789999997</v>
      </c>
      <c r="D876">
        <v>-7.0305920739600003</v>
      </c>
      <c r="E876">
        <v>2</v>
      </c>
      <c r="F876">
        <v>2</v>
      </c>
      <c r="G876">
        <v>2</v>
      </c>
      <c r="J876" t="s">
        <v>15</v>
      </c>
      <c r="K876">
        <v>2</v>
      </c>
      <c r="L876">
        <v>1.732</v>
      </c>
      <c r="M876">
        <v>0</v>
      </c>
      <c r="N876" t="s">
        <v>10019</v>
      </c>
      <c r="O876" t="str">
        <f>HYPERLINK("2\0\marker_137_831968.png", "Ver Imagen")</f>
        <v>Ver Imagen</v>
      </c>
      <c r="P876" t="str">
        <f>HYPERLINK("SE\A-492\A-492__204.png", "Ver Imagen")</f>
        <v>Ver Imagen</v>
      </c>
    </row>
    <row r="877" spans="1:16" x14ac:dyDescent="0.25">
      <c r="A877">
        <v>291</v>
      </c>
      <c r="B877" t="s">
        <v>594</v>
      </c>
      <c r="C877">
        <v>37.279635662899999</v>
      </c>
      <c r="D877">
        <v>-7.0310154923999999</v>
      </c>
      <c r="E877">
        <v>2</v>
      </c>
      <c r="F877">
        <v>2</v>
      </c>
      <c r="G877">
        <v>2</v>
      </c>
      <c r="J877" t="s">
        <v>15</v>
      </c>
      <c r="K877">
        <v>2</v>
      </c>
      <c r="L877">
        <v>2.44</v>
      </c>
      <c r="M877">
        <v>0</v>
      </c>
      <c r="N877" t="s">
        <v>10017</v>
      </c>
      <c r="O877" t="str">
        <f>HYPERLINK("2\0\marker_132_832006.png", "Ver Imagen")</f>
        <v>Ver Imagen</v>
      </c>
      <c r="P877" t="str">
        <f>HYPERLINK("SE\A-492\A-492__207.png", "Ver Imagen")</f>
        <v>Ver Imagen</v>
      </c>
    </row>
    <row r="878" spans="1:16" x14ac:dyDescent="0.25">
      <c r="A878">
        <v>292</v>
      </c>
      <c r="B878" t="s">
        <v>596</v>
      </c>
      <c r="C878">
        <v>37.2798401967</v>
      </c>
      <c r="D878">
        <v>-7.0311966672299997</v>
      </c>
      <c r="E878">
        <v>2</v>
      </c>
      <c r="F878">
        <v>2</v>
      </c>
      <c r="G878">
        <v>2</v>
      </c>
      <c r="J878" t="s">
        <v>15</v>
      </c>
      <c r="K878">
        <v>2</v>
      </c>
      <c r="L878">
        <v>1.9790000000000001</v>
      </c>
      <c r="M878">
        <v>0</v>
      </c>
      <c r="N878" t="s">
        <v>10019</v>
      </c>
      <c r="O878" t="str">
        <f>HYPERLINK("2\0\marker_822_832017.png", "Ver Imagen")</f>
        <v>Ver Imagen</v>
      </c>
      <c r="P878" t="str">
        <f>HYPERLINK("SE\A-492\A-492__208.png", "Ver Imagen")</f>
        <v>Ver Imagen</v>
      </c>
    </row>
    <row r="879" spans="1:16" x14ac:dyDescent="0.25">
      <c r="A879">
        <v>293</v>
      </c>
      <c r="B879" t="s">
        <v>598</v>
      </c>
      <c r="C879">
        <v>37.283070363100002</v>
      </c>
      <c r="D879">
        <v>-7.033156645</v>
      </c>
      <c r="E879">
        <v>2</v>
      </c>
      <c r="F879">
        <v>2</v>
      </c>
      <c r="G879">
        <v>2</v>
      </c>
      <c r="J879" t="s">
        <v>15</v>
      </c>
      <c r="K879">
        <v>2</v>
      </c>
      <c r="L879">
        <v>1.798</v>
      </c>
      <c r="M879">
        <v>0</v>
      </c>
      <c r="N879" t="s">
        <v>10019</v>
      </c>
      <c r="O879" t="str">
        <f>HYPERLINK("2\0\marker_268_835726.png", "Ver Imagen")</f>
        <v>Ver Imagen</v>
      </c>
      <c r="P879" t="str">
        <f>HYPERLINK("SE\A-492\A-492__226.png", "Ver Imagen")</f>
        <v>Ver Imagen</v>
      </c>
    </row>
    <row r="880" spans="1:16" x14ac:dyDescent="0.25">
      <c r="A880">
        <v>294</v>
      </c>
      <c r="B880" t="s">
        <v>600</v>
      </c>
      <c r="C880">
        <v>37.285009024499999</v>
      </c>
      <c r="D880">
        <v>-7.0401826323299996</v>
      </c>
      <c r="E880">
        <v>2</v>
      </c>
      <c r="F880">
        <v>2</v>
      </c>
      <c r="G880">
        <v>2</v>
      </c>
      <c r="J880" t="s">
        <v>15</v>
      </c>
      <c r="K880">
        <v>2</v>
      </c>
      <c r="L880">
        <v>2</v>
      </c>
      <c r="M880">
        <v>0</v>
      </c>
      <c r="N880" t="s">
        <v>10019</v>
      </c>
      <c r="O880" t="str">
        <f>HYPERLINK("2\0\marker_746_836185.png", "Ver Imagen")</f>
        <v>Ver Imagen</v>
      </c>
      <c r="P880" t="str">
        <f>HYPERLINK("SE\A-492\A-492__256.png", "Ver Imagen")</f>
        <v>Ver Imagen</v>
      </c>
    </row>
    <row r="881" spans="1:16" x14ac:dyDescent="0.25">
      <c r="A881">
        <v>295</v>
      </c>
      <c r="B881" t="s">
        <v>602</v>
      </c>
      <c r="C881">
        <v>37.2851096447</v>
      </c>
      <c r="D881">
        <v>-7.0403655595599997</v>
      </c>
      <c r="E881">
        <v>2</v>
      </c>
      <c r="F881">
        <v>2</v>
      </c>
      <c r="G881">
        <v>2</v>
      </c>
      <c r="J881" t="s">
        <v>15</v>
      </c>
      <c r="K881">
        <v>2</v>
      </c>
      <c r="L881">
        <v>2.2450000000000001</v>
      </c>
      <c r="M881">
        <v>0</v>
      </c>
      <c r="N881" t="s">
        <v>10019</v>
      </c>
      <c r="O881" t="str">
        <f>HYPERLINK("2\0\marker_536_836229.png", "Ver Imagen")</f>
        <v>Ver Imagen</v>
      </c>
      <c r="P881" t="str">
        <f>HYPERLINK("SE\A-492\A-492__257.png", "Ver Imagen")</f>
        <v>Ver Imagen</v>
      </c>
    </row>
    <row r="882" spans="1:16" x14ac:dyDescent="0.25">
      <c r="A882">
        <v>296</v>
      </c>
      <c r="B882" t="s">
        <v>604</v>
      </c>
      <c r="C882">
        <v>37.293849149400003</v>
      </c>
      <c r="D882">
        <v>-7.0470722643199997</v>
      </c>
      <c r="E882">
        <v>2</v>
      </c>
      <c r="F882">
        <v>2</v>
      </c>
      <c r="G882">
        <v>2</v>
      </c>
      <c r="J882" t="s">
        <v>15</v>
      </c>
      <c r="K882">
        <v>2</v>
      </c>
      <c r="L882">
        <v>1.976</v>
      </c>
      <c r="M882">
        <v>0</v>
      </c>
      <c r="N882" t="s">
        <v>10019</v>
      </c>
      <c r="O882" t="str">
        <f>HYPERLINK("2\0\marker_486_837660.png", "Ver Imagen")</f>
        <v>Ver Imagen</v>
      </c>
      <c r="P882" t="str">
        <f>HYPERLINK("SE\A-492\A-492__309.png", "Ver Imagen")</f>
        <v>Ver Imagen</v>
      </c>
    </row>
    <row r="883" spans="1:16" x14ac:dyDescent="0.25">
      <c r="A883">
        <v>297</v>
      </c>
      <c r="B883" t="s">
        <v>606</v>
      </c>
      <c r="C883">
        <v>37.294367953200002</v>
      </c>
      <c r="D883">
        <v>-7.0477857450499997</v>
      </c>
      <c r="E883">
        <v>2</v>
      </c>
      <c r="F883">
        <v>2</v>
      </c>
      <c r="G883">
        <v>2</v>
      </c>
      <c r="J883" t="s">
        <v>15</v>
      </c>
      <c r="K883">
        <v>2</v>
      </c>
      <c r="L883">
        <v>2.258</v>
      </c>
      <c r="M883">
        <v>0</v>
      </c>
      <c r="N883" t="s">
        <v>10017</v>
      </c>
      <c r="O883" t="str">
        <f>HYPERLINK("2\0\marker_575_837705.png", "Ver Imagen")</f>
        <v>Ver Imagen</v>
      </c>
      <c r="P883" t="str">
        <f>HYPERLINK("SE\A-492\A-492__313.png", "Ver Imagen")</f>
        <v>Ver Imagen</v>
      </c>
    </row>
    <row r="884" spans="1:16" x14ac:dyDescent="0.25">
      <c r="A884">
        <v>299</v>
      </c>
      <c r="B884" t="s">
        <v>610</v>
      </c>
      <c r="C884">
        <v>37.296407870199999</v>
      </c>
      <c r="D884">
        <v>-7.0502574207200004</v>
      </c>
      <c r="E884">
        <v>2</v>
      </c>
      <c r="F884">
        <v>2</v>
      </c>
      <c r="G884">
        <v>2</v>
      </c>
      <c r="J884" t="s">
        <v>15</v>
      </c>
      <c r="K884">
        <v>2</v>
      </c>
      <c r="L884">
        <v>1.919</v>
      </c>
      <c r="M884">
        <v>0</v>
      </c>
      <c r="N884" t="s">
        <v>10019</v>
      </c>
      <c r="O884" t="str">
        <f>HYPERLINK("2\0\marker_432_838045.png", "Ver Imagen")</f>
        <v>Ver Imagen</v>
      </c>
      <c r="P884" t="str">
        <f>HYPERLINK("SE\A-492\A-492__327.png", "Ver Imagen")</f>
        <v>Ver Imagen</v>
      </c>
    </row>
    <row r="885" spans="1:16" x14ac:dyDescent="0.25">
      <c r="A885">
        <v>300</v>
      </c>
      <c r="B885" t="s">
        <v>612</v>
      </c>
      <c r="C885">
        <v>37.296920178199997</v>
      </c>
      <c r="D885">
        <v>-7.0511160085900002</v>
      </c>
      <c r="E885">
        <v>2</v>
      </c>
      <c r="F885">
        <v>2</v>
      </c>
      <c r="G885">
        <v>2</v>
      </c>
      <c r="J885" t="s">
        <v>15</v>
      </c>
      <c r="K885">
        <v>2</v>
      </c>
      <c r="L885">
        <v>1.952</v>
      </c>
      <c r="M885">
        <v>0</v>
      </c>
      <c r="N885" t="s">
        <v>10019</v>
      </c>
      <c r="O885" t="str">
        <f>HYPERLINK("2\0\marker_894_838096.png", "Ver Imagen")</f>
        <v>Ver Imagen</v>
      </c>
      <c r="P885" t="str">
        <f>HYPERLINK("SE\A-492\A-492__331.png", "Ver Imagen")</f>
        <v>Ver Imagen</v>
      </c>
    </row>
    <row r="886" spans="1:16" x14ac:dyDescent="0.25">
      <c r="A886">
        <v>301</v>
      </c>
      <c r="B886" t="s">
        <v>614</v>
      </c>
      <c r="C886">
        <v>37.297005240799997</v>
      </c>
      <c r="D886">
        <v>-7.0513168242999997</v>
      </c>
      <c r="E886">
        <v>2</v>
      </c>
      <c r="F886">
        <v>2</v>
      </c>
      <c r="G886">
        <v>2</v>
      </c>
      <c r="J886" t="s">
        <v>15</v>
      </c>
      <c r="K886">
        <v>2</v>
      </c>
      <c r="L886">
        <v>2.125</v>
      </c>
      <c r="M886">
        <v>0</v>
      </c>
      <c r="N886" t="s">
        <v>10019</v>
      </c>
      <c r="O886" t="str">
        <f>HYPERLINK("2\0\marker_356_838109.png", "Ver Imagen")</f>
        <v>Ver Imagen</v>
      </c>
      <c r="P886" t="str">
        <f>HYPERLINK("SE\A-492\A-492__332.png", "Ver Imagen")</f>
        <v>Ver Imagen</v>
      </c>
    </row>
    <row r="887" spans="1:16" x14ac:dyDescent="0.25">
      <c r="A887">
        <v>302</v>
      </c>
      <c r="B887" t="s">
        <v>616</v>
      </c>
      <c r="C887">
        <v>37.298418527199999</v>
      </c>
      <c r="D887">
        <v>-7.0539251012599999</v>
      </c>
      <c r="E887">
        <v>2</v>
      </c>
      <c r="F887">
        <v>2</v>
      </c>
      <c r="G887">
        <v>2</v>
      </c>
      <c r="J887" t="s">
        <v>15</v>
      </c>
      <c r="K887">
        <v>2</v>
      </c>
      <c r="L887">
        <v>2.2280000000000002</v>
      </c>
      <c r="M887">
        <v>0</v>
      </c>
      <c r="N887" t="s">
        <v>10019</v>
      </c>
      <c r="O887" t="str">
        <f>HYPERLINK("2\0\marker_320_838297.png", "Ver Imagen")</f>
        <v>Ver Imagen</v>
      </c>
      <c r="P887" t="str">
        <f>HYPERLINK("SE\A-492\A-492__345.png", "Ver Imagen")</f>
        <v>Ver Imagen</v>
      </c>
    </row>
    <row r="888" spans="1:16" x14ac:dyDescent="0.25">
      <c r="A888">
        <v>303</v>
      </c>
      <c r="B888" t="s">
        <v>618</v>
      </c>
      <c r="C888">
        <v>37.298973885000002</v>
      </c>
      <c r="D888">
        <v>-7.05427702237</v>
      </c>
      <c r="E888">
        <v>2</v>
      </c>
      <c r="F888">
        <v>2</v>
      </c>
      <c r="G888">
        <v>2</v>
      </c>
      <c r="J888" t="s">
        <v>15</v>
      </c>
      <c r="K888">
        <v>2</v>
      </c>
      <c r="L888">
        <v>1.984</v>
      </c>
      <c r="M888">
        <v>0</v>
      </c>
      <c r="N888" t="s">
        <v>10019</v>
      </c>
      <c r="O888" t="str">
        <f>HYPERLINK("2\0\marker_104_838337.png", "Ver Imagen")</f>
        <v>Ver Imagen</v>
      </c>
      <c r="P888" t="str">
        <f>HYPERLINK("SE\A-492\A-492__348.png", "Ver Imagen")</f>
        <v>Ver Imagen</v>
      </c>
    </row>
    <row r="889" spans="1:16" x14ac:dyDescent="0.25">
      <c r="A889">
        <v>304</v>
      </c>
      <c r="B889" t="s">
        <v>620</v>
      </c>
      <c r="C889">
        <v>37.2993093758</v>
      </c>
      <c r="D889">
        <v>-7.05450514158</v>
      </c>
      <c r="E889">
        <v>2</v>
      </c>
      <c r="F889">
        <v>2</v>
      </c>
      <c r="G889">
        <v>2</v>
      </c>
      <c r="J889" t="s">
        <v>15</v>
      </c>
      <c r="K889">
        <v>2</v>
      </c>
      <c r="L889">
        <v>1.8460000000000001</v>
      </c>
      <c r="M889">
        <v>0</v>
      </c>
      <c r="N889" t="s">
        <v>10019</v>
      </c>
      <c r="O889" t="str">
        <f>HYPERLINK("2\0\marker_321_838366.png", "Ver Imagen")</f>
        <v>Ver Imagen</v>
      </c>
      <c r="P889" t="str">
        <f>HYPERLINK("SE\A-492\A-492__350.png", "Ver Imagen")</f>
        <v>Ver Imagen</v>
      </c>
    </row>
    <row r="890" spans="1:16" x14ac:dyDescent="0.25">
      <c r="A890">
        <v>306</v>
      </c>
      <c r="B890" t="s">
        <v>624</v>
      </c>
      <c r="C890">
        <v>37.300098579999997</v>
      </c>
      <c r="D890">
        <v>-7.0553522330699998</v>
      </c>
      <c r="E890">
        <v>2</v>
      </c>
      <c r="F890">
        <v>2</v>
      </c>
      <c r="G890">
        <v>2</v>
      </c>
      <c r="J890" t="s">
        <v>15</v>
      </c>
      <c r="K890">
        <v>2</v>
      </c>
      <c r="L890">
        <v>2.1320000000000001</v>
      </c>
      <c r="M890">
        <v>0</v>
      </c>
      <c r="N890" t="s">
        <v>10019</v>
      </c>
      <c r="O890" t="str">
        <f>HYPERLINK("2\0\marker_521_838576.png", "Ver Imagen")</f>
        <v>Ver Imagen</v>
      </c>
      <c r="P890" t="str">
        <f>HYPERLINK("SE\A-492\A-492__355.png", "Ver Imagen")</f>
        <v>Ver Imagen</v>
      </c>
    </row>
    <row r="891" spans="1:16" x14ac:dyDescent="0.25">
      <c r="A891">
        <v>307</v>
      </c>
      <c r="B891" t="s">
        <v>626</v>
      </c>
      <c r="C891">
        <v>37.309769564900002</v>
      </c>
      <c r="D891">
        <v>-7.0580489907899997</v>
      </c>
      <c r="E891">
        <v>2</v>
      </c>
      <c r="F891">
        <v>2</v>
      </c>
      <c r="G891">
        <v>2</v>
      </c>
      <c r="J891" t="s">
        <v>15</v>
      </c>
      <c r="K891">
        <v>2</v>
      </c>
      <c r="L891">
        <v>1.964</v>
      </c>
      <c r="M891">
        <v>0</v>
      </c>
      <c r="N891" t="s">
        <v>10019</v>
      </c>
      <c r="O891" t="str">
        <f>HYPERLINK("2\0\marker_334_839237.png", "Ver Imagen")</f>
        <v>Ver Imagen</v>
      </c>
      <c r="P891" t="str">
        <f>HYPERLINK("SE\A-492\A-492__405.png", "Ver Imagen")</f>
        <v>Ver Imagen</v>
      </c>
    </row>
    <row r="892" spans="1:16" x14ac:dyDescent="0.25">
      <c r="A892">
        <v>308</v>
      </c>
      <c r="B892" t="s">
        <v>628</v>
      </c>
      <c r="C892">
        <v>37.3118790455</v>
      </c>
      <c r="D892">
        <v>-7.0600154135200004</v>
      </c>
      <c r="E892">
        <v>2</v>
      </c>
      <c r="F892">
        <v>2</v>
      </c>
      <c r="G892">
        <v>2</v>
      </c>
      <c r="J892" t="s">
        <v>15</v>
      </c>
      <c r="K892">
        <v>2</v>
      </c>
      <c r="L892">
        <v>1.962</v>
      </c>
      <c r="M892">
        <v>0</v>
      </c>
      <c r="N892" t="s">
        <v>10019</v>
      </c>
      <c r="O892" t="str">
        <f>HYPERLINK("2\0\marker_782_839377.png", "Ver Imagen")</f>
        <v>Ver Imagen</v>
      </c>
      <c r="P892" t="str">
        <f>HYPERLINK("SE\A-492\A-492__418.png", "Ver Imagen")</f>
        <v>Ver Imagen</v>
      </c>
    </row>
    <row r="893" spans="1:16" x14ac:dyDescent="0.25">
      <c r="A893">
        <v>309</v>
      </c>
      <c r="B893" t="s">
        <v>630</v>
      </c>
      <c r="C893">
        <v>37.3138468155</v>
      </c>
      <c r="D893">
        <v>-7.0633057370500003</v>
      </c>
      <c r="E893">
        <v>2</v>
      </c>
      <c r="F893">
        <v>2</v>
      </c>
      <c r="G893">
        <v>2</v>
      </c>
      <c r="J893" t="s">
        <v>15</v>
      </c>
      <c r="K893">
        <v>2</v>
      </c>
      <c r="L893">
        <v>1.883</v>
      </c>
      <c r="M893">
        <v>0</v>
      </c>
      <c r="N893" t="s">
        <v>10019</v>
      </c>
      <c r="O893" t="str">
        <f>HYPERLINK("2\0\marker_563_839575.png", "Ver Imagen")</f>
        <v>Ver Imagen</v>
      </c>
      <c r="P893" t="str">
        <f>HYPERLINK("SE\A-492\A-492__434.png", "Ver Imagen")</f>
        <v>Ver Imagen</v>
      </c>
    </row>
    <row r="894" spans="1:16" x14ac:dyDescent="0.25">
      <c r="A894">
        <v>310</v>
      </c>
      <c r="B894" t="s">
        <v>632</v>
      </c>
      <c r="C894">
        <v>37.314277108799999</v>
      </c>
      <c r="D894">
        <v>-7.0641144922399999</v>
      </c>
      <c r="E894">
        <v>2</v>
      </c>
      <c r="F894">
        <v>2</v>
      </c>
      <c r="G894">
        <v>2</v>
      </c>
      <c r="J894" t="s">
        <v>15</v>
      </c>
      <c r="K894">
        <v>2</v>
      </c>
      <c r="L894">
        <v>1.833</v>
      </c>
      <c r="M894">
        <v>0</v>
      </c>
      <c r="N894" t="s">
        <v>10019</v>
      </c>
      <c r="O894" t="str">
        <f>HYPERLINK("2\0\marker_653_839629.png", "Ver Imagen")</f>
        <v>Ver Imagen</v>
      </c>
      <c r="P894" t="str">
        <f>HYPERLINK("SE\A-492\A-492__438.png", "Ver Imagen")</f>
        <v>Ver Imagen</v>
      </c>
    </row>
    <row r="895" spans="1:16" x14ac:dyDescent="0.25">
      <c r="A895">
        <v>311</v>
      </c>
      <c r="B895" t="s">
        <v>634</v>
      </c>
      <c r="C895">
        <v>37.315425402499997</v>
      </c>
      <c r="D895">
        <v>-7.0670398264200003</v>
      </c>
      <c r="E895">
        <v>2</v>
      </c>
      <c r="F895">
        <v>2</v>
      </c>
      <c r="G895">
        <v>2</v>
      </c>
      <c r="J895" t="s">
        <v>15</v>
      </c>
      <c r="K895">
        <v>2</v>
      </c>
      <c r="L895">
        <v>1.81</v>
      </c>
      <c r="M895">
        <v>0</v>
      </c>
      <c r="N895" t="s">
        <v>10019</v>
      </c>
      <c r="O895" t="str">
        <f>HYPERLINK("2\0\marker_380_839829.png", "Ver Imagen")</f>
        <v>Ver Imagen</v>
      </c>
      <c r="P895" t="str">
        <f>HYPERLINK("SE\A-492\A-492__451.png", "Ver Imagen")</f>
        <v>Ver Imagen</v>
      </c>
    </row>
    <row r="896" spans="1:16" x14ac:dyDescent="0.25">
      <c r="A896">
        <v>312</v>
      </c>
      <c r="B896" t="s">
        <v>636</v>
      </c>
      <c r="C896">
        <v>37.315654531</v>
      </c>
      <c r="D896">
        <v>-7.0680339463099999</v>
      </c>
      <c r="E896">
        <v>2</v>
      </c>
      <c r="F896">
        <v>2</v>
      </c>
      <c r="G896">
        <v>2</v>
      </c>
      <c r="J896" t="s">
        <v>15</v>
      </c>
      <c r="K896">
        <v>2</v>
      </c>
      <c r="L896">
        <v>1.9950000000000001</v>
      </c>
      <c r="M896">
        <v>0</v>
      </c>
      <c r="N896" t="s">
        <v>10019</v>
      </c>
      <c r="O896" t="str">
        <f>HYPERLINK("2\0\marker_425_839868.png", "Ver Imagen")</f>
        <v>Ver Imagen</v>
      </c>
      <c r="P896" t="str">
        <f>HYPERLINK("SE\A-492\A-492__455.png", "Ver Imagen")</f>
        <v>Ver Imagen</v>
      </c>
    </row>
    <row r="897" spans="1:16" x14ac:dyDescent="0.25">
      <c r="A897">
        <v>313</v>
      </c>
      <c r="B897" t="s">
        <v>638</v>
      </c>
      <c r="C897">
        <v>37.318565789700003</v>
      </c>
      <c r="D897">
        <v>-7.0713539447400002</v>
      </c>
      <c r="E897">
        <v>2</v>
      </c>
      <c r="F897">
        <v>2</v>
      </c>
      <c r="G897">
        <v>2</v>
      </c>
      <c r="J897" t="s">
        <v>15</v>
      </c>
      <c r="K897">
        <v>2</v>
      </c>
      <c r="L897">
        <v>2.411</v>
      </c>
      <c r="M897">
        <v>0</v>
      </c>
      <c r="N897" t="s">
        <v>10019</v>
      </c>
      <c r="O897" t="str">
        <f>HYPERLINK("2\0\marker_147_840112.png", "Ver Imagen")</f>
        <v>Ver Imagen</v>
      </c>
      <c r="P897" t="str">
        <f>HYPERLINK("SE\A-492\A-492__476.png", "Ver Imagen")</f>
        <v>Ver Imagen</v>
      </c>
    </row>
    <row r="898" spans="1:16" x14ac:dyDescent="0.25">
      <c r="A898">
        <v>314</v>
      </c>
      <c r="B898" t="s">
        <v>640</v>
      </c>
      <c r="C898">
        <v>37.267465421300003</v>
      </c>
      <c r="D898">
        <v>-6.9615047517899997</v>
      </c>
      <c r="E898">
        <v>2</v>
      </c>
      <c r="F898">
        <v>2</v>
      </c>
      <c r="G898">
        <v>2</v>
      </c>
      <c r="J898" t="s">
        <v>15</v>
      </c>
      <c r="K898">
        <v>2</v>
      </c>
      <c r="L898">
        <v>1.9410000000000001</v>
      </c>
      <c r="M898">
        <v>0</v>
      </c>
      <c r="N898" t="s">
        <v>10019</v>
      </c>
      <c r="O898" t="str">
        <f>HYPERLINK("2\0\marker_931_943740.png", "Ver Imagen")</f>
        <v>Ver Imagen</v>
      </c>
      <c r="P898" t="str">
        <f>HYPERLINK("SE\A-497\A-497__23.png", "Ver Imagen")</f>
        <v>Ver Imagen</v>
      </c>
    </row>
    <row r="899" spans="1:16" x14ac:dyDescent="0.25">
      <c r="A899">
        <v>315</v>
      </c>
      <c r="B899" t="s">
        <v>642</v>
      </c>
      <c r="C899">
        <v>37.267409993699999</v>
      </c>
      <c r="D899">
        <v>-6.9607538250700003</v>
      </c>
      <c r="E899">
        <v>2</v>
      </c>
      <c r="F899">
        <v>2</v>
      </c>
      <c r="G899">
        <v>2</v>
      </c>
      <c r="J899" t="s">
        <v>15</v>
      </c>
      <c r="K899">
        <v>2</v>
      </c>
      <c r="L899">
        <v>2.0510000000000002</v>
      </c>
      <c r="M899">
        <v>0</v>
      </c>
      <c r="N899" t="s">
        <v>10019</v>
      </c>
      <c r="O899" t="str">
        <f>HYPERLINK("2\0\marker_529_943777.png", "Ver Imagen")</f>
        <v>Ver Imagen</v>
      </c>
      <c r="P899" t="str">
        <f>HYPERLINK("SE\A-497\A-497__20.png", "Ver Imagen")</f>
        <v>Ver Imagen</v>
      </c>
    </row>
    <row r="900" spans="1:16" x14ac:dyDescent="0.25">
      <c r="A900">
        <v>316</v>
      </c>
      <c r="B900" t="s">
        <v>644</v>
      </c>
      <c r="C900">
        <v>37.267331868299998</v>
      </c>
      <c r="D900">
        <v>-6.9602660942099996</v>
      </c>
      <c r="E900">
        <v>2</v>
      </c>
      <c r="F900">
        <v>2</v>
      </c>
      <c r="G900">
        <v>2</v>
      </c>
      <c r="J900" t="s">
        <v>15</v>
      </c>
      <c r="K900">
        <v>2</v>
      </c>
      <c r="L900">
        <v>2.0950000000000002</v>
      </c>
      <c r="M900">
        <v>0</v>
      </c>
      <c r="N900" t="s">
        <v>10017</v>
      </c>
      <c r="O900" t="str">
        <f>HYPERLINK("2\0\marker_198_943797.png", "Ver Imagen")</f>
        <v>Ver Imagen</v>
      </c>
      <c r="P900" t="str">
        <f>HYPERLINK("SE\A-497\A-497__18.png", "Ver Imagen")</f>
        <v>Ver Imagen</v>
      </c>
    </row>
    <row r="901" spans="1:16" x14ac:dyDescent="0.25">
      <c r="A901">
        <v>317</v>
      </c>
      <c r="B901" t="s">
        <v>646</v>
      </c>
      <c r="C901">
        <v>37.193378527900002</v>
      </c>
      <c r="D901">
        <v>-6.9962321534800003</v>
      </c>
      <c r="E901">
        <v>2</v>
      </c>
      <c r="F901">
        <v>2</v>
      </c>
      <c r="G901">
        <v>2</v>
      </c>
      <c r="J901" t="s">
        <v>15</v>
      </c>
      <c r="K901">
        <v>2</v>
      </c>
      <c r="L901">
        <v>2.4129999999999998</v>
      </c>
      <c r="M901">
        <v>0</v>
      </c>
      <c r="N901" t="s">
        <v>10018</v>
      </c>
      <c r="O901" t="str">
        <f>HYPERLINK("2\0\marker_369_945433.png", "Ver Imagen")</f>
        <v>Ver Imagen</v>
      </c>
      <c r="P901" t="str">
        <f>HYPERLINK("SE\A-5050\A-5050__147.png", "Ver Imagen")</f>
        <v>Ver Imagen</v>
      </c>
    </row>
    <row r="902" spans="1:16" x14ac:dyDescent="0.25">
      <c r="A902">
        <v>318</v>
      </c>
      <c r="B902" t="s">
        <v>648</v>
      </c>
      <c r="C902">
        <v>37.193564079600002</v>
      </c>
      <c r="D902">
        <v>-6.9966571712699999</v>
      </c>
      <c r="E902">
        <v>2</v>
      </c>
      <c r="F902">
        <v>2</v>
      </c>
      <c r="G902">
        <v>2</v>
      </c>
      <c r="J902" t="s">
        <v>15</v>
      </c>
      <c r="K902">
        <v>2</v>
      </c>
      <c r="L902">
        <v>1.6859999999999999</v>
      </c>
      <c r="M902">
        <v>0</v>
      </c>
      <c r="N902" t="s">
        <v>10019</v>
      </c>
      <c r="O902" t="str">
        <f>HYPERLINK("2\0\marker_340_945513.png", "Ver Imagen")</f>
        <v>Ver Imagen</v>
      </c>
      <c r="P902" t="str">
        <f>HYPERLINK("SE\A-5050\A-5050__145.png", "Ver Imagen")</f>
        <v>Ver Imagen</v>
      </c>
    </row>
    <row r="903" spans="1:16" x14ac:dyDescent="0.25">
      <c r="A903">
        <v>319</v>
      </c>
      <c r="B903" t="s">
        <v>650</v>
      </c>
      <c r="C903">
        <v>37.194048099</v>
      </c>
      <c r="D903">
        <v>-6.9978255433200003</v>
      </c>
      <c r="E903">
        <v>2</v>
      </c>
      <c r="F903">
        <v>2</v>
      </c>
      <c r="G903">
        <v>2</v>
      </c>
      <c r="J903" t="s">
        <v>15</v>
      </c>
      <c r="K903">
        <v>2</v>
      </c>
      <c r="L903">
        <v>1.9630000000000001</v>
      </c>
      <c r="M903">
        <v>0</v>
      </c>
      <c r="N903" t="s">
        <v>10019</v>
      </c>
      <c r="O903" t="str">
        <f>HYPERLINK("2\0\marker_381_945839.png", "Ver Imagen")</f>
        <v>Ver Imagen</v>
      </c>
      <c r="P903" t="str">
        <f>HYPERLINK("SE\A-5050\A-5050__140.png", "Ver Imagen")</f>
        <v>Ver Imagen</v>
      </c>
    </row>
    <row r="904" spans="1:16" x14ac:dyDescent="0.25">
      <c r="A904">
        <v>320</v>
      </c>
      <c r="B904" t="s">
        <v>652</v>
      </c>
      <c r="C904">
        <v>37.194143797099997</v>
      </c>
      <c r="D904">
        <v>-6.9980576966100001</v>
      </c>
      <c r="E904">
        <v>2</v>
      </c>
      <c r="F904">
        <v>2</v>
      </c>
      <c r="G904">
        <v>2</v>
      </c>
      <c r="J904" t="s">
        <v>15</v>
      </c>
      <c r="K904">
        <v>2</v>
      </c>
      <c r="L904">
        <v>1.641</v>
      </c>
      <c r="M904">
        <v>0</v>
      </c>
      <c r="N904" t="s">
        <v>10019</v>
      </c>
      <c r="O904" t="str">
        <f>HYPERLINK("2\0\marker_602_945848.png", "Ver Imagen")</f>
        <v>Ver Imagen</v>
      </c>
      <c r="P904" t="str">
        <f>HYPERLINK("SE\A-5050\A-5050__139.png", "Ver Imagen")</f>
        <v>Ver Imagen</v>
      </c>
    </row>
    <row r="905" spans="1:16" x14ac:dyDescent="0.25">
      <c r="A905">
        <v>321</v>
      </c>
      <c r="B905" t="s">
        <v>654</v>
      </c>
      <c r="C905">
        <v>37.194330899999997</v>
      </c>
      <c r="D905">
        <v>-6.9985077850700002</v>
      </c>
      <c r="E905">
        <v>2</v>
      </c>
      <c r="F905">
        <v>2</v>
      </c>
      <c r="G905">
        <v>2</v>
      </c>
      <c r="J905" t="s">
        <v>15</v>
      </c>
      <c r="K905">
        <v>2</v>
      </c>
      <c r="L905">
        <v>1.772</v>
      </c>
      <c r="M905">
        <v>0</v>
      </c>
      <c r="N905" t="s">
        <v>10019</v>
      </c>
      <c r="O905" t="str">
        <f>HYPERLINK("2\0\marker_437_945873.png", "Ver Imagen")</f>
        <v>Ver Imagen</v>
      </c>
      <c r="P905" t="str">
        <f>HYPERLINK("SE\A-5050\A-5050__137.png", "Ver Imagen")</f>
        <v>Ver Imagen</v>
      </c>
    </row>
    <row r="906" spans="1:16" x14ac:dyDescent="0.25">
      <c r="A906">
        <v>322</v>
      </c>
      <c r="B906" t="s">
        <v>656</v>
      </c>
      <c r="C906">
        <v>37.194425192300002</v>
      </c>
      <c r="D906">
        <v>-6.9987358692099999</v>
      </c>
      <c r="E906">
        <v>2</v>
      </c>
      <c r="F906">
        <v>2</v>
      </c>
      <c r="G906">
        <v>2</v>
      </c>
      <c r="J906" t="s">
        <v>15</v>
      </c>
      <c r="K906">
        <v>2</v>
      </c>
      <c r="L906">
        <v>2.0939999999999999</v>
      </c>
      <c r="M906">
        <v>0</v>
      </c>
      <c r="N906" t="s">
        <v>10018</v>
      </c>
      <c r="O906" t="str">
        <f>HYPERLINK("2\0\marker_136_945885.png", "Ver Imagen")</f>
        <v>Ver Imagen</v>
      </c>
      <c r="P906" t="str">
        <f>HYPERLINK("SE\A-5050\A-5050__136.png", "Ver Imagen")</f>
        <v>Ver Imagen</v>
      </c>
    </row>
    <row r="907" spans="1:16" x14ac:dyDescent="0.25">
      <c r="A907">
        <v>325</v>
      </c>
      <c r="B907" t="s">
        <v>662</v>
      </c>
      <c r="C907">
        <v>37.195436385599997</v>
      </c>
      <c r="D907">
        <v>-7.0012071573599997</v>
      </c>
      <c r="E907">
        <v>2</v>
      </c>
      <c r="F907">
        <v>2</v>
      </c>
      <c r="G907">
        <v>2</v>
      </c>
      <c r="J907" t="s">
        <v>15</v>
      </c>
      <c r="K907">
        <v>2</v>
      </c>
      <c r="L907">
        <v>1.792</v>
      </c>
      <c r="M907">
        <v>0</v>
      </c>
      <c r="N907" t="s">
        <v>10019</v>
      </c>
      <c r="O907" t="str">
        <f>HYPERLINK("2\0\marker_976_946364.png", "Ver Imagen")</f>
        <v>Ver Imagen</v>
      </c>
      <c r="P907" t="str">
        <f>HYPERLINK("SE\A-5050\A-5050__125.png", "Ver Imagen")</f>
        <v>Ver Imagen</v>
      </c>
    </row>
    <row r="908" spans="1:16" x14ac:dyDescent="0.25">
      <c r="A908">
        <v>326</v>
      </c>
      <c r="B908" t="s">
        <v>664</v>
      </c>
      <c r="C908">
        <v>37.202033041</v>
      </c>
      <c r="D908">
        <v>-7.0138701087999999</v>
      </c>
      <c r="E908">
        <v>2</v>
      </c>
      <c r="F908">
        <v>2</v>
      </c>
      <c r="G908">
        <v>2</v>
      </c>
      <c r="J908" t="s">
        <v>15</v>
      </c>
      <c r="K908">
        <v>2</v>
      </c>
      <c r="L908">
        <v>1.9379999999999999</v>
      </c>
      <c r="M908">
        <v>0</v>
      </c>
      <c r="N908" t="s">
        <v>10019</v>
      </c>
      <c r="O908" t="str">
        <f>HYPERLINK("2\0\marker_656_948975.png", "Ver Imagen")</f>
        <v>Ver Imagen</v>
      </c>
      <c r="P908" t="str">
        <f>HYPERLINK("SE\A-5050\A-5050__65.png", "Ver Imagen")</f>
        <v>Ver Imagen</v>
      </c>
    </row>
    <row r="909" spans="1:16" x14ac:dyDescent="0.25">
      <c r="A909">
        <v>327</v>
      </c>
      <c r="B909" t="s">
        <v>666</v>
      </c>
      <c r="C909">
        <v>37.2042073625</v>
      </c>
      <c r="D909">
        <v>-7.0172127654300001</v>
      </c>
      <c r="E909">
        <v>2</v>
      </c>
      <c r="F909">
        <v>2</v>
      </c>
      <c r="G909">
        <v>2</v>
      </c>
      <c r="J909" t="s">
        <v>15</v>
      </c>
      <c r="K909">
        <v>2</v>
      </c>
      <c r="L909">
        <v>1.9490000000000001</v>
      </c>
      <c r="M909">
        <v>0</v>
      </c>
      <c r="N909" t="s">
        <v>10019</v>
      </c>
      <c r="O909" t="str">
        <f>HYPERLINK("2\0\marker_528_949172.png", "Ver Imagen")</f>
        <v>Ver Imagen</v>
      </c>
      <c r="P909" t="str">
        <f>HYPERLINK("SE\A-5050\A-5050__48.png", "Ver Imagen")</f>
        <v>Ver Imagen</v>
      </c>
    </row>
    <row r="910" spans="1:16" x14ac:dyDescent="0.25">
      <c r="A910">
        <v>328</v>
      </c>
      <c r="B910" t="s">
        <v>668</v>
      </c>
      <c r="C910">
        <v>37.208015745399997</v>
      </c>
      <c r="D910">
        <v>-7.0227519411100001</v>
      </c>
      <c r="E910">
        <v>2</v>
      </c>
      <c r="F910">
        <v>2</v>
      </c>
      <c r="G910">
        <v>2</v>
      </c>
      <c r="J910" t="s">
        <v>15</v>
      </c>
      <c r="K910">
        <v>2</v>
      </c>
      <c r="L910">
        <v>1.9350000000000001</v>
      </c>
      <c r="M910">
        <v>0</v>
      </c>
      <c r="N910" t="s">
        <v>10019</v>
      </c>
      <c r="O910" t="str">
        <f>HYPERLINK("2\0\marker_778_949468.png", "Ver Imagen")</f>
        <v>Ver Imagen</v>
      </c>
      <c r="P910" t="str">
        <f>HYPERLINK("SE\A-5050\A-5050__19.png", "Ver Imagen")</f>
        <v>Ver Imagen</v>
      </c>
    </row>
    <row r="911" spans="1:16" x14ac:dyDescent="0.25">
      <c r="A911">
        <v>329</v>
      </c>
      <c r="B911" t="s">
        <v>670</v>
      </c>
      <c r="C911">
        <v>37.208117621100001</v>
      </c>
      <c r="D911">
        <v>-7.0229642924900002</v>
      </c>
      <c r="E911">
        <v>2</v>
      </c>
      <c r="F911">
        <v>2</v>
      </c>
      <c r="G911">
        <v>2</v>
      </c>
      <c r="J911" t="s">
        <v>15</v>
      </c>
      <c r="K911">
        <v>2</v>
      </c>
      <c r="L911">
        <v>2.1259999999999999</v>
      </c>
      <c r="M911">
        <v>0</v>
      </c>
      <c r="N911" t="s">
        <v>10019</v>
      </c>
      <c r="O911" t="str">
        <f>HYPERLINK("2\0\marker_397_949514.png", "Ver Imagen")</f>
        <v>Ver Imagen</v>
      </c>
      <c r="P911" t="str">
        <f>HYPERLINK("SE\A-5050\A-5050__18.png", "Ver Imagen")</f>
        <v>Ver Imagen</v>
      </c>
    </row>
    <row r="912" spans="1:16" x14ac:dyDescent="0.25">
      <c r="A912">
        <v>330</v>
      </c>
      <c r="B912" t="s">
        <v>672</v>
      </c>
      <c r="C912">
        <v>37.217989247600002</v>
      </c>
      <c r="D912">
        <v>-7.1222618618700002</v>
      </c>
      <c r="E912">
        <v>2</v>
      </c>
      <c r="F912">
        <v>2</v>
      </c>
      <c r="G912">
        <v>2</v>
      </c>
      <c r="J912" t="s">
        <v>15</v>
      </c>
      <c r="K912">
        <v>2</v>
      </c>
      <c r="L912">
        <v>2.0369999999999999</v>
      </c>
      <c r="M912">
        <v>0</v>
      </c>
      <c r="N912" t="s">
        <v>10019</v>
      </c>
      <c r="O912" t="str">
        <f>HYPERLINK("2\0\marker_917_950157.png", "Ver Imagen")</f>
        <v>Ver Imagen</v>
      </c>
      <c r="P912" t="str">
        <f>HYPERLINK("SO\A-5052\A-5052__15.png", "Ver Imagen")</f>
        <v>Ver Imagen</v>
      </c>
    </row>
    <row r="913" spans="1:16" x14ac:dyDescent="0.25">
      <c r="A913">
        <v>331</v>
      </c>
      <c r="B913" t="s">
        <v>674</v>
      </c>
      <c r="C913">
        <v>37.217897139900003</v>
      </c>
      <c r="D913">
        <v>-7.1217857976900003</v>
      </c>
      <c r="E913">
        <v>2</v>
      </c>
      <c r="F913">
        <v>2</v>
      </c>
      <c r="G913">
        <v>2</v>
      </c>
      <c r="J913" t="s">
        <v>15</v>
      </c>
      <c r="K913">
        <v>2</v>
      </c>
      <c r="L913">
        <v>1.83</v>
      </c>
      <c r="M913">
        <v>0</v>
      </c>
      <c r="N913" t="s">
        <v>10019</v>
      </c>
      <c r="O913" t="str">
        <f>HYPERLINK("2\0\marker_259_950185.png", "Ver Imagen")</f>
        <v>Ver Imagen</v>
      </c>
      <c r="P913" t="str">
        <f>HYPERLINK("SO\A-5052\A-5052__17.png", "Ver Imagen")</f>
        <v>Ver Imagen</v>
      </c>
    </row>
    <row r="914" spans="1:16" x14ac:dyDescent="0.25">
      <c r="A914">
        <v>332</v>
      </c>
      <c r="B914" t="s">
        <v>676</v>
      </c>
      <c r="C914">
        <v>37.218131153900003</v>
      </c>
      <c r="D914">
        <v>-7.1190018253299998</v>
      </c>
      <c r="E914">
        <v>2</v>
      </c>
      <c r="F914">
        <v>2</v>
      </c>
      <c r="G914">
        <v>2</v>
      </c>
      <c r="J914" t="s">
        <v>15</v>
      </c>
      <c r="K914">
        <v>2</v>
      </c>
      <c r="L914">
        <v>2.254</v>
      </c>
      <c r="M914">
        <v>0</v>
      </c>
      <c r="N914" t="s">
        <v>10018</v>
      </c>
      <c r="O914" t="str">
        <f>HYPERLINK("2\0\marker_576_951575.png", "Ver Imagen")</f>
        <v>Ver Imagen</v>
      </c>
      <c r="P914" t="str">
        <f>HYPERLINK("SO\A-5052\A-5052__28.png", "Ver Imagen")</f>
        <v>Ver Imagen</v>
      </c>
    </row>
    <row r="915" spans="1:16" x14ac:dyDescent="0.25">
      <c r="A915">
        <v>333</v>
      </c>
      <c r="B915" t="s">
        <v>678</v>
      </c>
      <c r="C915">
        <v>37.217515696900001</v>
      </c>
      <c r="D915">
        <v>-7.1140023928999998</v>
      </c>
      <c r="E915">
        <v>2</v>
      </c>
      <c r="F915">
        <v>2</v>
      </c>
      <c r="G915">
        <v>2</v>
      </c>
      <c r="J915" t="s">
        <v>15</v>
      </c>
      <c r="K915">
        <v>2</v>
      </c>
      <c r="L915">
        <v>2.476</v>
      </c>
      <c r="M915">
        <v>0</v>
      </c>
      <c r="N915" t="s">
        <v>10018</v>
      </c>
      <c r="O915" t="str">
        <f>HYPERLINK("2\0\marker_602_956903.png", "Ver Imagen")</f>
        <v>Ver Imagen</v>
      </c>
      <c r="P915" t="str">
        <f>HYPERLINK("SO\A-5052\A-5052__48.png", "Ver Imagen")</f>
        <v>Ver Imagen</v>
      </c>
    </row>
    <row r="916" spans="1:16" x14ac:dyDescent="0.25">
      <c r="A916">
        <v>334</v>
      </c>
      <c r="B916" t="s">
        <v>680</v>
      </c>
      <c r="C916">
        <v>37.217503566200001</v>
      </c>
      <c r="D916">
        <v>-7.1137819678599996</v>
      </c>
      <c r="E916">
        <v>2</v>
      </c>
      <c r="F916">
        <v>2</v>
      </c>
      <c r="G916">
        <v>2</v>
      </c>
      <c r="J916" t="s">
        <v>15</v>
      </c>
      <c r="K916">
        <v>2</v>
      </c>
      <c r="L916">
        <v>2.052</v>
      </c>
      <c r="M916">
        <v>0</v>
      </c>
      <c r="N916" t="s">
        <v>10019</v>
      </c>
      <c r="O916" t="str">
        <f>HYPERLINK("2\0\marker_253_956913.png", "Ver Imagen")</f>
        <v>Ver Imagen</v>
      </c>
      <c r="P916" t="str">
        <f>HYPERLINK("SO\A-5052\A-5052__49.png", "Ver Imagen")</f>
        <v>Ver Imagen</v>
      </c>
    </row>
    <row r="917" spans="1:16" x14ac:dyDescent="0.25">
      <c r="A917">
        <v>335</v>
      </c>
      <c r="B917" t="s">
        <v>682</v>
      </c>
      <c r="C917">
        <v>37.217502367999998</v>
      </c>
      <c r="D917">
        <v>-7.1135175573999998</v>
      </c>
      <c r="E917">
        <v>2</v>
      </c>
      <c r="F917">
        <v>2</v>
      </c>
      <c r="G917">
        <v>2</v>
      </c>
      <c r="J917" t="s">
        <v>15</v>
      </c>
      <c r="K917">
        <v>2</v>
      </c>
      <c r="L917">
        <v>1.921</v>
      </c>
      <c r="M917">
        <v>0</v>
      </c>
      <c r="N917" t="s">
        <v>10019</v>
      </c>
      <c r="O917" t="str">
        <f>HYPERLINK("2\0\marker_412_956923.png", "Ver Imagen")</f>
        <v>Ver Imagen</v>
      </c>
      <c r="P917" t="str">
        <f>HYPERLINK("SO\A-5052\A-5052__50.png", "Ver Imagen")</f>
        <v>Ver Imagen</v>
      </c>
    </row>
    <row r="918" spans="1:16" x14ac:dyDescent="0.25">
      <c r="A918">
        <v>336</v>
      </c>
      <c r="B918" t="s">
        <v>684</v>
      </c>
      <c r="C918">
        <v>37.217510963999999</v>
      </c>
      <c r="D918">
        <v>-7.1132375029399997</v>
      </c>
      <c r="E918">
        <v>2</v>
      </c>
      <c r="F918">
        <v>2</v>
      </c>
      <c r="G918">
        <v>2</v>
      </c>
      <c r="J918" t="s">
        <v>15</v>
      </c>
      <c r="K918">
        <v>2</v>
      </c>
      <c r="L918">
        <v>2.0510000000000002</v>
      </c>
      <c r="M918">
        <v>0</v>
      </c>
      <c r="N918" t="s">
        <v>10019</v>
      </c>
      <c r="O918" t="str">
        <f>HYPERLINK("2\0\marker_196_956934.png", "Ver Imagen")</f>
        <v>Ver Imagen</v>
      </c>
      <c r="P918" t="str">
        <f>HYPERLINK("SO\A-5052\A-5052__51.png", "Ver Imagen")</f>
        <v>Ver Imagen</v>
      </c>
    </row>
    <row r="919" spans="1:16" x14ac:dyDescent="0.25">
      <c r="A919">
        <v>337</v>
      </c>
      <c r="B919" t="s">
        <v>686</v>
      </c>
      <c r="C919">
        <v>37.217523876500003</v>
      </c>
      <c r="D919">
        <v>-7.1129795733699996</v>
      </c>
      <c r="E919">
        <v>2</v>
      </c>
      <c r="F919">
        <v>2</v>
      </c>
      <c r="G919">
        <v>2</v>
      </c>
      <c r="J919" t="s">
        <v>15</v>
      </c>
      <c r="K919">
        <v>2</v>
      </c>
      <c r="L919">
        <v>1.82</v>
      </c>
      <c r="M919">
        <v>0</v>
      </c>
      <c r="N919" t="s">
        <v>10019</v>
      </c>
      <c r="O919" t="str">
        <f>HYPERLINK("2\0\marker_137_956945.png", "Ver Imagen")</f>
        <v>Ver Imagen</v>
      </c>
      <c r="P919" t="str">
        <f>HYPERLINK("SO\A-5052\A-5052__52.png", "Ver Imagen")</f>
        <v>Ver Imagen</v>
      </c>
    </row>
    <row r="920" spans="1:16" x14ac:dyDescent="0.25">
      <c r="A920">
        <v>338</v>
      </c>
      <c r="B920" t="s">
        <v>688</v>
      </c>
      <c r="C920">
        <v>37.217549157400001</v>
      </c>
      <c r="D920">
        <v>-7.1124828721300002</v>
      </c>
      <c r="E920">
        <v>2</v>
      </c>
      <c r="F920">
        <v>2</v>
      </c>
      <c r="G920">
        <v>2</v>
      </c>
      <c r="J920" t="s">
        <v>15</v>
      </c>
      <c r="K920">
        <v>2</v>
      </c>
      <c r="L920">
        <v>2.1539999999999999</v>
      </c>
      <c r="M920">
        <v>0</v>
      </c>
      <c r="N920" t="s">
        <v>10017</v>
      </c>
      <c r="O920" t="str">
        <f>HYPERLINK("2\0\marker_266_956969.png", "Ver Imagen")</f>
        <v>Ver Imagen</v>
      </c>
      <c r="P920" t="str">
        <f>HYPERLINK("SO\A-5052\A-5052__54.png", "Ver Imagen")</f>
        <v>Ver Imagen</v>
      </c>
    </row>
    <row r="921" spans="1:16" x14ac:dyDescent="0.25">
      <c r="A921">
        <v>339</v>
      </c>
      <c r="B921" t="s">
        <v>690</v>
      </c>
      <c r="C921">
        <v>37.217593794899997</v>
      </c>
      <c r="D921">
        <v>-7.1114576013499997</v>
      </c>
      <c r="E921">
        <v>2</v>
      </c>
      <c r="F921">
        <v>2</v>
      </c>
      <c r="G921">
        <v>2</v>
      </c>
      <c r="J921" t="s">
        <v>15</v>
      </c>
      <c r="K921">
        <v>2</v>
      </c>
      <c r="L921">
        <v>1.913</v>
      </c>
      <c r="M921">
        <v>0</v>
      </c>
      <c r="N921" t="s">
        <v>10019</v>
      </c>
      <c r="O921" t="str">
        <f>HYPERLINK("2\0\marker_368_957017.png", "Ver Imagen")</f>
        <v>Ver Imagen</v>
      </c>
      <c r="P921" t="str">
        <f>HYPERLINK("SO\A-5052\A-5052__58.png", "Ver Imagen")</f>
        <v>Ver Imagen</v>
      </c>
    </row>
    <row r="922" spans="1:16" x14ac:dyDescent="0.25">
      <c r="A922">
        <v>341</v>
      </c>
      <c r="B922" t="s">
        <v>694</v>
      </c>
      <c r="C922">
        <v>37.217302266600001</v>
      </c>
      <c r="D922">
        <v>-7.1069414742900001</v>
      </c>
      <c r="E922">
        <v>2</v>
      </c>
      <c r="F922">
        <v>2</v>
      </c>
      <c r="G922">
        <v>2</v>
      </c>
      <c r="J922" t="s">
        <v>15</v>
      </c>
      <c r="K922">
        <v>2</v>
      </c>
      <c r="L922">
        <v>1.986</v>
      </c>
      <c r="M922">
        <v>0</v>
      </c>
      <c r="N922" t="s">
        <v>10019</v>
      </c>
      <c r="O922" t="str">
        <f>HYPERLINK("2\0\marker_243_957244.png", "Ver Imagen")</f>
        <v>Ver Imagen</v>
      </c>
      <c r="P922" t="str">
        <f>HYPERLINK("SO\A-5052\A-5052__76.png", "Ver Imagen")</f>
        <v>Ver Imagen</v>
      </c>
    </row>
    <row r="923" spans="1:16" x14ac:dyDescent="0.25">
      <c r="A923">
        <v>342</v>
      </c>
      <c r="B923" t="s">
        <v>696</v>
      </c>
      <c r="C923">
        <v>37.217104309600003</v>
      </c>
      <c r="D923">
        <v>-7.1054224055999997</v>
      </c>
      <c r="E923">
        <v>2</v>
      </c>
      <c r="F923">
        <v>2</v>
      </c>
      <c r="G923">
        <v>2</v>
      </c>
      <c r="J923" t="s">
        <v>15</v>
      </c>
      <c r="K923">
        <v>2</v>
      </c>
      <c r="L923">
        <v>2.0049999999999999</v>
      </c>
      <c r="M923">
        <v>0</v>
      </c>
      <c r="N923" t="s">
        <v>10019</v>
      </c>
      <c r="O923" t="str">
        <f>HYPERLINK("2\0\marker_917_957310.png", "Ver Imagen")</f>
        <v>Ver Imagen</v>
      </c>
      <c r="P923" t="str">
        <f>HYPERLINK("SO\A-5052\A-5052__82.png", "Ver Imagen")</f>
        <v>Ver Imagen</v>
      </c>
    </row>
    <row r="924" spans="1:16" x14ac:dyDescent="0.25">
      <c r="A924">
        <v>343</v>
      </c>
      <c r="B924" t="s">
        <v>698</v>
      </c>
      <c r="C924">
        <v>37.217082793800003</v>
      </c>
      <c r="D924">
        <v>-7.1052083607899998</v>
      </c>
      <c r="E924">
        <v>2</v>
      </c>
      <c r="F924">
        <v>2</v>
      </c>
      <c r="G924">
        <v>2</v>
      </c>
      <c r="J924" t="s">
        <v>15</v>
      </c>
      <c r="K924">
        <v>2</v>
      </c>
      <c r="L924">
        <v>1.964</v>
      </c>
      <c r="M924">
        <v>0</v>
      </c>
      <c r="N924" t="s">
        <v>10019</v>
      </c>
      <c r="O924" t="str">
        <f>HYPERLINK("2\0\marker_329_957322.png", "Ver Imagen")</f>
        <v>Ver Imagen</v>
      </c>
      <c r="P924" t="str">
        <f>HYPERLINK("SO\A-5052\A-5052__83.png", "Ver Imagen")</f>
        <v>Ver Imagen</v>
      </c>
    </row>
    <row r="925" spans="1:16" x14ac:dyDescent="0.25">
      <c r="A925">
        <v>344</v>
      </c>
      <c r="B925" t="s">
        <v>700</v>
      </c>
      <c r="C925">
        <v>37.216791114800003</v>
      </c>
      <c r="D925">
        <v>-7.1014362879800004</v>
      </c>
      <c r="E925">
        <v>2</v>
      </c>
      <c r="F925">
        <v>2</v>
      </c>
      <c r="G925">
        <v>2</v>
      </c>
      <c r="J925" t="s">
        <v>15</v>
      </c>
      <c r="K925">
        <v>2</v>
      </c>
      <c r="L925">
        <v>1.7969999999999999</v>
      </c>
      <c r="M925">
        <v>0</v>
      </c>
      <c r="N925" t="s">
        <v>10017</v>
      </c>
      <c r="O925" t="str">
        <f>HYPERLINK("2\0\marker_492_957635.png", "Ver Imagen")</f>
        <v>Ver Imagen</v>
      </c>
      <c r="P925" t="str">
        <f>HYPERLINK("SE\A-5052\A-5052__98.png", "Ver Imagen")</f>
        <v>Ver Imagen</v>
      </c>
    </row>
    <row r="926" spans="1:16" x14ac:dyDescent="0.25">
      <c r="A926">
        <v>344</v>
      </c>
      <c r="B926" t="s">
        <v>700</v>
      </c>
      <c r="C926">
        <v>37.216791114800003</v>
      </c>
      <c r="D926">
        <v>-7.1014362879800004</v>
      </c>
      <c r="E926">
        <v>2</v>
      </c>
      <c r="F926">
        <v>2</v>
      </c>
      <c r="G926">
        <v>2</v>
      </c>
      <c r="J926" t="s">
        <v>15</v>
      </c>
      <c r="K926">
        <v>2</v>
      </c>
      <c r="L926">
        <v>2.0350000000000001</v>
      </c>
      <c r="M926">
        <v>0</v>
      </c>
      <c r="N926" t="s">
        <v>10017</v>
      </c>
      <c r="O926" t="str">
        <f>HYPERLINK("2\0\marker_492_957635.png", "Ver Imagen")</f>
        <v>Ver Imagen</v>
      </c>
      <c r="P926" t="str">
        <f>HYPERLINK("SO\A-5052\A-5052__98.png", "Ver Imagen")</f>
        <v>Ver Imagen</v>
      </c>
    </row>
    <row r="927" spans="1:16" x14ac:dyDescent="0.25">
      <c r="A927">
        <v>345</v>
      </c>
      <c r="B927" t="s">
        <v>702</v>
      </c>
      <c r="C927">
        <v>37.216975080099999</v>
      </c>
      <c r="D927">
        <v>-7.1004355093999996</v>
      </c>
      <c r="E927">
        <v>2</v>
      </c>
      <c r="F927">
        <v>2</v>
      </c>
      <c r="G927">
        <v>2</v>
      </c>
      <c r="J927" t="s">
        <v>15</v>
      </c>
      <c r="K927">
        <v>2</v>
      </c>
      <c r="L927">
        <v>1.998</v>
      </c>
      <c r="M927">
        <v>0</v>
      </c>
      <c r="N927" t="s">
        <v>10019</v>
      </c>
      <c r="O927" t="str">
        <f>HYPERLINK("2\0\marker_801_957690.png", "Ver Imagen")</f>
        <v>Ver Imagen</v>
      </c>
      <c r="P927" t="str">
        <f>HYPERLINK("SE\A-5052\A-5052__102.png", "Ver Imagen")</f>
        <v>Ver Imagen</v>
      </c>
    </row>
    <row r="928" spans="1:16" x14ac:dyDescent="0.25">
      <c r="A928">
        <v>345</v>
      </c>
      <c r="B928" t="s">
        <v>702</v>
      </c>
      <c r="C928">
        <v>37.216975080099999</v>
      </c>
      <c r="D928">
        <v>-7.1004355093999996</v>
      </c>
      <c r="E928">
        <v>2</v>
      </c>
      <c r="F928">
        <v>2</v>
      </c>
      <c r="G928">
        <v>2</v>
      </c>
      <c r="J928" t="s">
        <v>15</v>
      </c>
      <c r="K928">
        <v>2</v>
      </c>
      <c r="L928">
        <v>1.944</v>
      </c>
      <c r="M928">
        <v>0</v>
      </c>
      <c r="N928" t="s">
        <v>10019</v>
      </c>
      <c r="O928" t="str">
        <f>HYPERLINK("2\0\marker_801_957690.png", "Ver Imagen")</f>
        <v>Ver Imagen</v>
      </c>
      <c r="P928" t="str">
        <f>HYPERLINK("SO\A-5052\A-5052__102.png", "Ver Imagen")</f>
        <v>Ver Imagen</v>
      </c>
    </row>
    <row r="929" spans="1:16" x14ac:dyDescent="0.25">
      <c r="A929">
        <v>346</v>
      </c>
      <c r="B929" t="s">
        <v>704</v>
      </c>
      <c r="C929">
        <v>37.217046036799999</v>
      </c>
      <c r="D929">
        <v>-7.0996871103899997</v>
      </c>
      <c r="E929">
        <v>2</v>
      </c>
      <c r="F929">
        <v>2</v>
      </c>
      <c r="G929">
        <v>2</v>
      </c>
      <c r="J929" t="s">
        <v>15</v>
      </c>
      <c r="K929">
        <v>2</v>
      </c>
      <c r="L929">
        <v>2.2320000000000002</v>
      </c>
      <c r="M929">
        <v>0</v>
      </c>
      <c r="N929" t="s">
        <v>10019</v>
      </c>
      <c r="O929" t="str">
        <f>HYPERLINK("2\0\marker_277_957733.png", "Ver Imagen")</f>
        <v>Ver Imagen</v>
      </c>
      <c r="P929" t="str">
        <f>HYPERLINK("SE\A-5052\A-5052__105.png", "Ver Imagen")</f>
        <v>Ver Imagen</v>
      </c>
    </row>
    <row r="930" spans="1:16" x14ac:dyDescent="0.25">
      <c r="A930">
        <v>346</v>
      </c>
      <c r="B930" t="s">
        <v>704</v>
      </c>
      <c r="C930">
        <v>37.217046036799999</v>
      </c>
      <c r="D930">
        <v>-7.0996871103899997</v>
      </c>
      <c r="E930">
        <v>2</v>
      </c>
      <c r="F930">
        <v>2</v>
      </c>
      <c r="G930">
        <v>2</v>
      </c>
      <c r="J930" t="s">
        <v>15</v>
      </c>
      <c r="K930">
        <v>2</v>
      </c>
      <c r="L930">
        <v>2.0699999999999998</v>
      </c>
      <c r="M930">
        <v>0</v>
      </c>
      <c r="N930" t="s">
        <v>10019</v>
      </c>
      <c r="O930" t="str">
        <f>HYPERLINK("2\0\marker_277_957733.png", "Ver Imagen")</f>
        <v>Ver Imagen</v>
      </c>
      <c r="P930" t="str">
        <f>HYPERLINK("SO\A-5052\A-5052__105.png", "Ver Imagen")</f>
        <v>Ver Imagen</v>
      </c>
    </row>
    <row r="931" spans="1:16" x14ac:dyDescent="0.25">
      <c r="A931">
        <v>347</v>
      </c>
      <c r="B931" t="s">
        <v>706</v>
      </c>
      <c r="C931">
        <v>37.216883395099998</v>
      </c>
      <c r="D931">
        <v>-7.0979444303200001</v>
      </c>
      <c r="E931">
        <v>2</v>
      </c>
      <c r="F931">
        <v>2</v>
      </c>
      <c r="G931">
        <v>2</v>
      </c>
      <c r="J931" t="s">
        <v>15</v>
      </c>
      <c r="K931">
        <v>2</v>
      </c>
      <c r="L931">
        <v>1.881</v>
      </c>
      <c r="M931">
        <v>0</v>
      </c>
      <c r="N931" t="s">
        <v>10018</v>
      </c>
      <c r="O931" t="str">
        <f>HYPERLINK("2\0\marker_251_957819.png", "Ver Imagen")</f>
        <v>Ver Imagen</v>
      </c>
      <c r="P931" t="str">
        <f>HYPERLINK("SE\A-5052\A-5052__112.png", "Ver Imagen")</f>
        <v>Ver Imagen</v>
      </c>
    </row>
    <row r="932" spans="1:16" x14ac:dyDescent="0.25">
      <c r="A932">
        <v>347</v>
      </c>
      <c r="B932" t="s">
        <v>706</v>
      </c>
      <c r="C932">
        <v>37.216883395099998</v>
      </c>
      <c r="D932">
        <v>-7.0979444303200001</v>
      </c>
      <c r="E932">
        <v>2</v>
      </c>
      <c r="F932">
        <v>2</v>
      </c>
      <c r="G932">
        <v>2</v>
      </c>
      <c r="J932" t="s">
        <v>15</v>
      </c>
      <c r="K932">
        <v>2</v>
      </c>
      <c r="L932">
        <v>2.113</v>
      </c>
      <c r="M932">
        <v>0</v>
      </c>
      <c r="N932" t="s">
        <v>10018</v>
      </c>
      <c r="O932" t="str">
        <f>HYPERLINK("2\0\marker_251_957819.png", "Ver Imagen")</f>
        <v>Ver Imagen</v>
      </c>
      <c r="P932" t="str">
        <f>HYPERLINK("SO\A-5052\A-5052__112.png", "Ver Imagen")</f>
        <v>Ver Imagen</v>
      </c>
    </row>
    <row r="933" spans="1:16" x14ac:dyDescent="0.25">
      <c r="A933">
        <v>348</v>
      </c>
      <c r="B933" t="s">
        <v>708</v>
      </c>
      <c r="C933">
        <v>37.216710483999996</v>
      </c>
      <c r="D933">
        <v>-7.0961581775000004</v>
      </c>
      <c r="E933">
        <v>2</v>
      </c>
      <c r="F933">
        <v>2</v>
      </c>
      <c r="G933">
        <v>2</v>
      </c>
      <c r="J933" t="s">
        <v>15</v>
      </c>
      <c r="K933">
        <v>2</v>
      </c>
      <c r="L933">
        <v>1.9359999999999999</v>
      </c>
      <c r="M933">
        <v>0</v>
      </c>
      <c r="N933" t="s">
        <v>10019</v>
      </c>
      <c r="O933" t="str">
        <f>HYPERLINK("2\0\marker_903_957924.png", "Ver Imagen")</f>
        <v>Ver Imagen</v>
      </c>
      <c r="P933" t="str">
        <f>HYPERLINK("SE\A-5052\A-5052__119.png", "Ver Imagen")</f>
        <v>Ver Imagen</v>
      </c>
    </row>
    <row r="934" spans="1:16" x14ac:dyDescent="0.25">
      <c r="A934">
        <v>348</v>
      </c>
      <c r="B934" t="s">
        <v>708</v>
      </c>
      <c r="C934">
        <v>37.216710483999996</v>
      </c>
      <c r="D934">
        <v>-7.0961581775000004</v>
      </c>
      <c r="E934">
        <v>2</v>
      </c>
      <c r="F934">
        <v>2</v>
      </c>
      <c r="G934">
        <v>2</v>
      </c>
      <c r="J934" t="s">
        <v>15</v>
      </c>
      <c r="K934">
        <v>2</v>
      </c>
      <c r="L934">
        <v>1.994</v>
      </c>
      <c r="M934">
        <v>0</v>
      </c>
      <c r="N934" t="s">
        <v>10019</v>
      </c>
      <c r="O934" t="str">
        <f>HYPERLINK("2\0\marker_903_957924.png", "Ver Imagen")</f>
        <v>Ver Imagen</v>
      </c>
      <c r="P934" t="str">
        <f>HYPERLINK("SO\A-5052\A-5052__119.png", "Ver Imagen")</f>
        <v>Ver Imagen</v>
      </c>
    </row>
    <row r="935" spans="1:16" x14ac:dyDescent="0.25">
      <c r="A935">
        <v>349</v>
      </c>
      <c r="B935" t="s">
        <v>710</v>
      </c>
      <c r="C935">
        <v>37.216644514099997</v>
      </c>
      <c r="D935">
        <v>-7.0941518584600001</v>
      </c>
      <c r="E935">
        <v>2</v>
      </c>
      <c r="F935">
        <v>2</v>
      </c>
      <c r="G935">
        <v>2</v>
      </c>
      <c r="J935" t="s">
        <v>15</v>
      </c>
      <c r="K935">
        <v>2</v>
      </c>
      <c r="L935">
        <v>1.913</v>
      </c>
      <c r="M935">
        <v>0</v>
      </c>
      <c r="N935" t="s">
        <v>10018</v>
      </c>
      <c r="O935" t="str">
        <f>HYPERLINK("2\0\marker_841_958048.png", "Ver Imagen")</f>
        <v>Ver Imagen</v>
      </c>
      <c r="P935" t="str">
        <f>HYPERLINK("SE\A-5052\A-5052__127.png", "Ver Imagen")</f>
        <v>Ver Imagen</v>
      </c>
    </row>
    <row r="936" spans="1:16" x14ac:dyDescent="0.25">
      <c r="A936">
        <v>349</v>
      </c>
      <c r="B936" t="s">
        <v>710</v>
      </c>
      <c r="C936">
        <v>37.216644514099997</v>
      </c>
      <c r="D936">
        <v>-7.0941518584600001</v>
      </c>
      <c r="E936">
        <v>2</v>
      </c>
      <c r="F936">
        <v>2</v>
      </c>
      <c r="G936">
        <v>2</v>
      </c>
      <c r="J936" t="s">
        <v>15</v>
      </c>
      <c r="K936">
        <v>2</v>
      </c>
      <c r="L936">
        <v>2.0950000000000002</v>
      </c>
      <c r="M936">
        <v>0</v>
      </c>
      <c r="N936" t="s">
        <v>10018</v>
      </c>
      <c r="O936" t="str">
        <f>HYPERLINK("2\0\marker_841_958048.png", "Ver Imagen")</f>
        <v>Ver Imagen</v>
      </c>
      <c r="P936" t="str">
        <f>HYPERLINK("SO\A-5052\A-5052__127.png", "Ver Imagen")</f>
        <v>Ver Imagen</v>
      </c>
    </row>
    <row r="937" spans="1:16" x14ac:dyDescent="0.25">
      <c r="A937">
        <v>350</v>
      </c>
      <c r="B937" t="s">
        <v>712</v>
      </c>
      <c r="C937">
        <v>37.216633288499999</v>
      </c>
      <c r="D937">
        <v>-7.0936355338599997</v>
      </c>
      <c r="E937">
        <v>2</v>
      </c>
      <c r="F937">
        <v>2</v>
      </c>
      <c r="G937">
        <v>2</v>
      </c>
      <c r="J937" t="s">
        <v>15</v>
      </c>
      <c r="K937">
        <v>2</v>
      </c>
      <c r="L937">
        <v>2.0579999999999998</v>
      </c>
      <c r="M937">
        <v>0</v>
      </c>
      <c r="N937" t="s">
        <v>10018</v>
      </c>
      <c r="O937" t="str">
        <f>HYPERLINK("2\0\marker_961_958083.png", "Ver Imagen")</f>
        <v>Ver Imagen</v>
      </c>
      <c r="P937" t="str">
        <f>HYPERLINK("SE\A-5052\A-5052__129.png", "Ver Imagen")</f>
        <v>Ver Imagen</v>
      </c>
    </row>
    <row r="938" spans="1:16" x14ac:dyDescent="0.25">
      <c r="A938">
        <v>350</v>
      </c>
      <c r="B938" t="s">
        <v>712</v>
      </c>
      <c r="C938">
        <v>37.216633288499999</v>
      </c>
      <c r="D938">
        <v>-7.0936355338599997</v>
      </c>
      <c r="E938">
        <v>2</v>
      </c>
      <c r="F938">
        <v>2</v>
      </c>
      <c r="G938">
        <v>2</v>
      </c>
      <c r="J938" t="s">
        <v>15</v>
      </c>
      <c r="K938">
        <v>2</v>
      </c>
      <c r="L938">
        <v>2.306</v>
      </c>
      <c r="M938">
        <v>0</v>
      </c>
      <c r="N938" t="s">
        <v>10018</v>
      </c>
      <c r="O938" t="str">
        <f>HYPERLINK("2\0\marker_961_958083.png", "Ver Imagen")</f>
        <v>Ver Imagen</v>
      </c>
      <c r="P938" t="str">
        <f>HYPERLINK("SO\A-5052\A-5052__129.png", "Ver Imagen")</f>
        <v>Ver Imagen</v>
      </c>
    </row>
    <row r="939" spans="1:16" x14ac:dyDescent="0.25">
      <c r="A939">
        <v>351</v>
      </c>
      <c r="B939" t="s">
        <v>714</v>
      </c>
      <c r="C939">
        <v>37.216533704200003</v>
      </c>
      <c r="D939">
        <v>-7.0928948583600002</v>
      </c>
      <c r="E939">
        <v>2</v>
      </c>
      <c r="F939">
        <v>2</v>
      </c>
      <c r="G939">
        <v>2</v>
      </c>
      <c r="J939" t="s">
        <v>15</v>
      </c>
      <c r="K939">
        <v>2</v>
      </c>
      <c r="L939">
        <v>1.986</v>
      </c>
      <c r="M939">
        <v>0</v>
      </c>
      <c r="N939" t="s">
        <v>10019</v>
      </c>
      <c r="O939" t="str">
        <f>HYPERLINK("2\0\marker_568_958132.png", "Ver Imagen")</f>
        <v>Ver Imagen</v>
      </c>
      <c r="P939" t="str">
        <f>HYPERLINK("SE\A-5052\A-5052__132.png", "Ver Imagen")</f>
        <v>Ver Imagen</v>
      </c>
    </row>
    <row r="940" spans="1:16" x14ac:dyDescent="0.25">
      <c r="A940">
        <v>351</v>
      </c>
      <c r="B940" t="s">
        <v>714</v>
      </c>
      <c r="C940">
        <v>37.216533704200003</v>
      </c>
      <c r="D940">
        <v>-7.0928948583600002</v>
      </c>
      <c r="E940">
        <v>2</v>
      </c>
      <c r="F940">
        <v>2</v>
      </c>
      <c r="G940">
        <v>2</v>
      </c>
      <c r="J940" t="s">
        <v>15</v>
      </c>
      <c r="K940">
        <v>2</v>
      </c>
      <c r="L940">
        <v>2.105</v>
      </c>
      <c r="M940">
        <v>0</v>
      </c>
      <c r="N940" t="s">
        <v>10019</v>
      </c>
      <c r="O940" t="str">
        <f>HYPERLINK("2\0\marker_568_958132.png", "Ver Imagen")</f>
        <v>Ver Imagen</v>
      </c>
      <c r="P940" t="str">
        <f>HYPERLINK("SO\A-5052\A-5052__132.png", "Ver Imagen")</f>
        <v>Ver Imagen</v>
      </c>
    </row>
    <row r="941" spans="1:16" x14ac:dyDescent="0.25">
      <c r="A941">
        <v>352</v>
      </c>
      <c r="B941" t="s">
        <v>716</v>
      </c>
      <c r="C941">
        <v>37.216018952399999</v>
      </c>
      <c r="D941">
        <v>-7.0868927910100004</v>
      </c>
      <c r="E941">
        <v>2</v>
      </c>
      <c r="F941">
        <v>2</v>
      </c>
      <c r="G941">
        <v>2</v>
      </c>
      <c r="J941" t="s">
        <v>15</v>
      </c>
      <c r="K941">
        <v>2</v>
      </c>
      <c r="L941">
        <v>2.081</v>
      </c>
      <c r="M941">
        <v>0</v>
      </c>
      <c r="N941" t="s">
        <v>10017</v>
      </c>
      <c r="O941" t="str">
        <f>HYPERLINK("2\0\marker_184_958619.png", "Ver Imagen")</f>
        <v>Ver Imagen</v>
      </c>
      <c r="P941" t="str">
        <f>HYPERLINK("SE\A-5052\A-5052__156.png", "Ver Imagen")</f>
        <v>Ver Imagen</v>
      </c>
    </row>
    <row r="942" spans="1:16" x14ac:dyDescent="0.25">
      <c r="A942">
        <v>352</v>
      </c>
      <c r="B942" t="s">
        <v>716</v>
      </c>
      <c r="C942">
        <v>37.216018952399999</v>
      </c>
      <c r="D942">
        <v>-7.0868927910100004</v>
      </c>
      <c r="E942">
        <v>2</v>
      </c>
      <c r="F942">
        <v>2</v>
      </c>
      <c r="G942">
        <v>2</v>
      </c>
      <c r="J942" t="s">
        <v>15</v>
      </c>
      <c r="K942">
        <v>2</v>
      </c>
      <c r="L942">
        <v>1.9330000000000001</v>
      </c>
      <c r="M942">
        <v>0</v>
      </c>
      <c r="N942" t="s">
        <v>10017</v>
      </c>
      <c r="O942" t="str">
        <f>HYPERLINK("2\0\marker_184_958619.png", "Ver Imagen")</f>
        <v>Ver Imagen</v>
      </c>
      <c r="P942" t="str">
        <f>HYPERLINK("SO\A-5052\A-5052__156.png", "Ver Imagen")</f>
        <v>Ver Imagen</v>
      </c>
    </row>
    <row r="943" spans="1:16" x14ac:dyDescent="0.25">
      <c r="A943">
        <v>353</v>
      </c>
      <c r="B943" t="s">
        <v>718</v>
      </c>
      <c r="C943">
        <v>37.216023117200002</v>
      </c>
      <c r="D943">
        <v>-7.0865985506499998</v>
      </c>
      <c r="E943">
        <v>2</v>
      </c>
      <c r="F943">
        <v>2</v>
      </c>
      <c r="G943">
        <v>2</v>
      </c>
      <c r="J943" t="s">
        <v>15</v>
      </c>
      <c r="K943">
        <v>2</v>
      </c>
      <c r="L943">
        <v>1.919</v>
      </c>
      <c r="M943">
        <v>0</v>
      </c>
      <c r="N943" t="s">
        <v>10019</v>
      </c>
      <c r="O943" t="str">
        <f>HYPERLINK("2\0\marker_348_958629.png", "Ver Imagen")</f>
        <v>Ver Imagen</v>
      </c>
      <c r="P943" t="str">
        <f>HYPERLINK("SE\A-5052\A-5052__157.png", "Ver Imagen")</f>
        <v>Ver Imagen</v>
      </c>
    </row>
    <row r="944" spans="1:16" x14ac:dyDescent="0.25">
      <c r="A944">
        <v>353</v>
      </c>
      <c r="B944" t="s">
        <v>718</v>
      </c>
      <c r="C944">
        <v>37.216023117200002</v>
      </c>
      <c r="D944">
        <v>-7.0865985506499998</v>
      </c>
      <c r="E944">
        <v>2</v>
      </c>
      <c r="F944">
        <v>2</v>
      </c>
      <c r="G944">
        <v>2</v>
      </c>
      <c r="J944" t="s">
        <v>15</v>
      </c>
      <c r="K944">
        <v>2</v>
      </c>
      <c r="L944">
        <v>1.988</v>
      </c>
      <c r="M944">
        <v>0</v>
      </c>
      <c r="N944" t="s">
        <v>10019</v>
      </c>
      <c r="O944" t="str">
        <f>HYPERLINK("2\0\marker_348_958629.png", "Ver Imagen")</f>
        <v>Ver Imagen</v>
      </c>
      <c r="P944" t="str">
        <f>HYPERLINK("SO\A-5052\A-5052__157.png", "Ver Imagen")</f>
        <v>Ver Imagen</v>
      </c>
    </row>
    <row r="945" spans="1:16" x14ac:dyDescent="0.25">
      <c r="A945">
        <v>354</v>
      </c>
      <c r="B945" t="s">
        <v>720</v>
      </c>
      <c r="C945">
        <v>37.216053586599998</v>
      </c>
      <c r="D945">
        <v>-7.0861018208299997</v>
      </c>
      <c r="E945">
        <v>2</v>
      </c>
      <c r="F945">
        <v>2</v>
      </c>
      <c r="G945">
        <v>2</v>
      </c>
      <c r="J945" t="s">
        <v>15</v>
      </c>
      <c r="K945">
        <v>2</v>
      </c>
      <c r="L945">
        <v>2.206</v>
      </c>
      <c r="M945">
        <v>0</v>
      </c>
      <c r="N945" t="s">
        <v>10019</v>
      </c>
      <c r="O945" t="str">
        <f>HYPERLINK("2\0\marker_444_958672.png", "Ver Imagen")</f>
        <v>Ver Imagen</v>
      </c>
      <c r="P945" t="str">
        <f>HYPERLINK("SE\A-5052\A-5052__159.png", "Ver Imagen")</f>
        <v>Ver Imagen</v>
      </c>
    </row>
    <row r="946" spans="1:16" x14ac:dyDescent="0.25">
      <c r="A946">
        <v>354</v>
      </c>
      <c r="B946" t="s">
        <v>720</v>
      </c>
      <c r="C946">
        <v>37.216053586599998</v>
      </c>
      <c r="D946">
        <v>-7.0861018208299997</v>
      </c>
      <c r="E946">
        <v>2</v>
      </c>
      <c r="F946">
        <v>2</v>
      </c>
      <c r="G946">
        <v>2</v>
      </c>
      <c r="J946" t="s">
        <v>15</v>
      </c>
      <c r="K946">
        <v>2</v>
      </c>
      <c r="L946">
        <v>2.008</v>
      </c>
      <c r="M946">
        <v>0</v>
      </c>
      <c r="N946" t="s">
        <v>10019</v>
      </c>
      <c r="O946" t="str">
        <f>HYPERLINK("2\0\marker_444_958672.png", "Ver Imagen")</f>
        <v>Ver Imagen</v>
      </c>
      <c r="P946" t="str">
        <f>HYPERLINK("SO\A-5052\A-5052__159.png", "Ver Imagen")</f>
        <v>Ver Imagen</v>
      </c>
    </row>
    <row r="947" spans="1:16" x14ac:dyDescent="0.25">
      <c r="A947">
        <v>355</v>
      </c>
      <c r="B947" t="s">
        <v>722</v>
      </c>
      <c r="C947">
        <v>37.216176683500002</v>
      </c>
      <c r="D947">
        <v>-7.0851342269600002</v>
      </c>
      <c r="E947">
        <v>2</v>
      </c>
      <c r="F947">
        <v>2</v>
      </c>
      <c r="G947">
        <v>2</v>
      </c>
      <c r="J947" t="s">
        <v>15</v>
      </c>
      <c r="K947">
        <v>2</v>
      </c>
      <c r="L947">
        <v>2.0350000000000001</v>
      </c>
      <c r="M947">
        <v>0</v>
      </c>
      <c r="N947" t="s">
        <v>10018</v>
      </c>
      <c r="O947" t="str">
        <f>HYPERLINK("2\0\marker_788_958713.png", "Ver Imagen")</f>
        <v>Ver Imagen</v>
      </c>
      <c r="P947" t="str">
        <f>HYPERLINK("SE\A-5052\A-5052__163.png", "Ver Imagen")</f>
        <v>Ver Imagen</v>
      </c>
    </row>
    <row r="948" spans="1:16" x14ac:dyDescent="0.25">
      <c r="A948">
        <v>355</v>
      </c>
      <c r="B948" t="s">
        <v>722</v>
      </c>
      <c r="C948">
        <v>37.216176683500002</v>
      </c>
      <c r="D948">
        <v>-7.0851342269600002</v>
      </c>
      <c r="E948">
        <v>2</v>
      </c>
      <c r="F948">
        <v>2</v>
      </c>
      <c r="G948">
        <v>2</v>
      </c>
      <c r="J948" t="s">
        <v>15</v>
      </c>
      <c r="K948">
        <v>2</v>
      </c>
      <c r="L948">
        <v>1.843</v>
      </c>
      <c r="M948">
        <v>0</v>
      </c>
      <c r="N948" t="s">
        <v>10018</v>
      </c>
      <c r="O948" t="str">
        <f>HYPERLINK("2\0\marker_788_958713.png", "Ver Imagen")</f>
        <v>Ver Imagen</v>
      </c>
      <c r="P948" t="str">
        <f>HYPERLINK("SO\A-5052\A-5052__163.png", "Ver Imagen")</f>
        <v>Ver Imagen</v>
      </c>
    </row>
    <row r="949" spans="1:16" x14ac:dyDescent="0.25">
      <c r="A949">
        <v>356</v>
      </c>
      <c r="B949" t="s">
        <v>724</v>
      </c>
      <c r="C949">
        <v>37.215594034399999</v>
      </c>
      <c r="D949">
        <v>-7.0817365175300004</v>
      </c>
      <c r="E949">
        <v>2</v>
      </c>
      <c r="F949">
        <v>2</v>
      </c>
      <c r="G949">
        <v>2</v>
      </c>
      <c r="J949" t="s">
        <v>15</v>
      </c>
      <c r="K949">
        <v>2</v>
      </c>
      <c r="L949">
        <v>2.1219999999999999</v>
      </c>
      <c r="M949">
        <v>0</v>
      </c>
      <c r="N949" t="s">
        <v>10018</v>
      </c>
      <c r="O949" t="str">
        <f>HYPERLINK("2\0\marker_202_959044.png", "Ver Imagen")</f>
        <v>Ver Imagen</v>
      </c>
      <c r="P949" t="str">
        <f>HYPERLINK("SE\A-5052\A-5052__177.png", "Ver Imagen")</f>
        <v>Ver Imagen</v>
      </c>
    </row>
    <row r="950" spans="1:16" x14ac:dyDescent="0.25">
      <c r="A950">
        <v>356</v>
      </c>
      <c r="B950" t="s">
        <v>724</v>
      </c>
      <c r="C950">
        <v>37.215594034399999</v>
      </c>
      <c r="D950">
        <v>-7.0817365175300004</v>
      </c>
      <c r="E950">
        <v>2</v>
      </c>
      <c r="F950">
        <v>2</v>
      </c>
      <c r="G950">
        <v>2</v>
      </c>
      <c r="J950" t="s">
        <v>15</v>
      </c>
      <c r="K950">
        <v>2</v>
      </c>
      <c r="L950">
        <v>2.0470000000000002</v>
      </c>
      <c r="M950">
        <v>0</v>
      </c>
      <c r="N950" t="s">
        <v>10018</v>
      </c>
      <c r="O950" t="str">
        <f>HYPERLINK("2\0\marker_202_959044.png", "Ver Imagen")</f>
        <v>Ver Imagen</v>
      </c>
      <c r="P950" t="str">
        <f>HYPERLINK("SO\A-5052\A-5052__177.png", "Ver Imagen")</f>
        <v>Ver Imagen</v>
      </c>
    </row>
    <row r="951" spans="1:16" x14ac:dyDescent="0.25">
      <c r="A951">
        <v>357</v>
      </c>
      <c r="B951" t="s">
        <v>726</v>
      </c>
      <c r="C951">
        <v>37.2155234357</v>
      </c>
      <c r="D951">
        <v>-7.0814823176099999</v>
      </c>
      <c r="E951">
        <v>2</v>
      </c>
      <c r="F951">
        <v>2</v>
      </c>
      <c r="G951">
        <v>2</v>
      </c>
      <c r="J951" t="s">
        <v>15</v>
      </c>
      <c r="K951">
        <v>2</v>
      </c>
      <c r="L951">
        <v>1.9350000000000001</v>
      </c>
      <c r="M951">
        <v>0</v>
      </c>
      <c r="N951" t="s">
        <v>10017</v>
      </c>
      <c r="O951" t="str">
        <f>HYPERLINK("2\0\marker_984_959053.png", "Ver Imagen")</f>
        <v>Ver Imagen</v>
      </c>
      <c r="P951" t="str">
        <f>HYPERLINK("SE\A-5052\A-5052__178.png", "Ver Imagen")</f>
        <v>Ver Imagen</v>
      </c>
    </row>
    <row r="952" spans="1:16" x14ac:dyDescent="0.25">
      <c r="A952">
        <v>357</v>
      </c>
      <c r="B952" t="s">
        <v>726</v>
      </c>
      <c r="C952">
        <v>37.2155234357</v>
      </c>
      <c r="D952">
        <v>-7.0814823176099999</v>
      </c>
      <c r="E952">
        <v>2</v>
      </c>
      <c r="F952">
        <v>2</v>
      </c>
      <c r="G952">
        <v>2</v>
      </c>
      <c r="J952" t="s">
        <v>15</v>
      </c>
      <c r="K952">
        <v>2</v>
      </c>
      <c r="L952">
        <v>1.7869999999999999</v>
      </c>
      <c r="M952">
        <v>0</v>
      </c>
      <c r="N952" t="s">
        <v>10017</v>
      </c>
      <c r="O952" t="str">
        <f>HYPERLINK("2\0\marker_984_959053.png", "Ver Imagen")</f>
        <v>Ver Imagen</v>
      </c>
      <c r="P952" t="str">
        <f>HYPERLINK("SO\A-5052\A-5052__178.png", "Ver Imagen")</f>
        <v>Ver Imagen</v>
      </c>
    </row>
    <row r="953" spans="1:16" x14ac:dyDescent="0.25">
      <c r="A953">
        <v>358</v>
      </c>
      <c r="B953" t="s">
        <v>728</v>
      </c>
      <c r="C953">
        <v>37.2151881614</v>
      </c>
      <c r="D953">
        <v>-7.08032007</v>
      </c>
      <c r="E953">
        <v>2</v>
      </c>
      <c r="F953">
        <v>2</v>
      </c>
      <c r="G953">
        <v>2</v>
      </c>
      <c r="J953" t="s">
        <v>15</v>
      </c>
      <c r="K953">
        <v>2</v>
      </c>
      <c r="L953">
        <v>1.974</v>
      </c>
      <c r="M953">
        <v>0</v>
      </c>
      <c r="N953" t="s">
        <v>10019</v>
      </c>
      <c r="O953" t="str">
        <f>HYPERLINK("2\0\marker_941_959200.png", "Ver Imagen")</f>
        <v>Ver Imagen</v>
      </c>
      <c r="P953" t="str">
        <f>HYPERLINK("SE\A-5052\A-5052__183.png", "Ver Imagen")</f>
        <v>Ver Imagen</v>
      </c>
    </row>
    <row r="954" spans="1:16" x14ac:dyDescent="0.25">
      <c r="A954">
        <v>358</v>
      </c>
      <c r="B954" t="s">
        <v>728</v>
      </c>
      <c r="C954">
        <v>37.2151881614</v>
      </c>
      <c r="D954">
        <v>-7.08032007</v>
      </c>
      <c r="E954">
        <v>2</v>
      </c>
      <c r="F954">
        <v>2</v>
      </c>
      <c r="G954">
        <v>2</v>
      </c>
      <c r="J954" t="s">
        <v>15</v>
      </c>
      <c r="K954">
        <v>2</v>
      </c>
      <c r="L954">
        <v>1.911</v>
      </c>
      <c r="M954">
        <v>0</v>
      </c>
      <c r="N954" t="s">
        <v>10019</v>
      </c>
      <c r="O954" t="str">
        <f>HYPERLINK("2\0\marker_941_959200.png", "Ver Imagen")</f>
        <v>Ver Imagen</v>
      </c>
      <c r="P954" t="str">
        <f>HYPERLINK("SO\A-5052\A-5052__183.png", "Ver Imagen")</f>
        <v>Ver Imagen</v>
      </c>
    </row>
    <row r="955" spans="1:16" x14ac:dyDescent="0.25">
      <c r="A955">
        <v>359</v>
      </c>
      <c r="B955" t="s">
        <v>730</v>
      </c>
      <c r="C955">
        <v>37.215111489500003</v>
      </c>
      <c r="D955">
        <v>-7.0800380680500004</v>
      </c>
      <c r="E955">
        <v>2</v>
      </c>
      <c r="F955">
        <v>2</v>
      </c>
      <c r="G955">
        <v>2</v>
      </c>
      <c r="J955" t="s">
        <v>15</v>
      </c>
      <c r="K955">
        <v>2</v>
      </c>
      <c r="L955">
        <v>1.974</v>
      </c>
      <c r="M955">
        <v>0</v>
      </c>
      <c r="N955" t="s">
        <v>10019</v>
      </c>
      <c r="O955" t="str">
        <f>HYPERLINK("2\0\marker_445_959209.png", "Ver Imagen")</f>
        <v>Ver Imagen</v>
      </c>
      <c r="P955" t="str">
        <f>HYPERLINK("SE\A-5052\A-5052__184.png", "Ver Imagen")</f>
        <v>Ver Imagen</v>
      </c>
    </row>
    <row r="956" spans="1:16" x14ac:dyDescent="0.25">
      <c r="A956">
        <v>359</v>
      </c>
      <c r="B956" t="s">
        <v>730</v>
      </c>
      <c r="C956">
        <v>37.215111489500003</v>
      </c>
      <c r="D956">
        <v>-7.0800380680500004</v>
      </c>
      <c r="E956">
        <v>2</v>
      </c>
      <c r="F956">
        <v>2</v>
      </c>
      <c r="G956">
        <v>2</v>
      </c>
      <c r="J956" t="s">
        <v>15</v>
      </c>
      <c r="K956">
        <v>2</v>
      </c>
      <c r="L956">
        <v>2.3330000000000002</v>
      </c>
      <c r="M956">
        <v>0</v>
      </c>
      <c r="N956" t="s">
        <v>10019</v>
      </c>
      <c r="O956" t="str">
        <f>HYPERLINK("2\0\marker_445_959209.png", "Ver Imagen")</f>
        <v>Ver Imagen</v>
      </c>
      <c r="P956" t="str">
        <f>HYPERLINK("SO\A-5052\A-5052__184.png", "Ver Imagen")</f>
        <v>Ver Imagen</v>
      </c>
    </row>
    <row r="957" spans="1:16" x14ac:dyDescent="0.25">
      <c r="A957">
        <v>360</v>
      </c>
      <c r="B957" t="s">
        <v>732</v>
      </c>
      <c r="C957">
        <v>37.215044392599999</v>
      </c>
      <c r="D957">
        <v>-7.0797783913599996</v>
      </c>
      <c r="E957">
        <v>2</v>
      </c>
      <c r="F957">
        <v>2</v>
      </c>
      <c r="G957">
        <v>2</v>
      </c>
      <c r="J957" t="s">
        <v>15</v>
      </c>
      <c r="K957">
        <v>2</v>
      </c>
      <c r="L957">
        <v>1.9610000000000001</v>
      </c>
      <c r="M957">
        <v>0</v>
      </c>
      <c r="N957" t="s">
        <v>10019</v>
      </c>
      <c r="O957" t="str">
        <f>HYPERLINK("2\0\marker_952_959226.png", "Ver Imagen")</f>
        <v>Ver Imagen</v>
      </c>
      <c r="P957" t="str">
        <f>HYPERLINK("SE\A-5052\A-5052__185.png", "Ver Imagen")</f>
        <v>Ver Imagen</v>
      </c>
    </row>
    <row r="958" spans="1:16" x14ac:dyDescent="0.25">
      <c r="A958">
        <v>360</v>
      </c>
      <c r="B958" t="s">
        <v>732</v>
      </c>
      <c r="C958">
        <v>37.215044392599999</v>
      </c>
      <c r="D958">
        <v>-7.0797783913599996</v>
      </c>
      <c r="E958">
        <v>2</v>
      </c>
      <c r="F958">
        <v>2</v>
      </c>
      <c r="G958">
        <v>2</v>
      </c>
      <c r="J958" t="s">
        <v>15</v>
      </c>
      <c r="K958">
        <v>2</v>
      </c>
      <c r="L958">
        <v>1.7070000000000001</v>
      </c>
      <c r="M958">
        <v>0</v>
      </c>
      <c r="N958" t="s">
        <v>10019</v>
      </c>
      <c r="O958" t="str">
        <f>HYPERLINK("2\0\marker_952_959226.png", "Ver Imagen")</f>
        <v>Ver Imagen</v>
      </c>
      <c r="P958" t="str">
        <f>HYPERLINK("SO\A-5052\A-5052__185.png", "Ver Imagen")</f>
        <v>Ver Imagen</v>
      </c>
    </row>
    <row r="959" spans="1:16" x14ac:dyDescent="0.25">
      <c r="A959">
        <v>361</v>
      </c>
      <c r="B959" t="s">
        <v>734</v>
      </c>
      <c r="C959">
        <v>37.214992075600001</v>
      </c>
      <c r="D959">
        <v>-7.0795558380200001</v>
      </c>
      <c r="E959">
        <v>2</v>
      </c>
      <c r="F959">
        <v>2</v>
      </c>
      <c r="G959">
        <v>2</v>
      </c>
      <c r="J959" t="s">
        <v>15</v>
      </c>
      <c r="K959">
        <v>2</v>
      </c>
      <c r="L959">
        <v>2.1720000000000002</v>
      </c>
      <c r="M959">
        <v>0</v>
      </c>
      <c r="N959" t="s">
        <v>10019</v>
      </c>
      <c r="O959" t="str">
        <f>HYPERLINK("2\0\marker_637_959268.png", "Ver Imagen")</f>
        <v>Ver Imagen</v>
      </c>
      <c r="P959" t="str">
        <f>HYPERLINK("SE\A-5052\A-5052__186.png", "Ver Imagen")</f>
        <v>Ver Imagen</v>
      </c>
    </row>
    <row r="960" spans="1:16" x14ac:dyDescent="0.25">
      <c r="A960">
        <v>361</v>
      </c>
      <c r="B960" t="s">
        <v>734</v>
      </c>
      <c r="C960">
        <v>37.214992075600001</v>
      </c>
      <c r="D960">
        <v>-7.0795558380200001</v>
      </c>
      <c r="E960">
        <v>2</v>
      </c>
      <c r="F960">
        <v>2</v>
      </c>
      <c r="G960">
        <v>2</v>
      </c>
      <c r="J960" t="s">
        <v>15</v>
      </c>
      <c r="K960">
        <v>2</v>
      </c>
      <c r="L960">
        <v>1.8720000000000001</v>
      </c>
      <c r="M960">
        <v>0</v>
      </c>
      <c r="N960" t="s">
        <v>10019</v>
      </c>
      <c r="O960" t="str">
        <f>HYPERLINK("2\0\marker_637_959268.png", "Ver Imagen")</f>
        <v>Ver Imagen</v>
      </c>
      <c r="P960" t="str">
        <f>HYPERLINK("SO\A-5052\A-5052__186.png", "Ver Imagen")</f>
        <v>Ver Imagen</v>
      </c>
    </row>
    <row r="961" spans="1:16" x14ac:dyDescent="0.25">
      <c r="A961">
        <v>362</v>
      </c>
      <c r="B961" t="s">
        <v>736</v>
      </c>
      <c r="C961">
        <v>37.213377728700003</v>
      </c>
      <c r="D961">
        <v>-7.0673679733499997</v>
      </c>
      <c r="E961">
        <v>2</v>
      </c>
      <c r="F961">
        <v>2</v>
      </c>
      <c r="G961">
        <v>2</v>
      </c>
      <c r="J961" t="s">
        <v>15</v>
      </c>
      <c r="K961">
        <v>2</v>
      </c>
      <c r="L961">
        <v>2.4870000000000001</v>
      </c>
      <c r="M961">
        <v>0</v>
      </c>
      <c r="N961" t="s">
        <v>10018</v>
      </c>
      <c r="O961" t="str">
        <f>HYPERLINK("2\0\marker_408_959884.png", "Ver Imagen")</f>
        <v>Ver Imagen</v>
      </c>
      <c r="P961" t="str">
        <f>HYPERLINK("SE\A-5052\A-5052__235.png", "Ver Imagen")</f>
        <v>Ver Imagen</v>
      </c>
    </row>
    <row r="962" spans="1:16" x14ac:dyDescent="0.25">
      <c r="A962">
        <v>363</v>
      </c>
      <c r="B962" t="s">
        <v>738</v>
      </c>
      <c r="C962">
        <v>37.213357175500001</v>
      </c>
      <c r="D962">
        <v>-7.0668649817400002</v>
      </c>
      <c r="E962">
        <v>2</v>
      </c>
      <c r="F962">
        <v>2</v>
      </c>
      <c r="G962">
        <v>2</v>
      </c>
      <c r="J962" t="s">
        <v>15</v>
      </c>
      <c r="K962">
        <v>2</v>
      </c>
      <c r="L962">
        <v>1.9610000000000001</v>
      </c>
      <c r="M962">
        <v>0</v>
      </c>
      <c r="N962" t="s">
        <v>10019</v>
      </c>
      <c r="O962" t="str">
        <f>HYPERLINK("2\0\marker_182_959915.png", "Ver Imagen")</f>
        <v>Ver Imagen</v>
      </c>
      <c r="P962" t="str">
        <f>HYPERLINK("SE\A-5052\A-5052__237.png", "Ver Imagen")</f>
        <v>Ver Imagen</v>
      </c>
    </row>
    <row r="963" spans="1:16" x14ac:dyDescent="0.25">
      <c r="A963">
        <v>364</v>
      </c>
      <c r="B963" t="s">
        <v>740</v>
      </c>
      <c r="C963">
        <v>37.213174875299998</v>
      </c>
      <c r="D963">
        <v>-7.06267194525</v>
      </c>
      <c r="E963">
        <v>2</v>
      </c>
      <c r="F963">
        <v>2</v>
      </c>
      <c r="G963">
        <v>2</v>
      </c>
      <c r="J963" t="s">
        <v>15</v>
      </c>
      <c r="K963">
        <v>2</v>
      </c>
      <c r="L963">
        <v>2.077</v>
      </c>
      <c r="M963">
        <v>0</v>
      </c>
      <c r="N963" t="s">
        <v>10019</v>
      </c>
      <c r="O963" t="str">
        <f>HYPERLINK("2\0\marker_703_960135.png", "Ver Imagen")</f>
        <v>Ver Imagen</v>
      </c>
      <c r="P963" t="str">
        <f>HYPERLINK("SE\A-5052\A-5052__254.png", "Ver Imagen")</f>
        <v>Ver Imagen</v>
      </c>
    </row>
    <row r="964" spans="1:16" x14ac:dyDescent="0.25">
      <c r="A964">
        <v>366</v>
      </c>
      <c r="B964" t="s">
        <v>744</v>
      </c>
      <c r="C964">
        <v>37.212627033899999</v>
      </c>
      <c r="D964">
        <v>-7.0607243407400002</v>
      </c>
      <c r="E964">
        <v>2</v>
      </c>
      <c r="F964">
        <v>2</v>
      </c>
      <c r="G964">
        <v>2</v>
      </c>
      <c r="J964" t="s">
        <v>15</v>
      </c>
      <c r="K964">
        <v>2</v>
      </c>
      <c r="L964">
        <v>2.1179999999999999</v>
      </c>
      <c r="M964">
        <v>0</v>
      </c>
      <c r="N964" t="s">
        <v>10019</v>
      </c>
      <c r="O964" t="str">
        <f>HYPERLINK("2\0\marker_721_960224.png", "Ver Imagen")</f>
        <v>Ver Imagen</v>
      </c>
      <c r="P964" t="str">
        <f>HYPERLINK("SE\A-5052\A-5052__262.png", "Ver Imagen")</f>
        <v>Ver Imagen</v>
      </c>
    </row>
    <row r="965" spans="1:16" x14ac:dyDescent="0.25">
      <c r="A965">
        <v>367</v>
      </c>
      <c r="B965" t="s">
        <v>746</v>
      </c>
      <c r="C965">
        <v>37.212379371799997</v>
      </c>
      <c r="D965">
        <v>-7.0600590745199998</v>
      </c>
      <c r="E965">
        <v>2</v>
      </c>
      <c r="F965">
        <v>2</v>
      </c>
      <c r="G965">
        <v>2</v>
      </c>
      <c r="J965" t="s">
        <v>15</v>
      </c>
      <c r="K965">
        <v>2</v>
      </c>
      <c r="L965">
        <v>1.9750000000000001</v>
      </c>
      <c r="M965">
        <v>0</v>
      </c>
      <c r="N965" t="s">
        <v>10019</v>
      </c>
      <c r="O965" t="str">
        <f>HYPERLINK("2\0\marker_468_960259.png", "Ver Imagen")</f>
        <v>Ver Imagen</v>
      </c>
      <c r="P965" t="str">
        <f>HYPERLINK("SE\A-5052\A-5052__265.png", "Ver Imagen")</f>
        <v>Ver Imagen</v>
      </c>
    </row>
    <row r="966" spans="1:16" x14ac:dyDescent="0.25">
      <c r="A966">
        <v>368</v>
      </c>
      <c r="B966" t="s">
        <v>748</v>
      </c>
      <c r="C966">
        <v>37.212123526900001</v>
      </c>
      <c r="D966">
        <v>-7.0593756262099996</v>
      </c>
      <c r="E966">
        <v>2</v>
      </c>
      <c r="F966">
        <v>2</v>
      </c>
      <c r="G966">
        <v>2</v>
      </c>
      <c r="J966" t="s">
        <v>15</v>
      </c>
      <c r="K966">
        <v>2</v>
      </c>
      <c r="L966">
        <v>2.2349999999999999</v>
      </c>
      <c r="M966">
        <v>0</v>
      </c>
      <c r="N966" t="s">
        <v>10019</v>
      </c>
      <c r="O966" t="str">
        <f>HYPERLINK("2\0\marker_328_960294.png", "Ver Imagen")</f>
        <v>Ver Imagen</v>
      </c>
      <c r="P966" t="str">
        <f>HYPERLINK("SE\A-5052\A-5052__268.png", "Ver Imagen")</f>
        <v>Ver Imagen</v>
      </c>
    </row>
    <row r="967" spans="1:16" x14ac:dyDescent="0.25">
      <c r="A967">
        <v>369</v>
      </c>
      <c r="B967" t="s">
        <v>750</v>
      </c>
      <c r="C967">
        <v>37.211250038700001</v>
      </c>
      <c r="D967">
        <v>-7.0562774511599997</v>
      </c>
      <c r="E967">
        <v>2</v>
      </c>
      <c r="F967">
        <v>2</v>
      </c>
      <c r="G967">
        <v>2</v>
      </c>
      <c r="J967" t="s">
        <v>15</v>
      </c>
      <c r="K967">
        <v>2</v>
      </c>
      <c r="L967">
        <v>2.157</v>
      </c>
      <c r="M967">
        <v>0</v>
      </c>
      <c r="N967" t="s">
        <v>10019</v>
      </c>
      <c r="O967" t="str">
        <f>HYPERLINK("2\0\marker_967_960526.png", "Ver Imagen")</f>
        <v>Ver Imagen</v>
      </c>
      <c r="P967" t="str">
        <f>HYPERLINK("SE\A-5052\A-5052__281.png", "Ver Imagen")</f>
        <v>Ver Imagen</v>
      </c>
    </row>
    <row r="968" spans="1:16" x14ac:dyDescent="0.25">
      <c r="A968">
        <v>370</v>
      </c>
      <c r="B968" t="s">
        <v>752</v>
      </c>
      <c r="C968">
        <v>37.211191956299999</v>
      </c>
      <c r="D968">
        <v>-7.0557783950999999</v>
      </c>
      <c r="E968">
        <v>2</v>
      </c>
      <c r="F968">
        <v>2</v>
      </c>
      <c r="G968">
        <v>2</v>
      </c>
      <c r="J968" t="s">
        <v>15</v>
      </c>
      <c r="K968">
        <v>2</v>
      </c>
      <c r="L968">
        <v>1.7250000000000001</v>
      </c>
      <c r="M968">
        <v>0</v>
      </c>
      <c r="N968" t="s">
        <v>10019</v>
      </c>
      <c r="O968" t="str">
        <f>HYPERLINK("2\0\marker_116_960561.png", "Ver Imagen")</f>
        <v>Ver Imagen</v>
      </c>
      <c r="P968" t="str">
        <f>HYPERLINK("SE\A-5052\A-5052__283.png", "Ver Imagen")</f>
        <v>Ver Imagen</v>
      </c>
    </row>
    <row r="969" spans="1:16" x14ac:dyDescent="0.25">
      <c r="A969">
        <v>371</v>
      </c>
      <c r="B969" t="s">
        <v>754</v>
      </c>
      <c r="C969">
        <v>37.210954485800002</v>
      </c>
      <c r="D969">
        <v>-7.0540240976600002</v>
      </c>
      <c r="E969">
        <v>2</v>
      </c>
      <c r="F969">
        <v>2</v>
      </c>
      <c r="G969">
        <v>2</v>
      </c>
      <c r="J969" t="s">
        <v>15</v>
      </c>
      <c r="K969">
        <v>2</v>
      </c>
      <c r="L969">
        <v>1.885</v>
      </c>
      <c r="M969">
        <v>0</v>
      </c>
      <c r="N969" t="s">
        <v>10019</v>
      </c>
      <c r="O969" t="str">
        <f>HYPERLINK("2\0\marker_871_960653.png", "Ver Imagen")</f>
        <v>Ver Imagen</v>
      </c>
      <c r="P969" t="str">
        <f>HYPERLINK("SE\A-5052\A-5052__290.png", "Ver Imagen")</f>
        <v>Ver Imagen</v>
      </c>
    </row>
    <row r="970" spans="1:16" x14ac:dyDescent="0.25">
      <c r="A970">
        <v>372</v>
      </c>
      <c r="B970" t="s">
        <v>756</v>
      </c>
      <c r="C970">
        <v>37.210935818700001</v>
      </c>
      <c r="D970">
        <v>-7.0510416111199996</v>
      </c>
      <c r="E970">
        <v>2</v>
      </c>
      <c r="F970">
        <v>2</v>
      </c>
      <c r="G970">
        <v>2</v>
      </c>
      <c r="J970" t="s">
        <v>15</v>
      </c>
      <c r="K970">
        <v>2</v>
      </c>
      <c r="L970">
        <v>1.8240000000000001</v>
      </c>
      <c r="M970">
        <v>0</v>
      </c>
      <c r="N970" t="s">
        <v>10019</v>
      </c>
      <c r="O970" t="str">
        <f>HYPERLINK("2\0\marker_302_960944.png", "Ver Imagen")</f>
        <v>Ver Imagen</v>
      </c>
      <c r="P970" t="str">
        <f>HYPERLINK("SE\A-5052\A-5052__302.png", "Ver Imagen")</f>
        <v>Ver Imagen</v>
      </c>
    </row>
    <row r="971" spans="1:16" x14ac:dyDescent="0.25">
      <c r="A971">
        <v>373</v>
      </c>
      <c r="B971" t="s">
        <v>758</v>
      </c>
      <c r="C971">
        <v>37.211000702</v>
      </c>
      <c r="D971">
        <v>-7.05082896519</v>
      </c>
      <c r="E971">
        <v>2</v>
      </c>
      <c r="F971">
        <v>2</v>
      </c>
      <c r="G971">
        <v>2</v>
      </c>
      <c r="J971" t="s">
        <v>15</v>
      </c>
      <c r="K971">
        <v>2</v>
      </c>
      <c r="L971">
        <v>2.1709999999999998</v>
      </c>
      <c r="M971">
        <v>0</v>
      </c>
      <c r="N971" t="s">
        <v>10019</v>
      </c>
      <c r="O971" t="str">
        <f>HYPERLINK("2\0\marker_293_960957.png", "Ver Imagen")</f>
        <v>Ver Imagen</v>
      </c>
      <c r="P971" t="str">
        <f>HYPERLINK("SE\A-5052\A-5052__303.png", "Ver Imagen")</f>
        <v>Ver Imagen</v>
      </c>
    </row>
    <row r="972" spans="1:16" x14ac:dyDescent="0.25">
      <c r="A972">
        <v>374</v>
      </c>
      <c r="B972" t="s">
        <v>760</v>
      </c>
      <c r="C972">
        <v>37.211500042600001</v>
      </c>
      <c r="D972">
        <v>-7.0496974656900004</v>
      </c>
      <c r="E972">
        <v>2</v>
      </c>
      <c r="F972">
        <v>2</v>
      </c>
      <c r="G972">
        <v>2</v>
      </c>
      <c r="J972" t="s">
        <v>15</v>
      </c>
      <c r="K972">
        <v>2</v>
      </c>
      <c r="L972">
        <v>1.8979999999999999</v>
      </c>
      <c r="M972">
        <v>0</v>
      </c>
      <c r="N972" t="s">
        <v>10019</v>
      </c>
      <c r="O972" t="str">
        <f>HYPERLINK("2\0\marker_146_961067.png", "Ver Imagen")</f>
        <v>Ver Imagen</v>
      </c>
      <c r="P972" t="str">
        <f>HYPERLINK("SE\A-5052\A-5052__308.png", "Ver Imagen")</f>
        <v>Ver Imagen</v>
      </c>
    </row>
    <row r="973" spans="1:16" x14ac:dyDescent="0.25">
      <c r="A973">
        <v>375</v>
      </c>
      <c r="B973" t="s">
        <v>762</v>
      </c>
      <c r="C973">
        <v>37.2115754744</v>
      </c>
      <c r="D973">
        <v>-7.0494779672799996</v>
      </c>
      <c r="E973">
        <v>2</v>
      </c>
      <c r="F973">
        <v>2</v>
      </c>
      <c r="G973">
        <v>2</v>
      </c>
      <c r="J973" t="s">
        <v>15</v>
      </c>
      <c r="K973">
        <v>2</v>
      </c>
      <c r="L973">
        <v>1.903</v>
      </c>
      <c r="M973">
        <v>0</v>
      </c>
      <c r="N973" t="s">
        <v>10019</v>
      </c>
      <c r="O973" t="str">
        <f>HYPERLINK("2\0\marker_718_961087.png", "Ver Imagen")</f>
        <v>Ver Imagen</v>
      </c>
      <c r="P973" t="str">
        <f>HYPERLINK("SE\A-5052\A-5052__309.png", "Ver Imagen")</f>
        <v>Ver Imagen</v>
      </c>
    </row>
    <row r="974" spans="1:16" x14ac:dyDescent="0.25">
      <c r="A974">
        <v>376</v>
      </c>
      <c r="B974" t="s">
        <v>764</v>
      </c>
      <c r="C974">
        <v>37.211648703999998</v>
      </c>
      <c r="D974">
        <v>-7.0492142588100002</v>
      </c>
      <c r="E974">
        <v>2</v>
      </c>
      <c r="F974">
        <v>2</v>
      </c>
      <c r="G974">
        <v>2</v>
      </c>
      <c r="J974" t="s">
        <v>15</v>
      </c>
      <c r="K974">
        <v>2</v>
      </c>
      <c r="L974">
        <v>1.907</v>
      </c>
      <c r="M974">
        <v>0</v>
      </c>
      <c r="N974" t="s">
        <v>10019</v>
      </c>
      <c r="O974" t="str">
        <f>HYPERLINK("2\0\marker_689_961109.png", "Ver Imagen")</f>
        <v>Ver Imagen</v>
      </c>
      <c r="P974" t="str">
        <f>HYPERLINK("SE\A-5052\A-5052__310.png", "Ver Imagen")</f>
        <v>Ver Imagen</v>
      </c>
    </row>
    <row r="975" spans="1:16" x14ac:dyDescent="0.25">
      <c r="A975">
        <v>377</v>
      </c>
      <c r="B975" t="s">
        <v>766</v>
      </c>
      <c r="C975">
        <v>37.211656933900002</v>
      </c>
      <c r="D975">
        <v>-7.0472289759700004</v>
      </c>
      <c r="E975">
        <v>2</v>
      </c>
      <c r="F975">
        <v>2</v>
      </c>
      <c r="G975">
        <v>2</v>
      </c>
      <c r="J975" t="s">
        <v>15</v>
      </c>
      <c r="K975">
        <v>2</v>
      </c>
      <c r="L975">
        <v>1.825</v>
      </c>
      <c r="M975">
        <v>0</v>
      </c>
      <c r="N975" t="s">
        <v>10019</v>
      </c>
      <c r="O975" t="str">
        <f>HYPERLINK("2\0\marker_411_961230.png", "Ver Imagen")</f>
        <v>Ver Imagen</v>
      </c>
      <c r="P975" t="str">
        <f>HYPERLINK("SE\A-5052\A-5052__318.png", "Ver Imagen")</f>
        <v>Ver Imagen</v>
      </c>
    </row>
    <row r="976" spans="1:16" x14ac:dyDescent="0.25">
      <c r="A976">
        <v>379</v>
      </c>
      <c r="B976" t="s">
        <v>770</v>
      </c>
      <c r="C976">
        <v>37.210781011900004</v>
      </c>
      <c r="D976">
        <v>-7.0438400084000001</v>
      </c>
      <c r="E976">
        <v>2</v>
      </c>
      <c r="F976">
        <v>2</v>
      </c>
      <c r="G976">
        <v>2</v>
      </c>
      <c r="J976" t="s">
        <v>15</v>
      </c>
      <c r="K976">
        <v>2</v>
      </c>
      <c r="L976">
        <v>1.9259999999999999</v>
      </c>
      <c r="M976">
        <v>0</v>
      </c>
      <c r="N976" t="s">
        <v>10018</v>
      </c>
      <c r="O976" t="str">
        <f>HYPERLINK("2\0\marker_397_961521.png", "Ver Imagen")</f>
        <v>Ver Imagen</v>
      </c>
      <c r="P976" t="str">
        <f>HYPERLINK("SE\A-5052\A-5052__332.png", "Ver Imagen")</f>
        <v>Ver Imagen</v>
      </c>
    </row>
    <row r="977" spans="1:16" x14ac:dyDescent="0.25">
      <c r="A977">
        <v>380</v>
      </c>
      <c r="B977" t="s">
        <v>772</v>
      </c>
      <c r="C977">
        <v>37.210187690399998</v>
      </c>
      <c r="D977">
        <v>-7.0422466466899998</v>
      </c>
      <c r="E977">
        <v>2</v>
      </c>
      <c r="F977">
        <v>2</v>
      </c>
      <c r="G977">
        <v>2</v>
      </c>
      <c r="J977" t="s">
        <v>15</v>
      </c>
      <c r="K977">
        <v>2</v>
      </c>
      <c r="L977">
        <v>2.04</v>
      </c>
      <c r="M977">
        <v>0</v>
      </c>
      <c r="N977" t="s">
        <v>10019</v>
      </c>
      <c r="O977" t="str">
        <f>HYPERLINK("2\0\marker_932_961609.png", "Ver Imagen")</f>
        <v>Ver Imagen</v>
      </c>
      <c r="P977" t="str">
        <f>HYPERLINK("SE\A-5052\A-5052__339.png", "Ver Imagen")</f>
        <v>Ver Imagen</v>
      </c>
    </row>
    <row r="978" spans="1:16" x14ac:dyDescent="0.25">
      <c r="A978">
        <v>381</v>
      </c>
      <c r="B978" t="s">
        <v>774</v>
      </c>
      <c r="C978">
        <v>37.209853895999998</v>
      </c>
      <c r="D978">
        <v>-7.0413470197899999</v>
      </c>
      <c r="E978">
        <v>2</v>
      </c>
      <c r="F978">
        <v>2</v>
      </c>
      <c r="G978">
        <v>2</v>
      </c>
      <c r="J978" t="s">
        <v>15</v>
      </c>
      <c r="K978">
        <v>2</v>
      </c>
      <c r="L978">
        <v>1.9550000000000001</v>
      </c>
      <c r="M978">
        <v>0</v>
      </c>
      <c r="N978" t="s">
        <v>10019</v>
      </c>
      <c r="O978" t="str">
        <f>HYPERLINK("2\0\marker_219_961656.png", "Ver Imagen")</f>
        <v>Ver Imagen</v>
      </c>
      <c r="P978" t="str">
        <f>HYPERLINK("SE\A-5052\A-5052__343.png", "Ver Imagen")</f>
        <v>Ver Imagen</v>
      </c>
    </row>
    <row r="979" spans="1:16" x14ac:dyDescent="0.25">
      <c r="A979">
        <v>382</v>
      </c>
      <c r="B979" t="s">
        <v>776</v>
      </c>
      <c r="C979">
        <v>37.209677966599997</v>
      </c>
      <c r="D979">
        <v>-7.04088586639</v>
      </c>
      <c r="E979">
        <v>2</v>
      </c>
      <c r="F979">
        <v>2</v>
      </c>
      <c r="G979">
        <v>2</v>
      </c>
      <c r="J979" t="s">
        <v>15</v>
      </c>
      <c r="K979">
        <v>2</v>
      </c>
      <c r="L979">
        <v>1.95</v>
      </c>
      <c r="M979">
        <v>0</v>
      </c>
      <c r="N979" t="s">
        <v>10018</v>
      </c>
      <c r="O979" t="str">
        <f>HYPERLINK("2\0\marker_861_961676.png", "Ver Imagen")</f>
        <v>Ver Imagen</v>
      </c>
      <c r="P979" t="str">
        <f>HYPERLINK("SE\A-5052\A-5052__345.png", "Ver Imagen")</f>
        <v>Ver Imagen</v>
      </c>
    </row>
    <row r="980" spans="1:16" x14ac:dyDescent="0.25">
      <c r="A980">
        <v>383</v>
      </c>
      <c r="B980" t="s">
        <v>778</v>
      </c>
      <c r="C980">
        <v>37.209524459400001</v>
      </c>
      <c r="D980">
        <v>-7.0404739142399997</v>
      </c>
      <c r="E980">
        <v>2</v>
      </c>
      <c r="F980">
        <v>2</v>
      </c>
      <c r="G980">
        <v>2</v>
      </c>
      <c r="J980" t="s">
        <v>15</v>
      </c>
      <c r="K980">
        <v>2</v>
      </c>
      <c r="L980">
        <v>2.1190000000000002</v>
      </c>
      <c r="M980">
        <v>0</v>
      </c>
      <c r="N980" t="s">
        <v>10019</v>
      </c>
      <c r="O980" t="str">
        <f>HYPERLINK("2\0\marker_985_961714.png", "Ver Imagen")</f>
        <v>Ver Imagen</v>
      </c>
      <c r="P980" t="str">
        <f>HYPERLINK("SE\A-5052\A-5052__347.png", "Ver Imagen")</f>
        <v>Ver Imagen</v>
      </c>
    </row>
    <row r="981" spans="1:16" x14ac:dyDescent="0.25">
      <c r="A981">
        <v>384</v>
      </c>
      <c r="B981" t="s">
        <v>780</v>
      </c>
      <c r="C981">
        <v>37.203110670000001</v>
      </c>
      <c r="D981">
        <v>-7.0238100174699998</v>
      </c>
      <c r="E981">
        <v>2</v>
      </c>
      <c r="F981">
        <v>2</v>
      </c>
      <c r="G981">
        <v>2</v>
      </c>
      <c r="J981" t="s">
        <v>15</v>
      </c>
      <c r="K981">
        <v>2</v>
      </c>
      <c r="L981">
        <v>2.431</v>
      </c>
      <c r="M981">
        <v>0</v>
      </c>
      <c r="N981" t="s">
        <v>10018</v>
      </c>
      <c r="O981" t="str">
        <f>HYPERLINK("2\0\marker_837_962875.png", "Ver Imagen")</f>
        <v>Ver Imagen</v>
      </c>
      <c r="P981" t="str">
        <f>HYPERLINK("SE\A-5052\A-5052__420.png", "Ver Imagen")</f>
        <v>Ver Imagen</v>
      </c>
    </row>
    <row r="982" spans="1:16" x14ac:dyDescent="0.25">
      <c r="A982">
        <v>385</v>
      </c>
      <c r="B982" t="s">
        <v>782</v>
      </c>
      <c r="C982">
        <v>37.199875330300003</v>
      </c>
      <c r="D982">
        <v>-7.0153619321900003</v>
      </c>
      <c r="E982">
        <v>2</v>
      </c>
      <c r="F982">
        <v>2</v>
      </c>
      <c r="G982">
        <v>2</v>
      </c>
      <c r="J982" t="s">
        <v>15</v>
      </c>
      <c r="K982">
        <v>2</v>
      </c>
      <c r="L982">
        <v>1.8979999999999999</v>
      </c>
      <c r="M982">
        <v>0</v>
      </c>
      <c r="N982" t="s">
        <v>10019</v>
      </c>
      <c r="O982" t="str">
        <f>HYPERLINK("2\0\marker_730_963252.png", "Ver Imagen")</f>
        <v>Ver Imagen</v>
      </c>
      <c r="P982" t="str">
        <f>HYPERLINK("SE\A-5052\A-5052__457.png", "Ver Imagen")</f>
        <v>Ver Imagen</v>
      </c>
    </row>
    <row r="983" spans="1:16" x14ac:dyDescent="0.25">
      <c r="A983">
        <v>386</v>
      </c>
      <c r="B983" t="s">
        <v>784</v>
      </c>
      <c r="C983">
        <v>37.198823034100002</v>
      </c>
      <c r="D983">
        <v>-7.0126249591200001</v>
      </c>
      <c r="E983">
        <v>2</v>
      </c>
      <c r="F983">
        <v>2</v>
      </c>
      <c r="G983">
        <v>2</v>
      </c>
      <c r="J983" t="s">
        <v>15</v>
      </c>
      <c r="K983">
        <v>2</v>
      </c>
      <c r="L983">
        <v>2.1920000000000002</v>
      </c>
      <c r="M983">
        <v>0</v>
      </c>
      <c r="N983" t="s">
        <v>10019</v>
      </c>
      <c r="O983" t="str">
        <f>HYPERLINK("2\0\marker_977_963382.png", "Ver Imagen")</f>
        <v>Ver Imagen</v>
      </c>
      <c r="P983" t="str">
        <f>HYPERLINK("SE\A-5052\A-5052__469.png", "Ver Imagen")</f>
        <v>Ver Imagen</v>
      </c>
    </row>
    <row r="984" spans="1:16" x14ac:dyDescent="0.25">
      <c r="A984">
        <v>387</v>
      </c>
      <c r="B984" t="s">
        <v>786</v>
      </c>
      <c r="C984">
        <v>37.198737502999997</v>
      </c>
      <c r="D984">
        <v>-7.0124110669000004</v>
      </c>
      <c r="E984">
        <v>2</v>
      </c>
      <c r="F984">
        <v>2</v>
      </c>
      <c r="G984">
        <v>2</v>
      </c>
      <c r="J984" t="s">
        <v>15</v>
      </c>
      <c r="K984">
        <v>2</v>
      </c>
      <c r="L984">
        <v>2.2759999999999998</v>
      </c>
      <c r="M984">
        <v>0</v>
      </c>
      <c r="N984" t="s">
        <v>10019</v>
      </c>
      <c r="O984" t="str">
        <f>HYPERLINK("2\0\marker_795_963390.png", "Ver Imagen")</f>
        <v>Ver Imagen</v>
      </c>
      <c r="P984" t="str">
        <f>HYPERLINK("SE\A-5052\A-5052__470.png", "Ver Imagen")</f>
        <v>Ver Imagen</v>
      </c>
    </row>
    <row r="985" spans="1:16" x14ac:dyDescent="0.25">
      <c r="A985">
        <v>388</v>
      </c>
      <c r="B985" t="s">
        <v>788</v>
      </c>
      <c r="C985">
        <v>37.198557957200002</v>
      </c>
      <c r="D985">
        <v>-7.0119491098499998</v>
      </c>
      <c r="E985">
        <v>2</v>
      </c>
      <c r="F985">
        <v>2</v>
      </c>
      <c r="G985">
        <v>2</v>
      </c>
      <c r="J985" t="s">
        <v>15</v>
      </c>
      <c r="K985">
        <v>2</v>
      </c>
      <c r="L985">
        <v>2.2629999999999999</v>
      </c>
      <c r="M985">
        <v>0</v>
      </c>
      <c r="N985" t="s">
        <v>10019</v>
      </c>
      <c r="O985" t="str">
        <f>HYPERLINK("2\0\marker_355_963408.png", "Ver Imagen")</f>
        <v>Ver Imagen</v>
      </c>
      <c r="P985" t="str">
        <f>HYPERLINK("SE\A-5052\A-5052__472.png", "Ver Imagen")</f>
        <v>Ver Imagen</v>
      </c>
    </row>
    <row r="986" spans="1:16" x14ac:dyDescent="0.25">
      <c r="A986">
        <v>390</v>
      </c>
      <c r="B986" t="s">
        <v>792</v>
      </c>
      <c r="C986">
        <v>37.198106535900003</v>
      </c>
      <c r="D986">
        <v>-7.0107820946999997</v>
      </c>
      <c r="E986">
        <v>2</v>
      </c>
      <c r="F986">
        <v>2</v>
      </c>
      <c r="G986">
        <v>2</v>
      </c>
      <c r="J986" t="s">
        <v>15</v>
      </c>
      <c r="K986">
        <v>2</v>
      </c>
      <c r="L986">
        <v>1.9770000000000001</v>
      </c>
      <c r="M986">
        <v>0</v>
      </c>
      <c r="N986" t="s">
        <v>10019</v>
      </c>
      <c r="O986" t="str">
        <f>HYPERLINK("2\0\marker_761_963459.png", "Ver Imagen")</f>
        <v>Ver Imagen</v>
      </c>
      <c r="P986" t="str">
        <f>HYPERLINK("SE\A-5052\A-5052__477.png", "Ver Imagen")</f>
        <v>Ver Imagen</v>
      </c>
    </row>
    <row r="987" spans="1:16" x14ac:dyDescent="0.25">
      <c r="A987">
        <v>391</v>
      </c>
      <c r="B987" t="s">
        <v>794</v>
      </c>
      <c r="C987">
        <v>37.197682824099999</v>
      </c>
      <c r="D987">
        <v>-7.0096865636099999</v>
      </c>
      <c r="E987">
        <v>2</v>
      </c>
      <c r="F987">
        <v>2</v>
      </c>
      <c r="G987">
        <v>2</v>
      </c>
      <c r="J987" t="s">
        <v>15</v>
      </c>
      <c r="K987">
        <v>2</v>
      </c>
      <c r="L987">
        <v>2.1539999999999999</v>
      </c>
      <c r="M987">
        <v>0</v>
      </c>
      <c r="N987" t="s">
        <v>10019</v>
      </c>
      <c r="O987" t="str">
        <f>HYPERLINK("2\0\marker_343_963512.png", "Ver Imagen")</f>
        <v>Ver Imagen</v>
      </c>
      <c r="P987" t="str">
        <f>HYPERLINK("SE\A-5052\A-5052__482.png", "Ver Imagen")</f>
        <v>Ver Imagen</v>
      </c>
    </row>
    <row r="988" spans="1:16" x14ac:dyDescent="0.25">
      <c r="A988">
        <v>392</v>
      </c>
      <c r="B988" t="s">
        <v>796</v>
      </c>
      <c r="C988">
        <v>37.197505703899999</v>
      </c>
      <c r="D988">
        <v>-7.0091928486999997</v>
      </c>
      <c r="E988">
        <v>2</v>
      </c>
      <c r="F988">
        <v>2</v>
      </c>
      <c r="G988">
        <v>2</v>
      </c>
      <c r="J988" t="s">
        <v>15</v>
      </c>
      <c r="K988">
        <v>2</v>
      </c>
      <c r="L988">
        <v>2.2320000000000002</v>
      </c>
      <c r="M988">
        <v>0</v>
      </c>
      <c r="N988" t="s">
        <v>10019</v>
      </c>
      <c r="O988" t="str">
        <f>HYPERLINK("2\0\marker_952_963532.png", "Ver Imagen")</f>
        <v>Ver Imagen</v>
      </c>
      <c r="P988" t="str">
        <f>HYPERLINK("SE\A-5052\A-5052__484.png", "Ver Imagen")</f>
        <v>Ver Imagen</v>
      </c>
    </row>
    <row r="989" spans="1:16" x14ac:dyDescent="0.25">
      <c r="A989">
        <v>393</v>
      </c>
      <c r="B989" t="s">
        <v>798</v>
      </c>
      <c r="C989">
        <v>37.197278734299999</v>
      </c>
      <c r="D989">
        <v>-7.0077203693400003</v>
      </c>
      <c r="E989">
        <v>2</v>
      </c>
      <c r="F989">
        <v>2</v>
      </c>
      <c r="G989">
        <v>2</v>
      </c>
      <c r="J989" t="s">
        <v>15</v>
      </c>
      <c r="K989">
        <v>2</v>
      </c>
      <c r="L989">
        <v>1.972</v>
      </c>
      <c r="M989">
        <v>0</v>
      </c>
      <c r="N989" t="s">
        <v>10019</v>
      </c>
      <c r="O989" t="str">
        <f>HYPERLINK("2\0\marker_170_963589.png", "Ver Imagen")</f>
        <v>Ver Imagen</v>
      </c>
      <c r="P989" t="str">
        <f>HYPERLINK("SE\A-5052\A-5052__490.png", "Ver Imagen")</f>
        <v>Ver Imagen</v>
      </c>
    </row>
    <row r="990" spans="1:16" x14ac:dyDescent="0.25">
      <c r="A990">
        <v>394</v>
      </c>
      <c r="B990" t="s">
        <v>800</v>
      </c>
      <c r="C990">
        <v>37.197255701000003</v>
      </c>
      <c r="D990">
        <v>-7.0074589351399998</v>
      </c>
      <c r="E990">
        <v>2</v>
      </c>
      <c r="F990">
        <v>2</v>
      </c>
      <c r="G990">
        <v>2</v>
      </c>
      <c r="J990" t="s">
        <v>15</v>
      </c>
      <c r="K990">
        <v>2</v>
      </c>
      <c r="L990">
        <v>2.0819999999999999</v>
      </c>
      <c r="M990">
        <v>0</v>
      </c>
      <c r="N990" t="s">
        <v>10019</v>
      </c>
      <c r="O990" t="str">
        <f>HYPERLINK("2\0\marker_236_963597.png", "Ver Imagen")</f>
        <v>Ver Imagen</v>
      </c>
      <c r="P990" t="str">
        <f>HYPERLINK("SE\A-5052\A-5052__491.png", "Ver Imagen")</f>
        <v>Ver Imagen</v>
      </c>
    </row>
    <row r="991" spans="1:16" x14ac:dyDescent="0.25">
      <c r="A991">
        <v>395</v>
      </c>
      <c r="B991" t="s">
        <v>802</v>
      </c>
      <c r="C991">
        <v>37.197232106400001</v>
      </c>
      <c r="D991">
        <v>-7.0072103983399998</v>
      </c>
      <c r="E991">
        <v>2</v>
      </c>
      <c r="F991">
        <v>2</v>
      </c>
      <c r="G991">
        <v>2</v>
      </c>
      <c r="J991" t="s">
        <v>15</v>
      </c>
      <c r="K991">
        <v>2</v>
      </c>
      <c r="L991">
        <v>2.165</v>
      </c>
      <c r="M991">
        <v>0</v>
      </c>
      <c r="N991" t="s">
        <v>10019</v>
      </c>
      <c r="O991" t="str">
        <f>HYPERLINK("2\0\marker_754_963606.png", "Ver Imagen")</f>
        <v>Ver Imagen</v>
      </c>
      <c r="P991" t="str">
        <f>HYPERLINK("SE\A-5052\A-5052__492.png", "Ver Imagen")</f>
        <v>Ver Imagen</v>
      </c>
    </row>
    <row r="992" spans="1:16" x14ac:dyDescent="0.25">
      <c r="A992">
        <v>396</v>
      </c>
      <c r="B992" t="s">
        <v>804</v>
      </c>
      <c r="C992">
        <v>37.197104962399997</v>
      </c>
      <c r="D992">
        <v>-7.0062375364699996</v>
      </c>
      <c r="E992">
        <v>2</v>
      </c>
      <c r="F992">
        <v>2</v>
      </c>
      <c r="G992">
        <v>2</v>
      </c>
      <c r="J992" t="s">
        <v>15</v>
      </c>
      <c r="K992">
        <v>2</v>
      </c>
      <c r="L992">
        <v>2.0510000000000002</v>
      </c>
      <c r="M992">
        <v>0</v>
      </c>
      <c r="N992" t="s">
        <v>10019</v>
      </c>
      <c r="O992" t="str">
        <f>HYPERLINK("2\0\marker_118_963642.png", "Ver Imagen")</f>
        <v>Ver Imagen</v>
      </c>
      <c r="P992" t="str">
        <f>HYPERLINK("SE\A-5052\A-5052__496.png", "Ver Imagen")</f>
        <v>Ver Imagen</v>
      </c>
    </row>
    <row r="993" spans="1:16" x14ac:dyDescent="0.25">
      <c r="A993">
        <v>397</v>
      </c>
      <c r="B993" t="s">
        <v>806</v>
      </c>
      <c r="C993">
        <v>37.287460276799997</v>
      </c>
      <c r="D993">
        <v>-7.1412103809799996</v>
      </c>
      <c r="E993">
        <v>2</v>
      </c>
      <c r="F993">
        <v>2</v>
      </c>
      <c r="G993">
        <v>2</v>
      </c>
      <c r="J993" t="s">
        <v>15</v>
      </c>
      <c r="K993">
        <v>2</v>
      </c>
      <c r="L993">
        <v>1.974</v>
      </c>
      <c r="M993">
        <v>0</v>
      </c>
      <c r="N993" t="s">
        <v>10019</v>
      </c>
      <c r="O993" t="str">
        <f>HYPERLINK("2\0\marker_113_963908.png", "Ver Imagen")</f>
        <v>Ver Imagen</v>
      </c>
      <c r="P993" t="str">
        <f>HYPERLINK("SO\A-5053\A-5053__375.png", "Ver Imagen")</f>
        <v>Ver Imagen</v>
      </c>
    </row>
    <row r="994" spans="1:16" x14ac:dyDescent="0.25">
      <c r="A994">
        <v>398</v>
      </c>
      <c r="B994" t="s">
        <v>808</v>
      </c>
      <c r="C994">
        <v>37.2872598744</v>
      </c>
      <c r="D994">
        <v>-7.1412227022200003</v>
      </c>
      <c r="E994">
        <v>2</v>
      </c>
      <c r="F994">
        <v>2</v>
      </c>
      <c r="G994">
        <v>2</v>
      </c>
      <c r="J994" t="s">
        <v>15</v>
      </c>
      <c r="K994">
        <v>2</v>
      </c>
      <c r="L994">
        <v>2.0870000000000002</v>
      </c>
      <c r="M994">
        <v>0</v>
      </c>
      <c r="N994" t="s">
        <v>10019</v>
      </c>
      <c r="O994" t="str">
        <f>HYPERLINK("2\0\marker_702_963918.png", "Ver Imagen")</f>
        <v>Ver Imagen</v>
      </c>
      <c r="P994" t="str">
        <f>HYPERLINK("SO\A-5053\A-5053__374.png", "Ver Imagen")</f>
        <v>Ver Imagen</v>
      </c>
    </row>
    <row r="995" spans="1:16" x14ac:dyDescent="0.25">
      <c r="A995">
        <v>399</v>
      </c>
      <c r="B995" t="s">
        <v>810</v>
      </c>
      <c r="C995">
        <v>37.286854460400001</v>
      </c>
      <c r="D995">
        <v>-7.14132494453</v>
      </c>
      <c r="E995">
        <v>2</v>
      </c>
      <c r="F995">
        <v>2</v>
      </c>
      <c r="G995">
        <v>2</v>
      </c>
      <c r="J995" t="s">
        <v>15</v>
      </c>
      <c r="K995">
        <v>2</v>
      </c>
      <c r="L995">
        <v>1.8140000000000001</v>
      </c>
      <c r="M995">
        <v>0</v>
      </c>
      <c r="N995" t="s">
        <v>10019</v>
      </c>
      <c r="O995" t="str">
        <f>HYPERLINK("2\0\marker_552_963936.png", "Ver Imagen")</f>
        <v>Ver Imagen</v>
      </c>
      <c r="P995" t="str">
        <f>HYPERLINK("SO\A-5053\A-5053__372.png", "Ver Imagen")</f>
        <v>Ver Imagen</v>
      </c>
    </row>
    <row r="996" spans="1:16" x14ac:dyDescent="0.25">
      <c r="A996">
        <v>400</v>
      </c>
      <c r="B996" t="s">
        <v>812</v>
      </c>
      <c r="C996">
        <v>37.286496462499997</v>
      </c>
      <c r="D996">
        <v>-7.1414963347800002</v>
      </c>
      <c r="E996">
        <v>2</v>
      </c>
      <c r="F996">
        <v>2</v>
      </c>
      <c r="G996">
        <v>2</v>
      </c>
      <c r="J996" t="s">
        <v>15</v>
      </c>
      <c r="K996">
        <v>2</v>
      </c>
      <c r="L996">
        <v>1.9470000000000001</v>
      </c>
      <c r="M996">
        <v>0</v>
      </c>
      <c r="N996" t="s">
        <v>10019</v>
      </c>
      <c r="O996" t="str">
        <f>HYPERLINK("2\0\marker_546_963958.png", "Ver Imagen")</f>
        <v>Ver Imagen</v>
      </c>
      <c r="P996" t="str">
        <f>HYPERLINK("SO\A-5053\A-5053__370.png", "Ver Imagen")</f>
        <v>Ver Imagen</v>
      </c>
    </row>
    <row r="997" spans="1:16" x14ac:dyDescent="0.25">
      <c r="A997">
        <v>401</v>
      </c>
      <c r="B997" t="s">
        <v>814</v>
      </c>
      <c r="C997">
        <v>37.284373527100001</v>
      </c>
      <c r="D997">
        <v>-7.1432089563599996</v>
      </c>
      <c r="E997">
        <v>2</v>
      </c>
      <c r="F997">
        <v>2</v>
      </c>
      <c r="G997">
        <v>2</v>
      </c>
      <c r="J997" t="s">
        <v>15</v>
      </c>
      <c r="K997">
        <v>2</v>
      </c>
      <c r="L997">
        <v>2</v>
      </c>
      <c r="M997">
        <v>0</v>
      </c>
      <c r="N997" t="s">
        <v>10019</v>
      </c>
      <c r="O997" t="str">
        <f>HYPERLINK("2\0\marker_154_964103.png", "Ver Imagen")</f>
        <v>Ver Imagen</v>
      </c>
      <c r="P997" t="str">
        <f>HYPERLINK("SO\A-5053\A-5053__357.png", "Ver Imagen")</f>
        <v>Ver Imagen</v>
      </c>
    </row>
    <row r="998" spans="1:16" x14ac:dyDescent="0.25">
      <c r="A998">
        <v>402</v>
      </c>
      <c r="B998" t="s">
        <v>816</v>
      </c>
      <c r="C998">
        <v>37.284197364199997</v>
      </c>
      <c r="D998">
        <v>-7.1433183746199997</v>
      </c>
      <c r="E998">
        <v>2</v>
      </c>
      <c r="F998">
        <v>2</v>
      </c>
      <c r="G998">
        <v>2</v>
      </c>
      <c r="J998" t="s">
        <v>15</v>
      </c>
      <c r="K998">
        <v>2</v>
      </c>
      <c r="L998">
        <v>2.4119999999999999</v>
      </c>
      <c r="M998">
        <v>0</v>
      </c>
      <c r="N998" t="s">
        <v>10019</v>
      </c>
      <c r="O998" t="str">
        <f>HYPERLINK("2\0\marker_611_964112.png", "Ver Imagen")</f>
        <v>Ver Imagen</v>
      </c>
      <c r="P998" t="str">
        <f>HYPERLINK("SO\A-5053\A-5053__356.png", "Ver Imagen")</f>
        <v>Ver Imagen</v>
      </c>
    </row>
    <row r="999" spans="1:16" x14ac:dyDescent="0.25">
      <c r="A999">
        <v>403</v>
      </c>
      <c r="B999" t="s">
        <v>818</v>
      </c>
      <c r="C999">
        <v>37.284003742599999</v>
      </c>
      <c r="D999">
        <v>-7.1434360480499999</v>
      </c>
      <c r="E999">
        <v>2</v>
      </c>
      <c r="F999">
        <v>2</v>
      </c>
      <c r="G999">
        <v>2</v>
      </c>
      <c r="J999" t="s">
        <v>15</v>
      </c>
      <c r="K999">
        <v>2</v>
      </c>
      <c r="L999">
        <v>2.383</v>
      </c>
      <c r="M999">
        <v>0</v>
      </c>
      <c r="N999" t="s">
        <v>10017</v>
      </c>
      <c r="O999" t="str">
        <f>HYPERLINK("2\0\marker_816_964123.png", "Ver Imagen")</f>
        <v>Ver Imagen</v>
      </c>
      <c r="P999" t="str">
        <f>HYPERLINK("SO\A-5053\A-5053__355.png", "Ver Imagen")</f>
        <v>Ver Imagen</v>
      </c>
    </row>
    <row r="1000" spans="1:16" x14ac:dyDescent="0.25">
      <c r="A1000">
        <v>404</v>
      </c>
      <c r="B1000" t="s">
        <v>820</v>
      </c>
      <c r="C1000">
        <v>37.283634732300001</v>
      </c>
      <c r="D1000">
        <v>-7.1436406409700002</v>
      </c>
      <c r="E1000">
        <v>2</v>
      </c>
      <c r="F1000">
        <v>2</v>
      </c>
      <c r="G1000">
        <v>2</v>
      </c>
      <c r="J1000" t="s">
        <v>15</v>
      </c>
      <c r="K1000">
        <v>2</v>
      </c>
      <c r="L1000">
        <v>1.97</v>
      </c>
      <c r="M1000">
        <v>0</v>
      </c>
      <c r="N1000" t="s">
        <v>10019</v>
      </c>
      <c r="O1000" t="str">
        <f>HYPERLINK("2\0\marker_672_964145.png", "Ver Imagen")</f>
        <v>Ver Imagen</v>
      </c>
      <c r="P1000" t="str">
        <f>HYPERLINK("SO\A-5053\A-5053__353.png", "Ver Imagen")</f>
        <v>Ver Imagen</v>
      </c>
    </row>
    <row r="1001" spans="1:16" x14ac:dyDescent="0.25">
      <c r="A1001">
        <v>405</v>
      </c>
      <c r="B1001" t="s">
        <v>822</v>
      </c>
      <c r="C1001">
        <v>37.283453199699998</v>
      </c>
      <c r="D1001">
        <v>-7.1437311285299998</v>
      </c>
      <c r="E1001">
        <v>2</v>
      </c>
      <c r="F1001">
        <v>2</v>
      </c>
      <c r="G1001">
        <v>2</v>
      </c>
      <c r="J1001" t="s">
        <v>15</v>
      </c>
      <c r="K1001">
        <v>2</v>
      </c>
      <c r="L1001">
        <v>1.8879999999999999</v>
      </c>
      <c r="M1001">
        <v>0</v>
      </c>
      <c r="N1001" t="s">
        <v>10019</v>
      </c>
      <c r="O1001" t="str">
        <f>HYPERLINK("2\0\marker_189_964154.png", "Ver Imagen")</f>
        <v>Ver Imagen</v>
      </c>
      <c r="P1001" t="str">
        <f>HYPERLINK("SO\A-5053\A-5053__352.png", "Ver Imagen")</f>
        <v>Ver Imagen</v>
      </c>
    </row>
    <row r="1002" spans="1:16" x14ac:dyDescent="0.25">
      <c r="A1002">
        <v>406</v>
      </c>
      <c r="B1002" t="s">
        <v>824</v>
      </c>
      <c r="C1002">
        <v>37.283085196400002</v>
      </c>
      <c r="D1002">
        <v>-7.1438971854800002</v>
      </c>
      <c r="E1002">
        <v>2</v>
      </c>
      <c r="F1002">
        <v>2</v>
      </c>
      <c r="G1002">
        <v>2</v>
      </c>
      <c r="J1002" t="s">
        <v>15</v>
      </c>
      <c r="K1002">
        <v>2</v>
      </c>
      <c r="L1002">
        <v>2.2240000000000002</v>
      </c>
      <c r="M1002">
        <v>0</v>
      </c>
      <c r="N1002" t="s">
        <v>10019</v>
      </c>
      <c r="O1002" t="str">
        <f>HYPERLINK("2\0\marker_878_964174.png", "Ver Imagen")</f>
        <v>Ver Imagen</v>
      </c>
      <c r="P1002" t="str">
        <f>HYPERLINK("SO\A-5053\A-5053__350.png", "Ver Imagen")</f>
        <v>Ver Imagen</v>
      </c>
    </row>
    <row r="1003" spans="1:16" x14ac:dyDescent="0.25">
      <c r="A1003">
        <v>407</v>
      </c>
      <c r="B1003" t="s">
        <v>826</v>
      </c>
      <c r="C1003">
        <v>37.282889749299997</v>
      </c>
      <c r="D1003">
        <v>-7.1439766877100004</v>
      </c>
      <c r="E1003">
        <v>2</v>
      </c>
      <c r="F1003">
        <v>2</v>
      </c>
      <c r="G1003">
        <v>2</v>
      </c>
      <c r="J1003" t="s">
        <v>15</v>
      </c>
      <c r="K1003">
        <v>2</v>
      </c>
      <c r="L1003">
        <v>2.036</v>
      </c>
      <c r="M1003">
        <v>0</v>
      </c>
      <c r="N1003" t="s">
        <v>10019</v>
      </c>
      <c r="O1003" t="str">
        <f>HYPERLINK("2\0\marker_643_964184.png", "Ver Imagen")</f>
        <v>Ver Imagen</v>
      </c>
      <c r="P1003" t="str">
        <f>HYPERLINK("SO\A-5053\A-5053__349.png", "Ver Imagen")</f>
        <v>Ver Imagen</v>
      </c>
    </row>
    <row r="1004" spans="1:16" x14ac:dyDescent="0.25">
      <c r="A1004">
        <v>408</v>
      </c>
      <c r="B1004" t="s">
        <v>828</v>
      </c>
      <c r="C1004">
        <v>37.282486755500003</v>
      </c>
      <c r="D1004">
        <v>-7.1441391957000002</v>
      </c>
      <c r="E1004">
        <v>2</v>
      </c>
      <c r="F1004">
        <v>2</v>
      </c>
      <c r="G1004">
        <v>2</v>
      </c>
      <c r="J1004" t="s">
        <v>15</v>
      </c>
      <c r="K1004">
        <v>2</v>
      </c>
      <c r="L1004">
        <v>2.14</v>
      </c>
      <c r="M1004">
        <v>0</v>
      </c>
      <c r="N1004" t="s">
        <v>10019</v>
      </c>
      <c r="O1004" t="str">
        <f>HYPERLINK("2\0\marker_916_964203.png", "Ver Imagen")</f>
        <v>Ver Imagen</v>
      </c>
      <c r="P1004" t="str">
        <f>HYPERLINK("SO\A-5053\A-5053__347.png", "Ver Imagen")</f>
        <v>Ver Imagen</v>
      </c>
    </row>
    <row r="1005" spans="1:16" x14ac:dyDescent="0.25">
      <c r="A1005">
        <v>409</v>
      </c>
      <c r="B1005" t="s">
        <v>830</v>
      </c>
      <c r="C1005">
        <v>37.282306219200002</v>
      </c>
      <c r="D1005">
        <v>-7.1442122696899997</v>
      </c>
      <c r="E1005">
        <v>2</v>
      </c>
      <c r="F1005">
        <v>2</v>
      </c>
      <c r="G1005">
        <v>2</v>
      </c>
      <c r="J1005" t="s">
        <v>15</v>
      </c>
      <c r="K1005">
        <v>2</v>
      </c>
      <c r="L1005">
        <v>1.9430000000000001</v>
      </c>
      <c r="M1005">
        <v>0</v>
      </c>
      <c r="N1005" t="s">
        <v>10019</v>
      </c>
      <c r="O1005" t="str">
        <f>HYPERLINK("2\0\marker_484_964213.png", "Ver Imagen")</f>
        <v>Ver Imagen</v>
      </c>
      <c r="P1005" t="str">
        <f>HYPERLINK("SO\A-5053\A-5053__346.png", "Ver Imagen")</f>
        <v>Ver Imagen</v>
      </c>
    </row>
    <row r="1006" spans="1:16" x14ac:dyDescent="0.25">
      <c r="A1006">
        <v>410</v>
      </c>
      <c r="B1006" t="s">
        <v>832</v>
      </c>
      <c r="C1006">
        <v>37.281726216599999</v>
      </c>
      <c r="D1006">
        <v>-7.1444638988799998</v>
      </c>
      <c r="E1006">
        <v>2</v>
      </c>
      <c r="F1006">
        <v>2</v>
      </c>
      <c r="G1006">
        <v>2</v>
      </c>
      <c r="J1006" t="s">
        <v>15</v>
      </c>
      <c r="K1006">
        <v>2</v>
      </c>
      <c r="L1006">
        <v>1.9590000000000001</v>
      </c>
      <c r="M1006">
        <v>0</v>
      </c>
      <c r="N1006" t="s">
        <v>10019</v>
      </c>
      <c r="O1006" t="str">
        <f>HYPERLINK("2\0\marker_392_964243.png", "Ver Imagen")</f>
        <v>Ver Imagen</v>
      </c>
      <c r="P1006" t="str">
        <f>HYPERLINK("SO\A-5053\A-5053__343.png", "Ver Imagen")</f>
        <v>Ver Imagen</v>
      </c>
    </row>
    <row r="1007" spans="1:16" x14ac:dyDescent="0.25">
      <c r="A1007">
        <v>411</v>
      </c>
      <c r="B1007" t="s">
        <v>834</v>
      </c>
      <c r="C1007">
        <v>37.281547754199998</v>
      </c>
      <c r="D1007">
        <v>-7.14455403887</v>
      </c>
      <c r="E1007">
        <v>2</v>
      </c>
      <c r="F1007">
        <v>2</v>
      </c>
      <c r="G1007">
        <v>2</v>
      </c>
      <c r="J1007" t="s">
        <v>15</v>
      </c>
      <c r="K1007">
        <v>2</v>
      </c>
      <c r="L1007">
        <v>2.375</v>
      </c>
      <c r="M1007">
        <v>0</v>
      </c>
      <c r="N1007" t="s">
        <v>10017</v>
      </c>
      <c r="O1007" t="str">
        <f>HYPERLINK("2\0\marker_868_964252.png", "Ver Imagen")</f>
        <v>Ver Imagen</v>
      </c>
      <c r="P1007" t="str">
        <f>HYPERLINK("SO\A-5053\A-5053__342.png", "Ver Imagen")</f>
        <v>Ver Imagen</v>
      </c>
    </row>
    <row r="1008" spans="1:16" x14ac:dyDescent="0.25">
      <c r="A1008">
        <v>412</v>
      </c>
      <c r="B1008" t="s">
        <v>836</v>
      </c>
      <c r="C1008">
        <v>37.281152284900003</v>
      </c>
      <c r="D1008">
        <v>-7.1447825648999999</v>
      </c>
      <c r="E1008">
        <v>2</v>
      </c>
      <c r="F1008">
        <v>2</v>
      </c>
      <c r="G1008">
        <v>2</v>
      </c>
      <c r="J1008" t="s">
        <v>15</v>
      </c>
      <c r="K1008">
        <v>2</v>
      </c>
      <c r="L1008">
        <v>2.069</v>
      </c>
      <c r="M1008">
        <v>0</v>
      </c>
      <c r="N1008" t="s">
        <v>10019</v>
      </c>
      <c r="O1008" t="str">
        <f>HYPERLINK("2\0\marker_912_964273.png", "Ver Imagen")</f>
        <v>Ver Imagen</v>
      </c>
      <c r="P1008" t="str">
        <f>HYPERLINK("SO\A-5053\A-5053__340.png", "Ver Imagen")</f>
        <v>Ver Imagen</v>
      </c>
    </row>
    <row r="1009" spans="1:16" x14ac:dyDescent="0.25">
      <c r="A1009">
        <v>413</v>
      </c>
      <c r="B1009" t="s">
        <v>838</v>
      </c>
      <c r="C1009">
        <v>37.280170601400002</v>
      </c>
      <c r="D1009">
        <v>-7.1456132922800002</v>
      </c>
      <c r="E1009">
        <v>2</v>
      </c>
      <c r="F1009">
        <v>2</v>
      </c>
      <c r="G1009">
        <v>2</v>
      </c>
      <c r="J1009" t="s">
        <v>15</v>
      </c>
      <c r="K1009">
        <v>2</v>
      </c>
      <c r="L1009">
        <v>1.8169999999999999</v>
      </c>
      <c r="M1009">
        <v>0</v>
      </c>
      <c r="N1009" t="s">
        <v>10019</v>
      </c>
      <c r="O1009" t="str">
        <f>HYPERLINK("2\0\marker_825_964411.png", "Ver Imagen")</f>
        <v>Ver Imagen</v>
      </c>
      <c r="P1009" t="str">
        <f>HYPERLINK("SO\A-5053\A-5053__334.png", "Ver Imagen")</f>
        <v>Ver Imagen</v>
      </c>
    </row>
    <row r="1010" spans="1:16" x14ac:dyDescent="0.25">
      <c r="A1010">
        <v>415</v>
      </c>
      <c r="B1010" t="s">
        <v>842</v>
      </c>
      <c r="C1010">
        <v>37.2766457878</v>
      </c>
      <c r="D1010">
        <v>-7.1430983416</v>
      </c>
      <c r="E1010">
        <v>2</v>
      </c>
      <c r="F1010">
        <v>2</v>
      </c>
      <c r="G1010">
        <v>2</v>
      </c>
      <c r="J1010" t="s">
        <v>15</v>
      </c>
      <c r="K1010">
        <v>2</v>
      </c>
      <c r="L1010">
        <v>2.403</v>
      </c>
      <c r="M1010">
        <v>0</v>
      </c>
      <c r="N1010" t="s">
        <v>10018</v>
      </c>
      <c r="O1010" t="str">
        <f>HYPERLINK("2\0\marker_221_964653.png", "Ver Imagen")</f>
        <v>Ver Imagen</v>
      </c>
      <c r="P1010" t="str">
        <f>HYPERLINK("SO\A-5053\A-5053__312.png", "Ver Imagen")</f>
        <v>Ver Imagen</v>
      </c>
    </row>
    <row r="1011" spans="1:16" x14ac:dyDescent="0.25">
      <c r="A1011">
        <v>416</v>
      </c>
      <c r="B1011" t="s">
        <v>844</v>
      </c>
      <c r="C1011">
        <v>37.276405170399997</v>
      </c>
      <c r="D1011">
        <v>-7.14301967871</v>
      </c>
      <c r="E1011">
        <v>2</v>
      </c>
      <c r="F1011">
        <v>2</v>
      </c>
      <c r="G1011">
        <v>2</v>
      </c>
      <c r="J1011" t="s">
        <v>15</v>
      </c>
      <c r="K1011">
        <v>2</v>
      </c>
      <c r="L1011">
        <v>1.911</v>
      </c>
      <c r="M1011">
        <v>0</v>
      </c>
      <c r="N1011" t="s">
        <v>10019</v>
      </c>
      <c r="O1011" t="str">
        <f>HYPERLINK("2\0\marker_814_964662.png", "Ver Imagen")</f>
        <v>Ver Imagen</v>
      </c>
      <c r="P1011" t="str">
        <f>HYPERLINK("SO\A-5053\A-5053__311.png", "Ver Imagen")</f>
        <v>Ver Imagen</v>
      </c>
    </row>
    <row r="1012" spans="1:16" x14ac:dyDescent="0.25">
      <c r="A1012">
        <v>417</v>
      </c>
      <c r="B1012" t="s">
        <v>846</v>
      </c>
      <c r="C1012">
        <v>37.276226129299999</v>
      </c>
      <c r="D1012">
        <v>-7.14296833599</v>
      </c>
      <c r="E1012">
        <v>2</v>
      </c>
      <c r="F1012">
        <v>2</v>
      </c>
      <c r="G1012">
        <v>2</v>
      </c>
      <c r="J1012" t="s">
        <v>15</v>
      </c>
      <c r="K1012">
        <v>2</v>
      </c>
      <c r="L1012">
        <v>2.0219999999999998</v>
      </c>
      <c r="M1012">
        <v>0</v>
      </c>
      <c r="N1012" t="s">
        <v>10019</v>
      </c>
      <c r="O1012" t="str">
        <f>HYPERLINK("2\0\marker_131_964670.png", "Ver Imagen")</f>
        <v>Ver Imagen</v>
      </c>
      <c r="P1012" t="str">
        <f>HYPERLINK("SO\A-5053\A-5053__310.png", "Ver Imagen")</f>
        <v>Ver Imagen</v>
      </c>
    </row>
    <row r="1013" spans="1:16" x14ac:dyDescent="0.25">
      <c r="A1013">
        <v>418</v>
      </c>
      <c r="B1013" t="s">
        <v>848</v>
      </c>
      <c r="C1013">
        <v>37.276022973400003</v>
      </c>
      <c r="D1013">
        <v>-7.1429136245000002</v>
      </c>
      <c r="E1013">
        <v>2</v>
      </c>
      <c r="F1013">
        <v>2</v>
      </c>
      <c r="G1013">
        <v>2</v>
      </c>
      <c r="J1013" t="s">
        <v>15</v>
      </c>
      <c r="K1013">
        <v>2</v>
      </c>
      <c r="L1013">
        <v>2.2389999999999999</v>
      </c>
      <c r="M1013">
        <v>0</v>
      </c>
      <c r="N1013" t="s">
        <v>10019</v>
      </c>
      <c r="O1013" t="str">
        <f>HYPERLINK("2\0\marker_686_964680.png", "Ver Imagen")</f>
        <v>Ver Imagen</v>
      </c>
      <c r="P1013" t="str">
        <f>HYPERLINK("SO\A-5053\A-5053__309.png", "Ver Imagen")</f>
        <v>Ver Imagen</v>
      </c>
    </row>
    <row r="1014" spans="1:16" x14ac:dyDescent="0.25">
      <c r="A1014">
        <v>419</v>
      </c>
      <c r="B1014" t="s">
        <v>850</v>
      </c>
      <c r="C1014">
        <v>37.275854859299997</v>
      </c>
      <c r="D1014">
        <v>-7.1428693948499999</v>
      </c>
      <c r="E1014">
        <v>2</v>
      </c>
      <c r="F1014">
        <v>2</v>
      </c>
      <c r="G1014">
        <v>2</v>
      </c>
      <c r="J1014" t="s">
        <v>15</v>
      </c>
      <c r="K1014">
        <v>2</v>
      </c>
      <c r="L1014">
        <v>2.0710000000000002</v>
      </c>
      <c r="M1014">
        <v>0</v>
      </c>
      <c r="N1014" t="s">
        <v>10019</v>
      </c>
      <c r="O1014" t="str">
        <f>HYPERLINK("2\0\marker_472_964689.png", "Ver Imagen")</f>
        <v>Ver Imagen</v>
      </c>
      <c r="P1014" t="str">
        <f>HYPERLINK("SO\A-5053\A-5053__308.png", "Ver Imagen")</f>
        <v>Ver Imagen</v>
      </c>
    </row>
    <row r="1015" spans="1:16" x14ac:dyDescent="0.25">
      <c r="A1015">
        <v>420</v>
      </c>
      <c r="B1015" t="s">
        <v>852</v>
      </c>
      <c r="C1015">
        <v>37.275646516400002</v>
      </c>
      <c r="D1015">
        <v>-7.1428154373400004</v>
      </c>
      <c r="E1015">
        <v>2</v>
      </c>
      <c r="F1015">
        <v>2</v>
      </c>
      <c r="G1015">
        <v>2</v>
      </c>
      <c r="J1015" t="s">
        <v>15</v>
      </c>
      <c r="K1015">
        <v>2</v>
      </c>
      <c r="L1015">
        <v>1.8740000000000001</v>
      </c>
      <c r="M1015">
        <v>0</v>
      </c>
      <c r="N1015" t="s">
        <v>10019</v>
      </c>
      <c r="O1015" t="str">
        <f>HYPERLINK("2\0\marker_723_964698.png", "Ver Imagen")</f>
        <v>Ver Imagen</v>
      </c>
      <c r="P1015" t="str">
        <f>HYPERLINK("SO\A-5053\A-5053__307.png", "Ver Imagen")</f>
        <v>Ver Imagen</v>
      </c>
    </row>
    <row r="1016" spans="1:16" x14ac:dyDescent="0.25">
      <c r="A1016">
        <v>421</v>
      </c>
      <c r="B1016" t="s">
        <v>854</v>
      </c>
      <c r="C1016">
        <v>37.275029021599998</v>
      </c>
      <c r="D1016">
        <v>-7.14265266562</v>
      </c>
      <c r="E1016">
        <v>2</v>
      </c>
      <c r="F1016">
        <v>2</v>
      </c>
      <c r="G1016">
        <v>2</v>
      </c>
      <c r="J1016" t="s">
        <v>15</v>
      </c>
      <c r="K1016">
        <v>2</v>
      </c>
      <c r="L1016">
        <v>1.7529999999999999</v>
      </c>
      <c r="M1016">
        <v>0</v>
      </c>
      <c r="N1016" t="s">
        <v>10019</v>
      </c>
      <c r="O1016" t="str">
        <f>HYPERLINK("2\0\marker_348_964731.png", "Ver Imagen")</f>
        <v>Ver Imagen</v>
      </c>
      <c r="P1016" t="str">
        <f>HYPERLINK("SO\A-5053\A-5053__304.png", "Ver Imagen")</f>
        <v>Ver Imagen</v>
      </c>
    </row>
    <row r="1017" spans="1:16" x14ac:dyDescent="0.25">
      <c r="A1017">
        <v>422</v>
      </c>
      <c r="B1017" t="s">
        <v>856</v>
      </c>
      <c r="C1017">
        <v>37.272233285299997</v>
      </c>
      <c r="D1017">
        <v>-7.1413302443999997</v>
      </c>
      <c r="E1017">
        <v>2</v>
      </c>
      <c r="F1017">
        <v>2</v>
      </c>
      <c r="G1017">
        <v>2</v>
      </c>
      <c r="J1017" t="s">
        <v>15</v>
      </c>
      <c r="K1017">
        <v>2</v>
      </c>
      <c r="L1017">
        <v>1.8440000000000001</v>
      </c>
      <c r="M1017">
        <v>0</v>
      </c>
      <c r="N1017" t="s">
        <v>10019</v>
      </c>
      <c r="O1017" t="str">
        <f>HYPERLINK("2\0\marker_705_964967.png", "Ver Imagen")</f>
        <v>Ver Imagen</v>
      </c>
      <c r="P1017" t="str">
        <f>HYPERLINK("SO\A-5053\A-5053__289.png", "Ver Imagen")</f>
        <v>Ver Imagen</v>
      </c>
    </row>
    <row r="1018" spans="1:16" x14ac:dyDescent="0.25">
      <c r="A1018">
        <v>423</v>
      </c>
      <c r="B1018" t="s">
        <v>858</v>
      </c>
      <c r="C1018">
        <v>37.2659105985</v>
      </c>
      <c r="D1018">
        <v>-7.1327945961300001</v>
      </c>
      <c r="E1018">
        <v>2</v>
      </c>
      <c r="F1018">
        <v>2</v>
      </c>
      <c r="G1018">
        <v>2</v>
      </c>
      <c r="J1018" t="s">
        <v>15</v>
      </c>
      <c r="K1018">
        <v>2</v>
      </c>
      <c r="L1018">
        <v>1.78</v>
      </c>
      <c r="M1018">
        <v>0</v>
      </c>
      <c r="N1018" t="s">
        <v>10019</v>
      </c>
      <c r="O1018" t="str">
        <f>HYPERLINK("2\0\marker_493_965490.png", "Ver Imagen")</f>
        <v>Ver Imagen</v>
      </c>
      <c r="P1018" t="str">
        <f>HYPERLINK("SO\A-5053\A-5053__241.png", "Ver Imagen")</f>
        <v>Ver Imagen</v>
      </c>
    </row>
    <row r="1019" spans="1:16" x14ac:dyDescent="0.25">
      <c r="A1019">
        <v>424</v>
      </c>
      <c r="B1019" t="s">
        <v>860</v>
      </c>
      <c r="C1019">
        <v>37.265382946000003</v>
      </c>
      <c r="D1019">
        <v>-7.1324607119200003</v>
      </c>
      <c r="E1019">
        <v>2</v>
      </c>
      <c r="F1019">
        <v>2</v>
      </c>
      <c r="G1019">
        <v>2</v>
      </c>
      <c r="J1019" t="s">
        <v>15</v>
      </c>
      <c r="K1019">
        <v>2</v>
      </c>
      <c r="L1019">
        <v>2.2999999999999998</v>
      </c>
      <c r="M1019">
        <v>0</v>
      </c>
      <c r="N1019" t="s">
        <v>10019</v>
      </c>
      <c r="O1019" t="str">
        <f>HYPERLINK("2\0\marker_656_965518.png", "Ver Imagen")</f>
        <v>Ver Imagen</v>
      </c>
      <c r="P1019" t="str">
        <f>HYPERLINK("SO\A-5053\A-5053__238.png", "Ver Imagen")</f>
        <v>Ver Imagen</v>
      </c>
    </row>
    <row r="1020" spans="1:16" x14ac:dyDescent="0.25">
      <c r="A1020">
        <v>425</v>
      </c>
      <c r="B1020" t="s">
        <v>862</v>
      </c>
      <c r="C1020">
        <v>37.264298095199997</v>
      </c>
      <c r="D1020">
        <v>-7.1317828835899997</v>
      </c>
      <c r="E1020">
        <v>2</v>
      </c>
      <c r="F1020">
        <v>2</v>
      </c>
      <c r="G1020">
        <v>2</v>
      </c>
      <c r="J1020" t="s">
        <v>15</v>
      </c>
      <c r="K1020">
        <v>2</v>
      </c>
      <c r="L1020">
        <v>1.86</v>
      </c>
      <c r="M1020">
        <v>0</v>
      </c>
      <c r="N1020" t="s">
        <v>10019</v>
      </c>
      <c r="O1020" t="str">
        <f>HYPERLINK("2\0\marker_735_965576.png", "Ver Imagen")</f>
        <v>Ver Imagen</v>
      </c>
      <c r="P1020" t="str">
        <f>HYPERLINK("SO\A-5053\A-5053__232.png", "Ver Imagen")</f>
        <v>Ver Imagen</v>
      </c>
    </row>
    <row r="1021" spans="1:16" x14ac:dyDescent="0.25">
      <c r="A1021">
        <v>426</v>
      </c>
      <c r="B1021" t="s">
        <v>864</v>
      </c>
      <c r="C1021">
        <v>37.263595095699998</v>
      </c>
      <c r="D1021">
        <v>-7.13134017392</v>
      </c>
      <c r="E1021">
        <v>2</v>
      </c>
      <c r="F1021">
        <v>2</v>
      </c>
      <c r="G1021">
        <v>2</v>
      </c>
      <c r="J1021" t="s">
        <v>15</v>
      </c>
      <c r="K1021">
        <v>2</v>
      </c>
      <c r="L1021">
        <v>2.2349999999999999</v>
      </c>
      <c r="M1021">
        <v>0</v>
      </c>
      <c r="N1021" t="s">
        <v>10019</v>
      </c>
      <c r="O1021" t="str">
        <f>HYPERLINK("2\0\marker_479_965611.png", "Ver Imagen")</f>
        <v>Ver Imagen</v>
      </c>
      <c r="P1021" t="str">
        <f>HYPERLINK("SO\A-5053\A-5053__228.png", "Ver Imagen")</f>
        <v>Ver Imagen</v>
      </c>
    </row>
    <row r="1022" spans="1:16" x14ac:dyDescent="0.25">
      <c r="A1022">
        <v>427</v>
      </c>
      <c r="B1022" t="s">
        <v>866</v>
      </c>
      <c r="C1022">
        <v>37.263244129599997</v>
      </c>
      <c r="D1022">
        <v>-7.1311171314999999</v>
      </c>
      <c r="E1022">
        <v>2</v>
      </c>
      <c r="F1022">
        <v>2</v>
      </c>
      <c r="G1022">
        <v>2</v>
      </c>
      <c r="J1022" t="s">
        <v>15</v>
      </c>
      <c r="K1022">
        <v>2</v>
      </c>
      <c r="L1022">
        <v>2</v>
      </c>
      <c r="M1022">
        <v>0</v>
      </c>
      <c r="N1022" t="s">
        <v>10019</v>
      </c>
      <c r="O1022" t="str">
        <f>HYPERLINK("2\0\marker_513_965637.png", "Ver Imagen")</f>
        <v>Ver Imagen</v>
      </c>
      <c r="P1022" t="str">
        <f>HYPERLINK("SO\A-5053\A-5053__226.png", "Ver Imagen")</f>
        <v>Ver Imagen</v>
      </c>
    </row>
    <row r="1023" spans="1:16" x14ac:dyDescent="0.25">
      <c r="A1023">
        <v>428</v>
      </c>
      <c r="B1023" t="s">
        <v>868</v>
      </c>
      <c r="C1023">
        <v>37.263034727600001</v>
      </c>
      <c r="D1023">
        <v>-7.1309855647699996</v>
      </c>
      <c r="E1023">
        <v>2</v>
      </c>
      <c r="F1023">
        <v>2</v>
      </c>
      <c r="G1023">
        <v>2</v>
      </c>
      <c r="J1023" t="s">
        <v>15</v>
      </c>
      <c r="K1023">
        <v>2</v>
      </c>
      <c r="L1023">
        <v>2.125</v>
      </c>
      <c r="M1023">
        <v>0</v>
      </c>
      <c r="N1023" t="s">
        <v>10019</v>
      </c>
      <c r="O1023" t="str">
        <f>HYPERLINK("2\0\marker_600_965646.png", "Ver Imagen")</f>
        <v>Ver Imagen</v>
      </c>
      <c r="P1023" t="str">
        <f>HYPERLINK("SO\A-5053\A-5053__225.png", "Ver Imagen")</f>
        <v>Ver Imagen</v>
      </c>
    </row>
    <row r="1024" spans="1:16" x14ac:dyDescent="0.25">
      <c r="A1024">
        <v>429</v>
      </c>
      <c r="B1024" t="s">
        <v>870</v>
      </c>
      <c r="C1024">
        <v>37.258886560900002</v>
      </c>
      <c r="D1024">
        <v>-7.12838498143</v>
      </c>
      <c r="E1024">
        <v>2</v>
      </c>
      <c r="F1024">
        <v>2</v>
      </c>
      <c r="G1024">
        <v>2</v>
      </c>
      <c r="J1024" t="s">
        <v>15</v>
      </c>
      <c r="K1024">
        <v>2</v>
      </c>
      <c r="L1024">
        <v>2.262</v>
      </c>
      <c r="M1024">
        <v>0</v>
      </c>
      <c r="N1024" t="s">
        <v>10019</v>
      </c>
      <c r="O1024" t="str">
        <f>HYPERLINK("2\0\marker_869_965868.png", "Ver Imagen")</f>
        <v>Ver Imagen</v>
      </c>
      <c r="P1024" t="str">
        <f>HYPERLINK("SO\A-5053\A-5053__202.png", "Ver Imagen")</f>
        <v>Ver Imagen</v>
      </c>
    </row>
    <row r="1025" spans="1:16" x14ac:dyDescent="0.25">
      <c r="A1025">
        <v>430</v>
      </c>
      <c r="B1025" t="s">
        <v>872</v>
      </c>
      <c r="C1025">
        <v>37.258514834499998</v>
      </c>
      <c r="D1025">
        <v>-7.12814715836</v>
      </c>
      <c r="E1025">
        <v>2</v>
      </c>
      <c r="F1025">
        <v>2</v>
      </c>
      <c r="G1025">
        <v>2</v>
      </c>
      <c r="J1025" t="s">
        <v>15</v>
      </c>
      <c r="K1025">
        <v>2</v>
      </c>
      <c r="L1025">
        <v>2.2050000000000001</v>
      </c>
      <c r="M1025">
        <v>0</v>
      </c>
      <c r="N1025" t="s">
        <v>10019</v>
      </c>
      <c r="O1025" t="str">
        <f>HYPERLINK("2\0\marker_507_965884.png", "Ver Imagen")</f>
        <v>Ver Imagen</v>
      </c>
      <c r="P1025" t="str">
        <f>HYPERLINK("SO\A-5053\A-5053__200.png", "Ver Imagen")</f>
        <v>Ver Imagen</v>
      </c>
    </row>
    <row r="1026" spans="1:16" x14ac:dyDescent="0.25">
      <c r="A1026">
        <v>431</v>
      </c>
      <c r="B1026" t="s">
        <v>874</v>
      </c>
      <c r="C1026">
        <v>37.258169807599998</v>
      </c>
      <c r="D1026">
        <v>-7.1279269987199996</v>
      </c>
      <c r="E1026">
        <v>2</v>
      </c>
      <c r="F1026">
        <v>2</v>
      </c>
      <c r="G1026">
        <v>2</v>
      </c>
      <c r="J1026" t="s">
        <v>15</v>
      </c>
      <c r="K1026">
        <v>2</v>
      </c>
      <c r="L1026">
        <v>2.0630000000000002</v>
      </c>
      <c r="M1026">
        <v>0</v>
      </c>
      <c r="N1026" t="s">
        <v>10019</v>
      </c>
      <c r="O1026" t="str">
        <f>HYPERLINK("2\0\marker_290_965902.png", "Ver Imagen")</f>
        <v>Ver Imagen</v>
      </c>
      <c r="P1026" t="str">
        <f>HYPERLINK("SO\A-5053\A-5053__198.png", "Ver Imagen")</f>
        <v>Ver Imagen</v>
      </c>
    </row>
    <row r="1027" spans="1:16" x14ac:dyDescent="0.25">
      <c r="A1027">
        <v>432</v>
      </c>
      <c r="B1027" t="s">
        <v>876</v>
      </c>
      <c r="C1027">
        <v>37.257807688299998</v>
      </c>
      <c r="D1027">
        <v>-7.1276982133800004</v>
      </c>
      <c r="E1027">
        <v>2</v>
      </c>
      <c r="F1027">
        <v>2</v>
      </c>
      <c r="G1027">
        <v>2</v>
      </c>
      <c r="J1027" t="s">
        <v>15</v>
      </c>
      <c r="K1027">
        <v>2</v>
      </c>
      <c r="L1027">
        <v>2.1760000000000002</v>
      </c>
      <c r="M1027">
        <v>0</v>
      </c>
      <c r="N1027" t="s">
        <v>10019</v>
      </c>
      <c r="O1027" t="str">
        <f>HYPERLINK("2\0\marker_165_965931.png", "Ver Imagen")</f>
        <v>Ver Imagen</v>
      </c>
      <c r="P1027" t="str">
        <f>HYPERLINK("SO\A-5053\A-5053__196.png", "Ver Imagen")</f>
        <v>Ver Imagen</v>
      </c>
    </row>
    <row r="1028" spans="1:16" x14ac:dyDescent="0.25">
      <c r="A1028">
        <v>433</v>
      </c>
      <c r="B1028" t="s">
        <v>878</v>
      </c>
      <c r="C1028">
        <v>37.257595792799997</v>
      </c>
      <c r="D1028">
        <v>-7.1275650884599999</v>
      </c>
      <c r="E1028">
        <v>2</v>
      </c>
      <c r="F1028">
        <v>2</v>
      </c>
      <c r="G1028">
        <v>2</v>
      </c>
      <c r="J1028" t="s">
        <v>15</v>
      </c>
      <c r="K1028">
        <v>2</v>
      </c>
      <c r="L1028">
        <v>2.1589999999999998</v>
      </c>
      <c r="M1028">
        <v>0</v>
      </c>
      <c r="N1028" t="s">
        <v>10017</v>
      </c>
      <c r="O1028" t="str">
        <f>HYPERLINK("2\0\marker_260_965941.png", "Ver Imagen")</f>
        <v>Ver Imagen</v>
      </c>
      <c r="P1028" t="str">
        <f>HYPERLINK("SO\A-5053\A-5053__195.png", "Ver Imagen")</f>
        <v>Ver Imagen</v>
      </c>
    </row>
    <row r="1029" spans="1:16" x14ac:dyDescent="0.25">
      <c r="A1029">
        <v>434</v>
      </c>
      <c r="B1029" t="s">
        <v>880</v>
      </c>
      <c r="C1029">
        <v>37.257455360100003</v>
      </c>
      <c r="D1029">
        <v>-7.1274762563699996</v>
      </c>
      <c r="E1029">
        <v>2</v>
      </c>
      <c r="F1029">
        <v>2</v>
      </c>
      <c r="G1029">
        <v>2</v>
      </c>
      <c r="J1029" t="s">
        <v>15</v>
      </c>
      <c r="K1029">
        <v>2</v>
      </c>
      <c r="L1029">
        <v>1.8959999999999999</v>
      </c>
      <c r="M1029">
        <v>0</v>
      </c>
      <c r="N1029" t="s">
        <v>10019</v>
      </c>
      <c r="O1029" t="str">
        <f>HYPERLINK("2\0\marker_500_965949.png", "Ver Imagen")</f>
        <v>Ver Imagen</v>
      </c>
      <c r="P1029" t="str">
        <f>HYPERLINK("SO\A-5053\A-5053__194.png", "Ver Imagen")</f>
        <v>Ver Imagen</v>
      </c>
    </row>
    <row r="1030" spans="1:16" x14ac:dyDescent="0.25">
      <c r="A1030">
        <v>436</v>
      </c>
      <c r="B1030" t="s">
        <v>884</v>
      </c>
      <c r="C1030">
        <v>37.257097553400001</v>
      </c>
      <c r="D1030">
        <v>-7.1272521368000001</v>
      </c>
      <c r="E1030">
        <v>2</v>
      </c>
      <c r="F1030">
        <v>2</v>
      </c>
      <c r="G1030">
        <v>2</v>
      </c>
      <c r="J1030" t="s">
        <v>15</v>
      </c>
      <c r="K1030">
        <v>2</v>
      </c>
      <c r="L1030">
        <v>2.3119999999999998</v>
      </c>
      <c r="M1030">
        <v>0</v>
      </c>
      <c r="N1030" t="s">
        <v>10019</v>
      </c>
      <c r="O1030" t="str">
        <f>HYPERLINK("2\0\marker_332_965967.png", "Ver Imagen")</f>
        <v>Ver Imagen</v>
      </c>
      <c r="P1030" t="str">
        <f>HYPERLINK("SO\A-5053\A-5053__192.png", "Ver Imagen")</f>
        <v>Ver Imagen</v>
      </c>
    </row>
    <row r="1031" spans="1:16" x14ac:dyDescent="0.25">
      <c r="A1031">
        <v>437</v>
      </c>
      <c r="B1031" t="s">
        <v>886</v>
      </c>
      <c r="C1031">
        <v>37.256898524699999</v>
      </c>
      <c r="D1031">
        <v>-7.1271334013800001</v>
      </c>
      <c r="E1031">
        <v>2</v>
      </c>
      <c r="F1031">
        <v>2</v>
      </c>
      <c r="G1031">
        <v>2</v>
      </c>
      <c r="J1031" t="s">
        <v>15</v>
      </c>
      <c r="K1031">
        <v>2</v>
      </c>
      <c r="L1031">
        <v>1.847</v>
      </c>
      <c r="M1031">
        <v>0</v>
      </c>
      <c r="N1031" t="s">
        <v>10019</v>
      </c>
      <c r="O1031" t="str">
        <f>HYPERLINK("2\0\marker_305_965975.png", "Ver Imagen")</f>
        <v>Ver Imagen</v>
      </c>
      <c r="P1031" t="str">
        <f>HYPERLINK("SO\A-5053\A-5053__191.png", "Ver Imagen")</f>
        <v>Ver Imagen</v>
      </c>
    </row>
    <row r="1032" spans="1:16" x14ac:dyDescent="0.25">
      <c r="A1032">
        <v>438</v>
      </c>
      <c r="B1032" t="s">
        <v>888</v>
      </c>
      <c r="C1032">
        <v>37.256707389699997</v>
      </c>
      <c r="D1032">
        <v>-7.1270283972300001</v>
      </c>
      <c r="E1032">
        <v>2</v>
      </c>
      <c r="F1032">
        <v>2</v>
      </c>
      <c r="G1032">
        <v>2</v>
      </c>
      <c r="J1032" t="s">
        <v>15</v>
      </c>
      <c r="K1032">
        <v>2</v>
      </c>
      <c r="L1032">
        <v>2.101</v>
      </c>
      <c r="M1032">
        <v>0</v>
      </c>
      <c r="N1032" t="s">
        <v>10019</v>
      </c>
      <c r="O1032" t="str">
        <f>HYPERLINK("2\0\marker_403_965986.png", "Ver Imagen")</f>
        <v>Ver Imagen</v>
      </c>
      <c r="P1032" t="str">
        <f>HYPERLINK("SO\A-5053\A-5053__190.png", "Ver Imagen")</f>
        <v>Ver Imagen</v>
      </c>
    </row>
    <row r="1033" spans="1:16" x14ac:dyDescent="0.25">
      <c r="A1033">
        <v>439</v>
      </c>
      <c r="B1033" t="s">
        <v>890</v>
      </c>
      <c r="C1033">
        <v>37.256481103600002</v>
      </c>
      <c r="D1033">
        <v>-7.1269183171200003</v>
      </c>
      <c r="E1033">
        <v>2</v>
      </c>
      <c r="F1033">
        <v>2</v>
      </c>
      <c r="G1033">
        <v>2</v>
      </c>
      <c r="J1033" t="s">
        <v>15</v>
      </c>
      <c r="K1033">
        <v>2</v>
      </c>
      <c r="L1033">
        <v>1.962</v>
      </c>
      <c r="M1033">
        <v>0</v>
      </c>
      <c r="N1033" t="s">
        <v>10019</v>
      </c>
      <c r="O1033" t="str">
        <f>HYPERLINK("2\0\marker_352_965996.png", "Ver Imagen")</f>
        <v>Ver Imagen</v>
      </c>
      <c r="P1033" t="str">
        <f>HYPERLINK("SO\A-5053\A-5053__189.png", "Ver Imagen")</f>
        <v>Ver Imagen</v>
      </c>
    </row>
    <row r="1034" spans="1:16" x14ac:dyDescent="0.25">
      <c r="A1034">
        <v>440</v>
      </c>
      <c r="B1034" t="s">
        <v>892</v>
      </c>
      <c r="C1034">
        <v>37.2563147065</v>
      </c>
      <c r="D1034">
        <v>-7.1268461712000004</v>
      </c>
      <c r="E1034">
        <v>2</v>
      </c>
      <c r="F1034">
        <v>2</v>
      </c>
      <c r="G1034">
        <v>2</v>
      </c>
      <c r="J1034" t="s">
        <v>15</v>
      </c>
      <c r="K1034">
        <v>2</v>
      </c>
      <c r="L1034">
        <v>1.9730000000000001</v>
      </c>
      <c r="M1034">
        <v>0</v>
      </c>
      <c r="N1034" t="s">
        <v>10017</v>
      </c>
      <c r="O1034" t="str">
        <f>HYPERLINK("2\0\marker_528_966005.png", "Ver Imagen")</f>
        <v>Ver Imagen</v>
      </c>
      <c r="P1034" t="str">
        <f>HYPERLINK("SO\A-5053\A-5053__188.png", "Ver Imagen")</f>
        <v>Ver Imagen</v>
      </c>
    </row>
    <row r="1035" spans="1:16" x14ac:dyDescent="0.25">
      <c r="A1035">
        <v>441</v>
      </c>
      <c r="B1035" t="s">
        <v>894</v>
      </c>
      <c r="C1035">
        <v>37.256142433199997</v>
      </c>
      <c r="D1035">
        <v>-7.1267791859100003</v>
      </c>
      <c r="E1035">
        <v>2</v>
      </c>
      <c r="F1035">
        <v>2</v>
      </c>
      <c r="G1035">
        <v>2</v>
      </c>
      <c r="J1035" t="s">
        <v>15</v>
      </c>
      <c r="K1035">
        <v>2</v>
      </c>
      <c r="L1035">
        <v>1.9379999999999999</v>
      </c>
      <c r="M1035">
        <v>0</v>
      </c>
      <c r="N1035" t="s">
        <v>10019</v>
      </c>
      <c r="O1035" t="str">
        <f>HYPERLINK("2\0\marker_352_966017.png", "Ver Imagen")</f>
        <v>Ver Imagen</v>
      </c>
      <c r="P1035" t="str">
        <f>HYPERLINK("SO\A-5053\A-5053__187.png", "Ver Imagen")</f>
        <v>Ver Imagen</v>
      </c>
    </row>
    <row r="1036" spans="1:16" x14ac:dyDescent="0.25">
      <c r="A1036">
        <v>442</v>
      </c>
      <c r="B1036" t="s">
        <v>896</v>
      </c>
      <c r="C1036">
        <v>37.2559179486</v>
      </c>
      <c r="D1036">
        <v>-7.1267048171700003</v>
      </c>
      <c r="E1036">
        <v>2</v>
      </c>
      <c r="F1036">
        <v>2</v>
      </c>
      <c r="G1036">
        <v>2</v>
      </c>
      <c r="J1036" t="s">
        <v>15</v>
      </c>
      <c r="K1036">
        <v>2</v>
      </c>
      <c r="L1036">
        <v>1.9430000000000001</v>
      </c>
      <c r="M1036">
        <v>0</v>
      </c>
      <c r="N1036" t="s">
        <v>10019</v>
      </c>
      <c r="O1036" t="str">
        <f>HYPERLINK("2\0\marker_788_966031.png", "Ver Imagen")</f>
        <v>Ver Imagen</v>
      </c>
      <c r="P1036" t="str">
        <f>HYPERLINK("SO\A-5053\A-5053__186.png", "Ver Imagen")</f>
        <v>Ver Imagen</v>
      </c>
    </row>
    <row r="1037" spans="1:16" x14ac:dyDescent="0.25">
      <c r="A1037">
        <v>443</v>
      </c>
      <c r="B1037" t="s">
        <v>898</v>
      </c>
      <c r="C1037">
        <v>37.255750498899999</v>
      </c>
      <c r="D1037">
        <v>-7.1266596405399998</v>
      </c>
      <c r="E1037">
        <v>2</v>
      </c>
      <c r="F1037">
        <v>2</v>
      </c>
      <c r="G1037">
        <v>2</v>
      </c>
      <c r="J1037" t="s">
        <v>15</v>
      </c>
      <c r="K1037">
        <v>2</v>
      </c>
      <c r="L1037">
        <v>1.9690000000000001</v>
      </c>
      <c r="M1037">
        <v>0</v>
      </c>
      <c r="N1037" t="s">
        <v>10019</v>
      </c>
      <c r="O1037" t="str">
        <f>HYPERLINK("2\0\marker_343_966040.png", "Ver Imagen")</f>
        <v>Ver Imagen</v>
      </c>
      <c r="P1037" t="str">
        <f>HYPERLINK("SO\A-5053\A-5053__185.png", "Ver Imagen")</f>
        <v>Ver Imagen</v>
      </c>
    </row>
    <row r="1038" spans="1:16" x14ac:dyDescent="0.25">
      <c r="A1038">
        <v>444</v>
      </c>
      <c r="B1038" t="s">
        <v>900</v>
      </c>
      <c r="C1038">
        <v>37.255541477400001</v>
      </c>
      <c r="D1038">
        <v>-7.1266177918000002</v>
      </c>
      <c r="E1038">
        <v>2</v>
      </c>
      <c r="F1038">
        <v>2</v>
      </c>
      <c r="G1038">
        <v>2</v>
      </c>
      <c r="J1038" t="s">
        <v>15</v>
      </c>
      <c r="K1038">
        <v>2</v>
      </c>
      <c r="L1038">
        <v>1.893</v>
      </c>
      <c r="M1038">
        <v>0</v>
      </c>
      <c r="N1038" t="s">
        <v>10019</v>
      </c>
      <c r="O1038" t="str">
        <f>HYPERLINK("2\0\marker_718_966050.png", "Ver Imagen")</f>
        <v>Ver Imagen</v>
      </c>
      <c r="P1038" t="str">
        <f>HYPERLINK("SO\A-5053\A-5053__184.png", "Ver Imagen")</f>
        <v>Ver Imagen</v>
      </c>
    </row>
    <row r="1039" spans="1:16" x14ac:dyDescent="0.25">
      <c r="A1039">
        <v>445</v>
      </c>
      <c r="B1039" t="s">
        <v>902</v>
      </c>
      <c r="C1039">
        <v>37.255374324800002</v>
      </c>
      <c r="D1039">
        <v>-7.1265950020400002</v>
      </c>
      <c r="E1039">
        <v>2</v>
      </c>
      <c r="F1039">
        <v>2</v>
      </c>
      <c r="G1039">
        <v>2</v>
      </c>
      <c r="J1039" t="s">
        <v>15</v>
      </c>
      <c r="K1039">
        <v>2</v>
      </c>
      <c r="L1039">
        <v>2.0390000000000001</v>
      </c>
      <c r="M1039">
        <v>0</v>
      </c>
      <c r="N1039" t="s">
        <v>10019</v>
      </c>
      <c r="O1039" t="str">
        <f>HYPERLINK("2\0\marker_248_966061.png", "Ver Imagen")</f>
        <v>Ver Imagen</v>
      </c>
      <c r="P1039" t="str">
        <f>HYPERLINK("SO\A-5053\A-5053__183.png", "Ver Imagen")</f>
        <v>Ver Imagen</v>
      </c>
    </row>
    <row r="1040" spans="1:16" x14ac:dyDescent="0.25">
      <c r="A1040">
        <v>446</v>
      </c>
      <c r="B1040" t="s">
        <v>904</v>
      </c>
      <c r="C1040">
        <v>37.255159515400003</v>
      </c>
      <c r="D1040">
        <v>-7.1265778286200003</v>
      </c>
      <c r="E1040">
        <v>2</v>
      </c>
      <c r="F1040">
        <v>2</v>
      </c>
      <c r="G1040">
        <v>2</v>
      </c>
      <c r="J1040" t="s">
        <v>15</v>
      </c>
      <c r="K1040">
        <v>2</v>
      </c>
      <c r="L1040">
        <v>2.133</v>
      </c>
      <c r="M1040">
        <v>0</v>
      </c>
      <c r="N1040" t="s">
        <v>10019</v>
      </c>
      <c r="O1040" t="str">
        <f>HYPERLINK("2\0\marker_478_966070.png", "Ver Imagen")</f>
        <v>Ver Imagen</v>
      </c>
      <c r="P1040" t="str">
        <f>HYPERLINK("SO\A-5053\A-5053__182.png", "Ver Imagen")</f>
        <v>Ver Imagen</v>
      </c>
    </row>
    <row r="1041" spans="1:16" x14ac:dyDescent="0.25">
      <c r="A1041">
        <v>447</v>
      </c>
      <c r="B1041" t="s">
        <v>906</v>
      </c>
      <c r="C1041">
        <v>37.254935168999999</v>
      </c>
      <c r="D1041">
        <v>-7.1265747493999996</v>
      </c>
      <c r="E1041">
        <v>2</v>
      </c>
      <c r="F1041">
        <v>2</v>
      </c>
      <c r="G1041">
        <v>2</v>
      </c>
      <c r="J1041" t="s">
        <v>15</v>
      </c>
      <c r="K1041">
        <v>2</v>
      </c>
      <c r="L1041">
        <v>1.861</v>
      </c>
      <c r="M1041">
        <v>0</v>
      </c>
      <c r="N1041" t="s">
        <v>10019</v>
      </c>
      <c r="O1041" t="str">
        <f>HYPERLINK("2\0\marker_555_966079.png", "Ver Imagen")</f>
        <v>Ver Imagen</v>
      </c>
      <c r="P1041" t="str">
        <f>HYPERLINK("SO\A-5053\A-5053__181.png", "Ver Imagen")</f>
        <v>Ver Imagen</v>
      </c>
    </row>
    <row r="1042" spans="1:16" x14ac:dyDescent="0.25">
      <c r="A1042">
        <v>448</v>
      </c>
      <c r="B1042" t="s">
        <v>908</v>
      </c>
      <c r="C1042">
        <v>37.254754630999997</v>
      </c>
      <c r="D1042">
        <v>-7.1265835597400002</v>
      </c>
      <c r="E1042">
        <v>2</v>
      </c>
      <c r="F1042">
        <v>2</v>
      </c>
      <c r="G1042">
        <v>2</v>
      </c>
      <c r="J1042" t="s">
        <v>15</v>
      </c>
      <c r="K1042">
        <v>2</v>
      </c>
      <c r="L1042">
        <v>2.1509999999999998</v>
      </c>
      <c r="M1042">
        <v>0</v>
      </c>
      <c r="N1042" t="s">
        <v>10019</v>
      </c>
      <c r="O1042" t="str">
        <f>HYPERLINK("2\0\marker_523_966089.png", "Ver Imagen")</f>
        <v>Ver Imagen</v>
      </c>
      <c r="P1042" t="str">
        <f>HYPERLINK("SO\A-5053\A-5053__180.png", "Ver Imagen")</f>
        <v>Ver Imagen</v>
      </c>
    </row>
    <row r="1043" spans="1:16" x14ac:dyDescent="0.25">
      <c r="A1043">
        <v>449</v>
      </c>
      <c r="B1043" t="s">
        <v>910</v>
      </c>
      <c r="C1043">
        <v>37.254549179100003</v>
      </c>
      <c r="D1043">
        <v>-7.1266029398299997</v>
      </c>
      <c r="E1043">
        <v>2</v>
      </c>
      <c r="F1043">
        <v>2</v>
      </c>
      <c r="G1043">
        <v>2</v>
      </c>
      <c r="J1043" t="s">
        <v>15</v>
      </c>
      <c r="K1043">
        <v>2</v>
      </c>
      <c r="L1043">
        <v>2.2210000000000001</v>
      </c>
      <c r="M1043">
        <v>0</v>
      </c>
      <c r="N1043" t="s">
        <v>10018</v>
      </c>
      <c r="O1043" t="str">
        <f>HYPERLINK("2\0\marker_268_966099.png", "Ver Imagen")</f>
        <v>Ver Imagen</v>
      </c>
      <c r="P1043" t="str">
        <f>HYPERLINK("SO\A-5053\A-5053__179.png", "Ver Imagen")</f>
        <v>Ver Imagen</v>
      </c>
    </row>
    <row r="1044" spans="1:16" x14ac:dyDescent="0.25">
      <c r="A1044">
        <v>450</v>
      </c>
      <c r="B1044" t="s">
        <v>912</v>
      </c>
      <c r="C1044">
        <v>37.254113373400003</v>
      </c>
      <c r="D1044">
        <v>-7.1266596097199999</v>
      </c>
      <c r="E1044">
        <v>2</v>
      </c>
      <c r="F1044">
        <v>2</v>
      </c>
      <c r="G1044">
        <v>2</v>
      </c>
      <c r="J1044" t="s">
        <v>15</v>
      </c>
      <c r="K1044">
        <v>2</v>
      </c>
      <c r="L1044">
        <v>1.867</v>
      </c>
      <c r="M1044">
        <v>0</v>
      </c>
      <c r="N1044" t="s">
        <v>10019</v>
      </c>
      <c r="O1044" t="str">
        <f>HYPERLINK("2\0\marker_321_966119.png", "Ver Imagen")</f>
        <v>Ver Imagen</v>
      </c>
      <c r="P1044" t="str">
        <f>HYPERLINK("SO\A-5053\A-5053__177.png", "Ver Imagen")</f>
        <v>Ver Imagen</v>
      </c>
    </row>
    <row r="1045" spans="1:16" x14ac:dyDescent="0.25">
      <c r="A1045">
        <v>451</v>
      </c>
      <c r="B1045" t="s">
        <v>914</v>
      </c>
      <c r="C1045">
        <v>37.253922476</v>
      </c>
      <c r="D1045">
        <v>-7.1266872083699999</v>
      </c>
      <c r="E1045">
        <v>2</v>
      </c>
      <c r="F1045">
        <v>2</v>
      </c>
      <c r="G1045">
        <v>2</v>
      </c>
      <c r="J1045" t="s">
        <v>15</v>
      </c>
      <c r="K1045">
        <v>2</v>
      </c>
      <c r="L1045">
        <v>1.954</v>
      </c>
      <c r="M1045">
        <v>0</v>
      </c>
      <c r="N1045" t="s">
        <v>10019</v>
      </c>
      <c r="O1045" t="str">
        <f>HYPERLINK("2\0\marker_298_966128.png", "Ver Imagen")</f>
        <v>Ver Imagen</v>
      </c>
      <c r="P1045" t="str">
        <f>HYPERLINK("SO\A-5053\A-5053__176.png", "Ver Imagen")</f>
        <v>Ver Imagen</v>
      </c>
    </row>
    <row r="1046" spans="1:16" x14ac:dyDescent="0.25">
      <c r="A1046">
        <v>452</v>
      </c>
      <c r="B1046" t="s">
        <v>916</v>
      </c>
      <c r="C1046">
        <v>37.253758571600002</v>
      </c>
      <c r="D1046">
        <v>-7.1267111742100004</v>
      </c>
      <c r="E1046">
        <v>2</v>
      </c>
      <c r="F1046">
        <v>2</v>
      </c>
      <c r="G1046">
        <v>2</v>
      </c>
      <c r="J1046" t="s">
        <v>15</v>
      </c>
      <c r="K1046">
        <v>2</v>
      </c>
      <c r="L1046">
        <v>2.0529999999999999</v>
      </c>
      <c r="M1046">
        <v>0</v>
      </c>
      <c r="N1046" t="s">
        <v>10019</v>
      </c>
      <c r="O1046" t="str">
        <f>HYPERLINK("2\0\marker_339_966143.png", "Ver Imagen")</f>
        <v>Ver Imagen</v>
      </c>
      <c r="P1046" t="str">
        <f>HYPERLINK("SO\A-5053\A-5053__175.png", "Ver Imagen")</f>
        <v>Ver Imagen</v>
      </c>
    </row>
    <row r="1047" spans="1:16" x14ac:dyDescent="0.25">
      <c r="A1047">
        <v>453</v>
      </c>
      <c r="B1047" t="s">
        <v>918</v>
      </c>
      <c r="C1047">
        <v>37.253339343</v>
      </c>
      <c r="D1047">
        <v>-7.1267734298700001</v>
      </c>
      <c r="E1047">
        <v>2</v>
      </c>
      <c r="F1047">
        <v>2</v>
      </c>
      <c r="G1047">
        <v>2</v>
      </c>
      <c r="J1047" t="s">
        <v>15</v>
      </c>
      <c r="K1047">
        <v>2</v>
      </c>
      <c r="L1047">
        <v>1.841</v>
      </c>
      <c r="M1047">
        <v>0</v>
      </c>
      <c r="N1047" t="s">
        <v>10019</v>
      </c>
      <c r="O1047" t="str">
        <f>HYPERLINK("2\0\marker_929_966160.png", "Ver Imagen")</f>
        <v>Ver Imagen</v>
      </c>
      <c r="P1047" t="str">
        <f>HYPERLINK("SO\A-5053\A-5053__173.png", "Ver Imagen")</f>
        <v>Ver Imagen</v>
      </c>
    </row>
    <row r="1048" spans="1:16" x14ac:dyDescent="0.25">
      <c r="A1048">
        <v>454</v>
      </c>
      <c r="B1048" t="s">
        <v>920</v>
      </c>
      <c r="C1048">
        <v>37.253121651999997</v>
      </c>
      <c r="D1048">
        <v>-7.1268072364200004</v>
      </c>
      <c r="E1048">
        <v>2</v>
      </c>
      <c r="F1048">
        <v>2</v>
      </c>
      <c r="G1048">
        <v>2</v>
      </c>
      <c r="J1048" t="s">
        <v>15</v>
      </c>
      <c r="K1048">
        <v>2</v>
      </c>
      <c r="L1048">
        <v>1.661</v>
      </c>
      <c r="M1048">
        <v>0</v>
      </c>
      <c r="N1048" t="s">
        <v>10019</v>
      </c>
      <c r="O1048" t="str">
        <f>HYPERLINK("2\0\marker_209_966169.png", "Ver Imagen")</f>
        <v>Ver Imagen</v>
      </c>
      <c r="P1048" t="str">
        <f>HYPERLINK("SO\A-5053\A-5053__172.png", "Ver Imagen")</f>
        <v>Ver Imagen</v>
      </c>
    </row>
    <row r="1049" spans="1:16" x14ac:dyDescent="0.25">
      <c r="A1049">
        <v>455</v>
      </c>
      <c r="B1049" t="s">
        <v>922</v>
      </c>
      <c r="C1049">
        <v>37.252904602900003</v>
      </c>
      <c r="D1049">
        <v>-7.1268418021000004</v>
      </c>
      <c r="E1049">
        <v>2</v>
      </c>
      <c r="F1049">
        <v>2</v>
      </c>
      <c r="G1049">
        <v>2</v>
      </c>
      <c r="J1049" t="s">
        <v>15</v>
      </c>
      <c r="K1049">
        <v>2</v>
      </c>
      <c r="L1049">
        <v>2.004</v>
      </c>
      <c r="M1049">
        <v>0</v>
      </c>
      <c r="N1049" t="s">
        <v>10017</v>
      </c>
      <c r="O1049" t="str">
        <f>HYPERLINK("2\0\marker_622_966178.png", "Ver Imagen")</f>
        <v>Ver Imagen</v>
      </c>
      <c r="P1049" t="str">
        <f>HYPERLINK("SO\A-5053\A-5053__171.png", "Ver Imagen")</f>
        <v>Ver Imagen</v>
      </c>
    </row>
    <row r="1050" spans="1:16" x14ac:dyDescent="0.25">
      <c r="A1050">
        <v>456</v>
      </c>
      <c r="B1050" t="s">
        <v>924</v>
      </c>
      <c r="C1050">
        <v>37.252728963300001</v>
      </c>
      <c r="D1050">
        <v>-7.1268694294300001</v>
      </c>
      <c r="E1050">
        <v>2</v>
      </c>
      <c r="F1050">
        <v>2</v>
      </c>
      <c r="G1050">
        <v>2</v>
      </c>
      <c r="J1050" t="s">
        <v>15</v>
      </c>
      <c r="K1050">
        <v>2</v>
      </c>
      <c r="L1050">
        <v>2</v>
      </c>
      <c r="M1050">
        <v>0</v>
      </c>
      <c r="N1050" t="s">
        <v>10019</v>
      </c>
      <c r="O1050" t="str">
        <f>HYPERLINK("2\0\marker_576_966187.png", "Ver Imagen")</f>
        <v>Ver Imagen</v>
      </c>
      <c r="P1050" t="str">
        <f>HYPERLINK("SO\A-5053\A-5053__170.png", "Ver Imagen")</f>
        <v>Ver Imagen</v>
      </c>
    </row>
    <row r="1051" spans="1:16" x14ac:dyDescent="0.25">
      <c r="A1051">
        <v>457</v>
      </c>
      <c r="B1051" t="s">
        <v>926</v>
      </c>
      <c r="C1051">
        <v>37.252558878800002</v>
      </c>
      <c r="D1051">
        <v>-7.1268953422900001</v>
      </c>
      <c r="E1051">
        <v>2</v>
      </c>
      <c r="F1051">
        <v>2</v>
      </c>
      <c r="G1051">
        <v>2</v>
      </c>
      <c r="J1051" t="s">
        <v>15</v>
      </c>
      <c r="K1051">
        <v>2</v>
      </c>
      <c r="L1051">
        <v>2.355</v>
      </c>
      <c r="M1051">
        <v>0</v>
      </c>
      <c r="N1051" t="s">
        <v>10017</v>
      </c>
      <c r="O1051" t="str">
        <f>HYPERLINK("2\0\marker_288_966197.png", "Ver Imagen")</f>
        <v>Ver Imagen</v>
      </c>
      <c r="P1051" t="str">
        <f>HYPERLINK("SO\A-5053\A-5053__169.png", "Ver Imagen")</f>
        <v>Ver Imagen</v>
      </c>
    </row>
    <row r="1052" spans="1:16" x14ac:dyDescent="0.25">
      <c r="A1052">
        <v>458</v>
      </c>
      <c r="B1052" t="s">
        <v>928</v>
      </c>
      <c r="C1052">
        <v>37.252333421899998</v>
      </c>
      <c r="D1052">
        <v>-7.1269289923199999</v>
      </c>
      <c r="E1052">
        <v>2</v>
      </c>
      <c r="F1052">
        <v>2</v>
      </c>
      <c r="G1052">
        <v>2</v>
      </c>
      <c r="J1052" t="s">
        <v>15</v>
      </c>
      <c r="K1052">
        <v>2</v>
      </c>
      <c r="L1052">
        <v>2.0449999999999999</v>
      </c>
      <c r="M1052">
        <v>0</v>
      </c>
      <c r="N1052" t="s">
        <v>10019</v>
      </c>
      <c r="O1052" t="str">
        <f>HYPERLINK("2\0\marker_714_966206.png", "Ver Imagen")</f>
        <v>Ver Imagen</v>
      </c>
      <c r="P1052" t="str">
        <f>HYPERLINK("SO\A-5053\A-5053__168.png", "Ver Imagen")</f>
        <v>Ver Imagen</v>
      </c>
    </row>
    <row r="1053" spans="1:16" x14ac:dyDescent="0.25">
      <c r="A1053">
        <v>460</v>
      </c>
      <c r="B1053" t="s">
        <v>932</v>
      </c>
      <c r="C1053">
        <v>37.251907059700002</v>
      </c>
      <c r="D1053">
        <v>-7.1269919988100003</v>
      </c>
      <c r="E1053">
        <v>2</v>
      </c>
      <c r="F1053">
        <v>2</v>
      </c>
      <c r="G1053">
        <v>2</v>
      </c>
      <c r="J1053" t="s">
        <v>15</v>
      </c>
      <c r="K1053">
        <v>2</v>
      </c>
      <c r="L1053">
        <v>2.02</v>
      </c>
      <c r="M1053">
        <v>0</v>
      </c>
      <c r="N1053" t="s">
        <v>10019</v>
      </c>
      <c r="O1053" t="str">
        <f>HYPERLINK("2\0\marker_463_966231.png", "Ver Imagen")</f>
        <v>Ver Imagen</v>
      </c>
      <c r="P1053" t="str">
        <f>HYPERLINK("SO\A-5053\A-5053__166.png", "Ver Imagen")</f>
        <v>Ver Imagen</v>
      </c>
    </row>
    <row r="1054" spans="1:16" x14ac:dyDescent="0.25">
      <c r="A1054">
        <v>461</v>
      </c>
      <c r="B1054" t="s">
        <v>934</v>
      </c>
      <c r="C1054">
        <v>37.251557965300002</v>
      </c>
      <c r="D1054">
        <v>-7.1270456191799996</v>
      </c>
      <c r="E1054">
        <v>2</v>
      </c>
      <c r="F1054">
        <v>2</v>
      </c>
      <c r="G1054">
        <v>2</v>
      </c>
      <c r="J1054" t="s">
        <v>15</v>
      </c>
      <c r="K1054">
        <v>2</v>
      </c>
      <c r="L1054">
        <v>2.4769999999999999</v>
      </c>
      <c r="M1054">
        <v>0</v>
      </c>
      <c r="N1054" t="s">
        <v>10018</v>
      </c>
      <c r="O1054" t="str">
        <f>HYPERLINK("2\0\marker_910_966248.png", "Ver Imagen")</f>
        <v>Ver Imagen</v>
      </c>
      <c r="P1054" t="str">
        <f>HYPERLINK("SO\A-5053\A-5053__164.png", "Ver Imagen")</f>
        <v>Ver Imagen</v>
      </c>
    </row>
    <row r="1055" spans="1:16" x14ac:dyDescent="0.25">
      <c r="A1055">
        <v>462</v>
      </c>
      <c r="B1055" t="s">
        <v>936</v>
      </c>
      <c r="C1055">
        <v>37.251338312599998</v>
      </c>
      <c r="D1055">
        <v>-7.1270788139699999</v>
      </c>
      <c r="E1055">
        <v>2</v>
      </c>
      <c r="F1055">
        <v>2</v>
      </c>
      <c r="G1055">
        <v>2</v>
      </c>
      <c r="J1055" t="s">
        <v>15</v>
      </c>
      <c r="K1055">
        <v>2</v>
      </c>
      <c r="L1055">
        <v>2.4900000000000002</v>
      </c>
      <c r="M1055">
        <v>0</v>
      </c>
      <c r="N1055" t="s">
        <v>10017</v>
      </c>
      <c r="O1055" t="str">
        <f>HYPERLINK("2\0\marker_112_966257.png", "Ver Imagen")</f>
        <v>Ver Imagen</v>
      </c>
      <c r="P1055" t="str">
        <f>HYPERLINK("SO\A-5053\A-5053__163.png", "Ver Imagen")</f>
        <v>Ver Imagen</v>
      </c>
    </row>
    <row r="1056" spans="1:16" x14ac:dyDescent="0.25">
      <c r="A1056">
        <v>463</v>
      </c>
      <c r="B1056" t="s">
        <v>938</v>
      </c>
      <c r="C1056">
        <v>37.251121384299999</v>
      </c>
      <c r="D1056">
        <v>-7.1271107553500004</v>
      </c>
      <c r="E1056">
        <v>2</v>
      </c>
      <c r="F1056">
        <v>2</v>
      </c>
      <c r="G1056">
        <v>2</v>
      </c>
      <c r="J1056" t="s">
        <v>15</v>
      </c>
      <c r="K1056">
        <v>2</v>
      </c>
      <c r="L1056">
        <v>1.9850000000000001</v>
      </c>
      <c r="M1056">
        <v>0</v>
      </c>
      <c r="N1056" t="s">
        <v>10019</v>
      </c>
      <c r="O1056" t="str">
        <f>HYPERLINK("2\0\marker_400_966267.png", "Ver Imagen")</f>
        <v>Ver Imagen</v>
      </c>
      <c r="P1056" t="str">
        <f>HYPERLINK("SO\A-5053\A-5053__162.png", "Ver Imagen")</f>
        <v>Ver Imagen</v>
      </c>
    </row>
    <row r="1057" spans="1:16" x14ac:dyDescent="0.25">
      <c r="A1057">
        <v>464</v>
      </c>
      <c r="B1057" t="s">
        <v>940</v>
      </c>
      <c r="C1057">
        <v>37.250901947899997</v>
      </c>
      <c r="D1057">
        <v>-7.1271430323600002</v>
      </c>
      <c r="E1057">
        <v>2</v>
      </c>
      <c r="F1057">
        <v>2</v>
      </c>
      <c r="G1057">
        <v>2</v>
      </c>
      <c r="J1057" t="s">
        <v>15</v>
      </c>
      <c r="K1057">
        <v>2</v>
      </c>
      <c r="L1057">
        <v>1.9950000000000001</v>
      </c>
      <c r="M1057">
        <v>0</v>
      </c>
      <c r="N1057" t="s">
        <v>10019</v>
      </c>
      <c r="O1057" t="str">
        <f>HYPERLINK("2\0\marker_254_966278.png", "Ver Imagen")</f>
        <v>Ver Imagen</v>
      </c>
      <c r="P1057" t="str">
        <f>HYPERLINK("SO\A-5053\A-5053__161.png", "Ver Imagen")</f>
        <v>Ver Imagen</v>
      </c>
    </row>
    <row r="1058" spans="1:16" x14ac:dyDescent="0.25">
      <c r="A1058">
        <v>465</v>
      </c>
      <c r="B1058" t="s">
        <v>942</v>
      </c>
      <c r="C1058">
        <v>37.250697782899998</v>
      </c>
      <c r="D1058">
        <v>-7.1271735518500003</v>
      </c>
      <c r="E1058">
        <v>2</v>
      </c>
      <c r="F1058">
        <v>2</v>
      </c>
      <c r="G1058">
        <v>2</v>
      </c>
      <c r="J1058" t="s">
        <v>15</v>
      </c>
      <c r="K1058">
        <v>2</v>
      </c>
      <c r="L1058">
        <v>1.9850000000000001</v>
      </c>
      <c r="M1058">
        <v>0</v>
      </c>
      <c r="N1058" t="s">
        <v>10019</v>
      </c>
      <c r="O1058" t="str">
        <f>HYPERLINK("2\0\marker_767_966286.png", "Ver Imagen")</f>
        <v>Ver Imagen</v>
      </c>
      <c r="P1058" t="str">
        <f>HYPERLINK("SO\A-5053\A-5053__160.png", "Ver Imagen")</f>
        <v>Ver Imagen</v>
      </c>
    </row>
    <row r="1059" spans="1:16" x14ac:dyDescent="0.25">
      <c r="A1059">
        <v>466</v>
      </c>
      <c r="B1059" t="s">
        <v>944</v>
      </c>
      <c r="C1059">
        <v>37.250290497500004</v>
      </c>
      <c r="D1059">
        <v>-7.1272347060900003</v>
      </c>
      <c r="E1059">
        <v>2</v>
      </c>
      <c r="F1059">
        <v>2</v>
      </c>
      <c r="G1059">
        <v>2</v>
      </c>
      <c r="J1059" t="s">
        <v>15</v>
      </c>
      <c r="K1059">
        <v>2</v>
      </c>
      <c r="L1059">
        <v>2.202</v>
      </c>
      <c r="M1059">
        <v>0</v>
      </c>
      <c r="N1059" t="s">
        <v>10019</v>
      </c>
      <c r="O1059" t="str">
        <f>HYPERLINK("2\0\marker_616_966304.png", "Ver Imagen")</f>
        <v>Ver Imagen</v>
      </c>
      <c r="P1059" t="str">
        <f>HYPERLINK("SO\A-5053\A-5053__158.png", "Ver Imagen")</f>
        <v>Ver Imagen</v>
      </c>
    </row>
    <row r="1060" spans="1:16" x14ac:dyDescent="0.25">
      <c r="A1060">
        <v>467</v>
      </c>
      <c r="B1060" t="s">
        <v>946</v>
      </c>
      <c r="C1060">
        <v>37.249701153399997</v>
      </c>
      <c r="D1060">
        <v>-7.1273258303700002</v>
      </c>
      <c r="E1060">
        <v>2</v>
      </c>
      <c r="F1060">
        <v>2</v>
      </c>
      <c r="G1060">
        <v>2</v>
      </c>
      <c r="J1060" t="s">
        <v>15</v>
      </c>
      <c r="K1060">
        <v>2</v>
      </c>
      <c r="L1060">
        <v>2.3719999999999999</v>
      </c>
      <c r="M1060">
        <v>0</v>
      </c>
      <c r="N1060" t="s">
        <v>10018</v>
      </c>
      <c r="O1060" t="str">
        <f>HYPERLINK("2\0\marker_438_966332.png", "Ver Imagen")</f>
        <v>Ver Imagen</v>
      </c>
      <c r="P1060" t="str">
        <f>HYPERLINK("SO\A-5053\A-5053__155.png", "Ver Imagen")</f>
        <v>Ver Imagen</v>
      </c>
    </row>
    <row r="1061" spans="1:16" x14ac:dyDescent="0.25">
      <c r="A1061">
        <v>468</v>
      </c>
      <c r="B1061" t="s">
        <v>948</v>
      </c>
      <c r="C1061">
        <v>37.248893998500002</v>
      </c>
      <c r="D1061">
        <v>-7.1274485483900003</v>
      </c>
      <c r="E1061">
        <v>2</v>
      </c>
      <c r="F1061">
        <v>2</v>
      </c>
      <c r="G1061">
        <v>2</v>
      </c>
      <c r="J1061" t="s">
        <v>15</v>
      </c>
      <c r="K1061">
        <v>2</v>
      </c>
      <c r="L1061">
        <v>2.0760000000000001</v>
      </c>
      <c r="M1061">
        <v>0</v>
      </c>
      <c r="N1061" t="s">
        <v>10019</v>
      </c>
      <c r="O1061" t="str">
        <f>HYPERLINK("2\0\marker_518_966380.png", "Ver Imagen")</f>
        <v>Ver Imagen</v>
      </c>
      <c r="P1061" t="str">
        <f>HYPERLINK("SO\A-5053\A-5053__151.png", "Ver Imagen")</f>
        <v>Ver Imagen</v>
      </c>
    </row>
    <row r="1062" spans="1:16" x14ac:dyDescent="0.25">
      <c r="A1062">
        <v>470</v>
      </c>
      <c r="B1062" t="s">
        <v>952</v>
      </c>
      <c r="C1062">
        <v>37.2460949938</v>
      </c>
      <c r="D1062">
        <v>-7.1278609674500002</v>
      </c>
      <c r="E1062">
        <v>2</v>
      </c>
      <c r="F1062">
        <v>2</v>
      </c>
      <c r="G1062">
        <v>2</v>
      </c>
      <c r="J1062" t="s">
        <v>15</v>
      </c>
      <c r="K1062">
        <v>2</v>
      </c>
      <c r="L1062">
        <v>2.1520000000000001</v>
      </c>
      <c r="M1062">
        <v>0</v>
      </c>
      <c r="N1062" t="s">
        <v>10019</v>
      </c>
      <c r="O1062" t="str">
        <f>HYPERLINK("2\0\marker_320_966513.png", "Ver Imagen")</f>
        <v>Ver Imagen</v>
      </c>
      <c r="P1062" t="str">
        <f>HYPERLINK("SO\A-5053\A-5053__137.png", "Ver Imagen")</f>
        <v>Ver Imagen</v>
      </c>
    </row>
    <row r="1063" spans="1:16" x14ac:dyDescent="0.25">
      <c r="A1063">
        <v>471</v>
      </c>
      <c r="B1063" t="s">
        <v>954</v>
      </c>
      <c r="C1063">
        <v>37.245898712299997</v>
      </c>
      <c r="D1063">
        <v>-7.1278895783499996</v>
      </c>
      <c r="E1063">
        <v>2</v>
      </c>
      <c r="F1063">
        <v>2</v>
      </c>
      <c r="G1063">
        <v>2</v>
      </c>
      <c r="J1063" t="s">
        <v>15</v>
      </c>
      <c r="K1063">
        <v>2</v>
      </c>
      <c r="L1063">
        <v>2.2050000000000001</v>
      </c>
      <c r="M1063">
        <v>0</v>
      </c>
      <c r="N1063" t="s">
        <v>10019</v>
      </c>
      <c r="O1063" t="str">
        <f>HYPERLINK("2\0\marker_267_966521.png", "Ver Imagen")</f>
        <v>Ver Imagen</v>
      </c>
      <c r="P1063" t="str">
        <f>HYPERLINK("SO\A-5053\A-5053__136.png", "Ver Imagen")</f>
        <v>Ver Imagen</v>
      </c>
    </row>
    <row r="1064" spans="1:16" x14ac:dyDescent="0.25">
      <c r="A1064">
        <v>472</v>
      </c>
      <c r="B1064" t="s">
        <v>956</v>
      </c>
      <c r="C1064">
        <v>37.245674923199999</v>
      </c>
      <c r="D1064">
        <v>-7.1279223242600001</v>
      </c>
      <c r="E1064">
        <v>2</v>
      </c>
      <c r="F1064">
        <v>2</v>
      </c>
      <c r="G1064">
        <v>2</v>
      </c>
      <c r="J1064" t="s">
        <v>15</v>
      </c>
      <c r="K1064">
        <v>2</v>
      </c>
      <c r="L1064">
        <v>2.3679999999999999</v>
      </c>
      <c r="M1064">
        <v>0</v>
      </c>
      <c r="N1064" t="s">
        <v>10018</v>
      </c>
      <c r="O1064" t="str">
        <f>HYPERLINK("2\0\marker_976_966528.png", "Ver Imagen")</f>
        <v>Ver Imagen</v>
      </c>
      <c r="P1064" t="str">
        <f>HYPERLINK("SO\A-5053\A-5053__135.png", "Ver Imagen")</f>
        <v>Ver Imagen</v>
      </c>
    </row>
    <row r="1065" spans="1:16" x14ac:dyDescent="0.25">
      <c r="A1065">
        <v>473</v>
      </c>
      <c r="B1065" t="s">
        <v>958</v>
      </c>
      <c r="C1065">
        <v>37.245291196300002</v>
      </c>
      <c r="D1065">
        <v>-7.1279790795200002</v>
      </c>
      <c r="E1065">
        <v>2</v>
      </c>
      <c r="F1065">
        <v>2</v>
      </c>
      <c r="G1065">
        <v>2</v>
      </c>
      <c r="J1065" t="s">
        <v>15</v>
      </c>
      <c r="K1065">
        <v>2</v>
      </c>
      <c r="L1065">
        <v>1.92</v>
      </c>
      <c r="M1065">
        <v>0</v>
      </c>
      <c r="N1065" t="s">
        <v>10019</v>
      </c>
      <c r="O1065" t="str">
        <f>HYPERLINK("2\0\marker_504_966547.png", "Ver Imagen")</f>
        <v>Ver Imagen</v>
      </c>
      <c r="P1065" t="str">
        <f>HYPERLINK("SO\A-5053\A-5053__133.png", "Ver Imagen")</f>
        <v>Ver Imagen</v>
      </c>
    </row>
    <row r="1066" spans="1:16" x14ac:dyDescent="0.25">
      <c r="A1066">
        <v>474</v>
      </c>
      <c r="B1066" t="s">
        <v>960</v>
      </c>
      <c r="C1066">
        <v>37.245058037299998</v>
      </c>
      <c r="D1066">
        <v>-7.1280134258699999</v>
      </c>
      <c r="E1066">
        <v>2</v>
      </c>
      <c r="F1066">
        <v>2</v>
      </c>
      <c r="G1066">
        <v>2</v>
      </c>
      <c r="J1066" t="s">
        <v>15</v>
      </c>
      <c r="K1066">
        <v>2</v>
      </c>
      <c r="L1066">
        <v>2.218</v>
      </c>
      <c r="M1066">
        <v>0</v>
      </c>
      <c r="N1066" t="s">
        <v>10019</v>
      </c>
      <c r="O1066" t="str">
        <f>HYPERLINK("2\0\marker_666_966555.png", "Ver Imagen")</f>
        <v>Ver Imagen</v>
      </c>
      <c r="P1066" t="str">
        <f>HYPERLINK("SO\A-5053\A-5053__132.png", "Ver Imagen")</f>
        <v>Ver Imagen</v>
      </c>
    </row>
    <row r="1067" spans="1:16" x14ac:dyDescent="0.25">
      <c r="A1067">
        <v>476</v>
      </c>
      <c r="B1067" t="s">
        <v>964</v>
      </c>
      <c r="C1067">
        <v>37.244076831599997</v>
      </c>
      <c r="D1067">
        <v>-7.1281533925999998</v>
      </c>
      <c r="E1067">
        <v>2</v>
      </c>
      <c r="F1067">
        <v>2</v>
      </c>
      <c r="G1067">
        <v>2</v>
      </c>
      <c r="J1067" t="s">
        <v>15</v>
      </c>
      <c r="K1067">
        <v>2</v>
      </c>
      <c r="L1067">
        <v>1.9810000000000001</v>
      </c>
      <c r="M1067">
        <v>0</v>
      </c>
      <c r="N1067" t="s">
        <v>10019</v>
      </c>
      <c r="O1067" t="str">
        <f>HYPERLINK("2\0\marker_377_019497.png", "Ver Imagen")</f>
        <v>Ver Imagen</v>
      </c>
      <c r="P1067" t="str">
        <f>HYPERLINK("SO\A-5053\A-5053__127.png", "Ver Imagen")</f>
        <v>Ver Imagen</v>
      </c>
    </row>
    <row r="1068" spans="1:16" x14ac:dyDescent="0.25">
      <c r="A1068">
        <v>477</v>
      </c>
      <c r="B1068" t="s">
        <v>966</v>
      </c>
      <c r="C1068">
        <v>37.243870777200001</v>
      </c>
      <c r="D1068">
        <v>-7.12818350503</v>
      </c>
      <c r="E1068">
        <v>2</v>
      </c>
      <c r="F1068">
        <v>2</v>
      </c>
      <c r="G1068">
        <v>2</v>
      </c>
      <c r="J1068" t="s">
        <v>15</v>
      </c>
      <c r="K1068">
        <v>2</v>
      </c>
      <c r="L1068">
        <v>1.913</v>
      </c>
      <c r="M1068">
        <v>0</v>
      </c>
      <c r="N1068" t="s">
        <v>10019</v>
      </c>
      <c r="O1068" t="str">
        <f>HYPERLINK("2\0\marker_674_019532.png", "Ver Imagen")</f>
        <v>Ver Imagen</v>
      </c>
      <c r="P1068" t="str">
        <f>HYPERLINK("SO\A-5053\A-5053__126.png", "Ver Imagen")</f>
        <v>Ver Imagen</v>
      </c>
    </row>
    <row r="1069" spans="1:16" x14ac:dyDescent="0.25">
      <c r="A1069">
        <v>478</v>
      </c>
      <c r="B1069" t="s">
        <v>968</v>
      </c>
      <c r="C1069">
        <v>37.2436626832</v>
      </c>
      <c r="D1069">
        <v>-7.1282148967500003</v>
      </c>
      <c r="E1069">
        <v>2</v>
      </c>
      <c r="F1069">
        <v>2</v>
      </c>
      <c r="G1069">
        <v>2</v>
      </c>
      <c r="J1069" t="s">
        <v>15</v>
      </c>
      <c r="K1069">
        <v>2</v>
      </c>
      <c r="L1069">
        <v>1.94</v>
      </c>
      <c r="M1069">
        <v>0</v>
      </c>
      <c r="N1069" t="s">
        <v>10019</v>
      </c>
      <c r="O1069" t="str">
        <f>HYPERLINK("2\0\marker_304_019541.png", "Ver Imagen")</f>
        <v>Ver Imagen</v>
      </c>
      <c r="P1069" t="str">
        <f>HYPERLINK("SO\A-5053\A-5053__125.png", "Ver Imagen")</f>
        <v>Ver Imagen</v>
      </c>
    </row>
    <row r="1070" spans="1:16" x14ac:dyDescent="0.25">
      <c r="A1070">
        <v>479</v>
      </c>
      <c r="B1070" t="s">
        <v>970</v>
      </c>
      <c r="C1070">
        <v>37.242450076899999</v>
      </c>
      <c r="D1070">
        <v>-7.1283989743899996</v>
      </c>
      <c r="E1070">
        <v>2</v>
      </c>
      <c r="F1070">
        <v>2</v>
      </c>
      <c r="G1070">
        <v>2</v>
      </c>
      <c r="J1070" t="s">
        <v>15</v>
      </c>
      <c r="K1070">
        <v>2</v>
      </c>
      <c r="L1070">
        <v>2.0590000000000002</v>
      </c>
      <c r="M1070">
        <v>0</v>
      </c>
      <c r="N1070" t="s">
        <v>10019</v>
      </c>
      <c r="O1070" t="str">
        <f>HYPERLINK("2\0\marker_523_019612.png", "Ver Imagen")</f>
        <v>Ver Imagen</v>
      </c>
      <c r="P1070" t="str">
        <f>HYPERLINK("SO\A-5053\A-5053__119.png", "Ver Imagen")</f>
        <v>Ver Imagen</v>
      </c>
    </row>
    <row r="1071" spans="1:16" x14ac:dyDescent="0.25">
      <c r="A1071">
        <v>480</v>
      </c>
      <c r="B1071" t="s">
        <v>972</v>
      </c>
      <c r="C1071">
        <v>37.2418773805</v>
      </c>
      <c r="D1071">
        <v>-7.1284873436099998</v>
      </c>
      <c r="E1071">
        <v>2</v>
      </c>
      <c r="F1071">
        <v>2</v>
      </c>
      <c r="G1071">
        <v>2</v>
      </c>
      <c r="J1071" t="s">
        <v>15</v>
      </c>
      <c r="K1071">
        <v>2</v>
      </c>
      <c r="L1071">
        <v>1.9279999999999999</v>
      </c>
      <c r="M1071">
        <v>0</v>
      </c>
      <c r="N1071" t="s">
        <v>10018</v>
      </c>
      <c r="O1071" t="str">
        <f>HYPERLINK("2\0\marker_984_019641.png", "Ver Imagen")</f>
        <v>Ver Imagen</v>
      </c>
      <c r="P1071" t="str">
        <f>HYPERLINK("SO\A-5053\A-5053__116.png", "Ver Imagen")</f>
        <v>Ver Imagen</v>
      </c>
    </row>
    <row r="1072" spans="1:16" x14ac:dyDescent="0.25">
      <c r="A1072">
        <v>481</v>
      </c>
      <c r="B1072" t="s">
        <v>974</v>
      </c>
      <c r="C1072">
        <v>37.241668603699999</v>
      </c>
      <c r="D1072">
        <v>-7.1285178700599996</v>
      </c>
      <c r="E1072">
        <v>2</v>
      </c>
      <c r="F1072">
        <v>2</v>
      </c>
      <c r="G1072">
        <v>2</v>
      </c>
      <c r="J1072" t="s">
        <v>15</v>
      </c>
      <c r="K1072">
        <v>2</v>
      </c>
      <c r="L1072">
        <v>2.0990000000000002</v>
      </c>
      <c r="M1072">
        <v>0</v>
      </c>
      <c r="N1072" t="s">
        <v>10019</v>
      </c>
      <c r="O1072" t="str">
        <f>HYPERLINK("2\0\marker_889_019653.png", "Ver Imagen")</f>
        <v>Ver Imagen</v>
      </c>
      <c r="P1072" t="str">
        <f>HYPERLINK("SO\A-5053\A-5053__115.png", "Ver Imagen")</f>
        <v>Ver Imagen</v>
      </c>
    </row>
    <row r="1073" spans="1:16" x14ac:dyDescent="0.25">
      <c r="A1073">
        <v>482</v>
      </c>
      <c r="B1073" t="s">
        <v>976</v>
      </c>
      <c r="C1073">
        <v>37.2414802511</v>
      </c>
      <c r="D1073">
        <v>-7.1285433779299998</v>
      </c>
      <c r="E1073">
        <v>2</v>
      </c>
      <c r="F1073">
        <v>2</v>
      </c>
      <c r="G1073">
        <v>2</v>
      </c>
      <c r="J1073" t="s">
        <v>15</v>
      </c>
      <c r="K1073">
        <v>2</v>
      </c>
      <c r="L1073">
        <v>2.0790000000000002</v>
      </c>
      <c r="M1073">
        <v>0</v>
      </c>
      <c r="N1073" t="s">
        <v>10019</v>
      </c>
      <c r="O1073" t="str">
        <f>HYPERLINK("2\0\marker_513_019665.png", "Ver Imagen")</f>
        <v>Ver Imagen</v>
      </c>
      <c r="P1073" t="str">
        <f>HYPERLINK("SO\A-5053\A-5053__114.png", "Ver Imagen")</f>
        <v>Ver Imagen</v>
      </c>
    </row>
    <row r="1074" spans="1:16" x14ac:dyDescent="0.25">
      <c r="A1074">
        <v>483</v>
      </c>
      <c r="B1074" t="s">
        <v>978</v>
      </c>
      <c r="C1074">
        <v>37.240031319499998</v>
      </c>
      <c r="D1074">
        <v>-7.1285689695899999</v>
      </c>
      <c r="E1074">
        <v>2</v>
      </c>
      <c r="F1074">
        <v>2</v>
      </c>
      <c r="G1074">
        <v>2</v>
      </c>
      <c r="J1074" t="s">
        <v>15</v>
      </c>
      <c r="K1074">
        <v>2</v>
      </c>
      <c r="L1074">
        <v>1.8839999999999999</v>
      </c>
      <c r="M1074">
        <v>0</v>
      </c>
      <c r="N1074" t="s">
        <v>10019</v>
      </c>
      <c r="O1074" t="str">
        <f>HYPERLINK("2\0\marker_349_019734.png", "Ver Imagen")</f>
        <v>Ver Imagen</v>
      </c>
      <c r="P1074" t="str">
        <f>HYPERLINK("SO\A-5053\A-5053__107.png", "Ver Imagen")</f>
        <v>Ver Imagen</v>
      </c>
    </row>
    <row r="1075" spans="1:16" x14ac:dyDescent="0.25">
      <c r="A1075">
        <v>484</v>
      </c>
      <c r="B1075" t="s">
        <v>980</v>
      </c>
      <c r="C1075">
        <v>37.239849724999999</v>
      </c>
      <c r="D1075">
        <v>-7.1285542826099997</v>
      </c>
      <c r="E1075">
        <v>2</v>
      </c>
      <c r="F1075">
        <v>2</v>
      </c>
      <c r="G1075">
        <v>2</v>
      </c>
      <c r="J1075" t="s">
        <v>15</v>
      </c>
      <c r="K1075">
        <v>2</v>
      </c>
      <c r="L1075">
        <v>2.0430000000000001</v>
      </c>
      <c r="M1075">
        <v>0</v>
      </c>
      <c r="N1075" t="s">
        <v>10019</v>
      </c>
      <c r="O1075" t="str">
        <f>HYPERLINK("2\0\marker_389_019758.png", "Ver Imagen")</f>
        <v>Ver Imagen</v>
      </c>
      <c r="P1075" t="str">
        <f>HYPERLINK("SO\A-5053\A-5053__106.png", "Ver Imagen")</f>
        <v>Ver Imagen</v>
      </c>
    </row>
    <row r="1076" spans="1:16" x14ac:dyDescent="0.25">
      <c r="A1076">
        <v>485</v>
      </c>
      <c r="B1076" t="s">
        <v>982</v>
      </c>
      <c r="C1076">
        <v>37.239444470800002</v>
      </c>
      <c r="D1076">
        <v>-7.1285198222900004</v>
      </c>
      <c r="E1076">
        <v>2</v>
      </c>
      <c r="F1076">
        <v>2</v>
      </c>
      <c r="G1076">
        <v>2</v>
      </c>
      <c r="J1076" t="s">
        <v>15</v>
      </c>
      <c r="K1076">
        <v>2</v>
      </c>
      <c r="L1076">
        <v>2.0089999999999999</v>
      </c>
      <c r="M1076">
        <v>0</v>
      </c>
      <c r="N1076" t="s">
        <v>10019</v>
      </c>
      <c r="O1076" t="str">
        <f>HYPERLINK("2\0\marker_790_019777.png", "Ver Imagen")</f>
        <v>Ver Imagen</v>
      </c>
      <c r="P1076" t="str">
        <f>HYPERLINK("SO\A-5053\A-5053__104.png", "Ver Imagen")</f>
        <v>Ver Imagen</v>
      </c>
    </row>
    <row r="1077" spans="1:16" x14ac:dyDescent="0.25">
      <c r="A1077">
        <v>486</v>
      </c>
      <c r="B1077" t="s">
        <v>984</v>
      </c>
      <c r="C1077">
        <v>37.239270606600002</v>
      </c>
      <c r="D1077">
        <v>-7.1285033321600002</v>
      </c>
      <c r="E1077">
        <v>2</v>
      </c>
      <c r="F1077">
        <v>2</v>
      </c>
      <c r="G1077">
        <v>2</v>
      </c>
      <c r="J1077" t="s">
        <v>15</v>
      </c>
      <c r="K1077">
        <v>2</v>
      </c>
      <c r="L1077">
        <v>2.0249999999999999</v>
      </c>
      <c r="M1077">
        <v>0</v>
      </c>
      <c r="N1077" t="s">
        <v>10019</v>
      </c>
      <c r="O1077" t="str">
        <f>HYPERLINK("2\0\marker_841_019786.png", "Ver Imagen")</f>
        <v>Ver Imagen</v>
      </c>
      <c r="P1077" t="str">
        <f>HYPERLINK("SO\A-5053\A-5053__103.png", "Ver Imagen")</f>
        <v>Ver Imagen</v>
      </c>
    </row>
    <row r="1078" spans="1:16" x14ac:dyDescent="0.25">
      <c r="A1078">
        <v>487</v>
      </c>
      <c r="B1078" t="s">
        <v>986</v>
      </c>
      <c r="C1078">
        <v>37.239037025999998</v>
      </c>
      <c r="D1078">
        <v>-7.12847911291</v>
      </c>
      <c r="E1078">
        <v>2</v>
      </c>
      <c r="F1078">
        <v>2</v>
      </c>
      <c r="G1078">
        <v>2</v>
      </c>
      <c r="J1078" t="s">
        <v>15</v>
      </c>
      <c r="K1078">
        <v>2</v>
      </c>
      <c r="L1078">
        <v>2.0750000000000002</v>
      </c>
      <c r="M1078">
        <v>0</v>
      </c>
      <c r="N1078" t="s">
        <v>10019</v>
      </c>
      <c r="O1078" t="str">
        <f>HYPERLINK("2\0\marker_740_019794.png", "Ver Imagen")</f>
        <v>Ver Imagen</v>
      </c>
      <c r="P1078" t="str">
        <f>HYPERLINK("SO\A-5053\A-5053__102.png", "Ver Imagen")</f>
        <v>Ver Imagen</v>
      </c>
    </row>
    <row r="1079" spans="1:16" x14ac:dyDescent="0.25">
      <c r="A1079">
        <v>488</v>
      </c>
      <c r="B1079" t="s">
        <v>988</v>
      </c>
      <c r="C1079">
        <v>37.2388544517</v>
      </c>
      <c r="D1079">
        <v>-7.1284597161600001</v>
      </c>
      <c r="E1079">
        <v>2</v>
      </c>
      <c r="F1079">
        <v>2</v>
      </c>
      <c r="G1079">
        <v>2</v>
      </c>
      <c r="J1079" t="s">
        <v>15</v>
      </c>
      <c r="K1079">
        <v>2</v>
      </c>
      <c r="L1079">
        <v>2.0990000000000002</v>
      </c>
      <c r="M1079">
        <v>0</v>
      </c>
      <c r="N1079" t="s">
        <v>10019</v>
      </c>
      <c r="O1079" t="str">
        <f>HYPERLINK("2\0\marker_311_019803.png", "Ver Imagen")</f>
        <v>Ver Imagen</v>
      </c>
      <c r="P1079" t="str">
        <f>HYPERLINK("SO\A-5053\A-5053__101.png", "Ver Imagen")</f>
        <v>Ver Imagen</v>
      </c>
    </row>
    <row r="1080" spans="1:16" x14ac:dyDescent="0.25">
      <c r="A1080">
        <v>489</v>
      </c>
      <c r="B1080" t="s">
        <v>990</v>
      </c>
      <c r="C1080">
        <v>37.237005673399999</v>
      </c>
      <c r="D1080">
        <v>-7.1282790658000001</v>
      </c>
      <c r="E1080">
        <v>2</v>
      </c>
      <c r="F1080">
        <v>2</v>
      </c>
      <c r="G1080">
        <v>2</v>
      </c>
      <c r="J1080" t="s">
        <v>15</v>
      </c>
      <c r="K1080">
        <v>2</v>
      </c>
      <c r="L1080">
        <v>2.1629999999999998</v>
      </c>
      <c r="M1080">
        <v>0</v>
      </c>
      <c r="N1080" t="s">
        <v>10019</v>
      </c>
      <c r="O1080" t="str">
        <f>HYPERLINK("2\0\marker_712_019888.png", "Ver Imagen")</f>
        <v>Ver Imagen</v>
      </c>
      <c r="P1080" t="str">
        <f>HYPERLINK("SO\A-5053\A-5053__92.png", "Ver Imagen")</f>
        <v>Ver Imagen</v>
      </c>
    </row>
    <row r="1081" spans="1:16" x14ac:dyDescent="0.25">
      <c r="A1081">
        <v>490</v>
      </c>
      <c r="B1081" t="s">
        <v>992</v>
      </c>
      <c r="C1081">
        <v>37.236817737999999</v>
      </c>
      <c r="D1081">
        <v>-7.1282619305899999</v>
      </c>
      <c r="E1081">
        <v>2</v>
      </c>
      <c r="F1081">
        <v>2</v>
      </c>
      <c r="G1081">
        <v>2</v>
      </c>
      <c r="J1081" t="s">
        <v>15</v>
      </c>
      <c r="K1081">
        <v>2</v>
      </c>
      <c r="L1081">
        <v>2.0680000000000001</v>
      </c>
      <c r="M1081">
        <v>0</v>
      </c>
      <c r="N1081" t="s">
        <v>10019</v>
      </c>
      <c r="O1081" t="str">
        <f>HYPERLINK("2\0\marker_419_019902.png", "Ver Imagen")</f>
        <v>Ver Imagen</v>
      </c>
      <c r="P1081" t="str">
        <f>HYPERLINK("SO\A-5053\A-5053__91.png", "Ver Imagen")</f>
        <v>Ver Imagen</v>
      </c>
    </row>
    <row r="1082" spans="1:16" x14ac:dyDescent="0.25">
      <c r="A1082">
        <v>491</v>
      </c>
      <c r="B1082" t="s">
        <v>994</v>
      </c>
      <c r="C1082">
        <v>37.236003557899998</v>
      </c>
      <c r="D1082">
        <v>-7.1281852411699997</v>
      </c>
      <c r="E1082">
        <v>2</v>
      </c>
      <c r="F1082">
        <v>2</v>
      </c>
      <c r="G1082">
        <v>2</v>
      </c>
      <c r="J1082" t="s">
        <v>15</v>
      </c>
      <c r="K1082">
        <v>2</v>
      </c>
      <c r="L1082">
        <v>2.403</v>
      </c>
      <c r="M1082">
        <v>0</v>
      </c>
      <c r="N1082" t="s">
        <v>10018</v>
      </c>
      <c r="O1082" t="str">
        <f>HYPERLINK("2\0\marker_153_019943.png", "Ver Imagen")</f>
        <v>Ver Imagen</v>
      </c>
      <c r="P1082" t="str">
        <f>HYPERLINK("SO\A-5053\A-5053__87.png", "Ver Imagen")</f>
        <v>Ver Imagen</v>
      </c>
    </row>
    <row r="1083" spans="1:16" x14ac:dyDescent="0.25">
      <c r="A1083">
        <v>492</v>
      </c>
      <c r="B1083" t="s">
        <v>996</v>
      </c>
      <c r="C1083">
        <v>37.235800427299999</v>
      </c>
      <c r="D1083">
        <v>-7.1281613723100001</v>
      </c>
      <c r="E1083">
        <v>2</v>
      </c>
      <c r="F1083">
        <v>2</v>
      </c>
      <c r="G1083">
        <v>2</v>
      </c>
      <c r="J1083" t="s">
        <v>15</v>
      </c>
      <c r="K1083">
        <v>2</v>
      </c>
      <c r="L1083">
        <v>2.2930000000000001</v>
      </c>
      <c r="M1083">
        <v>0</v>
      </c>
      <c r="N1083" t="s">
        <v>10019</v>
      </c>
      <c r="O1083" t="str">
        <f>HYPERLINK("2\0\marker_117_019954.png", "Ver Imagen")</f>
        <v>Ver Imagen</v>
      </c>
      <c r="P1083" t="str">
        <f>HYPERLINK("SO\A-5053\A-5053__86.png", "Ver Imagen")</f>
        <v>Ver Imagen</v>
      </c>
    </row>
    <row r="1084" spans="1:16" x14ac:dyDescent="0.25">
      <c r="A1084">
        <v>493</v>
      </c>
      <c r="B1084" t="s">
        <v>998</v>
      </c>
      <c r="C1084">
        <v>37.235627440499997</v>
      </c>
      <c r="D1084">
        <v>-7.12813649885</v>
      </c>
      <c r="E1084">
        <v>2</v>
      </c>
      <c r="F1084">
        <v>2</v>
      </c>
      <c r="G1084">
        <v>2</v>
      </c>
      <c r="J1084" t="s">
        <v>15</v>
      </c>
      <c r="K1084">
        <v>2</v>
      </c>
      <c r="L1084">
        <v>1.887</v>
      </c>
      <c r="M1084">
        <v>0</v>
      </c>
      <c r="N1084" t="s">
        <v>10019</v>
      </c>
      <c r="O1084" t="str">
        <f>HYPERLINK("2\0\marker_665_019965.png", "Ver Imagen")</f>
        <v>Ver Imagen</v>
      </c>
      <c r="P1084" t="str">
        <f>HYPERLINK("SO\A-5053\A-5053__85.png", "Ver Imagen")</f>
        <v>Ver Imagen</v>
      </c>
    </row>
    <row r="1085" spans="1:16" x14ac:dyDescent="0.25">
      <c r="A1085">
        <v>494</v>
      </c>
      <c r="B1085" t="s">
        <v>1000</v>
      </c>
      <c r="C1085">
        <v>37.235218913700002</v>
      </c>
      <c r="D1085">
        <v>-7.1280424193999998</v>
      </c>
      <c r="E1085">
        <v>2</v>
      </c>
      <c r="F1085">
        <v>2</v>
      </c>
      <c r="G1085">
        <v>2</v>
      </c>
      <c r="J1085" t="s">
        <v>15</v>
      </c>
      <c r="K1085">
        <v>2</v>
      </c>
      <c r="L1085">
        <v>2.1110000000000002</v>
      </c>
      <c r="M1085">
        <v>0</v>
      </c>
      <c r="N1085" t="s">
        <v>10019</v>
      </c>
      <c r="O1085" t="str">
        <f>HYPERLINK("2\0\marker_122_019983.png", "Ver Imagen")</f>
        <v>Ver Imagen</v>
      </c>
      <c r="P1085" t="str">
        <f>HYPERLINK("SO\A-5053\A-5053__83.png", "Ver Imagen")</f>
        <v>Ver Imagen</v>
      </c>
    </row>
    <row r="1086" spans="1:16" x14ac:dyDescent="0.25">
      <c r="A1086">
        <v>495</v>
      </c>
      <c r="B1086" t="s">
        <v>1002</v>
      </c>
      <c r="C1086">
        <v>37.235006968199997</v>
      </c>
      <c r="D1086">
        <v>-7.1279666306199996</v>
      </c>
      <c r="E1086">
        <v>2</v>
      </c>
      <c r="F1086">
        <v>2</v>
      </c>
      <c r="G1086">
        <v>2</v>
      </c>
      <c r="J1086" t="s">
        <v>15</v>
      </c>
      <c r="K1086">
        <v>2</v>
      </c>
      <c r="L1086">
        <v>1.92</v>
      </c>
      <c r="M1086">
        <v>0</v>
      </c>
      <c r="N1086" t="s">
        <v>10019</v>
      </c>
      <c r="O1086" t="str">
        <f>HYPERLINK("2\0\marker_123_019992.png", "Ver Imagen")</f>
        <v>Ver Imagen</v>
      </c>
      <c r="P1086" t="str">
        <f>HYPERLINK("SO\A-5053\A-5053__82.png", "Ver Imagen")</f>
        <v>Ver Imagen</v>
      </c>
    </row>
    <row r="1087" spans="1:16" x14ac:dyDescent="0.25">
      <c r="A1087">
        <v>496</v>
      </c>
      <c r="B1087" t="s">
        <v>1004</v>
      </c>
      <c r="C1087">
        <v>37.234430269999997</v>
      </c>
      <c r="D1087">
        <v>-7.1277081355299998</v>
      </c>
      <c r="E1087">
        <v>2</v>
      </c>
      <c r="F1087">
        <v>2</v>
      </c>
      <c r="G1087">
        <v>2</v>
      </c>
      <c r="J1087" t="s">
        <v>15</v>
      </c>
      <c r="K1087">
        <v>2</v>
      </c>
      <c r="L1087">
        <v>2.3370000000000002</v>
      </c>
      <c r="M1087">
        <v>0</v>
      </c>
      <c r="N1087" t="s">
        <v>10017</v>
      </c>
      <c r="O1087" t="str">
        <f>HYPERLINK("2\0\marker_969_020020.png", "Ver Imagen")</f>
        <v>Ver Imagen</v>
      </c>
      <c r="P1087" t="str">
        <f>HYPERLINK("SO\A-5053\A-5053__79.png", "Ver Imagen")</f>
        <v>Ver Imagen</v>
      </c>
    </row>
    <row r="1088" spans="1:16" x14ac:dyDescent="0.25">
      <c r="A1088">
        <v>497</v>
      </c>
      <c r="B1088" t="s">
        <v>1006</v>
      </c>
      <c r="C1088">
        <v>37.234261660199998</v>
      </c>
      <c r="D1088">
        <v>-7.1276292273799999</v>
      </c>
      <c r="E1088">
        <v>2</v>
      </c>
      <c r="F1088">
        <v>2</v>
      </c>
      <c r="G1088">
        <v>2</v>
      </c>
      <c r="J1088" t="s">
        <v>15</v>
      </c>
      <c r="K1088">
        <v>2</v>
      </c>
      <c r="L1088">
        <v>2.403</v>
      </c>
      <c r="M1088">
        <v>0</v>
      </c>
      <c r="N1088" t="s">
        <v>10018</v>
      </c>
      <c r="O1088" t="str">
        <f>HYPERLINK("2\0\marker_922_020029.png", "Ver Imagen")</f>
        <v>Ver Imagen</v>
      </c>
      <c r="P1088" t="str">
        <f>HYPERLINK("SO\A-5053\A-5053__78.png", "Ver Imagen")</f>
        <v>Ver Imagen</v>
      </c>
    </row>
    <row r="1089" spans="1:16" x14ac:dyDescent="0.25">
      <c r="A1089">
        <v>498</v>
      </c>
      <c r="B1089" t="s">
        <v>1008</v>
      </c>
      <c r="C1089">
        <v>37.234059845399997</v>
      </c>
      <c r="D1089">
        <v>-7.12753814612</v>
      </c>
      <c r="E1089">
        <v>2</v>
      </c>
      <c r="F1089">
        <v>2</v>
      </c>
      <c r="G1089">
        <v>2</v>
      </c>
      <c r="J1089" t="s">
        <v>15</v>
      </c>
      <c r="K1089">
        <v>2</v>
      </c>
      <c r="L1089">
        <v>1.841</v>
      </c>
      <c r="M1089">
        <v>0</v>
      </c>
      <c r="N1089" t="s">
        <v>10019</v>
      </c>
      <c r="O1089" t="str">
        <f>HYPERLINK("2\0\marker_329_020040.png", "Ver Imagen")</f>
        <v>Ver Imagen</v>
      </c>
      <c r="P1089" t="str">
        <f>HYPERLINK("SO\A-5053\A-5053__77.png", "Ver Imagen")</f>
        <v>Ver Imagen</v>
      </c>
    </row>
    <row r="1090" spans="1:16" x14ac:dyDescent="0.25">
      <c r="A1090">
        <v>499</v>
      </c>
      <c r="B1090" t="s">
        <v>1010</v>
      </c>
      <c r="C1090">
        <v>37.233849446800001</v>
      </c>
      <c r="D1090">
        <v>-7.1274524461400004</v>
      </c>
      <c r="E1090">
        <v>2</v>
      </c>
      <c r="F1090">
        <v>2</v>
      </c>
      <c r="G1090">
        <v>2</v>
      </c>
      <c r="J1090" t="s">
        <v>15</v>
      </c>
      <c r="K1090">
        <v>2</v>
      </c>
      <c r="L1090">
        <v>2.2999999999999998</v>
      </c>
      <c r="M1090">
        <v>0</v>
      </c>
      <c r="N1090" t="s">
        <v>10019</v>
      </c>
      <c r="O1090" t="str">
        <f>HYPERLINK("2\0\marker_419_020246.png", "Ver Imagen")</f>
        <v>Ver Imagen</v>
      </c>
      <c r="P1090" t="str">
        <f>HYPERLINK("SO\A-5053\A-5053__76.png", "Ver Imagen")</f>
        <v>Ver Imagen</v>
      </c>
    </row>
    <row r="1091" spans="1:16" x14ac:dyDescent="0.25">
      <c r="A1091">
        <v>500</v>
      </c>
      <c r="B1091" t="s">
        <v>1012</v>
      </c>
      <c r="C1091">
        <v>37.2337044386</v>
      </c>
      <c r="D1091">
        <v>-7.12740180636</v>
      </c>
      <c r="E1091">
        <v>2</v>
      </c>
      <c r="F1091">
        <v>2</v>
      </c>
      <c r="G1091">
        <v>2</v>
      </c>
      <c r="J1091" t="s">
        <v>15</v>
      </c>
      <c r="K1091">
        <v>2</v>
      </c>
      <c r="L1091">
        <v>2.0550000000000002</v>
      </c>
      <c r="M1091">
        <v>0</v>
      </c>
      <c r="N1091" t="s">
        <v>10019</v>
      </c>
      <c r="O1091" t="str">
        <f>HYPERLINK("2\0\marker_273_020256.png", "Ver Imagen")</f>
        <v>Ver Imagen</v>
      </c>
      <c r="P1091" t="str">
        <f>HYPERLINK("SO\A-5053\A-5053__75.png", "Ver Imagen")</f>
        <v>Ver Imagen</v>
      </c>
    </row>
    <row r="1092" spans="1:16" x14ac:dyDescent="0.25">
      <c r="A1092">
        <v>501</v>
      </c>
      <c r="B1092" t="s">
        <v>1014</v>
      </c>
      <c r="C1092">
        <v>37.233485663400003</v>
      </c>
      <c r="D1092">
        <v>-7.1273383430699999</v>
      </c>
      <c r="E1092">
        <v>2</v>
      </c>
      <c r="F1092">
        <v>2</v>
      </c>
      <c r="G1092">
        <v>2</v>
      </c>
      <c r="J1092" t="s">
        <v>15</v>
      </c>
      <c r="K1092">
        <v>2</v>
      </c>
      <c r="L1092">
        <v>1.6659999999999999</v>
      </c>
      <c r="M1092">
        <v>0</v>
      </c>
      <c r="N1092" t="s">
        <v>10019</v>
      </c>
      <c r="O1092" t="str">
        <f>HYPERLINK("2\0\marker_470_020265.png", "Ver Imagen")</f>
        <v>Ver Imagen</v>
      </c>
      <c r="P1092" t="str">
        <f>HYPERLINK("SO\A-5053\A-5053__74.png", "Ver Imagen")</f>
        <v>Ver Imagen</v>
      </c>
    </row>
    <row r="1093" spans="1:16" x14ac:dyDescent="0.25">
      <c r="A1093">
        <v>502</v>
      </c>
      <c r="B1093" t="s">
        <v>1016</v>
      </c>
      <c r="C1093">
        <v>37.2332892417</v>
      </c>
      <c r="D1093">
        <v>-7.1272926937900003</v>
      </c>
      <c r="E1093">
        <v>2</v>
      </c>
      <c r="F1093">
        <v>2</v>
      </c>
      <c r="G1093">
        <v>2</v>
      </c>
      <c r="J1093" t="s">
        <v>15</v>
      </c>
      <c r="K1093">
        <v>2</v>
      </c>
      <c r="L1093">
        <v>2.2389999999999999</v>
      </c>
      <c r="M1093">
        <v>0</v>
      </c>
      <c r="N1093" t="s">
        <v>10019</v>
      </c>
      <c r="O1093" t="str">
        <f>HYPERLINK("2\0\marker_881_020275.png", "Ver Imagen")</f>
        <v>Ver Imagen</v>
      </c>
      <c r="P1093" t="str">
        <f>HYPERLINK("SO\A-5053\A-5053__73.png", "Ver Imagen")</f>
        <v>Ver Imagen</v>
      </c>
    </row>
    <row r="1094" spans="1:16" x14ac:dyDescent="0.25">
      <c r="A1094">
        <v>503</v>
      </c>
      <c r="B1094" t="s">
        <v>1018</v>
      </c>
      <c r="C1094">
        <v>37.233115831799999</v>
      </c>
      <c r="D1094">
        <v>-7.1272602335800004</v>
      </c>
      <c r="E1094">
        <v>2</v>
      </c>
      <c r="F1094">
        <v>2</v>
      </c>
      <c r="G1094">
        <v>2</v>
      </c>
      <c r="J1094" t="s">
        <v>15</v>
      </c>
      <c r="K1094">
        <v>2</v>
      </c>
      <c r="L1094">
        <v>1.9239999999999999</v>
      </c>
      <c r="M1094">
        <v>0</v>
      </c>
      <c r="N1094" t="s">
        <v>10019</v>
      </c>
      <c r="O1094" t="str">
        <f>HYPERLINK("2\0\marker_733_020283.png", "Ver Imagen")</f>
        <v>Ver Imagen</v>
      </c>
      <c r="P1094" t="str">
        <f>HYPERLINK("SO\A-5053\A-5053__72.png", "Ver Imagen")</f>
        <v>Ver Imagen</v>
      </c>
    </row>
    <row r="1095" spans="1:16" x14ac:dyDescent="0.25">
      <c r="A1095">
        <v>504</v>
      </c>
      <c r="B1095" t="s">
        <v>1020</v>
      </c>
      <c r="C1095">
        <v>37.232679712100001</v>
      </c>
      <c r="D1095">
        <v>-7.1272015601799996</v>
      </c>
      <c r="E1095">
        <v>2</v>
      </c>
      <c r="F1095">
        <v>2</v>
      </c>
      <c r="G1095">
        <v>2</v>
      </c>
      <c r="J1095" t="s">
        <v>15</v>
      </c>
      <c r="K1095">
        <v>2</v>
      </c>
      <c r="L1095">
        <v>1.694</v>
      </c>
      <c r="M1095">
        <v>0</v>
      </c>
      <c r="N1095" t="s">
        <v>10019</v>
      </c>
      <c r="O1095" t="str">
        <f>HYPERLINK("2\0\marker_480_020304.png", "Ver Imagen")</f>
        <v>Ver Imagen</v>
      </c>
      <c r="P1095" t="str">
        <f>HYPERLINK("SO\A-5053\A-5053__70.png", "Ver Imagen")</f>
        <v>Ver Imagen</v>
      </c>
    </row>
    <row r="1096" spans="1:16" x14ac:dyDescent="0.25">
      <c r="A1096">
        <v>505</v>
      </c>
      <c r="B1096" t="s">
        <v>1022</v>
      </c>
      <c r="C1096">
        <v>37.232498563299998</v>
      </c>
      <c r="D1096">
        <v>-7.1271826058099998</v>
      </c>
      <c r="E1096">
        <v>2</v>
      </c>
      <c r="F1096">
        <v>2</v>
      </c>
      <c r="G1096">
        <v>2</v>
      </c>
      <c r="J1096" t="s">
        <v>15</v>
      </c>
      <c r="K1096">
        <v>2</v>
      </c>
      <c r="L1096">
        <v>1.9410000000000001</v>
      </c>
      <c r="M1096">
        <v>0</v>
      </c>
      <c r="N1096" t="s">
        <v>10019</v>
      </c>
      <c r="O1096" t="str">
        <f>HYPERLINK("2\0\marker_288_020717.png", "Ver Imagen")</f>
        <v>Ver Imagen</v>
      </c>
      <c r="P1096" t="str">
        <f>HYPERLINK("SO\A-5053\A-5053__69.png", "Ver Imagen")</f>
        <v>Ver Imagen</v>
      </c>
    </row>
    <row r="1097" spans="1:16" x14ac:dyDescent="0.25">
      <c r="A1097">
        <v>506</v>
      </c>
      <c r="B1097" t="s">
        <v>1024</v>
      </c>
      <c r="C1097">
        <v>37.232290195499999</v>
      </c>
      <c r="D1097">
        <v>-7.12716383246</v>
      </c>
      <c r="E1097">
        <v>2</v>
      </c>
      <c r="F1097">
        <v>2</v>
      </c>
      <c r="G1097">
        <v>2</v>
      </c>
      <c r="J1097" t="s">
        <v>15</v>
      </c>
      <c r="K1097">
        <v>2</v>
      </c>
      <c r="L1097">
        <v>1.986</v>
      </c>
      <c r="M1097">
        <v>0</v>
      </c>
      <c r="N1097" t="s">
        <v>10017</v>
      </c>
      <c r="O1097" t="str">
        <f>HYPERLINK("2\0\marker_929_020726.png", "Ver Imagen")</f>
        <v>Ver Imagen</v>
      </c>
      <c r="P1097" t="str">
        <f>HYPERLINK("SO\A-5053\A-5053__68.png", "Ver Imagen")</f>
        <v>Ver Imagen</v>
      </c>
    </row>
    <row r="1098" spans="1:16" x14ac:dyDescent="0.25">
      <c r="A1098">
        <v>507</v>
      </c>
      <c r="B1098" t="s">
        <v>1026</v>
      </c>
      <c r="C1098">
        <v>37.232047198499998</v>
      </c>
      <c r="D1098">
        <v>-7.1271433326500002</v>
      </c>
      <c r="E1098">
        <v>2</v>
      </c>
      <c r="F1098">
        <v>2</v>
      </c>
      <c r="G1098">
        <v>2</v>
      </c>
      <c r="J1098" t="s">
        <v>15</v>
      </c>
      <c r="K1098">
        <v>2</v>
      </c>
      <c r="L1098">
        <v>2.2709999999999999</v>
      </c>
      <c r="M1098">
        <v>0</v>
      </c>
      <c r="N1098" t="s">
        <v>10019</v>
      </c>
      <c r="O1098" t="str">
        <f>HYPERLINK("2\0\marker_350_020735.png", "Ver Imagen")</f>
        <v>Ver Imagen</v>
      </c>
      <c r="P1098" t="str">
        <f>HYPERLINK("SO\A-5053\A-5053__67.png", "Ver Imagen")</f>
        <v>Ver Imagen</v>
      </c>
    </row>
    <row r="1099" spans="1:16" x14ac:dyDescent="0.25">
      <c r="A1099">
        <v>508</v>
      </c>
      <c r="B1099" t="s">
        <v>1028</v>
      </c>
      <c r="C1099">
        <v>37.2318654786</v>
      </c>
      <c r="D1099">
        <v>-7.1271281701999998</v>
      </c>
      <c r="E1099">
        <v>2</v>
      </c>
      <c r="F1099">
        <v>2</v>
      </c>
      <c r="G1099">
        <v>2</v>
      </c>
      <c r="J1099" t="s">
        <v>15</v>
      </c>
      <c r="K1099">
        <v>2</v>
      </c>
      <c r="L1099">
        <v>2.3809999999999998</v>
      </c>
      <c r="M1099">
        <v>0</v>
      </c>
      <c r="N1099" t="s">
        <v>10018</v>
      </c>
      <c r="O1099" t="str">
        <f>HYPERLINK("2\0\marker_443_020745.png", "Ver Imagen")</f>
        <v>Ver Imagen</v>
      </c>
      <c r="P1099" t="str">
        <f>HYPERLINK("SO\A-5053\A-5053__66.png", "Ver Imagen")</f>
        <v>Ver Imagen</v>
      </c>
    </row>
    <row r="1100" spans="1:16" x14ac:dyDescent="0.25">
      <c r="A1100">
        <v>509</v>
      </c>
      <c r="B1100" t="s">
        <v>1030</v>
      </c>
      <c r="C1100">
        <v>37.230214129499998</v>
      </c>
      <c r="D1100">
        <v>-7.1269812000700004</v>
      </c>
      <c r="E1100">
        <v>2</v>
      </c>
      <c r="F1100">
        <v>2</v>
      </c>
      <c r="G1100">
        <v>2</v>
      </c>
      <c r="J1100" t="s">
        <v>15</v>
      </c>
      <c r="K1100">
        <v>2</v>
      </c>
      <c r="L1100">
        <v>1.8420000000000001</v>
      </c>
      <c r="M1100">
        <v>0</v>
      </c>
      <c r="N1100" t="s">
        <v>10019</v>
      </c>
      <c r="O1100" t="str">
        <f>HYPERLINK("2\0\marker_267_020903.png", "Ver Imagen")</f>
        <v>Ver Imagen</v>
      </c>
      <c r="P1100" t="str">
        <f>HYPERLINK("SO\A-5053\A-5053__58.png", "Ver Imagen")</f>
        <v>Ver Imagen</v>
      </c>
    </row>
    <row r="1101" spans="1:16" x14ac:dyDescent="0.25">
      <c r="A1101">
        <v>510</v>
      </c>
      <c r="B1101" t="s">
        <v>1032</v>
      </c>
      <c r="C1101">
        <v>37.230042247299998</v>
      </c>
      <c r="D1101">
        <v>-7.1269649388299996</v>
      </c>
      <c r="E1101">
        <v>2</v>
      </c>
      <c r="F1101">
        <v>2</v>
      </c>
      <c r="G1101">
        <v>2</v>
      </c>
      <c r="J1101" t="s">
        <v>15</v>
      </c>
      <c r="K1101">
        <v>2</v>
      </c>
      <c r="L1101">
        <v>1.9359999999999999</v>
      </c>
      <c r="M1101">
        <v>0</v>
      </c>
      <c r="N1101" t="s">
        <v>10019</v>
      </c>
      <c r="O1101" t="str">
        <f>HYPERLINK("2\0\marker_120_020913.png", "Ver Imagen")</f>
        <v>Ver Imagen</v>
      </c>
      <c r="P1101" t="str">
        <f>HYPERLINK("SO\A-5053\A-5053__57.png", "Ver Imagen")</f>
        <v>Ver Imagen</v>
      </c>
    </row>
    <row r="1102" spans="1:16" x14ac:dyDescent="0.25">
      <c r="A1102">
        <v>511</v>
      </c>
      <c r="B1102" t="s">
        <v>1034</v>
      </c>
      <c r="C1102">
        <v>37.222991116300001</v>
      </c>
      <c r="D1102">
        <v>-7.1250117829099997</v>
      </c>
      <c r="E1102">
        <v>2</v>
      </c>
      <c r="F1102">
        <v>2</v>
      </c>
      <c r="G1102">
        <v>2</v>
      </c>
      <c r="J1102" t="s">
        <v>15</v>
      </c>
      <c r="K1102">
        <v>2</v>
      </c>
      <c r="L1102">
        <v>1.9430000000000001</v>
      </c>
      <c r="M1102">
        <v>0</v>
      </c>
      <c r="N1102" t="s">
        <v>10019</v>
      </c>
      <c r="O1102" t="str">
        <f>HYPERLINK("2\0\marker_337_022893.png", "Ver Imagen")</f>
        <v>Ver Imagen</v>
      </c>
      <c r="P1102" t="str">
        <f>HYPERLINK("SO\A-5053\A-5053__21.png", "Ver Imagen")</f>
        <v>Ver Imagen</v>
      </c>
    </row>
    <row r="1103" spans="1:16" x14ac:dyDescent="0.25">
      <c r="A1103">
        <v>512</v>
      </c>
      <c r="B1103" t="s">
        <v>1036</v>
      </c>
      <c r="C1103">
        <v>37.222367905900001</v>
      </c>
      <c r="D1103">
        <v>-7.1250660343399996</v>
      </c>
      <c r="E1103">
        <v>2</v>
      </c>
      <c r="F1103">
        <v>2</v>
      </c>
      <c r="G1103">
        <v>2</v>
      </c>
      <c r="J1103" t="s">
        <v>15</v>
      </c>
      <c r="K1103">
        <v>2</v>
      </c>
      <c r="L1103">
        <v>2.0819999999999999</v>
      </c>
      <c r="M1103">
        <v>0</v>
      </c>
      <c r="N1103" t="s">
        <v>10019</v>
      </c>
      <c r="O1103" t="str">
        <f>HYPERLINK("2\0\marker_162_025019.png", "Ver Imagen")</f>
        <v>Ver Imagen</v>
      </c>
      <c r="P1103" t="str">
        <f>HYPERLINK("SO\A-5053\A-5053__18.png", "Ver Imagen")</f>
        <v>Ver Imagen</v>
      </c>
    </row>
    <row r="1104" spans="1:16" x14ac:dyDescent="0.25">
      <c r="A1104">
        <v>514</v>
      </c>
      <c r="B1104" t="s">
        <v>1040</v>
      </c>
      <c r="C1104">
        <v>37.443823414400001</v>
      </c>
      <c r="D1104">
        <v>-7.0966979756599997</v>
      </c>
      <c r="E1104">
        <v>2</v>
      </c>
      <c r="F1104">
        <v>2</v>
      </c>
      <c r="G1104">
        <v>2</v>
      </c>
      <c r="J1104" t="s">
        <v>15</v>
      </c>
      <c r="K1104">
        <v>2</v>
      </c>
      <c r="L1104">
        <v>1.8560000000000001</v>
      </c>
      <c r="M1104">
        <v>0</v>
      </c>
      <c r="N1104" t="s">
        <v>10019</v>
      </c>
      <c r="O1104" t="str">
        <f>HYPERLINK("2\0\marker_284_381213.png", "Ver Imagen")</f>
        <v>Ver Imagen</v>
      </c>
      <c r="P1104" t="str">
        <f>HYPERLINK("NE\A-495\A-495__15.png", "Ver Imagen")</f>
        <v>Ver Imagen</v>
      </c>
    </row>
    <row r="1105" spans="1:16" x14ac:dyDescent="0.25">
      <c r="A1105">
        <v>515</v>
      </c>
      <c r="B1105" t="s">
        <v>1042</v>
      </c>
      <c r="C1105">
        <v>37.443150302799999</v>
      </c>
      <c r="D1105">
        <v>-7.09484888193</v>
      </c>
      <c r="E1105">
        <v>2</v>
      </c>
      <c r="F1105">
        <v>2</v>
      </c>
      <c r="G1105">
        <v>2</v>
      </c>
      <c r="J1105" t="s">
        <v>15</v>
      </c>
      <c r="K1105">
        <v>2</v>
      </c>
      <c r="L1105">
        <v>1.7789999999999999</v>
      </c>
      <c r="M1105">
        <v>0</v>
      </c>
      <c r="N1105" t="s">
        <v>10019</v>
      </c>
      <c r="O1105" t="str">
        <f>HYPERLINK("2\0\marker_526_381326.png", "Ver Imagen")</f>
        <v>Ver Imagen</v>
      </c>
      <c r="P1105" t="str">
        <f>HYPERLINK("NE\A-495\A-495__23.png", "Ver Imagen")</f>
        <v>Ver Imagen</v>
      </c>
    </row>
    <row r="1106" spans="1:16" x14ac:dyDescent="0.25">
      <c r="A1106">
        <v>516</v>
      </c>
      <c r="B1106" t="s">
        <v>1044</v>
      </c>
      <c r="C1106">
        <v>37.442538292899997</v>
      </c>
      <c r="D1106">
        <v>-7.0932537736399999</v>
      </c>
      <c r="E1106">
        <v>2</v>
      </c>
      <c r="F1106">
        <v>2</v>
      </c>
      <c r="G1106">
        <v>2</v>
      </c>
      <c r="J1106" t="s">
        <v>15</v>
      </c>
      <c r="K1106">
        <v>2</v>
      </c>
      <c r="L1106">
        <v>2.1850000000000001</v>
      </c>
      <c r="M1106">
        <v>0</v>
      </c>
      <c r="N1106" t="s">
        <v>10019</v>
      </c>
      <c r="O1106" t="str">
        <f>HYPERLINK("2\0\marker_370_381396.png", "Ver Imagen")</f>
        <v>Ver Imagen</v>
      </c>
      <c r="P1106" t="str">
        <f>HYPERLINK("NE\A-495\A-495__30.png", "Ver Imagen")</f>
        <v>Ver Imagen</v>
      </c>
    </row>
    <row r="1107" spans="1:16" x14ac:dyDescent="0.25">
      <c r="A1107">
        <v>517</v>
      </c>
      <c r="B1107" t="s">
        <v>1046</v>
      </c>
      <c r="C1107">
        <v>37.442279521400003</v>
      </c>
      <c r="D1107">
        <v>-7.09259031694</v>
      </c>
      <c r="E1107">
        <v>2</v>
      </c>
      <c r="F1107">
        <v>2</v>
      </c>
      <c r="G1107">
        <v>2</v>
      </c>
      <c r="J1107" t="s">
        <v>15</v>
      </c>
      <c r="K1107">
        <v>2</v>
      </c>
      <c r="L1107">
        <v>2.343</v>
      </c>
      <c r="M1107">
        <v>0</v>
      </c>
      <c r="N1107" t="s">
        <v>10019</v>
      </c>
      <c r="O1107" t="str">
        <f>HYPERLINK("2\0\marker_540_381436.png", "Ver Imagen")</f>
        <v>Ver Imagen</v>
      </c>
      <c r="P1107" t="str">
        <f>HYPERLINK("NE\A-495\A-495__33.png", "Ver Imagen")</f>
        <v>Ver Imagen</v>
      </c>
    </row>
    <row r="1108" spans="1:16" x14ac:dyDescent="0.25">
      <c r="A1108">
        <v>518</v>
      </c>
      <c r="B1108" t="s">
        <v>1048</v>
      </c>
      <c r="C1108">
        <v>37.436433871200002</v>
      </c>
      <c r="D1108">
        <v>-7.0782327668300002</v>
      </c>
      <c r="E1108">
        <v>2</v>
      </c>
      <c r="F1108">
        <v>2</v>
      </c>
      <c r="G1108">
        <v>2</v>
      </c>
      <c r="J1108" t="s">
        <v>15</v>
      </c>
      <c r="K1108">
        <v>2</v>
      </c>
      <c r="L1108">
        <v>1.8879999999999999</v>
      </c>
      <c r="M1108">
        <v>0</v>
      </c>
      <c r="N1108" t="s">
        <v>10019</v>
      </c>
      <c r="O1108" t="str">
        <f>HYPERLINK("2\0\marker_163_382127.png", "Ver Imagen")</f>
        <v>Ver Imagen</v>
      </c>
      <c r="P1108" t="str">
        <f>HYPERLINK("NE\A-495\A-495__97.png", "Ver Imagen")</f>
        <v>Ver Imagen</v>
      </c>
    </row>
    <row r="1109" spans="1:16" x14ac:dyDescent="0.25">
      <c r="A1109">
        <v>520</v>
      </c>
      <c r="B1109" t="s">
        <v>1052</v>
      </c>
      <c r="C1109">
        <v>37.436200732099998</v>
      </c>
      <c r="D1109">
        <v>-7.07756880101</v>
      </c>
      <c r="E1109">
        <v>2</v>
      </c>
      <c r="F1109">
        <v>2</v>
      </c>
      <c r="G1109">
        <v>2</v>
      </c>
      <c r="J1109" t="s">
        <v>15</v>
      </c>
      <c r="K1109">
        <v>2</v>
      </c>
      <c r="L1109">
        <v>1.847</v>
      </c>
      <c r="M1109">
        <v>0</v>
      </c>
      <c r="N1109" t="s">
        <v>10019</v>
      </c>
      <c r="O1109" t="str">
        <f>HYPERLINK("2\0\marker_307_382154.png", "Ver Imagen")</f>
        <v>Ver Imagen</v>
      </c>
      <c r="P1109" t="str">
        <f>HYPERLINK("NE\A-495\A-495__100.png", "Ver Imagen")</f>
        <v>Ver Imagen</v>
      </c>
    </row>
    <row r="1110" spans="1:16" x14ac:dyDescent="0.25">
      <c r="A1110">
        <v>521</v>
      </c>
      <c r="B1110" t="s">
        <v>1054</v>
      </c>
      <c r="C1110">
        <v>37.221804818099997</v>
      </c>
      <c r="D1110">
        <v>-7.05494013698</v>
      </c>
      <c r="E1110">
        <v>2</v>
      </c>
      <c r="F1110">
        <v>2</v>
      </c>
      <c r="G1110">
        <v>2</v>
      </c>
      <c r="J1110" t="s">
        <v>15</v>
      </c>
      <c r="K1110">
        <v>2</v>
      </c>
      <c r="L1110">
        <v>2.1669999999999998</v>
      </c>
      <c r="M1110">
        <v>0</v>
      </c>
      <c r="N1110" t="s">
        <v>10019</v>
      </c>
      <c r="O1110" t="str">
        <f>HYPERLINK("2\0\marker_915_378778.png", "Ver Imagen")</f>
        <v>Ver Imagen</v>
      </c>
      <c r="P1110" t="str">
        <f>HYPERLINK("SE\A-5059\A-5059__77.png", "Ver Imagen")</f>
        <v>Ver Imagen</v>
      </c>
    </row>
    <row r="1111" spans="1:16" x14ac:dyDescent="0.25">
      <c r="A1111">
        <v>522</v>
      </c>
      <c r="B1111" t="s">
        <v>1056</v>
      </c>
      <c r="C1111">
        <v>37.222098662400001</v>
      </c>
      <c r="D1111">
        <v>-7.055281388</v>
      </c>
      <c r="E1111">
        <v>2</v>
      </c>
      <c r="F1111">
        <v>2</v>
      </c>
      <c r="G1111">
        <v>2</v>
      </c>
      <c r="J1111" t="s">
        <v>15</v>
      </c>
      <c r="K1111">
        <v>2</v>
      </c>
      <c r="L1111">
        <v>1.7270000000000001</v>
      </c>
      <c r="M1111">
        <v>0</v>
      </c>
      <c r="N1111" t="s">
        <v>10019</v>
      </c>
      <c r="O1111" t="str">
        <f>HYPERLINK("2\0\marker_898_378801.png", "Ver Imagen")</f>
        <v>Ver Imagen</v>
      </c>
      <c r="P1111" t="str">
        <f>HYPERLINK("SE\A-5059\A-5059__75.png", "Ver Imagen")</f>
        <v>Ver Imagen</v>
      </c>
    </row>
    <row r="1112" spans="1:16" x14ac:dyDescent="0.25">
      <c r="A1112">
        <v>524</v>
      </c>
      <c r="B1112" t="s">
        <v>1060</v>
      </c>
      <c r="C1112">
        <v>37.2237814203</v>
      </c>
      <c r="D1112">
        <v>-7.05615941728</v>
      </c>
      <c r="E1112">
        <v>2</v>
      </c>
      <c r="F1112">
        <v>2</v>
      </c>
      <c r="G1112">
        <v>2</v>
      </c>
      <c r="J1112" t="s">
        <v>15</v>
      </c>
      <c r="K1112">
        <v>2</v>
      </c>
      <c r="L1112">
        <v>2.1589999999999998</v>
      </c>
      <c r="M1112">
        <v>0</v>
      </c>
      <c r="N1112" t="s">
        <v>10019</v>
      </c>
      <c r="O1112" t="str">
        <f>HYPERLINK("2\0\marker_883_378884.png", "Ver Imagen")</f>
        <v>Ver Imagen</v>
      </c>
      <c r="P1112" t="str">
        <f>HYPERLINK("SE\A-5059\A-5059__66.png", "Ver Imagen")</f>
        <v>Ver Imagen</v>
      </c>
    </row>
    <row r="1113" spans="1:16" x14ac:dyDescent="0.25">
      <c r="A1113">
        <v>525</v>
      </c>
      <c r="B1113" t="s">
        <v>1062</v>
      </c>
      <c r="C1113">
        <v>37.224792331899998</v>
      </c>
      <c r="D1113">
        <v>-7.05735756225</v>
      </c>
      <c r="E1113">
        <v>2</v>
      </c>
      <c r="F1113">
        <v>2</v>
      </c>
      <c r="G1113">
        <v>2</v>
      </c>
      <c r="J1113" t="s">
        <v>15</v>
      </c>
      <c r="K1113">
        <v>2</v>
      </c>
      <c r="L1113">
        <v>2.0779999999999998</v>
      </c>
      <c r="M1113">
        <v>0</v>
      </c>
      <c r="N1113" t="s">
        <v>10017</v>
      </c>
      <c r="O1113" t="str">
        <f>HYPERLINK("2\0\marker_750_378956.png", "Ver Imagen")</f>
        <v>Ver Imagen</v>
      </c>
      <c r="P1113" t="str">
        <f>HYPERLINK("SE\A-5059\A-5059__59.png", "Ver Imagen")</f>
        <v>Ver Imagen</v>
      </c>
    </row>
    <row r="1114" spans="1:16" x14ac:dyDescent="0.25">
      <c r="A1114">
        <v>526</v>
      </c>
      <c r="B1114" t="s">
        <v>1064</v>
      </c>
      <c r="C1114">
        <v>37.224908730599999</v>
      </c>
      <c r="D1114">
        <v>-7.0575530727800002</v>
      </c>
      <c r="E1114">
        <v>2</v>
      </c>
      <c r="F1114">
        <v>2</v>
      </c>
      <c r="G1114">
        <v>2</v>
      </c>
      <c r="J1114" t="s">
        <v>15</v>
      </c>
      <c r="K1114">
        <v>2</v>
      </c>
      <c r="L1114">
        <v>1.863</v>
      </c>
      <c r="M1114">
        <v>0</v>
      </c>
      <c r="N1114" t="s">
        <v>10017</v>
      </c>
      <c r="O1114" t="str">
        <f>HYPERLINK("2\0\marker_713_378964.png", "Ver Imagen")</f>
        <v>Ver Imagen</v>
      </c>
      <c r="P1114" t="str">
        <f>HYPERLINK("SE\A-5059\A-5059__58.png", "Ver Imagen")</f>
        <v>Ver Imagen</v>
      </c>
    </row>
    <row r="1115" spans="1:16" x14ac:dyDescent="0.25">
      <c r="A1115">
        <v>527</v>
      </c>
      <c r="B1115" t="s">
        <v>1066</v>
      </c>
      <c r="C1115">
        <v>37.225398986199998</v>
      </c>
      <c r="D1115">
        <v>-7.0583812761900004</v>
      </c>
      <c r="E1115">
        <v>2</v>
      </c>
      <c r="F1115">
        <v>2</v>
      </c>
      <c r="G1115">
        <v>2</v>
      </c>
      <c r="J1115" t="s">
        <v>15</v>
      </c>
      <c r="K1115">
        <v>2</v>
      </c>
      <c r="L1115">
        <v>2.0139999999999998</v>
      </c>
      <c r="M1115">
        <v>0</v>
      </c>
      <c r="N1115" t="s">
        <v>10019</v>
      </c>
      <c r="O1115" t="str">
        <f>HYPERLINK("2\0\marker_709_379054.png", "Ver Imagen")</f>
        <v>Ver Imagen</v>
      </c>
      <c r="P1115" t="str">
        <f>HYPERLINK("SE\A-5059\A-5059__54.png", "Ver Imagen")</f>
        <v>Ver Imagen</v>
      </c>
    </row>
    <row r="1116" spans="1:16" x14ac:dyDescent="0.25">
      <c r="A1116">
        <v>528</v>
      </c>
      <c r="B1116" t="s">
        <v>1068</v>
      </c>
      <c r="C1116">
        <v>37.225518012599998</v>
      </c>
      <c r="D1116">
        <v>-7.0585824376500002</v>
      </c>
      <c r="E1116">
        <v>2</v>
      </c>
      <c r="F1116">
        <v>2</v>
      </c>
      <c r="G1116">
        <v>2</v>
      </c>
      <c r="J1116" t="s">
        <v>15</v>
      </c>
      <c r="K1116">
        <v>2</v>
      </c>
      <c r="L1116">
        <v>2.0760000000000001</v>
      </c>
      <c r="M1116">
        <v>0</v>
      </c>
      <c r="N1116" t="s">
        <v>10019</v>
      </c>
      <c r="O1116" t="str">
        <f>HYPERLINK("2\0\marker_775_379066.png", "Ver Imagen")</f>
        <v>Ver Imagen</v>
      </c>
      <c r="P1116" t="str">
        <f>HYPERLINK("SE\A-5059\A-5059__53.png", "Ver Imagen")</f>
        <v>Ver Imagen</v>
      </c>
    </row>
    <row r="1117" spans="1:16" x14ac:dyDescent="0.25">
      <c r="A1117">
        <v>529</v>
      </c>
      <c r="B1117" t="s">
        <v>1070</v>
      </c>
      <c r="C1117">
        <v>37.2256360867</v>
      </c>
      <c r="D1117">
        <v>-7.0587824124800003</v>
      </c>
      <c r="E1117">
        <v>2</v>
      </c>
      <c r="F1117">
        <v>2</v>
      </c>
      <c r="G1117">
        <v>2</v>
      </c>
      <c r="J1117" t="s">
        <v>15</v>
      </c>
      <c r="K1117">
        <v>2</v>
      </c>
      <c r="L1117">
        <v>2.3620000000000001</v>
      </c>
      <c r="M1117">
        <v>0</v>
      </c>
      <c r="N1117" t="s">
        <v>10018</v>
      </c>
      <c r="O1117" t="str">
        <f>HYPERLINK("2\0\marker_860_379075.png", "Ver Imagen")</f>
        <v>Ver Imagen</v>
      </c>
      <c r="P1117" t="str">
        <f>HYPERLINK("SE\A-5059\A-5059__52.png", "Ver Imagen")</f>
        <v>Ver Imagen</v>
      </c>
    </row>
    <row r="1118" spans="1:16" x14ac:dyDescent="0.25">
      <c r="A1118">
        <v>530</v>
      </c>
      <c r="B1118" t="s">
        <v>1072</v>
      </c>
      <c r="C1118">
        <v>37.225760054699997</v>
      </c>
      <c r="D1118">
        <v>-7.0589930421</v>
      </c>
      <c r="E1118">
        <v>2</v>
      </c>
      <c r="F1118">
        <v>2</v>
      </c>
      <c r="G1118">
        <v>2</v>
      </c>
      <c r="J1118" t="s">
        <v>15</v>
      </c>
      <c r="K1118">
        <v>2</v>
      </c>
      <c r="L1118">
        <v>2.4359999999999999</v>
      </c>
      <c r="M1118">
        <v>0</v>
      </c>
      <c r="N1118" t="s">
        <v>10019</v>
      </c>
      <c r="O1118" t="str">
        <f>HYPERLINK("2\0\marker_812_379084.png", "Ver Imagen")</f>
        <v>Ver Imagen</v>
      </c>
      <c r="P1118" t="str">
        <f>HYPERLINK("SE\A-5059\A-5059__51.png", "Ver Imagen")</f>
        <v>Ver Imagen</v>
      </c>
    </row>
    <row r="1119" spans="1:16" x14ac:dyDescent="0.25">
      <c r="A1119">
        <v>531</v>
      </c>
      <c r="B1119" t="s">
        <v>1074</v>
      </c>
      <c r="C1119">
        <v>37.226120634700003</v>
      </c>
      <c r="D1119">
        <v>-7.0596052661200002</v>
      </c>
      <c r="E1119">
        <v>2</v>
      </c>
      <c r="F1119">
        <v>2</v>
      </c>
      <c r="G1119">
        <v>2</v>
      </c>
      <c r="J1119" t="s">
        <v>15</v>
      </c>
      <c r="K1119">
        <v>2</v>
      </c>
      <c r="L1119">
        <v>1.9850000000000001</v>
      </c>
      <c r="M1119">
        <v>0</v>
      </c>
      <c r="N1119" t="s">
        <v>10019</v>
      </c>
      <c r="O1119" t="str">
        <f>HYPERLINK("2\0\marker_687_379114.png", "Ver Imagen")</f>
        <v>Ver Imagen</v>
      </c>
      <c r="P1119" t="str">
        <f>HYPERLINK("SE\A-5059\A-5059__48.png", "Ver Imagen")</f>
        <v>Ver Imagen</v>
      </c>
    </row>
    <row r="1120" spans="1:16" x14ac:dyDescent="0.25">
      <c r="A1120">
        <v>532</v>
      </c>
      <c r="B1120" t="s">
        <v>1076</v>
      </c>
      <c r="C1120">
        <v>37.226240216599997</v>
      </c>
      <c r="D1120">
        <v>-7.0598096011799996</v>
      </c>
      <c r="E1120">
        <v>2</v>
      </c>
      <c r="F1120">
        <v>2</v>
      </c>
      <c r="G1120">
        <v>2</v>
      </c>
      <c r="J1120" t="s">
        <v>15</v>
      </c>
      <c r="K1120">
        <v>2</v>
      </c>
      <c r="L1120">
        <v>1.8</v>
      </c>
      <c r="M1120">
        <v>0</v>
      </c>
      <c r="N1120" t="s">
        <v>10019</v>
      </c>
      <c r="O1120" t="str">
        <f>HYPERLINK("2\0\marker_867_379123.png", "Ver Imagen")</f>
        <v>Ver Imagen</v>
      </c>
      <c r="P1120" t="str">
        <f>HYPERLINK("SE\A-5059\A-5059__47.png", "Ver Imagen")</f>
        <v>Ver Imagen</v>
      </c>
    </row>
    <row r="1121" spans="1:16" x14ac:dyDescent="0.25">
      <c r="A1121">
        <v>533</v>
      </c>
      <c r="B1121" t="s">
        <v>1078</v>
      </c>
      <c r="C1121">
        <v>37.434510843200002</v>
      </c>
      <c r="D1121">
        <v>-7.0683622070699998</v>
      </c>
      <c r="E1121">
        <v>2</v>
      </c>
      <c r="F1121">
        <v>2</v>
      </c>
      <c r="G1121">
        <v>2</v>
      </c>
      <c r="J1121" t="s">
        <v>15</v>
      </c>
      <c r="K1121">
        <v>2</v>
      </c>
      <c r="L1121">
        <v>1.742</v>
      </c>
      <c r="M1121">
        <v>0</v>
      </c>
      <c r="N1121" t="s">
        <v>10017</v>
      </c>
      <c r="O1121" t="str">
        <f>HYPERLINK("2\0\marker_983_382569.png", "Ver Imagen")</f>
        <v>Ver Imagen</v>
      </c>
      <c r="P1121" t="str">
        <f>HYPERLINK("NE\A-495\A-495__139.png", "Ver Imagen")</f>
        <v>Ver Imagen</v>
      </c>
    </row>
    <row r="1122" spans="1:16" x14ac:dyDescent="0.25">
      <c r="A1122">
        <v>534</v>
      </c>
      <c r="B1122" t="s">
        <v>1080</v>
      </c>
      <c r="C1122">
        <v>37.227875052100003</v>
      </c>
      <c r="D1122">
        <v>-7.0611687774899998</v>
      </c>
      <c r="E1122">
        <v>2</v>
      </c>
      <c r="F1122">
        <v>2</v>
      </c>
      <c r="G1122">
        <v>2</v>
      </c>
      <c r="J1122" t="s">
        <v>15</v>
      </c>
      <c r="K1122">
        <v>2</v>
      </c>
      <c r="L1122">
        <v>2.4140000000000001</v>
      </c>
      <c r="M1122">
        <v>0</v>
      </c>
      <c r="N1122" t="s">
        <v>10019</v>
      </c>
      <c r="O1122" t="str">
        <f>HYPERLINK("2\0\marker_685_379340.png", "Ver Imagen")</f>
        <v>Ver Imagen</v>
      </c>
      <c r="P1122" t="str">
        <f>HYPERLINK("SE\A-5059\A-5059__37.png", "Ver Imagen")</f>
        <v>Ver Imagen</v>
      </c>
    </row>
    <row r="1123" spans="1:16" x14ac:dyDescent="0.25">
      <c r="A1123">
        <v>535</v>
      </c>
      <c r="B1123" t="s">
        <v>1082</v>
      </c>
      <c r="C1123">
        <v>37.228041105700001</v>
      </c>
      <c r="D1123">
        <v>-7.0612999716999996</v>
      </c>
      <c r="E1123">
        <v>2</v>
      </c>
      <c r="F1123">
        <v>2</v>
      </c>
      <c r="G1123">
        <v>2</v>
      </c>
      <c r="J1123" t="s">
        <v>15</v>
      </c>
      <c r="K1123">
        <v>2</v>
      </c>
      <c r="L1123">
        <v>2.3980000000000001</v>
      </c>
      <c r="M1123">
        <v>0</v>
      </c>
      <c r="N1123" t="s">
        <v>10019</v>
      </c>
      <c r="O1123" t="str">
        <f>HYPERLINK("2\0\marker_438_379348.png", "Ver Imagen")</f>
        <v>Ver Imagen</v>
      </c>
      <c r="P1123" t="str">
        <f>HYPERLINK("SE\A-5059\A-5059__36.png", "Ver Imagen")</f>
        <v>Ver Imagen</v>
      </c>
    </row>
    <row r="1124" spans="1:16" x14ac:dyDescent="0.25">
      <c r="A1124">
        <v>536</v>
      </c>
      <c r="B1124" t="s">
        <v>1084</v>
      </c>
      <c r="C1124">
        <v>37.2286454674</v>
      </c>
      <c r="D1124">
        <v>-7.0619772892099997</v>
      </c>
      <c r="E1124">
        <v>2</v>
      </c>
      <c r="F1124">
        <v>2</v>
      </c>
      <c r="G1124">
        <v>2</v>
      </c>
      <c r="J1124" t="s">
        <v>15</v>
      </c>
      <c r="K1124">
        <v>2</v>
      </c>
      <c r="L1124">
        <v>1.8520000000000001</v>
      </c>
      <c r="M1124">
        <v>0</v>
      </c>
      <c r="N1124" t="s">
        <v>10019</v>
      </c>
      <c r="O1124" t="str">
        <f>HYPERLINK("2\0\marker_652_379387.png", "Ver Imagen")</f>
        <v>Ver Imagen</v>
      </c>
      <c r="P1124" t="str">
        <f>HYPERLINK("SE\A-5059\A-5059__32.png", "Ver Imagen")</f>
        <v>Ver Imagen</v>
      </c>
    </row>
    <row r="1125" spans="1:16" x14ac:dyDescent="0.25">
      <c r="A1125">
        <v>537</v>
      </c>
      <c r="B1125" t="s">
        <v>1086</v>
      </c>
      <c r="C1125">
        <v>37.228791815599998</v>
      </c>
      <c r="D1125">
        <v>-7.0621526433800001</v>
      </c>
      <c r="E1125">
        <v>2</v>
      </c>
      <c r="F1125">
        <v>2</v>
      </c>
      <c r="G1125">
        <v>2</v>
      </c>
      <c r="J1125" t="s">
        <v>15</v>
      </c>
      <c r="K1125">
        <v>2</v>
      </c>
      <c r="L1125">
        <v>2.0419999999999998</v>
      </c>
      <c r="M1125">
        <v>0</v>
      </c>
      <c r="N1125" t="s">
        <v>10019</v>
      </c>
      <c r="O1125" t="str">
        <f>HYPERLINK("2\0\marker_417_379395.png", "Ver Imagen")</f>
        <v>Ver Imagen</v>
      </c>
      <c r="P1125" t="str">
        <f>HYPERLINK("SE\A-5059\A-5059__31.png", "Ver Imagen")</f>
        <v>Ver Imagen</v>
      </c>
    </row>
    <row r="1126" spans="1:16" x14ac:dyDescent="0.25">
      <c r="A1126">
        <v>538</v>
      </c>
      <c r="B1126" t="s">
        <v>1088</v>
      </c>
      <c r="C1126">
        <v>37.433823116600003</v>
      </c>
      <c r="D1126">
        <v>-7.06682025858</v>
      </c>
      <c r="E1126">
        <v>2</v>
      </c>
      <c r="F1126">
        <v>2</v>
      </c>
      <c r="G1126">
        <v>2</v>
      </c>
      <c r="J1126" t="s">
        <v>15</v>
      </c>
      <c r="K1126">
        <v>2</v>
      </c>
      <c r="L1126">
        <v>2.077</v>
      </c>
      <c r="M1126">
        <v>0</v>
      </c>
      <c r="N1126" t="s">
        <v>10019</v>
      </c>
      <c r="O1126" t="str">
        <f>HYPERLINK("2\0\marker_547_382633.png", "Ver Imagen")</f>
        <v>Ver Imagen</v>
      </c>
      <c r="P1126" t="str">
        <f>HYPERLINK("NE\A-495\A-495__146.png", "Ver Imagen")</f>
        <v>Ver Imagen</v>
      </c>
    </row>
    <row r="1127" spans="1:16" x14ac:dyDescent="0.25">
      <c r="A1127">
        <v>539</v>
      </c>
      <c r="B1127" t="s">
        <v>1090</v>
      </c>
      <c r="C1127">
        <v>37.432899641900001</v>
      </c>
      <c r="D1127">
        <v>-7.0648051830199998</v>
      </c>
      <c r="E1127">
        <v>2</v>
      </c>
      <c r="F1127">
        <v>2</v>
      </c>
      <c r="G1127">
        <v>2</v>
      </c>
      <c r="J1127" t="s">
        <v>15</v>
      </c>
      <c r="K1127">
        <v>2</v>
      </c>
      <c r="L1127">
        <v>2.165</v>
      </c>
      <c r="M1127">
        <v>0</v>
      </c>
      <c r="N1127" t="s">
        <v>10019</v>
      </c>
      <c r="O1127" t="str">
        <f>HYPERLINK("2\0\marker_619_382732.png", "Ver Imagen")</f>
        <v>Ver Imagen</v>
      </c>
      <c r="P1127" t="str">
        <f>HYPERLINK("NE\A-495\A-495__155.png", "Ver Imagen")</f>
        <v>Ver Imagen</v>
      </c>
    </row>
    <row r="1128" spans="1:16" x14ac:dyDescent="0.25">
      <c r="A1128">
        <v>540</v>
      </c>
      <c r="B1128" t="s">
        <v>1092</v>
      </c>
      <c r="C1128">
        <v>37.225248030300001</v>
      </c>
      <c r="D1128">
        <v>-7.0277473524999996</v>
      </c>
      <c r="E1128">
        <v>2</v>
      </c>
      <c r="F1128">
        <v>2</v>
      </c>
      <c r="G1128">
        <v>2</v>
      </c>
      <c r="J1128" t="s">
        <v>15</v>
      </c>
      <c r="K1128">
        <v>2</v>
      </c>
      <c r="L1128">
        <v>1.865</v>
      </c>
      <c r="M1128">
        <v>0</v>
      </c>
      <c r="N1128" t="s">
        <v>10019</v>
      </c>
      <c r="O1128" t="str">
        <f>HYPERLINK("2\0\marker_149_379799.png", "Ver Imagen")</f>
        <v>Ver Imagen</v>
      </c>
      <c r="P1128" t="str">
        <f>HYPERLINK("SE\A-5058\A-5058__2.png", "Ver Imagen")</f>
        <v>Ver Imagen</v>
      </c>
    </row>
    <row r="1129" spans="1:16" x14ac:dyDescent="0.25">
      <c r="A1129">
        <v>541</v>
      </c>
      <c r="B1129" t="s">
        <v>1094</v>
      </c>
      <c r="C1129">
        <v>37.225291075599998</v>
      </c>
      <c r="D1129">
        <v>-7.0285056530999999</v>
      </c>
      <c r="E1129">
        <v>2</v>
      </c>
      <c r="F1129">
        <v>2</v>
      </c>
      <c r="G1129">
        <v>2</v>
      </c>
      <c r="J1129" t="s">
        <v>15</v>
      </c>
      <c r="K1129">
        <v>2</v>
      </c>
      <c r="L1129">
        <v>1.6359999999999999</v>
      </c>
      <c r="M1129">
        <v>0</v>
      </c>
      <c r="N1129" t="s">
        <v>10019</v>
      </c>
      <c r="O1129" t="str">
        <f>HYPERLINK("2\0\marker_145_379851.png", "Ver Imagen")</f>
        <v>Ver Imagen</v>
      </c>
      <c r="P1129" t="str">
        <f>HYPERLINK("SE\A-5058\A-5058__5.png", "Ver Imagen")</f>
        <v>Ver Imagen</v>
      </c>
    </row>
    <row r="1130" spans="1:16" x14ac:dyDescent="0.25">
      <c r="A1130">
        <v>542</v>
      </c>
      <c r="B1130" t="s">
        <v>1096</v>
      </c>
      <c r="C1130">
        <v>37.225307819999998</v>
      </c>
      <c r="D1130">
        <v>-7.0287823178600002</v>
      </c>
      <c r="E1130">
        <v>2</v>
      </c>
      <c r="F1130">
        <v>2</v>
      </c>
      <c r="G1130">
        <v>2</v>
      </c>
      <c r="J1130" t="s">
        <v>15</v>
      </c>
      <c r="K1130">
        <v>2</v>
      </c>
      <c r="L1130">
        <v>1.736</v>
      </c>
      <c r="M1130">
        <v>0</v>
      </c>
      <c r="N1130" t="s">
        <v>10019</v>
      </c>
      <c r="O1130" t="str">
        <f>HYPERLINK("2\0\marker_924_379860.png", "Ver Imagen")</f>
        <v>Ver Imagen</v>
      </c>
      <c r="P1130" t="str">
        <f>HYPERLINK("SE\A-5058\A-5058__6.png", "Ver Imagen")</f>
        <v>Ver Imagen</v>
      </c>
    </row>
    <row r="1131" spans="1:16" x14ac:dyDescent="0.25">
      <c r="A1131">
        <v>543</v>
      </c>
      <c r="B1131" t="s">
        <v>1098</v>
      </c>
      <c r="C1131">
        <v>37.224830671799999</v>
      </c>
      <c r="D1131">
        <v>-7.0337385879900003</v>
      </c>
      <c r="E1131">
        <v>2</v>
      </c>
      <c r="F1131">
        <v>2</v>
      </c>
      <c r="G1131">
        <v>2</v>
      </c>
      <c r="J1131" t="s">
        <v>15</v>
      </c>
      <c r="K1131">
        <v>2</v>
      </c>
      <c r="L1131">
        <v>1.92</v>
      </c>
      <c r="M1131">
        <v>0</v>
      </c>
      <c r="N1131" t="s">
        <v>10019</v>
      </c>
      <c r="O1131" t="str">
        <f>HYPERLINK("2\0\marker_497_380147.png", "Ver Imagen")</f>
        <v>Ver Imagen</v>
      </c>
      <c r="P1131" t="str">
        <f>HYPERLINK("SE\A-5058\A-5058__26.png", "Ver Imagen")</f>
        <v>Ver Imagen</v>
      </c>
    </row>
    <row r="1132" spans="1:16" x14ac:dyDescent="0.25">
      <c r="A1132">
        <v>544</v>
      </c>
      <c r="B1132" t="s">
        <v>1100</v>
      </c>
      <c r="C1132">
        <v>37.432103725700003</v>
      </c>
      <c r="D1132">
        <v>-7.0630826940200002</v>
      </c>
      <c r="E1132">
        <v>2</v>
      </c>
      <c r="F1132">
        <v>2</v>
      </c>
      <c r="G1132">
        <v>2</v>
      </c>
      <c r="J1132" t="s">
        <v>15</v>
      </c>
      <c r="K1132">
        <v>2</v>
      </c>
      <c r="L1132">
        <v>1.962</v>
      </c>
      <c r="M1132">
        <v>0</v>
      </c>
      <c r="N1132" t="s">
        <v>10019</v>
      </c>
      <c r="O1132" t="str">
        <f>HYPERLINK("2\0\marker_795_382840.png", "Ver Imagen")</f>
        <v>Ver Imagen</v>
      </c>
      <c r="P1132" t="str">
        <f>HYPERLINK("NE\A-495\A-495__163.png", "Ver Imagen")</f>
        <v>Ver Imagen</v>
      </c>
    </row>
    <row r="1133" spans="1:16" x14ac:dyDescent="0.25">
      <c r="A1133">
        <v>545</v>
      </c>
      <c r="B1133" t="s">
        <v>1102</v>
      </c>
      <c r="C1133">
        <v>37.224615584799999</v>
      </c>
      <c r="D1133">
        <v>-7.0344472045200002</v>
      </c>
      <c r="E1133">
        <v>2</v>
      </c>
      <c r="F1133">
        <v>2</v>
      </c>
      <c r="G1133">
        <v>2</v>
      </c>
      <c r="J1133" t="s">
        <v>15</v>
      </c>
      <c r="K1133">
        <v>2</v>
      </c>
      <c r="L1133">
        <v>1.96</v>
      </c>
      <c r="M1133">
        <v>0</v>
      </c>
      <c r="N1133" t="s">
        <v>10019</v>
      </c>
      <c r="O1133" t="str">
        <f>HYPERLINK("2\0\marker_398_380181.png", "Ver Imagen")</f>
        <v>Ver Imagen</v>
      </c>
      <c r="P1133" t="str">
        <f>HYPERLINK("SE\A-5058\A-5058__29.png", "Ver Imagen")</f>
        <v>Ver Imagen</v>
      </c>
    </row>
    <row r="1134" spans="1:16" x14ac:dyDescent="0.25">
      <c r="A1134">
        <v>546</v>
      </c>
      <c r="B1134" t="s">
        <v>1104</v>
      </c>
      <c r="C1134">
        <v>37.224575942999998</v>
      </c>
      <c r="D1134">
        <v>-7.0364899768300004</v>
      </c>
      <c r="E1134">
        <v>2</v>
      </c>
      <c r="F1134">
        <v>2</v>
      </c>
      <c r="G1134">
        <v>2</v>
      </c>
      <c r="J1134" t="s">
        <v>15</v>
      </c>
      <c r="K1134">
        <v>2</v>
      </c>
      <c r="L1134">
        <v>1.7450000000000001</v>
      </c>
      <c r="M1134">
        <v>0</v>
      </c>
      <c r="N1134" t="s">
        <v>10019</v>
      </c>
      <c r="O1134" t="str">
        <f>HYPERLINK("2\0\marker_619_380274.png", "Ver Imagen")</f>
        <v>Ver Imagen</v>
      </c>
      <c r="P1134" t="str">
        <f>HYPERLINK("SE\A-5058\A-5058__38.png", "Ver Imagen")</f>
        <v>Ver Imagen</v>
      </c>
    </row>
    <row r="1135" spans="1:16" x14ac:dyDescent="0.25">
      <c r="A1135">
        <v>547</v>
      </c>
      <c r="B1135" t="s">
        <v>1106</v>
      </c>
      <c r="C1135">
        <v>37.2245866652</v>
      </c>
      <c r="D1135">
        <v>-7.0367292533499999</v>
      </c>
      <c r="E1135">
        <v>2</v>
      </c>
      <c r="F1135">
        <v>2</v>
      </c>
      <c r="G1135">
        <v>2</v>
      </c>
      <c r="J1135" t="s">
        <v>15</v>
      </c>
      <c r="K1135">
        <v>2</v>
      </c>
      <c r="L1135">
        <v>2.3109999999999999</v>
      </c>
      <c r="M1135">
        <v>0</v>
      </c>
      <c r="N1135" t="s">
        <v>10018</v>
      </c>
      <c r="O1135" t="str">
        <f>HYPERLINK("2\0\marker_610_380286.png", "Ver Imagen")</f>
        <v>Ver Imagen</v>
      </c>
      <c r="P1135" t="str">
        <f>HYPERLINK("SE\A-5058\A-5058__39.png", "Ver Imagen")</f>
        <v>Ver Imagen</v>
      </c>
    </row>
    <row r="1136" spans="1:16" x14ac:dyDescent="0.25">
      <c r="A1136">
        <v>548</v>
      </c>
      <c r="B1136" t="s">
        <v>1108</v>
      </c>
      <c r="C1136">
        <v>37.224599408300001</v>
      </c>
      <c r="D1136">
        <v>-7.0369982587799997</v>
      </c>
      <c r="E1136">
        <v>2</v>
      </c>
      <c r="F1136">
        <v>2</v>
      </c>
      <c r="G1136">
        <v>2</v>
      </c>
      <c r="J1136" t="s">
        <v>15</v>
      </c>
      <c r="K1136">
        <v>2</v>
      </c>
      <c r="L1136">
        <v>2.214</v>
      </c>
      <c r="M1136">
        <v>0</v>
      </c>
      <c r="N1136" t="s">
        <v>10018</v>
      </c>
      <c r="O1136" t="str">
        <f>HYPERLINK("2\0\marker_154_380296.png", "Ver Imagen")</f>
        <v>Ver Imagen</v>
      </c>
      <c r="P1136" t="str">
        <f>HYPERLINK("SE\A-5058\A-5058__40.png", "Ver Imagen")</f>
        <v>Ver Imagen</v>
      </c>
    </row>
    <row r="1137" spans="1:16" x14ac:dyDescent="0.25">
      <c r="A1137">
        <v>549</v>
      </c>
      <c r="B1137" t="s">
        <v>1110</v>
      </c>
      <c r="C1137">
        <v>37.431381934400001</v>
      </c>
      <c r="D1137">
        <v>-7.0615142669199997</v>
      </c>
      <c r="E1137">
        <v>2</v>
      </c>
      <c r="F1137">
        <v>2</v>
      </c>
      <c r="G1137">
        <v>2</v>
      </c>
      <c r="J1137" t="s">
        <v>15</v>
      </c>
      <c r="K1137">
        <v>2</v>
      </c>
      <c r="L1137">
        <v>2.1110000000000002</v>
      </c>
      <c r="M1137">
        <v>0</v>
      </c>
      <c r="N1137" t="s">
        <v>10019</v>
      </c>
      <c r="O1137" t="str">
        <f>HYPERLINK("2\0\marker_887_382911.png", "Ver Imagen")</f>
        <v>Ver Imagen</v>
      </c>
      <c r="P1137" t="str">
        <f>HYPERLINK("NE\A-495\A-495__170.png", "Ver Imagen")</f>
        <v>Ver Imagen</v>
      </c>
    </row>
    <row r="1138" spans="1:16" x14ac:dyDescent="0.25">
      <c r="A1138">
        <v>550</v>
      </c>
      <c r="B1138" t="s">
        <v>1112</v>
      </c>
      <c r="C1138">
        <v>37.224668418299999</v>
      </c>
      <c r="D1138">
        <v>-7.0382712313100004</v>
      </c>
      <c r="E1138">
        <v>2</v>
      </c>
      <c r="F1138">
        <v>2</v>
      </c>
      <c r="G1138">
        <v>2</v>
      </c>
      <c r="J1138" t="s">
        <v>15</v>
      </c>
      <c r="K1138">
        <v>2</v>
      </c>
      <c r="L1138">
        <v>2.306</v>
      </c>
      <c r="M1138">
        <v>0</v>
      </c>
      <c r="N1138" t="s">
        <v>10017</v>
      </c>
      <c r="O1138" t="str">
        <f>HYPERLINK("2\0\marker_610_380473.png", "Ver Imagen")</f>
        <v>Ver Imagen</v>
      </c>
      <c r="P1138" t="str">
        <f>HYPERLINK("SE\A-5058\A-5058__45.png", "Ver Imagen")</f>
        <v>Ver Imagen</v>
      </c>
    </row>
    <row r="1139" spans="1:16" x14ac:dyDescent="0.25">
      <c r="A1139">
        <v>551</v>
      </c>
      <c r="B1139" t="s">
        <v>1114</v>
      </c>
      <c r="C1139">
        <v>37.224690285000001</v>
      </c>
      <c r="D1139">
        <v>-7.0385170400700003</v>
      </c>
      <c r="E1139">
        <v>2</v>
      </c>
      <c r="F1139">
        <v>2</v>
      </c>
      <c r="G1139">
        <v>2</v>
      </c>
      <c r="J1139" t="s">
        <v>15</v>
      </c>
      <c r="K1139">
        <v>2</v>
      </c>
      <c r="L1139">
        <v>1.851</v>
      </c>
      <c r="M1139">
        <v>0</v>
      </c>
      <c r="N1139" t="s">
        <v>10019</v>
      </c>
      <c r="O1139" t="str">
        <f>HYPERLINK("2\0\marker_536_380488.png", "Ver Imagen")</f>
        <v>Ver Imagen</v>
      </c>
      <c r="P1139" t="str">
        <f>HYPERLINK("SE\A-5058\A-5058__46.png", "Ver Imagen")</f>
        <v>Ver Imagen</v>
      </c>
    </row>
    <row r="1140" spans="1:16" x14ac:dyDescent="0.25">
      <c r="A1140">
        <v>552</v>
      </c>
      <c r="B1140" t="s">
        <v>1116</v>
      </c>
      <c r="C1140">
        <v>37.224906478900003</v>
      </c>
      <c r="D1140">
        <v>-7.0397525165600001</v>
      </c>
      <c r="E1140">
        <v>2</v>
      </c>
      <c r="F1140">
        <v>2</v>
      </c>
      <c r="G1140">
        <v>2</v>
      </c>
      <c r="J1140" t="s">
        <v>15</v>
      </c>
      <c r="K1140">
        <v>2</v>
      </c>
      <c r="L1140">
        <v>2.0390000000000001</v>
      </c>
      <c r="M1140">
        <v>0</v>
      </c>
      <c r="N1140" t="s">
        <v>10019</v>
      </c>
      <c r="O1140" t="str">
        <f>HYPERLINK("2\0\marker_178_380543.png", "Ver Imagen")</f>
        <v>Ver Imagen</v>
      </c>
      <c r="P1140" t="str">
        <f>HYPERLINK("SE\A-5058\A-5058__51.png", "Ver Imagen")</f>
        <v>Ver Imagen</v>
      </c>
    </row>
    <row r="1141" spans="1:16" x14ac:dyDescent="0.25">
      <c r="A1141">
        <v>553</v>
      </c>
      <c r="B1141" t="s">
        <v>1118</v>
      </c>
      <c r="C1141">
        <v>37.225028770999998</v>
      </c>
      <c r="D1141">
        <v>-7.0402540185699998</v>
      </c>
      <c r="E1141">
        <v>2</v>
      </c>
      <c r="F1141">
        <v>2</v>
      </c>
      <c r="G1141">
        <v>2</v>
      </c>
      <c r="J1141" t="s">
        <v>15</v>
      </c>
      <c r="K1141">
        <v>2</v>
      </c>
      <c r="L1141">
        <v>2.1589999999999998</v>
      </c>
      <c r="M1141">
        <v>0</v>
      </c>
      <c r="N1141" t="s">
        <v>10019</v>
      </c>
      <c r="O1141" t="str">
        <f>HYPERLINK("2\0\marker_280_380560.png", "Ver Imagen")</f>
        <v>Ver Imagen</v>
      </c>
      <c r="P1141" t="str">
        <f>HYPERLINK("SE\A-5058\A-5058__53.png", "Ver Imagen")</f>
        <v>Ver Imagen</v>
      </c>
    </row>
    <row r="1142" spans="1:16" x14ac:dyDescent="0.25">
      <c r="A1142">
        <v>554</v>
      </c>
      <c r="B1142" t="s">
        <v>1120</v>
      </c>
      <c r="C1142">
        <v>37.22508697</v>
      </c>
      <c r="D1142">
        <v>-7.0404769208799998</v>
      </c>
      <c r="E1142">
        <v>2</v>
      </c>
      <c r="F1142">
        <v>2</v>
      </c>
      <c r="G1142">
        <v>2</v>
      </c>
      <c r="J1142" t="s">
        <v>15</v>
      </c>
      <c r="K1142">
        <v>2</v>
      </c>
      <c r="L1142">
        <v>1.9730000000000001</v>
      </c>
      <c r="M1142">
        <v>0</v>
      </c>
      <c r="N1142" t="s">
        <v>10019</v>
      </c>
      <c r="O1142" t="str">
        <f>HYPERLINK("2\0\marker_354_380579.png", "Ver Imagen")</f>
        <v>Ver Imagen</v>
      </c>
      <c r="P1142" t="str">
        <f>HYPERLINK("SE\A-5058\A-5058__54.png", "Ver Imagen")</f>
        <v>Ver Imagen</v>
      </c>
    </row>
    <row r="1143" spans="1:16" x14ac:dyDescent="0.25">
      <c r="A1143">
        <v>555</v>
      </c>
      <c r="B1143" t="s">
        <v>1122</v>
      </c>
      <c r="C1143">
        <v>37.225147768799999</v>
      </c>
      <c r="D1143">
        <v>-7.0406939308599998</v>
      </c>
      <c r="E1143">
        <v>2</v>
      </c>
      <c r="F1143">
        <v>2</v>
      </c>
      <c r="G1143">
        <v>2</v>
      </c>
      <c r="J1143" t="s">
        <v>15</v>
      </c>
      <c r="K1143">
        <v>2</v>
      </c>
      <c r="L1143">
        <v>1.9370000000000001</v>
      </c>
      <c r="M1143">
        <v>0</v>
      </c>
      <c r="N1143" t="s">
        <v>10019</v>
      </c>
      <c r="O1143" t="str">
        <f>HYPERLINK("2\0\marker_748_380589.png", "Ver Imagen")</f>
        <v>Ver Imagen</v>
      </c>
      <c r="P1143" t="str">
        <f>HYPERLINK("SE\A-5058\A-5058__55.png", "Ver Imagen")</f>
        <v>Ver Imagen</v>
      </c>
    </row>
    <row r="1144" spans="1:16" x14ac:dyDescent="0.25">
      <c r="A1144">
        <v>556</v>
      </c>
      <c r="B1144" t="s">
        <v>1124</v>
      </c>
      <c r="C1144">
        <v>37.234074205500001</v>
      </c>
      <c r="D1144">
        <v>-7.0625625548500004</v>
      </c>
      <c r="E1144">
        <v>2</v>
      </c>
      <c r="F1144">
        <v>2</v>
      </c>
      <c r="G1144">
        <v>2</v>
      </c>
      <c r="J1144" t="s">
        <v>15</v>
      </c>
      <c r="K1144">
        <v>2</v>
      </c>
      <c r="L1144">
        <v>1.946</v>
      </c>
      <c r="M1144">
        <v>0</v>
      </c>
      <c r="N1144" t="s">
        <v>10019</v>
      </c>
      <c r="O1144" t="str">
        <f>HYPERLINK("2\0\marker_312_381759.png", "Ver Imagen")</f>
        <v>Ver Imagen</v>
      </c>
      <c r="P1144" t="str">
        <f>HYPERLINK("SE\A-5058\A-5058__155.png", "Ver Imagen")</f>
        <v>Ver Imagen</v>
      </c>
    </row>
    <row r="1145" spans="1:16" x14ac:dyDescent="0.25">
      <c r="A1145">
        <v>559</v>
      </c>
      <c r="B1145" t="s">
        <v>1130</v>
      </c>
      <c r="C1145">
        <v>37.483754931199996</v>
      </c>
      <c r="D1145">
        <v>-7.1296677871699998</v>
      </c>
      <c r="E1145">
        <v>2</v>
      </c>
      <c r="F1145">
        <v>2</v>
      </c>
      <c r="G1145">
        <v>2</v>
      </c>
      <c r="J1145" t="s">
        <v>15</v>
      </c>
      <c r="K1145">
        <v>2</v>
      </c>
      <c r="L1145">
        <v>1.8029999999999999</v>
      </c>
      <c r="M1145">
        <v>0</v>
      </c>
      <c r="N1145" t="s">
        <v>10019</v>
      </c>
      <c r="O1145" t="str">
        <f>HYPERLINK("2\0\marker_832_383736.png", "Ver Imagen")</f>
        <v>Ver Imagen</v>
      </c>
      <c r="P1145" t="str">
        <f>HYPERLINK("NE\A-495_1\A-495_1__189.png", "Ver Imagen")</f>
        <v>Ver Imagen</v>
      </c>
    </row>
    <row r="1146" spans="1:16" x14ac:dyDescent="0.25">
      <c r="A1146">
        <v>560</v>
      </c>
      <c r="B1146" t="s">
        <v>1132</v>
      </c>
      <c r="C1146">
        <v>37.482981652100001</v>
      </c>
      <c r="D1146">
        <v>-7.1289132139299998</v>
      </c>
      <c r="E1146">
        <v>2</v>
      </c>
      <c r="F1146">
        <v>2</v>
      </c>
      <c r="G1146">
        <v>2</v>
      </c>
      <c r="J1146" t="s">
        <v>15</v>
      </c>
      <c r="K1146">
        <v>2</v>
      </c>
      <c r="L1146">
        <v>2.0019999999999998</v>
      </c>
      <c r="M1146">
        <v>0</v>
      </c>
      <c r="N1146" t="s">
        <v>10019</v>
      </c>
      <c r="O1146" t="str">
        <f>HYPERLINK("2\0\marker_827_383784.png", "Ver Imagen")</f>
        <v>Ver Imagen</v>
      </c>
      <c r="P1146" t="str">
        <f>HYPERLINK("NE\A-495_1\A-495_1__184.png", "Ver Imagen")</f>
        <v>Ver Imagen</v>
      </c>
    </row>
    <row r="1147" spans="1:16" x14ac:dyDescent="0.25">
      <c r="A1147">
        <v>561</v>
      </c>
      <c r="B1147" t="s">
        <v>1134</v>
      </c>
      <c r="C1147">
        <v>37.482258325300002</v>
      </c>
      <c r="D1147">
        <v>-7.12842244541</v>
      </c>
      <c r="E1147">
        <v>2</v>
      </c>
      <c r="F1147">
        <v>2</v>
      </c>
      <c r="G1147">
        <v>2</v>
      </c>
      <c r="J1147" t="s">
        <v>15</v>
      </c>
      <c r="K1147">
        <v>2</v>
      </c>
      <c r="L1147">
        <v>2.0739999999999998</v>
      </c>
      <c r="M1147">
        <v>0</v>
      </c>
      <c r="N1147" t="s">
        <v>10019</v>
      </c>
      <c r="O1147" t="str">
        <f>HYPERLINK("2\0\marker_594_383820.png", "Ver Imagen")</f>
        <v>Ver Imagen</v>
      </c>
      <c r="P1147" t="str">
        <f>HYPERLINK("NE\A-495_1\A-495_1__180.png", "Ver Imagen")</f>
        <v>Ver Imagen</v>
      </c>
    </row>
    <row r="1148" spans="1:16" x14ac:dyDescent="0.25">
      <c r="A1148">
        <v>562</v>
      </c>
      <c r="B1148" t="s">
        <v>1136</v>
      </c>
      <c r="C1148">
        <v>37.481325789800003</v>
      </c>
      <c r="D1148">
        <v>-7.1279156824700003</v>
      </c>
      <c r="E1148">
        <v>2</v>
      </c>
      <c r="F1148">
        <v>2</v>
      </c>
      <c r="G1148">
        <v>2</v>
      </c>
      <c r="J1148" t="s">
        <v>15</v>
      </c>
      <c r="K1148">
        <v>2</v>
      </c>
      <c r="L1148">
        <v>2.012</v>
      </c>
      <c r="M1148">
        <v>0</v>
      </c>
      <c r="N1148" t="s">
        <v>10019</v>
      </c>
      <c r="O1148" t="str">
        <f>HYPERLINK("2\0\marker_213_383943.png", "Ver Imagen")</f>
        <v>Ver Imagen</v>
      </c>
      <c r="P1148" t="str">
        <f>HYPERLINK("NE\A-495_1\A-495_1__175.png", "Ver Imagen")</f>
        <v>Ver Imagen</v>
      </c>
    </row>
    <row r="1149" spans="1:16" x14ac:dyDescent="0.25">
      <c r="A1149">
        <v>563</v>
      </c>
      <c r="B1149" t="s">
        <v>1138</v>
      </c>
      <c r="C1149">
        <v>37.480936026599998</v>
      </c>
      <c r="D1149">
        <v>-7.1277995644100001</v>
      </c>
      <c r="E1149">
        <v>2</v>
      </c>
      <c r="F1149">
        <v>2</v>
      </c>
      <c r="G1149">
        <v>2</v>
      </c>
      <c r="J1149" t="s">
        <v>15</v>
      </c>
      <c r="K1149">
        <v>2</v>
      </c>
      <c r="L1149">
        <v>2.4020000000000001</v>
      </c>
      <c r="M1149">
        <v>0</v>
      </c>
      <c r="N1149" t="s">
        <v>10019</v>
      </c>
      <c r="O1149" t="str">
        <f>HYPERLINK("2\0\marker_641_383960.png", "Ver Imagen")</f>
        <v>Ver Imagen</v>
      </c>
      <c r="P1149" t="str">
        <f>HYPERLINK("NE\A-495_1\A-495_1__173.png", "Ver Imagen")</f>
        <v>Ver Imagen</v>
      </c>
    </row>
    <row r="1150" spans="1:16" x14ac:dyDescent="0.25">
      <c r="A1150">
        <v>564</v>
      </c>
      <c r="B1150" t="s">
        <v>1140</v>
      </c>
      <c r="C1150">
        <v>37.464698898400002</v>
      </c>
      <c r="D1150">
        <v>-7.1234194189200002</v>
      </c>
      <c r="E1150">
        <v>2</v>
      </c>
      <c r="F1150">
        <v>2</v>
      </c>
      <c r="G1150">
        <v>2</v>
      </c>
      <c r="J1150" t="s">
        <v>15</v>
      </c>
      <c r="K1150">
        <v>2</v>
      </c>
      <c r="L1150">
        <v>1.7649999999999999</v>
      </c>
      <c r="M1150">
        <v>0</v>
      </c>
      <c r="N1150" t="s">
        <v>10019</v>
      </c>
      <c r="O1150" t="str">
        <f>HYPERLINK("2\0\marker_568_385192.png", "Ver Imagen")</f>
        <v>Ver Imagen</v>
      </c>
      <c r="P1150" t="str">
        <f>HYPERLINK("NE\A-495_1\A-495_1__85.png", "Ver Imagen")</f>
        <v>Ver Imagen</v>
      </c>
    </row>
    <row r="1151" spans="1:16" x14ac:dyDescent="0.25">
      <c r="A1151">
        <v>565</v>
      </c>
      <c r="B1151" t="s">
        <v>1142</v>
      </c>
      <c r="C1151">
        <v>37.462190792900003</v>
      </c>
      <c r="D1151">
        <v>-7.1243069922000002</v>
      </c>
      <c r="E1151">
        <v>2</v>
      </c>
      <c r="F1151">
        <v>2</v>
      </c>
      <c r="G1151">
        <v>2</v>
      </c>
      <c r="J1151" t="s">
        <v>15</v>
      </c>
      <c r="K1151">
        <v>2</v>
      </c>
      <c r="L1151">
        <v>1.883</v>
      </c>
      <c r="M1151">
        <v>0</v>
      </c>
      <c r="N1151" t="s">
        <v>10019</v>
      </c>
      <c r="O1151" t="str">
        <f>HYPERLINK("2\0\marker_737_385309.png", "Ver Imagen")</f>
        <v>Ver Imagen</v>
      </c>
      <c r="P1151" t="str">
        <f>HYPERLINK("NE\A-495_1\A-495_1__72.png", "Ver Imagen")</f>
        <v>Ver Imagen</v>
      </c>
    </row>
    <row r="1152" spans="1:16" x14ac:dyDescent="0.25">
      <c r="A1152">
        <v>566</v>
      </c>
      <c r="B1152" t="s">
        <v>1144</v>
      </c>
      <c r="C1152">
        <v>37.4608015763</v>
      </c>
      <c r="D1152">
        <v>-7.1246447661400003</v>
      </c>
      <c r="E1152">
        <v>2</v>
      </c>
      <c r="F1152">
        <v>2</v>
      </c>
      <c r="G1152">
        <v>2</v>
      </c>
      <c r="J1152" t="s">
        <v>15</v>
      </c>
      <c r="K1152">
        <v>2</v>
      </c>
      <c r="L1152">
        <v>1.9950000000000001</v>
      </c>
      <c r="M1152">
        <v>0</v>
      </c>
      <c r="N1152" t="s">
        <v>10019</v>
      </c>
      <c r="O1152" t="str">
        <f>HYPERLINK("2\0\marker_342_385373.png", "Ver Imagen")</f>
        <v>Ver Imagen</v>
      </c>
      <c r="P1152" t="str">
        <f>HYPERLINK("NE\A-495_1\A-495_1__65.png", "Ver Imagen")</f>
        <v>Ver Imagen</v>
      </c>
    </row>
    <row r="1153" spans="1:16" x14ac:dyDescent="0.25">
      <c r="A1153">
        <v>567</v>
      </c>
      <c r="B1153" t="s">
        <v>1146</v>
      </c>
      <c r="C1153">
        <v>37.460572503999998</v>
      </c>
      <c r="D1153">
        <v>-7.1247125968500002</v>
      </c>
      <c r="E1153">
        <v>2</v>
      </c>
      <c r="F1153">
        <v>2</v>
      </c>
      <c r="G1153">
        <v>2</v>
      </c>
      <c r="J1153" t="s">
        <v>15</v>
      </c>
      <c r="K1153">
        <v>2</v>
      </c>
      <c r="L1153">
        <v>1.929</v>
      </c>
      <c r="M1153">
        <v>0</v>
      </c>
      <c r="N1153" t="s">
        <v>10019</v>
      </c>
      <c r="O1153" t="str">
        <f>HYPERLINK("2\0\marker_842_385382.png", "Ver Imagen")</f>
        <v>Ver Imagen</v>
      </c>
      <c r="P1153" t="str">
        <f>HYPERLINK("NE\A-495_1\A-495_1__64.png", "Ver Imagen")</f>
        <v>Ver Imagen</v>
      </c>
    </row>
    <row r="1154" spans="1:16" x14ac:dyDescent="0.25">
      <c r="A1154">
        <v>568</v>
      </c>
      <c r="B1154" t="s">
        <v>1148</v>
      </c>
      <c r="C1154">
        <v>37.460346171200001</v>
      </c>
      <c r="D1154">
        <v>-7.1247833531399998</v>
      </c>
      <c r="E1154">
        <v>2</v>
      </c>
      <c r="F1154">
        <v>2</v>
      </c>
      <c r="G1154">
        <v>2</v>
      </c>
      <c r="J1154" t="s">
        <v>15</v>
      </c>
      <c r="K1154">
        <v>2</v>
      </c>
      <c r="L1154">
        <v>2.0699999999999998</v>
      </c>
      <c r="M1154">
        <v>0</v>
      </c>
      <c r="N1154" t="s">
        <v>10019</v>
      </c>
      <c r="O1154" t="str">
        <f>HYPERLINK("2\0\marker_973_385391.png", "Ver Imagen")</f>
        <v>Ver Imagen</v>
      </c>
      <c r="P1154" t="str">
        <f>HYPERLINK("NE\A-495_1\A-495_1__63.png", "Ver Imagen")</f>
        <v>Ver Imagen</v>
      </c>
    </row>
    <row r="1155" spans="1:16" x14ac:dyDescent="0.25">
      <c r="A1155">
        <v>569</v>
      </c>
      <c r="B1155" t="s">
        <v>1150</v>
      </c>
      <c r="C1155">
        <v>37.459176706500003</v>
      </c>
      <c r="D1155">
        <v>-7.1251966531299997</v>
      </c>
      <c r="E1155">
        <v>2</v>
      </c>
      <c r="F1155">
        <v>2</v>
      </c>
      <c r="G1155">
        <v>2</v>
      </c>
      <c r="J1155" t="s">
        <v>15</v>
      </c>
      <c r="K1155">
        <v>2</v>
      </c>
      <c r="L1155">
        <v>1.6970000000000001</v>
      </c>
      <c r="M1155">
        <v>0</v>
      </c>
      <c r="N1155" t="s">
        <v>10019</v>
      </c>
      <c r="O1155" t="str">
        <f>HYPERLINK("2\0\marker_833_385499.png", "Ver Imagen")</f>
        <v>Ver Imagen</v>
      </c>
      <c r="P1155" t="str">
        <f>HYPERLINK("NE\A-495_1\A-495_1__57.png", "Ver Imagen")</f>
        <v>Ver Imagen</v>
      </c>
    </row>
    <row r="1156" spans="1:16" x14ac:dyDescent="0.25">
      <c r="A1156">
        <v>570</v>
      </c>
      <c r="B1156" t="s">
        <v>1152</v>
      </c>
      <c r="C1156">
        <v>37.458974140199999</v>
      </c>
      <c r="D1156">
        <v>-7.12527034953</v>
      </c>
      <c r="E1156">
        <v>2</v>
      </c>
      <c r="F1156">
        <v>2</v>
      </c>
      <c r="G1156">
        <v>2</v>
      </c>
      <c r="J1156" t="s">
        <v>15</v>
      </c>
      <c r="K1156">
        <v>2</v>
      </c>
      <c r="L1156">
        <v>2.0910000000000002</v>
      </c>
      <c r="M1156">
        <v>0</v>
      </c>
      <c r="N1156" t="s">
        <v>10019</v>
      </c>
      <c r="O1156" t="str">
        <f>HYPERLINK("2\0\marker_203_385509.png", "Ver Imagen")</f>
        <v>Ver Imagen</v>
      </c>
      <c r="P1156" t="str">
        <f>HYPERLINK("NE\A-495_1\A-495_1__56.png", "Ver Imagen")</f>
        <v>Ver Imagen</v>
      </c>
    </row>
    <row r="1157" spans="1:16" x14ac:dyDescent="0.25">
      <c r="A1157">
        <v>571</v>
      </c>
      <c r="B1157" t="s">
        <v>1154</v>
      </c>
      <c r="C1157">
        <v>37.4586526525</v>
      </c>
      <c r="D1157">
        <v>-7.1253859559999997</v>
      </c>
      <c r="E1157">
        <v>2</v>
      </c>
      <c r="F1157">
        <v>2</v>
      </c>
      <c r="G1157">
        <v>2</v>
      </c>
      <c r="J1157" t="s">
        <v>15</v>
      </c>
      <c r="K1157">
        <v>2</v>
      </c>
      <c r="L1157">
        <v>1.96</v>
      </c>
      <c r="M1157">
        <v>0</v>
      </c>
      <c r="N1157" t="s">
        <v>10019</v>
      </c>
      <c r="O1157" t="str">
        <f>HYPERLINK("2\0\marker_987_385527.png", "Ver Imagen")</f>
        <v>Ver Imagen</v>
      </c>
      <c r="P1157" t="str">
        <f>HYPERLINK("NE\A-495_1\A-495_1__54.png", "Ver Imagen")</f>
        <v>Ver Imagen</v>
      </c>
    </row>
    <row r="1158" spans="1:16" x14ac:dyDescent="0.25">
      <c r="A1158">
        <v>572</v>
      </c>
      <c r="B1158" t="s">
        <v>1156</v>
      </c>
      <c r="C1158">
        <v>37.457853999000001</v>
      </c>
      <c r="D1158">
        <v>-7.1256781254700003</v>
      </c>
      <c r="E1158">
        <v>2</v>
      </c>
      <c r="F1158">
        <v>2</v>
      </c>
      <c r="G1158">
        <v>2</v>
      </c>
      <c r="J1158" t="s">
        <v>15</v>
      </c>
      <c r="K1158">
        <v>2</v>
      </c>
      <c r="L1158">
        <v>1.885</v>
      </c>
      <c r="M1158">
        <v>0</v>
      </c>
      <c r="N1158" t="s">
        <v>10019</v>
      </c>
      <c r="O1158" t="str">
        <f>HYPERLINK("2\0\marker_518_385561.png", "Ver Imagen")</f>
        <v>Ver Imagen</v>
      </c>
      <c r="P1158" t="str">
        <f>HYPERLINK("NE\A-495_1\A-495_1__50.png", "Ver Imagen")</f>
        <v>Ver Imagen</v>
      </c>
    </row>
    <row r="1159" spans="1:16" x14ac:dyDescent="0.25">
      <c r="A1159">
        <v>573</v>
      </c>
      <c r="B1159" t="s">
        <v>1158</v>
      </c>
      <c r="C1159">
        <v>37.4574552001</v>
      </c>
      <c r="D1159">
        <v>-7.1258191961800001</v>
      </c>
      <c r="E1159">
        <v>2</v>
      </c>
      <c r="F1159">
        <v>2</v>
      </c>
      <c r="G1159">
        <v>2</v>
      </c>
      <c r="J1159" t="s">
        <v>15</v>
      </c>
      <c r="K1159">
        <v>2</v>
      </c>
      <c r="L1159">
        <v>1.871</v>
      </c>
      <c r="M1159">
        <v>0</v>
      </c>
      <c r="N1159" t="s">
        <v>10019</v>
      </c>
      <c r="O1159" t="str">
        <f>HYPERLINK("2\0\marker_921_385579.png", "Ver Imagen")</f>
        <v>Ver Imagen</v>
      </c>
      <c r="P1159" t="str">
        <f>HYPERLINK("NE\A-495_1\A-495_1__48.png", "Ver Imagen")</f>
        <v>Ver Imagen</v>
      </c>
    </row>
    <row r="1160" spans="1:16" x14ac:dyDescent="0.25">
      <c r="A1160">
        <v>574</v>
      </c>
      <c r="B1160" t="s">
        <v>1160</v>
      </c>
      <c r="C1160">
        <v>37.457287263399998</v>
      </c>
      <c r="D1160">
        <v>-7.1258801727299996</v>
      </c>
      <c r="E1160">
        <v>2</v>
      </c>
      <c r="F1160">
        <v>2</v>
      </c>
      <c r="G1160">
        <v>2</v>
      </c>
      <c r="J1160" t="s">
        <v>15</v>
      </c>
      <c r="K1160">
        <v>2</v>
      </c>
      <c r="L1160">
        <v>2.0369999999999999</v>
      </c>
      <c r="M1160">
        <v>0</v>
      </c>
      <c r="N1160" t="s">
        <v>10019</v>
      </c>
      <c r="O1160" t="str">
        <f>HYPERLINK("2\0\marker_136_385588.png", "Ver Imagen")</f>
        <v>Ver Imagen</v>
      </c>
      <c r="P1160" t="str">
        <f>HYPERLINK("NE\A-495_1\A-495_1__47.png", "Ver Imagen")</f>
        <v>Ver Imagen</v>
      </c>
    </row>
    <row r="1161" spans="1:16" x14ac:dyDescent="0.25">
      <c r="A1161">
        <v>575</v>
      </c>
      <c r="B1161" t="s">
        <v>1162</v>
      </c>
      <c r="C1161">
        <v>37.455712431000002</v>
      </c>
      <c r="D1161">
        <v>-7.1264644669399999</v>
      </c>
      <c r="E1161">
        <v>2</v>
      </c>
      <c r="F1161">
        <v>2</v>
      </c>
      <c r="G1161">
        <v>2</v>
      </c>
      <c r="J1161" t="s">
        <v>15</v>
      </c>
      <c r="K1161">
        <v>2</v>
      </c>
      <c r="L1161">
        <v>2.0550000000000002</v>
      </c>
      <c r="M1161">
        <v>0</v>
      </c>
      <c r="N1161" t="s">
        <v>10019</v>
      </c>
      <c r="O1161" t="str">
        <f>HYPERLINK("2\0\marker_319_385664.png", "Ver Imagen")</f>
        <v>Ver Imagen</v>
      </c>
      <c r="P1161" t="str">
        <f>HYPERLINK("NE\A-495_1\A-495_1__39.png", "Ver Imagen")</f>
        <v>Ver Imagen</v>
      </c>
    </row>
    <row r="1162" spans="1:16" x14ac:dyDescent="0.25">
      <c r="A1162">
        <v>576</v>
      </c>
      <c r="B1162" t="s">
        <v>1164</v>
      </c>
      <c r="C1162">
        <v>37.455164754599998</v>
      </c>
      <c r="D1162">
        <v>-7.1266661101600004</v>
      </c>
      <c r="E1162">
        <v>2</v>
      </c>
      <c r="F1162">
        <v>2</v>
      </c>
      <c r="G1162">
        <v>2</v>
      </c>
      <c r="J1162" t="s">
        <v>15</v>
      </c>
      <c r="K1162">
        <v>2</v>
      </c>
      <c r="L1162">
        <v>1.732</v>
      </c>
      <c r="M1162">
        <v>0</v>
      </c>
      <c r="N1162" t="s">
        <v>10019</v>
      </c>
      <c r="O1162" t="str">
        <f>HYPERLINK("2\0\marker_165_385692.png", "Ver Imagen")</f>
        <v>Ver Imagen</v>
      </c>
      <c r="P1162" t="str">
        <f>HYPERLINK("NE\A-495_1\A-495_1__36.png", "Ver Imagen")</f>
        <v>Ver Imagen</v>
      </c>
    </row>
    <row r="1163" spans="1:16" x14ac:dyDescent="0.25">
      <c r="A1163">
        <v>577</v>
      </c>
      <c r="B1163" t="s">
        <v>1166</v>
      </c>
      <c r="C1163">
        <v>37.454149359299997</v>
      </c>
      <c r="D1163">
        <v>-7.1270351088400004</v>
      </c>
      <c r="E1163">
        <v>2</v>
      </c>
      <c r="F1163">
        <v>2</v>
      </c>
      <c r="G1163">
        <v>2</v>
      </c>
      <c r="J1163" t="s">
        <v>15</v>
      </c>
      <c r="K1163">
        <v>2</v>
      </c>
      <c r="L1163">
        <v>1.907</v>
      </c>
      <c r="M1163">
        <v>0</v>
      </c>
      <c r="N1163" t="s">
        <v>10019</v>
      </c>
      <c r="O1163" t="str">
        <f>HYPERLINK("2\0\marker_366_385862.png", "Ver Imagen")</f>
        <v>Ver Imagen</v>
      </c>
      <c r="P1163" t="str">
        <f>HYPERLINK("NE\A-495_1\A-495_1__31.png", "Ver Imagen")</f>
        <v>Ver Imagen</v>
      </c>
    </row>
    <row r="1164" spans="1:16" x14ac:dyDescent="0.25">
      <c r="A1164">
        <v>578</v>
      </c>
      <c r="B1164" t="s">
        <v>1168</v>
      </c>
      <c r="C1164">
        <v>37.453397486599997</v>
      </c>
      <c r="D1164">
        <v>-7.1272650498000001</v>
      </c>
      <c r="E1164">
        <v>2</v>
      </c>
      <c r="F1164">
        <v>2</v>
      </c>
      <c r="G1164">
        <v>2</v>
      </c>
      <c r="J1164" t="s">
        <v>15</v>
      </c>
      <c r="K1164">
        <v>2</v>
      </c>
      <c r="L1164">
        <v>1.788</v>
      </c>
      <c r="M1164">
        <v>0</v>
      </c>
      <c r="N1164" t="s">
        <v>10017</v>
      </c>
      <c r="O1164" t="str">
        <f>HYPERLINK("2\0\marker_975_385908.png", "Ver Imagen")</f>
        <v>Ver Imagen</v>
      </c>
      <c r="P1164" t="str">
        <f>HYPERLINK("NE\A-495_1\A-495_1__27.png", "Ver Imagen")</f>
        <v>Ver Imagen</v>
      </c>
    </row>
    <row r="1165" spans="1:16" x14ac:dyDescent="0.25">
      <c r="A1165">
        <v>579</v>
      </c>
      <c r="B1165" t="s">
        <v>1170</v>
      </c>
      <c r="C1165">
        <v>37.4518016038</v>
      </c>
      <c r="D1165">
        <v>-7.1274672611899996</v>
      </c>
      <c r="E1165">
        <v>2</v>
      </c>
      <c r="F1165">
        <v>2</v>
      </c>
      <c r="G1165">
        <v>2</v>
      </c>
      <c r="J1165" t="s">
        <v>15</v>
      </c>
      <c r="K1165">
        <v>2</v>
      </c>
      <c r="L1165">
        <v>2.1720000000000002</v>
      </c>
      <c r="M1165">
        <v>0</v>
      </c>
      <c r="N1165" t="s">
        <v>10019</v>
      </c>
      <c r="O1165" t="str">
        <f>HYPERLINK("2\0\marker_410_386134.png", "Ver Imagen")</f>
        <v>Ver Imagen</v>
      </c>
      <c r="P1165" t="str">
        <f>HYPERLINK("NE\A-495_1\A-495_1__19.png", "Ver Imagen")</f>
        <v>Ver Imagen</v>
      </c>
    </row>
    <row r="1166" spans="1:16" x14ac:dyDescent="0.25">
      <c r="A1166">
        <v>580</v>
      </c>
      <c r="B1166" t="s">
        <v>1172</v>
      </c>
      <c r="C1166">
        <v>37.451572593800002</v>
      </c>
      <c r="D1166">
        <v>-7.1274636210200004</v>
      </c>
      <c r="E1166">
        <v>2</v>
      </c>
      <c r="F1166">
        <v>2</v>
      </c>
      <c r="G1166">
        <v>2</v>
      </c>
      <c r="J1166" t="s">
        <v>15</v>
      </c>
      <c r="K1166">
        <v>2</v>
      </c>
      <c r="L1166">
        <v>1.8560000000000001</v>
      </c>
      <c r="M1166">
        <v>0</v>
      </c>
      <c r="N1166" t="s">
        <v>10018</v>
      </c>
      <c r="O1166" t="str">
        <f>HYPERLINK("2\0\marker_277_386142.png", "Ver Imagen")</f>
        <v>Ver Imagen</v>
      </c>
      <c r="P1166" t="str">
        <f>HYPERLINK("NE\A-495_1\A-495_1__18.png", "Ver Imagen")</f>
        <v>Ver Imagen</v>
      </c>
    </row>
    <row r="1167" spans="1:16" x14ac:dyDescent="0.25">
      <c r="A1167">
        <v>581</v>
      </c>
      <c r="B1167" t="s">
        <v>1174</v>
      </c>
      <c r="C1167">
        <v>37.486964896700002</v>
      </c>
      <c r="D1167">
        <v>-7.2802041724800004</v>
      </c>
      <c r="E1167">
        <v>2</v>
      </c>
      <c r="F1167">
        <v>2</v>
      </c>
      <c r="G1167">
        <v>2</v>
      </c>
      <c r="J1167" t="s">
        <v>15</v>
      </c>
      <c r="K1167">
        <v>2</v>
      </c>
      <c r="L1167">
        <v>2.0590000000000002</v>
      </c>
      <c r="M1167">
        <v>0</v>
      </c>
      <c r="N1167" t="s">
        <v>10019</v>
      </c>
      <c r="O1167" t="str">
        <f>HYPERLINK("2\0\marker_119_529185.png", "Ver Imagen")</f>
        <v>Ver Imagen</v>
      </c>
      <c r="P1167" t="str">
        <f>HYPERLINK("NO\A-499\A-499__1.png", "Ver Imagen")</f>
        <v>Ver Imagen</v>
      </c>
    </row>
    <row r="1168" spans="1:16" x14ac:dyDescent="0.25">
      <c r="A1168">
        <v>582</v>
      </c>
      <c r="B1168" t="s">
        <v>1176</v>
      </c>
      <c r="C1168">
        <v>37.487142181199999</v>
      </c>
      <c r="D1168">
        <v>-7.2801107081599996</v>
      </c>
      <c r="E1168">
        <v>2</v>
      </c>
      <c r="F1168">
        <v>2</v>
      </c>
      <c r="G1168">
        <v>2</v>
      </c>
      <c r="J1168" t="s">
        <v>15</v>
      </c>
      <c r="K1168">
        <v>2</v>
      </c>
      <c r="L1168">
        <v>2.1749999999999998</v>
      </c>
      <c r="M1168">
        <v>0</v>
      </c>
      <c r="N1168" t="s">
        <v>10019</v>
      </c>
      <c r="O1168" t="str">
        <f>HYPERLINK("2\0\marker_388_529195.png", "Ver Imagen")</f>
        <v>Ver Imagen</v>
      </c>
      <c r="P1168" t="str">
        <f>HYPERLINK("NO\A-499\A-499__2.png", "Ver Imagen")</f>
        <v>Ver Imagen</v>
      </c>
    </row>
    <row r="1169" spans="1:16" x14ac:dyDescent="0.25">
      <c r="A1169">
        <v>583</v>
      </c>
      <c r="B1169" t="s">
        <v>1178</v>
      </c>
      <c r="C1169">
        <v>37.487743353699997</v>
      </c>
      <c r="D1169">
        <v>-7.2797984394500004</v>
      </c>
      <c r="E1169">
        <v>2</v>
      </c>
      <c r="F1169">
        <v>2</v>
      </c>
      <c r="G1169">
        <v>2</v>
      </c>
      <c r="J1169" t="s">
        <v>15</v>
      </c>
      <c r="K1169">
        <v>2</v>
      </c>
      <c r="L1169">
        <v>1.9970000000000001</v>
      </c>
      <c r="M1169">
        <v>0</v>
      </c>
      <c r="N1169" t="s">
        <v>10019</v>
      </c>
      <c r="O1169" t="str">
        <f>HYPERLINK("2\0\marker_421_529223.png", "Ver Imagen")</f>
        <v>Ver Imagen</v>
      </c>
      <c r="P1169" t="str">
        <f>HYPERLINK("NO\A-499\A-499__5.png", "Ver Imagen")</f>
        <v>Ver Imagen</v>
      </c>
    </row>
    <row r="1170" spans="1:16" x14ac:dyDescent="0.25">
      <c r="A1170">
        <v>584</v>
      </c>
      <c r="B1170" t="s">
        <v>1180</v>
      </c>
      <c r="C1170">
        <v>37.487917555599999</v>
      </c>
      <c r="D1170">
        <v>-7.2797079276799996</v>
      </c>
      <c r="E1170">
        <v>2</v>
      </c>
      <c r="F1170">
        <v>2</v>
      </c>
      <c r="G1170">
        <v>2</v>
      </c>
      <c r="J1170" t="s">
        <v>15</v>
      </c>
      <c r="K1170">
        <v>2</v>
      </c>
      <c r="L1170">
        <v>2.1360000000000001</v>
      </c>
      <c r="M1170">
        <v>0</v>
      </c>
      <c r="N1170" t="s">
        <v>10019</v>
      </c>
      <c r="O1170" t="str">
        <f>HYPERLINK("2\0\marker_504_529237.png", "Ver Imagen")</f>
        <v>Ver Imagen</v>
      </c>
      <c r="P1170" t="str">
        <f>HYPERLINK("NO\A-499\A-499__6.png", "Ver Imagen")</f>
        <v>Ver Imagen</v>
      </c>
    </row>
    <row r="1171" spans="1:16" x14ac:dyDescent="0.25">
      <c r="A1171">
        <v>585</v>
      </c>
      <c r="B1171" t="s">
        <v>1182</v>
      </c>
      <c r="C1171">
        <v>37.488297386399999</v>
      </c>
      <c r="D1171">
        <v>-7.27950911768</v>
      </c>
      <c r="E1171">
        <v>2</v>
      </c>
      <c r="F1171">
        <v>2</v>
      </c>
      <c r="G1171">
        <v>2</v>
      </c>
      <c r="J1171" t="s">
        <v>15</v>
      </c>
      <c r="K1171">
        <v>2</v>
      </c>
      <c r="L1171">
        <v>1.9319999999999999</v>
      </c>
      <c r="M1171">
        <v>0</v>
      </c>
      <c r="N1171" t="s">
        <v>10019</v>
      </c>
      <c r="O1171" t="str">
        <f>HYPERLINK("2\0\marker_595_529282.png", "Ver Imagen")</f>
        <v>Ver Imagen</v>
      </c>
      <c r="P1171" t="str">
        <f>HYPERLINK("NO\A-499\A-499__8.png", "Ver Imagen")</f>
        <v>Ver Imagen</v>
      </c>
    </row>
    <row r="1172" spans="1:16" x14ac:dyDescent="0.25">
      <c r="A1172">
        <v>586</v>
      </c>
      <c r="B1172" t="s">
        <v>1184</v>
      </c>
      <c r="C1172">
        <v>37.488487685499997</v>
      </c>
      <c r="D1172">
        <v>-7.2794098321299998</v>
      </c>
      <c r="E1172">
        <v>2</v>
      </c>
      <c r="F1172">
        <v>2</v>
      </c>
      <c r="G1172">
        <v>2</v>
      </c>
      <c r="J1172" t="s">
        <v>15</v>
      </c>
      <c r="K1172">
        <v>2</v>
      </c>
      <c r="L1172">
        <v>2.0150000000000001</v>
      </c>
      <c r="M1172">
        <v>0</v>
      </c>
      <c r="N1172" t="s">
        <v>10019</v>
      </c>
      <c r="O1172" t="str">
        <f>HYPERLINK("2\0\marker_333_529294.png", "Ver Imagen")</f>
        <v>Ver Imagen</v>
      </c>
      <c r="P1172" t="str">
        <f>HYPERLINK("NO\A-499\A-499__9.png", "Ver Imagen")</f>
        <v>Ver Imagen</v>
      </c>
    </row>
    <row r="1173" spans="1:16" x14ac:dyDescent="0.25">
      <c r="A1173">
        <v>587</v>
      </c>
      <c r="B1173" t="s">
        <v>1186</v>
      </c>
      <c r="C1173">
        <v>37.489200255199997</v>
      </c>
      <c r="D1173">
        <v>-7.2790403025600003</v>
      </c>
      <c r="E1173">
        <v>2</v>
      </c>
      <c r="F1173">
        <v>2</v>
      </c>
      <c r="G1173">
        <v>2</v>
      </c>
      <c r="J1173" t="s">
        <v>15</v>
      </c>
      <c r="K1173">
        <v>2</v>
      </c>
      <c r="L1173">
        <v>2.258</v>
      </c>
      <c r="M1173">
        <v>0</v>
      </c>
      <c r="N1173" t="s">
        <v>10019</v>
      </c>
      <c r="O1173" t="str">
        <f>HYPERLINK("2\0\marker_432_529330.png", "Ver Imagen")</f>
        <v>Ver Imagen</v>
      </c>
      <c r="P1173" t="str">
        <f>HYPERLINK("NO\A-499\A-499__13.png", "Ver Imagen")</f>
        <v>Ver Imagen</v>
      </c>
    </row>
    <row r="1174" spans="1:16" x14ac:dyDescent="0.25">
      <c r="A1174">
        <v>588</v>
      </c>
      <c r="B1174" t="s">
        <v>1188</v>
      </c>
      <c r="C1174">
        <v>37.489392279199997</v>
      </c>
      <c r="D1174">
        <v>-7.2789390953900002</v>
      </c>
      <c r="E1174">
        <v>2</v>
      </c>
      <c r="F1174">
        <v>2</v>
      </c>
      <c r="G1174">
        <v>2</v>
      </c>
      <c r="J1174" t="s">
        <v>15</v>
      </c>
      <c r="K1174">
        <v>2</v>
      </c>
      <c r="L1174">
        <v>2.0219999999999998</v>
      </c>
      <c r="M1174">
        <v>0</v>
      </c>
      <c r="N1174" t="s">
        <v>10019</v>
      </c>
      <c r="O1174" t="str">
        <f>HYPERLINK("2\0\marker_978_529343.png", "Ver Imagen")</f>
        <v>Ver Imagen</v>
      </c>
      <c r="P1174" t="str">
        <f>HYPERLINK("NO\A-499\A-499__14.png", "Ver Imagen")</f>
        <v>Ver Imagen</v>
      </c>
    </row>
    <row r="1175" spans="1:16" x14ac:dyDescent="0.25">
      <c r="A1175">
        <v>589</v>
      </c>
      <c r="B1175" t="s">
        <v>1190</v>
      </c>
      <c r="C1175">
        <v>37.489567597499999</v>
      </c>
      <c r="D1175">
        <v>-7.2788462569499996</v>
      </c>
      <c r="E1175">
        <v>2</v>
      </c>
      <c r="F1175">
        <v>2</v>
      </c>
      <c r="G1175">
        <v>2</v>
      </c>
      <c r="J1175" t="s">
        <v>15</v>
      </c>
      <c r="K1175">
        <v>2</v>
      </c>
      <c r="L1175">
        <v>2.0939999999999999</v>
      </c>
      <c r="M1175">
        <v>0</v>
      </c>
      <c r="N1175" t="s">
        <v>10019</v>
      </c>
      <c r="O1175" t="str">
        <f>HYPERLINK("2\0\marker_854_529357.png", "Ver Imagen")</f>
        <v>Ver Imagen</v>
      </c>
      <c r="P1175" t="str">
        <f>HYPERLINK("NO\A-499\A-499__15.png", "Ver Imagen")</f>
        <v>Ver Imagen</v>
      </c>
    </row>
    <row r="1176" spans="1:16" x14ac:dyDescent="0.25">
      <c r="A1176">
        <v>590</v>
      </c>
      <c r="B1176" t="s">
        <v>1192</v>
      </c>
      <c r="C1176">
        <v>37.489804213799999</v>
      </c>
      <c r="D1176">
        <v>-7.2787219349100001</v>
      </c>
      <c r="E1176">
        <v>2</v>
      </c>
      <c r="F1176">
        <v>2</v>
      </c>
      <c r="G1176">
        <v>2</v>
      </c>
      <c r="J1176" t="s">
        <v>15</v>
      </c>
      <c r="K1176">
        <v>2</v>
      </c>
      <c r="L1176">
        <v>1.8109999999999999</v>
      </c>
      <c r="M1176">
        <v>0</v>
      </c>
      <c r="N1176" t="s">
        <v>10019</v>
      </c>
      <c r="O1176" t="str">
        <f>HYPERLINK("2\0\marker_181_529395.png", "Ver Imagen")</f>
        <v>Ver Imagen</v>
      </c>
      <c r="P1176" t="str">
        <f>HYPERLINK("NO\A-499\A-499__16.png", "Ver Imagen")</f>
        <v>Ver Imagen</v>
      </c>
    </row>
    <row r="1177" spans="1:16" x14ac:dyDescent="0.25">
      <c r="A1177">
        <v>591</v>
      </c>
      <c r="B1177" t="s">
        <v>1194</v>
      </c>
      <c r="C1177">
        <v>37.489974659799998</v>
      </c>
      <c r="D1177">
        <v>-7.2786322407700004</v>
      </c>
      <c r="E1177">
        <v>2</v>
      </c>
      <c r="F1177">
        <v>2</v>
      </c>
      <c r="G1177">
        <v>2</v>
      </c>
      <c r="J1177" t="s">
        <v>15</v>
      </c>
      <c r="K1177">
        <v>2</v>
      </c>
      <c r="L1177">
        <v>2.2240000000000002</v>
      </c>
      <c r="M1177">
        <v>0</v>
      </c>
      <c r="N1177" t="s">
        <v>10019</v>
      </c>
      <c r="O1177" t="str">
        <f>HYPERLINK("2\0\marker_433_529405.png", "Ver Imagen")</f>
        <v>Ver Imagen</v>
      </c>
      <c r="P1177" t="str">
        <f>HYPERLINK("NO\A-499\A-499__17.png", "Ver Imagen")</f>
        <v>Ver Imagen</v>
      </c>
    </row>
    <row r="1178" spans="1:16" x14ac:dyDescent="0.25">
      <c r="A1178">
        <v>592</v>
      </c>
      <c r="B1178" t="s">
        <v>1196</v>
      </c>
      <c r="C1178">
        <v>37.490144200800003</v>
      </c>
      <c r="D1178">
        <v>-7.2785429746199997</v>
      </c>
      <c r="E1178">
        <v>2</v>
      </c>
      <c r="F1178">
        <v>2</v>
      </c>
      <c r="G1178">
        <v>2</v>
      </c>
      <c r="J1178" t="s">
        <v>15</v>
      </c>
      <c r="K1178">
        <v>2</v>
      </c>
      <c r="L1178">
        <v>2.0840000000000001</v>
      </c>
      <c r="M1178">
        <v>0</v>
      </c>
      <c r="N1178" t="s">
        <v>10019</v>
      </c>
      <c r="O1178" t="str">
        <f>HYPERLINK("2\0\marker_192_529413.png", "Ver Imagen")</f>
        <v>Ver Imagen</v>
      </c>
      <c r="P1178" t="str">
        <f>HYPERLINK("NO\A-499\A-499__18.png", "Ver Imagen")</f>
        <v>Ver Imagen</v>
      </c>
    </row>
    <row r="1179" spans="1:16" x14ac:dyDescent="0.25">
      <c r="A1179">
        <v>593</v>
      </c>
      <c r="B1179" t="s">
        <v>1198</v>
      </c>
      <c r="C1179">
        <v>37.490314813700003</v>
      </c>
      <c r="D1179">
        <v>-7.2784538187000001</v>
      </c>
      <c r="E1179">
        <v>2</v>
      </c>
      <c r="F1179">
        <v>2</v>
      </c>
      <c r="G1179">
        <v>2</v>
      </c>
      <c r="J1179" t="s">
        <v>15</v>
      </c>
      <c r="K1179">
        <v>2</v>
      </c>
      <c r="L1179">
        <v>2.0619999999999998</v>
      </c>
      <c r="M1179">
        <v>0</v>
      </c>
      <c r="N1179" t="s">
        <v>10019</v>
      </c>
      <c r="O1179" t="str">
        <f>HYPERLINK("2\0\marker_181_529422.png", "Ver Imagen")</f>
        <v>Ver Imagen</v>
      </c>
      <c r="P1179" t="str">
        <f>HYPERLINK("NO\A-499\A-499__19.png", "Ver Imagen")</f>
        <v>Ver Imagen</v>
      </c>
    </row>
    <row r="1180" spans="1:16" x14ac:dyDescent="0.25">
      <c r="A1180">
        <v>594</v>
      </c>
      <c r="B1180" t="s">
        <v>1200</v>
      </c>
      <c r="C1180">
        <v>37.4905229019</v>
      </c>
      <c r="D1180">
        <v>-7.27834664421</v>
      </c>
      <c r="E1180">
        <v>2</v>
      </c>
      <c r="F1180">
        <v>2</v>
      </c>
      <c r="G1180">
        <v>2</v>
      </c>
      <c r="J1180" t="s">
        <v>15</v>
      </c>
      <c r="K1180">
        <v>2</v>
      </c>
      <c r="L1180">
        <v>2.2589999999999999</v>
      </c>
      <c r="M1180">
        <v>0</v>
      </c>
      <c r="N1180" t="s">
        <v>10019</v>
      </c>
      <c r="O1180" t="str">
        <f>HYPERLINK("2\0\marker_290_529430.png", "Ver Imagen")</f>
        <v>Ver Imagen</v>
      </c>
      <c r="P1180" t="str">
        <f>HYPERLINK("NO\A-499\A-499__20.png", "Ver Imagen")</f>
        <v>Ver Imagen</v>
      </c>
    </row>
    <row r="1181" spans="1:16" x14ac:dyDescent="0.25">
      <c r="A1181">
        <v>595</v>
      </c>
      <c r="B1181" t="s">
        <v>1202</v>
      </c>
      <c r="C1181">
        <v>37.490726288600001</v>
      </c>
      <c r="D1181">
        <v>-7.27824520355</v>
      </c>
      <c r="E1181">
        <v>2</v>
      </c>
      <c r="F1181">
        <v>2</v>
      </c>
      <c r="G1181">
        <v>2</v>
      </c>
      <c r="J1181" t="s">
        <v>15</v>
      </c>
      <c r="K1181">
        <v>2</v>
      </c>
      <c r="L1181">
        <v>1.944</v>
      </c>
      <c r="M1181">
        <v>0</v>
      </c>
      <c r="N1181" t="s">
        <v>10019</v>
      </c>
      <c r="O1181" t="str">
        <f>HYPERLINK("2\0\marker_136_529439.png", "Ver Imagen")</f>
        <v>Ver Imagen</v>
      </c>
      <c r="P1181" t="str">
        <f>HYPERLINK("NO\A-499\A-499__21.png", "Ver Imagen")</f>
        <v>Ver Imagen</v>
      </c>
    </row>
    <row r="1182" spans="1:16" x14ac:dyDescent="0.25">
      <c r="A1182">
        <v>596</v>
      </c>
      <c r="B1182" t="s">
        <v>1204</v>
      </c>
      <c r="C1182">
        <v>37.490894048100003</v>
      </c>
      <c r="D1182">
        <v>-7.2781646928999999</v>
      </c>
      <c r="E1182">
        <v>2</v>
      </c>
      <c r="F1182">
        <v>2</v>
      </c>
      <c r="G1182">
        <v>2</v>
      </c>
      <c r="J1182" t="s">
        <v>15</v>
      </c>
      <c r="K1182">
        <v>2</v>
      </c>
      <c r="L1182">
        <v>2.0249999999999999</v>
      </c>
      <c r="M1182">
        <v>0</v>
      </c>
      <c r="N1182" t="s">
        <v>10019</v>
      </c>
      <c r="O1182" t="str">
        <f>HYPERLINK("2\0\marker_596_529446.png", "Ver Imagen")</f>
        <v>Ver Imagen</v>
      </c>
      <c r="P1182" t="str">
        <f>HYPERLINK("NO\A-499\A-499__22.png", "Ver Imagen")</f>
        <v>Ver Imagen</v>
      </c>
    </row>
    <row r="1183" spans="1:16" x14ac:dyDescent="0.25">
      <c r="A1183">
        <v>597</v>
      </c>
      <c r="B1183" t="s">
        <v>1206</v>
      </c>
      <c r="C1183">
        <v>37.491090898099998</v>
      </c>
      <c r="D1183">
        <v>-7.2780739283000004</v>
      </c>
      <c r="E1183">
        <v>2</v>
      </c>
      <c r="F1183">
        <v>2</v>
      </c>
      <c r="G1183">
        <v>2</v>
      </c>
      <c r="J1183" t="s">
        <v>15</v>
      </c>
      <c r="K1183">
        <v>2</v>
      </c>
      <c r="L1183">
        <v>2.0409999999999999</v>
      </c>
      <c r="M1183">
        <v>0</v>
      </c>
      <c r="N1183" t="s">
        <v>10019</v>
      </c>
      <c r="O1183" t="str">
        <f>HYPERLINK("2\0\marker_137_529454.png", "Ver Imagen")</f>
        <v>Ver Imagen</v>
      </c>
      <c r="P1183" t="str">
        <f>HYPERLINK("NO\A-499\A-499__23.png", "Ver Imagen")</f>
        <v>Ver Imagen</v>
      </c>
    </row>
    <row r="1184" spans="1:16" x14ac:dyDescent="0.25">
      <c r="A1184">
        <v>598</v>
      </c>
      <c r="B1184" t="s">
        <v>1208</v>
      </c>
      <c r="C1184">
        <v>37.491299261499996</v>
      </c>
      <c r="D1184">
        <v>-7.2779811399899996</v>
      </c>
      <c r="E1184">
        <v>2</v>
      </c>
      <c r="F1184">
        <v>2</v>
      </c>
      <c r="G1184">
        <v>2</v>
      </c>
      <c r="J1184" t="s">
        <v>15</v>
      </c>
      <c r="K1184">
        <v>2</v>
      </c>
      <c r="L1184">
        <v>2.0150000000000001</v>
      </c>
      <c r="M1184">
        <v>0</v>
      </c>
      <c r="N1184" t="s">
        <v>10019</v>
      </c>
      <c r="O1184" t="str">
        <f>HYPERLINK("2\0\marker_192_529464.png", "Ver Imagen")</f>
        <v>Ver Imagen</v>
      </c>
      <c r="P1184" t="str">
        <f>HYPERLINK("NO\A-499\A-499__24.png", "Ver Imagen")</f>
        <v>Ver Imagen</v>
      </c>
    </row>
    <row r="1185" spans="1:16" x14ac:dyDescent="0.25">
      <c r="A1185">
        <v>599</v>
      </c>
      <c r="B1185" t="s">
        <v>1210</v>
      </c>
      <c r="C1185">
        <v>37.491680941200002</v>
      </c>
      <c r="D1185">
        <v>-7.2778156567599996</v>
      </c>
      <c r="E1185">
        <v>2</v>
      </c>
      <c r="F1185">
        <v>2</v>
      </c>
      <c r="G1185">
        <v>2</v>
      </c>
      <c r="J1185" t="s">
        <v>15</v>
      </c>
      <c r="K1185">
        <v>2</v>
      </c>
      <c r="L1185">
        <v>1.9159999999999999</v>
      </c>
      <c r="M1185">
        <v>0</v>
      </c>
      <c r="N1185" t="s">
        <v>10018</v>
      </c>
      <c r="O1185" t="str">
        <f>HYPERLINK("2\0\marker_568_529503.png", "Ver Imagen")</f>
        <v>Ver Imagen</v>
      </c>
      <c r="P1185" t="str">
        <f>HYPERLINK("NO\A-499\A-499__26.png", "Ver Imagen")</f>
        <v>Ver Imagen</v>
      </c>
    </row>
    <row r="1186" spans="1:16" x14ac:dyDescent="0.25">
      <c r="A1186">
        <v>600</v>
      </c>
      <c r="B1186" t="s">
        <v>1212</v>
      </c>
      <c r="C1186">
        <v>37.491870466999998</v>
      </c>
      <c r="D1186">
        <v>-7.2777357557900002</v>
      </c>
      <c r="E1186">
        <v>2</v>
      </c>
      <c r="F1186">
        <v>2</v>
      </c>
      <c r="G1186">
        <v>2</v>
      </c>
      <c r="J1186" t="s">
        <v>15</v>
      </c>
      <c r="K1186">
        <v>2</v>
      </c>
      <c r="L1186">
        <v>1.726</v>
      </c>
      <c r="M1186">
        <v>0</v>
      </c>
      <c r="N1186" t="s">
        <v>10019</v>
      </c>
      <c r="O1186" t="str">
        <f>HYPERLINK("2\0\marker_893_529510.png", "Ver Imagen")</f>
        <v>Ver Imagen</v>
      </c>
      <c r="P1186" t="str">
        <f>HYPERLINK("NO\A-499\A-499__27.png", "Ver Imagen")</f>
        <v>Ver Imagen</v>
      </c>
    </row>
    <row r="1187" spans="1:16" x14ac:dyDescent="0.25">
      <c r="A1187">
        <v>601</v>
      </c>
      <c r="B1187" t="s">
        <v>1214</v>
      </c>
      <c r="C1187">
        <v>37.492228894299998</v>
      </c>
      <c r="D1187">
        <v>-7.2775893254600001</v>
      </c>
      <c r="E1187">
        <v>2</v>
      </c>
      <c r="F1187">
        <v>2</v>
      </c>
      <c r="G1187">
        <v>2</v>
      </c>
      <c r="J1187" t="s">
        <v>15</v>
      </c>
      <c r="K1187">
        <v>2</v>
      </c>
      <c r="L1187">
        <v>1.879</v>
      </c>
      <c r="M1187">
        <v>0</v>
      </c>
      <c r="N1187" t="s">
        <v>10019</v>
      </c>
      <c r="O1187" t="str">
        <f>HYPERLINK("2\0\marker_117_529535.png", "Ver Imagen")</f>
        <v>Ver Imagen</v>
      </c>
      <c r="P1187" t="str">
        <f>HYPERLINK("NO\A-499\A-499__29.png", "Ver Imagen")</f>
        <v>Ver Imagen</v>
      </c>
    </row>
    <row r="1188" spans="1:16" x14ac:dyDescent="0.25">
      <c r="A1188">
        <v>602</v>
      </c>
      <c r="B1188" t="s">
        <v>1216</v>
      </c>
      <c r="C1188">
        <v>37.492420259799999</v>
      </c>
      <c r="D1188">
        <v>-7.2775144063599999</v>
      </c>
      <c r="E1188">
        <v>2</v>
      </c>
      <c r="F1188">
        <v>2</v>
      </c>
      <c r="G1188">
        <v>2</v>
      </c>
      <c r="J1188" t="s">
        <v>15</v>
      </c>
      <c r="K1188">
        <v>2</v>
      </c>
      <c r="L1188">
        <v>1.6779999999999999</v>
      </c>
      <c r="M1188">
        <v>0</v>
      </c>
      <c r="N1188" t="s">
        <v>10018</v>
      </c>
      <c r="O1188" t="str">
        <f>HYPERLINK("2\0\marker_786_529544.png", "Ver Imagen")</f>
        <v>Ver Imagen</v>
      </c>
      <c r="P1188" t="str">
        <f>HYPERLINK("NO\A-499\A-499__30.png", "Ver Imagen")</f>
        <v>Ver Imagen</v>
      </c>
    </row>
    <row r="1189" spans="1:16" x14ac:dyDescent="0.25">
      <c r="A1189">
        <v>603</v>
      </c>
      <c r="B1189" t="s">
        <v>1218</v>
      </c>
      <c r="C1189">
        <v>37.493218637799998</v>
      </c>
      <c r="D1189">
        <v>-7.2772369968300001</v>
      </c>
      <c r="E1189">
        <v>2</v>
      </c>
      <c r="F1189">
        <v>2</v>
      </c>
      <c r="G1189">
        <v>2</v>
      </c>
      <c r="J1189" t="s">
        <v>15</v>
      </c>
      <c r="K1189">
        <v>2</v>
      </c>
      <c r="L1189">
        <v>2.08</v>
      </c>
      <c r="M1189">
        <v>0</v>
      </c>
      <c r="N1189" t="s">
        <v>10019</v>
      </c>
      <c r="O1189" t="str">
        <f>HYPERLINK("2\0\marker_262_529963.png", "Ver Imagen")</f>
        <v>Ver Imagen</v>
      </c>
      <c r="P1189" t="str">
        <f>HYPERLINK("NO\A-499\A-499__34.png", "Ver Imagen")</f>
        <v>Ver Imagen</v>
      </c>
    </row>
    <row r="1190" spans="1:16" x14ac:dyDescent="0.25">
      <c r="A1190">
        <v>604</v>
      </c>
      <c r="B1190" t="s">
        <v>1220</v>
      </c>
      <c r="C1190">
        <v>37.494002237700002</v>
      </c>
      <c r="D1190">
        <v>-7.2769737337700002</v>
      </c>
      <c r="E1190">
        <v>2</v>
      </c>
      <c r="F1190">
        <v>2</v>
      </c>
      <c r="G1190">
        <v>2</v>
      </c>
      <c r="J1190" t="s">
        <v>15</v>
      </c>
      <c r="K1190">
        <v>2</v>
      </c>
      <c r="L1190">
        <v>1.696</v>
      </c>
      <c r="M1190">
        <v>0</v>
      </c>
      <c r="N1190" t="s">
        <v>10019</v>
      </c>
      <c r="O1190" t="str">
        <f>HYPERLINK("2\0\marker_930_530004.png", "Ver Imagen")</f>
        <v>Ver Imagen</v>
      </c>
      <c r="P1190" t="str">
        <f>HYPERLINK("NO\A-499\A-499__38.png", "Ver Imagen")</f>
        <v>Ver Imagen</v>
      </c>
    </row>
    <row r="1191" spans="1:16" x14ac:dyDescent="0.25">
      <c r="A1191">
        <v>605</v>
      </c>
      <c r="B1191" t="s">
        <v>1222</v>
      </c>
      <c r="C1191">
        <v>37.494174429300003</v>
      </c>
      <c r="D1191">
        <v>-7.2769169807100003</v>
      </c>
      <c r="E1191">
        <v>2</v>
      </c>
      <c r="F1191">
        <v>2</v>
      </c>
      <c r="G1191">
        <v>2</v>
      </c>
      <c r="J1191" t="s">
        <v>15</v>
      </c>
      <c r="K1191">
        <v>2</v>
      </c>
      <c r="L1191">
        <v>1.8620000000000001</v>
      </c>
      <c r="M1191">
        <v>0</v>
      </c>
      <c r="N1191" t="s">
        <v>10017</v>
      </c>
      <c r="O1191" t="str">
        <f>HYPERLINK("2\0\marker_172_530011.png", "Ver Imagen")</f>
        <v>Ver Imagen</v>
      </c>
      <c r="P1191" t="str">
        <f>HYPERLINK("NO\A-499\A-499__39.png", "Ver Imagen")</f>
        <v>Ver Imagen</v>
      </c>
    </row>
    <row r="1192" spans="1:16" x14ac:dyDescent="0.25">
      <c r="A1192">
        <v>606</v>
      </c>
      <c r="B1192" t="s">
        <v>1224</v>
      </c>
      <c r="C1192">
        <v>37.494580207799999</v>
      </c>
      <c r="D1192">
        <v>-7.2767847517300002</v>
      </c>
      <c r="E1192">
        <v>2</v>
      </c>
      <c r="F1192">
        <v>2</v>
      </c>
      <c r="G1192">
        <v>2</v>
      </c>
      <c r="J1192" t="s">
        <v>15</v>
      </c>
      <c r="K1192">
        <v>2</v>
      </c>
      <c r="L1192">
        <v>1.5209999999999999</v>
      </c>
      <c r="M1192">
        <v>0</v>
      </c>
      <c r="N1192" t="s">
        <v>10018</v>
      </c>
      <c r="O1192" t="str">
        <f>HYPERLINK("2\0\marker_680_530033.png", "Ver Imagen")</f>
        <v>Ver Imagen</v>
      </c>
      <c r="P1192" t="str">
        <f>HYPERLINK("NO\A-499\A-499__41.png", "Ver Imagen")</f>
        <v>Ver Imagen</v>
      </c>
    </row>
    <row r="1193" spans="1:16" x14ac:dyDescent="0.25">
      <c r="A1193">
        <v>608</v>
      </c>
      <c r="B1193" t="s">
        <v>1228</v>
      </c>
      <c r="C1193">
        <v>37.495701835399998</v>
      </c>
      <c r="D1193">
        <v>-7.2740061949300001</v>
      </c>
      <c r="E1193">
        <v>2</v>
      </c>
      <c r="F1193">
        <v>2</v>
      </c>
      <c r="G1193">
        <v>2</v>
      </c>
      <c r="J1193" t="s">
        <v>15</v>
      </c>
      <c r="K1193">
        <v>2</v>
      </c>
      <c r="L1193">
        <v>1.9470000000000001</v>
      </c>
      <c r="M1193">
        <v>0</v>
      </c>
      <c r="N1193" t="s">
        <v>10019</v>
      </c>
      <c r="O1193" t="str">
        <f>HYPERLINK("2\0\marker_868_534945.png", "Ver Imagen")</f>
        <v>Ver Imagen</v>
      </c>
      <c r="P1193" t="str">
        <f>HYPERLINK("NO\A-499\A-499__55.png", "Ver Imagen")</f>
        <v>Ver Imagen</v>
      </c>
    </row>
    <row r="1194" spans="1:16" x14ac:dyDescent="0.25">
      <c r="A1194">
        <v>610</v>
      </c>
      <c r="B1194" t="s">
        <v>1232</v>
      </c>
      <c r="C1194">
        <v>37.495393265499999</v>
      </c>
      <c r="D1194">
        <v>-7.2720194308700004</v>
      </c>
      <c r="E1194">
        <v>2</v>
      </c>
      <c r="F1194">
        <v>2</v>
      </c>
      <c r="G1194">
        <v>2</v>
      </c>
      <c r="J1194" t="s">
        <v>15</v>
      </c>
      <c r="K1194">
        <v>2</v>
      </c>
      <c r="L1194">
        <v>1.6659999999999999</v>
      </c>
      <c r="M1194">
        <v>0</v>
      </c>
      <c r="N1194" t="s">
        <v>10019</v>
      </c>
      <c r="O1194" t="str">
        <f>HYPERLINK("2\0\marker_510_535099.png", "Ver Imagen")</f>
        <v>Ver Imagen</v>
      </c>
      <c r="P1194" t="str">
        <f>HYPERLINK("NO\A-499\A-499__63.png", "Ver Imagen")</f>
        <v>Ver Imagen</v>
      </c>
    </row>
    <row r="1195" spans="1:16" x14ac:dyDescent="0.25">
      <c r="A1195">
        <v>611</v>
      </c>
      <c r="B1195" t="s">
        <v>1234</v>
      </c>
      <c r="C1195">
        <v>37.495354194500003</v>
      </c>
      <c r="D1195">
        <v>-7.2717148440699999</v>
      </c>
      <c r="E1195">
        <v>2</v>
      </c>
      <c r="F1195">
        <v>2</v>
      </c>
      <c r="G1195">
        <v>2</v>
      </c>
      <c r="J1195" t="s">
        <v>15</v>
      </c>
      <c r="K1195">
        <v>2</v>
      </c>
      <c r="L1195">
        <v>1.756</v>
      </c>
      <c r="M1195">
        <v>0</v>
      </c>
      <c r="N1195" t="s">
        <v>10019</v>
      </c>
      <c r="O1195" t="str">
        <f>HYPERLINK("2\0\marker_271_535115.png", "Ver Imagen")</f>
        <v>Ver Imagen</v>
      </c>
      <c r="P1195" t="str">
        <f>HYPERLINK("NO\A-499\A-499__64.png", "Ver Imagen")</f>
        <v>Ver Imagen</v>
      </c>
    </row>
    <row r="1196" spans="1:16" x14ac:dyDescent="0.25">
      <c r="A1196">
        <v>612</v>
      </c>
      <c r="B1196" t="s">
        <v>1236</v>
      </c>
      <c r="C1196">
        <v>37.498215201000001</v>
      </c>
      <c r="D1196">
        <v>-7.2677137217999999</v>
      </c>
      <c r="E1196">
        <v>2</v>
      </c>
      <c r="F1196">
        <v>2</v>
      </c>
      <c r="G1196">
        <v>2</v>
      </c>
      <c r="J1196" t="s">
        <v>15</v>
      </c>
      <c r="K1196">
        <v>2</v>
      </c>
      <c r="L1196">
        <v>2.1669999999999998</v>
      </c>
      <c r="M1196">
        <v>0</v>
      </c>
      <c r="N1196" t="s">
        <v>10019</v>
      </c>
      <c r="O1196" t="str">
        <f>HYPERLINK("2\0\marker_612_793164.png", "Ver Imagen")</f>
        <v>Ver Imagen</v>
      </c>
      <c r="P1196" t="str">
        <f>HYPERLINK("NO\A-499\A-499__97.png", "Ver Imagen")</f>
        <v>Ver Imagen</v>
      </c>
    </row>
    <row r="1197" spans="1:16" x14ac:dyDescent="0.25">
      <c r="A1197">
        <v>613</v>
      </c>
      <c r="B1197" t="s">
        <v>1238</v>
      </c>
      <c r="C1197">
        <v>37.498405799799997</v>
      </c>
      <c r="D1197">
        <v>-7.2676484637699996</v>
      </c>
      <c r="E1197">
        <v>2</v>
      </c>
      <c r="F1197">
        <v>2</v>
      </c>
      <c r="G1197">
        <v>2</v>
      </c>
      <c r="J1197" t="s">
        <v>15</v>
      </c>
      <c r="K1197">
        <v>2</v>
      </c>
      <c r="L1197">
        <v>2.0350000000000001</v>
      </c>
      <c r="M1197">
        <v>0</v>
      </c>
      <c r="N1197" t="s">
        <v>10019</v>
      </c>
      <c r="O1197" t="str">
        <f>HYPERLINK("2\0\marker_606_793179.png", "Ver Imagen")</f>
        <v>Ver Imagen</v>
      </c>
      <c r="P1197" t="str">
        <f>HYPERLINK("NO\A-499\A-499__98.png", "Ver Imagen")</f>
        <v>Ver Imagen</v>
      </c>
    </row>
    <row r="1198" spans="1:16" x14ac:dyDescent="0.25">
      <c r="A1198">
        <v>614</v>
      </c>
      <c r="B1198" t="s">
        <v>1240</v>
      </c>
      <c r="C1198">
        <v>37.499181397500003</v>
      </c>
      <c r="D1198">
        <v>-7.2673804090200003</v>
      </c>
      <c r="E1198">
        <v>2</v>
      </c>
      <c r="F1198">
        <v>2</v>
      </c>
      <c r="G1198">
        <v>2</v>
      </c>
      <c r="J1198" t="s">
        <v>15</v>
      </c>
      <c r="K1198">
        <v>2</v>
      </c>
      <c r="L1198">
        <v>2.3039999999999998</v>
      </c>
      <c r="M1198">
        <v>0</v>
      </c>
      <c r="N1198" t="s">
        <v>10019</v>
      </c>
      <c r="O1198" t="str">
        <f>HYPERLINK("2\0\marker_605_793257.png", "Ver Imagen")</f>
        <v>Ver Imagen</v>
      </c>
      <c r="P1198" t="str">
        <f>HYPERLINK("NO\A-499\A-499__102.png", "Ver Imagen")</f>
        <v>Ver Imagen</v>
      </c>
    </row>
    <row r="1199" spans="1:16" x14ac:dyDescent="0.25">
      <c r="A1199">
        <v>615</v>
      </c>
      <c r="B1199" t="s">
        <v>1242</v>
      </c>
      <c r="C1199">
        <v>37.499399637400003</v>
      </c>
      <c r="D1199">
        <v>-7.2673058956499998</v>
      </c>
      <c r="E1199">
        <v>2</v>
      </c>
      <c r="F1199">
        <v>2</v>
      </c>
      <c r="G1199">
        <v>2</v>
      </c>
      <c r="J1199" t="s">
        <v>15</v>
      </c>
      <c r="K1199">
        <v>2</v>
      </c>
      <c r="L1199">
        <v>2.1840000000000002</v>
      </c>
      <c r="M1199">
        <v>0</v>
      </c>
      <c r="N1199" t="s">
        <v>10017</v>
      </c>
      <c r="O1199" t="str">
        <f>HYPERLINK("2\0\marker_539_793279.png", "Ver Imagen")</f>
        <v>Ver Imagen</v>
      </c>
      <c r="P1199" t="str">
        <f>HYPERLINK("NO\A-499\A-499__103.png", "Ver Imagen")</f>
        <v>Ver Imagen</v>
      </c>
    </row>
    <row r="1200" spans="1:16" x14ac:dyDescent="0.25">
      <c r="A1200">
        <v>616</v>
      </c>
      <c r="B1200" t="s">
        <v>1244</v>
      </c>
      <c r="C1200">
        <v>37.499775731200003</v>
      </c>
      <c r="D1200">
        <v>-7.2671772393699996</v>
      </c>
      <c r="E1200">
        <v>2</v>
      </c>
      <c r="F1200">
        <v>2</v>
      </c>
      <c r="G1200">
        <v>2</v>
      </c>
      <c r="J1200" t="s">
        <v>15</v>
      </c>
      <c r="K1200">
        <v>2</v>
      </c>
      <c r="L1200">
        <v>1.9039999999999999</v>
      </c>
      <c r="M1200">
        <v>0</v>
      </c>
      <c r="N1200" t="s">
        <v>10019</v>
      </c>
      <c r="O1200" t="str">
        <f>HYPERLINK("2\0\marker_929_793306.png", "Ver Imagen")</f>
        <v>Ver Imagen</v>
      </c>
      <c r="P1200" t="str">
        <f>HYPERLINK("NO\A-499\A-499__105.png", "Ver Imagen")</f>
        <v>Ver Imagen</v>
      </c>
    </row>
    <row r="1201" spans="1:16" x14ac:dyDescent="0.25">
      <c r="A1201">
        <v>617</v>
      </c>
      <c r="B1201" t="s">
        <v>1246</v>
      </c>
      <c r="C1201">
        <v>37.499986066399998</v>
      </c>
      <c r="D1201">
        <v>-7.2671050643499999</v>
      </c>
      <c r="E1201">
        <v>2</v>
      </c>
      <c r="F1201">
        <v>2</v>
      </c>
      <c r="G1201">
        <v>2</v>
      </c>
      <c r="J1201" t="s">
        <v>15</v>
      </c>
      <c r="K1201">
        <v>2</v>
      </c>
      <c r="L1201">
        <v>2.0329999999999999</v>
      </c>
      <c r="M1201">
        <v>0</v>
      </c>
      <c r="N1201" t="s">
        <v>10019</v>
      </c>
      <c r="O1201" t="str">
        <f>HYPERLINK("2\0\marker_497_793317.png", "Ver Imagen")</f>
        <v>Ver Imagen</v>
      </c>
      <c r="P1201" t="str">
        <f>HYPERLINK("NO\A-499\A-499__106.png", "Ver Imagen")</f>
        <v>Ver Imagen</v>
      </c>
    </row>
    <row r="1202" spans="1:16" x14ac:dyDescent="0.25">
      <c r="A1202">
        <v>618</v>
      </c>
      <c r="B1202" t="s">
        <v>1248</v>
      </c>
      <c r="C1202">
        <v>37.199550548600001</v>
      </c>
      <c r="D1202">
        <v>-6.9846825061600004</v>
      </c>
      <c r="E1202">
        <v>2</v>
      </c>
      <c r="F1202">
        <v>2</v>
      </c>
      <c r="G1202">
        <v>2</v>
      </c>
      <c r="J1202" t="s">
        <v>15</v>
      </c>
      <c r="K1202">
        <v>2</v>
      </c>
      <c r="L1202">
        <v>1.97</v>
      </c>
      <c r="M1202">
        <v>0</v>
      </c>
      <c r="N1202" t="s">
        <v>10019</v>
      </c>
      <c r="O1202" t="str">
        <f>HYPERLINK("2\0\marker_304_367502.png", "Ver Imagen")</f>
        <v>Ver Imagen</v>
      </c>
      <c r="P1202" t="str">
        <f>HYPERLINK("SE\A-497\A-497__844.png", "Ver Imagen")</f>
        <v>Ver Imagen</v>
      </c>
    </row>
    <row r="1203" spans="1:16" x14ac:dyDescent="0.25">
      <c r="A1203">
        <v>619</v>
      </c>
      <c r="B1203" t="s">
        <v>1250</v>
      </c>
      <c r="C1203">
        <v>37.199483657099996</v>
      </c>
      <c r="D1203">
        <v>-6.9844348655499999</v>
      </c>
      <c r="E1203">
        <v>2</v>
      </c>
      <c r="F1203">
        <v>2</v>
      </c>
      <c r="G1203">
        <v>2</v>
      </c>
      <c r="J1203" t="s">
        <v>15</v>
      </c>
      <c r="K1203">
        <v>2</v>
      </c>
      <c r="L1203">
        <v>2.0350000000000001</v>
      </c>
      <c r="M1203">
        <v>0</v>
      </c>
      <c r="N1203" t="s">
        <v>10019</v>
      </c>
      <c r="O1203" t="str">
        <f>HYPERLINK("2\0\marker_165_367511.png", "Ver Imagen")</f>
        <v>Ver Imagen</v>
      </c>
      <c r="P1203" t="str">
        <f>HYPERLINK("SE\A-497\A-497__843.png", "Ver Imagen")</f>
        <v>Ver Imagen</v>
      </c>
    </row>
    <row r="1204" spans="1:16" x14ac:dyDescent="0.25">
      <c r="A1204">
        <v>621</v>
      </c>
      <c r="B1204" t="s">
        <v>1254</v>
      </c>
      <c r="C1204">
        <v>37.199059087800002</v>
      </c>
      <c r="D1204">
        <v>-6.9830255324500001</v>
      </c>
      <c r="E1204">
        <v>2</v>
      </c>
      <c r="F1204">
        <v>2</v>
      </c>
      <c r="G1204">
        <v>2</v>
      </c>
      <c r="J1204" t="s">
        <v>15</v>
      </c>
      <c r="K1204">
        <v>2</v>
      </c>
      <c r="L1204">
        <v>1.9910000000000001</v>
      </c>
      <c r="M1204">
        <v>0</v>
      </c>
      <c r="N1204" t="s">
        <v>10019</v>
      </c>
      <c r="O1204" t="str">
        <f>HYPERLINK("2\0\marker_192_367577.png", "Ver Imagen")</f>
        <v>Ver Imagen</v>
      </c>
      <c r="P1204" t="str">
        <f>HYPERLINK("SE\A-497\A-497__837.png", "Ver Imagen")</f>
        <v>Ver Imagen</v>
      </c>
    </row>
    <row r="1205" spans="1:16" x14ac:dyDescent="0.25">
      <c r="A1205">
        <v>624</v>
      </c>
      <c r="B1205" t="s">
        <v>1260</v>
      </c>
      <c r="C1205">
        <v>37.500364291899999</v>
      </c>
      <c r="D1205">
        <v>-7.2669737034799997</v>
      </c>
      <c r="E1205">
        <v>2</v>
      </c>
      <c r="F1205">
        <v>2</v>
      </c>
      <c r="G1205">
        <v>2</v>
      </c>
      <c r="J1205" t="s">
        <v>15</v>
      </c>
      <c r="K1205">
        <v>2</v>
      </c>
      <c r="L1205">
        <v>2.161</v>
      </c>
      <c r="M1205">
        <v>0</v>
      </c>
      <c r="N1205" t="s">
        <v>10019</v>
      </c>
      <c r="O1205" t="str">
        <f>HYPERLINK("2\0\marker_612_793346.png", "Ver Imagen")</f>
        <v>Ver Imagen</v>
      </c>
      <c r="P1205" t="str">
        <f>HYPERLINK("NO\A-499\A-499__108.png", "Ver Imagen")</f>
        <v>Ver Imagen</v>
      </c>
    </row>
    <row r="1206" spans="1:16" x14ac:dyDescent="0.25">
      <c r="A1206">
        <v>625</v>
      </c>
      <c r="B1206" t="s">
        <v>1262</v>
      </c>
      <c r="C1206">
        <v>37.500565088199998</v>
      </c>
      <c r="D1206">
        <v>-7.2669043451600004</v>
      </c>
      <c r="E1206">
        <v>2</v>
      </c>
      <c r="F1206">
        <v>2</v>
      </c>
      <c r="G1206">
        <v>2</v>
      </c>
      <c r="J1206" t="s">
        <v>15</v>
      </c>
      <c r="K1206">
        <v>2</v>
      </c>
      <c r="L1206">
        <v>1.6870000000000001</v>
      </c>
      <c r="M1206">
        <v>0</v>
      </c>
      <c r="N1206" t="s">
        <v>10017</v>
      </c>
      <c r="O1206" t="str">
        <f>HYPERLINK("2\0\marker_215_793387.png", "Ver Imagen")</f>
        <v>Ver Imagen</v>
      </c>
      <c r="P1206" t="str">
        <f>HYPERLINK("NO\A-499\A-499__109.png", "Ver Imagen")</f>
        <v>Ver Imagen</v>
      </c>
    </row>
    <row r="1207" spans="1:16" x14ac:dyDescent="0.25">
      <c r="A1207">
        <v>626</v>
      </c>
      <c r="B1207" t="s">
        <v>1264</v>
      </c>
      <c r="C1207">
        <v>37.5007825227</v>
      </c>
      <c r="D1207">
        <v>-7.2668308176799998</v>
      </c>
      <c r="E1207">
        <v>2</v>
      </c>
      <c r="F1207">
        <v>2</v>
      </c>
      <c r="G1207">
        <v>2</v>
      </c>
      <c r="J1207" t="s">
        <v>15</v>
      </c>
      <c r="K1207">
        <v>2</v>
      </c>
      <c r="L1207">
        <v>1.8680000000000001</v>
      </c>
      <c r="M1207">
        <v>0</v>
      </c>
      <c r="N1207" t="s">
        <v>10019</v>
      </c>
      <c r="O1207" t="str">
        <f>HYPERLINK("2\0\marker_255_793402.png", "Ver Imagen")</f>
        <v>Ver Imagen</v>
      </c>
      <c r="P1207" t="str">
        <f>HYPERLINK("NO\A-499\A-499__110.png", "Ver Imagen")</f>
        <v>Ver Imagen</v>
      </c>
    </row>
    <row r="1208" spans="1:16" x14ac:dyDescent="0.25">
      <c r="A1208">
        <v>627</v>
      </c>
      <c r="B1208" t="s">
        <v>1266</v>
      </c>
      <c r="C1208">
        <v>37.267437983800001</v>
      </c>
      <c r="D1208">
        <v>-6.9595045572499998</v>
      </c>
      <c r="E1208">
        <v>2</v>
      </c>
      <c r="F1208">
        <v>2</v>
      </c>
      <c r="G1208">
        <v>2</v>
      </c>
      <c r="J1208" t="s">
        <v>15</v>
      </c>
      <c r="K1208">
        <v>2</v>
      </c>
      <c r="L1208">
        <v>2.4620000000000002</v>
      </c>
      <c r="M1208">
        <v>0</v>
      </c>
      <c r="N1208" t="s">
        <v>10018</v>
      </c>
      <c r="O1208" t="str">
        <f>HYPERLINK("2\0\marker_361_653985.png", "Ver Imagen")</f>
        <v>Ver Imagen</v>
      </c>
      <c r="P1208" t="str">
        <f>HYPERLINK("SE\A-497_2C\A-497_2C__10.png", "Ver Imagen")</f>
        <v>Ver Imagen</v>
      </c>
    </row>
    <row r="1209" spans="1:16" x14ac:dyDescent="0.25">
      <c r="A1209">
        <v>628</v>
      </c>
      <c r="B1209" t="s">
        <v>1268</v>
      </c>
      <c r="C1209">
        <v>37.503481090699999</v>
      </c>
      <c r="D1209">
        <v>-7.2659131098899996</v>
      </c>
      <c r="E1209">
        <v>2</v>
      </c>
      <c r="F1209">
        <v>2</v>
      </c>
      <c r="G1209">
        <v>2</v>
      </c>
      <c r="J1209" t="s">
        <v>15</v>
      </c>
      <c r="K1209">
        <v>2</v>
      </c>
      <c r="L1209">
        <v>1.998</v>
      </c>
      <c r="M1209">
        <v>0</v>
      </c>
      <c r="N1209" t="s">
        <v>10019</v>
      </c>
      <c r="O1209" t="str">
        <f>HYPERLINK("2\0\marker_717_793677.png", "Ver Imagen")</f>
        <v>Ver Imagen</v>
      </c>
      <c r="P1209" t="str">
        <f>HYPERLINK("NO\A-499\A-499__124.png", "Ver Imagen")</f>
        <v>Ver Imagen</v>
      </c>
    </row>
    <row r="1210" spans="1:16" x14ac:dyDescent="0.25">
      <c r="A1210">
        <v>629</v>
      </c>
      <c r="B1210" t="s">
        <v>1270</v>
      </c>
      <c r="C1210">
        <v>37.503688110699997</v>
      </c>
      <c r="D1210">
        <v>-7.2658425770199999</v>
      </c>
      <c r="E1210">
        <v>2</v>
      </c>
      <c r="F1210">
        <v>2</v>
      </c>
      <c r="G1210">
        <v>2</v>
      </c>
      <c r="J1210" t="s">
        <v>15</v>
      </c>
      <c r="K1210">
        <v>2</v>
      </c>
      <c r="L1210">
        <v>2.149</v>
      </c>
      <c r="M1210">
        <v>0</v>
      </c>
      <c r="N1210" t="s">
        <v>10017</v>
      </c>
      <c r="O1210" t="str">
        <f>HYPERLINK("2\0\marker_401_793696.png", "Ver Imagen")</f>
        <v>Ver Imagen</v>
      </c>
      <c r="P1210" t="str">
        <f>HYPERLINK("NO\A-499\A-499__125.png", "Ver Imagen")</f>
        <v>Ver Imagen</v>
      </c>
    </row>
    <row r="1211" spans="1:16" x14ac:dyDescent="0.25">
      <c r="A1211">
        <v>630</v>
      </c>
      <c r="B1211" t="s">
        <v>1272</v>
      </c>
      <c r="C1211">
        <v>37.503867468499998</v>
      </c>
      <c r="D1211">
        <v>-7.2657818215500001</v>
      </c>
      <c r="E1211">
        <v>2</v>
      </c>
      <c r="F1211">
        <v>2</v>
      </c>
      <c r="G1211">
        <v>2</v>
      </c>
      <c r="J1211" t="s">
        <v>15</v>
      </c>
      <c r="K1211">
        <v>2</v>
      </c>
      <c r="L1211">
        <v>1.885</v>
      </c>
      <c r="M1211">
        <v>0</v>
      </c>
      <c r="N1211" t="s">
        <v>10019</v>
      </c>
      <c r="O1211" t="str">
        <f>HYPERLINK("2\0\marker_175_793710.png", "Ver Imagen")</f>
        <v>Ver Imagen</v>
      </c>
      <c r="P1211" t="str">
        <f>HYPERLINK("NO\A-499\A-499__126.png", "Ver Imagen")</f>
        <v>Ver Imagen</v>
      </c>
    </row>
    <row r="1212" spans="1:16" x14ac:dyDescent="0.25">
      <c r="A1212">
        <v>631</v>
      </c>
      <c r="B1212" t="s">
        <v>1274</v>
      </c>
      <c r="C1212">
        <v>37.504058018999999</v>
      </c>
      <c r="D1212">
        <v>-7.2657176394</v>
      </c>
      <c r="E1212">
        <v>2</v>
      </c>
      <c r="F1212">
        <v>2</v>
      </c>
      <c r="G1212">
        <v>2</v>
      </c>
      <c r="J1212" t="s">
        <v>15</v>
      </c>
      <c r="K1212">
        <v>2</v>
      </c>
      <c r="L1212">
        <v>1.764</v>
      </c>
      <c r="M1212">
        <v>0</v>
      </c>
      <c r="N1212" t="s">
        <v>10019</v>
      </c>
      <c r="O1212" t="str">
        <f>HYPERLINK("2\0\marker_550_793724.png", "Ver Imagen")</f>
        <v>Ver Imagen</v>
      </c>
      <c r="P1212" t="str">
        <f>HYPERLINK("NO\A-499\A-499__127.png", "Ver Imagen")</f>
        <v>Ver Imagen</v>
      </c>
    </row>
    <row r="1213" spans="1:16" x14ac:dyDescent="0.25">
      <c r="A1213">
        <v>632</v>
      </c>
      <c r="B1213" t="s">
        <v>1276</v>
      </c>
      <c r="C1213">
        <v>37.505250669399999</v>
      </c>
      <c r="D1213">
        <v>-7.2653238185799998</v>
      </c>
      <c r="E1213">
        <v>2</v>
      </c>
      <c r="F1213">
        <v>2</v>
      </c>
      <c r="G1213">
        <v>2</v>
      </c>
      <c r="J1213" t="s">
        <v>15</v>
      </c>
      <c r="K1213">
        <v>2</v>
      </c>
      <c r="L1213">
        <v>1.7949999999999999</v>
      </c>
      <c r="M1213">
        <v>0</v>
      </c>
      <c r="N1213" t="s">
        <v>10019</v>
      </c>
      <c r="O1213" t="str">
        <f>HYPERLINK("2\0\marker_930_793847.png", "Ver Imagen")</f>
        <v>Ver Imagen</v>
      </c>
      <c r="P1213" t="str">
        <f>HYPERLINK("NO\A-499\A-499__133.png", "Ver Imagen")</f>
        <v>Ver Imagen</v>
      </c>
    </row>
    <row r="1214" spans="1:16" x14ac:dyDescent="0.25">
      <c r="A1214">
        <v>633</v>
      </c>
      <c r="B1214" t="s">
        <v>1278</v>
      </c>
      <c r="C1214">
        <v>37.505438882500002</v>
      </c>
      <c r="D1214">
        <v>-7.2652850656299997</v>
      </c>
      <c r="E1214">
        <v>2</v>
      </c>
      <c r="F1214">
        <v>2</v>
      </c>
      <c r="G1214">
        <v>2</v>
      </c>
      <c r="J1214" t="s">
        <v>15</v>
      </c>
      <c r="K1214">
        <v>2</v>
      </c>
      <c r="L1214">
        <v>1.94</v>
      </c>
      <c r="M1214">
        <v>0</v>
      </c>
      <c r="N1214" t="s">
        <v>10019</v>
      </c>
      <c r="O1214" t="str">
        <f>HYPERLINK("2\0\marker_182_793866.png", "Ver Imagen")</f>
        <v>Ver Imagen</v>
      </c>
      <c r="P1214" t="str">
        <f>HYPERLINK("NO\A-499\A-499__134.png", "Ver Imagen")</f>
        <v>Ver Imagen</v>
      </c>
    </row>
    <row r="1215" spans="1:16" x14ac:dyDescent="0.25">
      <c r="A1215">
        <v>634</v>
      </c>
      <c r="B1215" t="s">
        <v>1280</v>
      </c>
      <c r="C1215">
        <v>37.505654012699999</v>
      </c>
      <c r="D1215">
        <v>-7.2652592967</v>
      </c>
      <c r="E1215">
        <v>2</v>
      </c>
      <c r="F1215">
        <v>2</v>
      </c>
      <c r="G1215">
        <v>2</v>
      </c>
      <c r="J1215" t="s">
        <v>15</v>
      </c>
      <c r="K1215">
        <v>2</v>
      </c>
      <c r="L1215">
        <v>1.8560000000000001</v>
      </c>
      <c r="M1215">
        <v>0</v>
      </c>
      <c r="N1215" t="s">
        <v>10017</v>
      </c>
      <c r="O1215" t="str">
        <f>HYPERLINK("2\0\marker_174_793910.png", "Ver Imagen")</f>
        <v>Ver Imagen</v>
      </c>
      <c r="P1215" t="str">
        <f>HYPERLINK("NO\A-499\A-499__135.png", "Ver Imagen")</f>
        <v>Ver Imagen</v>
      </c>
    </row>
    <row r="1216" spans="1:16" x14ac:dyDescent="0.25">
      <c r="A1216">
        <v>635</v>
      </c>
      <c r="B1216" t="s">
        <v>1282</v>
      </c>
      <c r="C1216">
        <v>37.505862195500001</v>
      </c>
      <c r="D1216">
        <v>-7.2652538619399998</v>
      </c>
      <c r="E1216">
        <v>2</v>
      </c>
      <c r="F1216">
        <v>2</v>
      </c>
      <c r="G1216">
        <v>2</v>
      </c>
      <c r="J1216" t="s">
        <v>15</v>
      </c>
      <c r="K1216">
        <v>2</v>
      </c>
      <c r="L1216">
        <v>2.0920000000000001</v>
      </c>
      <c r="M1216">
        <v>0</v>
      </c>
      <c r="N1216" t="s">
        <v>10019</v>
      </c>
      <c r="O1216" t="str">
        <f>HYPERLINK("2\0\marker_749_793924.png", "Ver Imagen")</f>
        <v>Ver Imagen</v>
      </c>
      <c r="P1216" t="str">
        <f>HYPERLINK("NO\A-499\A-499__136.png", "Ver Imagen")</f>
        <v>Ver Imagen</v>
      </c>
    </row>
    <row r="1217" spans="1:16" x14ac:dyDescent="0.25">
      <c r="A1217">
        <v>637</v>
      </c>
      <c r="B1217" t="s">
        <v>1286</v>
      </c>
      <c r="C1217">
        <v>37.506847427099999</v>
      </c>
      <c r="D1217">
        <v>-7.2655074878799999</v>
      </c>
      <c r="E1217">
        <v>2</v>
      </c>
      <c r="F1217">
        <v>2</v>
      </c>
      <c r="G1217">
        <v>2</v>
      </c>
      <c r="J1217" t="s">
        <v>15</v>
      </c>
      <c r="K1217">
        <v>2</v>
      </c>
      <c r="L1217">
        <v>1.7869999999999999</v>
      </c>
      <c r="M1217">
        <v>0</v>
      </c>
      <c r="N1217" t="s">
        <v>10017</v>
      </c>
      <c r="O1217" t="str">
        <f>HYPERLINK("2\0\marker_974_794098.png", "Ver Imagen")</f>
        <v>Ver Imagen</v>
      </c>
      <c r="P1217" t="str">
        <f>HYPERLINK("NO\A-499\A-499__141.png", "Ver Imagen")</f>
        <v>Ver Imagen</v>
      </c>
    </row>
    <row r="1218" spans="1:16" x14ac:dyDescent="0.25">
      <c r="A1218">
        <v>638</v>
      </c>
      <c r="B1218" t="s">
        <v>1288</v>
      </c>
      <c r="C1218">
        <v>37.507207549</v>
      </c>
      <c r="D1218">
        <v>-7.26572957571</v>
      </c>
      <c r="E1218">
        <v>2</v>
      </c>
      <c r="F1218">
        <v>2</v>
      </c>
      <c r="G1218">
        <v>2</v>
      </c>
      <c r="J1218" t="s">
        <v>15</v>
      </c>
      <c r="K1218">
        <v>2</v>
      </c>
      <c r="L1218">
        <v>2.0419999999999998</v>
      </c>
      <c r="M1218">
        <v>0</v>
      </c>
      <c r="N1218" t="s">
        <v>10019</v>
      </c>
      <c r="O1218" t="str">
        <f>HYPERLINK("2\0\marker_629_794126.png", "Ver Imagen")</f>
        <v>Ver Imagen</v>
      </c>
      <c r="P1218" t="str">
        <f>HYPERLINK("NO\A-499\A-499__143.png", "Ver Imagen")</f>
        <v>Ver Imagen</v>
      </c>
    </row>
    <row r="1219" spans="1:16" x14ac:dyDescent="0.25">
      <c r="A1219">
        <v>639</v>
      </c>
      <c r="B1219" t="s">
        <v>1290</v>
      </c>
      <c r="C1219">
        <v>37.508396085500003</v>
      </c>
      <c r="D1219">
        <v>-7.2666777659799999</v>
      </c>
      <c r="E1219">
        <v>2</v>
      </c>
      <c r="F1219">
        <v>2</v>
      </c>
      <c r="G1219">
        <v>2</v>
      </c>
      <c r="J1219" t="s">
        <v>15</v>
      </c>
      <c r="K1219">
        <v>2</v>
      </c>
      <c r="L1219">
        <v>2.1539999999999999</v>
      </c>
      <c r="M1219">
        <v>0</v>
      </c>
      <c r="N1219" t="s">
        <v>10019</v>
      </c>
      <c r="O1219" t="str">
        <f>HYPERLINK("2\0\marker_852_794308.png", "Ver Imagen")</f>
        <v>Ver Imagen</v>
      </c>
      <c r="P1219" t="str">
        <f>HYPERLINK("NO\A-499\A-499__150.png", "Ver Imagen")</f>
        <v>Ver Imagen</v>
      </c>
    </row>
    <row r="1220" spans="1:16" x14ac:dyDescent="0.25">
      <c r="A1220">
        <v>640</v>
      </c>
      <c r="B1220" t="s">
        <v>1292</v>
      </c>
      <c r="C1220">
        <v>37.508572486200002</v>
      </c>
      <c r="D1220">
        <v>-7.26681210939</v>
      </c>
      <c r="E1220">
        <v>2</v>
      </c>
      <c r="F1220">
        <v>2</v>
      </c>
      <c r="G1220">
        <v>2</v>
      </c>
      <c r="J1220" t="s">
        <v>15</v>
      </c>
      <c r="K1220">
        <v>2</v>
      </c>
      <c r="L1220">
        <v>1.6559999999999999</v>
      </c>
      <c r="M1220">
        <v>0</v>
      </c>
      <c r="N1220" t="s">
        <v>10017</v>
      </c>
      <c r="O1220" t="str">
        <f>HYPERLINK("2\0\marker_297_794321.png", "Ver Imagen")</f>
        <v>Ver Imagen</v>
      </c>
      <c r="P1220" t="str">
        <f>HYPERLINK("NO\A-499\A-499__151.png", "Ver Imagen")</f>
        <v>Ver Imagen</v>
      </c>
    </row>
    <row r="1221" spans="1:16" x14ac:dyDescent="0.25">
      <c r="A1221">
        <v>641</v>
      </c>
      <c r="B1221" t="s">
        <v>1294</v>
      </c>
      <c r="C1221">
        <v>37.508736904499997</v>
      </c>
      <c r="D1221">
        <v>-7.2669314788400001</v>
      </c>
      <c r="E1221">
        <v>2</v>
      </c>
      <c r="F1221">
        <v>2</v>
      </c>
      <c r="G1221">
        <v>2</v>
      </c>
      <c r="J1221" t="s">
        <v>15</v>
      </c>
      <c r="K1221">
        <v>2</v>
      </c>
      <c r="L1221">
        <v>2.0579999999999998</v>
      </c>
      <c r="M1221">
        <v>0</v>
      </c>
      <c r="N1221" t="s">
        <v>10019</v>
      </c>
      <c r="O1221" t="str">
        <f>HYPERLINK("2\0\marker_713_794336.png", "Ver Imagen")</f>
        <v>Ver Imagen</v>
      </c>
      <c r="P1221" t="str">
        <f>HYPERLINK("NO\A-499\A-499__152.png", "Ver Imagen")</f>
        <v>Ver Imagen</v>
      </c>
    </row>
    <row r="1222" spans="1:16" x14ac:dyDescent="0.25">
      <c r="A1222">
        <v>642</v>
      </c>
      <c r="B1222" t="s">
        <v>1296</v>
      </c>
      <c r="C1222">
        <v>37.509667653100003</v>
      </c>
      <c r="D1222">
        <v>-7.2674529037199997</v>
      </c>
      <c r="E1222">
        <v>2</v>
      </c>
      <c r="F1222">
        <v>2</v>
      </c>
      <c r="G1222">
        <v>2</v>
      </c>
      <c r="J1222" t="s">
        <v>15</v>
      </c>
      <c r="K1222">
        <v>2</v>
      </c>
      <c r="L1222">
        <v>1.7949999999999999</v>
      </c>
      <c r="M1222">
        <v>0</v>
      </c>
      <c r="N1222" t="s">
        <v>10017</v>
      </c>
      <c r="O1222" t="str">
        <f>HYPERLINK("2\0\marker_278_794538.png", "Ver Imagen")</f>
        <v>Ver Imagen</v>
      </c>
      <c r="P1222" t="str">
        <f>HYPERLINK("NO\A-499\A-499__157.png", "Ver Imagen")</f>
        <v>Ver Imagen</v>
      </c>
    </row>
    <row r="1223" spans="1:16" x14ac:dyDescent="0.25">
      <c r="A1223">
        <v>643</v>
      </c>
      <c r="B1223" t="s">
        <v>1298</v>
      </c>
      <c r="C1223">
        <v>37.511608316</v>
      </c>
      <c r="D1223">
        <v>-7.2682102176400001</v>
      </c>
      <c r="E1223">
        <v>2</v>
      </c>
      <c r="F1223">
        <v>2</v>
      </c>
      <c r="G1223">
        <v>2</v>
      </c>
      <c r="J1223" t="s">
        <v>15</v>
      </c>
      <c r="K1223">
        <v>2</v>
      </c>
      <c r="L1223">
        <v>1.821</v>
      </c>
      <c r="M1223">
        <v>0</v>
      </c>
      <c r="N1223" t="s">
        <v>10019</v>
      </c>
      <c r="O1223" t="str">
        <f>HYPERLINK("2\0\marker_315_794715.png", "Ver Imagen")</f>
        <v>Ver Imagen</v>
      </c>
      <c r="P1223" t="str">
        <f>HYPERLINK("NO\A-499\A-499__167.png", "Ver Imagen")</f>
        <v>Ver Imagen</v>
      </c>
    </row>
    <row r="1224" spans="1:16" x14ac:dyDescent="0.25">
      <c r="A1224">
        <v>644</v>
      </c>
      <c r="B1224" t="s">
        <v>1300</v>
      </c>
      <c r="C1224">
        <v>37.511991749099998</v>
      </c>
      <c r="D1224">
        <v>-7.2683711928600001</v>
      </c>
      <c r="E1224">
        <v>2</v>
      </c>
      <c r="F1224">
        <v>2</v>
      </c>
      <c r="G1224">
        <v>2</v>
      </c>
      <c r="J1224" t="s">
        <v>15</v>
      </c>
      <c r="K1224">
        <v>2</v>
      </c>
      <c r="L1224">
        <v>2.3719999999999999</v>
      </c>
      <c r="M1224">
        <v>0</v>
      </c>
      <c r="N1224" t="s">
        <v>10019</v>
      </c>
      <c r="O1224" t="str">
        <f>HYPERLINK("2\0\marker_790_794785.png", "Ver Imagen")</f>
        <v>Ver Imagen</v>
      </c>
      <c r="P1224" t="str">
        <f>HYPERLINK("NO\A-499\A-499__169.png", "Ver Imagen")</f>
        <v>Ver Imagen</v>
      </c>
    </row>
    <row r="1225" spans="1:16" x14ac:dyDescent="0.25">
      <c r="A1225">
        <v>645</v>
      </c>
      <c r="B1225" t="s">
        <v>1302</v>
      </c>
      <c r="C1225">
        <v>37.5121795457</v>
      </c>
      <c r="D1225">
        <v>-7.2684477087900001</v>
      </c>
      <c r="E1225">
        <v>2</v>
      </c>
      <c r="F1225">
        <v>2</v>
      </c>
      <c r="G1225">
        <v>2</v>
      </c>
      <c r="J1225" t="s">
        <v>15</v>
      </c>
      <c r="K1225">
        <v>2</v>
      </c>
      <c r="L1225">
        <v>1.738</v>
      </c>
      <c r="M1225">
        <v>0</v>
      </c>
      <c r="N1225" t="s">
        <v>10019</v>
      </c>
      <c r="O1225" t="str">
        <f>HYPERLINK("2\0\marker_577_795495.png", "Ver Imagen")</f>
        <v>Ver Imagen</v>
      </c>
      <c r="P1225" t="str">
        <f>HYPERLINK("NO\A-499\A-499__170.png", "Ver Imagen")</f>
        <v>Ver Imagen</v>
      </c>
    </row>
    <row r="1226" spans="1:16" x14ac:dyDescent="0.25">
      <c r="A1226">
        <v>646</v>
      </c>
      <c r="B1226" t="s">
        <v>1304</v>
      </c>
      <c r="C1226">
        <v>37.512420091999999</v>
      </c>
      <c r="D1226">
        <v>-7.2685458928299997</v>
      </c>
      <c r="E1226">
        <v>2</v>
      </c>
      <c r="F1226">
        <v>2</v>
      </c>
      <c r="G1226">
        <v>2</v>
      </c>
      <c r="J1226" t="s">
        <v>15</v>
      </c>
      <c r="K1226">
        <v>2</v>
      </c>
      <c r="L1226">
        <v>1.978</v>
      </c>
      <c r="M1226">
        <v>0</v>
      </c>
      <c r="N1226" t="s">
        <v>10019</v>
      </c>
      <c r="O1226" t="str">
        <f>HYPERLINK("2\0\marker_356_795509.png", "Ver Imagen")</f>
        <v>Ver Imagen</v>
      </c>
      <c r="P1226" t="str">
        <f>HYPERLINK("NO\A-499\A-499__171.png", "Ver Imagen")</f>
        <v>Ver Imagen</v>
      </c>
    </row>
    <row r="1227" spans="1:16" x14ac:dyDescent="0.25">
      <c r="A1227">
        <v>647</v>
      </c>
      <c r="B1227" t="s">
        <v>1306</v>
      </c>
      <c r="C1227">
        <v>37.512575550900003</v>
      </c>
      <c r="D1227">
        <v>-7.2686095749000001</v>
      </c>
      <c r="E1227">
        <v>2</v>
      </c>
      <c r="F1227">
        <v>2</v>
      </c>
      <c r="G1227">
        <v>2</v>
      </c>
      <c r="J1227" t="s">
        <v>15</v>
      </c>
      <c r="K1227">
        <v>2</v>
      </c>
      <c r="L1227">
        <v>1.873</v>
      </c>
      <c r="M1227">
        <v>0</v>
      </c>
      <c r="N1227" t="s">
        <v>10019</v>
      </c>
      <c r="O1227" t="str">
        <f>HYPERLINK("2\0\marker_466_795519.png", "Ver Imagen")</f>
        <v>Ver Imagen</v>
      </c>
      <c r="P1227" t="str">
        <f>HYPERLINK("NO\A-499\A-499__172.png", "Ver Imagen")</f>
        <v>Ver Imagen</v>
      </c>
    </row>
    <row r="1228" spans="1:16" x14ac:dyDescent="0.25">
      <c r="A1228">
        <v>648</v>
      </c>
      <c r="B1228" t="s">
        <v>1308</v>
      </c>
      <c r="C1228">
        <v>37.5127809293</v>
      </c>
      <c r="D1228">
        <v>-7.2686917714800003</v>
      </c>
      <c r="E1228">
        <v>2</v>
      </c>
      <c r="F1228">
        <v>2</v>
      </c>
      <c r="G1228">
        <v>2</v>
      </c>
      <c r="J1228" t="s">
        <v>15</v>
      </c>
      <c r="K1228">
        <v>2</v>
      </c>
      <c r="L1228">
        <v>1.66</v>
      </c>
      <c r="M1228">
        <v>0</v>
      </c>
      <c r="N1228" t="s">
        <v>10019</v>
      </c>
      <c r="O1228" t="str">
        <f>HYPERLINK("2\0\marker_784_795532.png", "Ver Imagen")</f>
        <v>Ver Imagen</v>
      </c>
      <c r="P1228" t="str">
        <f>HYPERLINK("NO\A-499\A-499__173.png", "Ver Imagen")</f>
        <v>Ver Imagen</v>
      </c>
    </row>
    <row r="1229" spans="1:16" x14ac:dyDescent="0.25">
      <c r="A1229">
        <v>649</v>
      </c>
      <c r="B1229" t="s">
        <v>1310</v>
      </c>
      <c r="C1229">
        <v>37.514340004799998</v>
      </c>
      <c r="D1229">
        <v>-7.2689562436899999</v>
      </c>
      <c r="E1229">
        <v>2</v>
      </c>
      <c r="F1229">
        <v>2</v>
      </c>
      <c r="G1229">
        <v>2</v>
      </c>
      <c r="J1229" t="s">
        <v>15</v>
      </c>
      <c r="K1229">
        <v>2</v>
      </c>
      <c r="L1229">
        <v>1.9750000000000001</v>
      </c>
      <c r="M1229">
        <v>0</v>
      </c>
      <c r="N1229" t="s">
        <v>10019</v>
      </c>
      <c r="O1229" t="str">
        <f>HYPERLINK("2\0\marker_531_795637.png", "Ver Imagen")</f>
        <v>Ver Imagen</v>
      </c>
      <c r="P1229" t="str">
        <f>HYPERLINK("NO\A-499\A-499__181.png", "Ver Imagen")</f>
        <v>Ver Imagen</v>
      </c>
    </row>
    <row r="1230" spans="1:16" x14ac:dyDescent="0.25">
      <c r="A1230">
        <v>650</v>
      </c>
      <c r="B1230" t="s">
        <v>1312</v>
      </c>
      <c r="C1230">
        <v>37.514545406800003</v>
      </c>
      <c r="D1230">
        <v>-7.2689035780799998</v>
      </c>
      <c r="E1230">
        <v>2</v>
      </c>
      <c r="F1230">
        <v>2</v>
      </c>
      <c r="G1230">
        <v>2</v>
      </c>
      <c r="J1230" t="s">
        <v>15</v>
      </c>
      <c r="K1230">
        <v>2</v>
      </c>
      <c r="L1230">
        <v>1.984</v>
      </c>
      <c r="M1230">
        <v>0</v>
      </c>
      <c r="N1230" t="s">
        <v>10019</v>
      </c>
      <c r="O1230" t="str">
        <f>HYPERLINK("2\0\marker_995_795652.png", "Ver Imagen")</f>
        <v>Ver Imagen</v>
      </c>
      <c r="P1230" t="str">
        <f>HYPERLINK("NO\A-499\A-499__182.png", "Ver Imagen")</f>
        <v>Ver Imagen</v>
      </c>
    </row>
    <row r="1231" spans="1:16" x14ac:dyDescent="0.25">
      <c r="A1231">
        <v>651</v>
      </c>
      <c r="B1231" t="s">
        <v>1314</v>
      </c>
      <c r="C1231">
        <v>37.514916667999998</v>
      </c>
      <c r="D1231">
        <v>-7.2687572213699996</v>
      </c>
      <c r="E1231">
        <v>2</v>
      </c>
      <c r="F1231">
        <v>2</v>
      </c>
      <c r="G1231">
        <v>2</v>
      </c>
      <c r="J1231" t="s">
        <v>15</v>
      </c>
      <c r="K1231">
        <v>2</v>
      </c>
      <c r="L1231">
        <v>2.0670000000000002</v>
      </c>
      <c r="M1231">
        <v>0</v>
      </c>
      <c r="N1231" t="s">
        <v>10019</v>
      </c>
      <c r="O1231" t="str">
        <f>HYPERLINK("2\0\marker_771_795684.png", "Ver Imagen")</f>
        <v>Ver Imagen</v>
      </c>
      <c r="P1231" t="str">
        <f>HYPERLINK("NO\A-499\A-499__184.png", "Ver Imagen")</f>
        <v>Ver Imagen</v>
      </c>
    </row>
    <row r="1232" spans="1:16" x14ac:dyDescent="0.25">
      <c r="A1232">
        <v>652</v>
      </c>
      <c r="B1232" t="s">
        <v>1316</v>
      </c>
      <c r="C1232">
        <v>37.515113349099998</v>
      </c>
      <c r="D1232">
        <v>-7.2686477004399999</v>
      </c>
      <c r="E1232">
        <v>2</v>
      </c>
      <c r="F1232">
        <v>2</v>
      </c>
      <c r="G1232">
        <v>2</v>
      </c>
      <c r="J1232" t="s">
        <v>15</v>
      </c>
      <c r="K1232">
        <v>2</v>
      </c>
      <c r="L1232">
        <v>1.9330000000000001</v>
      </c>
      <c r="M1232">
        <v>0</v>
      </c>
      <c r="N1232" t="s">
        <v>10019</v>
      </c>
      <c r="O1232" t="str">
        <f>HYPERLINK("2\0\marker_708_795699.png", "Ver Imagen")</f>
        <v>Ver Imagen</v>
      </c>
      <c r="P1232" t="str">
        <f>HYPERLINK("NO\A-499\A-499__185.png", "Ver Imagen")</f>
        <v>Ver Imagen</v>
      </c>
    </row>
    <row r="1233" spans="1:16" x14ac:dyDescent="0.25">
      <c r="A1233">
        <v>653</v>
      </c>
      <c r="B1233" t="s">
        <v>1318</v>
      </c>
      <c r="C1233">
        <v>37.515760226099999</v>
      </c>
      <c r="D1233">
        <v>-7.2680716509199996</v>
      </c>
      <c r="E1233">
        <v>2</v>
      </c>
      <c r="F1233">
        <v>2</v>
      </c>
      <c r="G1233">
        <v>2</v>
      </c>
      <c r="J1233" t="s">
        <v>15</v>
      </c>
      <c r="K1233">
        <v>2</v>
      </c>
      <c r="L1233">
        <v>1.93</v>
      </c>
      <c r="M1233">
        <v>0</v>
      </c>
      <c r="N1233" t="s">
        <v>10019</v>
      </c>
      <c r="O1233" t="str">
        <f>HYPERLINK("2\0\marker_382_795795.png", "Ver Imagen")</f>
        <v>Ver Imagen</v>
      </c>
      <c r="P1233" t="str">
        <f>HYPERLINK("NO\A-499\A-499__189.png", "Ver Imagen")</f>
        <v>Ver Imagen</v>
      </c>
    </row>
    <row r="1234" spans="1:16" x14ac:dyDescent="0.25">
      <c r="A1234">
        <v>654</v>
      </c>
      <c r="B1234" t="s">
        <v>1320</v>
      </c>
      <c r="C1234">
        <v>37.516376911999998</v>
      </c>
      <c r="D1234">
        <v>-7.2670784158500004</v>
      </c>
      <c r="E1234">
        <v>2</v>
      </c>
      <c r="F1234">
        <v>2</v>
      </c>
      <c r="G1234">
        <v>2</v>
      </c>
      <c r="J1234" t="s">
        <v>15</v>
      </c>
      <c r="K1234">
        <v>2</v>
      </c>
      <c r="L1234">
        <v>1.772</v>
      </c>
      <c r="M1234">
        <v>0</v>
      </c>
      <c r="N1234" t="s">
        <v>10019</v>
      </c>
      <c r="O1234" t="str">
        <f>HYPERLINK("2\0\marker_543_795869.png", "Ver Imagen")</f>
        <v>Ver Imagen</v>
      </c>
      <c r="P1234" t="str">
        <f>HYPERLINK("NO\A-499\A-499__194.png", "Ver Imagen")</f>
        <v>Ver Imagen</v>
      </c>
    </row>
    <row r="1235" spans="1:16" x14ac:dyDescent="0.25">
      <c r="A1235">
        <v>655</v>
      </c>
      <c r="B1235" t="s">
        <v>1322</v>
      </c>
      <c r="C1235">
        <v>37.5164866211</v>
      </c>
      <c r="D1235">
        <v>-7.2668644558700004</v>
      </c>
      <c r="E1235">
        <v>2</v>
      </c>
      <c r="F1235">
        <v>2</v>
      </c>
      <c r="G1235">
        <v>2</v>
      </c>
      <c r="J1235" t="s">
        <v>15</v>
      </c>
      <c r="K1235">
        <v>2</v>
      </c>
      <c r="L1235">
        <v>2.202</v>
      </c>
      <c r="M1235">
        <v>0</v>
      </c>
      <c r="N1235" t="s">
        <v>10019</v>
      </c>
      <c r="O1235" t="str">
        <f>HYPERLINK("2\0\marker_983_795888.png", "Ver Imagen")</f>
        <v>Ver Imagen</v>
      </c>
      <c r="P1235" t="str">
        <f>HYPERLINK("NO\A-499\A-499__195.png", "Ver Imagen")</f>
        <v>Ver Imagen</v>
      </c>
    </row>
    <row r="1236" spans="1:16" x14ac:dyDescent="0.25">
      <c r="A1236">
        <v>656</v>
      </c>
      <c r="B1236" t="s">
        <v>1324</v>
      </c>
      <c r="C1236">
        <v>37.516921137700002</v>
      </c>
      <c r="D1236">
        <v>-7.2660185845600003</v>
      </c>
      <c r="E1236">
        <v>2</v>
      </c>
      <c r="F1236">
        <v>2</v>
      </c>
      <c r="G1236">
        <v>2</v>
      </c>
      <c r="J1236" t="s">
        <v>15</v>
      </c>
      <c r="K1236">
        <v>2</v>
      </c>
      <c r="L1236">
        <v>1.897</v>
      </c>
      <c r="M1236">
        <v>0</v>
      </c>
      <c r="N1236" t="s">
        <v>10019</v>
      </c>
      <c r="O1236" t="str">
        <f>HYPERLINK("2\0\marker_893_796072.png", "Ver Imagen")</f>
        <v>Ver Imagen</v>
      </c>
      <c r="P1236" t="str">
        <f>HYPERLINK("NO\A-499\A-499__199.png", "Ver Imagen")</f>
        <v>Ver Imagen</v>
      </c>
    </row>
    <row r="1237" spans="1:16" x14ac:dyDescent="0.25">
      <c r="A1237">
        <v>657</v>
      </c>
      <c r="B1237" t="s">
        <v>1326</v>
      </c>
      <c r="C1237">
        <v>37.517044576799996</v>
      </c>
      <c r="D1237">
        <v>-7.2657765334800004</v>
      </c>
      <c r="E1237">
        <v>2</v>
      </c>
      <c r="F1237">
        <v>2</v>
      </c>
      <c r="G1237">
        <v>2</v>
      </c>
      <c r="J1237" t="s">
        <v>15</v>
      </c>
      <c r="K1237">
        <v>2</v>
      </c>
      <c r="L1237">
        <v>2.343</v>
      </c>
      <c r="M1237">
        <v>0</v>
      </c>
      <c r="N1237" t="s">
        <v>10018</v>
      </c>
      <c r="O1237" t="str">
        <f>HYPERLINK("2\0\marker_152_796087.png", "Ver Imagen")</f>
        <v>Ver Imagen</v>
      </c>
      <c r="P1237" t="str">
        <f>HYPERLINK("NO\A-499\A-499__200.png", "Ver Imagen")</f>
        <v>Ver Imagen</v>
      </c>
    </row>
    <row r="1238" spans="1:16" x14ac:dyDescent="0.25">
      <c r="A1238">
        <v>659</v>
      </c>
      <c r="B1238" t="s">
        <v>1330</v>
      </c>
      <c r="C1238">
        <v>37.517916662799998</v>
      </c>
      <c r="D1238">
        <v>-7.2640653004800004</v>
      </c>
      <c r="E1238">
        <v>2</v>
      </c>
      <c r="F1238">
        <v>2</v>
      </c>
      <c r="G1238">
        <v>2</v>
      </c>
      <c r="J1238" t="s">
        <v>15</v>
      </c>
      <c r="K1238">
        <v>2</v>
      </c>
      <c r="L1238">
        <v>1.7589999999999999</v>
      </c>
      <c r="M1238">
        <v>0</v>
      </c>
      <c r="N1238" t="s">
        <v>10019</v>
      </c>
      <c r="O1238" t="str">
        <f>HYPERLINK("2\0\marker_160_796286.png", "Ver Imagen")</f>
        <v>Ver Imagen</v>
      </c>
      <c r="P1238" t="str">
        <f>HYPERLINK("NO\A-499\A-499__208.png", "Ver Imagen")</f>
        <v>Ver Imagen</v>
      </c>
    </row>
    <row r="1239" spans="1:16" x14ac:dyDescent="0.25">
      <c r="A1239">
        <v>660</v>
      </c>
      <c r="B1239" t="s">
        <v>1332</v>
      </c>
      <c r="C1239">
        <v>37.518120906299998</v>
      </c>
      <c r="D1239">
        <v>-7.2636649632500001</v>
      </c>
      <c r="E1239">
        <v>2</v>
      </c>
      <c r="F1239">
        <v>2</v>
      </c>
      <c r="G1239">
        <v>2</v>
      </c>
      <c r="J1239" t="s">
        <v>15</v>
      </c>
      <c r="K1239">
        <v>2</v>
      </c>
      <c r="L1239">
        <v>1.78</v>
      </c>
      <c r="M1239">
        <v>0</v>
      </c>
      <c r="N1239" t="s">
        <v>10019</v>
      </c>
      <c r="O1239" t="str">
        <f>HYPERLINK("2\0\marker_514_796310.png", "Ver Imagen")</f>
        <v>Ver Imagen</v>
      </c>
      <c r="P1239" t="str">
        <f>HYPERLINK("NO\A-499\A-499__210.png", "Ver Imagen")</f>
        <v>Ver Imagen</v>
      </c>
    </row>
    <row r="1240" spans="1:16" x14ac:dyDescent="0.25">
      <c r="A1240">
        <v>661</v>
      </c>
      <c r="B1240" t="s">
        <v>1334</v>
      </c>
      <c r="C1240">
        <v>37.518236623699998</v>
      </c>
      <c r="D1240">
        <v>-7.2634380954199997</v>
      </c>
      <c r="E1240">
        <v>2</v>
      </c>
      <c r="F1240">
        <v>2</v>
      </c>
      <c r="G1240">
        <v>2</v>
      </c>
      <c r="J1240" t="s">
        <v>15</v>
      </c>
      <c r="K1240">
        <v>2</v>
      </c>
      <c r="L1240">
        <v>2.4340000000000002</v>
      </c>
      <c r="M1240">
        <v>0</v>
      </c>
      <c r="N1240" t="s">
        <v>10019</v>
      </c>
      <c r="O1240" t="str">
        <f>HYPERLINK("2\0\marker_642_796322.png", "Ver Imagen")</f>
        <v>Ver Imagen</v>
      </c>
      <c r="P1240" t="str">
        <f>HYPERLINK("NO\A-499\A-499__211.png", "Ver Imagen")</f>
        <v>Ver Imagen</v>
      </c>
    </row>
    <row r="1241" spans="1:16" x14ac:dyDescent="0.25">
      <c r="A1241">
        <v>662</v>
      </c>
      <c r="B1241" t="s">
        <v>1336</v>
      </c>
      <c r="C1241">
        <v>37.518343961500001</v>
      </c>
      <c r="D1241">
        <v>-7.2632280650199998</v>
      </c>
      <c r="E1241">
        <v>2</v>
      </c>
      <c r="F1241">
        <v>2</v>
      </c>
      <c r="G1241">
        <v>2</v>
      </c>
      <c r="J1241" t="s">
        <v>15</v>
      </c>
      <c r="K1241">
        <v>2</v>
      </c>
      <c r="L1241">
        <v>2.1080000000000001</v>
      </c>
      <c r="M1241">
        <v>0</v>
      </c>
      <c r="N1241" t="s">
        <v>10019</v>
      </c>
      <c r="O1241" t="str">
        <f>HYPERLINK("2\0\marker_617_796336.png", "Ver Imagen")</f>
        <v>Ver Imagen</v>
      </c>
      <c r="P1241" t="str">
        <f>HYPERLINK("NO\A-499\A-499__212.png", "Ver Imagen")</f>
        <v>Ver Imagen</v>
      </c>
    </row>
    <row r="1242" spans="1:16" x14ac:dyDescent="0.25">
      <c r="A1242">
        <v>663</v>
      </c>
      <c r="B1242" t="s">
        <v>1338</v>
      </c>
      <c r="C1242">
        <v>37.518728689</v>
      </c>
      <c r="D1242">
        <v>-7.2625645455300001</v>
      </c>
      <c r="E1242">
        <v>2</v>
      </c>
      <c r="F1242">
        <v>2</v>
      </c>
      <c r="G1242">
        <v>2</v>
      </c>
      <c r="J1242" t="s">
        <v>15</v>
      </c>
      <c r="K1242">
        <v>2</v>
      </c>
      <c r="L1242">
        <v>2.1040000000000001</v>
      </c>
      <c r="M1242">
        <v>0</v>
      </c>
      <c r="N1242" t="s">
        <v>10019</v>
      </c>
      <c r="O1242" t="str">
        <f>HYPERLINK("2\0\marker_986_796410.png", "Ver Imagen")</f>
        <v>Ver Imagen</v>
      </c>
      <c r="P1242" t="str">
        <f>HYPERLINK("NO\A-499\A-499__215.png", "Ver Imagen")</f>
        <v>Ver Imagen</v>
      </c>
    </row>
    <row r="1243" spans="1:16" x14ac:dyDescent="0.25">
      <c r="A1243">
        <v>664</v>
      </c>
      <c r="B1243" t="s">
        <v>1340</v>
      </c>
      <c r="C1243">
        <v>37.518975154700001</v>
      </c>
      <c r="D1243">
        <v>-7.2622507751600001</v>
      </c>
      <c r="E1243">
        <v>2</v>
      </c>
      <c r="F1243">
        <v>2</v>
      </c>
      <c r="G1243">
        <v>2</v>
      </c>
      <c r="J1243" t="s">
        <v>15</v>
      </c>
      <c r="K1243">
        <v>2</v>
      </c>
      <c r="L1243">
        <v>1.996</v>
      </c>
      <c r="M1243">
        <v>0</v>
      </c>
      <c r="N1243" t="s">
        <v>10019</v>
      </c>
      <c r="O1243" t="str">
        <f>HYPERLINK("2\0\marker_140_796435.png", "Ver Imagen")</f>
        <v>Ver Imagen</v>
      </c>
      <c r="P1243" t="str">
        <f>HYPERLINK("NO\A-499\A-499__217.png", "Ver Imagen")</f>
        <v>Ver Imagen</v>
      </c>
    </row>
    <row r="1244" spans="1:16" x14ac:dyDescent="0.25">
      <c r="A1244">
        <v>665</v>
      </c>
      <c r="B1244" t="s">
        <v>1342</v>
      </c>
      <c r="C1244">
        <v>37.5192731976</v>
      </c>
      <c r="D1244">
        <v>-7.2619387083899998</v>
      </c>
      <c r="E1244">
        <v>2</v>
      </c>
      <c r="F1244">
        <v>2</v>
      </c>
      <c r="G1244">
        <v>2</v>
      </c>
      <c r="J1244" t="s">
        <v>15</v>
      </c>
      <c r="K1244">
        <v>2</v>
      </c>
      <c r="L1244">
        <v>1.883</v>
      </c>
      <c r="M1244">
        <v>0</v>
      </c>
      <c r="N1244" t="s">
        <v>10018</v>
      </c>
      <c r="O1244" t="str">
        <f>HYPERLINK("2\0\marker_375_796457.png", "Ver Imagen")</f>
        <v>Ver Imagen</v>
      </c>
      <c r="P1244" t="str">
        <f>HYPERLINK("NO\A-499\A-499__219.png", "Ver Imagen")</f>
        <v>Ver Imagen</v>
      </c>
    </row>
    <row r="1245" spans="1:16" x14ac:dyDescent="0.25">
      <c r="A1245">
        <v>666</v>
      </c>
      <c r="B1245" t="s">
        <v>1344</v>
      </c>
      <c r="C1245">
        <v>37.519607658600002</v>
      </c>
      <c r="D1245">
        <v>-7.2616207766500001</v>
      </c>
      <c r="E1245">
        <v>2</v>
      </c>
      <c r="F1245">
        <v>2</v>
      </c>
      <c r="G1245">
        <v>2</v>
      </c>
      <c r="J1245" t="s">
        <v>15</v>
      </c>
      <c r="K1245">
        <v>2</v>
      </c>
      <c r="L1245">
        <v>1.9430000000000001</v>
      </c>
      <c r="M1245">
        <v>0</v>
      </c>
      <c r="N1245" t="s">
        <v>10017</v>
      </c>
      <c r="O1245" t="str">
        <f>HYPERLINK("2\0\marker_124_796482.png", "Ver Imagen")</f>
        <v>Ver Imagen</v>
      </c>
      <c r="P1245" t="str">
        <f>HYPERLINK("NO\A-499\A-499__221.png", "Ver Imagen")</f>
        <v>Ver Imagen</v>
      </c>
    </row>
    <row r="1246" spans="1:16" x14ac:dyDescent="0.25">
      <c r="A1246">
        <v>667</v>
      </c>
      <c r="B1246" t="s">
        <v>1346</v>
      </c>
      <c r="C1246">
        <v>37.519770470399997</v>
      </c>
      <c r="D1246">
        <v>-7.2614685481299999</v>
      </c>
      <c r="E1246">
        <v>2</v>
      </c>
      <c r="F1246">
        <v>2</v>
      </c>
      <c r="G1246">
        <v>2</v>
      </c>
      <c r="J1246" t="s">
        <v>15</v>
      </c>
      <c r="K1246">
        <v>2</v>
      </c>
      <c r="L1246">
        <v>1.681</v>
      </c>
      <c r="M1246">
        <v>0</v>
      </c>
      <c r="N1246" t="s">
        <v>10017</v>
      </c>
      <c r="O1246" t="str">
        <f>HYPERLINK("2\0\marker_708_796501.png", "Ver Imagen")</f>
        <v>Ver Imagen</v>
      </c>
      <c r="P1246" t="str">
        <f>HYPERLINK("NO\A-499\A-499__222.png", "Ver Imagen")</f>
        <v>Ver Imagen</v>
      </c>
    </row>
    <row r="1247" spans="1:16" x14ac:dyDescent="0.25">
      <c r="A1247">
        <v>668</v>
      </c>
      <c r="B1247" t="s">
        <v>1348</v>
      </c>
      <c r="C1247">
        <v>37.519932577100001</v>
      </c>
      <c r="D1247">
        <v>-7.26131770848</v>
      </c>
      <c r="E1247">
        <v>2</v>
      </c>
      <c r="F1247">
        <v>2</v>
      </c>
      <c r="G1247">
        <v>2</v>
      </c>
      <c r="J1247" t="s">
        <v>15</v>
      </c>
      <c r="K1247">
        <v>2</v>
      </c>
      <c r="L1247">
        <v>1.728</v>
      </c>
      <c r="M1247">
        <v>0</v>
      </c>
      <c r="N1247" t="s">
        <v>10017</v>
      </c>
      <c r="O1247" t="str">
        <f>HYPERLINK("2\0\marker_300_796514.png", "Ver Imagen")</f>
        <v>Ver Imagen</v>
      </c>
      <c r="P1247" t="str">
        <f>HYPERLINK("NO\A-499\A-499__223.png", "Ver Imagen")</f>
        <v>Ver Imagen</v>
      </c>
    </row>
    <row r="1248" spans="1:16" x14ac:dyDescent="0.25">
      <c r="A1248">
        <v>669</v>
      </c>
      <c r="B1248" t="s">
        <v>1350</v>
      </c>
      <c r="C1248">
        <v>37.520579078700003</v>
      </c>
      <c r="D1248">
        <v>-7.26071161544</v>
      </c>
      <c r="E1248">
        <v>2</v>
      </c>
      <c r="F1248">
        <v>2</v>
      </c>
      <c r="G1248">
        <v>2</v>
      </c>
      <c r="J1248" t="s">
        <v>15</v>
      </c>
      <c r="K1248">
        <v>2</v>
      </c>
      <c r="L1248">
        <v>1.833</v>
      </c>
      <c r="M1248">
        <v>0</v>
      </c>
      <c r="N1248" t="s">
        <v>10019</v>
      </c>
      <c r="O1248" t="str">
        <f>HYPERLINK("2\0\marker_133_796573.png", "Ver Imagen")</f>
        <v>Ver Imagen</v>
      </c>
      <c r="P1248" t="str">
        <f>HYPERLINK("NO\A-499\A-499__227.png", "Ver Imagen")</f>
        <v>Ver Imagen</v>
      </c>
    </row>
    <row r="1249" spans="1:16" x14ac:dyDescent="0.25">
      <c r="A1249">
        <v>670</v>
      </c>
      <c r="B1249" t="s">
        <v>1352</v>
      </c>
      <c r="C1249">
        <v>37.520898331799998</v>
      </c>
      <c r="D1249">
        <v>-7.2604108349800001</v>
      </c>
      <c r="E1249">
        <v>2</v>
      </c>
      <c r="F1249">
        <v>2</v>
      </c>
      <c r="G1249">
        <v>2</v>
      </c>
      <c r="J1249" t="s">
        <v>15</v>
      </c>
      <c r="K1249">
        <v>2</v>
      </c>
      <c r="L1249">
        <v>2.12</v>
      </c>
      <c r="M1249">
        <v>0</v>
      </c>
      <c r="N1249" t="s">
        <v>10019</v>
      </c>
      <c r="O1249" t="str">
        <f>HYPERLINK("2\0\marker_859_796604.png", "Ver Imagen")</f>
        <v>Ver Imagen</v>
      </c>
      <c r="P1249" t="str">
        <f>HYPERLINK("NO\A-499\A-499__229.png", "Ver Imagen")</f>
        <v>Ver Imagen</v>
      </c>
    </row>
    <row r="1250" spans="1:16" x14ac:dyDescent="0.25">
      <c r="A1250">
        <v>671</v>
      </c>
      <c r="B1250" t="s">
        <v>1354</v>
      </c>
      <c r="C1250">
        <v>37.521749675999999</v>
      </c>
      <c r="D1250">
        <v>-7.2597066272099999</v>
      </c>
      <c r="E1250">
        <v>2</v>
      </c>
      <c r="F1250">
        <v>2</v>
      </c>
      <c r="G1250">
        <v>2</v>
      </c>
      <c r="J1250" t="s">
        <v>15</v>
      </c>
      <c r="K1250">
        <v>2</v>
      </c>
      <c r="L1250">
        <v>1.675</v>
      </c>
      <c r="M1250">
        <v>0</v>
      </c>
      <c r="N1250" t="s">
        <v>10019</v>
      </c>
      <c r="O1250" t="str">
        <f>HYPERLINK("2\0\marker_167_796690.png", "Ver Imagen")</f>
        <v>Ver Imagen</v>
      </c>
      <c r="P1250" t="str">
        <f>HYPERLINK("NO\A-499\A-499__234.png", "Ver Imagen")</f>
        <v>Ver Imagen</v>
      </c>
    </row>
    <row r="1251" spans="1:16" x14ac:dyDescent="0.25">
      <c r="A1251">
        <v>672</v>
      </c>
      <c r="B1251" t="s">
        <v>1356</v>
      </c>
      <c r="C1251">
        <v>37.522711128600001</v>
      </c>
      <c r="D1251">
        <v>-7.2592666594699997</v>
      </c>
      <c r="E1251">
        <v>2</v>
      </c>
      <c r="F1251">
        <v>2</v>
      </c>
      <c r="G1251">
        <v>2</v>
      </c>
      <c r="J1251" t="s">
        <v>15</v>
      </c>
      <c r="K1251">
        <v>2</v>
      </c>
      <c r="L1251">
        <v>1.931</v>
      </c>
      <c r="M1251">
        <v>0</v>
      </c>
      <c r="N1251" t="s">
        <v>10019</v>
      </c>
      <c r="O1251" t="str">
        <f>HYPERLINK("2\0\marker_432_796789.png", "Ver Imagen")</f>
        <v>Ver Imagen</v>
      </c>
      <c r="P1251" t="str">
        <f>HYPERLINK("NO\A-499\A-499__239.png", "Ver Imagen")</f>
        <v>Ver Imagen</v>
      </c>
    </row>
    <row r="1252" spans="1:16" x14ac:dyDescent="0.25">
      <c r="A1252">
        <v>673</v>
      </c>
      <c r="B1252" t="s">
        <v>1358</v>
      </c>
      <c r="C1252">
        <v>37.523661444299997</v>
      </c>
      <c r="D1252">
        <v>-7.25882385258</v>
      </c>
      <c r="E1252">
        <v>2</v>
      </c>
      <c r="F1252">
        <v>2</v>
      </c>
      <c r="G1252">
        <v>2</v>
      </c>
      <c r="J1252" t="s">
        <v>15</v>
      </c>
      <c r="K1252">
        <v>2</v>
      </c>
      <c r="L1252">
        <v>2.036</v>
      </c>
      <c r="M1252">
        <v>0</v>
      </c>
      <c r="N1252" t="s">
        <v>10019</v>
      </c>
      <c r="O1252" t="str">
        <f>HYPERLINK("2\0\marker_167_796915.png", "Ver Imagen")</f>
        <v>Ver Imagen</v>
      </c>
      <c r="P1252" t="str">
        <f>HYPERLINK("NO\A-499\A-499__244.png", "Ver Imagen")</f>
        <v>Ver Imagen</v>
      </c>
    </row>
    <row r="1253" spans="1:16" x14ac:dyDescent="0.25">
      <c r="A1253">
        <v>675</v>
      </c>
      <c r="B1253" t="s">
        <v>1362</v>
      </c>
      <c r="C1253">
        <v>37.268073758200003</v>
      </c>
      <c r="D1253">
        <v>-6.9703891643400002</v>
      </c>
      <c r="E1253">
        <v>2</v>
      </c>
      <c r="F1253">
        <v>2</v>
      </c>
      <c r="G1253">
        <v>2</v>
      </c>
      <c r="J1253" t="s">
        <v>15</v>
      </c>
      <c r="K1253">
        <v>2</v>
      </c>
      <c r="L1253">
        <v>1.845</v>
      </c>
      <c r="M1253">
        <v>0</v>
      </c>
      <c r="N1253" t="s">
        <v>10019</v>
      </c>
      <c r="O1253" t="str">
        <f>HYPERLINK("2\0\marker_752_654783.png", "Ver Imagen")</f>
        <v>Ver Imagen</v>
      </c>
      <c r="P1253" t="str">
        <f>HYPERLINK("SE\A-497_2C\A-497_2C__53.png", "Ver Imagen")</f>
        <v>Ver Imagen</v>
      </c>
    </row>
    <row r="1254" spans="1:16" x14ac:dyDescent="0.25">
      <c r="A1254">
        <v>676</v>
      </c>
      <c r="B1254" t="s">
        <v>1364</v>
      </c>
      <c r="C1254">
        <v>37.524300849799999</v>
      </c>
      <c r="D1254">
        <v>-7.2582380451599997</v>
      </c>
      <c r="E1254">
        <v>2</v>
      </c>
      <c r="F1254">
        <v>2</v>
      </c>
      <c r="G1254">
        <v>2</v>
      </c>
      <c r="J1254" t="s">
        <v>15</v>
      </c>
      <c r="K1254">
        <v>2</v>
      </c>
      <c r="L1254">
        <v>2.1269999999999998</v>
      </c>
      <c r="M1254">
        <v>0</v>
      </c>
      <c r="N1254" t="s">
        <v>10019</v>
      </c>
      <c r="O1254" t="str">
        <f>HYPERLINK("2\0\marker_495_796973.png", "Ver Imagen")</f>
        <v>Ver Imagen</v>
      </c>
      <c r="P1254" t="str">
        <f>HYPERLINK("NO\A-499\A-499__248.png", "Ver Imagen")</f>
        <v>Ver Imagen</v>
      </c>
    </row>
    <row r="1255" spans="1:16" x14ac:dyDescent="0.25">
      <c r="A1255">
        <v>677</v>
      </c>
      <c r="B1255" t="s">
        <v>1366</v>
      </c>
      <c r="C1255">
        <v>37.524434641799999</v>
      </c>
      <c r="D1255">
        <v>-7.2580696170100003</v>
      </c>
      <c r="E1255">
        <v>2</v>
      </c>
      <c r="F1255">
        <v>2</v>
      </c>
      <c r="G1255">
        <v>2</v>
      </c>
      <c r="J1255" t="s">
        <v>15</v>
      </c>
      <c r="K1255">
        <v>2</v>
      </c>
      <c r="L1255">
        <v>1.7290000000000001</v>
      </c>
      <c r="M1255">
        <v>0</v>
      </c>
      <c r="N1255" t="s">
        <v>10019</v>
      </c>
      <c r="O1255" t="str">
        <f>HYPERLINK("2\0\marker_441_796984.png", "Ver Imagen")</f>
        <v>Ver Imagen</v>
      </c>
      <c r="P1255" t="str">
        <f>HYPERLINK("NO\A-499\A-499__249.png", "Ver Imagen")</f>
        <v>Ver Imagen</v>
      </c>
    </row>
    <row r="1256" spans="1:16" x14ac:dyDescent="0.25">
      <c r="A1256">
        <v>678</v>
      </c>
      <c r="B1256" t="s">
        <v>1368</v>
      </c>
      <c r="C1256">
        <v>37.524581406499998</v>
      </c>
      <c r="D1256">
        <v>-7.2578647843599997</v>
      </c>
      <c r="E1256">
        <v>2</v>
      </c>
      <c r="F1256">
        <v>2</v>
      </c>
      <c r="G1256">
        <v>2</v>
      </c>
      <c r="J1256" t="s">
        <v>15</v>
      </c>
      <c r="K1256">
        <v>2</v>
      </c>
      <c r="L1256">
        <v>2.2519999999999998</v>
      </c>
      <c r="M1256">
        <v>0</v>
      </c>
      <c r="N1256" t="s">
        <v>10019</v>
      </c>
      <c r="O1256" t="str">
        <f>HYPERLINK("2\0\marker_813_796999.png", "Ver Imagen")</f>
        <v>Ver Imagen</v>
      </c>
      <c r="P1256" t="str">
        <f>HYPERLINK("NO\A-499\A-499__250.png", "Ver Imagen")</f>
        <v>Ver Imagen</v>
      </c>
    </row>
    <row r="1257" spans="1:16" x14ac:dyDescent="0.25">
      <c r="A1257">
        <v>679</v>
      </c>
      <c r="B1257" t="s">
        <v>1370</v>
      </c>
      <c r="C1257">
        <v>37.524713527300001</v>
      </c>
      <c r="D1257">
        <v>-7.2576658178500004</v>
      </c>
      <c r="E1257">
        <v>2</v>
      </c>
      <c r="F1257">
        <v>2</v>
      </c>
      <c r="G1257">
        <v>2</v>
      </c>
      <c r="J1257" t="s">
        <v>15</v>
      </c>
      <c r="K1257">
        <v>2</v>
      </c>
      <c r="L1257">
        <v>2.2069999999999999</v>
      </c>
      <c r="M1257">
        <v>0</v>
      </c>
      <c r="N1257" t="s">
        <v>10019</v>
      </c>
      <c r="O1257" t="str">
        <f>HYPERLINK("2\0\marker_257_797020.png", "Ver Imagen")</f>
        <v>Ver Imagen</v>
      </c>
      <c r="P1257" t="str">
        <f>HYPERLINK("NO\A-499\A-499__251.png", "Ver Imagen")</f>
        <v>Ver Imagen</v>
      </c>
    </row>
    <row r="1258" spans="1:16" x14ac:dyDescent="0.25">
      <c r="A1258">
        <v>680</v>
      </c>
      <c r="B1258" t="s">
        <v>1372</v>
      </c>
      <c r="C1258">
        <v>37.524966635799998</v>
      </c>
      <c r="D1258">
        <v>-7.25726746492</v>
      </c>
      <c r="E1258">
        <v>2</v>
      </c>
      <c r="F1258">
        <v>2</v>
      </c>
      <c r="G1258">
        <v>2</v>
      </c>
      <c r="J1258" t="s">
        <v>15</v>
      </c>
      <c r="K1258">
        <v>2</v>
      </c>
      <c r="L1258">
        <v>2.1890000000000001</v>
      </c>
      <c r="M1258">
        <v>0</v>
      </c>
      <c r="N1258" t="s">
        <v>10019</v>
      </c>
      <c r="O1258" t="str">
        <f>HYPERLINK("2\0\marker_408_797040.png", "Ver Imagen")</f>
        <v>Ver Imagen</v>
      </c>
      <c r="P1258" t="str">
        <f>HYPERLINK("NO\A-499\A-499__253.png", "Ver Imagen")</f>
        <v>Ver Imagen</v>
      </c>
    </row>
    <row r="1259" spans="1:16" x14ac:dyDescent="0.25">
      <c r="A1259">
        <v>681</v>
      </c>
      <c r="B1259" t="s">
        <v>1374</v>
      </c>
      <c r="C1259">
        <v>37.5250835577</v>
      </c>
      <c r="D1259">
        <v>-7.25708062021</v>
      </c>
      <c r="E1259">
        <v>2</v>
      </c>
      <c r="F1259">
        <v>2</v>
      </c>
      <c r="G1259">
        <v>2</v>
      </c>
      <c r="J1259" t="s">
        <v>15</v>
      </c>
      <c r="K1259">
        <v>2</v>
      </c>
      <c r="L1259">
        <v>2.1659999999999999</v>
      </c>
      <c r="M1259">
        <v>0</v>
      </c>
      <c r="N1259" t="s">
        <v>10019</v>
      </c>
      <c r="O1259" t="str">
        <f>HYPERLINK("2\0\marker_463_797051.png", "Ver Imagen")</f>
        <v>Ver Imagen</v>
      </c>
      <c r="P1259" t="str">
        <f>HYPERLINK("NO\A-499\A-499__254.png", "Ver Imagen")</f>
        <v>Ver Imagen</v>
      </c>
    </row>
    <row r="1260" spans="1:16" x14ac:dyDescent="0.25">
      <c r="A1260">
        <v>682</v>
      </c>
      <c r="B1260" t="s">
        <v>1376</v>
      </c>
      <c r="C1260">
        <v>37.525212679200003</v>
      </c>
      <c r="D1260">
        <v>-7.2568742042599998</v>
      </c>
      <c r="E1260">
        <v>2</v>
      </c>
      <c r="F1260">
        <v>2</v>
      </c>
      <c r="G1260">
        <v>2</v>
      </c>
      <c r="J1260" t="s">
        <v>15</v>
      </c>
      <c r="K1260">
        <v>2</v>
      </c>
      <c r="L1260">
        <v>2.13</v>
      </c>
      <c r="M1260">
        <v>0</v>
      </c>
      <c r="N1260" t="s">
        <v>10019</v>
      </c>
      <c r="O1260" t="str">
        <f>HYPERLINK("2\0\marker_435_797074.png", "Ver Imagen")</f>
        <v>Ver Imagen</v>
      </c>
      <c r="P1260" t="str">
        <f>HYPERLINK("NO\A-499\A-499__255.png", "Ver Imagen")</f>
        <v>Ver Imagen</v>
      </c>
    </row>
    <row r="1261" spans="1:16" x14ac:dyDescent="0.25">
      <c r="A1261">
        <v>683</v>
      </c>
      <c r="B1261" t="s">
        <v>1378</v>
      </c>
      <c r="C1261">
        <v>37.525459712200004</v>
      </c>
      <c r="D1261">
        <v>-7.25647849977</v>
      </c>
      <c r="E1261">
        <v>2</v>
      </c>
      <c r="F1261">
        <v>2</v>
      </c>
      <c r="G1261">
        <v>2</v>
      </c>
      <c r="J1261" t="s">
        <v>15</v>
      </c>
      <c r="K1261">
        <v>2</v>
      </c>
      <c r="L1261">
        <v>2.1440000000000001</v>
      </c>
      <c r="M1261">
        <v>0</v>
      </c>
      <c r="N1261" t="s">
        <v>10019</v>
      </c>
      <c r="O1261" t="str">
        <f>HYPERLINK("2\0\marker_379_797222.png", "Ver Imagen")</f>
        <v>Ver Imagen</v>
      </c>
      <c r="P1261" t="str">
        <f>HYPERLINK("NO\A-499\A-499__257.png", "Ver Imagen")</f>
        <v>Ver Imagen</v>
      </c>
    </row>
    <row r="1262" spans="1:16" x14ac:dyDescent="0.25">
      <c r="A1262">
        <v>684</v>
      </c>
      <c r="B1262" t="s">
        <v>1380</v>
      </c>
      <c r="C1262">
        <v>37.525601180700001</v>
      </c>
      <c r="D1262">
        <v>-7.2562535585100001</v>
      </c>
      <c r="E1262">
        <v>2</v>
      </c>
      <c r="F1262">
        <v>2</v>
      </c>
      <c r="G1262">
        <v>2</v>
      </c>
      <c r="J1262" t="s">
        <v>15</v>
      </c>
      <c r="K1262">
        <v>2</v>
      </c>
      <c r="L1262">
        <v>2.1080000000000001</v>
      </c>
      <c r="M1262">
        <v>0</v>
      </c>
      <c r="N1262" t="s">
        <v>10019</v>
      </c>
      <c r="O1262" t="str">
        <f>HYPERLINK("2\0\marker_861_797235.png", "Ver Imagen")</f>
        <v>Ver Imagen</v>
      </c>
      <c r="P1262" t="str">
        <f>HYPERLINK("NO\A-499\A-499__258.png", "Ver Imagen")</f>
        <v>Ver Imagen</v>
      </c>
    </row>
    <row r="1263" spans="1:16" x14ac:dyDescent="0.25">
      <c r="A1263">
        <v>685</v>
      </c>
      <c r="B1263" t="s">
        <v>1382</v>
      </c>
      <c r="C1263">
        <v>37.525854062900002</v>
      </c>
      <c r="D1263">
        <v>-7.25588463278</v>
      </c>
      <c r="E1263">
        <v>2</v>
      </c>
      <c r="F1263">
        <v>2</v>
      </c>
      <c r="G1263">
        <v>2</v>
      </c>
      <c r="J1263" t="s">
        <v>15</v>
      </c>
      <c r="K1263">
        <v>2</v>
      </c>
      <c r="L1263">
        <v>1.8859999999999999</v>
      </c>
      <c r="M1263">
        <v>0</v>
      </c>
      <c r="N1263" t="s">
        <v>10017</v>
      </c>
      <c r="O1263" t="str">
        <f>HYPERLINK("2\0\marker_537_797261.png", "Ver Imagen")</f>
        <v>Ver Imagen</v>
      </c>
      <c r="P1263" t="str">
        <f>HYPERLINK("NO\A-499\A-499__260.png", "Ver Imagen")</f>
        <v>Ver Imagen</v>
      </c>
    </row>
    <row r="1264" spans="1:16" x14ac:dyDescent="0.25">
      <c r="A1264">
        <v>686</v>
      </c>
      <c r="B1264" t="s">
        <v>1384</v>
      </c>
      <c r="C1264">
        <v>37.526159847000002</v>
      </c>
      <c r="D1264">
        <v>-7.2555401336500003</v>
      </c>
      <c r="E1264">
        <v>2</v>
      </c>
      <c r="F1264">
        <v>2</v>
      </c>
      <c r="G1264">
        <v>2</v>
      </c>
      <c r="J1264" t="s">
        <v>15</v>
      </c>
      <c r="K1264">
        <v>2</v>
      </c>
      <c r="L1264">
        <v>2.13</v>
      </c>
      <c r="M1264">
        <v>0</v>
      </c>
      <c r="N1264" t="s">
        <v>10019</v>
      </c>
      <c r="O1264" t="str">
        <f>HYPERLINK("2\0\marker_519_797282.png", "Ver Imagen")</f>
        <v>Ver Imagen</v>
      </c>
      <c r="P1264" t="str">
        <f>HYPERLINK("NO\A-499\A-499__262.png", "Ver Imagen")</f>
        <v>Ver Imagen</v>
      </c>
    </row>
    <row r="1265" spans="1:16" x14ac:dyDescent="0.25">
      <c r="A1265">
        <v>687</v>
      </c>
      <c r="B1265" t="s">
        <v>1386</v>
      </c>
      <c r="C1265">
        <v>37.526351346399998</v>
      </c>
      <c r="D1265">
        <v>-7.2553790033399999</v>
      </c>
      <c r="E1265">
        <v>2</v>
      </c>
      <c r="F1265">
        <v>2</v>
      </c>
      <c r="G1265">
        <v>2</v>
      </c>
      <c r="J1265" t="s">
        <v>15</v>
      </c>
      <c r="K1265">
        <v>2</v>
      </c>
      <c r="L1265">
        <v>1.94</v>
      </c>
      <c r="M1265">
        <v>0</v>
      </c>
      <c r="N1265" t="s">
        <v>10019</v>
      </c>
      <c r="O1265" t="str">
        <f>HYPERLINK("2\0\marker_359_797294.png", "Ver Imagen")</f>
        <v>Ver Imagen</v>
      </c>
      <c r="P1265" t="str">
        <f>HYPERLINK("NO\A-499\A-499__263.png", "Ver Imagen")</f>
        <v>Ver Imagen</v>
      </c>
    </row>
    <row r="1266" spans="1:16" x14ac:dyDescent="0.25">
      <c r="A1266">
        <v>688</v>
      </c>
      <c r="B1266" t="s">
        <v>1388</v>
      </c>
      <c r="C1266">
        <v>37.526495608899999</v>
      </c>
      <c r="D1266">
        <v>-7.2552758160000002</v>
      </c>
      <c r="E1266">
        <v>2</v>
      </c>
      <c r="F1266">
        <v>2</v>
      </c>
      <c r="G1266">
        <v>2</v>
      </c>
      <c r="J1266" t="s">
        <v>15</v>
      </c>
      <c r="K1266">
        <v>2</v>
      </c>
      <c r="L1266">
        <v>1.97</v>
      </c>
      <c r="M1266">
        <v>0</v>
      </c>
      <c r="N1266" t="s">
        <v>10019</v>
      </c>
      <c r="O1266" t="str">
        <f>HYPERLINK("2\0\marker_748_797305.png", "Ver Imagen")</f>
        <v>Ver Imagen</v>
      </c>
      <c r="P1266" t="str">
        <f>HYPERLINK("NO\A-499\A-499__264.png", "Ver Imagen")</f>
        <v>Ver Imagen</v>
      </c>
    </row>
    <row r="1267" spans="1:16" x14ac:dyDescent="0.25">
      <c r="A1267">
        <v>689</v>
      </c>
      <c r="B1267" t="s">
        <v>1390</v>
      </c>
      <c r="C1267">
        <v>37.526701056</v>
      </c>
      <c r="D1267">
        <v>-7.2551446028499997</v>
      </c>
      <c r="E1267">
        <v>2</v>
      </c>
      <c r="F1267">
        <v>2</v>
      </c>
      <c r="G1267">
        <v>2</v>
      </c>
      <c r="J1267" t="s">
        <v>15</v>
      </c>
      <c r="K1267">
        <v>2</v>
      </c>
      <c r="L1267">
        <v>1.994</v>
      </c>
      <c r="M1267">
        <v>0</v>
      </c>
      <c r="N1267" t="s">
        <v>10019</v>
      </c>
      <c r="O1267" t="str">
        <f>HYPERLINK("2\0\marker_896_797326.png", "Ver Imagen")</f>
        <v>Ver Imagen</v>
      </c>
      <c r="P1267" t="str">
        <f>HYPERLINK("NO\A-499\A-499__265.png", "Ver Imagen")</f>
        <v>Ver Imagen</v>
      </c>
    </row>
    <row r="1268" spans="1:16" x14ac:dyDescent="0.25">
      <c r="A1268">
        <v>690</v>
      </c>
      <c r="B1268" t="s">
        <v>1392</v>
      </c>
      <c r="C1268">
        <v>37.527049061900001</v>
      </c>
      <c r="D1268">
        <v>-7.2549415778400004</v>
      </c>
      <c r="E1268">
        <v>2</v>
      </c>
      <c r="F1268">
        <v>2</v>
      </c>
      <c r="G1268">
        <v>2</v>
      </c>
      <c r="J1268" t="s">
        <v>15</v>
      </c>
      <c r="K1268">
        <v>2</v>
      </c>
      <c r="L1268">
        <v>1.83</v>
      </c>
      <c r="M1268">
        <v>0</v>
      </c>
      <c r="N1268" t="s">
        <v>10019</v>
      </c>
      <c r="O1268" t="str">
        <f>HYPERLINK("2\0\marker_741_797353.png", "Ver Imagen")</f>
        <v>Ver Imagen</v>
      </c>
      <c r="P1268" t="str">
        <f>HYPERLINK("NO\A-499\A-499__267.png", "Ver Imagen")</f>
        <v>Ver Imagen</v>
      </c>
    </row>
    <row r="1269" spans="1:16" x14ac:dyDescent="0.25">
      <c r="A1269">
        <v>691</v>
      </c>
      <c r="B1269" t="s">
        <v>1394</v>
      </c>
      <c r="C1269">
        <v>37.527228081600001</v>
      </c>
      <c r="D1269">
        <v>-7.2548393444699997</v>
      </c>
      <c r="E1269">
        <v>2</v>
      </c>
      <c r="F1269">
        <v>2</v>
      </c>
      <c r="G1269">
        <v>2</v>
      </c>
      <c r="J1269" t="s">
        <v>15</v>
      </c>
      <c r="K1269">
        <v>2</v>
      </c>
      <c r="L1269">
        <v>1.7689999999999999</v>
      </c>
      <c r="M1269">
        <v>0</v>
      </c>
      <c r="N1269" t="s">
        <v>10019</v>
      </c>
      <c r="O1269" t="str">
        <f>HYPERLINK("2\0\marker_824_797369.png", "Ver Imagen")</f>
        <v>Ver Imagen</v>
      </c>
      <c r="P1269" t="str">
        <f>HYPERLINK("NO\A-499\A-499__268.png", "Ver Imagen")</f>
        <v>Ver Imagen</v>
      </c>
    </row>
    <row r="1270" spans="1:16" x14ac:dyDescent="0.25">
      <c r="A1270">
        <v>692</v>
      </c>
      <c r="B1270" t="s">
        <v>1396</v>
      </c>
      <c r="C1270">
        <v>37.271832182600001</v>
      </c>
      <c r="D1270">
        <v>-6.9859085369900003</v>
      </c>
      <c r="E1270">
        <v>2</v>
      </c>
      <c r="F1270">
        <v>2</v>
      </c>
      <c r="G1270">
        <v>2</v>
      </c>
      <c r="J1270" t="s">
        <v>15</v>
      </c>
      <c r="K1270">
        <v>2</v>
      </c>
      <c r="L1270">
        <v>2.1819999999999999</v>
      </c>
      <c r="M1270">
        <v>0</v>
      </c>
      <c r="N1270" t="s">
        <v>10019</v>
      </c>
      <c r="O1270" t="str">
        <f>HYPERLINK("2\0\marker_826_655655.png", "Ver Imagen")</f>
        <v>Ver Imagen</v>
      </c>
      <c r="P1270" t="str">
        <f>HYPERLINK("SE\A-497_2C\A-497_2C__117.png", "Ver Imagen")</f>
        <v>Ver Imagen</v>
      </c>
    </row>
    <row r="1271" spans="1:16" x14ac:dyDescent="0.25">
      <c r="A1271">
        <v>693</v>
      </c>
      <c r="B1271" t="s">
        <v>1398</v>
      </c>
      <c r="C1271">
        <v>37.271855909099997</v>
      </c>
      <c r="D1271">
        <v>-6.9863887584800004</v>
      </c>
      <c r="E1271">
        <v>2</v>
      </c>
      <c r="F1271">
        <v>2</v>
      </c>
      <c r="G1271">
        <v>2</v>
      </c>
      <c r="J1271" t="s">
        <v>15</v>
      </c>
      <c r="K1271">
        <v>2</v>
      </c>
      <c r="L1271">
        <v>2.0059999999999998</v>
      </c>
      <c r="M1271">
        <v>0</v>
      </c>
      <c r="N1271" t="s">
        <v>10019</v>
      </c>
      <c r="O1271" t="str">
        <f>HYPERLINK("2\0\marker_900_655673.png", "Ver Imagen")</f>
        <v>Ver Imagen</v>
      </c>
      <c r="P1271" t="str">
        <f>HYPERLINK("SE\A-497_2C\A-497_2C__119.png", "Ver Imagen")</f>
        <v>Ver Imagen</v>
      </c>
    </row>
    <row r="1272" spans="1:16" x14ac:dyDescent="0.25">
      <c r="A1272">
        <v>694</v>
      </c>
      <c r="B1272" t="s">
        <v>1400</v>
      </c>
      <c r="C1272">
        <v>37.271748212600002</v>
      </c>
      <c r="D1272">
        <v>-6.9873954014399997</v>
      </c>
      <c r="E1272">
        <v>2</v>
      </c>
      <c r="F1272">
        <v>2</v>
      </c>
      <c r="G1272">
        <v>2</v>
      </c>
      <c r="J1272" t="s">
        <v>15</v>
      </c>
      <c r="K1272">
        <v>2</v>
      </c>
      <c r="L1272">
        <v>2.0920000000000001</v>
      </c>
      <c r="M1272">
        <v>0</v>
      </c>
      <c r="N1272" t="s">
        <v>10019</v>
      </c>
      <c r="O1272" t="str">
        <f>HYPERLINK("2\0\marker_208_655707.png", "Ver Imagen")</f>
        <v>Ver Imagen</v>
      </c>
      <c r="P1272" t="str">
        <f>HYPERLINK("SE\A-497_2C\A-497_2C__123.png", "Ver Imagen")</f>
        <v>Ver Imagen</v>
      </c>
    </row>
    <row r="1273" spans="1:16" x14ac:dyDescent="0.25">
      <c r="A1273">
        <v>695</v>
      </c>
      <c r="B1273" t="s">
        <v>1402</v>
      </c>
      <c r="C1273">
        <v>37.271688722100002</v>
      </c>
      <c r="D1273">
        <v>-6.9876366676400004</v>
      </c>
      <c r="E1273">
        <v>2</v>
      </c>
      <c r="F1273">
        <v>2</v>
      </c>
      <c r="G1273">
        <v>2</v>
      </c>
      <c r="J1273" t="s">
        <v>15</v>
      </c>
      <c r="K1273">
        <v>2</v>
      </c>
      <c r="L1273">
        <v>2.1840000000000002</v>
      </c>
      <c r="M1273">
        <v>0</v>
      </c>
      <c r="N1273" t="s">
        <v>10019</v>
      </c>
      <c r="O1273" t="str">
        <f>HYPERLINK("2\0\marker_161_655715.png", "Ver Imagen")</f>
        <v>Ver Imagen</v>
      </c>
      <c r="P1273" t="str">
        <f>HYPERLINK("SE\A-497_2C\A-497_2C__124.png", "Ver Imagen")</f>
        <v>Ver Imagen</v>
      </c>
    </row>
    <row r="1274" spans="1:16" x14ac:dyDescent="0.25">
      <c r="A1274">
        <v>696</v>
      </c>
      <c r="B1274" t="s">
        <v>1404</v>
      </c>
      <c r="C1274">
        <v>37.2712667395</v>
      </c>
      <c r="D1274">
        <v>-6.9885419855500004</v>
      </c>
      <c r="E1274">
        <v>2</v>
      </c>
      <c r="F1274">
        <v>2</v>
      </c>
      <c r="G1274">
        <v>2</v>
      </c>
      <c r="J1274" t="s">
        <v>15</v>
      </c>
      <c r="K1274">
        <v>2</v>
      </c>
      <c r="L1274">
        <v>1.6850000000000001</v>
      </c>
      <c r="M1274">
        <v>0</v>
      </c>
      <c r="N1274" t="s">
        <v>10019</v>
      </c>
      <c r="O1274" t="str">
        <f>HYPERLINK("2\0\marker_287_655750.png", "Ver Imagen")</f>
        <v>Ver Imagen</v>
      </c>
      <c r="P1274" t="str">
        <f>HYPERLINK("SE\A-497_2C\A-497_2C__128.png", "Ver Imagen")</f>
        <v>Ver Imagen</v>
      </c>
    </row>
    <row r="1275" spans="1:16" x14ac:dyDescent="0.25">
      <c r="A1275">
        <v>697</v>
      </c>
      <c r="B1275" t="s">
        <v>1406</v>
      </c>
      <c r="C1275">
        <v>37.271140955</v>
      </c>
      <c r="D1275">
        <v>-6.9887122577399996</v>
      </c>
      <c r="E1275">
        <v>2</v>
      </c>
      <c r="F1275">
        <v>2</v>
      </c>
      <c r="G1275">
        <v>2</v>
      </c>
      <c r="J1275" t="s">
        <v>15</v>
      </c>
      <c r="K1275">
        <v>2</v>
      </c>
      <c r="L1275">
        <v>2.1720000000000002</v>
      </c>
      <c r="M1275">
        <v>0</v>
      </c>
      <c r="N1275" t="s">
        <v>10019</v>
      </c>
      <c r="O1275" t="str">
        <f>HYPERLINK("2\0\marker_226_655758.png", "Ver Imagen")</f>
        <v>Ver Imagen</v>
      </c>
      <c r="P1275" t="str">
        <f>HYPERLINK("SE\A-497_2C\A-497_2C__129.png", "Ver Imagen")</f>
        <v>Ver Imagen</v>
      </c>
    </row>
    <row r="1276" spans="1:16" x14ac:dyDescent="0.25">
      <c r="A1276">
        <v>699</v>
      </c>
      <c r="B1276" t="s">
        <v>1410</v>
      </c>
      <c r="C1276">
        <v>37.270653998699999</v>
      </c>
      <c r="D1276">
        <v>-6.98918188699</v>
      </c>
      <c r="E1276">
        <v>2</v>
      </c>
      <c r="F1276">
        <v>2</v>
      </c>
      <c r="G1276">
        <v>2</v>
      </c>
      <c r="J1276" t="s">
        <v>15</v>
      </c>
      <c r="K1276">
        <v>2</v>
      </c>
      <c r="L1276">
        <v>2.2200000000000002</v>
      </c>
      <c r="M1276">
        <v>0</v>
      </c>
      <c r="N1276" t="s">
        <v>10019</v>
      </c>
      <c r="O1276" t="str">
        <f>HYPERLINK("2\0\marker_594_655792.png", "Ver Imagen")</f>
        <v>Ver Imagen</v>
      </c>
      <c r="P1276" t="str">
        <f>HYPERLINK("SE\A-497_2C\A-497_2C__132.png", "Ver Imagen")</f>
        <v>Ver Imagen</v>
      </c>
    </row>
    <row r="1277" spans="1:16" x14ac:dyDescent="0.25">
      <c r="A1277">
        <v>701</v>
      </c>
      <c r="B1277" t="s">
        <v>1414</v>
      </c>
      <c r="C1277">
        <v>37.188190074200001</v>
      </c>
      <c r="D1277">
        <v>-6.97834103832</v>
      </c>
      <c r="E1277">
        <v>2</v>
      </c>
      <c r="F1277">
        <v>2</v>
      </c>
      <c r="G1277">
        <v>2</v>
      </c>
      <c r="J1277" t="s">
        <v>15</v>
      </c>
      <c r="K1277">
        <v>2</v>
      </c>
      <c r="L1277">
        <v>1.9650000000000001</v>
      </c>
      <c r="M1277">
        <v>0</v>
      </c>
      <c r="N1277" t="s">
        <v>10019</v>
      </c>
      <c r="O1277" t="str">
        <f>HYPERLINK("2\0\marker_150_368793.png", "Ver Imagen")</f>
        <v>Ver Imagen</v>
      </c>
      <c r="P1277" t="str">
        <f>HYPERLINK("SE\A-497\A-497__744.png", "Ver Imagen")</f>
        <v>Ver Imagen</v>
      </c>
    </row>
    <row r="1278" spans="1:16" x14ac:dyDescent="0.25">
      <c r="A1278">
        <v>702</v>
      </c>
      <c r="B1278" t="s">
        <v>1416</v>
      </c>
      <c r="C1278">
        <v>37.1883649058</v>
      </c>
      <c r="D1278">
        <v>-6.9783559655799996</v>
      </c>
      <c r="E1278">
        <v>2</v>
      </c>
      <c r="F1278">
        <v>2</v>
      </c>
      <c r="G1278">
        <v>2</v>
      </c>
      <c r="J1278" t="s">
        <v>15</v>
      </c>
      <c r="K1278">
        <v>2</v>
      </c>
      <c r="L1278">
        <v>1.7869999999999999</v>
      </c>
      <c r="M1278">
        <v>0</v>
      </c>
      <c r="N1278" t="s">
        <v>10019</v>
      </c>
      <c r="O1278" t="str">
        <f>HYPERLINK("2\0\marker_729_368807.png", "Ver Imagen")</f>
        <v>Ver Imagen</v>
      </c>
      <c r="P1278" t="str">
        <f>HYPERLINK("SE\A-497\A-497__743.png", "Ver Imagen")</f>
        <v>Ver Imagen</v>
      </c>
    </row>
    <row r="1279" spans="1:16" x14ac:dyDescent="0.25">
      <c r="A1279">
        <v>703</v>
      </c>
      <c r="B1279" t="s">
        <v>1418</v>
      </c>
      <c r="C1279">
        <v>37.266159401700001</v>
      </c>
      <c r="D1279">
        <v>-6.9932686507900002</v>
      </c>
      <c r="E1279">
        <v>2</v>
      </c>
      <c r="F1279">
        <v>2</v>
      </c>
      <c r="G1279">
        <v>2</v>
      </c>
      <c r="J1279" t="s">
        <v>15</v>
      </c>
      <c r="K1279">
        <v>2</v>
      </c>
      <c r="L1279">
        <v>2.226</v>
      </c>
      <c r="M1279">
        <v>0</v>
      </c>
      <c r="N1279" t="s">
        <v>10019</v>
      </c>
      <c r="O1279" t="str">
        <f>HYPERLINK("2\0\marker_683_656102.png", "Ver Imagen")</f>
        <v>Ver Imagen</v>
      </c>
      <c r="P1279" t="str">
        <f>HYPERLINK("SE\A-497_2C\A-497_2C__160.png", "Ver Imagen")</f>
        <v>Ver Imagen</v>
      </c>
    </row>
    <row r="1280" spans="1:16" x14ac:dyDescent="0.25">
      <c r="A1280">
        <v>705</v>
      </c>
      <c r="B1280" t="s">
        <v>1422</v>
      </c>
      <c r="C1280">
        <v>37.264513688000001</v>
      </c>
      <c r="D1280">
        <v>-7.0016448804099998</v>
      </c>
      <c r="E1280">
        <v>2</v>
      </c>
      <c r="F1280">
        <v>2</v>
      </c>
      <c r="G1280">
        <v>2</v>
      </c>
      <c r="J1280" t="s">
        <v>15</v>
      </c>
      <c r="K1280">
        <v>2</v>
      </c>
      <c r="L1280">
        <v>2.0550000000000002</v>
      </c>
      <c r="M1280">
        <v>0</v>
      </c>
      <c r="N1280" t="s">
        <v>10019</v>
      </c>
      <c r="O1280" t="str">
        <f>HYPERLINK("2\0\marker_437_656463.png", "Ver Imagen")</f>
        <v>Ver Imagen</v>
      </c>
      <c r="P1280" t="str">
        <f>HYPERLINK("SE\A-497_2C\A-497_2C__194.png", "Ver Imagen")</f>
        <v>Ver Imagen</v>
      </c>
    </row>
    <row r="1281" spans="1:16" x14ac:dyDescent="0.25">
      <c r="A1281">
        <v>706</v>
      </c>
      <c r="B1281" t="s">
        <v>1424</v>
      </c>
      <c r="C1281">
        <v>37.2644175816</v>
      </c>
      <c r="D1281">
        <v>-7.0021796490900003</v>
      </c>
      <c r="E1281">
        <v>2</v>
      </c>
      <c r="F1281">
        <v>2</v>
      </c>
      <c r="G1281">
        <v>2</v>
      </c>
      <c r="J1281" t="s">
        <v>15</v>
      </c>
      <c r="K1281">
        <v>2</v>
      </c>
      <c r="L1281">
        <v>1.923</v>
      </c>
      <c r="M1281">
        <v>0</v>
      </c>
      <c r="N1281" t="s">
        <v>10019</v>
      </c>
      <c r="O1281" t="str">
        <f>HYPERLINK("2\0\marker_826_656480.png", "Ver Imagen")</f>
        <v>Ver Imagen</v>
      </c>
      <c r="P1281" t="str">
        <f>HYPERLINK("SE\A-497_2C\A-497_2C__196.png", "Ver Imagen")</f>
        <v>Ver Imagen</v>
      </c>
    </row>
    <row r="1282" spans="1:16" x14ac:dyDescent="0.25">
      <c r="A1282">
        <v>707</v>
      </c>
      <c r="B1282" t="s">
        <v>1426</v>
      </c>
      <c r="C1282">
        <v>37.198196355599997</v>
      </c>
      <c r="D1282">
        <v>-6.9807350683399996</v>
      </c>
      <c r="E1282">
        <v>2</v>
      </c>
      <c r="F1282">
        <v>2</v>
      </c>
      <c r="G1282">
        <v>2</v>
      </c>
      <c r="J1282" t="s">
        <v>15</v>
      </c>
      <c r="K1282">
        <v>2</v>
      </c>
      <c r="L1282">
        <v>1.9710000000000001</v>
      </c>
      <c r="M1282">
        <v>0</v>
      </c>
      <c r="N1282" t="s">
        <v>10019</v>
      </c>
      <c r="O1282" t="str">
        <f>HYPERLINK("2\0\marker_726_370474.png", "Ver Imagen")</f>
        <v>Ver Imagen</v>
      </c>
      <c r="P1282" t="str">
        <f>HYPERLINK("SE\A-497\A-497__690.png", "Ver Imagen")</f>
        <v>Ver Imagen</v>
      </c>
    </row>
    <row r="1283" spans="1:16" x14ac:dyDescent="0.25">
      <c r="A1283">
        <v>708</v>
      </c>
      <c r="B1283" t="s">
        <v>1428</v>
      </c>
      <c r="C1283">
        <v>37.199040550900001</v>
      </c>
      <c r="D1283">
        <v>-6.9825089438700001</v>
      </c>
      <c r="E1283">
        <v>2</v>
      </c>
      <c r="F1283">
        <v>2</v>
      </c>
      <c r="G1283">
        <v>2</v>
      </c>
      <c r="J1283" t="s">
        <v>15</v>
      </c>
      <c r="K1283">
        <v>2</v>
      </c>
      <c r="L1283">
        <v>2.1640000000000001</v>
      </c>
      <c r="M1283">
        <v>0</v>
      </c>
      <c r="N1283" t="s">
        <v>10019</v>
      </c>
      <c r="O1283" t="str">
        <f>HYPERLINK("2\0\marker_275_370556.png", "Ver Imagen")</f>
        <v>Ver Imagen</v>
      </c>
      <c r="P1283" t="str">
        <f>HYPERLINK("SE\A-497\A-497__682.png", "Ver Imagen")</f>
        <v>Ver Imagen</v>
      </c>
    </row>
    <row r="1284" spans="1:16" x14ac:dyDescent="0.25">
      <c r="A1284">
        <v>709</v>
      </c>
      <c r="B1284" t="s">
        <v>1430</v>
      </c>
      <c r="C1284">
        <v>37.199763100600002</v>
      </c>
      <c r="D1284">
        <v>-6.9849155729800003</v>
      </c>
      <c r="E1284">
        <v>2</v>
      </c>
      <c r="F1284">
        <v>2</v>
      </c>
      <c r="G1284">
        <v>2</v>
      </c>
      <c r="J1284" t="s">
        <v>15</v>
      </c>
      <c r="K1284">
        <v>2</v>
      </c>
      <c r="L1284">
        <v>2.2360000000000002</v>
      </c>
      <c r="M1284">
        <v>0</v>
      </c>
      <c r="N1284" t="s">
        <v>10019</v>
      </c>
      <c r="O1284" t="str">
        <f>HYPERLINK("2\0\marker_721_371008.png", "Ver Imagen")</f>
        <v>Ver Imagen</v>
      </c>
      <c r="P1284" t="str">
        <f>HYPERLINK("SE\A-497\A-497__672.png", "Ver Imagen")</f>
        <v>Ver Imagen</v>
      </c>
    </row>
    <row r="1285" spans="1:16" x14ac:dyDescent="0.25">
      <c r="A1285">
        <v>710</v>
      </c>
      <c r="B1285" t="s">
        <v>1432</v>
      </c>
      <c r="C1285">
        <v>37.199827313199997</v>
      </c>
      <c r="D1285">
        <v>-6.98516588688</v>
      </c>
      <c r="E1285">
        <v>2</v>
      </c>
      <c r="F1285">
        <v>2</v>
      </c>
      <c r="G1285">
        <v>2</v>
      </c>
      <c r="J1285" t="s">
        <v>15</v>
      </c>
      <c r="K1285">
        <v>2</v>
      </c>
      <c r="L1285">
        <v>2.1059999999999999</v>
      </c>
      <c r="M1285">
        <v>0</v>
      </c>
      <c r="N1285" t="s">
        <v>10019</v>
      </c>
      <c r="O1285" t="str">
        <f>HYPERLINK("2\0\marker_522_371017.png", "Ver Imagen")</f>
        <v>Ver Imagen</v>
      </c>
      <c r="P1285" t="str">
        <f>HYPERLINK("SE\A-497\A-497__671.png", "Ver Imagen")</f>
        <v>Ver Imagen</v>
      </c>
    </row>
    <row r="1286" spans="1:16" x14ac:dyDescent="0.25">
      <c r="A1286">
        <v>711</v>
      </c>
      <c r="B1286" t="s">
        <v>1434</v>
      </c>
      <c r="C1286">
        <v>37.261500928399997</v>
      </c>
      <c r="D1286">
        <v>-7.01071707915</v>
      </c>
      <c r="E1286">
        <v>2</v>
      </c>
      <c r="F1286">
        <v>2</v>
      </c>
      <c r="G1286">
        <v>2</v>
      </c>
      <c r="J1286" t="s">
        <v>15</v>
      </c>
      <c r="K1286">
        <v>2</v>
      </c>
      <c r="L1286">
        <v>1.8560000000000001</v>
      </c>
      <c r="M1286">
        <v>0</v>
      </c>
      <c r="N1286" t="s">
        <v>10019</v>
      </c>
      <c r="O1286" t="str">
        <f>HYPERLINK("2\0\marker_718_656918.png", "Ver Imagen")</f>
        <v>Ver Imagen</v>
      </c>
      <c r="P1286" t="str">
        <f>HYPERLINK("SE\A-497_2C\A-497_2C__234.png", "Ver Imagen")</f>
        <v>Ver Imagen</v>
      </c>
    </row>
    <row r="1287" spans="1:16" x14ac:dyDescent="0.25">
      <c r="A1287">
        <v>712</v>
      </c>
      <c r="B1287" t="s">
        <v>1436</v>
      </c>
      <c r="C1287">
        <v>37.260981466399997</v>
      </c>
      <c r="D1287">
        <v>-7.0110837715600001</v>
      </c>
      <c r="E1287">
        <v>2</v>
      </c>
      <c r="F1287">
        <v>2</v>
      </c>
      <c r="G1287">
        <v>2</v>
      </c>
      <c r="J1287" t="s">
        <v>15</v>
      </c>
      <c r="K1287">
        <v>2</v>
      </c>
      <c r="L1287">
        <v>2.024</v>
      </c>
      <c r="M1287">
        <v>0</v>
      </c>
      <c r="N1287" t="s">
        <v>10019</v>
      </c>
      <c r="O1287" t="str">
        <f>HYPERLINK("2\0\marker_213_656942.png", "Ver Imagen")</f>
        <v>Ver Imagen</v>
      </c>
      <c r="P1287" t="str">
        <f>HYPERLINK("SE\A-497_2C\A-497_2C__237.png", "Ver Imagen")</f>
        <v>Ver Imagen</v>
      </c>
    </row>
    <row r="1288" spans="1:16" x14ac:dyDescent="0.25">
      <c r="A1288">
        <v>714</v>
      </c>
      <c r="B1288" t="s">
        <v>1440</v>
      </c>
      <c r="C1288">
        <v>37.259507946100001</v>
      </c>
      <c r="D1288">
        <v>-7.0120236186599998</v>
      </c>
      <c r="E1288">
        <v>2</v>
      </c>
      <c r="F1288">
        <v>2</v>
      </c>
      <c r="G1288">
        <v>2</v>
      </c>
      <c r="J1288" t="s">
        <v>15</v>
      </c>
      <c r="K1288">
        <v>2</v>
      </c>
      <c r="L1288">
        <v>2.1579999999999999</v>
      </c>
      <c r="M1288">
        <v>0</v>
      </c>
      <c r="N1288" t="s">
        <v>10019</v>
      </c>
      <c r="O1288" t="str">
        <f>HYPERLINK("2\0\marker_234_657067.png", "Ver Imagen")</f>
        <v>Ver Imagen</v>
      </c>
      <c r="P1288" t="str">
        <f>HYPERLINK("SE\A-497_2C\A-497_2C__245.png", "Ver Imagen")</f>
        <v>Ver Imagen</v>
      </c>
    </row>
    <row r="1289" spans="1:16" x14ac:dyDescent="0.25">
      <c r="A1289">
        <v>715</v>
      </c>
      <c r="B1289" t="s">
        <v>1442</v>
      </c>
      <c r="C1289">
        <v>37.259368197100002</v>
      </c>
      <c r="D1289">
        <v>-7.0121131983799998</v>
      </c>
      <c r="E1289">
        <v>2</v>
      </c>
      <c r="F1289">
        <v>2</v>
      </c>
      <c r="G1289">
        <v>2</v>
      </c>
      <c r="J1289" t="s">
        <v>15</v>
      </c>
      <c r="K1289">
        <v>2</v>
      </c>
      <c r="L1289">
        <v>2.27</v>
      </c>
      <c r="M1289">
        <v>0</v>
      </c>
      <c r="N1289" t="s">
        <v>10019</v>
      </c>
      <c r="O1289" t="str">
        <f>HYPERLINK("2\0\marker_444_657077.png", "Ver Imagen")</f>
        <v>Ver Imagen</v>
      </c>
      <c r="P1289" t="str">
        <f>HYPERLINK("SE\A-497_2C\A-497_2C__246.png", "Ver Imagen")</f>
        <v>Ver Imagen</v>
      </c>
    </row>
    <row r="1290" spans="1:16" x14ac:dyDescent="0.25">
      <c r="A1290">
        <v>717</v>
      </c>
      <c r="B1290" t="s">
        <v>1446</v>
      </c>
      <c r="C1290">
        <v>37.258984818800002</v>
      </c>
      <c r="D1290">
        <v>-7.0123559913199998</v>
      </c>
      <c r="E1290">
        <v>2</v>
      </c>
      <c r="F1290">
        <v>2</v>
      </c>
      <c r="G1290">
        <v>2</v>
      </c>
      <c r="J1290" t="s">
        <v>15</v>
      </c>
      <c r="K1290">
        <v>2</v>
      </c>
      <c r="L1290">
        <v>1.99</v>
      </c>
      <c r="M1290">
        <v>0</v>
      </c>
      <c r="N1290" t="s">
        <v>10018</v>
      </c>
      <c r="O1290" t="str">
        <f>HYPERLINK("2\0\marker_232_657095.png", "Ver Imagen")</f>
        <v>Ver Imagen</v>
      </c>
      <c r="P1290" t="str">
        <f>HYPERLINK("SE\A-497_2C\A-497_2C__248.png", "Ver Imagen")</f>
        <v>Ver Imagen</v>
      </c>
    </row>
    <row r="1291" spans="1:16" x14ac:dyDescent="0.25">
      <c r="A1291">
        <v>719</v>
      </c>
      <c r="B1291" t="s">
        <v>1450</v>
      </c>
      <c r="C1291">
        <v>37.204229688700003</v>
      </c>
      <c r="D1291">
        <v>-7.0115915402600004</v>
      </c>
      <c r="E1291">
        <v>2</v>
      </c>
      <c r="F1291">
        <v>2</v>
      </c>
      <c r="G1291">
        <v>2</v>
      </c>
      <c r="J1291" t="s">
        <v>15</v>
      </c>
      <c r="K1291">
        <v>2</v>
      </c>
      <c r="L1291">
        <v>1.5880000000000001</v>
      </c>
      <c r="M1291">
        <v>0</v>
      </c>
      <c r="N1291" t="s">
        <v>10019</v>
      </c>
      <c r="O1291" t="str">
        <f>HYPERLINK("2\0\marker_504_372107.png", "Ver Imagen")</f>
        <v>Ver Imagen</v>
      </c>
      <c r="P1291" t="str">
        <f>HYPERLINK("SE\A-497\A-497__564.png", "Ver Imagen")</f>
        <v>Ver Imagen</v>
      </c>
    </row>
    <row r="1292" spans="1:16" x14ac:dyDescent="0.25">
      <c r="A1292">
        <v>720</v>
      </c>
      <c r="B1292" t="s">
        <v>1452</v>
      </c>
      <c r="C1292">
        <v>37.249724906399997</v>
      </c>
      <c r="D1292">
        <v>-7.0181242369300003</v>
      </c>
      <c r="E1292">
        <v>2</v>
      </c>
      <c r="F1292">
        <v>2</v>
      </c>
      <c r="G1292">
        <v>2</v>
      </c>
      <c r="J1292" t="s">
        <v>15</v>
      </c>
      <c r="K1292">
        <v>2</v>
      </c>
      <c r="L1292">
        <v>2.1</v>
      </c>
      <c r="M1292">
        <v>0</v>
      </c>
      <c r="N1292" t="s">
        <v>10019</v>
      </c>
      <c r="O1292" t="str">
        <f>HYPERLINK("2\0\marker_370_320162.png", "Ver Imagen")</f>
        <v>Ver Imagen</v>
      </c>
      <c r="P1292" t="str">
        <f>HYPERLINK("SE\A-497_2C\A-497_2C__299.png", "Ver Imagen")</f>
        <v>Ver Imagen</v>
      </c>
    </row>
    <row r="1293" spans="1:16" x14ac:dyDescent="0.25">
      <c r="A1293">
        <v>721</v>
      </c>
      <c r="B1293" t="s">
        <v>1454</v>
      </c>
      <c r="C1293">
        <v>37.249551115400003</v>
      </c>
      <c r="D1293">
        <v>-7.0181796293199996</v>
      </c>
      <c r="E1293">
        <v>2</v>
      </c>
      <c r="F1293">
        <v>2</v>
      </c>
      <c r="G1293">
        <v>2</v>
      </c>
      <c r="J1293" t="s">
        <v>15</v>
      </c>
      <c r="K1293">
        <v>2</v>
      </c>
      <c r="L1293">
        <v>2.024</v>
      </c>
      <c r="M1293">
        <v>0</v>
      </c>
      <c r="N1293" t="s">
        <v>10019</v>
      </c>
      <c r="O1293" t="str">
        <f>HYPERLINK("2\0\marker_751_320173.png", "Ver Imagen")</f>
        <v>Ver Imagen</v>
      </c>
      <c r="P1293" t="str">
        <f>HYPERLINK("SE\A-497_2C\A-497_2C__300.png", "Ver Imagen")</f>
        <v>Ver Imagen</v>
      </c>
    </row>
    <row r="1294" spans="1:16" x14ac:dyDescent="0.25">
      <c r="A1294">
        <v>722</v>
      </c>
      <c r="B1294" t="s">
        <v>1456</v>
      </c>
      <c r="C1294">
        <v>37.2492940765</v>
      </c>
      <c r="D1294">
        <v>-7.0182465885700003</v>
      </c>
      <c r="E1294">
        <v>2</v>
      </c>
      <c r="F1294">
        <v>2</v>
      </c>
      <c r="G1294">
        <v>2</v>
      </c>
      <c r="J1294" t="s">
        <v>15</v>
      </c>
      <c r="K1294">
        <v>2</v>
      </c>
      <c r="L1294">
        <v>2.0489999999999999</v>
      </c>
      <c r="M1294">
        <v>0</v>
      </c>
      <c r="N1294" t="s">
        <v>10019</v>
      </c>
      <c r="O1294" t="str">
        <f>HYPERLINK("2\0\marker_893_320183.png", "Ver Imagen")</f>
        <v>Ver Imagen</v>
      </c>
      <c r="P1294" t="str">
        <f>HYPERLINK("SE\A-497_2C\A-497_2C__301.png", "Ver Imagen")</f>
        <v>Ver Imagen</v>
      </c>
    </row>
    <row r="1295" spans="1:16" x14ac:dyDescent="0.25">
      <c r="A1295">
        <v>723</v>
      </c>
      <c r="B1295" t="s">
        <v>1458</v>
      </c>
      <c r="C1295">
        <v>37.249118420599999</v>
      </c>
      <c r="D1295">
        <v>-7.0182821454399997</v>
      </c>
      <c r="E1295">
        <v>2</v>
      </c>
      <c r="F1295">
        <v>2</v>
      </c>
      <c r="G1295">
        <v>2</v>
      </c>
      <c r="J1295" t="s">
        <v>15</v>
      </c>
      <c r="K1295">
        <v>2</v>
      </c>
      <c r="L1295">
        <v>1.679</v>
      </c>
      <c r="M1295">
        <v>0</v>
      </c>
      <c r="N1295" t="s">
        <v>10019</v>
      </c>
      <c r="O1295" t="str">
        <f>HYPERLINK("2\0\marker_292_320191.png", "Ver Imagen")</f>
        <v>Ver Imagen</v>
      </c>
      <c r="P1295" t="str">
        <f>HYPERLINK("SE\A-497_2C\A-497_2C__302.png", "Ver Imagen")</f>
        <v>Ver Imagen</v>
      </c>
    </row>
    <row r="1296" spans="1:16" x14ac:dyDescent="0.25">
      <c r="A1296">
        <v>724</v>
      </c>
      <c r="B1296" t="s">
        <v>1460</v>
      </c>
      <c r="C1296">
        <v>37.204591954599998</v>
      </c>
      <c r="D1296">
        <v>-7.0135790622199998</v>
      </c>
      <c r="E1296">
        <v>2</v>
      </c>
      <c r="F1296">
        <v>2</v>
      </c>
      <c r="G1296">
        <v>2</v>
      </c>
      <c r="J1296" t="s">
        <v>15</v>
      </c>
      <c r="K1296">
        <v>2</v>
      </c>
      <c r="L1296">
        <v>2.0409999999999999</v>
      </c>
      <c r="M1296">
        <v>0</v>
      </c>
      <c r="N1296" t="s">
        <v>10019</v>
      </c>
      <c r="O1296" t="str">
        <f>HYPERLINK("2\0\marker_908_372198.png", "Ver Imagen")</f>
        <v>Ver Imagen</v>
      </c>
      <c r="P1296" t="str">
        <f>HYPERLINK("SE\A-497\A-497__556.png", "Ver Imagen")</f>
        <v>Ver Imagen</v>
      </c>
    </row>
    <row r="1297" spans="1:16" x14ac:dyDescent="0.25">
      <c r="A1297">
        <v>726</v>
      </c>
      <c r="B1297" t="s">
        <v>1464</v>
      </c>
      <c r="C1297">
        <v>37.228080606100001</v>
      </c>
      <c r="D1297">
        <v>-7.0219191996600001</v>
      </c>
      <c r="E1297">
        <v>2</v>
      </c>
      <c r="F1297">
        <v>2</v>
      </c>
      <c r="G1297">
        <v>2</v>
      </c>
      <c r="J1297" t="s">
        <v>15</v>
      </c>
      <c r="K1297">
        <v>2</v>
      </c>
      <c r="L1297">
        <v>1.831</v>
      </c>
      <c r="M1297">
        <v>0</v>
      </c>
      <c r="N1297" t="s">
        <v>10018</v>
      </c>
      <c r="O1297" t="str">
        <f>HYPERLINK("2\0\marker_773_363008.png", "Ver Imagen")</f>
        <v>Ver Imagen</v>
      </c>
      <c r="P1297" t="str">
        <f>HYPERLINK("SE\A-497_2C\A-497_2C__410.png", "Ver Imagen")</f>
        <v>Ver Imagen</v>
      </c>
    </row>
    <row r="1298" spans="1:16" x14ac:dyDescent="0.25">
      <c r="A1298">
        <v>727</v>
      </c>
      <c r="B1298" t="s">
        <v>1466</v>
      </c>
      <c r="C1298">
        <v>37.227737481600002</v>
      </c>
      <c r="D1298">
        <v>-7.0221817704099996</v>
      </c>
      <c r="E1298">
        <v>2</v>
      </c>
      <c r="F1298">
        <v>2</v>
      </c>
      <c r="G1298">
        <v>2</v>
      </c>
      <c r="J1298" t="s">
        <v>15</v>
      </c>
      <c r="K1298">
        <v>2</v>
      </c>
      <c r="L1298">
        <v>1.976</v>
      </c>
      <c r="M1298">
        <v>0</v>
      </c>
      <c r="N1298" t="s">
        <v>10019</v>
      </c>
      <c r="O1298" t="str">
        <f>HYPERLINK("2\0\marker_867_363034.png", "Ver Imagen")</f>
        <v>Ver Imagen</v>
      </c>
      <c r="P1298" t="str">
        <f>HYPERLINK("SE\A-497_2C\A-497_2C__412.png", "Ver Imagen")</f>
        <v>Ver Imagen</v>
      </c>
    </row>
    <row r="1299" spans="1:16" x14ac:dyDescent="0.25">
      <c r="A1299">
        <v>728</v>
      </c>
      <c r="B1299" t="s">
        <v>1468</v>
      </c>
      <c r="C1299">
        <v>37.227381965799999</v>
      </c>
      <c r="D1299">
        <v>-7.0224484837699999</v>
      </c>
      <c r="E1299">
        <v>2</v>
      </c>
      <c r="F1299">
        <v>2</v>
      </c>
      <c r="G1299">
        <v>2</v>
      </c>
      <c r="J1299" t="s">
        <v>15</v>
      </c>
      <c r="K1299">
        <v>2</v>
      </c>
      <c r="L1299">
        <v>2.16</v>
      </c>
      <c r="M1299">
        <v>0</v>
      </c>
      <c r="N1299" t="s">
        <v>10019</v>
      </c>
      <c r="O1299" t="str">
        <f>HYPERLINK("2\0\marker_803_363054.png", "Ver Imagen")</f>
        <v>Ver Imagen</v>
      </c>
      <c r="P1299" t="str">
        <f>HYPERLINK("SE\A-497_2C\A-497_2C__414.png", "Ver Imagen")</f>
        <v>Ver Imagen</v>
      </c>
    </row>
    <row r="1300" spans="1:16" x14ac:dyDescent="0.25">
      <c r="A1300">
        <v>729</v>
      </c>
      <c r="B1300" t="s">
        <v>1470</v>
      </c>
      <c r="C1300">
        <v>37.227221905</v>
      </c>
      <c r="D1300">
        <v>-7.0225643926899997</v>
      </c>
      <c r="E1300">
        <v>2</v>
      </c>
      <c r="F1300">
        <v>2</v>
      </c>
      <c r="G1300">
        <v>2</v>
      </c>
      <c r="J1300" t="s">
        <v>15</v>
      </c>
      <c r="K1300">
        <v>2</v>
      </c>
      <c r="L1300">
        <v>2.35</v>
      </c>
      <c r="M1300">
        <v>0</v>
      </c>
      <c r="N1300" t="s">
        <v>10019</v>
      </c>
      <c r="O1300" t="str">
        <f>HYPERLINK("2\0\marker_103_363063.png", "Ver Imagen")</f>
        <v>Ver Imagen</v>
      </c>
      <c r="P1300" t="str">
        <f>HYPERLINK("SE\A-497_2C\A-497_2C__415.png", "Ver Imagen")</f>
        <v>Ver Imagen</v>
      </c>
    </row>
    <row r="1301" spans="1:16" x14ac:dyDescent="0.25">
      <c r="A1301">
        <v>730</v>
      </c>
      <c r="B1301" t="s">
        <v>1472</v>
      </c>
      <c r="C1301">
        <v>37.226833429000003</v>
      </c>
      <c r="D1301">
        <v>-7.0228176812300003</v>
      </c>
      <c r="E1301">
        <v>2</v>
      </c>
      <c r="F1301">
        <v>2</v>
      </c>
      <c r="G1301">
        <v>2</v>
      </c>
      <c r="J1301" t="s">
        <v>15</v>
      </c>
      <c r="K1301">
        <v>2</v>
      </c>
      <c r="L1301">
        <v>2.073</v>
      </c>
      <c r="M1301">
        <v>0</v>
      </c>
      <c r="N1301" t="s">
        <v>10019</v>
      </c>
      <c r="O1301" t="str">
        <f>HYPERLINK("2\0\marker_186_363085.png", "Ver Imagen")</f>
        <v>Ver Imagen</v>
      </c>
      <c r="P1301" t="str">
        <f>HYPERLINK("SE\A-497_2C\A-497_2C__417.png", "Ver Imagen")</f>
        <v>Ver Imagen</v>
      </c>
    </row>
    <row r="1302" spans="1:16" x14ac:dyDescent="0.25">
      <c r="A1302">
        <v>732</v>
      </c>
      <c r="B1302" t="s">
        <v>1476</v>
      </c>
      <c r="C1302">
        <v>37.214779391699999</v>
      </c>
      <c r="D1302">
        <v>-7.0234509033399997</v>
      </c>
      <c r="E1302">
        <v>2</v>
      </c>
      <c r="F1302">
        <v>2</v>
      </c>
      <c r="G1302">
        <v>2</v>
      </c>
      <c r="J1302" t="s">
        <v>15</v>
      </c>
      <c r="K1302">
        <v>2</v>
      </c>
      <c r="L1302">
        <v>2.2010000000000001</v>
      </c>
      <c r="M1302">
        <v>0</v>
      </c>
      <c r="N1302" t="s">
        <v>10019</v>
      </c>
      <c r="O1302" t="str">
        <f>HYPERLINK("2\0\marker_275_376286.png", "Ver Imagen")</f>
        <v>Ver Imagen</v>
      </c>
      <c r="P1302" t="str">
        <f>HYPERLINK("SE\A-497\A-497__482.png", "Ver Imagen")</f>
        <v>Ver Imagen</v>
      </c>
    </row>
    <row r="1303" spans="1:16" x14ac:dyDescent="0.25">
      <c r="A1303">
        <v>733</v>
      </c>
      <c r="B1303" t="s">
        <v>1478</v>
      </c>
      <c r="C1303">
        <v>37.225463966</v>
      </c>
      <c r="D1303">
        <v>-7.0233332433399998</v>
      </c>
      <c r="E1303">
        <v>2</v>
      </c>
      <c r="F1303">
        <v>2</v>
      </c>
      <c r="G1303">
        <v>2</v>
      </c>
      <c r="J1303" t="s">
        <v>15</v>
      </c>
      <c r="K1303">
        <v>2</v>
      </c>
      <c r="L1303">
        <v>2.4540000000000002</v>
      </c>
      <c r="M1303">
        <v>0</v>
      </c>
      <c r="N1303" t="s">
        <v>10019</v>
      </c>
      <c r="O1303" t="str">
        <f>HYPERLINK("2\0\marker_455_363152.png", "Ver Imagen")</f>
        <v>Ver Imagen</v>
      </c>
      <c r="P1303" t="str">
        <f>HYPERLINK("SE\A-497_2C\A-497_2C__424.png", "Ver Imagen")</f>
        <v>Ver Imagen</v>
      </c>
    </row>
    <row r="1304" spans="1:16" x14ac:dyDescent="0.25">
      <c r="A1304">
        <v>734</v>
      </c>
      <c r="B1304" t="s">
        <v>1480</v>
      </c>
      <c r="C1304">
        <v>37.2157416497</v>
      </c>
      <c r="D1304">
        <v>-7.0232772365700002</v>
      </c>
      <c r="E1304">
        <v>2</v>
      </c>
      <c r="F1304">
        <v>2</v>
      </c>
      <c r="G1304">
        <v>2</v>
      </c>
      <c r="J1304" t="s">
        <v>15</v>
      </c>
      <c r="K1304">
        <v>2</v>
      </c>
      <c r="L1304">
        <v>1.7589999999999999</v>
      </c>
      <c r="M1304">
        <v>0</v>
      </c>
      <c r="N1304" t="s">
        <v>10019</v>
      </c>
      <c r="O1304" t="str">
        <f>HYPERLINK("2\0\marker_294_376349.png", "Ver Imagen")</f>
        <v>Ver Imagen</v>
      </c>
      <c r="P1304" t="str">
        <f>HYPERLINK("SE\A-497\A-497__477.png", "Ver Imagen")</f>
        <v>Ver Imagen</v>
      </c>
    </row>
    <row r="1305" spans="1:16" x14ac:dyDescent="0.25">
      <c r="A1305">
        <v>735</v>
      </c>
      <c r="B1305" t="s">
        <v>1482</v>
      </c>
      <c r="C1305">
        <v>37.223693546500002</v>
      </c>
      <c r="D1305">
        <v>-7.0233127185299997</v>
      </c>
      <c r="E1305">
        <v>2</v>
      </c>
      <c r="F1305">
        <v>2</v>
      </c>
      <c r="G1305">
        <v>2</v>
      </c>
      <c r="J1305" t="s">
        <v>15</v>
      </c>
      <c r="K1305">
        <v>2</v>
      </c>
      <c r="L1305">
        <v>2.1869999999999998</v>
      </c>
      <c r="M1305">
        <v>0</v>
      </c>
      <c r="N1305" t="s">
        <v>10019</v>
      </c>
      <c r="O1305" t="str">
        <f>HYPERLINK("2\0\marker_816_363232.png", "Ver Imagen")</f>
        <v>Ver Imagen</v>
      </c>
      <c r="P1305" t="str">
        <f>HYPERLINK("SE\A-497_2C\A-497_2C__433.png", "Ver Imagen")</f>
        <v>Ver Imagen</v>
      </c>
    </row>
    <row r="1306" spans="1:16" x14ac:dyDescent="0.25">
      <c r="A1306">
        <v>736</v>
      </c>
      <c r="B1306" t="s">
        <v>1484</v>
      </c>
      <c r="C1306">
        <v>37.2234922353</v>
      </c>
      <c r="D1306">
        <v>-7.0232936776899999</v>
      </c>
      <c r="E1306">
        <v>2</v>
      </c>
      <c r="F1306">
        <v>2</v>
      </c>
      <c r="G1306">
        <v>2</v>
      </c>
      <c r="J1306" t="s">
        <v>15</v>
      </c>
      <c r="K1306">
        <v>2</v>
      </c>
      <c r="L1306">
        <v>1.7589999999999999</v>
      </c>
      <c r="M1306">
        <v>0</v>
      </c>
      <c r="N1306" t="s">
        <v>10019</v>
      </c>
      <c r="O1306" t="str">
        <f>HYPERLINK("2\0\marker_501_363243.png", "Ver Imagen")</f>
        <v>Ver Imagen</v>
      </c>
      <c r="P1306" t="str">
        <f>HYPERLINK("SE\A-497_2C\A-497_2C__434.png", "Ver Imagen")</f>
        <v>Ver Imagen</v>
      </c>
    </row>
    <row r="1307" spans="1:16" x14ac:dyDescent="0.25">
      <c r="A1307">
        <v>737</v>
      </c>
      <c r="B1307" t="s">
        <v>1486</v>
      </c>
      <c r="C1307">
        <v>37.218362234600001</v>
      </c>
      <c r="D1307">
        <v>-7.0228307964700001</v>
      </c>
      <c r="E1307">
        <v>2</v>
      </c>
      <c r="F1307">
        <v>2</v>
      </c>
      <c r="G1307">
        <v>2</v>
      </c>
      <c r="J1307" t="s">
        <v>15</v>
      </c>
      <c r="K1307">
        <v>2</v>
      </c>
      <c r="L1307">
        <v>1.7310000000000001</v>
      </c>
      <c r="M1307">
        <v>0</v>
      </c>
      <c r="N1307" t="s">
        <v>10019</v>
      </c>
      <c r="O1307" t="str">
        <f>HYPERLINK("2\0\marker_516_376531.png", "Ver Imagen")</f>
        <v>Ver Imagen</v>
      </c>
      <c r="P1307" t="str">
        <f>HYPERLINK("SE\A-497\A-497__464.png", "Ver Imagen")</f>
        <v>Ver Imagen</v>
      </c>
    </row>
    <row r="1308" spans="1:16" x14ac:dyDescent="0.25">
      <c r="A1308">
        <v>738</v>
      </c>
      <c r="B1308" t="s">
        <v>1488</v>
      </c>
      <c r="C1308">
        <v>37.218569537199997</v>
      </c>
      <c r="D1308">
        <v>-7.0228084448999999</v>
      </c>
      <c r="E1308">
        <v>2</v>
      </c>
      <c r="F1308">
        <v>2</v>
      </c>
      <c r="G1308">
        <v>2</v>
      </c>
      <c r="J1308" t="s">
        <v>15</v>
      </c>
      <c r="K1308">
        <v>2</v>
      </c>
      <c r="L1308">
        <v>2.0640000000000001</v>
      </c>
      <c r="M1308">
        <v>0</v>
      </c>
      <c r="N1308" t="s">
        <v>10019</v>
      </c>
      <c r="O1308" t="str">
        <f>HYPERLINK("2\0\marker_465_376540.png", "Ver Imagen")</f>
        <v>Ver Imagen</v>
      </c>
      <c r="P1308" t="str">
        <f>HYPERLINK("SE\A-497\A-497__463.png", "Ver Imagen")</f>
        <v>Ver Imagen</v>
      </c>
    </row>
    <row r="1309" spans="1:16" x14ac:dyDescent="0.25">
      <c r="A1309">
        <v>739</v>
      </c>
      <c r="B1309" t="s">
        <v>1490</v>
      </c>
      <c r="C1309">
        <v>37.218764876400002</v>
      </c>
      <c r="D1309">
        <v>-7.0227909707</v>
      </c>
      <c r="E1309">
        <v>2</v>
      </c>
      <c r="F1309">
        <v>2</v>
      </c>
      <c r="G1309">
        <v>2</v>
      </c>
      <c r="J1309" t="s">
        <v>15</v>
      </c>
      <c r="K1309">
        <v>2</v>
      </c>
      <c r="L1309">
        <v>2.0979999999999999</v>
      </c>
      <c r="M1309">
        <v>0</v>
      </c>
      <c r="N1309" t="s">
        <v>10019</v>
      </c>
      <c r="O1309" t="str">
        <f>HYPERLINK("2\0\marker_656_376549.png", "Ver Imagen")</f>
        <v>Ver Imagen</v>
      </c>
      <c r="P1309" t="str">
        <f>HYPERLINK("SE\A-497\A-497__462.png", "Ver Imagen")</f>
        <v>Ver Imagen</v>
      </c>
    </row>
    <row r="1310" spans="1:16" x14ac:dyDescent="0.25">
      <c r="A1310">
        <v>740</v>
      </c>
      <c r="B1310" t="s">
        <v>1492</v>
      </c>
      <c r="C1310">
        <v>37.2191421092</v>
      </c>
      <c r="D1310">
        <v>-7.0227699766100002</v>
      </c>
      <c r="E1310">
        <v>2</v>
      </c>
      <c r="F1310">
        <v>2</v>
      </c>
      <c r="G1310">
        <v>2</v>
      </c>
      <c r="J1310" t="s">
        <v>15</v>
      </c>
      <c r="K1310">
        <v>2</v>
      </c>
      <c r="L1310">
        <v>1.875</v>
      </c>
      <c r="M1310">
        <v>0</v>
      </c>
      <c r="N1310" t="s">
        <v>10019</v>
      </c>
      <c r="O1310" t="str">
        <f>HYPERLINK("2\0\marker_806_376567.png", "Ver Imagen")</f>
        <v>Ver Imagen</v>
      </c>
      <c r="P1310" t="str">
        <f>HYPERLINK("SE\A-497\A-497__460.png", "Ver Imagen")</f>
        <v>Ver Imagen</v>
      </c>
    </row>
    <row r="1311" spans="1:16" x14ac:dyDescent="0.25">
      <c r="A1311">
        <v>743</v>
      </c>
      <c r="B1311" t="s">
        <v>1498</v>
      </c>
      <c r="C1311">
        <v>37.220611689800002</v>
      </c>
      <c r="D1311">
        <v>-7.0228332067399997</v>
      </c>
      <c r="E1311">
        <v>2</v>
      </c>
      <c r="F1311">
        <v>2</v>
      </c>
      <c r="G1311">
        <v>2</v>
      </c>
      <c r="J1311" t="s">
        <v>15</v>
      </c>
      <c r="K1311">
        <v>2</v>
      </c>
      <c r="L1311">
        <v>2.3279999999999998</v>
      </c>
      <c r="M1311">
        <v>0</v>
      </c>
      <c r="N1311" t="s">
        <v>10017</v>
      </c>
      <c r="O1311" t="str">
        <f>HYPERLINK("2\0\marker_506_376657.png", "Ver Imagen")</f>
        <v>Ver Imagen</v>
      </c>
      <c r="P1311" t="str">
        <f>HYPERLINK("SE\A-497\A-497__453.png", "Ver Imagen")</f>
        <v>Ver Imagen</v>
      </c>
    </row>
    <row r="1312" spans="1:16" x14ac:dyDescent="0.25">
      <c r="A1312">
        <v>744</v>
      </c>
      <c r="B1312" t="s">
        <v>1500</v>
      </c>
      <c r="C1312">
        <v>37.208704508499999</v>
      </c>
      <c r="D1312">
        <v>-7.02305545801</v>
      </c>
      <c r="E1312">
        <v>2</v>
      </c>
      <c r="F1312">
        <v>2</v>
      </c>
      <c r="G1312">
        <v>2</v>
      </c>
      <c r="J1312" t="s">
        <v>15</v>
      </c>
      <c r="K1312">
        <v>2</v>
      </c>
      <c r="L1312">
        <v>1.6240000000000001</v>
      </c>
      <c r="M1312">
        <v>0</v>
      </c>
      <c r="N1312" t="s">
        <v>10019</v>
      </c>
      <c r="O1312" t="str">
        <f>HYPERLINK("2\0\marker_493_364138.png", "Ver Imagen")</f>
        <v>Ver Imagen</v>
      </c>
      <c r="P1312" t="str">
        <f>HYPERLINK("SE\A-497_2C\A-497_2C__508.png", "Ver Imagen")</f>
        <v>Ver Imagen</v>
      </c>
    </row>
    <row r="1313" spans="1:16" x14ac:dyDescent="0.25">
      <c r="A1313">
        <v>745</v>
      </c>
      <c r="B1313" t="s">
        <v>1502</v>
      </c>
      <c r="C1313">
        <v>37.2066713444</v>
      </c>
      <c r="D1313">
        <v>-7.0209422468499998</v>
      </c>
      <c r="E1313">
        <v>2</v>
      </c>
      <c r="F1313">
        <v>2</v>
      </c>
      <c r="G1313">
        <v>2</v>
      </c>
      <c r="J1313" t="s">
        <v>15</v>
      </c>
      <c r="K1313">
        <v>2</v>
      </c>
      <c r="L1313">
        <v>2.1480000000000001</v>
      </c>
      <c r="M1313">
        <v>0</v>
      </c>
      <c r="N1313" t="s">
        <v>10019</v>
      </c>
      <c r="O1313" t="str">
        <f>HYPERLINK("2\0\marker_238_364285.png", "Ver Imagen")</f>
        <v>Ver Imagen</v>
      </c>
      <c r="P1313" t="str">
        <f>HYPERLINK("SE\A-497_2C\A-497_2C__521.png", "Ver Imagen")</f>
        <v>Ver Imagen</v>
      </c>
    </row>
    <row r="1314" spans="1:16" x14ac:dyDescent="0.25">
      <c r="A1314">
        <v>746</v>
      </c>
      <c r="B1314" t="s">
        <v>1504</v>
      </c>
      <c r="C1314">
        <v>37.206190221699998</v>
      </c>
      <c r="D1314">
        <v>-7.0200890094000004</v>
      </c>
      <c r="E1314">
        <v>2</v>
      </c>
      <c r="F1314">
        <v>2</v>
      </c>
      <c r="G1314">
        <v>2</v>
      </c>
      <c r="J1314" t="s">
        <v>15</v>
      </c>
      <c r="K1314">
        <v>2</v>
      </c>
      <c r="L1314">
        <v>1.974</v>
      </c>
      <c r="M1314">
        <v>0</v>
      </c>
      <c r="N1314" t="s">
        <v>10019</v>
      </c>
      <c r="O1314" t="str">
        <f>HYPERLINK("2\0\marker_315_364390.png", "Ver Imagen")</f>
        <v>Ver Imagen</v>
      </c>
      <c r="P1314" t="str">
        <f>HYPERLINK("SE\A-497_2C\A-497_2C__525.png", "Ver Imagen")</f>
        <v>Ver Imagen</v>
      </c>
    </row>
    <row r="1315" spans="1:16" x14ac:dyDescent="0.25">
      <c r="A1315">
        <v>747</v>
      </c>
      <c r="B1315" t="s">
        <v>1506</v>
      </c>
      <c r="C1315">
        <v>37.206089222800003</v>
      </c>
      <c r="D1315">
        <v>-7.0198779659800001</v>
      </c>
      <c r="E1315">
        <v>2</v>
      </c>
      <c r="F1315">
        <v>2</v>
      </c>
      <c r="G1315">
        <v>2</v>
      </c>
      <c r="J1315" t="s">
        <v>15</v>
      </c>
      <c r="K1315">
        <v>2</v>
      </c>
      <c r="L1315">
        <v>1.996</v>
      </c>
      <c r="M1315">
        <v>0</v>
      </c>
      <c r="N1315" t="s">
        <v>10019</v>
      </c>
      <c r="O1315" t="str">
        <f>HYPERLINK("2\0\marker_691_364398.png", "Ver Imagen")</f>
        <v>Ver Imagen</v>
      </c>
      <c r="P1315" t="str">
        <f>HYPERLINK("SE\A-497_2C\A-497_2C__526.png", "Ver Imagen")</f>
        <v>Ver Imagen</v>
      </c>
    </row>
    <row r="1316" spans="1:16" x14ac:dyDescent="0.25">
      <c r="A1316">
        <v>748</v>
      </c>
      <c r="B1316" t="s">
        <v>1508</v>
      </c>
      <c r="C1316">
        <v>37.205908801200003</v>
      </c>
      <c r="D1316">
        <v>-7.0194618430200002</v>
      </c>
      <c r="E1316">
        <v>2</v>
      </c>
      <c r="F1316">
        <v>2</v>
      </c>
      <c r="G1316">
        <v>2</v>
      </c>
      <c r="J1316" t="s">
        <v>15</v>
      </c>
      <c r="K1316">
        <v>2</v>
      </c>
      <c r="L1316">
        <v>2.2490000000000001</v>
      </c>
      <c r="M1316">
        <v>0</v>
      </c>
      <c r="N1316" t="s">
        <v>10019</v>
      </c>
      <c r="O1316" t="str">
        <f>HYPERLINK("2\0\marker_311_364417.png", "Ver Imagen")</f>
        <v>Ver Imagen</v>
      </c>
      <c r="P1316" t="str">
        <f>HYPERLINK("SE\A-497_2C\A-497_2C__528.png", "Ver Imagen")</f>
        <v>Ver Imagen</v>
      </c>
    </row>
    <row r="1317" spans="1:16" x14ac:dyDescent="0.25">
      <c r="A1317">
        <v>749</v>
      </c>
      <c r="B1317" t="s">
        <v>1510</v>
      </c>
      <c r="C1317">
        <v>37.205825917299997</v>
      </c>
      <c r="D1317">
        <v>-7.0192525665199996</v>
      </c>
      <c r="E1317">
        <v>2</v>
      </c>
      <c r="F1317">
        <v>2</v>
      </c>
      <c r="G1317">
        <v>2</v>
      </c>
      <c r="J1317" t="s">
        <v>15</v>
      </c>
      <c r="K1317">
        <v>2</v>
      </c>
      <c r="L1317">
        <v>2.1589999999999998</v>
      </c>
      <c r="M1317">
        <v>0</v>
      </c>
      <c r="N1317" t="s">
        <v>10019</v>
      </c>
      <c r="O1317" t="str">
        <f>HYPERLINK("2\0\marker_753_364425.png", "Ver Imagen")</f>
        <v>Ver Imagen</v>
      </c>
      <c r="P1317" t="str">
        <f>HYPERLINK("SE\A-497_2C\A-497_2C__529.png", "Ver Imagen")</f>
        <v>Ver Imagen</v>
      </c>
    </row>
    <row r="1318" spans="1:16" x14ac:dyDescent="0.25">
      <c r="A1318">
        <v>750</v>
      </c>
      <c r="B1318" t="s">
        <v>1512</v>
      </c>
      <c r="C1318">
        <v>37.205567137800003</v>
      </c>
      <c r="D1318">
        <v>-7.0185110586999997</v>
      </c>
      <c r="E1318">
        <v>2</v>
      </c>
      <c r="F1318">
        <v>2</v>
      </c>
      <c r="G1318">
        <v>2</v>
      </c>
      <c r="J1318" t="s">
        <v>15</v>
      </c>
      <c r="K1318">
        <v>2</v>
      </c>
      <c r="L1318">
        <v>1.9279999999999999</v>
      </c>
      <c r="M1318">
        <v>0</v>
      </c>
      <c r="N1318" t="s">
        <v>10019</v>
      </c>
      <c r="O1318" t="str">
        <f>HYPERLINK("2\0\marker_523_364452.png", "Ver Imagen")</f>
        <v>Ver Imagen</v>
      </c>
      <c r="P1318" t="str">
        <f>HYPERLINK("SE\A-497_2C\A-497_2C__532.png", "Ver Imagen")</f>
        <v>Ver Imagen</v>
      </c>
    </row>
    <row r="1319" spans="1:16" x14ac:dyDescent="0.25">
      <c r="A1319">
        <v>751</v>
      </c>
      <c r="B1319" t="s">
        <v>1514</v>
      </c>
      <c r="C1319">
        <v>37.205483017200002</v>
      </c>
      <c r="D1319">
        <v>-7.0182418072299999</v>
      </c>
      <c r="E1319">
        <v>2</v>
      </c>
      <c r="F1319">
        <v>2</v>
      </c>
      <c r="G1319">
        <v>2</v>
      </c>
      <c r="J1319" t="s">
        <v>15</v>
      </c>
      <c r="K1319">
        <v>2</v>
      </c>
      <c r="L1319">
        <v>2.0129999999999999</v>
      </c>
      <c r="M1319">
        <v>0</v>
      </c>
      <c r="N1319" t="s">
        <v>10017</v>
      </c>
      <c r="O1319" t="str">
        <f>HYPERLINK("2\0\marker_576_364464.png", "Ver Imagen")</f>
        <v>Ver Imagen</v>
      </c>
      <c r="P1319" t="str">
        <f>HYPERLINK("SE\A-497_2C\A-497_2C__533.png", "Ver Imagen")</f>
        <v>Ver Imagen</v>
      </c>
    </row>
    <row r="1320" spans="1:16" x14ac:dyDescent="0.25">
      <c r="A1320">
        <v>752</v>
      </c>
      <c r="B1320" t="s">
        <v>1516</v>
      </c>
      <c r="C1320">
        <v>37.201816340500002</v>
      </c>
      <c r="D1320">
        <v>-6.9953353541299998</v>
      </c>
      <c r="E1320">
        <v>2</v>
      </c>
      <c r="F1320">
        <v>2</v>
      </c>
      <c r="G1320">
        <v>2</v>
      </c>
      <c r="J1320" t="s">
        <v>15</v>
      </c>
      <c r="K1320">
        <v>2</v>
      </c>
      <c r="L1320">
        <v>2.0720000000000001</v>
      </c>
      <c r="M1320">
        <v>0</v>
      </c>
      <c r="N1320" t="s">
        <v>10017</v>
      </c>
      <c r="O1320" t="str">
        <f>HYPERLINK("2\0\marker_276_367043.png", "Ver Imagen")</f>
        <v>Ver Imagen</v>
      </c>
      <c r="P1320" t="str">
        <f>HYPERLINK("SE\A-497_2C\A-497_2C__626.png", "Ver Imagen")</f>
        <v>Ver Imagen</v>
      </c>
    </row>
    <row r="1321" spans="1:16" x14ac:dyDescent="0.25">
      <c r="A1321">
        <v>753</v>
      </c>
      <c r="B1321" t="s">
        <v>1518</v>
      </c>
      <c r="C1321">
        <v>37.2017781021</v>
      </c>
      <c r="D1321">
        <v>-6.99510254535</v>
      </c>
      <c r="E1321">
        <v>2</v>
      </c>
      <c r="F1321">
        <v>2</v>
      </c>
      <c r="G1321">
        <v>2</v>
      </c>
      <c r="J1321" t="s">
        <v>15</v>
      </c>
      <c r="K1321">
        <v>2</v>
      </c>
      <c r="L1321">
        <v>2.0110000000000001</v>
      </c>
      <c r="M1321">
        <v>0</v>
      </c>
      <c r="N1321" t="s">
        <v>10019</v>
      </c>
      <c r="O1321" t="str">
        <f>HYPERLINK("2\0\marker_745_367052.png", "Ver Imagen")</f>
        <v>Ver Imagen</v>
      </c>
      <c r="P1321" t="str">
        <f>HYPERLINK("SE\A-497_2C\A-497_2C__627.png", "Ver Imagen")</f>
        <v>Ver Imagen</v>
      </c>
    </row>
    <row r="1322" spans="1:16" x14ac:dyDescent="0.25">
      <c r="A1322">
        <v>754</v>
      </c>
      <c r="B1322" t="s">
        <v>1520</v>
      </c>
      <c r="C1322">
        <v>37.201735275799997</v>
      </c>
      <c r="D1322">
        <v>-6.9948488264000002</v>
      </c>
      <c r="E1322">
        <v>2</v>
      </c>
      <c r="F1322">
        <v>2</v>
      </c>
      <c r="G1322">
        <v>2</v>
      </c>
      <c r="J1322" t="s">
        <v>15</v>
      </c>
      <c r="K1322">
        <v>2</v>
      </c>
      <c r="L1322">
        <v>1.9219999999999999</v>
      </c>
      <c r="M1322">
        <v>0</v>
      </c>
      <c r="N1322" t="s">
        <v>10019</v>
      </c>
      <c r="O1322" t="str">
        <f>HYPERLINK("2\0\marker_521_367063.png", "Ver Imagen")</f>
        <v>Ver Imagen</v>
      </c>
      <c r="P1322" t="str">
        <f>HYPERLINK("SE\A-497_2C\A-497_2C__628.png", "Ver Imagen")</f>
        <v>Ver Imagen</v>
      </c>
    </row>
    <row r="1323" spans="1:16" x14ac:dyDescent="0.25">
      <c r="A1323">
        <v>756</v>
      </c>
      <c r="B1323" t="s">
        <v>1524</v>
      </c>
      <c r="C1323">
        <v>37.201650326200003</v>
      </c>
      <c r="D1323">
        <v>-6.9943657744900003</v>
      </c>
      <c r="E1323">
        <v>2</v>
      </c>
      <c r="F1323">
        <v>2</v>
      </c>
      <c r="G1323">
        <v>2</v>
      </c>
      <c r="J1323" t="s">
        <v>15</v>
      </c>
      <c r="K1323">
        <v>2</v>
      </c>
      <c r="L1323">
        <v>2.1749999999999998</v>
      </c>
      <c r="M1323">
        <v>0</v>
      </c>
      <c r="N1323" t="s">
        <v>10019</v>
      </c>
      <c r="O1323" t="str">
        <f>HYPERLINK("2\0\marker_894_367082.png", "Ver Imagen")</f>
        <v>Ver Imagen</v>
      </c>
      <c r="P1323" t="str">
        <f>HYPERLINK("SE\A-497_2C\A-497_2C__630.png", "Ver Imagen")</f>
        <v>Ver Imagen</v>
      </c>
    </row>
    <row r="1324" spans="1:16" x14ac:dyDescent="0.25">
      <c r="A1324">
        <v>757</v>
      </c>
      <c r="B1324" t="s">
        <v>1526</v>
      </c>
      <c r="C1324">
        <v>37.201604042200003</v>
      </c>
      <c r="D1324">
        <v>-6.9941025396200001</v>
      </c>
      <c r="E1324">
        <v>2</v>
      </c>
      <c r="F1324">
        <v>2</v>
      </c>
      <c r="G1324">
        <v>2</v>
      </c>
      <c r="J1324" t="s">
        <v>15</v>
      </c>
      <c r="K1324">
        <v>2</v>
      </c>
      <c r="L1324">
        <v>2.3260000000000001</v>
      </c>
      <c r="M1324">
        <v>0</v>
      </c>
      <c r="N1324" t="s">
        <v>10019</v>
      </c>
      <c r="O1324" t="str">
        <f>HYPERLINK("2\0\marker_472_367093.png", "Ver Imagen")</f>
        <v>Ver Imagen</v>
      </c>
      <c r="P1324" t="str">
        <f>HYPERLINK("SE\A-497_2C\A-497_2C__631.png", "Ver Imagen")</f>
        <v>Ver Imagen</v>
      </c>
    </row>
    <row r="1325" spans="1:16" x14ac:dyDescent="0.25">
      <c r="A1325">
        <v>758</v>
      </c>
      <c r="B1325" t="s">
        <v>1528</v>
      </c>
      <c r="C1325">
        <v>37.201561800900002</v>
      </c>
      <c r="D1325">
        <v>-6.9938573975900002</v>
      </c>
      <c r="E1325">
        <v>2</v>
      </c>
      <c r="F1325">
        <v>2</v>
      </c>
      <c r="G1325">
        <v>2</v>
      </c>
      <c r="J1325" t="s">
        <v>15</v>
      </c>
      <c r="K1325">
        <v>2</v>
      </c>
      <c r="L1325">
        <v>2.0249999999999999</v>
      </c>
      <c r="M1325">
        <v>0</v>
      </c>
      <c r="N1325" t="s">
        <v>10019</v>
      </c>
      <c r="O1325" t="str">
        <f>HYPERLINK("2\0\marker_659_367102.png", "Ver Imagen")</f>
        <v>Ver Imagen</v>
      </c>
      <c r="P1325" t="str">
        <f>HYPERLINK("SE\A-497_2C\A-497_2C__632.png", "Ver Imagen")</f>
        <v>Ver Imagen</v>
      </c>
    </row>
    <row r="1326" spans="1:16" x14ac:dyDescent="0.25">
      <c r="A1326">
        <v>759</v>
      </c>
      <c r="B1326" t="s">
        <v>1530</v>
      </c>
      <c r="C1326">
        <v>37.201523152699998</v>
      </c>
      <c r="D1326">
        <v>-6.9936359508099999</v>
      </c>
      <c r="E1326">
        <v>2</v>
      </c>
      <c r="F1326">
        <v>2</v>
      </c>
      <c r="G1326">
        <v>2</v>
      </c>
      <c r="J1326" t="s">
        <v>15</v>
      </c>
      <c r="K1326">
        <v>2</v>
      </c>
      <c r="L1326">
        <v>2.2810000000000001</v>
      </c>
      <c r="M1326">
        <v>0</v>
      </c>
      <c r="N1326" t="s">
        <v>10019</v>
      </c>
      <c r="O1326" t="str">
        <f>HYPERLINK("2\0\marker_237_367111.png", "Ver Imagen")</f>
        <v>Ver Imagen</v>
      </c>
      <c r="P1326" t="str">
        <f>HYPERLINK("SE\A-497_2C\A-497_2C__633.png", "Ver Imagen")</f>
        <v>Ver Imagen</v>
      </c>
    </row>
    <row r="1327" spans="1:16" x14ac:dyDescent="0.25">
      <c r="A1327">
        <v>760</v>
      </c>
      <c r="B1327" t="s">
        <v>1532</v>
      </c>
      <c r="C1327">
        <v>37.201470475800001</v>
      </c>
      <c r="D1327">
        <v>-6.9933419881100001</v>
      </c>
      <c r="E1327">
        <v>2</v>
      </c>
      <c r="F1327">
        <v>2</v>
      </c>
      <c r="G1327">
        <v>2</v>
      </c>
      <c r="J1327" t="s">
        <v>15</v>
      </c>
      <c r="K1327">
        <v>2</v>
      </c>
      <c r="L1327">
        <v>2.129</v>
      </c>
      <c r="M1327">
        <v>0</v>
      </c>
      <c r="N1327" t="s">
        <v>10019</v>
      </c>
      <c r="O1327" t="str">
        <f>HYPERLINK("2\0\marker_226_367120.png", "Ver Imagen")</f>
        <v>Ver Imagen</v>
      </c>
      <c r="P1327" t="str">
        <f>HYPERLINK("SE\A-497_2C\A-497_2C__634.png", "Ver Imagen")</f>
        <v>Ver Imagen</v>
      </c>
    </row>
    <row r="1328" spans="1:16" x14ac:dyDescent="0.25">
      <c r="A1328">
        <v>761</v>
      </c>
      <c r="B1328" t="s">
        <v>1534</v>
      </c>
      <c r="C1328">
        <v>37.201296215799999</v>
      </c>
      <c r="D1328">
        <v>-6.9924210699599998</v>
      </c>
      <c r="E1328">
        <v>2</v>
      </c>
      <c r="F1328">
        <v>2</v>
      </c>
      <c r="G1328">
        <v>2</v>
      </c>
      <c r="J1328" t="s">
        <v>15</v>
      </c>
      <c r="K1328">
        <v>2</v>
      </c>
      <c r="L1328">
        <v>1.8879999999999999</v>
      </c>
      <c r="M1328">
        <v>0</v>
      </c>
      <c r="N1328" t="s">
        <v>10019</v>
      </c>
      <c r="O1328" t="str">
        <f>HYPERLINK("2\0\marker_262_367160.png", "Ver Imagen")</f>
        <v>Ver Imagen</v>
      </c>
      <c r="P1328" t="str">
        <f>HYPERLINK("SE\A-497_2C\A-497_2C__638.png", "Ver Imagen")</f>
        <v>Ver Imagen</v>
      </c>
    </row>
    <row r="1329" spans="1:16" x14ac:dyDescent="0.25">
      <c r="A1329">
        <v>762</v>
      </c>
      <c r="B1329" t="s">
        <v>1536</v>
      </c>
      <c r="C1329">
        <v>37.201187695900003</v>
      </c>
      <c r="D1329">
        <v>-6.9918607141700004</v>
      </c>
      <c r="E1329">
        <v>2</v>
      </c>
      <c r="F1329">
        <v>2</v>
      </c>
      <c r="G1329">
        <v>2</v>
      </c>
      <c r="J1329" t="s">
        <v>15</v>
      </c>
      <c r="K1329">
        <v>2</v>
      </c>
      <c r="L1329">
        <v>1.9039999999999999</v>
      </c>
      <c r="M1329">
        <v>0</v>
      </c>
      <c r="N1329" t="s">
        <v>10019</v>
      </c>
      <c r="O1329" t="str">
        <f>HYPERLINK("2\0\marker_877_367177.png", "Ver Imagen")</f>
        <v>Ver Imagen</v>
      </c>
      <c r="P1329" t="str">
        <f>HYPERLINK("SE\A-497_2C\A-497_2C__640.png", "Ver Imagen")</f>
        <v>Ver Imagen</v>
      </c>
    </row>
    <row r="1330" spans="1:16" x14ac:dyDescent="0.25">
      <c r="A1330">
        <v>763</v>
      </c>
      <c r="B1330" t="s">
        <v>1538</v>
      </c>
      <c r="C1330">
        <v>37.201144558499998</v>
      </c>
      <c r="D1330">
        <v>-6.99163972818</v>
      </c>
      <c r="E1330">
        <v>2</v>
      </c>
      <c r="F1330">
        <v>2</v>
      </c>
      <c r="G1330">
        <v>2</v>
      </c>
      <c r="J1330" t="s">
        <v>15</v>
      </c>
      <c r="K1330">
        <v>2</v>
      </c>
      <c r="L1330">
        <v>2.069</v>
      </c>
      <c r="M1330">
        <v>0</v>
      </c>
      <c r="N1330" t="s">
        <v>10017</v>
      </c>
      <c r="O1330" t="str">
        <f>HYPERLINK("2\0\marker_818_367186.png", "Ver Imagen")</f>
        <v>Ver Imagen</v>
      </c>
      <c r="P1330" t="str">
        <f>HYPERLINK("SE\A-497_2C\A-497_2C__641.png", "Ver Imagen")</f>
        <v>Ver Imagen</v>
      </c>
    </row>
    <row r="1331" spans="1:16" x14ac:dyDescent="0.25">
      <c r="A1331">
        <v>764</v>
      </c>
      <c r="B1331" t="s">
        <v>1540</v>
      </c>
      <c r="C1331">
        <v>37.2010877405</v>
      </c>
      <c r="D1331">
        <v>-6.9913485514099998</v>
      </c>
      <c r="E1331">
        <v>2</v>
      </c>
      <c r="F1331">
        <v>2</v>
      </c>
      <c r="G1331">
        <v>2</v>
      </c>
      <c r="J1331" t="s">
        <v>15</v>
      </c>
      <c r="K1331">
        <v>2</v>
      </c>
      <c r="L1331">
        <v>2.1669999999999998</v>
      </c>
      <c r="M1331">
        <v>0</v>
      </c>
      <c r="N1331" t="s">
        <v>10018</v>
      </c>
      <c r="O1331" t="str">
        <f>HYPERLINK("2\0\marker_167_367195.png", "Ver Imagen")</f>
        <v>Ver Imagen</v>
      </c>
      <c r="P1331" t="str">
        <f>HYPERLINK("SE\A-497_2C\A-497_2C__642.png", "Ver Imagen")</f>
        <v>Ver Imagen</v>
      </c>
    </row>
    <row r="1332" spans="1:16" x14ac:dyDescent="0.25">
      <c r="A1332">
        <v>765</v>
      </c>
      <c r="B1332" t="s">
        <v>1542</v>
      </c>
      <c r="C1332">
        <v>37.2010532149</v>
      </c>
      <c r="D1332">
        <v>-6.9911712777000004</v>
      </c>
      <c r="E1332">
        <v>2</v>
      </c>
      <c r="F1332">
        <v>2</v>
      </c>
      <c r="G1332">
        <v>2</v>
      </c>
      <c r="J1332" t="s">
        <v>15</v>
      </c>
      <c r="K1332">
        <v>2</v>
      </c>
      <c r="L1332">
        <v>2.0169999999999999</v>
      </c>
      <c r="M1332">
        <v>0</v>
      </c>
      <c r="N1332" t="s">
        <v>10019</v>
      </c>
      <c r="O1332" t="str">
        <f>HYPERLINK("2\0\marker_329_367209.png", "Ver Imagen")</f>
        <v>Ver Imagen</v>
      </c>
      <c r="P1332" t="str">
        <f>HYPERLINK("SE\A-497_2C\A-497_2C__643.png", "Ver Imagen")</f>
        <v>Ver Imagen</v>
      </c>
    </row>
    <row r="1333" spans="1:16" x14ac:dyDescent="0.25">
      <c r="A1333">
        <v>766</v>
      </c>
      <c r="B1333" t="s">
        <v>1544</v>
      </c>
      <c r="C1333">
        <v>37.201000920799999</v>
      </c>
      <c r="D1333">
        <v>-6.9909068360499997</v>
      </c>
      <c r="E1333">
        <v>2</v>
      </c>
      <c r="F1333">
        <v>2</v>
      </c>
      <c r="G1333">
        <v>2</v>
      </c>
      <c r="J1333" t="s">
        <v>15</v>
      </c>
      <c r="K1333">
        <v>2</v>
      </c>
      <c r="L1333">
        <v>2.1800000000000002</v>
      </c>
      <c r="M1333">
        <v>0</v>
      </c>
      <c r="N1333" t="s">
        <v>10019</v>
      </c>
      <c r="O1333" t="str">
        <f>HYPERLINK("2\0\marker_922_367219.png", "Ver Imagen")</f>
        <v>Ver Imagen</v>
      </c>
      <c r="P1333" t="str">
        <f>HYPERLINK("SE\A-497_2C\A-497_2C__644.png", "Ver Imagen")</f>
        <v>Ver Imagen</v>
      </c>
    </row>
    <row r="1334" spans="1:16" x14ac:dyDescent="0.25">
      <c r="A1334">
        <v>767</v>
      </c>
      <c r="B1334" t="s">
        <v>1546</v>
      </c>
      <c r="C1334">
        <v>37.200894263999999</v>
      </c>
      <c r="D1334">
        <v>-6.99039195777</v>
      </c>
      <c r="E1334">
        <v>2</v>
      </c>
      <c r="F1334">
        <v>2</v>
      </c>
      <c r="G1334">
        <v>2</v>
      </c>
      <c r="J1334" t="s">
        <v>15</v>
      </c>
      <c r="K1334">
        <v>2</v>
      </c>
      <c r="L1334">
        <v>2.16</v>
      </c>
      <c r="M1334">
        <v>0</v>
      </c>
      <c r="N1334" t="s">
        <v>10019</v>
      </c>
      <c r="O1334" t="str">
        <f>HYPERLINK("2\0\marker_693_367239.png", "Ver Imagen")</f>
        <v>Ver Imagen</v>
      </c>
      <c r="P1334" t="str">
        <f>HYPERLINK("SE\A-497_2C\A-497_2C__646.png", "Ver Imagen")</f>
        <v>Ver Imagen</v>
      </c>
    </row>
    <row r="1335" spans="1:16" x14ac:dyDescent="0.25">
      <c r="A1335">
        <v>768</v>
      </c>
      <c r="B1335" t="s">
        <v>1548</v>
      </c>
      <c r="C1335">
        <v>37.200683253599998</v>
      </c>
      <c r="D1335">
        <v>-6.9894237881099999</v>
      </c>
      <c r="E1335">
        <v>2</v>
      </c>
      <c r="F1335">
        <v>2</v>
      </c>
      <c r="G1335">
        <v>2</v>
      </c>
      <c r="J1335" t="s">
        <v>15</v>
      </c>
      <c r="K1335">
        <v>2</v>
      </c>
      <c r="L1335">
        <v>1.9159999999999999</v>
      </c>
      <c r="M1335">
        <v>0</v>
      </c>
      <c r="N1335" t="s">
        <v>10019</v>
      </c>
      <c r="O1335" t="str">
        <f>HYPERLINK("2\0\marker_143_367278.png", "Ver Imagen")</f>
        <v>Ver Imagen</v>
      </c>
      <c r="P1335" t="str">
        <f>HYPERLINK("SE\A-497_2C\A-497_2C__650.png", "Ver Imagen")</f>
        <v>Ver Imagen</v>
      </c>
    </row>
    <row r="1336" spans="1:16" x14ac:dyDescent="0.25">
      <c r="A1336">
        <v>769</v>
      </c>
      <c r="B1336" t="s">
        <v>1550</v>
      </c>
      <c r="C1336">
        <v>37.200580149700002</v>
      </c>
      <c r="D1336">
        <v>-6.9889540660999998</v>
      </c>
      <c r="E1336">
        <v>2</v>
      </c>
      <c r="F1336">
        <v>2</v>
      </c>
      <c r="G1336">
        <v>2</v>
      </c>
      <c r="J1336" t="s">
        <v>15</v>
      </c>
      <c r="K1336">
        <v>2</v>
      </c>
      <c r="L1336">
        <v>1.9</v>
      </c>
      <c r="M1336">
        <v>0</v>
      </c>
      <c r="N1336" t="s">
        <v>10019</v>
      </c>
      <c r="O1336" t="str">
        <f>HYPERLINK("2\0\marker_549_367297.png", "Ver Imagen")</f>
        <v>Ver Imagen</v>
      </c>
      <c r="P1336" t="str">
        <f>HYPERLINK("SE\A-497_2C\A-497_2C__652.png", "Ver Imagen")</f>
        <v>Ver Imagen</v>
      </c>
    </row>
    <row r="1337" spans="1:16" x14ac:dyDescent="0.25">
      <c r="A1337">
        <v>770</v>
      </c>
      <c r="B1337" t="s">
        <v>1552</v>
      </c>
      <c r="C1337">
        <v>37.2005313636</v>
      </c>
      <c r="D1337">
        <v>-6.9887347383699998</v>
      </c>
      <c r="E1337">
        <v>2</v>
      </c>
      <c r="F1337">
        <v>2</v>
      </c>
      <c r="G1337">
        <v>2</v>
      </c>
      <c r="J1337" t="s">
        <v>15</v>
      </c>
      <c r="K1337">
        <v>2</v>
      </c>
      <c r="L1337">
        <v>1.8480000000000001</v>
      </c>
      <c r="M1337">
        <v>0</v>
      </c>
      <c r="N1337" t="s">
        <v>10019</v>
      </c>
      <c r="O1337" t="str">
        <f>HYPERLINK("2\0\marker_686_367307.png", "Ver Imagen")</f>
        <v>Ver Imagen</v>
      </c>
      <c r="P1337" t="str">
        <f>HYPERLINK("SE\A-497_2C\A-497_2C__653.png", "Ver Imagen")</f>
        <v>Ver Imagen</v>
      </c>
    </row>
    <row r="1338" spans="1:16" x14ac:dyDescent="0.25">
      <c r="A1338">
        <v>771</v>
      </c>
      <c r="B1338" t="s">
        <v>1554</v>
      </c>
      <c r="C1338">
        <v>37.200461608700003</v>
      </c>
      <c r="D1338">
        <v>-6.9884249093399999</v>
      </c>
      <c r="E1338">
        <v>2</v>
      </c>
      <c r="F1338">
        <v>2</v>
      </c>
      <c r="G1338">
        <v>2</v>
      </c>
      <c r="J1338" t="s">
        <v>15</v>
      </c>
      <c r="K1338">
        <v>2</v>
      </c>
      <c r="L1338">
        <v>2.0550000000000002</v>
      </c>
      <c r="M1338">
        <v>0</v>
      </c>
      <c r="N1338" t="s">
        <v>10019</v>
      </c>
      <c r="O1338" t="str">
        <f>HYPERLINK("2\0\marker_519_367318.png", "Ver Imagen")</f>
        <v>Ver Imagen</v>
      </c>
      <c r="P1338" t="str">
        <f>HYPERLINK("SE\A-497_2C\A-497_2C__654.png", "Ver Imagen")</f>
        <v>Ver Imagen</v>
      </c>
    </row>
    <row r="1339" spans="1:16" x14ac:dyDescent="0.25">
      <c r="A1339">
        <v>772</v>
      </c>
      <c r="B1339" t="s">
        <v>1556</v>
      </c>
      <c r="C1339">
        <v>37.200416101000002</v>
      </c>
      <c r="D1339">
        <v>-6.9882246908100001</v>
      </c>
      <c r="E1339">
        <v>2</v>
      </c>
      <c r="F1339">
        <v>2</v>
      </c>
      <c r="G1339">
        <v>2</v>
      </c>
      <c r="J1339" t="s">
        <v>15</v>
      </c>
      <c r="K1339">
        <v>2</v>
      </c>
      <c r="L1339">
        <v>2.1160000000000001</v>
      </c>
      <c r="M1339">
        <v>0</v>
      </c>
      <c r="N1339" t="s">
        <v>10019</v>
      </c>
      <c r="O1339" t="str">
        <f>HYPERLINK("2\0\marker_110_367334.png", "Ver Imagen")</f>
        <v>Ver Imagen</v>
      </c>
      <c r="P1339" t="str">
        <f>HYPERLINK("SE\A-497_2C\A-497_2C__655.png", "Ver Imagen")</f>
        <v>Ver Imagen</v>
      </c>
    </row>
    <row r="1340" spans="1:16" x14ac:dyDescent="0.25">
      <c r="A1340">
        <v>773</v>
      </c>
      <c r="B1340" t="s">
        <v>1558</v>
      </c>
      <c r="C1340">
        <v>37.200362487699998</v>
      </c>
      <c r="D1340">
        <v>-6.9879904747300001</v>
      </c>
      <c r="E1340">
        <v>2</v>
      </c>
      <c r="F1340">
        <v>2</v>
      </c>
      <c r="G1340">
        <v>2</v>
      </c>
      <c r="J1340" t="s">
        <v>15</v>
      </c>
      <c r="K1340">
        <v>2</v>
      </c>
      <c r="L1340">
        <v>2.0179999999999998</v>
      </c>
      <c r="M1340">
        <v>0</v>
      </c>
      <c r="N1340" t="s">
        <v>10019</v>
      </c>
      <c r="O1340" t="str">
        <f>HYPERLINK("2\0\marker_978_367344.png", "Ver Imagen")</f>
        <v>Ver Imagen</v>
      </c>
      <c r="P1340" t="str">
        <f>HYPERLINK("SE\A-497_2C\A-497_2C__656.png", "Ver Imagen")</f>
        <v>Ver Imagen</v>
      </c>
    </row>
    <row r="1341" spans="1:16" x14ac:dyDescent="0.25">
      <c r="A1341">
        <v>774</v>
      </c>
      <c r="B1341" t="s">
        <v>1560</v>
      </c>
      <c r="C1341">
        <v>37.200136857899999</v>
      </c>
      <c r="D1341">
        <v>-6.9870201268500001</v>
      </c>
      <c r="E1341">
        <v>2</v>
      </c>
      <c r="F1341">
        <v>2</v>
      </c>
      <c r="G1341">
        <v>2</v>
      </c>
      <c r="J1341" t="s">
        <v>15</v>
      </c>
      <c r="K1341">
        <v>2</v>
      </c>
      <c r="L1341">
        <v>2.0459999999999998</v>
      </c>
      <c r="M1341">
        <v>0</v>
      </c>
      <c r="N1341" t="s">
        <v>10019</v>
      </c>
      <c r="O1341" t="str">
        <f>HYPERLINK("2\0\marker_114_367388.png", "Ver Imagen")</f>
        <v>Ver Imagen</v>
      </c>
      <c r="P1341" t="str">
        <f>HYPERLINK("SE\A-497_2C\A-497_2C__660.png", "Ver Imagen")</f>
        <v>Ver Imagen</v>
      </c>
    </row>
    <row r="1342" spans="1:16" x14ac:dyDescent="0.25">
      <c r="A1342">
        <v>775</v>
      </c>
      <c r="B1342" t="s">
        <v>1562</v>
      </c>
      <c r="C1342">
        <v>37.221798697200001</v>
      </c>
      <c r="D1342">
        <v>-7.0229465714300003</v>
      </c>
      <c r="E1342">
        <v>2</v>
      </c>
      <c r="F1342">
        <v>2</v>
      </c>
      <c r="G1342">
        <v>2</v>
      </c>
      <c r="J1342" t="s">
        <v>15</v>
      </c>
      <c r="K1342">
        <v>2</v>
      </c>
      <c r="L1342">
        <v>2.161</v>
      </c>
      <c r="M1342">
        <v>0</v>
      </c>
      <c r="N1342" t="s">
        <v>10019</v>
      </c>
      <c r="O1342" t="str">
        <f>HYPERLINK("2\0\marker_850_376725.png", "Ver Imagen")</f>
        <v>Ver Imagen</v>
      </c>
      <c r="P1342" t="str">
        <f>HYPERLINK("SE\A-497\A-497__447.png", "Ver Imagen")</f>
        <v>Ver Imagen</v>
      </c>
    </row>
    <row r="1343" spans="1:16" x14ac:dyDescent="0.25">
      <c r="A1343">
        <v>776</v>
      </c>
      <c r="B1343" t="s">
        <v>1564</v>
      </c>
      <c r="C1343">
        <v>37.2219852383</v>
      </c>
      <c r="D1343">
        <v>-7.0229648500900002</v>
      </c>
      <c r="E1343">
        <v>2</v>
      </c>
      <c r="F1343">
        <v>2</v>
      </c>
      <c r="G1343">
        <v>2</v>
      </c>
      <c r="J1343" t="s">
        <v>15</v>
      </c>
      <c r="K1343">
        <v>2</v>
      </c>
      <c r="L1343">
        <v>1.988</v>
      </c>
      <c r="M1343">
        <v>0</v>
      </c>
      <c r="N1343" t="s">
        <v>10019</v>
      </c>
      <c r="O1343" t="str">
        <f>HYPERLINK("2\0\marker_380_376735.png", "Ver Imagen")</f>
        <v>Ver Imagen</v>
      </c>
      <c r="P1343" t="str">
        <f>HYPERLINK("SE\A-497\A-497__446.png", "Ver Imagen")</f>
        <v>Ver Imagen</v>
      </c>
    </row>
    <row r="1344" spans="1:16" x14ac:dyDescent="0.25">
      <c r="A1344">
        <v>777</v>
      </c>
      <c r="B1344" t="s">
        <v>1566</v>
      </c>
      <c r="C1344">
        <v>37.222183700000002</v>
      </c>
      <c r="D1344">
        <v>-7.0229841649600004</v>
      </c>
      <c r="E1344">
        <v>2</v>
      </c>
      <c r="F1344">
        <v>2</v>
      </c>
      <c r="G1344">
        <v>2</v>
      </c>
      <c r="J1344" t="s">
        <v>15</v>
      </c>
      <c r="K1344">
        <v>2</v>
      </c>
      <c r="L1344">
        <v>2.2040000000000002</v>
      </c>
      <c r="M1344">
        <v>0</v>
      </c>
      <c r="N1344" t="s">
        <v>10019</v>
      </c>
      <c r="O1344" t="str">
        <f>HYPERLINK("2\0\marker_915_376745.png", "Ver Imagen")</f>
        <v>Ver Imagen</v>
      </c>
      <c r="P1344" t="str">
        <f>HYPERLINK("SE\A-497\A-497__445.png", "Ver Imagen")</f>
        <v>Ver Imagen</v>
      </c>
    </row>
    <row r="1345" spans="1:16" x14ac:dyDescent="0.25">
      <c r="A1345">
        <v>778</v>
      </c>
      <c r="B1345" t="s">
        <v>1568</v>
      </c>
      <c r="C1345">
        <v>37.222413861699998</v>
      </c>
      <c r="D1345">
        <v>-7.023006187</v>
      </c>
      <c r="E1345">
        <v>2</v>
      </c>
      <c r="F1345">
        <v>2</v>
      </c>
      <c r="G1345">
        <v>2</v>
      </c>
      <c r="J1345" t="s">
        <v>15</v>
      </c>
      <c r="K1345">
        <v>2</v>
      </c>
      <c r="L1345">
        <v>1.97</v>
      </c>
      <c r="M1345">
        <v>0</v>
      </c>
      <c r="N1345" t="s">
        <v>10019</v>
      </c>
      <c r="O1345" t="str">
        <f>HYPERLINK("2\0\marker_297_376760.png", "Ver Imagen")</f>
        <v>Ver Imagen</v>
      </c>
      <c r="P1345" t="str">
        <f>HYPERLINK("SE\A-497\A-497__444.png", "Ver Imagen")</f>
        <v>Ver Imagen</v>
      </c>
    </row>
    <row r="1346" spans="1:16" x14ac:dyDescent="0.25">
      <c r="A1346">
        <v>779</v>
      </c>
      <c r="B1346" t="s">
        <v>1570</v>
      </c>
      <c r="C1346">
        <v>37.222828043500002</v>
      </c>
      <c r="D1346">
        <v>-7.0230454071999997</v>
      </c>
      <c r="E1346">
        <v>2</v>
      </c>
      <c r="F1346">
        <v>2</v>
      </c>
      <c r="G1346">
        <v>2</v>
      </c>
      <c r="J1346" t="s">
        <v>15</v>
      </c>
      <c r="K1346">
        <v>2</v>
      </c>
      <c r="L1346">
        <v>2.1480000000000001</v>
      </c>
      <c r="M1346">
        <v>0</v>
      </c>
      <c r="N1346" t="s">
        <v>10019</v>
      </c>
      <c r="O1346" t="str">
        <f>HYPERLINK("2\0\marker_317_376785.png", "Ver Imagen")</f>
        <v>Ver Imagen</v>
      </c>
      <c r="P1346" t="str">
        <f>HYPERLINK("SE\A-497\A-497__442.png", "Ver Imagen")</f>
        <v>Ver Imagen</v>
      </c>
    </row>
    <row r="1347" spans="1:16" x14ac:dyDescent="0.25">
      <c r="A1347">
        <v>780</v>
      </c>
      <c r="B1347" t="s">
        <v>1572</v>
      </c>
      <c r="C1347">
        <v>37.223212883800002</v>
      </c>
      <c r="D1347">
        <v>-7.02308107047</v>
      </c>
      <c r="E1347">
        <v>2</v>
      </c>
      <c r="F1347">
        <v>2</v>
      </c>
      <c r="G1347">
        <v>2</v>
      </c>
      <c r="J1347" t="s">
        <v>15</v>
      </c>
      <c r="K1347">
        <v>2</v>
      </c>
      <c r="L1347">
        <v>2.0779999999999998</v>
      </c>
      <c r="M1347">
        <v>0</v>
      </c>
      <c r="N1347" t="s">
        <v>10019</v>
      </c>
      <c r="O1347" t="str">
        <f>HYPERLINK("2\0\marker_928_376807.png", "Ver Imagen")</f>
        <v>Ver Imagen</v>
      </c>
      <c r="P1347" t="str">
        <f>HYPERLINK("SE\A-497\A-497__440.png", "Ver Imagen")</f>
        <v>Ver Imagen</v>
      </c>
    </row>
    <row r="1348" spans="1:16" x14ac:dyDescent="0.25">
      <c r="A1348">
        <v>781</v>
      </c>
      <c r="B1348" t="s">
        <v>1574</v>
      </c>
      <c r="C1348">
        <v>37.223405605799996</v>
      </c>
      <c r="D1348">
        <v>-7.0230996033700004</v>
      </c>
      <c r="E1348">
        <v>2</v>
      </c>
      <c r="F1348">
        <v>2</v>
      </c>
      <c r="G1348">
        <v>2</v>
      </c>
      <c r="J1348" t="s">
        <v>15</v>
      </c>
      <c r="K1348">
        <v>2</v>
      </c>
      <c r="L1348">
        <v>1.9530000000000001</v>
      </c>
      <c r="M1348">
        <v>0</v>
      </c>
      <c r="N1348" t="s">
        <v>10019</v>
      </c>
      <c r="O1348" t="str">
        <f>HYPERLINK("2\0\marker_514_376816.png", "Ver Imagen")</f>
        <v>Ver Imagen</v>
      </c>
      <c r="P1348" t="str">
        <f>HYPERLINK("SE\A-497\A-497__439.png", "Ver Imagen")</f>
        <v>Ver Imagen</v>
      </c>
    </row>
    <row r="1349" spans="1:16" x14ac:dyDescent="0.25">
      <c r="A1349">
        <v>782</v>
      </c>
      <c r="B1349" t="s">
        <v>1576</v>
      </c>
      <c r="C1349">
        <v>37.223605558899997</v>
      </c>
      <c r="D1349">
        <v>-7.0231195618199997</v>
      </c>
      <c r="E1349">
        <v>2</v>
      </c>
      <c r="F1349">
        <v>2</v>
      </c>
      <c r="G1349">
        <v>2</v>
      </c>
      <c r="J1349" t="s">
        <v>15</v>
      </c>
      <c r="K1349">
        <v>2</v>
      </c>
      <c r="L1349">
        <v>2.2029999999999998</v>
      </c>
      <c r="M1349">
        <v>0</v>
      </c>
      <c r="N1349" t="s">
        <v>10019</v>
      </c>
      <c r="O1349" t="str">
        <f>HYPERLINK("2\0\marker_892_376825.png", "Ver Imagen")</f>
        <v>Ver Imagen</v>
      </c>
      <c r="P1349" t="str">
        <f>HYPERLINK("SE\A-497\A-497__438.png", "Ver Imagen")</f>
        <v>Ver Imagen</v>
      </c>
    </row>
    <row r="1350" spans="1:16" x14ac:dyDescent="0.25">
      <c r="A1350">
        <v>783</v>
      </c>
      <c r="B1350" t="s">
        <v>1578</v>
      </c>
      <c r="C1350">
        <v>37.224016889700003</v>
      </c>
      <c r="D1350">
        <v>-7.0231605128399996</v>
      </c>
      <c r="E1350">
        <v>2</v>
      </c>
      <c r="F1350">
        <v>2</v>
      </c>
      <c r="G1350">
        <v>2</v>
      </c>
      <c r="J1350" t="s">
        <v>15</v>
      </c>
      <c r="K1350">
        <v>2</v>
      </c>
      <c r="L1350">
        <v>1.73</v>
      </c>
      <c r="M1350">
        <v>0</v>
      </c>
      <c r="N1350" t="s">
        <v>10019</v>
      </c>
      <c r="O1350" t="str">
        <f>HYPERLINK("2\0\marker_891_376842.png", "Ver Imagen")</f>
        <v>Ver Imagen</v>
      </c>
      <c r="P1350" t="str">
        <f>HYPERLINK("SE\A-497\A-497__436.png", "Ver Imagen")</f>
        <v>Ver Imagen</v>
      </c>
    </row>
    <row r="1351" spans="1:16" x14ac:dyDescent="0.25">
      <c r="A1351">
        <v>784</v>
      </c>
      <c r="B1351" t="s">
        <v>1580</v>
      </c>
      <c r="C1351">
        <v>37.224223822699997</v>
      </c>
      <c r="D1351">
        <v>-7.0231799930000003</v>
      </c>
      <c r="E1351">
        <v>2</v>
      </c>
      <c r="F1351">
        <v>2</v>
      </c>
      <c r="G1351">
        <v>2</v>
      </c>
      <c r="J1351" t="s">
        <v>15</v>
      </c>
      <c r="K1351">
        <v>2</v>
      </c>
      <c r="L1351">
        <v>1.9870000000000001</v>
      </c>
      <c r="M1351">
        <v>0</v>
      </c>
      <c r="N1351" t="s">
        <v>10019</v>
      </c>
      <c r="O1351" t="str">
        <f>HYPERLINK("2\0\marker_688_376852.png", "Ver Imagen")</f>
        <v>Ver Imagen</v>
      </c>
      <c r="P1351" t="str">
        <f>HYPERLINK("SE\A-497\A-497__435.png", "Ver Imagen")</f>
        <v>Ver Imagen</v>
      </c>
    </row>
    <row r="1352" spans="1:16" x14ac:dyDescent="0.25">
      <c r="A1352">
        <v>785</v>
      </c>
      <c r="B1352" t="s">
        <v>1582</v>
      </c>
      <c r="C1352">
        <v>37.224859042299997</v>
      </c>
      <c r="D1352">
        <v>-7.02320904799</v>
      </c>
      <c r="E1352">
        <v>2</v>
      </c>
      <c r="F1352">
        <v>2</v>
      </c>
      <c r="G1352">
        <v>2</v>
      </c>
      <c r="J1352" t="s">
        <v>15</v>
      </c>
      <c r="K1352">
        <v>2</v>
      </c>
      <c r="L1352">
        <v>1.9059999999999999</v>
      </c>
      <c r="M1352">
        <v>0</v>
      </c>
      <c r="N1352" t="s">
        <v>10019</v>
      </c>
      <c r="O1352" t="str">
        <f>HYPERLINK("2\0\marker_834_376879.png", "Ver Imagen")</f>
        <v>Ver Imagen</v>
      </c>
      <c r="P1352" t="str">
        <f>HYPERLINK("SE\A-497\A-497__432.png", "Ver Imagen")</f>
        <v>Ver Imagen</v>
      </c>
    </row>
    <row r="1353" spans="1:16" x14ac:dyDescent="0.25">
      <c r="A1353">
        <v>786</v>
      </c>
      <c r="B1353" t="s">
        <v>1584</v>
      </c>
      <c r="C1353">
        <v>37.2250485864</v>
      </c>
      <c r="D1353">
        <v>-7.0232022160699996</v>
      </c>
      <c r="E1353">
        <v>2</v>
      </c>
      <c r="F1353">
        <v>2</v>
      </c>
      <c r="G1353">
        <v>2</v>
      </c>
      <c r="J1353" t="s">
        <v>15</v>
      </c>
      <c r="K1353">
        <v>2</v>
      </c>
      <c r="L1353">
        <v>1.8540000000000001</v>
      </c>
      <c r="M1353">
        <v>0</v>
      </c>
      <c r="N1353" t="s">
        <v>10019</v>
      </c>
      <c r="O1353" t="str">
        <f>HYPERLINK("2\0\marker_441_376898.png", "Ver Imagen")</f>
        <v>Ver Imagen</v>
      </c>
      <c r="P1353" t="str">
        <f>HYPERLINK("SE\A-497\A-497__431.png", "Ver Imagen")</f>
        <v>Ver Imagen</v>
      </c>
    </row>
    <row r="1354" spans="1:16" x14ac:dyDescent="0.25">
      <c r="A1354">
        <v>787</v>
      </c>
      <c r="B1354" t="s">
        <v>1586</v>
      </c>
      <c r="C1354">
        <v>37.225248295999997</v>
      </c>
      <c r="D1354">
        <v>-7.0231843736700004</v>
      </c>
      <c r="E1354">
        <v>2</v>
      </c>
      <c r="F1354">
        <v>2</v>
      </c>
      <c r="G1354">
        <v>2</v>
      </c>
      <c r="J1354" t="s">
        <v>15</v>
      </c>
      <c r="K1354">
        <v>2</v>
      </c>
      <c r="L1354">
        <v>1.7509999999999999</v>
      </c>
      <c r="M1354">
        <v>0</v>
      </c>
      <c r="N1354" t="s">
        <v>10019</v>
      </c>
      <c r="O1354" t="str">
        <f>HYPERLINK("2\0\marker_618_376909.png", "Ver Imagen")</f>
        <v>Ver Imagen</v>
      </c>
      <c r="P1354" t="str">
        <f>HYPERLINK("SE\A-497\A-497__430.png", "Ver Imagen")</f>
        <v>Ver Imagen</v>
      </c>
    </row>
    <row r="1355" spans="1:16" x14ac:dyDescent="0.25">
      <c r="A1355">
        <v>788</v>
      </c>
      <c r="B1355" t="s">
        <v>1588</v>
      </c>
      <c r="C1355">
        <v>37.2256490527</v>
      </c>
      <c r="D1355">
        <v>-7.0231156508500003</v>
      </c>
      <c r="E1355">
        <v>2</v>
      </c>
      <c r="F1355">
        <v>2</v>
      </c>
      <c r="G1355">
        <v>2</v>
      </c>
      <c r="J1355" t="s">
        <v>15</v>
      </c>
      <c r="K1355">
        <v>2</v>
      </c>
      <c r="L1355">
        <v>1.6220000000000001</v>
      </c>
      <c r="M1355">
        <v>0</v>
      </c>
      <c r="N1355" t="s">
        <v>10018</v>
      </c>
      <c r="O1355" t="str">
        <f>HYPERLINK("2\0\marker_444_376936.png", "Ver Imagen")</f>
        <v>Ver Imagen</v>
      </c>
      <c r="P1355" t="str">
        <f>HYPERLINK("SE\A-497\A-497__428.png", "Ver Imagen")</f>
        <v>Ver Imagen</v>
      </c>
    </row>
    <row r="1356" spans="1:16" x14ac:dyDescent="0.25">
      <c r="A1356">
        <v>789</v>
      </c>
      <c r="B1356" t="s">
        <v>1590</v>
      </c>
      <c r="C1356">
        <v>37.226011082299998</v>
      </c>
      <c r="D1356">
        <v>-7.0230139757499996</v>
      </c>
      <c r="E1356">
        <v>2</v>
      </c>
      <c r="F1356">
        <v>2</v>
      </c>
      <c r="G1356">
        <v>2</v>
      </c>
      <c r="J1356" t="s">
        <v>15</v>
      </c>
      <c r="K1356">
        <v>2</v>
      </c>
      <c r="L1356">
        <v>2.3140000000000001</v>
      </c>
      <c r="M1356">
        <v>0</v>
      </c>
      <c r="N1356" t="s">
        <v>10019</v>
      </c>
      <c r="O1356" t="str">
        <f>HYPERLINK("2\0\marker_592_376953.png", "Ver Imagen")</f>
        <v>Ver Imagen</v>
      </c>
      <c r="P1356" t="str">
        <f>HYPERLINK("SE\A-497\A-497__426.png", "Ver Imagen")</f>
        <v>Ver Imagen</v>
      </c>
    </row>
    <row r="1357" spans="1:16" x14ac:dyDescent="0.25">
      <c r="A1357">
        <v>790</v>
      </c>
      <c r="B1357" t="s">
        <v>1592</v>
      </c>
      <c r="C1357">
        <v>37.226215163699997</v>
      </c>
      <c r="D1357">
        <v>-7.02293831221</v>
      </c>
      <c r="E1357">
        <v>2</v>
      </c>
      <c r="F1357">
        <v>2</v>
      </c>
      <c r="G1357">
        <v>2</v>
      </c>
      <c r="J1357" t="s">
        <v>15</v>
      </c>
      <c r="K1357">
        <v>2</v>
      </c>
      <c r="L1357">
        <v>1.893</v>
      </c>
      <c r="M1357">
        <v>0</v>
      </c>
      <c r="N1357" t="s">
        <v>10019</v>
      </c>
      <c r="O1357" t="str">
        <f>HYPERLINK("2\0\marker_711_376962.png", "Ver Imagen")</f>
        <v>Ver Imagen</v>
      </c>
      <c r="P1357" t="str">
        <f>HYPERLINK("SE\A-497\A-497__425.png", "Ver Imagen")</f>
        <v>Ver Imagen</v>
      </c>
    </row>
    <row r="1358" spans="1:16" x14ac:dyDescent="0.25">
      <c r="A1358">
        <v>791</v>
      </c>
      <c r="B1358" t="s">
        <v>1594</v>
      </c>
      <c r="C1358">
        <v>37.226599854900002</v>
      </c>
      <c r="D1358">
        <v>-7.0227572599199997</v>
      </c>
      <c r="E1358">
        <v>2</v>
      </c>
      <c r="F1358">
        <v>2</v>
      </c>
      <c r="G1358">
        <v>2</v>
      </c>
      <c r="J1358" t="s">
        <v>15</v>
      </c>
      <c r="K1358">
        <v>2</v>
      </c>
      <c r="L1358">
        <v>2.456</v>
      </c>
      <c r="M1358">
        <v>0</v>
      </c>
      <c r="N1358" t="s">
        <v>10018</v>
      </c>
      <c r="O1358" t="str">
        <f>HYPERLINK("2\0\marker_436_376986.png", "Ver Imagen")</f>
        <v>Ver Imagen</v>
      </c>
      <c r="P1358" t="str">
        <f>HYPERLINK("SE\A-497\A-497__423.png", "Ver Imagen")</f>
        <v>Ver Imagen</v>
      </c>
    </row>
    <row r="1359" spans="1:16" x14ac:dyDescent="0.25">
      <c r="A1359">
        <v>792</v>
      </c>
      <c r="B1359" t="s">
        <v>1596</v>
      </c>
      <c r="C1359">
        <v>37.226779596</v>
      </c>
      <c r="D1359">
        <v>-7.0226544780499998</v>
      </c>
      <c r="E1359">
        <v>2</v>
      </c>
      <c r="F1359">
        <v>2</v>
      </c>
      <c r="G1359">
        <v>2</v>
      </c>
      <c r="J1359" t="s">
        <v>15</v>
      </c>
      <c r="K1359">
        <v>2</v>
      </c>
      <c r="L1359">
        <v>1.9570000000000001</v>
      </c>
      <c r="M1359">
        <v>0</v>
      </c>
      <c r="N1359" t="s">
        <v>10019</v>
      </c>
      <c r="O1359" t="str">
        <f>HYPERLINK("2\0\marker_687_376994.png", "Ver Imagen")</f>
        <v>Ver Imagen</v>
      </c>
      <c r="P1359" t="str">
        <f>HYPERLINK("SE\A-497\A-497__422.png", "Ver Imagen")</f>
        <v>Ver Imagen</v>
      </c>
    </row>
    <row r="1360" spans="1:16" x14ac:dyDescent="0.25">
      <c r="A1360">
        <v>793</v>
      </c>
      <c r="B1360" t="s">
        <v>1598</v>
      </c>
      <c r="C1360">
        <v>37.2269799607</v>
      </c>
      <c r="D1360">
        <v>-7.0225260824199998</v>
      </c>
      <c r="E1360">
        <v>2</v>
      </c>
      <c r="F1360">
        <v>2</v>
      </c>
      <c r="G1360">
        <v>2</v>
      </c>
      <c r="J1360" t="s">
        <v>15</v>
      </c>
      <c r="K1360">
        <v>2</v>
      </c>
      <c r="L1360">
        <v>2.0550000000000002</v>
      </c>
      <c r="M1360">
        <v>0</v>
      </c>
      <c r="N1360" t="s">
        <v>10019</v>
      </c>
      <c r="O1360" t="str">
        <f>HYPERLINK("2\0\marker_745_377003.png", "Ver Imagen")</f>
        <v>Ver Imagen</v>
      </c>
      <c r="P1360" t="str">
        <f>HYPERLINK("SE\A-497\A-497__421.png", "Ver Imagen")</f>
        <v>Ver Imagen</v>
      </c>
    </row>
    <row r="1361" spans="1:16" x14ac:dyDescent="0.25">
      <c r="A1361">
        <v>794</v>
      </c>
      <c r="B1361" t="s">
        <v>1600</v>
      </c>
      <c r="C1361">
        <v>37.227495439800002</v>
      </c>
      <c r="D1361">
        <v>-7.0221559919400001</v>
      </c>
      <c r="E1361">
        <v>2</v>
      </c>
      <c r="F1361">
        <v>2</v>
      </c>
      <c r="G1361">
        <v>2</v>
      </c>
      <c r="J1361" t="s">
        <v>15</v>
      </c>
      <c r="K1361">
        <v>2</v>
      </c>
      <c r="L1361">
        <v>1.92</v>
      </c>
      <c r="M1361">
        <v>0</v>
      </c>
      <c r="N1361" t="s">
        <v>10019</v>
      </c>
      <c r="O1361" t="str">
        <f>HYPERLINK("2\0\marker_600_377030.png", "Ver Imagen")</f>
        <v>Ver Imagen</v>
      </c>
      <c r="P1361" t="str">
        <f>HYPERLINK("SE\A-497\A-497__418.png", "Ver Imagen")</f>
        <v>Ver Imagen</v>
      </c>
    </row>
    <row r="1362" spans="1:16" x14ac:dyDescent="0.25">
      <c r="A1362">
        <v>795</v>
      </c>
      <c r="B1362" t="s">
        <v>1602</v>
      </c>
      <c r="C1362">
        <v>37.233284675199997</v>
      </c>
      <c r="D1362">
        <v>-7.0181051480000001</v>
      </c>
      <c r="E1362">
        <v>2</v>
      </c>
      <c r="F1362">
        <v>2</v>
      </c>
      <c r="G1362">
        <v>2</v>
      </c>
      <c r="J1362" t="s">
        <v>15</v>
      </c>
      <c r="K1362">
        <v>2</v>
      </c>
      <c r="L1362">
        <v>2.1579999999999999</v>
      </c>
      <c r="M1362">
        <v>0</v>
      </c>
      <c r="N1362" t="s">
        <v>10019</v>
      </c>
      <c r="O1362" t="str">
        <f>HYPERLINK("2\0\marker_354_377326.png", "Ver Imagen")</f>
        <v>Ver Imagen</v>
      </c>
      <c r="P1362" t="str">
        <f>HYPERLINK("SE\A-497\A-497__385.png", "Ver Imagen")</f>
        <v>Ver Imagen</v>
      </c>
    </row>
    <row r="1363" spans="1:16" x14ac:dyDescent="0.25">
      <c r="A1363">
        <v>796</v>
      </c>
      <c r="B1363" t="s">
        <v>1604</v>
      </c>
      <c r="C1363">
        <v>37.233483303600003</v>
      </c>
      <c r="D1363">
        <v>-7.0180590016400002</v>
      </c>
      <c r="E1363">
        <v>2</v>
      </c>
      <c r="F1363">
        <v>2</v>
      </c>
      <c r="G1363">
        <v>2</v>
      </c>
      <c r="J1363" t="s">
        <v>15</v>
      </c>
      <c r="K1363">
        <v>2</v>
      </c>
      <c r="L1363">
        <v>1.819</v>
      </c>
      <c r="M1363">
        <v>0</v>
      </c>
      <c r="N1363" t="s">
        <v>10019</v>
      </c>
      <c r="O1363" t="str">
        <f>HYPERLINK("2\0\marker_895_377335.png", "Ver Imagen")</f>
        <v>Ver Imagen</v>
      </c>
      <c r="P1363" t="str">
        <f>HYPERLINK("SE\A-497\A-497__384.png", "Ver Imagen")</f>
        <v>Ver Imagen</v>
      </c>
    </row>
    <row r="1364" spans="1:16" x14ac:dyDescent="0.25">
      <c r="A1364">
        <v>797</v>
      </c>
      <c r="B1364" t="s">
        <v>1606</v>
      </c>
      <c r="C1364">
        <v>37.233690187000001</v>
      </c>
      <c r="D1364">
        <v>-7.0180244086199997</v>
      </c>
      <c r="E1364">
        <v>2</v>
      </c>
      <c r="F1364">
        <v>2</v>
      </c>
      <c r="G1364">
        <v>2</v>
      </c>
      <c r="J1364" t="s">
        <v>15</v>
      </c>
      <c r="K1364">
        <v>2</v>
      </c>
      <c r="L1364">
        <v>1.9910000000000001</v>
      </c>
      <c r="M1364">
        <v>0</v>
      </c>
      <c r="N1364" t="s">
        <v>10019</v>
      </c>
      <c r="O1364" t="str">
        <f>HYPERLINK("2\0\marker_663_377344.png", "Ver Imagen")</f>
        <v>Ver Imagen</v>
      </c>
      <c r="P1364" t="str">
        <f>HYPERLINK("SE\A-497\A-497__383.png", "Ver Imagen")</f>
        <v>Ver Imagen</v>
      </c>
    </row>
    <row r="1365" spans="1:16" x14ac:dyDescent="0.25">
      <c r="A1365">
        <v>798</v>
      </c>
      <c r="B1365" t="s">
        <v>1608</v>
      </c>
      <c r="C1365">
        <v>37.233895222199997</v>
      </c>
      <c r="D1365">
        <v>-7.0180034615600002</v>
      </c>
      <c r="E1365">
        <v>2</v>
      </c>
      <c r="F1365">
        <v>2</v>
      </c>
      <c r="G1365">
        <v>2</v>
      </c>
      <c r="J1365" t="s">
        <v>15</v>
      </c>
      <c r="K1365">
        <v>2</v>
      </c>
      <c r="L1365">
        <v>2.0139999999999998</v>
      </c>
      <c r="M1365">
        <v>0</v>
      </c>
      <c r="N1365" t="s">
        <v>10019</v>
      </c>
      <c r="O1365" t="str">
        <f>HYPERLINK("2\0\marker_146_377353.png", "Ver Imagen")</f>
        <v>Ver Imagen</v>
      </c>
      <c r="P1365" t="str">
        <f>HYPERLINK("SE\A-497\A-497__382.png", "Ver Imagen")</f>
        <v>Ver Imagen</v>
      </c>
    </row>
    <row r="1366" spans="1:16" x14ac:dyDescent="0.25">
      <c r="A1366">
        <v>800</v>
      </c>
      <c r="B1366" t="s">
        <v>1612</v>
      </c>
      <c r="C1366">
        <v>37.234687568600002</v>
      </c>
      <c r="D1366">
        <v>-7.0180449732800003</v>
      </c>
      <c r="E1366">
        <v>2</v>
      </c>
      <c r="F1366">
        <v>2</v>
      </c>
      <c r="G1366">
        <v>2</v>
      </c>
      <c r="J1366" t="s">
        <v>15</v>
      </c>
      <c r="K1366">
        <v>2</v>
      </c>
      <c r="L1366">
        <v>2.0790000000000002</v>
      </c>
      <c r="M1366">
        <v>0</v>
      </c>
      <c r="N1366" t="s">
        <v>10017</v>
      </c>
      <c r="O1366" t="str">
        <f>HYPERLINK("2\0\marker_440_377387.png", "Ver Imagen")</f>
        <v>Ver Imagen</v>
      </c>
      <c r="P1366" t="str">
        <f>HYPERLINK("SE\A-497\A-497__378.png", "Ver Imagen")</f>
        <v>Ver Imagen</v>
      </c>
    </row>
    <row r="1367" spans="1:16" x14ac:dyDescent="0.25">
      <c r="A1367">
        <v>801</v>
      </c>
      <c r="B1367" t="s">
        <v>1614</v>
      </c>
      <c r="C1367">
        <v>37.234890495999998</v>
      </c>
      <c r="D1367">
        <v>-7.0180842214499997</v>
      </c>
      <c r="E1367">
        <v>2</v>
      </c>
      <c r="F1367">
        <v>2</v>
      </c>
      <c r="G1367">
        <v>2</v>
      </c>
      <c r="J1367" t="s">
        <v>15</v>
      </c>
      <c r="K1367">
        <v>2</v>
      </c>
      <c r="L1367">
        <v>1.804</v>
      </c>
      <c r="M1367">
        <v>0</v>
      </c>
      <c r="N1367" t="s">
        <v>10019</v>
      </c>
      <c r="O1367" t="str">
        <f>HYPERLINK("2\0\marker_143_377396.png", "Ver Imagen")</f>
        <v>Ver Imagen</v>
      </c>
      <c r="P1367" t="str">
        <f>HYPERLINK("SE\A-497\A-497__377.png", "Ver Imagen")</f>
        <v>Ver Imagen</v>
      </c>
    </row>
    <row r="1368" spans="1:16" x14ac:dyDescent="0.25">
      <c r="A1368">
        <v>802</v>
      </c>
      <c r="B1368" t="s">
        <v>1616</v>
      </c>
      <c r="C1368">
        <v>37.235316741699997</v>
      </c>
      <c r="D1368">
        <v>-7.0181878295600004</v>
      </c>
      <c r="E1368">
        <v>2</v>
      </c>
      <c r="F1368">
        <v>2</v>
      </c>
      <c r="G1368">
        <v>2</v>
      </c>
      <c r="J1368" t="s">
        <v>15</v>
      </c>
      <c r="K1368">
        <v>2</v>
      </c>
      <c r="L1368">
        <v>2.0830000000000002</v>
      </c>
      <c r="M1368">
        <v>0</v>
      </c>
      <c r="N1368" t="s">
        <v>10019</v>
      </c>
      <c r="O1368" t="str">
        <f>HYPERLINK("2\0\marker_494_377413.png", "Ver Imagen")</f>
        <v>Ver Imagen</v>
      </c>
      <c r="P1368" t="str">
        <f>HYPERLINK("SE\A-497\A-497__375.png", "Ver Imagen")</f>
        <v>Ver Imagen</v>
      </c>
    </row>
    <row r="1369" spans="1:16" x14ac:dyDescent="0.25">
      <c r="A1369">
        <v>803</v>
      </c>
      <c r="B1369" t="s">
        <v>1618</v>
      </c>
      <c r="C1369">
        <v>37.235882085500002</v>
      </c>
      <c r="D1369">
        <v>-7.01833592849</v>
      </c>
      <c r="E1369">
        <v>2</v>
      </c>
      <c r="F1369">
        <v>2</v>
      </c>
      <c r="G1369">
        <v>2</v>
      </c>
      <c r="J1369" t="s">
        <v>15</v>
      </c>
      <c r="K1369">
        <v>2</v>
      </c>
      <c r="L1369">
        <v>2.2069999999999999</v>
      </c>
      <c r="M1369">
        <v>0</v>
      </c>
      <c r="N1369" t="s">
        <v>10017</v>
      </c>
      <c r="O1369" t="str">
        <f>HYPERLINK("2\0\marker_460_377436.png", "Ver Imagen")</f>
        <v>Ver Imagen</v>
      </c>
      <c r="P1369" t="str">
        <f>HYPERLINK("SE\A-497\A-497__372.png", "Ver Imagen")</f>
        <v>Ver Imagen</v>
      </c>
    </row>
    <row r="1370" spans="1:16" x14ac:dyDescent="0.25">
      <c r="A1370">
        <v>804</v>
      </c>
      <c r="B1370" t="s">
        <v>1620</v>
      </c>
      <c r="C1370">
        <v>37.236105023</v>
      </c>
      <c r="D1370">
        <v>-7.0183927917000002</v>
      </c>
      <c r="E1370">
        <v>2</v>
      </c>
      <c r="F1370">
        <v>2</v>
      </c>
      <c r="G1370">
        <v>2</v>
      </c>
      <c r="J1370" t="s">
        <v>15</v>
      </c>
      <c r="K1370">
        <v>2</v>
      </c>
      <c r="L1370">
        <v>2.044</v>
      </c>
      <c r="M1370">
        <v>0</v>
      </c>
      <c r="N1370" t="s">
        <v>10019</v>
      </c>
      <c r="O1370" t="str">
        <f>HYPERLINK("2\0\marker_787_377445.png", "Ver Imagen")</f>
        <v>Ver Imagen</v>
      </c>
      <c r="P1370" t="str">
        <f>HYPERLINK("SE\A-497\A-497__371.png", "Ver Imagen")</f>
        <v>Ver Imagen</v>
      </c>
    </row>
    <row r="1371" spans="1:16" x14ac:dyDescent="0.25">
      <c r="A1371">
        <v>805</v>
      </c>
      <c r="B1371" t="s">
        <v>1622</v>
      </c>
      <c r="C1371">
        <v>37.237099866000001</v>
      </c>
      <c r="D1371">
        <v>-7.0185481483499998</v>
      </c>
      <c r="E1371">
        <v>2</v>
      </c>
      <c r="F1371">
        <v>2</v>
      </c>
      <c r="G1371">
        <v>2</v>
      </c>
      <c r="J1371" t="s">
        <v>15</v>
      </c>
      <c r="K1371">
        <v>2</v>
      </c>
      <c r="L1371">
        <v>1.948</v>
      </c>
      <c r="M1371">
        <v>0</v>
      </c>
      <c r="N1371" t="s">
        <v>10018</v>
      </c>
      <c r="O1371" t="str">
        <f>HYPERLINK("2\0\marker_381_377495.png", "Ver Imagen")</f>
        <v>Ver Imagen</v>
      </c>
      <c r="P1371" t="str">
        <f>HYPERLINK("SE\A-497\A-497__366.png", "Ver Imagen")</f>
        <v>Ver Imagen</v>
      </c>
    </row>
    <row r="1372" spans="1:16" x14ac:dyDescent="0.25">
      <c r="A1372">
        <v>806</v>
      </c>
      <c r="B1372" t="s">
        <v>1624</v>
      </c>
      <c r="C1372">
        <v>37.237288501800002</v>
      </c>
      <c r="D1372">
        <v>-7.0185607561000003</v>
      </c>
      <c r="E1372">
        <v>2</v>
      </c>
      <c r="F1372">
        <v>2</v>
      </c>
      <c r="G1372">
        <v>2</v>
      </c>
      <c r="J1372" t="s">
        <v>15</v>
      </c>
      <c r="K1372">
        <v>2</v>
      </c>
      <c r="L1372">
        <v>2.1859999999999999</v>
      </c>
      <c r="M1372">
        <v>0</v>
      </c>
      <c r="N1372" t="s">
        <v>10019</v>
      </c>
      <c r="O1372" t="str">
        <f>HYPERLINK("2\0\marker_966_377504.png", "Ver Imagen")</f>
        <v>Ver Imagen</v>
      </c>
      <c r="P1372" t="str">
        <f>HYPERLINK("SE\A-497\A-497__365.png", "Ver Imagen")</f>
        <v>Ver Imagen</v>
      </c>
    </row>
    <row r="1373" spans="1:16" x14ac:dyDescent="0.25">
      <c r="A1373">
        <v>807</v>
      </c>
      <c r="B1373" t="s">
        <v>1626</v>
      </c>
      <c r="C1373">
        <v>37.238104978099997</v>
      </c>
      <c r="D1373">
        <v>-7.0185640249899999</v>
      </c>
      <c r="E1373">
        <v>2</v>
      </c>
      <c r="F1373">
        <v>2</v>
      </c>
      <c r="G1373">
        <v>2</v>
      </c>
      <c r="J1373" t="s">
        <v>15</v>
      </c>
      <c r="K1373">
        <v>2</v>
      </c>
      <c r="L1373">
        <v>2.1019999999999999</v>
      </c>
      <c r="M1373">
        <v>0</v>
      </c>
      <c r="N1373" t="s">
        <v>10019</v>
      </c>
      <c r="O1373" t="str">
        <f>HYPERLINK("2\0\marker_866_377540.png", "Ver Imagen")</f>
        <v>Ver Imagen</v>
      </c>
      <c r="P1373" t="str">
        <f>HYPERLINK("SE\A-497\A-497__361.png", "Ver Imagen")</f>
        <v>Ver Imagen</v>
      </c>
    </row>
    <row r="1374" spans="1:16" x14ac:dyDescent="0.25">
      <c r="A1374">
        <v>808</v>
      </c>
      <c r="B1374" t="s">
        <v>1628</v>
      </c>
      <c r="C1374">
        <v>37.238319713599999</v>
      </c>
      <c r="D1374">
        <v>-7.0185555372400001</v>
      </c>
      <c r="E1374">
        <v>2</v>
      </c>
      <c r="F1374">
        <v>2</v>
      </c>
      <c r="G1374">
        <v>2</v>
      </c>
      <c r="J1374" t="s">
        <v>15</v>
      </c>
      <c r="K1374">
        <v>2</v>
      </c>
      <c r="L1374">
        <v>1.9990000000000001</v>
      </c>
      <c r="M1374">
        <v>0</v>
      </c>
      <c r="N1374" t="s">
        <v>10019</v>
      </c>
      <c r="O1374" t="str">
        <f>HYPERLINK("2\0\marker_560_377550.png", "Ver Imagen")</f>
        <v>Ver Imagen</v>
      </c>
      <c r="P1374" t="str">
        <f>HYPERLINK("SE\A-497\A-497__360.png", "Ver Imagen")</f>
        <v>Ver Imagen</v>
      </c>
    </row>
    <row r="1375" spans="1:16" x14ac:dyDescent="0.25">
      <c r="A1375">
        <v>809</v>
      </c>
      <c r="B1375" t="s">
        <v>1630</v>
      </c>
      <c r="C1375">
        <v>37.238503525900001</v>
      </c>
      <c r="D1375">
        <v>-7.0185475318000003</v>
      </c>
      <c r="E1375">
        <v>2</v>
      </c>
      <c r="F1375">
        <v>2</v>
      </c>
      <c r="G1375">
        <v>2</v>
      </c>
      <c r="J1375" t="s">
        <v>15</v>
      </c>
      <c r="K1375">
        <v>2</v>
      </c>
      <c r="L1375">
        <v>2.024</v>
      </c>
      <c r="M1375">
        <v>0</v>
      </c>
      <c r="N1375" t="s">
        <v>10019</v>
      </c>
      <c r="O1375" t="str">
        <f>HYPERLINK("2\0\marker_552_377566.png", "Ver Imagen")</f>
        <v>Ver Imagen</v>
      </c>
      <c r="P1375" t="str">
        <f>HYPERLINK("SE\A-497\A-497__359.png", "Ver Imagen")</f>
        <v>Ver Imagen</v>
      </c>
    </row>
    <row r="1376" spans="1:16" x14ac:dyDescent="0.25">
      <c r="A1376">
        <v>810</v>
      </c>
      <c r="B1376" t="s">
        <v>1632</v>
      </c>
      <c r="C1376">
        <v>37.238707747900001</v>
      </c>
      <c r="D1376">
        <v>-7.0185390283200002</v>
      </c>
      <c r="E1376">
        <v>2</v>
      </c>
      <c r="F1376">
        <v>2</v>
      </c>
      <c r="G1376">
        <v>2</v>
      </c>
      <c r="J1376" t="s">
        <v>15</v>
      </c>
      <c r="K1376">
        <v>2</v>
      </c>
      <c r="L1376">
        <v>2.0209999999999999</v>
      </c>
      <c r="M1376">
        <v>0</v>
      </c>
      <c r="N1376" t="s">
        <v>10019</v>
      </c>
      <c r="O1376" t="str">
        <f>HYPERLINK("2\0\marker_615_377577.png", "Ver Imagen")</f>
        <v>Ver Imagen</v>
      </c>
      <c r="P1376" t="str">
        <f>HYPERLINK("SE\A-497\A-497__358.png", "Ver Imagen")</f>
        <v>Ver Imagen</v>
      </c>
    </row>
    <row r="1377" spans="1:16" x14ac:dyDescent="0.25">
      <c r="A1377">
        <v>811</v>
      </c>
      <c r="B1377" t="s">
        <v>1634</v>
      </c>
      <c r="C1377">
        <v>37.238940221299998</v>
      </c>
      <c r="D1377">
        <v>-7.0185297522800001</v>
      </c>
      <c r="E1377">
        <v>2</v>
      </c>
      <c r="F1377">
        <v>2</v>
      </c>
      <c r="G1377">
        <v>2</v>
      </c>
      <c r="J1377" t="s">
        <v>15</v>
      </c>
      <c r="K1377">
        <v>2</v>
      </c>
      <c r="L1377">
        <v>2.077</v>
      </c>
      <c r="M1377">
        <v>0</v>
      </c>
      <c r="N1377" t="s">
        <v>10019</v>
      </c>
      <c r="O1377" t="str">
        <f>HYPERLINK("2\0\marker_468_377586.png", "Ver Imagen")</f>
        <v>Ver Imagen</v>
      </c>
      <c r="P1377" t="str">
        <f>HYPERLINK("SE\A-497\A-497__357.png", "Ver Imagen")</f>
        <v>Ver Imagen</v>
      </c>
    </row>
    <row r="1378" spans="1:16" x14ac:dyDescent="0.25">
      <c r="A1378">
        <v>812</v>
      </c>
      <c r="B1378" t="s">
        <v>1636</v>
      </c>
      <c r="C1378">
        <v>37.239131659400002</v>
      </c>
      <c r="D1378">
        <v>-7.0185222920300001</v>
      </c>
      <c r="E1378">
        <v>2</v>
      </c>
      <c r="F1378">
        <v>2</v>
      </c>
      <c r="G1378">
        <v>2</v>
      </c>
      <c r="J1378" t="s">
        <v>15</v>
      </c>
      <c r="K1378">
        <v>2</v>
      </c>
      <c r="L1378">
        <v>1.75</v>
      </c>
      <c r="M1378">
        <v>0</v>
      </c>
      <c r="N1378" t="s">
        <v>10017</v>
      </c>
      <c r="O1378" t="str">
        <f>HYPERLINK("2\0\marker_216_377594.png", "Ver Imagen")</f>
        <v>Ver Imagen</v>
      </c>
      <c r="P1378" t="str">
        <f>HYPERLINK("SE\A-497\A-497__356.png", "Ver Imagen")</f>
        <v>Ver Imagen</v>
      </c>
    </row>
    <row r="1379" spans="1:16" x14ac:dyDescent="0.25">
      <c r="A1379">
        <v>813</v>
      </c>
      <c r="B1379" t="s">
        <v>1638</v>
      </c>
      <c r="C1379">
        <v>37.2393059877</v>
      </c>
      <c r="D1379">
        <v>-7.0185149791199999</v>
      </c>
      <c r="E1379">
        <v>2</v>
      </c>
      <c r="F1379">
        <v>2</v>
      </c>
      <c r="G1379">
        <v>2</v>
      </c>
      <c r="J1379" t="s">
        <v>15</v>
      </c>
      <c r="K1379">
        <v>2</v>
      </c>
      <c r="L1379">
        <v>1.859</v>
      </c>
      <c r="M1379">
        <v>0</v>
      </c>
      <c r="N1379" t="s">
        <v>10019</v>
      </c>
      <c r="O1379" t="str">
        <f>HYPERLINK("2\0\marker_470_377603.png", "Ver Imagen")</f>
        <v>Ver Imagen</v>
      </c>
      <c r="P1379" t="str">
        <f>HYPERLINK("SE\A-497\A-497__355.png", "Ver Imagen")</f>
        <v>Ver Imagen</v>
      </c>
    </row>
    <row r="1380" spans="1:16" x14ac:dyDescent="0.25">
      <c r="A1380">
        <v>814</v>
      </c>
      <c r="B1380" t="s">
        <v>1640</v>
      </c>
      <c r="C1380">
        <v>37.239531141999997</v>
      </c>
      <c r="D1380">
        <v>-7.0185047423700002</v>
      </c>
      <c r="E1380">
        <v>2</v>
      </c>
      <c r="F1380">
        <v>2</v>
      </c>
      <c r="G1380">
        <v>2</v>
      </c>
      <c r="J1380" t="s">
        <v>15</v>
      </c>
      <c r="K1380">
        <v>2</v>
      </c>
      <c r="L1380">
        <v>2.2000000000000002</v>
      </c>
      <c r="M1380">
        <v>0</v>
      </c>
      <c r="N1380" t="s">
        <v>10019</v>
      </c>
      <c r="O1380" t="str">
        <f>HYPERLINK("2\0\marker_246_377624.png", "Ver Imagen")</f>
        <v>Ver Imagen</v>
      </c>
      <c r="P1380" t="str">
        <f>HYPERLINK("SE\A-497\A-497__354.png", "Ver Imagen")</f>
        <v>Ver Imagen</v>
      </c>
    </row>
    <row r="1381" spans="1:16" x14ac:dyDescent="0.25">
      <c r="A1381">
        <v>815</v>
      </c>
      <c r="B1381" t="s">
        <v>1642</v>
      </c>
      <c r="C1381">
        <v>37.239724730799999</v>
      </c>
      <c r="D1381">
        <v>-7.01849534729</v>
      </c>
      <c r="E1381">
        <v>2</v>
      </c>
      <c r="F1381">
        <v>2</v>
      </c>
      <c r="G1381">
        <v>2</v>
      </c>
      <c r="J1381" t="s">
        <v>15</v>
      </c>
      <c r="K1381">
        <v>2</v>
      </c>
      <c r="L1381">
        <v>1.9990000000000001</v>
      </c>
      <c r="M1381">
        <v>0</v>
      </c>
      <c r="N1381" t="s">
        <v>10019</v>
      </c>
      <c r="O1381" t="str">
        <f>HYPERLINK("2\0\marker_286_377633.png", "Ver Imagen")</f>
        <v>Ver Imagen</v>
      </c>
      <c r="P1381" t="str">
        <f>HYPERLINK("SE\A-497\A-497__353.png", "Ver Imagen")</f>
        <v>Ver Imagen</v>
      </c>
    </row>
    <row r="1382" spans="1:16" x14ac:dyDescent="0.25">
      <c r="A1382">
        <v>816</v>
      </c>
      <c r="B1382" t="s">
        <v>1644</v>
      </c>
      <c r="C1382">
        <v>37.239918751099999</v>
      </c>
      <c r="D1382">
        <v>-7.0184861567799999</v>
      </c>
      <c r="E1382">
        <v>2</v>
      </c>
      <c r="F1382">
        <v>2</v>
      </c>
      <c r="G1382">
        <v>2</v>
      </c>
      <c r="J1382" t="s">
        <v>15</v>
      </c>
      <c r="K1382">
        <v>2</v>
      </c>
      <c r="L1382">
        <v>2.1139999999999999</v>
      </c>
      <c r="M1382">
        <v>0</v>
      </c>
      <c r="N1382" t="s">
        <v>10019</v>
      </c>
      <c r="O1382" t="str">
        <f>HYPERLINK("2\0\marker_282_377641.png", "Ver Imagen")</f>
        <v>Ver Imagen</v>
      </c>
      <c r="P1382" t="str">
        <f>HYPERLINK("SE\A-497\A-497__352.png", "Ver Imagen")</f>
        <v>Ver Imagen</v>
      </c>
    </row>
    <row r="1383" spans="1:16" x14ac:dyDescent="0.25">
      <c r="A1383">
        <v>817</v>
      </c>
      <c r="B1383" t="s">
        <v>1646</v>
      </c>
      <c r="C1383">
        <v>37.240112357199997</v>
      </c>
      <c r="D1383">
        <v>-7.0184778661399996</v>
      </c>
      <c r="E1383">
        <v>2</v>
      </c>
      <c r="F1383">
        <v>2</v>
      </c>
      <c r="G1383">
        <v>2</v>
      </c>
      <c r="J1383" t="s">
        <v>15</v>
      </c>
      <c r="K1383">
        <v>2</v>
      </c>
      <c r="L1383">
        <v>2.137</v>
      </c>
      <c r="M1383">
        <v>0</v>
      </c>
      <c r="N1383" t="s">
        <v>10019</v>
      </c>
      <c r="O1383" t="str">
        <f>HYPERLINK("2\0\marker_143_377653.png", "Ver Imagen")</f>
        <v>Ver Imagen</v>
      </c>
      <c r="P1383" t="str">
        <f>HYPERLINK("SE\A-497\A-497__351.png", "Ver Imagen")</f>
        <v>Ver Imagen</v>
      </c>
    </row>
    <row r="1384" spans="1:16" x14ac:dyDescent="0.25">
      <c r="A1384">
        <v>818</v>
      </c>
      <c r="B1384" t="s">
        <v>1648</v>
      </c>
      <c r="C1384">
        <v>37.240345096600002</v>
      </c>
      <c r="D1384">
        <v>-7.0184686726300001</v>
      </c>
      <c r="E1384">
        <v>2</v>
      </c>
      <c r="F1384">
        <v>2</v>
      </c>
      <c r="G1384">
        <v>2</v>
      </c>
      <c r="J1384" t="s">
        <v>15</v>
      </c>
      <c r="K1384">
        <v>2</v>
      </c>
      <c r="L1384">
        <v>1.9990000000000001</v>
      </c>
      <c r="M1384">
        <v>0</v>
      </c>
      <c r="N1384" t="s">
        <v>10019</v>
      </c>
      <c r="O1384" t="str">
        <f>HYPERLINK("2\0\marker_480_377663.png", "Ver Imagen")</f>
        <v>Ver Imagen</v>
      </c>
      <c r="P1384" t="str">
        <f>HYPERLINK("SE\A-497\A-497__350.png", "Ver Imagen")</f>
        <v>Ver Imagen</v>
      </c>
    </row>
    <row r="1385" spans="1:16" x14ac:dyDescent="0.25">
      <c r="A1385">
        <v>819</v>
      </c>
      <c r="B1385" t="s">
        <v>1650</v>
      </c>
      <c r="C1385">
        <v>37.240553055500001</v>
      </c>
      <c r="D1385">
        <v>-7.0184607548100004</v>
      </c>
      <c r="E1385">
        <v>2</v>
      </c>
      <c r="F1385">
        <v>2</v>
      </c>
      <c r="G1385">
        <v>2</v>
      </c>
      <c r="J1385" t="s">
        <v>15</v>
      </c>
      <c r="K1385">
        <v>2</v>
      </c>
      <c r="L1385">
        <v>1.917</v>
      </c>
      <c r="M1385">
        <v>0</v>
      </c>
      <c r="N1385" t="s">
        <v>10017</v>
      </c>
      <c r="O1385" t="str">
        <f>HYPERLINK("2\0\marker_314_377671.png", "Ver Imagen")</f>
        <v>Ver Imagen</v>
      </c>
      <c r="P1385" t="str">
        <f>HYPERLINK("SE\A-497\A-497__349.png", "Ver Imagen")</f>
        <v>Ver Imagen</v>
      </c>
    </row>
    <row r="1386" spans="1:16" x14ac:dyDescent="0.25">
      <c r="A1386">
        <v>820</v>
      </c>
      <c r="B1386" t="s">
        <v>1652</v>
      </c>
      <c r="C1386">
        <v>37.247006648300001</v>
      </c>
      <c r="D1386">
        <v>-7.0182254255799998</v>
      </c>
      <c r="E1386">
        <v>2</v>
      </c>
      <c r="F1386">
        <v>2</v>
      </c>
      <c r="G1386">
        <v>2</v>
      </c>
      <c r="J1386" t="s">
        <v>15</v>
      </c>
      <c r="K1386">
        <v>2</v>
      </c>
      <c r="L1386">
        <v>1.677</v>
      </c>
      <c r="M1386">
        <v>0</v>
      </c>
      <c r="N1386" t="s">
        <v>10019</v>
      </c>
      <c r="O1386" t="str">
        <f>HYPERLINK("2\0\marker_732_377998.png", "Ver Imagen")</f>
        <v>Ver Imagen</v>
      </c>
      <c r="P1386" t="str">
        <f>HYPERLINK("SE\A-497\A-497__317.png", "Ver Imagen")</f>
        <v>Ver Imagen</v>
      </c>
    </row>
    <row r="1387" spans="1:16" x14ac:dyDescent="0.25">
      <c r="A1387">
        <v>821</v>
      </c>
      <c r="B1387" t="s">
        <v>1654</v>
      </c>
      <c r="C1387">
        <v>37.247609987499999</v>
      </c>
      <c r="D1387">
        <v>-7.01820315372</v>
      </c>
      <c r="E1387">
        <v>2</v>
      </c>
      <c r="F1387">
        <v>2</v>
      </c>
      <c r="G1387">
        <v>2</v>
      </c>
      <c r="J1387" t="s">
        <v>15</v>
      </c>
      <c r="K1387">
        <v>2</v>
      </c>
      <c r="L1387">
        <v>1.9650000000000001</v>
      </c>
      <c r="M1387">
        <v>0</v>
      </c>
      <c r="N1387" t="s">
        <v>10019</v>
      </c>
      <c r="O1387" t="str">
        <f>HYPERLINK("2\0\marker_738_378029.png", "Ver Imagen")</f>
        <v>Ver Imagen</v>
      </c>
      <c r="P1387" t="str">
        <f>HYPERLINK("SE\A-497\A-497__314.png", "Ver Imagen")</f>
        <v>Ver Imagen</v>
      </c>
    </row>
    <row r="1388" spans="1:16" x14ac:dyDescent="0.25">
      <c r="A1388">
        <v>822</v>
      </c>
      <c r="B1388" t="s">
        <v>1656</v>
      </c>
      <c r="C1388">
        <v>37.248250148099999</v>
      </c>
      <c r="D1388">
        <v>-7.0181724779900003</v>
      </c>
      <c r="E1388">
        <v>2</v>
      </c>
      <c r="F1388">
        <v>2</v>
      </c>
      <c r="G1388">
        <v>2</v>
      </c>
      <c r="J1388" t="s">
        <v>15</v>
      </c>
      <c r="K1388">
        <v>2</v>
      </c>
      <c r="L1388">
        <v>1.8879999999999999</v>
      </c>
      <c r="M1388">
        <v>0</v>
      </c>
      <c r="N1388" t="s">
        <v>10019</v>
      </c>
      <c r="O1388" t="str">
        <f>HYPERLINK("2\0\marker_359_378059.png", "Ver Imagen")</f>
        <v>Ver Imagen</v>
      </c>
      <c r="P1388" t="str">
        <f>HYPERLINK("SE\A-497\A-497__311.png", "Ver Imagen")</f>
        <v>Ver Imagen</v>
      </c>
    </row>
    <row r="1389" spans="1:16" x14ac:dyDescent="0.25">
      <c r="A1389">
        <v>823</v>
      </c>
      <c r="B1389" t="s">
        <v>1658</v>
      </c>
      <c r="C1389">
        <v>37.249235646800003</v>
      </c>
      <c r="D1389">
        <v>-7.0180665523499997</v>
      </c>
      <c r="E1389">
        <v>2</v>
      </c>
      <c r="F1389">
        <v>2</v>
      </c>
      <c r="G1389">
        <v>2</v>
      </c>
      <c r="J1389" t="s">
        <v>15</v>
      </c>
      <c r="K1389">
        <v>2</v>
      </c>
      <c r="L1389">
        <v>2.0350000000000001</v>
      </c>
      <c r="M1389">
        <v>0</v>
      </c>
      <c r="N1389" t="s">
        <v>10019</v>
      </c>
      <c r="O1389" t="str">
        <f>HYPERLINK("2\0\marker_889_378139.png", "Ver Imagen")</f>
        <v>Ver Imagen</v>
      </c>
      <c r="P1389" t="str">
        <f>HYPERLINK("SE\A-497\A-497__306.png", "Ver Imagen")</f>
        <v>Ver Imagen</v>
      </c>
    </row>
    <row r="1390" spans="1:16" x14ac:dyDescent="0.25">
      <c r="A1390">
        <v>824</v>
      </c>
      <c r="B1390" t="s">
        <v>1660</v>
      </c>
      <c r="C1390">
        <v>37.2502176124</v>
      </c>
      <c r="D1390">
        <v>-7.0177096504999996</v>
      </c>
      <c r="E1390">
        <v>2</v>
      </c>
      <c r="F1390">
        <v>2</v>
      </c>
      <c r="G1390">
        <v>2</v>
      </c>
      <c r="J1390" t="s">
        <v>15</v>
      </c>
      <c r="K1390">
        <v>2</v>
      </c>
      <c r="L1390">
        <v>1.988</v>
      </c>
      <c r="M1390">
        <v>0</v>
      </c>
      <c r="N1390" t="s">
        <v>10019</v>
      </c>
      <c r="O1390" t="str">
        <f>HYPERLINK("2\0\marker_815_378206.png", "Ver Imagen")</f>
        <v>Ver Imagen</v>
      </c>
      <c r="P1390" t="str">
        <f>HYPERLINK("SE\A-497\A-497__301.png", "Ver Imagen")</f>
        <v>Ver Imagen</v>
      </c>
    </row>
    <row r="1391" spans="1:16" x14ac:dyDescent="0.25">
      <c r="A1391">
        <v>825</v>
      </c>
      <c r="B1391" t="s">
        <v>1662</v>
      </c>
      <c r="C1391">
        <v>37.250559688800003</v>
      </c>
      <c r="D1391">
        <v>-7.0175148192999997</v>
      </c>
      <c r="E1391">
        <v>2</v>
      </c>
      <c r="F1391">
        <v>2</v>
      </c>
      <c r="G1391">
        <v>2</v>
      </c>
      <c r="J1391" t="s">
        <v>15</v>
      </c>
      <c r="K1391">
        <v>2</v>
      </c>
      <c r="L1391">
        <v>1.8029999999999999</v>
      </c>
      <c r="M1391">
        <v>0</v>
      </c>
      <c r="N1391" t="s">
        <v>10019</v>
      </c>
      <c r="O1391" t="str">
        <f>HYPERLINK("2\0\marker_234_378229.png", "Ver Imagen")</f>
        <v>Ver Imagen</v>
      </c>
      <c r="P1391" t="str">
        <f>HYPERLINK("SE\A-497\A-497__299.png", "Ver Imagen")</f>
        <v>Ver Imagen</v>
      </c>
    </row>
    <row r="1392" spans="1:16" x14ac:dyDescent="0.25">
      <c r="A1392">
        <v>826</v>
      </c>
      <c r="B1392" t="s">
        <v>1664</v>
      </c>
      <c r="C1392">
        <v>37.250744093199998</v>
      </c>
      <c r="D1392">
        <v>-7.0174008363900002</v>
      </c>
      <c r="E1392">
        <v>2</v>
      </c>
      <c r="F1392">
        <v>2</v>
      </c>
      <c r="G1392">
        <v>2</v>
      </c>
      <c r="J1392" t="s">
        <v>15</v>
      </c>
      <c r="K1392">
        <v>2</v>
      </c>
      <c r="L1392">
        <v>1.9319999999999999</v>
      </c>
      <c r="M1392">
        <v>0</v>
      </c>
      <c r="N1392" t="s">
        <v>10019</v>
      </c>
      <c r="O1392" t="str">
        <f>HYPERLINK("2\0\marker_185_378239.png", "Ver Imagen")</f>
        <v>Ver Imagen</v>
      </c>
      <c r="P1392" t="str">
        <f>HYPERLINK("SE\A-497\A-497__298.png", "Ver Imagen")</f>
        <v>Ver Imagen</v>
      </c>
    </row>
    <row r="1393" spans="1:16" x14ac:dyDescent="0.25">
      <c r="A1393">
        <v>827</v>
      </c>
      <c r="B1393" t="s">
        <v>1666</v>
      </c>
      <c r="C1393">
        <v>37.250913581100001</v>
      </c>
      <c r="D1393">
        <v>-7.0172938690300004</v>
      </c>
      <c r="E1393">
        <v>2</v>
      </c>
      <c r="F1393">
        <v>2</v>
      </c>
      <c r="G1393">
        <v>2</v>
      </c>
      <c r="J1393" t="s">
        <v>15</v>
      </c>
      <c r="K1393">
        <v>2</v>
      </c>
      <c r="L1393">
        <v>1.7090000000000001</v>
      </c>
      <c r="M1393">
        <v>0</v>
      </c>
      <c r="N1393" t="s">
        <v>10019</v>
      </c>
      <c r="O1393" t="str">
        <f>HYPERLINK("2\0\marker_596_378254.png", "Ver Imagen")</f>
        <v>Ver Imagen</v>
      </c>
      <c r="P1393" t="str">
        <f>HYPERLINK("SE\A-497\A-497__297.png", "Ver Imagen")</f>
        <v>Ver Imagen</v>
      </c>
    </row>
    <row r="1394" spans="1:16" x14ac:dyDescent="0.25">
      <c r="A1394">
        <v>828</v>
      </c>
      <c r="B1394" t="s">
        <v>1668</v>
      </c>
      <c r="C1394">
        <v>37.251104192500001</v>
      </c>
      <c r="D1394">
        <v>-7.0171721962099998</v>
      </c>
      <c r="E1394">
        <v>2</v>
      </c>
      <c r="F1394">
        <v>2</v>
      </c>
      <c r="G1394">
        <v>2</v>
      </c>
      <c r="J1394" t="s">
        <v>15</v>
      </c>
      <c r="K1394">
        <v>2</v>
      </c>
      <c r="L1394">
        <v>2.016</v>
      </c>
      <c r="M1394">
        <v>0</v>
      </c>
      <c r="N1394" t="s">
        <v>10019</v>
      </c>
      <c r="O1394" t="str">
        <f>HYPERLINK("2\0\marker_676_378273.png", "Ver Imagen")</f>
        <v>Ver Imagen</v>
      </c>
      <c r="P1394" t="str">
        <f>HYPERLINK("SE\A-497\A-497__296.png", "Ver Imagen")</f>
        <v>Ver Imagen</v>
      </c>
    </row>
    <row r="1395" spans="1:16" x14ac:dyDescent="0.25">
      <c r="A1395">
        <v>829</v>
      </c>
      <c r="B1395" t="s">
        <v>1670</v>
      </c>
      <c r="C1395">
        <v>37.251308428900003</v>
      </c>
      <c r="D1395">
        <v>-7.01704193533</v>
      </c>
      <c r="E1395">
        <v>2</v>
      </c>
      <c r="F1395">
        <v>2</v>
      </c>
      <c r="G1395">
        <v>2</v>
      </c>
      <c r="J1395" t="s">
        <v>15</v>
      </c>
      <c r="K1395">
        <v>2</v>
      </c>
      <c r="L1395">
        <v>1.9670000000000001</v>
      </c>
      <c r="M1395">
        <v>0</v>
      </c>
      <c r="N1395" t="s">
        <v>10019</v>
      </c>
      <c r="O1395" t="str">
        <f>HYPERLINK("2\0\marker_316_378293.png", "Ver Imagen")</f>
        <v>Ver Imagen</v>
      </c>
      <c r="P1395" t="str">
        <f>HYPERLINK("SE\A-497\A-497__295.png", "Ver Imagen")</f>
        <v>Ver Imagen</v>
      </c>
    </row>
    <row r="1396" spans="1:16" x14ac:dyDescent="0.25">
      <c r="A1396">
        <v>832</v>
      </c>
      <c r="B1396" t="s">
        <v>1676</v>
      </c>
      <c r="C1396">
        <v>37.254700123600003</v>
      </c>
      <c r="D1396">
        <v>-7.0148817391199998</v>
      </c>
      <c r="E1396">
        <v>2</v>
      </c>
      <c r="F1396">
        <v>2</v>
      </c>
      <c r="G1396">
        <v>2</v>
      </c>
      <c r="J1396" t="s">
        <v>15</v>
      </c>
      <c r="K1396">
        <v>2</v>
      </c>
      <c r="L1396">
        <v>2.3919999999999999</v>
      </c>
      <c r="M1396">
        <v>0</v>
      </c>
      <c r="N1396" t="s">
        <v>10019</v>
      </c>
      <c r="O1396" t="str">
        <f>HYPERLINK("2\0\marker_911_378515.png", "Ver Imagen")</f>
        <v>Ver Imagen</v>
      </c>
      <c r="P1396" t="str">
        <f>HYPERLINK("SE\A-497\A-497__276.png", "Ver Imagen")</f>
        <v>Ver Imagen</v>
      </c>
    </row>
    <row r="1397" spans="1:16" x14ac:dyDescent="0.25">
      <c r="A1397">
        <v>834</v>
      </c>
      <c r="B1397" t="s">
        <v>1680</v>
      </c>
      <c r="C1397">
        <v>37.278690583299998</v>
      </c>
      <c r="D1397">
        <v>-6.9936946184300002</v>
      </c>
      <c r="E1397">
        <v>1</v>
      </c>
      <c r="F1397">
        <v>2</v>
      </c>
      <c r="G1397">
        <v>2</v>
      </c>
      <c r="J1397" t="s">
        <v>15</v>
      </c>
      <c r="K1397">
        <v>2</v>
      </c>
      <c r="L1397">
        <v>1.819</v>
      </c>
      <c r="M1397">
        <v>0</v>
      </c>
      <c r="N1397" t="s">
        <v>10019</v>
      </c>
      <c r="O1397" t="str">
        <f>HYPERLINK("2\1\marker_797_822890.png", "Ver Imagen")</f>
        <v>Ver Imagen</v>
      </c>
      <c r="P1397" t="str">
        <f>HYPERLINK("SE\A-492\A-492__42.png", "Ver Imagen")</f>
        <v>Ver Imagen</v>
      </c>
    </row>
    <row r="1398" spans="1:16" x14ac:dyDescent="0.25">
      <c r="A1398">
        <v>835</v>
      </c>
      <c r="B1398" t="s">
        <v>1682</v>
      </c>
      <c r="C1398">
        <v>37.2788052326</v>
      </c>
      <c r="D1398">
        <v>-6.9939354837399996</v>
      </c>
      <c r="E1398">
        <v>1</v>
      </c>
      <c r="F1398">
        <v>2</v>
      </c>
      <c r="G1398">
        <v>2</v>
      </c>
      <c r="J1398" t="s">
        <v>15</v>
      </c>
      <c r="K1398">
        <v>2</v>
      </c>
      <c r="L1398">
        <v>1.631</v>
      </c>
      <c r="M1398">
        <v>0</v>
      </c>
      <c r="N1398" t="s">
        <v>10019</v>
      </c>
      <c r="O1398" t="str">
        <f>HYPERLINK("2\1\marker_135_822905.png", "Ver Imagen")</f>
        <v>Ver Imagen</v>
      </c>
      <c r="P1398" t="str">
        <f>HYPERLINK("SE\A-492\A-492__43.png", "Ver Imagen")</f>
        <v>Ver Imagen</v>
      </c>
    </row>
    <row r="1399" spans="1:16" x14ac:dyDescent="0.25">
      <c r="A1399">
        <v>836</v>
      </c>
      <c r="B1399" t="s">
        <v>1684</v>
      </c>
      <c r="C1399">
        <v>37.278887130500003</v>
      </c>
      <c r="D1399">
        <v>-6.9941380154999999</v>
      </c>
      <c r="E1399">
        <v>1</v>
      </c>
      <c r="F1399">
        <v>2</v>
      </c>
      <c r="G1399">
        <v>2</v>
      </c>
      <c r="J1399" t="s">
        <v>15</v>
      </c>
      <c r="K1399">
        <v>2</v>
      </c>
      <c r="L1399">
        <v>1.8839999999999999</v>
      </c>
      <c r="M1399">
        <v>0</v>
      </c>
      <c r="N1399" t="s">
        <v>10019</v>
      </c>
      <c r="O1399" t="str">
        <f>HYPERLINK("2\1\marker_240_822924.png", "Ver Imagen")</f>
        <v>Ver Imagen</v>
      </c>
      <c r="P1399" t="str">
        <f>HYPERLINK("SE\A-492\A-492__44.png", "Ver Imagen")</f>
        <v>Ver Imagen</v>
      </c>
    </row>
    <row r="1400" spans="1:16" x14ac:dyDescent="0.25">
      <c r="A1400">
        <v>837</v>
      </c>
      <c r="B1400" t="s">
        <v>1686</v>
      </c>
      <c r="C1400">
        <v>37.279459705199997</v>
      </c>
      <c r="D1400">
        <v>-6.9963001405599998</v>
      </c>
      <c r="E1400">
        <v>1</v>
      </c>
      <c r="F1400">
        <v>2</v>
      </c>
      <c r="G1400">
        <v>2</v>
      </c>
      <c r="J1400" t="s">
        <v>15</v>
      </c>
      <c r="K1400">
        <v>2</v>
      </c>
      <c r="L1400">
        <v>1.923</v>
      </c>
      <c r="M1400">
        <v>0</v>
      </c>
      <c r="N1400" t="s">
        <v>10019</v>
      </c>
      <c r="O1400" t="str">
        <f>HYPERLINK("2\1\marker_635_823043.png", "Ver Imagen")</f>
        <v>Ver Imagen</v>
      </c>
      <c r="P1400" t="str">
        <f>HYPERLINK("SE\A-492\A-492__53.png", "Ver Imagen")</f>
        <v>Ver Imagen</v>
      </c>
    </row>
    <row r="1401" spans="1:16" x14ac:dyDescent="0.25">
      <c r="A1401">
        <v>838</v>
      </c>
      <c r="B1401" t="s">
        <v>1688</v>
      </c>
      <c r="C1401">
        <v>37.279718213700001</v>
      </c>
      <c r="D1401">
        <v>-6.9975567774899998</v>
      </c>
      <c r="E1401">
        <v>1</v>
      </c>
      <c r="F1401">
        <v>2</v>
      </c>
      <c r="G1401">
        <v>2</v>
      </c>
      <c r="J1401" t="s">
        <v>15</v>
      </c>
      <c r="K1401">
        <v>2</v>
      </c>
      <c r="L1401">
        <v>2.0019999999999998</v>
      </c>
      <c r="M1401">
        <v>0</v>
      </c>
      <c r="N1401" t="s">
        <v>10019</v>
      </c>
      <c r="O1401" t="str">
        <f>HYPERLINK("2\1\marker_808_823121.png", "Ver Imagen")</f>
        <v>Ver Imagen</v>
      </c>
      <c r="P1401" t="str">
        <f>HYPERLINK("SE\A-492\A-492__58.png", "Ver Imagen")</f>
        <v>Ver Imagen</v>
      </c>
    </row>
    <row r="1402" spans="1:16" x14ac:dyDescent="0.25">
      <c r="A1402">
        <v>840</v>
      </c>
      <c r="B1402" t="s">
        <v>1692</v>
      </c>
      <c r="C1402">
        <v>37.293269327399997</v>
      </c>
      <c r="D1402">
        <v>-7.0463164872700004</v>
      </c>
      <c r="E1402">
        <v>1</v>
      </c>
      <c r="F1402">
        <v>2</v>
      </c>
      <c r="G1402">
        <v>2</v>
      </c>
      <c r="J1402" t="s">
        <v>15</v>
      </c>
      <c r="K1402">
        <v>2</v>
      </c>
      <c r="L1402">
        <v>2.1280000000000001</v>
      </c>
      <c r="M1402">
        <v>0</v>
      </c>
      <c r="N1402" t="s">
        <v>10019</v>
      </c>
      <c r="O1402" t="str">
        <f>HYPERLINK("2\1\marker_486_837611.png", "Ver Imagen")</f>
        <v>Ver Imagen</v>
      </c>
      <c r="P1402" t="str">
        <f>HYPERLINK("SE\A-492\A-492__305.png", "Ver Imagen")</f>
        <v>Ver Imagen</v>
      </c>
    </row>
    <row r="1403" spans="1:16" x14ac:dyDescent="0.25">
      <c r="A1403">
        <v>841</v>
      </c>
      <c r="B1403" t="s">
        <v>1694</v>
      </c>
      <c r="C1403">
        <v>37.463945422499997</v>
      </c>
      <c r="D1403">
        <v>-7.1186096631</v>
      </c>
      <c r="E1403">
        <v>1</v>
      </c>
      <c r="F1403">
        <v>2</v>
      </c>
      <c r="G1403">
        <v>2</v>
      </c>
      <c r="J1403" t="s">
        <v>15</v>
      </c>
      <c r="K1403">
        <v>2</v>
      </c>
      <c r="L1403">
        <v>1.8260000000000001</v>
      </c>
      <c r="M1403">
        <v>0</v>
      </c>
      <c r="N1403" t="s">
        <v>10019</v>
      </c>
      <c r="O1403" t="str">
        <f>HYPERLINK("2\1\marker_318_895824.png", "Ver Imagen")</f>
        <v>Ver Imagen</v>
      </c>
      <c r="P1403" t="str">
        <f>HYPERLINK("NE\A-495R\A-495R__104.png", "Ver Imagen")</f>
        <v>Ver Imagen</v>
      </c>
    </row>
    <row r="1404" spans="1:16" x14ac:dyDescent="0.25">
      <c r="A1404">
        <v>842</v>
      </c>
      <c r="B1404" t="s">
        <v>1696</v>
      </c>
      <c r="C1404">
        <v>37.463655576299999</v>
      </c>
      <c r="D1404">
        <v>-7.1182990427800004</v>
      </c>
      <c r="E1404">
        <v>1</v>
      </c>
      <c r="F1404">
        <v>2</v>
      </c>
      <c r="G1404">
        <v>2</v>
      </c>
      <c r="J1404" t="s">
        <v>15</v>
      </c>
      <c r="K1404">
        <v>2</v>
      </c>
      <c r="L1404">
        <v>1.905</v>
      </c>
      <c r="M1404">
        <v>0</v>
      </c>
      <c r="N1404" t="s">
        <v>10019</v>
      </c>
      <c r="O1404" t="str">
        <f>HYPERLINK("2\1\marker_940_896575.png", "Ver Imagen")</f>
        <v>Ver Imagen</v>
      </c>
      <c r="P1404" t="str">
        <f>HYPERLINK("NE\A-495R\A-495R__102.png", "Ver Imagen")</f>
        <v>Ver Imagen</v>
      </c>
    </row>
    <row r="1405" spans="1:16" x14ac:dyDescent="0.25">
      <c r="A1405">
        <v>843</v>
      </c>
      <c r="B1405" t="s">
        <v>1698</v>
      </c>
      <c r="C1405">
        <v>37.462954033099997</v>
      </c>
      <c r="D1405">
        <v>-7.1177360116299999</v>
      </c>
      <c r="E1405">
        <v>1</v>
      </c>
      <c r="F1405">
        <v>2</v>
      </c>
      <c r="G1405">
        <v>2</v>
      </c>
      <c r="J1405" t="s">
        <v>15</v>
      </c>
      <c r="K1405">
        <v>2</v>
      </c>
      <c r="L1405">
        <v>1.756</v>
      </c>
      <c r="M1405">
        <v>0</v>
      </c>
      <c r="N1405" t="s">
        <v>10017</v>
      </c>
      <c r="O1405" t="str">
        <f>HYPERLINK("2\1\marker_898_906510.png", "Ver Imagen")</f>
        <v>Ver Imagen</v>
      </c>
      <c r="P1405" t="str">
        <f>HYPERLINK("NE\A-495R\A-495R__98.png", "Ver Imagen")</f>
        <v>Ver Imagen</v>
      </c>
    </row>
    <row r="1406" spans="1:16" x14ac:dyDescent="0.25">
      <c r="A1406">
        <v>844</v>
      </c>
      <c r="B1406" t="s">
        <v>1700</v>
      </c>
      <c r="C1406">
        <v>37.4625984905</v>
      </c>
      <c r="D1406">
        <v>-7.1175123998899998</v>
      </c>
      <c r="E1406">
        <v>1</v>
      </c>
      <c r="F1406">
        <v>2</v>
      </c>
      <c r="G1406">
        <v>2</v>
      </c>
      <c r="J1406" t="s">
        <v>15</v>
      </c>
      <c r="K1406">
        <v>2</v>
      </c>
      <c r="L1406">
        <v>1.7010000000000001</v>
      </c>
      <c r="M1406">
        <v>0</v>
      </c>
      <c r="N1406" t="s">
        <v>10019</v>
      </c>
      <c r="O1406" t="str">
        <f>HYPERLINK("2\1\marker_387_906548.png", "Ver Imagen")</f>
        <v>Ver Imagen</v>
      </c>
      <c r="P1406" t="str">
        <f>HYPERLINK("NE\A-495R\A-495R__96.png", "Ver Imagen")</f>
        <v>Ver Imagen</v>
      </c>
    </row>
    <row r="1407" spans="1:16" x14ac:dyDescent="0.25">
      <c r="A1407">
        <v>845</v>
      </c>
      <c r="B1407" t="s">
        <v>1702</v>
      </c>
      <c r="C1407">
        <v>37.461489547500001</v>
      </c>
      <c r="D1407">
        <v>-7.1164663039100002</v>
      </c>
      <c r="E1407">
        <v>1</v>
      </c>
      <c r="F1407">
        <v>2</v>
      </c>
      <c r="G1407">
        <v>2</v>
      </c>
      <c r="J1407" t="s">
        <v>15</v>
      </c>
      <c r="K1407">
        <v>2</v>
      </c>
      <c r="L1407">
        <v>2.2690000000000001</v>
      </c>
      <c r="M1407">
        <v>0</v>
      </c>
      <c r="N1407" t="s">
        <v>10019</v>
      </c>
      <c r="O1407" t="str">
        <f>HYPERLINK("2\1\marker_164_906629.png", "Ver Imagen")</f>
        <v>Ver Imagen</v>
      </c>
      <c r="P1407" t="str">
        <f>HYPERLINK("NE\A-495R\A-495R__89.png", "Ver Imagen")</f>
        <v>Ver Imagen</v>
      </c>
    </row>
    <row r="1408" spans="1:16" x14ac:dyDescent="0.25">
      <c r="A1408">
        <v>846</v>
      </c>
      <c r="B1408" t="s">
        <v>1704</v>
      </c>
      <c r="C1408">
        <v>37.461060303099998</v>
      </c>
      <c r="D1408">
        <v>-7.1159471334999997</v>
      </c>
      <c r="E1408">
        <v>1</v>
      </c>
      <c r="F1408">
        <v>2</v>
      </c>
      <c r="G1408">
        <v>2</v>
      </c>
      <c r="J1408" t="s">
        <v>15</v>
      </c>
      <c r="K1408">
        <v>2</v>
      </c>
      <c r="L1408">
        <v>1.736</v>
      </c>
      <c r="M1408">
        <v>0</v>
      </c>
      <c r="N1408" t="s">
        <v>10019</v>
      </c>
      <c r="O1408" t="str">
        <f>HYPERLINK("2\1\marker_569_906659.png", "Ver Imagen")</f>
        <v>Ver Imagen</v>
      </c>
      <c r="P1408" t="str">
        <f>HYPERLINK("NE\A-495R\A-495R__86.png", "Ver Imagen")</f>
        <v>Ver Imagen</v>
      </c>
    </row>
    <row r="1409" spans="1:16" x14ac:dyDescent="0.25">
      <c r="A1409">
        <v>847</v>
      </c>
      <c r="B1409" t="s">
        <v>1706</v>
      </c>
      <c r="C1409">
        <v>37.460906127100003</v>
      </c>
      <c r="D1409">
        <v>-7.11577916334</v>
      </c>
      <c r="E1409">
        <v>1</v>
      </c>
      <c r="F1409">
        <v>2</v>
      </c>
      <c r="G1409">
        <v>2</v>
      </c>
      <c r="J1409" t="s">
        <v>15</v>
      </c>
      <c r="K1409">
        <v>2</v>
      </c>
      <c r="L1409">
        <v>1.5549999999999999</v>
      </c>
      <c r="M1409">
        <v>0</v>
      </c>
      <c r="N1409" t="s">
        <v>10019</v>
      </c>
      <c r="O1409" t="str">
        <f>HYPERLINK("2\1\marker_185_906667.png", "Ver Imagen")</f>
        <v>Ver Imagen</v>
      </c>
      <c r="P1409" t="str">
        <f>HYPERLINK("NE\A-495R\A-495R__85.png", "Ver Imagen")</f>
        <v>Ver Imagen</v>
      </c>
    </row>
    <row r="1410" spans="1:16" x14ac:dyDescent="0.25">
      <c r="A1410">
        <v>848</v>
      </c>
      <c r="B1410" t="s">
        <v>1708</v>
      </c>
      <c r="C1410">
        <v>37.4607113219</v>
      </c>
      <c r="D1410">
        <v>-7.1155864381400002</v>
      </c>
      <c r="E1410">
        <v>1</v>
      </c>
      <c r="F1410">
        <v>2</v>
      </c>
      <c r="G1410">
        <v>2</v>
      </c>
      <c r="J1410" t="s">
        <v>15</v>
      </c>
      <c r="K1410">
        <v>2</v>
      </c>
      <c r="L1410">
        <v>1.9590000000000001</v>
      </c>
      <c r="M1410">
        <v>0</v>
      </c>
      <c r="N1410" t="s">
        <v>10019</v>
      </c>
      <c r="O1410" t="str">
        <f>HYPERLINK("2\1\marker_105_906676.png", "Ver Imagen")</f>
        <v>Ver Imagen</v>
      </c>
      <c r="P1410" t="str">
        <f>HYPERLINK("NE\A-495R\A-495R__84.png", "Ver Imagen")</f>
        <v>Ver Imagen</v>
      </c>
    </row>
    <row r="1411" spans="1:16" x14ac:dyDescent="0.25">
      <c r="A1411">
        <v>849</v>
      </c>
      <c r="B1411" t="s">
        <v>1710</v>
      </c>
      <c r="C1411">
        <v>37.460554192099998</v>
      </c>
      <c r="D1411">
        <v>-7.1154538592099996</v>
      </c>
      <c r="E1411">
        <v>1</v>
      </c>
      <c r="F1411">
        <v>2</v>
      </c>
      <c r="G1411">
        <v>2</v>
      </c>
      <c r="J1411" t="s">
        <v>15</v>
      </c>
      <c r="K1411">
        <v>2</v>
      </c>
      <c r="L1411">
        <v>1.661</v>
      </c>
      <c r="M1411">
        <v>0</v>
      </c>
      <c r="N1411" t="s">
        <v>10018</v>
      </c>
      <c r="O1411" t="str">
        <f>HYPERLINK("2\1\marker_932_906687.png", "Ver Imagen")</f>
        <v>Ver Imagen</v>
      </c>
      <c r="P1411" t="str">
        <f>HYPERLINK("NE\A-495R\A-495R__83.png", "Ver Imagen")</f>
        <v>Ver Imagen</v>
      </c>
    </row>
    <row r="1412" spans="1:16" x14ac:dyDescent="0.25">
      <c r="A1412">
        <v>850</v>
      </c>
      <c r="B1412" t="s">
        <v>1712</v>
      </c>
      <c r="C1412">
        <v>37.460386176900002</v>
      </c>
      <c r="D1412">
        <v>-7.1153362093799997</v>
      </c>
      <c r="E1412">
        <v>1</v>
      </c>
      <c r="F1412">
        <v>2</v>
      </c>
      <c r="G1412">
        <v>2</v>
      </c>
      <c r="J1412" t="s">
        <v>15</v>
      </c>
      <c r="K1412">
        <v>2</v>
      </c>
      <c r="L1412">
        <v>2.13</v>
      </c>
      <c r="M1412">
        <v>0</v>
      </c>
      <c r="N1412" t="s">
        <v>10019</v>
      </c>
      <c r="O1412" t="str">
        <f>HYPERLINK("2\1\marker_114_906697.png", "Ver Imagen")</f>
        <v>Ver Imagen</v>
      </c>
      <c r="P1412" t="str">
        <f>HYPERLINK("NE\A-495R\A-495R__82.png", "Ver Imagen")</f>
        <v>Ver Imagen</v>
      </c>
    </row>
    <row r="1413" spans="1:16" x14ac:dyDescent="0.25">
      <c r="A1413">
        <v>851</v>
      </c>
      <c r="B1413" t="s">
        <v>1714</v>
      </c>
      <c r="C1413">
        <v>37.4602001226</v>
      </c>
      <c r="D1413">
        <v>-7.1152239470099996</v>
      </c>
      <c r="E1413">
        <v>1</v>
      </c>
      <c r="F1413">
        <v>2</v>
      </c>
      <c r="G1413">
        <v>2</v>
      </c>
      <c r="J1413" t="s">
        <v>15</v>
      </c>
      <c r="K1413">
        <v>2</v>
      </c>
      <c r="L1413">
        <v>2.2400000000000002</v>
      </c>
      <c r="M1413">
        <v>0</v>
      </c>
      <c r="N1413" t="s">
        <v>10017</v>
      </c>
      <c r="O1413" t="str">
        <f>HYPERLINK("2\1\marker_900_906705.png", "Ver Imagen")</f>
        <v>Ver Imagen</v>
      </c>
      <c r="P1413" t="str">
        <f>HYPERLINK("NE\A-495R\A-495R__81.png", "Ver Imagen")</f>
        <v>Ver Imagen</v>
      </c>
    </row>
    <row r="1414" spans="1:16" x14ac:dyDescent="0.25">
      <c r="A1414">
        <v>852</v>
      </c>
      <c r="B1414" t="s">
        <v>1716</v>
      </c>
      <c r="C1414">
        <v>37.459617800799997</v>
      </c>
      <c r="D1414">
        <v>-7.1149808262200001</v>
      </c>
      <c r="E1414">
        <v>1</v>
      </c>
      <c r="F1414">
        <v>2</v>
      </c>
      <c r="G1414">
        <v>2</v>
      </c>
      <c r="J1414" t="s">
        <v>15</v>
      </c>
      <c r="K1414">
        <v>2</v>
      </c>
      <c r="L1414">
        <v>1.718</v>
      </c>
      <c r="M1414">
        <v>0</v>
      </c>
      <c r="N1414" t="s">
        <v>10019</v>
      </c>
      <c r="O1414" t="str">
        <f>HYPERLINK("2\1\marker_212_906744.png", "Ver Imagen")</f>
        <v>Ver Imagen</v>
      </c>
      <c r="P1414" t="str">
        <f>HYPERLINK("NE\A-495R\A-495R__78.png", "Ver Imagen")</f>
        <v>Ver Imagen</v>
      </c>
    </row>
    <row r="1415" spans="1:16" x14ac:dyDescent="0.25">
      <c r="A1415">
        <v>853</v>
      </c>
      <c r="B1415" t="s">
        <v>1718</v>
      </c>
      <c r="C1415">
        <v>37.458847674600001</v>
      </c>
      <c r="D1415">
        <v>-7.1147492187900001</v>
      </c>
      <c r="E1415">
        <v>1</v>
      </c>
      <c r="F1415">
        <v>2</v>
      </c>
      <c r="G1415">
        <v>2</v>
      </c>
      <c r="J1415" t="s">
        <v>15</v>
      </c>
      <c r="K1415">
        <v>2</v>
      </c>
      <c r="L1415">
        <v>1.9870000000000001</v>
      </c>
      <c r="M1415">
        <v>0</v>
      </c>
      <c r="N1415" t="s">
        <v>10018</v>
      </c>
      <c r="O1415" t="str">
        <f>HYPERLINK("2\1\marker_911_935170.png", "Ver Imagen")</f>
        <v>Ver Imagen</v>
      </c>
      <c r="P1415" t="str">
        <f>HYPERLINK("NE\A-495R\A-495R__74.png", "Ver Imagen")</f>
        <v>Ver Imagen</v>
      </c>
    </row>
    <row r="1416" spans="1:16" x14ac:dyDescent="0.25">
      <c r="A1416">
        <v>854</v>
      </c>
      <c r="B1416" t="s">
        <v>1720</v>
      </c>
      <c r="C1416">
        <v>37.458681743299998</v>
      </c>
      <c r="D1416">
        <v>-7.1146735045199998</v>
      </c>
      <c r="E1416">
        <v>1</v>
      </c>
      <c r="F1416">
        <v>2</v>
      </c>
      <c r="G1416">
        <v>2</v>
      </c>
      <c r="J1416" t="s">
        <v>15</v>
      </c>
      <c r="K1416">
        <v>2</v>
      </c>
      <c r="L1416">
        <v>2.13</v>
      </c>
      <c r="M1416">
        <v>0</v>
      </c>
      <c r="N1416" t="s">
        <v>10019</v>
      </c>
      <c r="O1416" t="str">
        <f>HYPERLINK("2\1\marker_373_935182.png", "Ver Imagen")</f>
        <v>Ver Imagen</v>
      </c>
      <c r="P1416" t="str">
        <f>HYPERLINK("NE\A-495R\A-495R__73.png", "Ver Imagen")</f>
        <v>Ver Imagen</v>
      </c>
    </row>
    <row r="1417" spans="1:16" x14ac:dyDescent="0.25">
      <c r="A1417">
        <v>855</v>
      </c>
      <c r="B1417" t="s">
        <v>1722</v>
      </c>
      <c r="C1417">
        <v>37.192929090699998</v>
      </c>
      <c r="D1417">
        <v>-6.9951238774000002</v>
      </c>
      <c r="E1417">
        <v>1</v>
      </c>
      <c r="F1417">
        <v>2</v>
      </c>
      <c r="G1417">
        <v>2</v>
      </c>
      <c r="J1417" t="s">
        <v>15</v>
      </c>
      <c r="K1417">
        <v>2</v>
      </c>
      <c r="L1417">
        <v>1.9930000000000001</v>
      </c>
      <c r="M1417">
        <v>0</v>
      </c>
      <c r="N1417" t="s">
        <v>10019</v>
      </c>
      <c r="O1417" t="str">
        <f>HYPERLINK("2\1\marker_745_945351.png", "Ver Imagen")</f>
        <v>Ver Imagen</v>
      </c>
      <c r="P1417" t="str">
        <f>HYPERLINK("SE\A-5050\A-5050__152.png", "Ver Imagen")</f>
        <v>Ver Imagen</v>
      </c>
    </row>
    <row r="1418" spans="1:16" x14ac:dyDescent="0.25">
      <c r="A1418">
        <v>856</v>
      </c>
      <c r="B1418" t="s">
        <v>1724</v>
      </c>
      <c r="C1418">
        <v>37.194785580599998</v>
      </c>
      <c r="D1418">
        <v>-6.9996149323700001</v>
      </c>
      <c r="E1418">
        <v>1</v>
      </c>
      <c r="F1418">
        <v>2</v>
      </c>
      <c r="G1418">
        <v>2</v>
      </c>
      <c r="J1418" t="s">
        <v>15</v>
      </c>
      <c r="K1418">
        <v>2</v>
      </c>
      <c r="L1418">
        <v>1.85</v>
      </c>
      <c r="M1418">
        <v>0</v>
      </c>
      <c r="N1418" t="s">
        <v>10019</v>
      </c>
      <c r="O1418" t="str">
        <f>HYPERLINK("2\1\marker_804_945925.png", "Ver Imagen")</f>
        <v>Ver Imagen</v>
      </c>
      <c r="P1418" t="str">
        <f>HYPERLINK("SE\A-5050\A-5050__132.png", "Ver Imagen")</f>
        <v>Ver Imagen</v>
      </c>
    </row>
    <row r="1419" spans="1:16" x14ac:dyDescent="0.25">
      <c r="A1419">
        <v>857</v>
      </c>
      <c r="B1419" t="s">
        <v>1726</v>
      </c>
      <c r="C1419">
        <v>37.218440774400001</v>
      </c>
      <c r="D1419">
        <v>-7.1249658419699999</v>
      </c>
      <c r="E1419">
        <v>1</v>
      </c>
      <c r="F1419">
        <v>2</v>
      </c>
      <c r="G1419">
        <v>2</v>
      </c>
      <c r="J1419" t="s">
        <v>15</v>
      </c>
      <c r="K1419">
        <v>2</v>
      </c>
      <c r="L1419">
        <v>2.2999999999999998</v>
      </c>
      <c r="M1419">
        <v>0</v>
      </c>
      <c r="N1419" t="s">
        <v>10019</v>
      </c>
      <c r="O1419" t="str">
        <f>HYPERLINK("2\1\marker_893_949904.png", "Ver Imagen")</f>
        <v>Ver Imagen</v>
      </c>
      <c r="P1419" t="str">
        <f>HYPERLINK("SO\A-5052\A-5052__4.png", "Ver Imagen")</f>
        <v>Ver Imagen</v>
      </c>
    </row>
    <row r="1420" spans="1:16" x14ac:dyDescent="0.25">
      <c r="A1420">
        <v>858</v>
      </c>
      <c r="B1420" t="s">
        <v>1728</v>
      </c>
      <c r="C1420">
        <v>37.218403694499997</v>
      </c>
      <c r="D1420">
        <v>-7.1247209317799998</v>
      </c>
      <c r="E1420">
        <v>1</v>
      </c>
      <c r="F1420">
        <v>2</v>
      </c>
      <c r="G1420">
        <v>2</v>
      </c>
      <c r="J1420" t="s">
        <v>15</v>
      </c>
      <c r="K1420">
        <v>2</v>
      </c>
      <c r="L1420">
        <v>2.0419999999999998</v>
      </c>
      <c r="M1420">
        <v>0</v>
      </c>
      <c r="N1420" t="s">
        <v>10019</v>
      </c>
      <c r="O1420" t="str">
        <f>HYPERLINK("2\1\marker_380_949914.png", "Ver Imagen")</f>
        <v>Ver Imagen</v>
      </c>
      <c r="P1420" t="str">
        <f>HYPERLINK("SO\A-5052\A-5052__5.png", "Ver Imagen")</f>
        <v>Ver Imagen</v>
      </c>
    </row>
    <row r="1421" spans="1:16" x14ac:dyDescent="0.25">
      <c r="A1421">
        <v>860</v>
      </c>
      <c r="B1421" t="s">
        <v>1732</v>
      </c>
      <c r="C1421">
        <v>37.218129223399998</v>
      </c>
      <c r="D1421">
        <v>-7.1227160464599999</v>
      </c>
      <c r="E1421">
        <v>1</v>
      </c>
      <c r="F1421">
        <v>2</v>
      </c>
      <c r="G1421">
        <v>2</v>
      </c>
      <c r="J1421" t="s">
        <v>15</v>
      </c>
      <c r="K1421">
        <v>2</v>
      </c>
      <c r="L1421">
        <v>1.984</v>
      </c>
      <c r="M1421">
        <v>0</v>
      </c>
      <c r="N1421" t="s">
        <v>10019</v>
      </c>
      <c r="O1421" t="str">
        <f>HYPERLINK("2\1\marker_807_950135.png", "Ver Imagen")</f>
        <v>Ver Imagen</v>
      </c>
      <c r="P1421" t="str">
        <f>HYPERLINK("SO\A-5052\A-5052__13.png", "Ver Imagen")</f>
        <v>Ver Imagen</v>
      </c>
    </row>
    <row r="1422" spans="1:16" x14ac:dyDescent="0.25">
      <c r="A1422">
        <v>861</v>
      </c>
      <c r="B1422" t="s">
        <v>1734</v>
      </c>
      <c r="C1422">
        <v>37.218033820899997</v>
      </c>
      <c r="D1422">
        <v>-7.12052209373</v>
      </c>
      <c r="E1422">
        <v>1</v>
      </c>
      <c r="F1422">
        <v>2</v>
      </c>
      <c r="G1422">
        <v>2</v>
      </c>
      <c r="J1422" t="s">
        <v>15</v>
      </c>
      <c r="K1422">
        <v>2</v>
      </c>
      <c r="L1422">
        <v>2.0150000000000001</v>
      </c>
      <c r="M1422">
        <v>0</v>
      </c>
      <c r="N1422" t="s">
        <v>10017</v>
      </c>
      <c r="O1422" t="str">
        <f>HYPERLINK("2\1\marker_715_951496.png", "Ver Imagen")</f>
        <v>Ver Imagen</v>
      </c>
      <c r="P1422" t="str">
        <f>HYPERLINK("SO\A-5052\A-5052__22.png", "Ver Imagen")</f>
        <v>Ver Imagen</v>
      </c>
    </row>
    <row r="1423" spans="1:16" x14ac:dyDescent="0.25">
      <c r="A1423">
        <v>862</v>
      </c>
      <c r="B1423" t="s">
        <v>1736</v>
      </c>
      <c r="C1423">
        <v>37.218123278</v>
      </c>
      <c r="D1423">
        <v>-7.1192430098699999</v>
      </c>
      <c r="E1423">
        <v>1</v>
      </c>
      <c r="F1423">
        <v>2</v>
      </c>
      <c r="G1423">
        <v>2</v>
      </c>
      <c r="J1423" t="s">
        <v>15</v>
      </c>
      <c r="K1423">
        <v>2</v>
      </c>
      <c r="L1423">
        <v>2.1259999999999999</v>
      </c>
      <c r="M1423">
        <v>0</v>
      </c>
      <c r="N1423" t="s">
        <v>10019</v>
      </c>
      <c r="O1423" t="str">
        <f>HYPERLINK("2\1\marker_142_951564.png", "Ver Imagen")</f>
        <v>Ver Imagen</v>
      </c>
      <c r="P1423" t="str">
        <f>HYPERLINK("SO\A-5052\A-5052__27.png", "Ver Imagen")</f>
        <v>Ver Imagen</v>
      </c>
    </row>
    <row r="1424" spans="1:16" x14ac:dyDescent="0.25">
      <c r="A1424">
        <v>863</v>
      </c>
      <c r="B1424" t="s">
        <v>1738</v>
      </c>
      <c r="C1424">
        <v>37.217965743699999</v>
      </c>
      <c r="D1424">
        <v>-7.1174465506000004</v>
      </c>
      <c r="E1424">
        <v>1</v>
      </c>
      <c r="F1424">
        <v>2</v>
      </c>
      <c r="G1424">
        <v>2</v>
      </c>
      <c r="J1424" t="s">
        <v>15</v>
      </c>
      <c r="K1424">
        <v>2</v>
      </c>
      <c r="L1424">
        <v>2.1349999999999998</v>
      </c>
      <c r="M1424">
        <v>0</v>
      </c>
      <c r="N1424" t="s">
        <v>10019</v>
      </c>
      <c r="O1424" t="str">
        <f>HYPERLINK("2\1\marker_510_951749.png", "Ver Imagen")</f>
        <v>Ver Imagen</v>
      </c>
      <c r="P1424" t="str">
        <f>HYPERLINK("SO\A-5052\A-5052__34.png", "Ver Imagen")</f>
        <v>Ver Imagen</v>
      </c>
    </row>
    <row r="1425" spans="1:16" x14ac:dyDescent="0.25">
      <c r="A1425">
        <v>864</v>
      </c>
      <c r="B1425" t="s">
        <v>1740</v>
      </c>
      <c r="C1425">
        <v>37.217662902599997</v>
      </c>
      <c r="D1425">
        <v>-7.1152308655100001</v>
      </c>
      <c r="E1425">
        <v>1</v>
      </c>
      <c r="F1425">
        <v>2</v>
      </c>
      <c r="G1425">
        <v>2</v>
      </c>
      <c r="J1425" t="s">
        <v>15</v>
      </c>
      <c r="K1425">
        <v>2</v>
      </c>
      <c r="L1425">
        <v>1.9970000000000001</v>
      </c>
      <c r="M1425">
        <v>0</v>
      </c>
      <c r="N1425" t="s">
        <v>10019</v>
      </c>
      <c r="O1425" t="str">
        <f>HYPERLINK("2\1\marker_785_956844.png", "Ver Imagen")</f>
        <v>Ver Imagen</v>
      </c>
      <c r="P1425" t="str">
        <f>HYPERLINK("SO\A-5052\A-5052__43.png", "Ver Imagen")</f>
        <v>Ver Imagen</v>
      </c>
    </row>
    <row r="1426" spans="1:16" x14ac:dyDescent="0.25">
      <c r="A1426">
        <v>865</v>
      </c>
      <c r="B1426" t="s">
        <v>1742</v>
      </c>
      <c r="C1426">
        <v>37.217631330000003</v>
      </c>
      <c r="D1426">
        <v>-7.1149995823600003</v>
      </c>
      <c r="E1426">
        <v>1</v>
      </c>
      <c r="F1426">
        <v>2</v>
      </c>
      <c r="G1426">
        <v>2</v>
      </c>
      <c r="J1426" t="s">
        <v>15</v>
      </c>
      <c r="K1426">
        <v>2</v>
      </c>
      <c r="L1426">
        <v>2.2280000000000002</v>
      </c>
      <c r="M1426">
        <v>0</v>
      </c>
      <c r="N1426" t="s">
        <v>10019</v>
      </c>
      <c r="O1426" t="str">
        <f>HYPERLINK("2\1\marker_631_956855.png", "Ver Imagen")</f>
        <v>Ver Imagen</v>
      </c>
      <c r="P1426" t="str">
        <f>HYPERLINK("SO\A-5052\A-5052__44.png", "Ver Imagen")</f>
        <v>Ver Imagen</v>
      </c>
    </row>
    <row r="1427" spans="1:16" x14ac:dyDescent="0.25">
      <c r="A1427">
        <v>866</v>
      </c>
      <c r="B1427" t="s">
        <v>1744</v>
      </c>
      <c r="C1427">
        <v>37.217568434199997</v>
      </c>
      <c r="D1427">
        <v>-7.1145055916700004</v>
      </c>
      <c r="E1427">
        <v>1</v>
      </c>
      <c r="F1427">
        <v>2</v>
      </c>
      <c r="G1427">
        <v>2</v>
      </c>
      <c r="J1427" t="s">
        <v>15</v>
      </c>
      <c r="K1427">
        <v>2</v>
      </c>
      <c r="L1427">
        <v>1.7529999999999999</v>
      </c>
      <c r="M1427">
        <v>0</v>
      </c>
      <c r="N1427" t="s">
        <v>10019</v>
      </c>
      <c r="O1427" t="str">
        <f>HYPERLINK("2\1\marker_193_956878.png", "Ver Imagen")</f>
        <v>Ver Imagen</v>
      </c>
      <c r="P1427" t="str">
        <f>HYPERLINK("SO\A-5052\A-5052__46.png", "Ver Imagen")</f>
        <v>Ver Imagen</v>
      </c>
    </row>
    <row r="1428" spans="1:16" x14ac:dyDescent="0.25">
      <c r="A1428">
        <v>867</v>
      </c>
      <c r="B1428" t="s">
        <v>1746</v>
      </c>
      <c r="C1428">
        <v>37.217536661099999</v>
      </c>
      <c r="D1428">
        <v>-7.1142181901699999</v>
      </c>
      <c r="E1428">
        <v>1</v>
      </c>
      <c r="F1428">
        <v>2</v>
      </c>
      <c r="G1428">
        <v>2</v>
      </c>
      <c r="J1428" t="s">
        <v>15</v>
      </c>
      <c r="K1428">
        <v>2</v>
      </c>
      <c r="L1428">
        <v>2.1379999999999999</v>
      </c>
      <c r="M1428">
        <v>0</v>
      </c>
      <c r="N1428" t="s">
        <v>10019</v>
      </c>
      <c r="O1428" t="str">
        <f>HYPERLINK("2\1\marker_244_956892.png", "Ver Imagen")</f>
        <v>Ver Imagen</v>
      </c>
      <c r="P1428" t="str">
        <f>HYPERLINK("SO\A-5052\A-5052__47.png", "Ver Imagen")</f>
        <v>Ver Imagen</v>
      </c>
    </row>
    <row r="1429" spans="1:16" x14ac:dyDescent="0.25">
      <c r="A1429">
        <v>869</v>
      </c>
      <c r="B1429" t="s">
        <v>1750</v>
      </c>
      <c r="C1429">
        <v>37.217628805700002</v>
      </c>
      <c r="D1429">
        <v>-7.1107175697000002</v>
      </c>
      <c r="E1429">
        <v>1</v>
      </c>
      <c r="F1429">
        <v>2</v>
      </c>
      <c r="G1429">
        <v>2</v>
      </c>
      <c r="J1429" t="s">
        <v>15</v>
      </c>
      <c r="K1429">
        <v>2</v>
      </c>
      <c r="L1429">
        <v>1.984</v>
      </c>
      <c r="M1429">
        <v>0</v>
      </c>
      <c r="N1429" t="s">
        <v>10019</v>
      </c>
      <c r="O1429" t="str">
        <f>HYPERLINK("2\1\marker_959_957077.png", "Ver Imagen")</f>
        <v>Ver Imagen</v>
      </c>
      <c r="P1429" t="str">
        <f>HYPERLINK("SO\A-5052\A-5052__61.png", "Ver Imagen")</f>
        <v>Ver Imagen</v>
      </c>
    </row>
    <row r="1430" spans="1:16" x14ac:dyDescent="0.25">
      <c r="A1430">
        <v>870</v>
      </c>
      <c r="B1430" t="s">
        <v>1752</v>
      </c>
      <c r="C1430">
        <v>37.217654695500002</v>
      </c>
      <c r="D1430">
        <v>-7.1099498724099996</v>
      </c>
      <c r="E1430">
        <v>1</v>
      </c>
      <c r="F1430">
        <v>2</v>
      </c>
      <c r="G1430">
        <v>2</v>
      </c>
      <c r="J1430" t="s">
        <v>15</v>
      </c>
      <c r="K1430">
        <v>2</v>
      </c>
      <c r="L1430">
        <v>1.6779999999999999</v>
      </c>
      <c r="M1430">
        <v>0</v>
      </c>
      <c r="N1430" t="s">
        <v>10017</v>
      </c>
      <c r="O1430" t="str">
        <f>HYPERLINK("2\1\marker_302_957111.png", "Ver Imagen")</f>
        <v>Ver Imagen</v>
      </c>
      <c r="P1430" t="str">
        <f>HYPERLINK("SO\A-5052\A-5052__64.png", "Ver Imagen")</f>
        <v>Ver Imagen</v>
      </c>
    </row>
    <row r="1431" spans="1:16" x14ac:dyDescent="0.25">
      <c r="A1431">
        <v>871</v>
      </c>
      <c r="B1431" t="s">
        <v>1754</v>
      </c>
      <c r="C1431">
        <v>37.2176532581</v>
      </c>
      <c r="D1431">
        <v>-7.1096820949600001</v>
      </c>
      <c r="E1431">
        <v>1</v>
      </c>
      <c r="F1431">
        <v>2</v>
      </c>
      <c r="G1431">
        <v>2</v>
      </c>
      <c r="J1431" t="s">
        <v>15</v>
      </c>
      <c r="K1431">
        <v>2</v>
      </c>
      <c r="L1431">
        <v>1.873</v>
      </c>
      <c r="M1431">
        <v>0</v>
      </c>
      <c r="N1431" t="s">
        <v>10019</v>
      </c>
      <c r="O1431" t="str">
        <f>HYPERLINK("2\1\marker_498_957120.png", "Ver Imagen")</f>
        <v>Ver Imagen</v>
      </c>
      <c r="P1431" t="str">
        <f>HYPERLINK("SO\A-5052\A-5052__65.png", "Ver Imagen")</f>
        <v>Ver Imagen</v>
      </c>
    </row>
    <row r="1432" spans="1:16" x14ac:dyDescent="0.25">
      <c r="A1432">
        <v>872</v>
      </c>
      <c r="B1432" t="s">
        <v>1756</v>
      </c>
      <c r="C1432">
        <v>37.217597098100001</v>
      </c>
      <c r="D1432">
        <v>-7.1089546803300001</v>
      </c>
      <c r="E1432">
        <v>1</v>
      </c>
      <c r="F1432">
        <v>2</v>
      </c>
      <c r="G1432">
        <v>2</v>
      </c>
      <c r="J1432" t="s">
        <v>15</v>
      </c>
      <c r="K1432">
        <v>2</v>
      </c>
      <c r="L1432">
        <v>1.673</v>
      </c>
      <c r="M1432">
        <v>0</v>
      </c>
      <c r="N1432" t="s">
        <v>10019</v>
      </c>
      <c r="O1432" t="str">
        <f>HYPERLINK("2\1\marker_871_957151.png", "Ver Imagen")</f>
        <v>Ver Imagen</v>
      </c>
      <c r="P1432" t="str">
        <f>HYPERLINK("SO\A-5052\A-5052__68.png", "Ver Imagen")</f>
        <v>Ver Imagen</v>
      </c>
    </row>
    <row r="1433" spans="1:16" x14ac:dyDescent="0.25">
      <c r="A1433">
        <v>873</v>
      </c>
      <c r="B1433" t="s">
        <v>1758</v>
      </c>
      <c r="C1433">
        <v>37.2175286684</v>
      </c>
      <c r="D1433">
        <v>-7.1084601883999996</v>
      </c>
      <c r="E1433">
        <v>1</v>
      </c>
      <c r="F1433">
        <v>2</v>
      </c>
      <c r="G1433">
        <v>2</v>
      </c>
      <c r="J1433" t="s">
        <v>15</v>
      </c>
      <c r="K1433">
        <v>2</v>
      </c>
      <c r="L1433">
        <v>1.8740000000000001</v>
      </c>
      <c r="M1433">
        <v>0</v>
      </c>
      <c r="N1433" t="s">
        <v>10019</v>
      </c>
      <c r="O1433" t="str">
        <f>HYPERLINK("2\1\marker_574_957177.png", "Ver Imagen")</f>
        <v>Ver Imagen</v>
      </c>
      <c r="P1433" t="str">
        <f>HYPERLINK("SO\A-5052\A-5052__70.png", "Ver Imagen")</f>
        <v>Ver Imagen</v>
      </c>
    </row>
    <row r="1434" spans="1:16" x14ac:dyDescent="0.25">
      <c r="A1434">
        <v>874</v>
      </c>
      <c r="B1434" t="s">
        <v>1760</v>
      </c>
      <c r="C1434">
        <v>37.217416203100001</v>
      </c>
      <c r="D1434">
        <v>-7.1077097266999996</v>
      </c>
      <c r="E1434">
        <v>1</v>
      </c>
      <c r="F1434">
        <v>2</v>
      </c>
      <c r="G1434">
        <v>2</v>
      </c>
      <c r="J1434" t="s">
        <v>15</v>
      </c>
      <c r="K1434">
        <v>2</v>
      </c>
      <c r="L1434">
        <v>1.865</v>
      </c>
      <c r="M1434">
        <v>0</v>
      </c>
      <c r="N1434" t="s">
        <v>10019</v>
      </c>
      <c r="O1434" t="str">
        <f>HYPERLINK("2\1\marker_818_957207.png", "Ver Imagen")</f>
        <v>Ver Imagen</v>
      </c>
      <c r="P1434" t="str">
        <f>HYPERLINK("SO\A-5052\A-5052__73.png", "Ver Imagen")</f>
        <v>Ver Imagen</v>
      </c>
    </row>
    <row r="1435" spans="1:16" x14ac:dyDescent="0.25">
      <c r="A1435">
        <v>875</v>
      </c>
      <c r="B1435" t="s">
        <v>1762</v>
      </c>
      <c r="C1435">
        <v>37.217378334300001</v>
      </c>
      <c r="D1435">
        <v>-7.1074569004199999</v>
      </c>
      <c r="E1435">
        <v>1</v>
      </c>
      <c r="F1435">
        <v>2</v>
      </c>
      <c r="G1435">
        <v>2</v>
      </c>
      <c r="J1435" t="s">
        <v>15</v>
      </c>
      <c r="K1435">
        <v>2</v>
      </c>
      <c r="L1435">
        <v>1.5349999999999999</v>
      </c>
      <c r="M1435">
        <v>0</v>
      </c>
      <c r="N1435" t="s">
        <v>10019</v>
      </c>
      <c r="O1435" t="str">
        <f>HYPERLINK("2\1\marker_867_957217.png", "Ver Imagen")</f>
        <v>Ver Imagen</v>
      </c>
      <c r="P1435" t="str">
        <f>HYPERLINK("SO\A-5052\A-5052__74.png", "Ver Imagen")</f>
        <v>Ver Imagen</v>
      </c>
    </row>
    <row r="1436" spans="1:16" x14ac:dyDescent="0.25">
      <c r="A1436">
        <v>876</v>
      </c>
      <c r="B1436" t="s">
        <v>1764</v>
      </c>
      <c r="C1436">
        <v>37.217346823699998</v>
      </c>
      <c r="D1436">
        <v>-7.1072404280499999</v>
      </c>
      <c r="E1436">
        <v>1</v>
      </c>
      <c r="F1436">
        <v>2</v>
      </c>
      <c r="G1436">
        <v>2</v>
      </c>
      <c r="J1436" t="s">
        <v>15</v>
      </c>
      <c r="K1436">
        <v>2</v>
      </c>
      <c r="L1436">
        <v>2.0529999999999999</v>
      </c>
      <c r="M1436">
        <v>0</v>
      </c>
      <c r="N1436" t="s">
        <v>10019</v>
      </c>
      <c r="O1436" t="str">
        <f>HYPERLINK("2\1\marker_220_957229.png", "Ver Imagen")</f>
        <v>Ver Imagen</v>
      </c>
      <c r="P1436" t="str">
        <f>HYPERLINK("SO\A-5052\A-5052__75.png", "Ver Imagen")</f>
        <v>Ver Imagen</v>
      </c>
    </row>
    <row r="1437" spans="1:16" x14ac:dyDescent="0.25">
      <c r="A1437">
        <v>877</v>
      </c>
      <c r="B1437" t="s">
        <v>1766</v>
      </c>
      <c r="C1437">
        <v>37.217013741999999</v>
      </c>
      <c r="D1437">
        <v>-7.1044525390300004</v>
      </c>
      <c r="E1437">
        <v>1</v>
      </c>
      <c r="F1437">
        <v>2</v>
      </c>
      <c r="G1437">
        <v>2</v>
      </c>
      <c r="J1437" t="s">
        <v>15</v>
      </c>
      <c r="K1437">
        <v>2</v>
      </c>
      <c r="L1437">
        <v>2.0190000000000001</v>
      </c>
      <c r="M1437">
        <v>0</v>
      </c>
      <c r="N1437" t="s">
        <v>10019</v>
      </c>
      <c r="O1437" t="str">
        <f>HYPERLINK("2\1\marker_801_957444.png", "Ver Imagen")</f>
        <v>Ver Imagen</v>
      </c>
      <c r="P1437" t="str">
        <f>HYPERLINK("SO\A-5052\A-5052__86.png", "Ver Imagen")</f>
        <v>Ver Imagen</v>
      </c>
    </row>
    <row r="1438" spans="1:16" x14ac:dyDescent="0.25">
      <c r="A1438">
        <v>878</v>
      </c>
      <c r="B1438" t="s">
        <v>1768</v>
      </c>
      <c r="C1438">
        <v>37.2169908949</v>
      </c>
      <c r="D1438">
        <v>-7.1041874463300001</v>
      </c>
      <c r="E1438">
        <v>1</v>
      </c>
      <c r="F1438">
        <v>2</v>
      </c>
      <c r="G1438">
        <v>2</v>
      </c>
      <c r="J1438" t="s">
        <v>15</v>
      </c>
      <c r="K1438">
        <v>2</v>
      </c>
      <c r="L1438">
        <v>1.5029999999999999</v>
      </c>
      <c r="M1438">
        <v>0</v>
      </c>
      <c r="N1438" t="s">
        <v>10019</v>
      </c>
      <c r="O1438" t="str">
        <f>HYPERLINK("2\1\marker_919_957466.png", "Ver Imagen")</f>
        <v>Ver Imagen</v>
      </c>
      <c r="P1438" t="str">
        <f>HYPERLINK("SO\A-5052\A-5052__87.png", "Ver Imagen")</f>
        <v>Ver Imagen</v>
      </c>
    </row>
    <row r="1439" spans="1:16" x14ac:dyDescent="0.25">
      <c r="A1439">
        <v>880</v>
      </c>
      <c r="B1439" t="s">
        <v>1772</v>
      </c>
      <c r="C1439">
        <v>37.216864647400001</v>
      </c>
      <c r="D1439">
        <v>-7.1027120650000004</v>
      </c>
      <c r="E1439">
        <v>1</v>
      </c>
      <c r="F1439">
        <v>2</v>
      </c>
      <c r="G1439">
        <v>2</v>
      </c>
      <c r="J1439" t="s">
        <v>15</v>
      </c>
      <c r="K1439">
        <v>2</v>
      </c>
      <c r="L1439">
        <v>1.821</v>
      </c>
      <c r="M1439">
        <v>0</v>
      </c>
      <c r="N1439" t="s">
        <v>10019</v>
      </c>
      <c r="O1439" t="str">
        <f>HYPERLINK("2\1\marker_949_957537.png", "Ver Imagen")</f>
        <v>Ver Imagen</v>
      </c>
      <c r="P1439" t="str">
        <f>HYPERLINK("SE\A-5052\A-5052__93.png", "Ver Imagen")</f>
        <v>Ver Imagen</v>
      </c>
    </row>
    <row r="1440" spans="1:16" x14ac:dyDescent="0.25">
      <c r="A1440">
        <v>880</v>
      </c>
      <c r="B1440" t="s">
        <v>1772</v>
      </c>
      <c r="C1440">
        <v>37.216864647400001</v>
      </c>
      <c r="D1440">
        <v>-7.1027120650000004</v>
      </c>
      <c r="E1440">
        <v>1</v>
      </c>
      <c r="F1440">
        <v>2</v>
      </c>
      <c r="G1440">
        <v>2</v>
      </c>
      <c r="J1440" t="s">
        <v>15</v>
      </c>
      <c r="K1440">
        <v>2</v>
      </c>
      <c r="L1440">
        <v>1.93</v>
      </c>
      <c r="M1440">
        <v>0</v>
      </c>
      <c r="N1440" t="s">
        <v>10019</v>
      </c>
      <c r="O1440" t="str">
        <f>HYPERLINK("2\1\marker_949_957537.png", "Ver Imagen")</f>
        <v>Ver Imagen</v>
      </c>
      <c r="P1440" t="str">
        <f>HYPERLINK("SO\A-5052\A-5052__93.png", "Ver Imagen")</f>
        <v>Ver Imagen</v>
      </c>
    </row>
    <row r="1441" spans="1:16" x14ac:dyDescent="0.25">
      <c r="A1441">
        <v>881</v>
      </c>
      <c r="B1441" t="s">
        <v>1774</v>
      </c>
      <c r="C1441">
        <v>37.216817804900003</v>
      </c>
      <c r="D1441">
        <v>-7.1022066214299997</v>
      </c>
      <c r="E1441">
        <v>1</v>
      </c>
      <c r="F1441">
        <v>2</v>
      </c>
      <c r="G1441">
        <v>2</v>
      </c>
      <c r="J1441" t="s">
        <v>15</v>
      </c>
      <c r="K1441">
        <v>2</v>
      </c>
      <c r="L1441">
        <v>1.9950000000000001</v>
      </c>
      <c r="M1441">
        <v>0</v>
      </c>
      <c r="N1441" t="s">
        <v>10019</v>
      </c>
      <c r="O1441" t="str">
        <f>HYPERLINK("2\1\marker_671_957602.png", "Ver Imagen")</f>
        <v>Ver Imagen</v>
      </c>
      <c r="P1441" t="str">
        <f>HYPERLINK("SE\A-5052\A-5052__95.png", "Ver Imagen")</f>
        <v>Ver Imagen</v>
      </c>
    </row>
    <row r="1442" spans="1:16" x14ac:dyDescent="0.25">
      <c r="A1442">
        <v>881</v>
      </c>
      <c r="B1442" t="s">
        <v>1774</v>
      </c>
      <c r="C1442">
        <v>37.216817804900003</v>
      </c>
      <c r="D1442">
        <v>-7.1022066214299997</v>
      </c>
      <c r="E1442">
        <v>1</v>
      </c>
      <c r="F1442">
        <v>2</v>
      </c>
      <c r="G1442">
        <v>2</v>
      </c>
      <c r="J1442" t="s">
        <v>15</v>
      </c>
      <c r="K1442">
        <v>2</v>
      </c>
      <c r="L1442">
        <v>2.2170000000000001</v>
      </c>
      <c r="M1442">
        <v>0</v>
      </c>
      <c r="N1442" t="s">
        <v>10019</v>
      </c>
      <c r="O1442" t="str">
        <f>HYPERLINK("2\1\marker_671_957602.png", "Ver Imagen")</f>
        <v>Ver Imagen</v>
      </c>
      <c r="P1442" t="str">
        <f>HYPERLINK("SO\A-5052\A-5052__95.png", "Ver Imagen")</f>
        <v>Ver Imagen</v>
      </c>
    </row>
    <row r="1443" spans="1:16" x14ac:dyDescent="0.25">
      <c r="A1443">
        <v>882</v>
      </c>
      <c r="B1443" t="s">
        <v>1776</v>
      </c>
      <c r="C1443">
        <v>37.2167792511</v>
      </c>
      <c r="D1443">
        <v>-7.1016791743400001</v>
      </c>
      <c r="E1443">
        <v>1</v>
      </c>
      <c r="F1443">
        <v>2</v>
      </c>
      <c r="G1443">
        <v>2</v>
      </c>
      <c r="J1443" t="s">
        <v>15</v>
      </c>
      <c r="K1443">
        <v>2</v>
      </c>
      <c r="L1443">
        <v>2.202</v>
      </c>
      <c r="M1443">
        <v>0</v>
      </c>
      <c r="N1443" t="s">
        <v>10019</v>
      </c>
      <c r="O1443" t="str">
        <f>HYPERLINK("2\1\marker_425_957623.png", "Ver Imagen")</f>
        <v>Ver Imagen</v>
      </c>
      <c r="P1443" t="str">
        <f>HYPERLINK("SE\A-5052\A-5052__97.png", "Ver Imagen")</f>
        <v>Ver Imagen</v>
      </c>
    </row>
    <row r="1444" spans="1:16" x14ac:dyDescent="0.25">
      <c r="A1444">
        <v>882</v>
      </c>
      <c r="B1444" t="s">
        <v>1776</v>
      </c>
      <c r="C1444">
        <v>37.2167792511</v>
      </c>
      <c r="D1444">
        <v>-7.1016791743400001</v>
      </c>
      <c r="E1444">
        <v>1</v>
      </c>
      <c r="F1444">
        <v>2</v>
      </c>
      <c r="G1444">
        <v>2</v>
      </c>
      <c r="J1444" t="s">
        <v>15</v>
      </c>
      <c r="K1444">
        <v>2</v>
      </c>
      <c r="L1444">
        <v>2.27</v>
      </c>
      <c r="M1444">
        <v>0</v>
      </c>
      <c r="N1444" t="s">
        <v>10019</v>
      </c>
      <c r="O1444" t="str">
        <f>HYPERLINK("2\1\marker_425_957623.png", "Ver Imagen")</f>
        <v>Ver Imagen</v>
      </c>
      <c r="P1444" t="str">
        <f>HYPERLINK("SO\A-5052\A-5052__97.png", "Ver Imagen")</f>
        <v>Ver Imagen</v>
      </c>
    </row>
    <row r="1445" spans="1:16" x14ac:dyDescent="0.25">
      <c r="A1445">
        <v>883</v>
      </c>
      <c r="B1445" t="s">
        <v>1778</v>
      </c>
      <c r="C1445">
        <v>37.216867725</v>
      </c>
      <c r="D1445">
        <v>-7.1009316068699997</v>
      </c>
      <c r="E1445">
        <v>1</v>
      </c>
      <c r="F1445">
        <v>2</v>
      </c>
      <c r="G1445">
        <v>2</v>
      </c>
      <c r="J1445" t="s">
        <v>15</v>
      </c>
      <c r="K1445">
        <v>2</v>
      </c>
      <c r="L1445">
        <v>2.14</v>
      </c>
      <c r="M1445">
        <v>0</v>
      </c>
      <c r="N1445" t="s">
        <v>10019</v>
      </c>
      <c r="O1445" t="str">
        <f>HYPERLINK("2\1\marker_779_957670.png", "Ver Imagen")</f>
        <v>Ver Imagen</v>
      </c>
      <c r="P1445" t="str">
        <f>HYPERLINK("SE\A-5052\A-5052__100.png", "Ver Imagen")</f>
        <v>Ver Imagen</v>
      </c>
    </row>
    <row r="1446" spans="1:16" x14ac:dyDescent="0.25">
      <c r="A1446">
        <v>883</v>
      </c>
      <c r="B1446" t="s">
        <v>1778</v>
      </c>
      <c r="C1446">
        <v>37.216867725</v>
      </c>
      <c r="D1446">
        <v>-7.1009316068699997</v>
      </c>
      <c r="E1446">
        <v>1</v>
      </c>
      <c r="F1446">
        <v>2</v>
      </c>
      <c r="G1446">
        <v>2</v>
      </c>
      <c r="J1446" t="s">
        <v>15</v>
      </c>
      <c r="K1446">
        <v>2</v>
      </c>
      <c r="L1446">
        <v>2.0390000000000001</v>
      </c>
      <c r="M1446">
        <v>0</v>
      </c>
      <c r="N1446" t="s">
        <v>10019</v>
      </c>
      <c r="O1446" t="str">
        <f>HYPERLINK("2\1\marker_779_957670.png", "Ver Imagen")</f>
        <v>Ver Imagen</v>
      </c>
      <c r="P1446" t="str">
        <f>HYPERLINK("SO\A-5052\A-5052__100.png", "Ver Imagen")</f>
        <v>Ver Imagen</v>
      </c>
    </row>
    <row r="1447" spans="1:16" x14ac:dyDescent="0.25">
      <c r="A1447">
        <v>884</v>
      </c>
      <c r="B1447" t="s">
        <v>1780</v>
      </c>
      <c r="C1447">
        <v>37.217005262199997</v>
      </c>
      <c r="D1447">
        <v>-7.0991570999300002</v>
      </c>
      <c r="E1447">
        <v>1</v>
      </c>
      <c r="F1447">
        <v>2</v>
      </c>
      <c r="G1447">
        <v>2</v>
      </c>
      <c r="J1447" t="s">
        <v>15</v>
      </c>
      <c r="K1447">
        <v>2</v>
      </c>
      <c r="L1447">
        <v>1.855</v>
      </c>
      <c r="M1447">
        <v>0</v>
      </c>
      <c r="N1447" t="s">
        <v>10019</v>
      </c>
      <c r="O1447" t="str">
        <f>HYPERLINK("2\1\marker_231_957755.png", "Ver Imagen")</f>
        <v>Ver Imagen</v>
      </c>
      <c r="P1447" t="str">
        <f>HYPERLINK("SE\A-5052\A-5052__107.png", "Ver Imagen")</f>
        <v>Ver Imagen</v>
      </c>
    </row>
    <row r="1448" spans="1:16" x14ac:dyDescent="0.25">
      <c r="A1448">
        <v>884</v>
      </c>
      <c r="B1448" t="s">
        <v>1780</v>
      </c>
      <c r="C1448">
        <v>37.217005262199997</v>
      </c>
      <c r="D1448">
        <v>-7.0991570999300002</v>
      </c>
      <c r="E1448">
        <v>1</v>
      </c>
      <c r="F1448">
        <v>2</v>
      </c>
      <c r="G1448">
        <v>2</v>
      </c>
      <c r="J1448" t="s">
        <v>15</v>
      </c>
      <c r="K1448">
        <v>2</v>
      </c>
      <c r="L1448">
        <v>1.99</v>
      </c>
      <c r="M1448">
        <v>0</v>
      </c>
      <c r="N1448" t="s">
        <v>10019</v>
      </c>
      <c r="O1448" t="str">
        <f>HYPERLINK("2\1\marker_231_957755.png", "Ver Imagen")</f>
        <v>Ver Imagen</v>
      </c>
      <c r="P1448" t="str">
        <f>HYPERLINK("SO\A-5052\A-5052__107.png", "Ver Imagen")</f>
        <v>Ver Imagen</v>
      </c>
    </row>
    <row r="1449" spans="1:16" x14ac:dyDescent="0.25">
      <c r="A1449">
        <v>885</v>
      </c>
      <c r="B1449" t="s">
        <v>1782</v>
      </c>
      <c r="C1449">
        <v>37.216957080999997</v>
      </c>
      <c r="D1449">
        <v>-7.0986775611299997</v>
      </c>
      <c r="E1449">
        <v>1</v>
      </c>
      <c r="F1449">
        <v>2</v>
      </c>
      <c r="G1449">
        <v>2</v>
      </c>
      <c r="J1449" t="s">
        <v>15</v>
      </c>
      <c r="K1449">
        <v>2</v>
      </c>
      <c r="L1449">
        <v>1.5469999999999999</v>
      </c>
      <c r="M1449">
        <v>0</v>
      </c>
      <c r="N1449" t="s">
        <v>10019</v>
      </c>
      <c r="O1449" t="str">
        <f>HYPERLINK("2\1\marker_370_957777.png", "Ver Imagen")</f>
        <v>Ver Imagen</v>
      </c>
      <c r="P1449" t="str">
        <f>HYPERLINK("SE\A-5052\A-5052__109.png", "Ver Imagen")</f>
        <v>Ver Imagen</v>
      </c>
    </row>
    <row r="1450" spans="1:16" x14ac:dyDescent="0.25">
      <c r="A1450">
        <v>885</v>
      </c>
      <c r="B1450" t="s">
        <v>1782</v>
      </c>
      <c r="C1450">
        <v>37.216957080999997</v>
      </c>
      <c r="D1450">
        <v>-7.0986775611299997</v>
      </c>
      <c r="E1450">
        <v>1</v>
      </c>
      <c r="F1450">
        <v>2</v>
      </c>
      <c r="G1450">
        <v>2</v>
      </c>
      <c r="J1450" t="s">
        <v>15</v>
      </c>
      <c r="K1450">
        <v>2</v>
      </c>
      <c r="L1450">
        <v>1.615</v>
      </c>
      <c r="M1450">
        <v>0</v>
      </c>
      <c r="N1450" t="s">
        <v>10019</v>
      </c>
      <c r="O1450" t="str">
        <f>HYPERLINK("2\1\marker_370_957777.png", "Ver Imagen")</f>
        <v>Ver Imagen</v>
      </c>
      <c r="P1450" t="str">
        <f>HYPERLINK("SO\A-5052\A-5052__109.png", "Ver Imagen")</f>
        <v>Ver Imagen</v>
      </c>
    </row>
    <row r="1451" spans="1:16" x14ac:dyDescent="0.25">
      <c r="A1451">
        <v>886</v>
      </c>
      <c r="B1451" t="s">
        <v>1784</v>
      </c>
      <c r="C1451">
        <v>37.216928539199998</v>
      </c>
      <c r="D1451">
        <v>-7.0983858877300001</v>
      </c>
      <c r="E1451">
        <v>1</v>
      </c>
      <c r="F1451">
        <v>2</v>
      </c>
      <c r="G1451">
        <v>2</v>
      </c>
      <c r="J1451" t="s">
        <v>15</v>
      </c>
      <c r="K1451">
        <v>2</v>
      </c>
      <c r="L1451">
        <v>1.863</v>
      </c>
      <c r="M1451">
        <v>0</v>
      </c>
      <c r="N1451" t="s">
        <v>10018</v>
      </c>
      <c r="O1451" t="str">
        <f>HYPERLINK("2\1\marker_509_957800.png", "Ver Imagen")</f>
        <v>Ver Imagen</v>
      </c>
      <c r="P1451" t="str">
        <f>HYPERLINK("SE\A-5052\A-5052__110.png", "Ver Imagen")</f>
        <v>Ver Imagen</v>
      </c>
    </row>
    <row r="1452" spans="1:16" x14ac:dyDescent="0.25">
      <c r="A1452">
        <v>886</v>
      </c>
      <c r="B1452" t="s">
        <v>1784</v>
      </c>
      <c r="C1452">
        <v>37.216928539199998</v>
      </c>
      <c r="D1452">
        <v>-7.0983858877300001</v>
      </c>
      <c r="E1452">
        <v>1</v>
      </c>
      <c r="F1452">
        <v>2</v>
      </c>
      <c r="G1452">
        <v>2</v>
      </c>
      <c r="J1452" t="s">
        <v>15</v>
      </c>
      <c r="K1452">
        <v>2</v>
      </c>
      <c r="L1452">
        <v>1.5640000000000001</v>
      </c>
      <c r="M1452">
        <v>0</v>
      </c>
      <c r="N1452" t="s">
        <v>10018</v>
      </c>
      <c r="O1452" t="str">
        <f>HYPERLINK("2\1\marker_509_957800.png", "Ver Imagen")</f>
        <v>Ver Imagen</v>
      </c>
      <c r="P1452" t="str">
        <f>HYPERLINK("SO\A-5052\A-5052__110.png", "Ver Imagen")</f>
        <v>Ver Imagen</v>
      </c>
    </row>
    <row r="1453" spans="1:16" x14ac:dyDescent="0.25">
      <c r="A1453">
        <v>887</v>
      </c>
      <c r="B1453" t="s">
        <v>1786</v>
      </c>
      <c r="C1453">
        <v>37.216903589399998</v>
      </c>
      <c r="D1453">
        <v>-7.0981368711700004</v>
      </c>
      <c r="E1453">
        <v>1</v>
      </c>
      <c r="F1453">
        <v>2</v>
      </c>
      <c r="G1453">
        <v>2</v>
      </c>
      <c r="J1453" t="s">
        <v>15</v>
      </c>
      <c r="K1453">
        <v>2</v>
      </c>
      <c r="L1453">
        <v>1.853</v>
      </c>
      <c r="M1453">
        <v>0</v>
      </c>
      <c r="N1453" t="s">
        <v>10019</v>
      </c>
      <c r="O1453" t="str">
        <f>HYPERLINK("2\1\marker_515_957809.png", "Ver Imagen")</f>
        <v>Ver Imagen</v>
      </c>
      <c r="P1453" t="str">
        <f>HYPERLINK("SE\A-5052\A-5052__111.png", "Ver Imagen")</f>
        <v>Ver Imagen</v>
      </c>
    </row>
    <row r="1454" spans="1:16" x14ac:dyDescent="0.25">
      <c r="A1454">
        <v>887</v>
      </c>
      <c r="B1454" t="s">
        <v>1786</v>
      </c>
      <c r="C1454">
        <v>37.216903589399998</v>
      </c>
      <c r="D1454">
        <v>-7.0981368711700004</v>
      </c>
      <c r="E1454">
        <v>1</v>
      </c>
      <c r="F1454">
        <v>2</v>
      </c>
      <c r="G1454">
        <v>2</v>
      </c>
      <c r="J1454" t="s">
        <v>15</v>
      </c>
      <c r="K1454">
        <v>2</v>
      </c>
      <c r="L1454">
        <v>1.8660000000000001</v>
      </c>
      <c r="M1454">
        <v>0</v>
      </c>
      <c r="N1454" t="s">
        <v>10019</v>
      </c>
      <c r="O1454" t="str">
        <f>HYPERLINK("2\1\marker_515_957809.png", "Ver Imagen")</f>
        <v>Ver Imagen</v>
      </c>
      <c r="P1454" t="str">
        <f>HYPERLINK("SO\A-5052\A-5052__111.png", "Ver Imagen")</f>
        <v>Ver Imagen</v>
      </c>
    </row>
    <row r="1455" spans="1:16" x14ac:dyDescent="0.25">
      <c r="A1455">
        <v>888</v>
      </c>
      <c r="B1455" t="s">
        <v>1788</v>
      </c>
      <c r="C1455">
        <v>37.2168533758</v>
      </c>
      <c r="D1455">
        <v>-7.0976585724500003</v>
      </c>
      <c r="E1455">
        <v>1</v>
      </c>
      <c r="F1455">
        <v>2</v>
      </c>
      <c r="G1455">
        <v>2</v>
      </c>
      <c r="J1455" t="s">
        <v>15</v>
      </c>
      <c r="K1455">
        <v>2</v>
      </c>
      <c r="L1455">
        <v>1.897</v>
      </c>
      <c r="M1455">
        <v>0</v>
      </c>
      <c r="N1455" t="s">
        <v>10019</v>
      </c>
      <c r="O1455" t="str">
        <f>HYPERLINK("2\1\marker_938_957829.png", "Ver Imagen")</f>
        <v>Ver Imagen</v>
      </c>
      <c r="P1455" t="str">
        <f>HYPERLINK("SE\A-5052\A-5052__113.png", "Ver Imagen")</f>
        <v>Ver Imagen</v>
      </c>
    </row>
    <row r="1456" spans="1:16" x14ac:dyDescent="0.25">
      <c r="A1456">
        <v>888</v>
      </c>
      <c r="B1456" t="s">
        <v>1788</v>
      </c>
      <c r="C1456">
        <v>37.2168533758</v>
      </c>
      <c r="D1456">
        <v>-7.0976585724500003</v>
      </c>
      <c r="E1456">
        <v>1</v>
      </c>
      <c r="F1456">
        <v>2</v>
      </c>
      <c r="G1456">
        <v>2</v>
      </c>
      <c r="J1456" t="s">
        <v>15</v>
      </c>
      <c r="K1456">
        <v>2</v>
      </c>
      <c r="L1456">
        <v>1.823</v>
      </c>
      <c r="M1456">
        <v>0</v>
      </c>
      <c r="N1456" t="s">
        <v>10019</v>
      </c>
      <c r="O1456" t="str">
        <f>HYPERLINK("2\1\marker_938_957829.png", "Ver Imagen")</f>
        <v>Ver Imagen</v>
      </c>
      <c r="P1456" t="str">
        <f>HYPERLINK("SO\A-5052\A-5052__113.png", "Ver Imagen")</f>
        <v>Ver Imagen</v>
      </c>
    </row>
    <row r="1457" spans="1:16" x14ac:dyDescent="0.25">
      <c r="A1457">
        <v>889</v>
      </c>
      <c r="B1457" t="s">
        <v>1790</v>
      </c>
      <c r="C1457">
        <v>37.216825625699997</v>
      </c>
      <c r="D1457">
        <v>-7.09739327506</v>
      </c>
      <c r="E1457">
        <v>1</v>
      </c>
      <c r="F1457">
        <v>2</v>
      </c>
      <c r="G1457">
        <v>2</v>
      </c>
      <c r="J1457" t="s">
        <v>15</v>
      </c>
      <c r="K1457">
        <v>2</v>
      </c>
      <c r="L1457">
        <v>1.9850000000000001</v>
      </c>
      <c r="M1457">
        <v>0</v>
      </c>
      <c r="N1457" t="s">
        <v>10019</v>
      </c>
      <c r="O1457" t="str">
        <f>HYPERLINK("2\1\marker_668_957871.png", "Ver Imagen")</f>
        <v>Ver Imagen</v>
      </c>
      <c r="P1457" t="str">
        <f>HYPERLINK("SE\A-5052\A-5052__114.png", "Ver Imagen")</f>
        <v>Ver Imagen</v>
      </c>
    </row>
    <row r="1458" spans="1:16" x14ac:dyDescent="0.25">
      <c r="A1458">
        <v>889</v>
      </c>
      <c r="B1458" t="s">
        <v>1790</v>
      </c>
      <c r="C1458">
        <v>37.216825625699997</v>
      </c>
      <c r="D1458">
        <v>-7.09739327506</v>
      </c>
      <c r="E1458">
        <v>1</v>
      </c>
      <c r="F1458">
        <v>2</v>
      </c>
      <c r="G1458">
        <v>2</v>
      </c>
      <c r="J1458" t="s">
        <v>15</v>
      </c>
      <c r="K1458">
        <v>2</v>
      </c>
      <c r="L1458">
        <v>1.526</v>
      </c>
      <c r="M1458">
        <v>0</v>
      </c>
      <c r="N1458" t="s">
        <v>10019</v>
      </c>
      <c r="O1458" t="str">
        <f>HYPERLINK("2\1\marker_668_957871.png", "Ver Imagen")</f>
        <v>Ver Imagen</v>
      </c>
      <c r="P1458" t="str">
        <f>HYPERLINK("SO\A-5052\A-5052__114.png", "Ver Imagen")</f>
        <v>Ver Imagen</v>
      </c>
    </row>
    <row r="1459" spans="1:16" x14ac:dyDescent="0.25">
      <c r="A1459">
        <v>890</v>
      </c>
      <c r="B1459" t="s">
        <v>1792</v>
      </c>
      <c r="C1459">
        <v>37.216734219899998</v>
      </c>
      <c r="D1459">
        <v>-7.0964057678400003</v>
      </c>
      <c r="E1459">
        <v>1</v>
      </c>
      <c r="F1459">
        <v>2</v>
      </c>
      <c r="G1459">
        <v>2</v>
      </c>
      <c r="J1459" t="s">
        <v>15</v>
      </c>
      <c r="K1459">
        <v>2</v>
      </c>
      <c r="L1459">
        <v>1.931</v>
      </c>
      <c r="M1459">
        <v>0</v>
      </c>
      <c r="N1459" t="s">
        <v>10017</v>
      </c>
      <c r="O1459" t="str">
        <f>HYPERLINK("2\1\marker_410_957914.png", "Ver Imagen")</f>
        <v>Ver Imagen</v>
      </c>
      <c r="P1459" t="str">
        <f>HYPERLINK("SE\A-5052\A-5052__118.png", "Ver Imagen")</f>
        <v>Ver Imagen</v>
      </c>
    </row>
    <row r="1460" spans="1:16" x14ac:dyDescent="0.25">
      <c r="A1460">
        <v>890</v>
      </c>
      <c r="B1460" t="s">
        <v>1792</v>
      </c>
      <c r="C1460">
        <v>37.216734219899998</v>
      </c>
      <c r="D1460">
        <v>-7.0964057678400003</v>
      </c>
      <c r="E1460">
        <v>1</v>
      </c>
      <c r="F1460">
        <v>2</v>
      </c>
      <c r="G1460">
        <v>2</v>
      </c>
      <c r="J1460" t="s">
        <v>15</v>
      </c>
      <c r="K1460">
        <v>2</v>
      </c>
      <c r="L1460">
        <v>1.7170000000000001</v>
      </c>
      <c r="M1460">
        <v>0</v>
      </c>
      <c r="N1460" t="s">
        <v>10017</v>
      </c>
      <c r="O1460" t="str">
        <f>HYPERLINK("2\1\marker_410_957914.png", "Ver Imagen")</f>
        <v>Ver Imagen</v>
      </c>
      <c r="P1460" t="str">
        <f>HYPERLINK("SO\A-5052\A-5052__118.png", "Ver Imagen")</f>
        <v>Ver Imagen</v>
      </c>
    </row>
    <row r="1461" spans="1:16" x14ac:dyDescent="0.25">
      <c r="A1461">
        <v>891</v>
      </c>
      <c r="B1461" t="s">
        <v>1794</v>
      </c>
      <c r="C1461">
        <v>37.2166172413</v>
      </c>
      <c r="D1461">
        <v>-7.0949539474099996</v>
      </c>
      <c r="E1461">
        <v>1</v>
      </c>
      <c r="F1461">
        <v>2</v>
      </c>
      <c r="G1461">
        <v>2</v>
      </c>
      <c r="J1461" t="s">
        <v>15</v>
      </c>
      <c r="K1461">
        <v>2</v>
      </c>
      <c r="L1461">
        <v>1.85</v>
      </c>
      <c r="M1461">
        <v>0</v>
      </c>
      <c r="N1461" t="s">
        <v>10019</v>
      </c>
      <c r="O1461" t="str">
        <f>HYPERLINK("2\1\marker_449_957993.png", "Ver Imagen")</f>
        <v>Ver Imagen</v>
      </c>
      <c r="P1461" t="str">
        <f>HYPERLINK("SE\A-5052\A-5052__124.png", "Ver Imagen")</f>
        <v>Ver Imagen</v>
      </c>
    </row>
    <row r="1462" spans="1:16" x14ac:dyDescent="0.25">
      <c r="A1462">
        <v>891</v>
      </c>
      <c r="B1462" t="s">
        <v>1794</v>
      </c>
      <c r="C1462">
        <v>37.2166172413</v>
      </c>
      <c r="D1462">
        <v>-7.0949539474099996</v>
      </c>
      <c r="E1462">
        <v>1</v>
      </c>
      <c r="F1462">
        <v>2</v>
      </c>
      <c r="G1462">
        <v>2</v>
      </c>
      <c r="J1462" t="s">
        <v>15</v>
      </c>
      <c r="K1462">
        <v>2</v>
      </c>
      <c r="L1462">
        <v>1.823</v>
      </c>
      <c r="M1462">
        <v>0</v>
      </c>
      <c r="N1462" t="s">
        <v>10019</v>
      </c>
      <c r="O1462" t="str">
        <f>HYPERLINK("2\1\marker_449_957993.png", "Ver Imagen")</f>
        <v>Ver Imagen</v>
      </c>
      <c r="P1462" t="str">
        <f>HYPERLINK("SO\A-5052\A-5052__124.png", "Ver Imagen")</f>
        <v>Ver Imagen</v>
      </c>
    </row>
    <row r="1463" spans="1:16" x14ac:dyDescent="0.25">
      <c r="A1463">
        <v>892</v>
      </c>
      <c r="B1463" t="s">
        <v>1796</v>
      </c>
      <c r="C1463">
        <v>37.2166219478</v>
      </c>
      <c r="D1463">
        <v>-7.0946670861900003</v>
      </c>
      <c r="E1463">
        <v>1</v>
      </c>
      <c r="F1463">
        <v>2</v>
      </c>
      <c r="G1463">
        <v>2</v>
      </c>
      <c r="J1463" t="s">
        <v>15</v>
      </c>
      <c r="K1463">
        <v>2</v>
      </c>
      <c r="L1463">
        <v>2.222</v>
      </c>
      <c r="M1463">
        <v>0</v>
      </c>
      <c r="N1463" t="s">
        <v>10018</v>
      </c>
      <c r="O1463" t="str">
        <f>HYPERLINK("2\1\marker_354_958026.png", "Ver Imagen")</f>
        <v>Ver Imagen</v>
      </c>
      <c r="P1463" t="str">
        <f>HYPERLINK("SE\A-5052\A-5052__125.png", "Ver Imagen")</f>
        <v>Ver Imagen</v>
      </c>
    </row>
    <row r="1464" spans="1:16" x14ac:dyDescent="0.25">
      <c r="A1464">
        <v>892</v>
      </c>
      <c r="B1464" t="s">
        <v>1796</v>
      </c>
      <c r="C1464">
        <v>37.2166219478</v>
      </c>
      <c r="D1464">
        <v>-7.0946670861900003</v>
      </c>
      <c r="E1464">
        <v>1</v>
      </c>
      <c r="F1464">
        <v>2</v>
      </c>
      <c r="G1464">
        <v>2</v>
      </c>
      <c r="J1464" t="s">
        <v>15</v>
      </c>
      <c r="K1464">
        <v>2</v>
      </c>
      <c r="L1464">
        <v>2.2589999999999999</v>
      </c>
      <c r="M1464">
        <v>0</v>
      </c>
      <c r="N1464" t="s">
        <v>10018</v>
      </c>
      <c r="O1464" t="str">
        <f>HYPERLINK("2\1\marker_354_958026.png", "Ver Imagen")</f>
        <v>Ver Imagen</v>
      </c>
      <c r="P1464" t="str">
        <f>HYPERLINK("SO\A-5052\A-5052__125.png", "Ver Imagen")</f>
        <v>Ver Imagen</v>
      </c>
    </row>
    <row r="1465" spans="1:16" x14ac:dyDescent="0.25">
      <c r="A1465">
        <v>893</v>
      </c>
      <c r="B1465" t="s">
        <v>1798</v>
      </c>
      <c r="C1465">
        <v>37.216180904200002</v>
      </c>
      <c r="D1465">
        <v>-7.09064243117</v>
      </c>
      <c r="E1465">
        <v>1</v>
      </c>
      <c r="F1465">
        <v>2</v>
      </c>
      <c r="G1465">
        <v>2</v>
      </c>
      <c r="J1465" t="s">
        <v>15</v>
      </c>
      <c r="K1465">
        <v>2</v>
      </c>
      <c r="L1465">
        <v>1.9059999999999999</v>
      </c>
      <c r="M1465">
        <v>0</v>
      </c>
      <c r="N1465" t="s">
        <v>10018</v>
      </c>
      <c r="O1465" t="str">
        <f>HYPERLINK("2\1\marker_317_958375.png", "Ver Imagen")</f>
        <v>Ver Imagen</v>
      </c>
      <c r="P1465" t="str">
        <f>HYPERLINK("SE\A-5052\A-5052__141.png", "Ver Imagen")</f>
        <v>Ver Imagen</v>
      </c>
    </row>
    <row r="1466" spans="1:16" x14ac:dyDescent="0.25">
      <c r="A1466">
        <v>894</v>
      </c>
      <c r="B1466" t="s">
        <v>1800</v>
      </c>
      <c r="C1466">
        <v>37.216154169299998</v>
      </c>
      <c r="D1466">
        <v>-7.0904205775999998</v>
      </c>
      <c r="E1466">
        <v>1</v>
      </c>
      <c r="F1466">
        <v>2</v>
      </c>
      <c r="G1466">
        <v>2</v>
      </c>
      <c r="J1466" t="s">
        <v>15</v>
      </c>
      <c r="K1466">
        <v>2</v>
      </c>
      <c r="L1466">
        <v>1.9750000000000001</v>
      </c>
      <c r="M1466">
        <v>0</v>
      </c>
      <c r="N1466" t="s">
        <v>10017</v>
      </c>
      <c r="O1466" t="str">
        <f>HYPERLINK("2\1\marker_323_958387.png", "Ver Imagen")</f>
        <v>Ver Imagen</v>
      </c>
      <c r="P1466" t="str">
        <f>HYPERLINK("SE\A-5052\A-5052__142.png", "Ver Imagen")</f>
        <v>Ver Imagen</v>
      </c>
    </row>
    <row r="1467" spans="1:16" x14ac:dyDescent="0.25">
      <c r="A1467">
        <v>894</v>
      </c>
      <c r="B1467" t="s">
        <v>1800</v>
      </c>
      <c r="C1467">
        <v>37.216154169299998</v>
      </c>
      <c r="D1467">
        <v>-7.0904205775999998</v>
      </c>
      <c r="E1467">
        <v>1</v>
      </c>
      <c r="F1467">
        <v>2</v>
      </c>
      <c r="G1467">
        <v>2</v>
      </c>
      <c r="J1467" t="s">
        <v>15</v>
      </c>
      <c r="K1467">
        <v>2</v>
      </c>
      <c r="L1467">
        <v>1.869</v>
      </c>
      <c r="M1467">
        <v>0</v>
      </c>
      <c r="N1467" t="s">
        <v>10017</v>
      </c>
      <c r="O1467" t="str">
        <f>HYPERLINK("2\1\marker_323_958387.png", "Ver Imagen")</f>
        <v>Ver Imagen</v>
      </c>
      <c r="P1467" t="str">
        <f>HYPERLINK("SO\A-5052\A-5052__142.png", "Ver Imagen")</f>
        <v>Ver Imagen</v>
      </c>
    </row>
    <row r="1468" spans="1:16" x14ac:dyDescent="0.25">
      <c r="A1468">
        <v>895</v>
      </c>
      <c r="B1468" t="s">
        <v>1802</v>
      </c>
      <c r="C1468">
        <v>37.216064506000002</v>
      </c>
      <c r="D1468">
        <v>-7.0893630847200004</v>
      </c>
      <c r="E1468">
        <v>1</v>
      </c>
      <c r="F1468">
        <v>2</v>
      </c>
      <c r="G1468">
        <v>2</v>
      </c>
      <c r="J1468" t="s">
        <v>15</v>
      </c>
      <c r="K1468">
        <v>2</v>
      </c>
      <c r="L1468">
        <v>1.9419999999999999</v>
      </c>
      <c r="M1468">
        <v>0</v>
      </c>
      <c r="N1468" t="s">
        <v>10018</v>
      </c>
      <c r="O1468" t="str">
        <f>HYPERLINK("2\1\marker_233_958430.png", "Ver Imagen")</f>
        <v>Ver Imagen</v>
      </c>
      <c r="P1468" t="str">
        <f>HYPERLINK("SE\A-5052\A-5052__146.png", "Ver Imagen")</f>
        <v>Ver Imagen</v>
      </c>
    </row>
    <row r="1469" spans="1:16" x14ac:dyDescent="0.25">
      <c r="A1469">
        <v>895</v>
      </c>
      <c r="B1469" t="s">
        <v>1802</v>
      </c>
      <c r="C1469">
        <v>37.216064506000002</v>
      </c>
      <c r="D1469">
        <v>-7.0893630847200004</v>
      </c>
      <c r="E1469">
        <v>1</v>
      </c>
      <c r="F1469">
        <v>2</v>
      </c>
      <c r="G1469">
        <v>2</v>
      </c>
      <c r="J1469" t="s">
        <v>15</v>
      </c>
      <c r="K1469">
        <v>2</v>
      </c>
      <c r="L1469">
        <v>2.085</v>
      </c>
      <c r="M1469">
        <v>0</v>
      </c>
      <c r="N1469" t="s">
        <v>10018</v>
      </c>
      <c r="O1469" t="str">
        <f>HYPERLINK("2\1\marker_233_958430.png", "Ver Imagen")</f>
        <v>Ver Imagen</v>
      </c>
      <c r="P1469" t="str">
        <f>HYPERLINK("SO\A-5052\A-5052__146.png", "Ver Imagen")</f>
        <v>Ver Imagen</v>
      </c>
    </row>
    <row r="1470" spans="1:16" x14ac:dyDescent="0.25">
      <c r="A1470">
        <v>896</v>
      </c>
      <c r="B1470" t="s">
        <v>1804</v>
      </c>
      <c r="C1470">
        <v>37.2160544316</v>
      </c>
      <c r="D1470">
        <v>-7.0891554661000002</v>
      </c>
      <c r="E1470">
        <v>1</v>
      </c>
      <c r="F1470">
        <v>2</v>
      </c>
      <c r="G1470">
        <v>2</v>
      </c>
      <c r="J1470" t="s">
        <v>15</v>
      </c>
      <c r="K1470">
        <v>2</v>
      </c>
      <c r="L1470">
        <v>1.927</v>
      </c>
      <c r="M1470">
        <v>0</v>
      </c>
      <c r="N1470" t="s">
        <v>10018</v>
      </c>
      <c r="O1470" t="str">
        <f>HYPERLINK("2\1\marker_943_958446.png", "Ver Imagen")</f>
        <v>Ver Imagen</v>
      </c>
      <c r="P1470" t="str">
        <f>HYPERLINK("SE\A-5052\A-5052__147.png", "Ver Imagen")</f>
        <v>Ver Imagen</v>
      </c>
    </row>
    <row r="1471" spans="1:16" x14ac:dyDescent="0.25">
      <c r="A1471">
        <v>896</v>
      </c>
      <c r="B1471" t="s">
        <v>1804</v>
      </c>
      <c r="C1471">
        <v>37.2160544316</v>
      </c>
      <c r="D1471">
        <v>-7.0891554661000002</v>
      </c>
      <c r="E1471">
        <v>1</v>
      </c>
      <c r="F1471">
        <v>2</v>
      </c>
      <c r="G1471">
        <v>2</v>
      </c>
      <c r="J1471" t="s">
        <v>15</v>
      </c>
      <c r="K1471">
        <v>2</v>
      </c>
      <c r="L1471">
        <v>1.923</v>
      </c>
      <c r="M1471">
        <v>0</v>
      </c>
      <c r="N1471" t="s">
        <v>10018</v>
      </c>
      <c r="O1471" t="str">
        <f>HYPERLINK("2\1\marker_943_958446.png", "Ver Imagen")</f>
        <v>Ver Imagen</v>
      </c>
      <c r="P1471" t="str">
        <f>HYPERLINK("SO\A-5052\A-5052__147.png", "Ver Imagen")</f>
        <v>Ver Imagen</v>
      </c>
    </row>
    <row r="1472" spans="1:16" x14ac:dyDescent="0.25">
      <c r="A1472">
        <v>897</v>
      </c>
      <c r="B1472" t="s">
        <v>1806</v>
      </c>
      <c r="C1472">
        <v>37.216037315900003</v>
      </c>
      <c r="D1472">
        <v>-7.0886864565599996</v>
      </c>
      <c r="E1472">
        <v>1</v>
      </c>
      <c r="F1472">
        <v>2</v>
      </c>
      <c r="G1472">
        <v>2</v>
      </c>
      <c r="J1472" t="s">
        <v>15</v>
      </c>
      <c r="K1472">
        <v>2</v>
      </c>
      <c r="L1472">
        <v>1.92</v>
      </c>
      <c r="M1472">
        <v>0</v>
      </c>
      <c r="N1472" t="s">
        <v>10018</v>
      </c>
      <c r="O1472" t="str">
        <f>HYPERLINK("2\1\marker_281_958519.png", "Ver Imagen")</f>
        <v>Ver Imagen</v>
      </c>
      <c r="P1472" t="str">
        <f>HYPERLINK("SE\A-5052\A-5052__149.png", "Ver Imagen")</f>
        <v>Ver Imagen</v>
      </c>
    </row>
    <row r="1473" spans="1:16" x14ac:dyDescent="0.25">
      <c r="A1473">
        <v>897</v>
      </c>
      <c r="B1473" t="s">
        <v>1806</v>
      </c>
      <c r="C1473">
        <v>37.216037315900003</v>
      </c>
      <c r="D1473">
        <v>-7.0886864565599996</v>
      </c>
      <c r="E1473">
        <v>1</v>
      </c>
      <c r="F1473">
        <v>2</v>
      </c>
      <c r="G1473">
        <v>2</v>
      </c>
      <c r="J1473" t="s">
        <v>15</v>
      </c>
      <c r="K1473">
        <v>2</v>
      </c>
      <c r="L1473">
        <v>2.0249999999999999</v>
      </c>
      <c r="M1473">
        <v>0</v>
      </c>
      <c r="N1473" t="s">
        <v>10018</v>
      </c>
      <c r="O1473" t="str">
        <f>HYPERLINK("2\1\marker_281_958519.png", "Ver Imagen")</f>
        <v>Ver Imagen</v>
      </c>
      <c r="P1473" t="str">
        <f>HYPERLINK("SO\A-5052\A-5052__149.png", "Ver Imagen")</f>
        <v>Ver Imagen</v>
      </c>
    </row>
    <row r="1474" spans="1:16" x14ac:dyDescent="0.25">
      <c r="A1474">
        <v>898</v>
      </c>
      <c r="B1474" t="s">
        <v>1808</v>
      </c>
      <c r="C1474">
        <v>37.216030989499998</v>
      </c>
      <c r="D1474">
        <v>-7.0883868255799998</v>
      </c>
      <c r="E1474">
        <v>1</v>
      </c>
      <c r="F1474">
        <v>2</v>
      </c>
      <c r="G1474">
        <v>2</v>
      </c>
      <c r="J1474" t="s">
        <v>15</v>
      </c>
      <c r="K1474">
        <v>2</v>
      </c>
      <c r="L1474">
        <v>1.8819999999999999</v>
      </c>
      <c r="M1474">
        <v>0</v>
      </c>
      <c r="N1474" t="s">
        <v>10019</v>
      </c>
      <c r="O1474" t="str">
        <f>HYPERLINK("2\1\marker_578_958534.png", "Ver Imagen")</f>
        <v>Ver Imagen</v>
      </c>
      <c r="P1474" t="str">
        <f>HYPERLINK("SE\A-5052\A-5052__150.png", "Ver Imagen")</f>
        <v>Ver Imagen</v>
      </c>
    </row>
    <row r="1475" spans="1:16" x14ac:dyDescent="0.25">
      <c r="A1475">
        <v>898</v>
      </c>
      <c r="B1475" t="s">
        <v>1808</v>
      </c>
      <c r="C1475">
        <v>37.216030989499998</v>
      </c>
      <c r="D1475">
        <v>-7.0883868255799998</v>
      </c>
      <c r="E1475">
        <v>1</v>
      </c>
      <c r="F1475">
        <v>2</v>
      </c>
      <c r="G1475">
        <v>2</v>
      </c>
      <c r="J1475" t="s">
        <v>15</v>
      </c>
      <c r="K1475">
        <v>2</v>
      </c>
      <c r="L1475">
        <v>1.85</v>
      </c>
      <c r="M1475">
        <v>0</v>
      </c>
      <c r="N1475" t="s">
        <v>10019</v>
      </c>
      <c r="O1475" t="str">
        <f>HYPERLINK("2\1\marker_578_958534.png", "Ver Imagen")</f>
        <v>Ver Imagen</v>
      </c>
      <c r="P1475" t="str">
        <f>HYPERLINK("SO\A-5052\A-5052__150.png", "Ver Imagen")</f>
        <v>Ver Imagen</v>
      </c>
    </row>
    <row r="1476" spans="1:16" x14ac:dyDescent="0.25">
      <c r="A1476">
        <v>899</v>
      </c>
      <c r="B1476" t="s">
        <v>1810</v>
      </c>
      <c r="C1476">
        <v>37.216027439800001</v>
      </c>
      <c r="D1476">
        <v>-7.0881095943199997</v>
      </c>
      <c r="E1476">
        <v>1</v>
      </c>
      <c r="F1476">
        <v>2</v>
      </c>
      <c r="G1476">
        <v>2</v>
      </c>
      <c r="J1476" t="s">
        <v>15</v>
      </c>
      <c r="K1476">
        <v>2</v>
      </c>
      <c r="L1476">
        <v>1.88</v>
      </c>
      <c r="M1476">
        <v>0</v>
      </c>
      <c r="N1476" t="s">
        <v>10018</v>
      </c>
      <c r="O1476" t="str">
        <f>HYPERLINK("2\1\marker_534_958545.png", "Ver Imagen")</f>
        <v>Ver Imagen</v>
      </c>
      <c r="P1476" t="str">
        <f>HYPERLINK("SE\A-5052\A-5052__151.png", "Ver Imagen")</f>
        <v>Ver Imagen</v>
      </c>
    </row>
    <row r="1477" spans="1:16" x14ac:dyDescent="0.25">
      <c r="A1477">
        <v>900</v>
      </c>
      <c r="B1477" t="s">
        <v>1812</v>
      </c>
      <c r="C1477">
        <v>37.216024191300001</v>
      </c>
      <c r="D1477">
        <v>-7.0878540600799997</v>
      </c>
      <c r="E1477">
        <v>1</v>
      </c>
      <c r="F1477">
        <v>2</v>
      </c>
      <c r="G1477">
        <v>2</v>
      </c>
      <c r="J1477" t="s">
        <v>15</v>
      </c>
      <c r="K1477">
        <v>2</v>
      </c>
      <c r="L1477">
        <v>1.6220000000000001</v>
      </c>
      <c r="M1477">
        <v>0</v>
      </c>
      <c r="N1477" t="s">
        <v>10019</v>
      </c>
      <c r="O1477" t="str">
        <f>HYPERLINK("2\1\marker_311_958556.png", "Ver Imagen")</f>
        <v>Ver Imagen</v>
      </c>
      <c r="P1477" t="str">
        <f>HYPERLINK("SE\A-5052\A-5052__152.png", "Ver Imagen")</f>
        <v>Ver Imagen</v>
      </c>
    </row>
    <row r="1478" spans="1:16" x14ac:dyDescent="0.25">
      <c r="A1478">
        <v>900</v>
      </c>
      <c r="B1478" t="s">
        <v>1812</v>
      </c>
      <c r="C1478">
        <v>37.216024191300001</v>
      </c>
      <c r="D1478">
        <v>-7.0878540600799997</v>
      </c>
      <c r="E1478">
        <v>1</v>
      </c>
      <c r="F1478">
        <v>2</v>
      </c>
      <c r="G1478">
        <v>2</v>
      </c>
      <c r="J1478" t="s">
        <v>15</v>
      </c>
      <c r="K1478">
        <v>2</v>
      </c>
      <c r="L1478">
        <v>1.675</v>
      </c>
      <c r="M1478">
        <v>0</v>
      </c>
      <c r="N1478" t="s">
        <v>10019</v>
      </c>
      <c r="O1478" t="str">
        <f>HYPERLINK("2\1\marker_311_958556.png", "Ver Imagen")</f>
        <v>Ver Imagen</v>
      </c>
      <c r="P1478" t="str">
        <f>HYPERLINK("SO\A-5052\A-5052__152.png", "Ver Imagen")</f>
        <v>Ver Imagen</v>
      </c>
    </row>
    <row r="1479" spans="1:16" x14ac:dyDescent="0.25">
      <c r="A1479">
        <v>901</v>
      </c>
      <c r="B1479" t="s">
        <v>1814</v>
      </c>
      <c r="C1479">
        <v>37.216019642600003</v>
      </c>
      <c r="D1479">
        <v>-7.0873641320800003</v>
      </c>
      <c r="E1479">
        <v>1</v>
      </c>
      <c r="F1479">
        <v>2</v>
      </c>
      <c r="G1479">
        <v>2</v>
      </c>
      <c r="J1479" t="s">
        <v>15</v>
      </c>
      <c r="K1479">
        <v>2</v>
      </c>
      <c r="L1479">
        <v>1.9450000000000001</v>
      </c>
      <c r="M1479">
        <v>0</v>
      </c>
      <c r="N1479" t="s">
        <v>10019</v>
      </c>
      <c r="O1479" t="str">
        <f>HYPERLINK("2\1\marker_934_958577.png", "Ver Imagen")</f>
        <v>Ver Imagen</v>
      </c>
      <c r="P1479" t="str">
        <f>HYPERLINK("SE\A-5052\A-5052__154.png", "Ver Imagen")</f>
        <v>Ver Imagen</v>
      </c>
    </row>
    <row r="1480" spans="1:16" x14ac:dyDescent="0.25">
      <c r="A1480">
        <v>901</v>
      </c>
      <c r="B1480" t="s">
        <v>1814</v>
      </c>
      <c r="C1480">
        <v>37.216019642600003</v>
      </c>
      <c r="D1480">
        <v>-7.0873641320800003</v>
      </c>
      <c r="E1480">
        <v>1</v>
      </c>
      <c r="F1480">
        <v>2</v>
      </c>
      <c r="G1480">
        <v>2</v>
      </c>
      <c r="J1480" t="s">
        <v>15</v>
      </c>
      <c r="K1480">
        <v>2</v>
      </c>
      <c r="L1480">
        <v>2.153</v>
      </c>
      <c r="M1480">
        <v>0</v>
      </c>
      <c r="N1480" t="s">
        <v>10019</v>
      </c>
      <c r="O1480" t="str">
        <f>HYPERLINK("2\1\marker_934_958577.png", "Ver Imagen")</f>
        <v>Ver Imagen</v>
      </c>
      <c r="P1480" t="str">
        <f>HYPERLINK("SO\A-5052\A-5052__154.png", "Ver Imagen")</f>
        <v>Ver Imagen</v>
      </c>
    </row>
    <row r="1481" spans="1:16" x14ac:dyDescent="0.25">
      <c r="A1481">
        <v>902</v>
      </c>
      <c r="B1481" t="s">
        <v>1816</v>
      </c>
      <c r="C1481">
        <v>37.216078682099997</v>
      </c>
      <c r="D1481">
        <v>-7.0858668679700001</v>
      </c>
      <c r="E1481">
        <v>1</v>
      </c>
      <c r="F1481">
        <v>2</v>
      </c>
      <c r="G1481">
        <v>2</v>
      </c>
      <c r="J1481" t="s">
        <v>15</v>
      </c>
      <c r="K1481">
        <v>2</v>
      </c>
      <c r="L1481">
        <v>1.802</v>
      </c>
      <c r="M1481">
        <v>0</v>
      </c>
      <c r="N1481" t="s">
        <v>10019</v>
      </c>
      <c r="O1481" t="str">
        <f>HYPERLINK("2\1\marker_619_958682.png", "Ver Imagen")</f>
        <v>Ver Imagen</v>
      </c>
      <c r="P1481" t="str">
        <f>HYPERLINK("SE\A-5052\A-5052__160.png", "Ver Imagen")</f>
        <v>Ver Imagen</v>
      </c>
    </row>
    <row r="1482" spans="1:16" x14ac:dyDescent="0.25">
      <c r="A1482">
        <v>903</v>
      </c>
      <c r="B1482" t="s">
        <v>1818</v>
      </c>
      <c r="C1482">
        <v>37.216107016700001</v>
      </c>
      <c r="D1482">
        <v>-7.0856468670000003</v>
      </c>
      <c r="E1482">
        <v>1</v>
      </c>
      <c r="F1482">
        <v>2</v>
      </c>
      <c r="G1482">
        <v>2</v>
      </c>
      <c r="J1482" t="s">
        <v>15</v>
      </c>
      <c r="K1482">
        <v>2</v>
      </c>
      <c r="L1482">
        <v>1.5960000000000001</v>
      </c>
      <c r="M1482">
        <v>0</v>
      </c>
      <c r="N1482" t="s">
        <v>10019</v>
      </c>
      <c r="O1482" t="str">
        <f>HYPERLINK("2\1\marker_627_958690.png", "Ver Imagen")</f>
        <v>Ver Imagen</v>
      </c>
      <c r="P1482" t="str">
        <f>HYPERLINK("SE\A-5052\A-5052__161.png", "Ver Imagen")</f>
        <v>Ver Imagen</v>
      </c>
    </row>
    <row r="1483" spans="1:16" x14ac:dyDescent="0.25">
      <c r="A1483">
        <v>903</v>
      </c>
      <c r="B1483" t="s">
        <v>1818</v>
      </c>
      <c r="C1483">
        <v>37.216107016700001</v>
      </c>
      <c r="D1483">
        <v>-7.0856468670000003</v>
      </c>
      <c r="E1483">
        <v>1</v>
      </c>
      <c r="F1483">
        <v>2</v>
      </c>
      <c r="G1483">
        <v>2</v>
      </c>
      <c r="J1483" t="s">
        <v>15</v>
      </c>
      <c r="K1483">
        <v>2</v>
      </c>
      <c r="L1483">
        <v>2.0339999999999998</v>
      </c>
      <c r="M1483">
        <v>0</v>
      </c>
      <c r="N1483" t="s">
        <v>10019</v>
      </c>
      <c r="O1483" t="str">
        <f>HYPERLINK("2\1\marker_627_958690.png", "Ver Imagen")</f>
        <v>Ver Imagen</v>
      </c>
      <c r="P1483" t="str">
        <f>HYPERLINK("SO\A-5052\A-5052__161.png", "Ver Imagen")</f>
        <v>Ver Imagen</v>
      </c>
    </row>
    <row r="1484" spans="1:16" x14ac:dyDescent="0.25">
      <c r="A1484">
        <v>904</v>
      </c>
      <c r="B1484" t="s">
        <v>1820</v>
      </c>
      <c r="C1484">
        <v>37.216207537199999</v>
      </c>
      <c r="D1484">
        <v>-7.0848703438999996</v>
      </c>
      <c r="E1484">
        <v>1</v>
      </c>
      <c r="F1484">
        <v>2</v>
      </c>
      <c r="G1484">
        <v>2</v>
      </c>
      <c r="J1484" t="s">
        <v>15</v>
      </c>
      <c r="K1484">
        <v>2</v>
      </c>
      <c r="L1484">
        <v>2.38</v>
      </c>
      <c r="M1484">
        <v>0</v>
      </c>
      <c r="N1484" t="s">
        <v>10017</v>
      </c>
      <c r="O1484" t="str">
        <f>HYPERLINK("2\1\marker_139_958738.png", "Ver Imagen")</f>
        <v>Ver Imagen</v>
      </c>
      <c r="P1484" t="str">
        <f>HYPERLINK("SE\A-5052\A-5052__164.png", "Ver Imagen")</f>
        <v>Ver Imagen</v>
      </c>
    </row>
    <row r="1485" spans="1:16" x14ac:dyDescent="0.25">
      <c r="A1485">
        <v>904</v>
      </c>
      <c r="B1485" t="s">
        <v>1820</v>
      </c>
      <c r="C1485">
        <v>37.216207537199999</v>
      </c>
      <c r="D1485">
        <v>-7.0848703438999996</v>
      </c>
      <c r="E1485">
        <v>1</v>
      </c>
      <c r="F1485">
        <v>2</v>
      </c>
      <c r="G1485">
        <v>2</v>
      </c>
      <c r="J1485" t="s">
        <v>15</v>
      </c>
      <c r="K1485">
        <v>2</v>
      </c>
      <c r="L1485">
        <v>2.0459999999999998</v>
      </c>
      <c r="M1485">
        <v>0</v>
      </c>
      <c r="N1485" t="s">
        <v>10017</v>
      </c>
      <c r="O1485" t="str">
        <f>HYPERLINK("2\1\marker_139_958738.png", "Ver Imagen")</f>
        <v>Ver Imagen</v>
      </c>
      <c r="P1485" t="str">
        <f>HYPERLINK("SO\A-5052\A-5052__164.png", "Ver Imagen")</f>
        <v>Ver Imagen</v>
      </c>
    </row>
    <row r="1486" spans="1:16" x14ac:dyDescent="0.25">
      <c r="A1486">
        <v>905</v>
      </c>
      <c r="B1486" t="s">
        <v>1822</v>
      </c>
      <c r="C1486">
        <v>37.216228162699998</v>
      </c>
      <c r="D1486">
        <v>-7.0846039271799999</v>
      </c>
      <c r="E1486">
        <v>1</v>
      </c>
      <c r="F1486">
        <v>2</v>
      </c>
      <c r="G1486">
        <v>2</v>
      </c>
      <c r="J1486" t="s">
        <v>15</v>
      </c>
      <c r="K1486">
        <v>2</v>
      </c>
      <c r="L1486">
        <v>1.931</v>
      </c>
      <c r="M1486">
        <v>0</v>
      </c>
      <c r="N1486" t="s">
        <v>10019</v>
      </c>
      <c r="O1486" t="str">
        <f>HYPERLINK("2\1\marker_404_958748.png", "Ver Imagen")</f>
        <v>Ver Imagen</v>
      </c>
      <c r="P1486" t="str">
        <f>HYPERLINK("SE\A-5052\A-5052__165.png", "Ver Imagen")</f>
        <v>Ver Imagen</v>
      </c>
    </row>
    <row r="1487" spans="1:16" x14ac:dyDescent="0.25">
      <c r="A1487">
        <v>905</v>
      </c>
      <c r="B1487" t="s">
        <v>1822</v>
      </c>
      <c r="C1487">
        <v>37.216228162699998</v>
      </c>
      <c r="D1487">
        <v>-7.0846039271799999</v>
      </c>
      <c r="E1487">
        <v>1</v>
      </c>
      <c r="F1487">
        <v>2</v>
      </c>
      <c r="G1487">
        <v>2</v>
      </c>
      <c r="J1487" t="s">
        <v>15</v>
      </c>
      <c r="K1487">
        <v>2</v>
      </c>
      <c r="L1487">
        <v>1.8540000000000001</v>
      </c>
      <c r="M1487">
        <v>0</v>
      </c>
      <c r="N1487" t="s">
        <v>10019</v>
      </c>
      <c r="O1487" t="str">
        <f>HYPERLINK("2\1\marker_404_958748.png", "Ver Imagen")</f>
        <v>Ver Imagen</v>
      </c>
      <c r="P1487" t="str">
        <f>HYPERLINK("SO\A-5052\A-5052__165.png", "Ver Imagen")</f>
        <v>Ver Imagen</v>
      </c>
    </row>
    <row r="1488" spans="1:16" x14ac:dyDescent="0.25">
      <c r="A1488">
        <v>906</v>
      </c>
      <c r="B1488" t="s">
        <v>1824</v>
      </c>
      <c r="C1488">
        <v>37.215710803900002</v>
      </c>
      <c r="D1488">
        <v>-7.0821882566000003</v>
      </c>
      <c r="E1488">
        <v>1</v>
      </c>
      <c r="F1488">
        <v>2</v>
      </c>
      <c r="G1488">
        <v>2</v>
      </c>
      <c r="J1488" t="s">
        <v>15</v>
      </c>
      <c r="K1488">
        <v>2</v>
      </c>
      <c r="L1488">
        <v>2.3559999999999999</v>
      </c>
      <c r="M1488">
        <v>0</v>
      </c>
      <c r="N1488" t="s">
        <v>10017</v>
      </c>
      <c r="O1488" t="str">
        <f>HYPERLINK("2\1\marker_697_959014.png", "Ver Imagen")</f>
        <v>Ver Imagen</v>
      </c>
      <c r="P1488" t="str">
        <f>HYPERLINK("SE\A-5052\A-5052__175.png", "Ver Imagen")</f>
        <v>Ver Imagen</v>
      </c>
    </row>
    <row r="1489" spans="1:16" x14ac:dyDescent="0.25">
      <c r="A1489">
        <v>906</v>
      </c>
      <c r="B1489" t="s">
        <v>1824</v>
      </c>
      <c r="C1489">
        <v>37.215710803900002</v>
      </c>
      <c r="D1489">
        <v>-7.0821882566000003</v>
      </c>
      <c r="E1489">
        <v>1</v>
      </c>
      <c r="F1489">
        <v>2</v>
      </c>
      <c r="G1489">
        <v>2</v>
      </c>
      <c r="J1489" t="s">
        <v>15</v>
      </c>
      <c r="K1489">
        <v>2</v>
      </c>
      <c r="L1489">
        <v>2.238</v>
      </c>
      <c r="M1489">
        <v>0</v>
      </c>
      <c r="N1489" t="s">
        <v>10017</v>
      </c>
      <c r="O1489" t="str">
        <f>HYPERLINK("2\1\marker_697_959014.png", "Ver Imagen")</f>
        <v>Ver Imagen</v>
      </c>
      <c r="P1489" t="str">
        <f>HYPERLINK("SO\A-5052\A-5052__175.png", "Ver Imagen")</f>
        <v>Ver Imagen</v>
      </c>
    </row>
    <row r="1490" spans="1:16" x14ac:dyDescent="0.25">
      <c r="A1490">
        <v>907</v>
      </c>
      <c r="B1490" t="s">
        <v>1826</v>
      </c>
      <c r="C1490">
        <v>37.214841423400003</v>
      </c>
      <c r="D1490">
        <v>-7.0788205614999997</v>
      </c>
      <c r="E1490">
        <v>1</v>
      </c>
      <c r="F1490">
        <v>2</v>
      </c>
      <c r="G1490">
        <v>2</v>
      </c>
      <c r="J1490" t="s">
        <v>15</v>
      </c>
      <c r="K1490">
        <v>2</v>
      </c>
      <c r="L1490">
        <v>1.897</v>
      </c>
      <c r="M1490">
        <v>0</v>
      </c>
      <c r="N1490" t="s">
        <v>10018</v>
      </c>
      <c r="O1490" t="str">
        <f>HYPERLINK("2\1\marker_583_959298.png", "Ver Imagen")</f>
        <v>Ver Imagen</v>
      </c>
      <c r="P1490" t="str">
        <f>HYPERLINK("SE\A-5052\A-5052__189.png", "Ver Imagen")</f>
        <v>Ver Imagen</v>
      </c>
    </row>
    <row r="1491" spans="1:16" x14ac:dyDescent="0.25">
      <c r="A1491">
        <v>907</v>
      </c>
      <c r="B1491" t="s">
        <v>1826</v>
      </c>
      <c r="C1491">
        <v>37.214841423400003</v>
      </c>
      <c r="D1491">
        <v>-7.0788205614999997</v>
      </c>
      <c r="E1491">
        <v>1</v>
      </c>
      <c r="F1491">
        <v>2</v>
      </c>
      <c r="G1491">
        <v>2</v>
      </c>
      <c r="J1491" t="s">
        <v>15</v>
      </c>
      <c r="K1491">
        <v>2</v>
      </c>
      <c r="L1491">
        <v>1.9419999999999999</v>
      </c>
      <c r="M1491">
        <v>0</v>
      </c>
      <c r="N1491" t="s">
        <v>10018</v>
      </c>
      <c r="O1491" t="str">
        <f>HYPERLINK("2\1\marker_583_959298.png", "Ver Imagen")</f>
        <v>Ver Imagen</v>
      </c>
      <c r="P1491" t="str">
        <f>HYPERLINK("SO\A-5052\A-5052__189.png", "Ver Imagen")</f>
        <v>Ver Imagen</v>
      </c>
    </row>
    <row r="1492" spans="1:16" x14ac:dyDescent="0.25">
      <c r="A1492">
        <v>908</v>
      </c>
      <c r="B1492" t="s">
        <v>1828</v>
      </c>
      <c r="C1492">
        <v>37.214793091399997</v>
      </c>
      <c r="D1492">
        <v>-7.0785729676300004</v>
      </c>
      <c r="E1492">
        <v>1</v>
      </c>
      <c r="F1492">
        <v>2</v>
      </c>
      <c r="G1492">
        <v>2</v>
      </c>
      <c r="J1492" t="s">
        <v>15</v>
      </c>
      <c r="K1492">
        <v>2</v>
      </c>
      <c r="L1492">
        <v>2.0790000000000002</v>
      </c>
      <c r="M1492">
        <v>0</v>
      </c>
      <c r="N1492" t="s">
        <v>10019</v>
      </c>
      <c r="O1492" t="str">
        <f>HYPERLINK("2\1\marker_164_959308.png", "Ver Imagen")</f>
        <v>Ver Imagen</v>
      </c>
      <c r="P1492" t="str">
        <f>HYPERLINK("SE\A-5052\A-5052__190.png", "Ver Imagen")</f>
        <v>Ver Imagen</v>
      </c>
    </row>
    <row r="1493" spans="1:16" x14ac:dyDescent="0.25">
      <c r="A1493">
        <v>908</v>
      </c>
      <c r="B1493" t="s">
        <v>1828</v>
      </c>
      <c r="C1493">
        <v>37.214793091399997</v>
      </c>
      <c r="D1493">
        <v>-7.0785729676300004</v>
      </c>
      <c r="E1493">
        <v>1</v>
      </c>
      <c r="F1493">
        <v>2</v>
      </c>
      <c r="G1493">
        <v>2</v>
      </c>
      <c r="J1493" t="s">
        <v>15</v>
      </c>
      <c r="K1493">
        <v>2</v>
      </c>
      <c r="L1493">
        <v>1.9790000000000001</v>
      </c>
      <c r="M1493">
        <v>0</v>
      </c>
      <c r="N1493" t="s">
        <v>10019</v>
      </c>
      <c r="O1493" t="str">
        <f>HYPERLINK("2\1\marker_164_959308.png", "Ver Imagen")</f>
        <v>Ver Imagen</v>
      </c>
      <c r="P1493" t="str">
        <f>HYPERLINK("SO\A-5052\A-5052__190.png", "Ver Imagen")</f>
        <v>Ver Imagen</v>
      </c>
    </row>
    <row r="1494" spans="1:16" x14ac:dyDescent="0.25">
      <c r="A1494">
        <v>909</v>
      </c>
      <c r="B1494" t="s">
        <v>1830</v>
      </c>
      <c r="C1494">
        <v>37.214696699999998</v>
      </c>
      <c r="D1494">
        <v>-7.0780679966899998</v>
      </c>
      <c r="E1494">
        <v>1</v>
      </c>
      <c r="F1494">
        <v>2</v>
      </c>
      <c r="G1494">
        <v>2</v>
      </c>
      <c r="J1494" t="s">
        <v>15</v>
      </c>
      <c r="K1494">
        <v>2</v>
      </c>
      <c r="L1494">
        <v>1.917</v>
      </c>
      <c r="M1494">
        <v>0</v>
      </c>
      <c r="N1494" t="s">
        <v>10017</v>
      </c>
      <c r="O1494" t="str">
        <f>HYPERLINK("2\1\marker_140_959347.png", "Ver Imagen")</f>
        <v>Ver Imagen</v>
      </c>
      <c r="P1494" t="str">
        <f>HYPERLINK("SE\A-5052\A-5052__192.png", "Ver Imagen")</f>
        <v>Ver Imagen</v>
      </c>
    </row>
    <row r="1495" spans="1:16" x14ac:dyDescent="0.25">
      <c r="A1495">
        <v>909</v>
      </c>
      <c r="B1495" t="s">
        <v>1830</v>
      </c>
      <c r="C1495">
        <v>37.214696699999998</v>
      </c>
      <c r="D1495">
        <v>-7.0780679966899998</v>
      </c>
      <c r="E1495">
        <v>1</v>
      </c>
      <c r="F1495">
        <v>2</v>
      </c>
      <c r="G1495">
        <v>2</v>
      </c>
      <c r="J1495" t="s">
        <v>15</v>
      </c>
      <c r="K1495">
        <v>2</v>
      </c>
      <c r="L1495">
        <v>2.2650000000000001</v>
      </c>
      <c r="M1495">
        <v>0</v>
      </c>
      <c r="N1495" t="s">
        <v>10017</v>
      </c>
      <c r="O1495" t="str">
        <f>HYPERLINK("2\1\marker_140_959347.png", "Ver Imagen")</f>
        <v>Ver Imagen</v>
      </c>
      <c r="P1495" t="str">
        <f>HYPERLINK("SO\A-5052\A-5052__192.png", "Ver Imagen")</f>
        <v>Ver Imagen</v>
      </c>
    </row>
    <row r="1496" spans="1:16" x14ac:dyDescent="0.25">
      <c r="A1496">
        <v>910</v>
      </c>
      <c r="B1496" t="s">
        <v>1832</v>
      </c>
      <c r="C1496">
        <v>37.214091681900001</v>
      </c>
      <c r="D1496">
        <v>-7.0748750810800001</v>
      </c>
      <c r="E1496">
        <v>1</v>
      </c>
      <c r="F1496">
        <v>2</v>
      </c>
      <c r="G1496">
        <v>2</v>
      </c>
      <c r="J1496" t="s">
        <v>15</v>
      </c>
      <c r="K1496">
        <v>2</v>
      </c>
      <c r="L1496">
        <v>1.917</v>
      </c>
      <c r="M1496">
        <v>0</v>
      </c>
      <c r="N1496" t="s">
        <v>10019</v>
      </c>
      <c r="O1496" t="str">
        <f>HYPERLINK("2\1\marker_753_959520.png", "Ver Imagen")</f>
        <v>Ver Imagen</v>
      </c>
      <c r="P1496" t="str">
        <f>HYPERLINK("SE\A-5052\A-5052__205.png", "Ver Imagen")</f>
        <v>Ver Imagen</v>
      </c>
    </row>
    <row r="1497" spans="1:16" x14ac:dyDescent="0.25">
      <c r="A1497">
        <v>910</v>
      </c>
      <c r="B1497" t="s">
        <v>1832</v>
      </c>
      <c r="C1497">
        <v>37.214091681900001</v>
      </c>
      <c r="D1497">
        <v>-7.0748750810800001</v>
      </c>
      <c r="E1497">
        <v>1</v>
      </c>
      <c r="F1497">
        <v>2</v>
      </c>
      <c r="G1497">
        <v>2</v>
      </c>
      <c r="J1497" t="s">
        <v>15</v>
      </c>
      <c r="K1497">
        <v>2</v>
      </c>
      <c r="L1497">
        <v>1.7450000000000001</v>
      </c>
      <c r="M1497">
        <v>0</v>
      </c>
      <c r="N1497" t="s">
        <v>10019</v>
      </c>
      <c r="O1497" t="str">
        <f>HYPERLINK("2\1\marker_753_959520.png", "Ver Imagen")</f>
        <v>Ver Imagen</v>
      </c>
      <c r="P1497" t="str">
        <f>HYPERLINK("SO\A-5052\A-5052__205.png", "Ver Imagen")</f>
        <v>Ver Imagen</v>
      </c>
    </row>
    <row r="1498" spans="1:16" x14ac:dyDescent="0.25">
      <c r="A1498">
        <v>911</v>
      </c>
      <c r="B1498" t="s">
        <v>1834</v>
      </c>
      <c r="C1498">
        <v>37.214048502799997</v>
      </c>
      <c r="D1498">
        <v>-7.0746308482</v>
      </c>
      <c r="E1498">
        <v>1</v>
      </c>
      <c r="F1498">
        <v>2</v>
      </c>
      <c r="G1498">
        <v>2</v>
      </c>
      <c r="J1498" t="s">
        <v>15</v>
      </c>
      <c r="K1498">
        <v>2</v>
      </c>
      <c r="L1498">
        <v>1.9590000000000001</v>
      </c>
      <c r="M1498">
        <v>0</v>
      </c>
      <c r="N1498" t="s">
        <v>10019</v>
      </c>
      <c r="O1498" t="str">
        <f>HYPERLINK("2\1\marker_600_959530.png", "Ver Imagen")</f>
        <v>Ver Imagen</v>
      </c>
      <c r="P1498" t="str">
        <f>HYPERLINK("SE\A-5052\A-5052__206.png", "Ver Imagen")</f>
        <v>Ver Imagen</v>
      </c>
    </row>
    <row r="1499" spans="1:16" x14ac:dyDescent="0.25">
      <c r="A1499">
        <v>911</v>
      </c>
      <c r="B1499" t="s">
        <v>1834</v>
      </c>
      <c r="C1499">
        <v>37.214048502799997</v>
      </c>
      <c r="D1499">
        <v>-7.0746308482</v>
      </c>
      <c r="E1499">
        <v>1</v>
      </c>
      <c r="F1499">
        <v>2</v>
      </c>
      <c r="G1499">
        <v>2</v>
      </c>
      <c r="J1499" t="s">
        <v>15</v>
      </c>
      <c r="K1499">
        <v>2</v>
      </c>
      <c r="L1499">
        <v>1.744</v>
      </c>
      <c r="M1499">
        <v>0</v>
      </c>
      <c r="N1499" t="s">
        <v>10019</v>
      </c>
      <c r="O1499" t="str">
        <f>HYPERLINK("2\1\marker_600_959530.png", "Ver Imagen")</f>
        <v>Ver Imagen</v>
      </c>
      <c r="P1499" t="str">
        <f>HYPERLINK("SO\A-5052\A-5052__206.png", "Ver Imagen")</f>
        <v>Ver Imagen</v>
      </c>
    </row>
    <row r="1500" spans="1:16" x14ac:dyDescent="0.25">
      <c r="A1500">
        <v>912</v>
      </c>
      <c r="B1500" t="s">
        <v>1836</v>
      </c>
      <c r="C1500">
        <v>37.213927566099997</v>
      </c>
      <c r="D1500">
        <v>-7.0739074421000003</v>
      </c>
      <c r="E1500">
        <v>1</v>
      </c>
      <c r="F1500">
        <v>2</v>
      </c>
      <c r="G1500">
        <v>2</v>
      </c>
      <c r="J1500" t="s">
        <v>15</v>
      </c>
      <c r="K1500">
        <v>2</v>
      </c>
      <c r="L1500">
        <v>1.5549999999999999</v>
      </c>
      <c r="M1500">
        <v>0</v>
      </c>
      <c r="N1500" t="s">
        <v>10019</v>
      </c>
      <c r="O1500" t="str">
        <f>HYPERLINK("2\1\marker_655_959580.png", "Ver Imagen")</f>
        <v>Ver Imagen</v>
      </c>
      <c r="P1500" t="str">
        <f>HYPERLINK("SE\A-5052\A-5052__209.png", "Ver Imagen")</f>
        <v>Ver Imagen</v>
      </c>
    </row>
    <row r="1501" spans="1:16" x14ac:dyDescent="0.25">
      <c r="A1501">
        <v>912</v>
      </c>
      <c r="B1501" t="s">
        <v>1836</v>
      </c>
      <c r="C1501">
        <v>37.213927566099997</v>
      </c>
      <c r="D1501">
        <v>-7.0739074421000003</v>
      </c>
      <c r="E1501">
        <v>1</v>
      </c>
      <c r="F1501">
        <v>2</v>
      </c>
      <c r="G1501">
        <v>2</v>
      </c>
      <c r="J1501" t="s">
        <v>15</v>
      </c>
      <c r="K1501">
        <v>2</v>
      </c>
      <c r="L1501">
        <v>1.925</v>
      </c>
      <c r="M1501">
        <v>0</v>
      </c>
      <c r="N1501" t="s">
        <v>10019</v>
      </c>
      <c r="O1501" t="str">
        <f>HYPERLINK("2\1\marker_655_959580.png", "Ver Imagen")</f>
        <v>Ver Imagen</v>
      </c>
      <c r="P1501" t="str">
        <f>HYPERLINK("SO\A-5052\A-5052__209.png", "Ver Imagen")</f>
        <v>Ver Imagen</v>
      </c>
    </row>
    <row r="1502" spans="1:16" x14ac:dyDescent="0.25">
      <c r="A1502">
        <v>913</v>
      </c>
      <c r="B1502" t="s">
        <v>1838</v>
      </c>
      <c r="C1502">
        <v>37.213894554100001</v>
      </c>
      <c r="D1502">
        <v>-7.0736672714799997</v>
      </c>
      <c r="E1502">
        <v>1</v>
      </c>
      <c r="F1502">
        <v>2</v>
      </c>
      <c r="G1502">
        <v>2</v>
      </c>
      <c r="J1502" t="s">
        <v>15</v>
      </c>
      <c r="K1502">
        <v>2</v>
      </c>
      <c r="L1502">
        <v>2.0499999999999998</v>
      </c>
      <c r="M1502">
        <v>0</v>
      </c>
      <c r="N1502" t="s">
        <v>10017</v>
      </c>
      <c r="O1502" t="str">
        <f>HYPERLINK("2\1\marker_689_959594.png", "Ver Imagen")</f>
        <v>Ver Imagen</v>
      </c>
      <c r="P1502" t="str">
        <f>HYPERLINK("SE\A-5052\A-5052__210.png", "Ver Imagen")</f>
        <v>Ver Imagen</v>
      </c>
    </row>
    <row r="1503" spans="1:16" x14ac:dyDescent="0.25">
      <c r="A1503">
        <v>913</v>
      </c>
      <c r="B1503" t="s">
        <v>1838</v>
      </c>
      <c r="C1503">
        <v>37.213894554100001</v>
      </c>
      <c r="D1503">
        <v>-7.0736672714799997</v>
      </c>
      <c r="E1503">
        <v>1</v>
      </c>
      <c r="F1503">
        <v>2</v>
      </c>
      <c r="G1503">
        <v>2</v>
      </c>
      <c r="J1503" t="s">
        <v>15</v>
      </c>
      <c r="K1503">
        <v>2</v>
      </c>
      <c r="L1503">
        <v>1.9990000000000001</v>
      </c>
      <c r="M1503">
        <v>0</v>
      </c>
      <c r="N1503" t="s">
        <v>10017</v>
      </c>
      <c r="O1503" t="str">
        <f>HYPERLINK("2\1\marker_689_959594.png", "Ver Imagen")</f>
        <v>Ver Imagen</v>
      </c>
      <c r="P1503" t="str">
        <f>HYPERLINK("SO\A-5052\A-5052__210.png", "Ver Imagen")</f>
        <v>Ver Imagen</v>
      </c>
    </row>
    <row r="1504" spans="1:16" x14ac:dyDescent="0.25">
      <c r="A1504">
        <v>914</v>
      </c>
      <c r="B1504" t="s">
        <v>1840</v>
      </c>
      <c r="C1504">
        <v>37.2138578932</v>
      </c>
      <c r="D1504">
        <v>-7.0733785330099996</v>
      </c>
      <c r="E1504">
        <v>1</v>
      </c>
      <c r="F1504">
        <v>2</v>
      </c>
      <c r="G1504">
        <v>2</v>
      </c>
      <c r="J1504" t="s">
        <v>15</v>
      </c>
      <c r="K1504">
        <v>2</v>
      </c>
      <c r="L1504">
        <v>2.4380000000000002</v>
      </c>
      <c r="M1504">
        <v>0</v>
      </c>
      <c r="N1504" t="s">
        <v>10019</v>
      </c>
      <c r="O1504" t="str">
        <f>HYPERLINK("2\1\marker_654_959603.png", "Ver Imagen")</f>
        <v>Ver Imagen</v>
      </c>
      <c r="P1504" t="str">
        <f>HYPERLINK("SE\A-5052\A-5052__211.png", "Ver Imagen")</f>
        <v>Ver Imagen</v>
      </c>
    </row>
    <row r="1505" spans="1:16" x14ac:dyDescent="0.25">
      <c r="A1505">
        <v>914</v>
      </c>
      <c r="B1505" t="s">
        <v>1840</v>
      </c>
      <c r="C1505">
        <v>37.2138578932</v>
      </c>
      <c r="D1505">
        <v>-7.0733785330099996</v>
      </c>
      <c r="E1505">
        <v>1</v>
      </c>
      <c r="F1505">
        <v>2</v>
      </c>
      <c r="G1505">
        <v>2</v>
      </c>
      <c r="J1505" t="s">
        <v>15</v>
      </c>
      <c r="K1505">
        <v>2</v>
      </c>
      <c r="L1505">
        <v>2.3039999999999998</v>
      </c>
      <c r="M1505">
        <v>0</v>
      </c>
      <c r="N1505" t="s">
        <v>10019</v>
      </c>
      <c r="O1505" t="str">
        <f>HYPERLINK("2\1\marker_654_959603.png", "Ver Imagen")</f>
        <v>Ver Imagen</v>
      </c>
      <c r="P1505" t="str">
        <f>HYPERLINK("SO\A-5052\A-5052__211.png", "Ver Imagen")</f>
        <v>Ver Imagen</v>
      </c>
    </row>
    <row r="1506" spans="1:16" x14ac:dyDescent="0.25">
      <c r="A1506">
        <v>915</v>
      </c>
      <c r="B1506" t="s">
        <v>1842</v>
      </c>
      <c r="C1506">
        <v>37.213639221900003</v>
      </c>
      <c r="D1506">
        <v>-7.0713674187600004</v>
      </c>
      <c r="E1506">
        <v>1</v>
      </c>
      <c r="F1506">
        <v>2</v>
      </c>
      <c r="G1506">
        <v>2</v>
      </c>
      <c r="J1506" t="s">
        <v>15</v>
      </c>
      <c r="K1506">
        <v>2</v>
      </c>
      <c r="L1506">
        <v>1.7390000000000001</v>
      </c>
      <c r="M1506">
        <v>0</v>
      </c>
      <c r="N1506" t="s">
        <v>10019</v>
      </c>
      <c r="O1506" t="str">
        <f>HYPERLINK("2\1\marker_827_959711.png", "Ver Imagen")</f>
        <v>Ver Imagen</v>
      </c>
      <c r="P1506" t="str">
        <f>HYPERLINK("SE\A-5052\A-5052__219.png", "Ver Imagen")</f>
        <v>Ver Imagen</v>
      </c>
    </row>
    <row r="1507" spans="1:16" x14ac:dyDescent="0.25">
      <c r="A1507">
        <v>916</v>
      </c>
      <c r="B1507" t="s">
        <v>1844</v>
      </c>
      <c r="C1507">
        <v>37.213583560399996</v>
      </c>
      <c r="D1507">
        <v>-7.07085437914</v>
      </c>
      <c r="E1507">
        <v>1</v>
      </c>
      <c r="F1507">
        <v>2</v>
      </c>
      <c r="G1507">
        <v>2</v>
      </c>
      <c r="J1507" t="s">
        <v>15</v>
      </c>
      <c r="K1507">
        <v>2</v>
      </c>
      <c r="L1507">
        <v>1.762</v>
      </c>
      <c r="M1507">
        <v>0</v>
      </c>
      <c r="N1507" t="s">
        <v>10019</v>
      </c>
      <c r="O1507" t="str">
        <f>HYPERLINK("2\1\marker_701_959730.png", "Ver Imagen")</f>
        <v>Ver Imagen</v>
      </c>
      <c r="P1507" t="str">
        <f>HYPERLINK("SE\A-5052\A-5052__221.png", "Ver Imagen")</f>
        <v>Ver Imagen</v>
      </c>
    </row>
    <row r="1508" spans="1:16" x14ac:dyDescent="0.25">
      <c r="A1508">
        <v>917</v>
      </c>
      <c r="B1508" t="s">
        <v>1846</v>
      </c>
      <c r="C1508">
        <v>37.213467055400002</v>
      </c>
      <c r="D1508">
        <v>-7.0693931059499997</v>
      </c>
      <c r="E1508">
        <v>1</v>
      </c>
      <c r="F1508">
        <v>2</v>
      </c>
      <c r="G1508">
        <v>2</v>
      </c>
      <c r="J1508" t="s">
        <v>15</v>
      </c>
      <c r="K1508">
        <v>2</v>
      </c>
      <c r="L1508">
        <v>1.885</v>
      </c>
      <c r="M1508">
        <v>0</v>
      </c>
      <c r="N1508" t="s">
        <v>10019</v>
      </c>
      <c r="O1508" t="str">
        <f>HYPERLINK("2\1\marker_294_959789.png", "Ver Imagen")</f>
        <v>Ver Imagen</v>
      </c>
      <c r="P1508" t="str">
        <f>HYPERLINK("SE\A-5052\A-5052__227.png", "Ver Imagen")</f>
        <v>Ver Imagen</v>
      </c>
    </row>
    <row r="1509" spans="1:16" x14ac:dyDescent="0.25">
      <c r="A1509">
        <v>918</v>
      </c>
      <c r="B1509" t="s">
        <v>1848</v>
      </c>
      <c r="C1509">
        <v>37.213446159599997</v>
      </c>
      <c r="D1509">
        <v>-7.0688256941300001</v>
      </c>
      <c r="E1509">
        <v>1</v>
      </c>
      <c r="F1509">
        <v>2</v>
      </c>
      <c r="G1509">
        <v>2</v>
      </c>
      <c r="J1509" t="s">
        <v>15</v>
      </c>
      <c r="K1509">
        <v>2</v>
      </c>
      <c r="L1509">
        <v>1.867</v>
      </c>
      <c r="M1509">
        <v>0</v>
      </c>
      <c r="N1509" t="s">
        <v>10017</v>
      </c>
      <c r="O1509" t="str">
        <f>HYPERLINK("2\1\marker_486_959809.png", "Ver Imagen")</f>
        <v>Ver Imagen</v>
      </c>
      <c r="P1509" t="str">
        <f>HYPERLINK("SE\A-5052\A-5052__229.png", "Ver Imagen")</f>
        <v>Ver Imagen</v>
      </c>
    </row>
    <row r="1510" spans="1:16" x14ac:dyDescent="0.25">
      <c r="A1510">
        <v>919</v>
      </c>
      <c r="B1510" t="s">
        <v>1850</v>
      </c>
      <c r="C1510">
        <v>37.213436689300003</v>
      </c>
      <c r="D1510">
        <v>-7.0685800699800003</v>
      </c>
      <c r="E1510">
        <v>1</v>
      </c>
      <c r="F1510">
        <v>2</v>
      </c>
      <c r="G1510">
        <v>2</v>
      </c>
      <c r="J1510" t="s">
        <v>15</v>
      </c>
      <c r="K1510">
        <v>2</v>
      </c>
      <c r="L1510">
        <v>2.2730000000000001</v>
      </c>
      <c r="M1510">
        <v>0</v>
      </c>
      <c r="N1510" t="s">
        <v>10017</v>
      </c>
      <c r="O1510" t="str">
        <f>HYPERLINK("2\1\marker_810_959819.png", "Ver Imagen")</f>
        <v>Ver Imagen</v>
      </c>
      <c r="P1510" t="str">
        <f>HYPERLINK("SE\A-5052\A-5052__230.png", "Ver Imagen")</f>
        <v>Ver Imagen</v>
      </c>
    </row>
    <row r="1511" spans="1:16" x14ac:dyDescent="0.25">
      <c r="A1511">
        <v>920</v>
      </c>
      <c r="B1511" t="s">
        <v>1852</v>
      </c>
      <c r="C1511">
        <v>37.2134155886</v>
      </c>
      <c r="D1511">
        <v>-7.0681316409299999</v>
      </c>
      <c r="E1511">
        <v>1</v>
      </c>
      <c r="F1511">
        <v>2</v>
      </c>
      <c r="G1511">
        <v>2</v>
      </c>
      <c r="J1511" t="s">
        <v>15</v>
      </c>
      <c r="K1511">
        <v>2</v>
      </c>
      <c r="L1511">
        <v>1.9510000000000001</v>
      </c>
      <c r="M1511">
        <v>0</v>
      </c>
      <c r="N1511" t="s">
        <v>10019</v>
      </c>
      <c r="O1511" t="str">
        <f>HYPERLINK("2\1\marker_470_959855.png", "Ver Imagen")</f>
        <v>Ver Imagen</v>
      </c>
      <c r="P1511" t="str">
        <f>HYPERLINK("SE\A-5052\A-5052__232.png", "Ver Imagen")</f>
        <v>Ver Imagen</v>
      </c>
    </row>
    <row r="1512" spans="1:16" x14ac:dyDescent="0.25">
      <c r="A1512">
        <v>921</v>
      </c>
      <c r="B1512" t="s">
        <v>1854</v>
      </c>
      <c r="C1512">
        <v>37.213388007900001</v>
      </c>
      <c r="D1512">
        <v>-7.0675920094500002</v>
      </c>
      <c r="E1512">
        <v>1</v>
      </c>
      <c r="F1512">
        <v>2</v>
      </c>
      <c r="G1512">
        <v>2</v>
      </c>
      <c r="J1512" t="s">
        <v>15</v>
      </c>
      <c r="K1512">
        <v>2</v>
      </c>
      <c r="L1512">
        <v>1.744</v>
      </c>
      <c r="M1512">
        <v>0</v>
      </c>
      <c r="N1512" t="s">
        <v>10019</v>
      </c>
      <c r="O1512" t="str">
        <f>HYPERLINK("2\1\marker_146_959872.png", "Ver Imagen")</f>
        <v>Ver Imagen</v>
      </c>
      <c r="P1512" t="str">
        <f>HYPERLINK("SE\A-5052\A-5052__234.png", "Ver Imagen")</f>
        <v>Ver Imagen</v>
      </c>
    </row>
    <row r="1513" spans="1:16" x14ac:dyDescent="0.25">
      <c r="A1513">
        <v>922</v>
      </c>
      <c r="B1513" t="s">
        <v>1856</v>
      </c>
      <c r="C1513">
        <v>37.213311796399999</v>
      </c>
      <c r="D1513">
        <v>-7.0656018522800004</v>
      </c>
      <c r="E1513">
        <v>1</v>
      </c>
      <c r="F1513">
        <v>2</v>
      </c>
      <c r="G1513">
        <v>2</v>
      </c>
      <c r="J1513" t="s">
        <v>15</v>
      </c>
      <c r="K1513">
        <v>2</v>
      </c>
      <c r="L1513">
        <v>1.758</v>
      </c>
      <c r="M1513">
        <v>0</v>
      </c>
      <c r="N1513" t="s">
        <v>10019</v>
      </c>
      <c r="O1513" t="str">
        <f>HYPERLINK("2\1\marker_914_959975.png", "Ver Imagen")</f>
        <v>Ver Imagen</v>
      </c>
      <c r="P1513" t="str">
        <f>HYPERLINK("SE\A-5052\A-5052__242.png", "Ver Imagen")</f>
        <v>Ver Imagen</v>
      </c>
    </row>
    <row r="1514" spans="1:16" x14ac:dyDescent="0.25">
      <c r="A1514">
        <v>923</v>
      </c>
      <c r="B1514" t="s">
        <v>1858</v>
      </c>
      <c r="C1514">
        <v>37.2120423</v>
      </c>
      <c r="D1514">
        <v>-7.05915699095</v>
      </c>
      <c r="E1514">
        <v>1</v>
      </c>
      <c r="F1514">
        <v>2</v>
      </c>
      <c r="G1514">
        <v>2</v>
      </c>
      <c r="J1514" t="s">
        <v>15</v>
      </c>
      <c r="K1514">
        <v>2</v>
      </c>
      <c r="L1514">
        <v>2.0329999999999999</v>
      </c>
      <c r="M1514">
        <v>0</v>
      </c>
      <c r="N1514" t="s">
        <v>10019</v>
      </c>
      <c r="O1514" t="str">
        <f>HYPERLINK("2\1\marker_307_960304.png", "Ver Imagen")</f>
        <v>Ver Imagen</v>
      </c>
      <c r="P1514" t="str">
        <f>HYPERLINK("SE\A-5052\A-5052__269.png", "Ver Imagen")</f>
        <v>Ver Imagen</v>
      </c>
    </row>
    <row r="1515" spans="1:16" x14ac:dyDescent="0.25">
      <c r="A1515">
        <v>924</v>
      </c>
      <c r="B1515" t="s">
        <v>1860</v>
      </c>
      <c r="C1515">
        <v>37.209942929100002</v>
      </c>
      <c r="D1515">
        <v>-7.0415798907699996</v>
      </c>
      <c r="E1515">
        <v>2</v>
      </c>
      <c r="F1515">
        <v>2</v>
      </c>
      <c r="G1515">
        <v>1</v>
      </c>
      <c r="J1515" t="s">
        <v>15</v>
      </c>
      <c r="K1515">
        <v>2</v>
      </c>
      <c r="L1515">
        <v>2.1120000000000001</v>
      </c>
      <c r="M1515">
        <v>0</v>
      </c>
      <c r="N1515" t="s">
        <v>10019</v>
      </c>
      <c r="O1515" t="str">
        <f>HYPERLINK("2\1\marker_712_961647.png", "Ver Imagen")</f>
        <v>Ver Imagen</v>
      </c>
      <c r="P1515" t="str">
        <f>HYPERLINK("SE\A-5052\A-5052__342.png", "Ver Imagen")</f>
        <v>Ver Imagen</v>
      </c>
    </row>
    <row r="1516" spans="1:16" x14ac:dyDescent="0.25">
      <c r="A1516">
        <v>925</v>
      </c>
      <c r="B1516" t="s">
        <v>1862</v>
      </c>
      <c r="C1516">
        <v>37.209574632100001</v>
      </c>
      <c r="D1516">
        <v>-7.0406090719399996</v>
      </c>
      <c r="E1516">
        <v>2</v>
      </c>
      <c r="F1516">
        <v>2</v>
      </c>
      <c r="G1516">
        <v>1</v>
      </c>
      <c r="J1516" t="s">
        <v>15</v>
      </c>
      <c r="K1516">
        <v>2</v>
      </c>
      <c r="L1516">
        <v>2.1720000000000002</v>
      </c>
      <c r="M1516">
        <v>0</v>
      </c>
      <c r="N1516" t="s">
        <v>10019</v>
      </c>
      <c r="O1516" t="str">
        <f>HYPERLINK("2\1\marker_466_961693.png", "Ver Imagen")</f>
        <v>Ver Imagen</v>
      </c>
      <c r="P1516" t="str">
        <f>HYPERLINK("SE\A-5052\A-5052__346.png", "Ver Imagen")</f>
        <v>Ver Imagen</v>
      </c>
    </row>
    <row r="1517" spans="1:16" x14ac:dyDescent="0.25">
      <c r="A1517">
        <v>926</v>
      </c>
      <c r="B1517" t="s">
        <v>1864</v>
      </c>
      <c r="C1517">
        <v>37.203735338900003</v>
      </c>
      <c r="D1517">
        <v>-7.0254118297200003</v>
      </c>
      <c r="E1517">
        <v>1</v>
      </c>
      <c r="F1517">
        <v>2</v>
      </c>
      <c r="G1517">
        <v>2</v>
      </c>
      <c r="J1517" t="s">
        <v>15</v>
      </c>
      <c r="K1517">
        <v>2</v>
      </c>
      <c r="L1517">
        <v>2.081</v>
      </c>
      <c r="M1517">
        <v>0</v>
      </c>
      <c r="N1517" t="s">
        <v>10019</v>
      </c>
      <c r="O1517" t="str">
        <f>HYPERLINK("2\1\marker_117_962802.png", "Ver Imagen")</f>
        <v>Ver Imagen</v>
      </c>
      <c r="P1517" t="str">
        <f>HYPERLINK("SE\A-5052\A-5052__413.png", "Ver Imagen")</f>
        <v>Ver Imagen</v>
      </c>
    </row>
    <row r="1518" spans="1:16" x14ac:dyDescent="0.25">
      <c r="A1518">
        <v>927</v>
      </c>
      <c r="B1518" t="s">
        <v>1866</v>
      </c>
      <c r="C1518">
        <v>37.203633285599999</v>
      </c>
      <c r="D1518">
        <v>-7.02514779992</v>
      </c>
      <c r="E1518">
        <v>1</v>
      </c>
      <c r="F1518">
        <v>2</v>
      </c>
      <c r="G1518">
        <v>2</v>
      </c>
      <c r="J1518" t="s">
        <v>15</v>
      </c>
      <c r="K1518">
        <v>2</v>
      </c>
      <c r="L1518">
        <v>1.8740000000000001</v>
      </c>
      <c r="M1518">
        <v>0</v>
      </c>
      <c r="N1518" t="s">
        <v>10019</v>
      </c>
      <c r="O1518" t="str">
        <f>HYPERLINK("2\1\marker_353_962812.png", "Ver Imagen")</f>
        <v>Ver Imagen</v>
      </c>
      <c r="P1518" t="str">
        <f>HYPERLINK("SE\A-5052\A-5052__414.png", "Ver Imagen")</f>
        <v>Ver Imagen</v>
      </c>
    </row>
    <row r="1519" spans="1:16" x14ac:dyDescent="0.25">
      <c r="A1519">
        <v>928</v>
      </c>
      <c r="B1519" t="s">
        <v>1868</v>
      </c>
      <c r="C1519">
        <v>37.2035556294</v>
      </c>
      <c r="D1519">
        <v>-7.0249483875600003</v>
      </c>
      <c r="E1519">
        <v>1</v>
      </c>
      <c r="F1519">
        <v>2</v>
      </c>
      <c r="G1519">
        <v>2</v>
      </c>
      <c r="J1519" t="s">
        <v>15</v>
      </c>
      <c r="K1519">
        <v>2</v>
      </c>
      <c r="L1519">
        <v>2.4129999999999998</v>
      </c>
      <c r="M1519">
        <v>0</v>
      </c>
      <c r="N1519" t="s">
        <v>10018</v>
      </c>
      <c r="O1519" t="str">
        <f>HYPERLINK("2\1\marker_638_962822.png", "Ver Imagen")</f>
        <v>Ver Imagen</v>
      </c>
      <c r="P1519" t="str">
        <f>HYPERLINK("SE\A-5052\A-5052__415.png", "Ver Imagen")</f>
        <v>Ver Imagen</v>
      </c>
    </row>
    <row r="1520" spans="1:16" x14ac:dyDescent="0.25">
      <c r="A1520">
        <v>929</v>
      </c>
      <c r="B1520" t="s">
        <v>1870</v>
      </c>
      <c r="C1520">
        <v>37.203375146799999</v>
      </c>
      <c r="D1520">
        <v>-7.0244816588600001</v>
      </c>
      <c r="E1520">
        <v>1</v>
      </c>
      <c r="F1520">
        <v>2</v>
      </c>
      <c r="G1520">
        <v>2</v>
      </c>
      <c r="J1520" t="s">
        <v>15</v>
      </c>
      <c r="K1520">
        <v>2</v>
      </c>
      <c r="L1520">
        <v>2.0590000000000002</v>
      </c>
      <c r="M1520">
        <v>0</v>
      </c>
      <c r="N1520" t="s">
        <v>10019</v>
      </c>
      <c r="O1520" t="str">
        <f>HYPERLINK("2\1\marker_124_962849.png", "Ver Imagen")</f>
        <v>Ver Imagen</v>
      </c>
      <c r="P1520" t="str">
        <f>HYPERLINK("SE\A-5052\A-5052__417.png", "Ver Imagen")</f>
        <v>Ver Imagen</v>
      </c>
    </row>
    <row r="1521" spans="1:16" x14ac:dyDescent="0.25">
      <c r="A1521">
        <v>930</v>
      </c>
      <c r="B1521" t="s">
        <v>1872</v>
      </c>
      <c r="C1521">
        <v>37.2032014965</v>
      </c>
      <c r="D1521">
        <v>-7.0240388706500001</v>
      </c>
      <c r="E1521">
        <v>1</v>
      </c>
      <c r="F1521">
        <v>2</v>
      </c>
      <c r="G1521">
        <v>2</v>
      </c>
      <c r="J1521" t="s">
        <v>15</v>
      </c>
      <c r="K1521">
        <v>2</v>
      </c>
      <c r="L1521">
        <v>1.9550000000000001</v>
      </c>
      <c r="M1521">
        <v>0</v>
      </c>
      <c r="N1521" t="s">
        <v>10019</v>
      </c>
      <c r="O1521" t="str">
        <f>HYPERLINK("2\1\marker_938_962866.png", "Ver Imagen")</f>
        <v>Ver Imagen</v>
      </c>
      <c r="P1521" t="str">
        <f>HYPERLINK("SE\A-5052\A-5052__419.png", "Ver Imagen")</f>
        <v>Ver Imagen</v>
      </c>
    </row>
    <row r="1522" spans="1:16" x14ac:dyDescent="0.25">
      <c r="A1522">
        <v>931</v>
      </c>
      <c r="B1522" t="s">
        <v>1874</v>
      </c>
      <c r="C1522">
        <v>37.201899034199997</v>
      </c>
      <c r="D1522">
        <v>-7.0206404647799996</v>
      </c>
      <c r="E1522">
        <v>1</v>
      </c>
      <c r="F1522">
        <v>2</v>
      </c>
      <c r="G1522">
        <v>2</v>
      </c>
      <c r="J1522" t="s">
        <v>15</v>
      </c>
      <c r="K1522">
        <v>2</v>
      </c>
      <c r="L1522">
        <v>2.024</v>
      </c>
      <c r="M1522">
        <v>0</v>
      </c>
      <c r="N1522" t="s">
        <v>10019</v>
      </c>
      <c r="O1522" t="str">
        <f>HYPERLINK("2\1\marker_440_963017.png", "Ver Imagen")</f>
        <v>Ver Imagen</v>
      </c>
      <c r="P1522" t="str">
        <f>HYPERLINK("SE\A-5052\A-5052__434.png", "Ver Imagen")</f>
        <v>Ver Imagen</v>
      </c>
    </row>
    <row r="1523" spans="1:16" x14ac:dyDescent="0.25">
      <c r="A1523">
        <v>932</v>
      </c>
      <c r="B1523" t="s">
        <v>1876</v>
      </c>
      <c r="C1523">
        <v>37.2016226995</v>
      </c>
      <c r="D1523">
        <v>-7.0199209051100002</v>
      </c>
      <c r="E1523">
        <v>1</v>
      </c>
      <c r="F1523">
        <v>2</v>
      </c>
      <c r="G1523">
        <v>2</v>
      </c>
      <c r="J1523" t="s">
        <v>15</v>
      </c>
      <c r="K1523">
        <v>2</v>
      </c>
      <c r="L1523">
        <v>1.873</v>
      </c>
      <c r="M1523">
        <v>0</v>
      </c>
      <c r="N1523" t="s">
        <v>10019</v>
      </c>
      <c r="O1523" t="str">
        <f>HYPERLINK("2\1\marker_395_963048.png", "Ver Imagen")</f>
        <v>Ver Imagen</v>
      </c>
      <c r="P1523" t="str">
        <f>HYPERLINK("SE\A-5052\A-5052__437.png", "Ver Imagen")</f>
        <v>Ver Imagen</v>
      </c>
    </row>
    <row r="1524" spans="1:16" x14ac:dyDescent="0.25">
      <c r="A1524">
        <v>933</v>
      </c>
      <c r="B1524" t="s">
        <v>1878</v>
      </c>
      <c r="C1524">
        <v>37.2014453424</v>
      </c>
      <c r="D1524">
        <v>-7.0194540185500003</v>
      </c>
      <c r="E1524">
        <v>1</v>
      </c>
      <c r="F1524">
        <v>2</v>
      </c>
      <c r="G1524">
        <v>2</v>
      </c>
      <c r="J1524" t="s">
        <v>15</v>
      </c>
      <c r="K1524">
        <v>2</v>
      </c>
      <c r="L1524">
        <v>2.2320000000000002</v>
      </c>
      <c r="M1524">
        <v>0</v>
      </c>
      <c r="N1524" t="s">
        <v>10019</v>
      </c>
      <c r="O1524" t="str">
        <f>HYPERLINK("2\1\marker_337_963066.png", "Ver Imagen")</f>
        <v>Ver Imagen</v>
      </c>
      <c r="P1524" t="str">
        <f>HYPERLINK("SE\A-5052\A-5052__439.png", "Ver Imagen")</f>
        <v>Ver Imagen</v>
      </c>
    </row>
    <row r="1525" spans="1:16" x14ac:dyDescent="0.25">
      <c r="A1525">
        <v>934</v>
      </c>
      <c r="B1525" t="s">
        <v>1880</v>
      </c>
      <c r="C1525">
        <v>37.201286254000003</v>
      </c>
      <c r="D1525">
        <v>-7.0190337232099997</v>
      </c>
      <c r="E1525">
        <v>1</v>
      </c>
      <c r="F1525">
        <v>2</v>
      </c>
      <c r="G1525">
        <v>2</v>
      </c>
      <c r="J1525" t="s">
        <v>15</v>
      </c>
      <c r="K1525">
        <v>2</v>
      </c>
      <c r="L1525">
        <v>2.0270000000000001</v>
      </c>
      <c r="M1525">
        <v>0</v>
      </c>
      <c r="N1525" t="s">
        <v>10018</v>
      </c>
      <c r="O1525" t="str">
        <f>HYPERLINK("2\1\marker_432_963084.png", "Ver Imagen")</f>
        <v>Ver Imagen</v>
      </c>
      <c r="P1525" t="str">
        <f>HYPERLINK("SE\A-5052\A-5052__441.png", "Ver Imagen")</f>
        <v>Ver Imagen</v>
      </c>
    </row>
    <row r="1526" spans="1:16" x14ac:dyDescent="0.25">
      <c r="A1526">
        <v>935</v>
      </c>
      <c r="B1526" t="s">
        <v>1882</v>
      </c>
      <c r="C1526">
        <v>37.201187577600002</v>
      </c>
      <c r="D1526">
        <v>-7.0187805908299996</v>
      </c>
      <c r="E1526">
        <v>1</v>
      </c>
      <c r="F1526">
        <v>2</v>
      </c>
      <c r="G1526">
        <v>2</v>
      </c>
      <c r="J1526" t="s">
        <v>15</v>
      </c>
      <c r="K1526">
        <v>2</v>
      </c>
      <c r="L1526">
        <v>1.825</v>
      </c>
      <c r="M1526">
        <v>0</v>
      </c>
      <c r="N1526" t="s">
        <v>10019</v>
      </c>
      <c r="O1526" t="str">
        <f>HYPERLINK("2\1\marker_534_963102.png", "Ver Imagen")</f>
        <v>Ver Imagen</v>
      </c>
      <c r="P1526" t="str">
        <f>HYPERLINK("SE\A-5052\A-5052__442.png", "Ver Imagen")</f>
        <v>Ver Imagen</v>
      </c>
    </row>
    <row r="1527" spans="1:16" x14ac:dyDescent="0.25">
      <c r="A1527">
        <v>936</v>
      </c>
      <c r="B1527" t="s">
        <v>1884</v>
      </c>
      <c r="C1527">
        <v>37.201103175</v>
      </c>
      <c r="D1527">
        <v>-7.0185639015900003</v>
      </c>
      <c r="E1527">
        <v>1</v>
      </c>
      <c r="F1527">
        <v>2</v>
      </c>
      <c r="G1527">
        <v>2</v>
      </c>
      <c r="J1527" t="s">
        <v>15</v>
      </c>
      <c r="K1527">
        <v>2</v>
      </c>
      <c r="L1527">
        <v>1.802</v>
      </c>
      <c r="M1527">
        <v>0</v>
      </c>
      <c r="N1527" t="s">
        <v>10018</v>
      </c>
      <c r="O1527" t="str">
        <f>HYPERLINK("2\1\marker_633_963111.png", "Ver Imagen")</f>
        <v>Ver Imagen</v>
      </c>
      <c r="P1527" t="str">
        <f>HYPERLINK("SE\A-5052\A-5052__443.png", "Ver Imagen")</f>
        <v>Ver Imagen</v>
      </c>
    </row>
    <row r="1528" spans="1:16" x14ac:dyDescent="0.25">
      <c r="A1528">
        <v>937</v>
      </c>
      <c r="B1528" t="s">
        <v>1886</v>
      </c>
      <c r="C1528">
        <v>37.2005817334</v>
      </c>
      <c r="D1528">
        <v>-7.0172115889000004</v>
      </c>
      <c r="E1528">
        <v>1</v>
      </c>
      <c r="F1528">
        <v>2</v>
      </c>
      <c r="G1528">
        <v>2</v>
      </c>
      <c r="J1528" t="s">
        <v>15</v>
      </c>
      <c r="K1528">
        <v>2</v>
      </c>
      <c r="L1528">
        <v>2.1760000000000002</v>
      </c>
      <c r="M1528">
        <v>0</v>
      </c>
      <c r="N1528" t="s">
        <v>10019</v>
      </c>
      <c r="O1528" t="str">
        <f>HYPERLINK("2\1\marker_560_963167.png", "Ver Imagen")</f>
        <v>Ver Imagen</v>
      </c>
      <c r="P1528" t="str">
        <f>HYPERLINK("SE\A-5052\A-5052__449.png", "Ver Imagen")</f>
        <v>Ver Imagen</v>
      </c>
    </row>
    <row r="1529" spans="1:16" x14ac:dyDescent="0.25">
      <c r="A1529">
        <v>938</v>
      </c>
      <c r="B1529" t="s">
        <v>1888</v>
      </c>
      <c r="C1529">
        <v>37.1999578649</v>
      </c>
      <c r="D1529">
        <v>-7.0155802544499997</v>
      </c>
      <c r="E1529">
        <v>1</v>
      </c>
      <c r="F1529">
        <v>2</v>
      </c>
      <c r="G1529">
        <v>2</v>
      </c>
      <c r="J1529" t="s">
        <v>15</v>
      </c>
      <c r="K1529">
        <v>2</v>
      </c>
      <c r="L1529">
        <v>1.9039999999999999</v>
      </c>
      <c r="M1529">
        <v>0</v>
      </c>
      <c r="N1529" t="s">
        <v>10019</v>
      </c>
      <c r="O1529" t="str">
        <f>HYPERLINK("2\1\marker_658_963244.png", "Ver Imagen")</f>
        <v>Ver Imagen</v>
      </c>
      <c r="P1529" t="str">
        <f>HYPERLINK("SE\A-5052\A-5052__456.png", "Ver Imagen")</f>
        <v>Ver Imagen</v>
      </c>
    </row>
    <row r="1530" spans="1:16" x14ac:dyDescent="0.25">
      <c r="A1530">
        <v>939</v>
      </c>
      <c r="B1530" t="s">
        <v>1890</v>
      </c>
      <c r="C1530">
        <v>37.286322060499998</v>
      </c>
      <c r="D1530">
        <v>-7.1416142862900003</v>
      </c>
      <c r="E1530">
        <v>1</v>
      </c>
      <c r="F1530">
        <v>2</v>
      </c>
      <c r="G1530">
        <v>2</v>
      </c>
      <c r="J1530" t="s">
        <v>15</v>
      </c>
      <c r="K1530">
        <v>2</v>
      </c>
      <c r="L1530">
        <v>1.6120000000000001</v>
      </c>
      <c r="M1530">
        <v>0</v>
      </c>
      <c r="N1530" t="s">
        <v>10019</v>
      </c>
      <c r="O1530" t="str">
        <f>HYPERLINK("2\1\marker_272_963968.png", "Ver Imagen")</f>
        <v>Ver Imagen</v>
      </c>
      <c r="P1530" t="str">
        <f>HYPERLINK("SO\A-5053\A-5053__369.png", "Ver Imagen")</f>
        <v>Ver Imagen</v>
      </c>
    </row>
    <row r="1531" spans="1:16" x14ac:dyDescent="0.25">
      <c r="A1531">
        <v>940</v>
      </c>
      <c r="B1531" t="s">
        <v>1892</v>
      </c>
      <c r="C1531">
        <v>37.2859547479</v>
      </c>
      <c r="D1531">
        <v>-7.1419144475399996</v>
      </c>
      <c r="E1531">
        <v>1</v>
      </c>
      <c r="F1531">
        <v>2</v>
      </c>
      <c r="G1531">
        <v>2</v>
      </c>
      <c r="J1531" t="s">
        <v>15</v>
      </c>
      <c r="K1531">
        <v>2</v>
      </c>
      <c r="L1531">
        <v>1.6910000000000001</v>
      </c>
      <c r="M1531">
        <v>0</v>
      </c>
      <c r="N1531" t="s">
        <v>10019</v>
      </c>
      <c r="O1531" t="str">
        <f>HYPERLINK("2\1\marker_267_963989.png", "Ver Imagen")</f>
        <v>Ver Imagen</v>
      </c>
      <c r="P1531" t="str">
        <f>HYPERLINK("SO\A-5053\A-5053__367.png", "Ver Imagen")</f>
        <v>Ver Imagen</v>
      </c>
    </row>
    <row r="1532" spans="1:16" x14ac:dyDescent="0.25">
      <c r="A1532">
        <v>942</v>
      </c>
      <c r="B1532" t="s">
        <v>1896</v>
      </c>
      <c r="C1532">
        <v>37.285624333999998</v>
      </c>
      <c r="D1532">
        <v>-7.1422024343499997</v>
      </c>
      <c r="E1532">
        <v>1</v>
      </c>
      <c r="F1532">
        <v>2</v>
      </c>
      <c r="G1532">
        <v>2</v>
      </c>
      <c r="J1532" t="s">
        <v>15</v>
      </c>
      <c r="K1532">
        <v>2</v>
      </c>
      <c r="L1532">
        <v>1.6950000000000001</v>
      </c>
      <c r="M1532">
        <v>0</v>
      </c>
      <c r="N1532" t="s">
        <v>10019</v>
      </c>
      <c r="O1532" t="str">
        <f>HYPERLINK("2\1\marker_938_964008.png", "Ver Imagen")</f>
        <v>Ver Imagen</v>
      </c>
      <c r="P1532" t="str">
        <f>HYPERLINK("SO\A-5053\A-5053__365.png", "Ver Imagen")</f>
        <v>Ver Imagen</v>
      </c>
    </row>
    <row r="1533" spans="1:16" x14ac:dyDescent="0.25">
      <c r="A1533">
        <v>944</v>
      </c>
      <c r="B1533" t="s">
        <v>1900</v>
      </c>
      <c r="C1533">
        <v>37.283833279100001</v>
      </c>
      <c r="D1533">
        <v>-7.1435347349300002</v>
      </c>
      <c r="E1533">
        <v>1</v>
      </c>
      <c r="F1533">
        <v>2</v>
      </c>
      <c r="G1533">
        <v>2</v>
      </c>
      <c r="J1533" t="s">
        <v>15</v>
      </c>
      <c r="K1533">
        <v>2</v>
      </c>
      <c r="L1533">
        <v>2.16</v>
      </c>
      <c r="M1533">
        <v>0</v>
      </c>
      <c r="N1533" t="s">
        <v>10019</v>
      </c>
      <c r="O1533" t="str">
        <f>HYPERLINK("2\1\marker_585_964134.png", "Ver Imagen")</f>
        <v>Ver Imagen</v>
      </c>
      <c r="P1533" t="str">
        <f>HYPERLINK("SO\A-5053\A-5053__354.png", "Ver Imagen")</f>
        <v>Ver Imagen</v>
      </c>
    </row>
    <row r="1534" spans="1:16" x14ac:dyDescent="0.25">
      <c r="A1534">
        <v>945</v>
      </c>
      <c r="B1534" t="s">
        <v>1902</v>
      </c>
      <c r="C1534">
        <v>37.283264013699998</v>
      </c>
      <c r="D1534">
        <v>-7.1438194882100001</v>
      </c>
      <c r="E1534">
        <v>1</v>
      </c>
      <c r="F1534">
        <v>2</v>
      </c>
      <c r="G1534">
        <v>2</v>
      </c>
      <c r="J1534" t="s">
        <v>15</v>
      </c>
      <c r="K1534">
        <v>2</v>
      </c>
      <c r="L1534">
        <v>2.016</v>
      </c>
      <c r="M1534">
        <v>0</v>
      </c>
      <c r="N1534" t="s">
        <v>10019</v>
      </c>
      <c r="O1534" t="str">
        <f>HYPERLINK("2\1\marker_132_964165.png", "Ver Imagen")</f>
        <v>Ver Imagen</v>
      </c>
      <c r="P1534" t="str">
        <f>HYPERLINK("SO\A-5053\A-5053__351.png", "Ver Imagen")</f>
        <v>Ver Imagen</v>
      </c>
    </row>
    <row r="1535" spans="1:16" x14ac:dyDescent="0.25">
      <c r="A1535">
        <v>946</v>
      </c>
      <c r="B1535" t="s">
        <v>1904</v>
      </c>
      <c r="C1535">
        <v>37.282685751899997</v>
      </c>
      <c r="D1535">
        <v>-7.1440591280200003</v>
      </c>
      <c r="E1535">
        <v>1</v>
      </c>
      <c r="F1535">
        <v>2</v>
      </c>
      <c r="G1535">
        <v>2</v>
      </c>
      <c r="J1535" t="s">
        <v>15</v>
      </c>
      <c r="K1535">
        <v>2</v>
      </c>
      <c r="L1535">
        <v>2.0790000000000002</v>
      </c>
      <c r="M1535">
        <v>0</v>
      </c>
      <c r="N1535" t="s">
        <v>10019</v>
      </c>
      <c r="O1535" t="str">
        <f>HYPERLINK("2\1\marker_161_964194.png", "Ver Imagen")</f>
        <v>Ver Imagen</v>
      </c>
      <c r="P1535" t="str">
        <f>HYPERLINK("SO\A-5053\A-5053__348.png", "Ver Imagen")</f>
        <v>Ver Imagen</v>
      </c>
    </row>
    <row r="1536" spans="1:16" x14ac:dyDescent="0.25">
      <c r="A1536">
        <v>947</v>
      </c>
      <c r="B1536" t="s">
        <v>1906</v>
      </c>
      <c r="C1536">
        <v>37.281912388199999</v>
      </c>
      <c r="D1536">
        <v>-7.1443777001199997</v>
      </c>
      <c r="E1536">
        <v>1</v>
      </c>
      <c r="F1536">
        <v>2</v>
      </c>
      <c r="G1536">
        <v>2</v>
      </c>
      <c r="J1536" t="s">
        <v>15</v>
      </c>
      <c r="K1536">
        <v>2</v>
      </c>
      <c r="L1536">
        <v>1.883</v>
      </c>
      <c r="M1536">
        <v>0</v>
      </c>
      <c r="N1536" t="s">
        <v>10018</v>
      </c>
      <c r="O1536" t="str">
        <f>HYPERLINK("2\1\marker_607_964234.png", "Ver Imagen")</f>
        <v>Ver Imagen</v>
      </c>
      <c r="P1536" t="str">
        <f>HYPERLINK("SO\A-5053\A-5053__344.png", "Ver Imagen")</f>
        <v>Ver Imagen</v>
      </c>
    </row>
    <row r="1537" spans="1:16" x14ac:dyDescent="0.25">
      <c r="A1537">
        <v>948</v>
      </c>
      <c r="B1537" t="s">
        <v>1908</v>
      </c>
      <c r="C1537">
        <v>37.281352365099998</v>
      </c>
      <c r="D1537">
        <v>-7.1446630773299997</v>
      </c>
      <c r="E1537">
        <v>1</v>
      </c>
      <c r="F1537">
        <v>2</v>
      </c>
      <c r="G1537">
        <v>2</v>
      </c>
      <c r="J1537" t="s">
        <v>15</v>
      </c>
      <c r="K1537">
        <v>2</v>
      </c>
      <c r="L1537">
        <v>2.4279999999999999</v>
      </c>
      <c r="M1537">
        <v>0</v>
      </c>
      <c r="N1537" t="s">
        <v>10017</v>
      </c>
      <c r="O1537" t="str">
        <f>HYPERLINK("2\1\marker_491_964261.png", "Ver Imagen")</f>
        <v>Ver Imagen</v>
      </c>
      <c r="P1537" t="str">
        <f>HYPERLINK("SO\A-5053\A-5053__341.png", "Ver Imagen")</f>
        <v>Ver Imagen</v>
      </c>
    </row>
    <row r="1538" spans="1:16" x14ac:dyDescent="0.25">
      <c r="A1538">
        <v>949</v>
      </c>
      <c r="B1538" t="s">
        <v>1910</v>
      </c>
      <c r="C1538">
        <v>37.276797180199999</v>
      </c>
      <c r="D1538">
        <v>-7.1431561239899999</v>
      </c>
      <c r="E1538">
        <v>1</v>
      </c>
      <c r="F1538">
        <v>2</v>
      </c>
      <c r="G1538">
        <v>2</v>
      </c>
      <c r="J1538" t="s">
        <v>15</v>
      </c>
      <c r="K1538">
        <v>2</v>
      </c>
      <c r="L1538">
        <v>1.9870000000000001</v>
      </c>
      <c r="M1538">
        <v>0</v>
      </c>
      <c r="N1538" t="s">
        <v>10019</v>
      </c>
      <c r="O1538" t="str">
        <f>HYPERLINK("2\1\marker_623_964644.png", "Ver Imagen")</f>
        <v>Ver Imagen</v>
      </c>
      <c r="P1538" t="str">
        <f>HYPERLINK("SO\A-5053\A-5053__313.png", "Ver Imagen")</f>
        <v>Ver Imagen</v>
      </c>
    </row>
    <row r="1539" spans="1:16" x14ac:dyDescent="0.25">
      <c r="A1539">
        <v>950</v>
      </c>
      <c r="B1539" t="s">
        <v>1912</v>
      </c>
      <c r="C1539">
        <v>37.2501027104</v>
      </c>
      <c r="D1539">
        <v>-7.1272631080400002</v>
      </c>
      <c r="E1539">
        <v>1</v>
      </c>
      <c r="F1539">
        <v>2</v>
      </c>
      <c r="G1539">
        <v>2</v>
      </c>
      <c r="J1539" t="s">
        <v>15</v>
      </c>
      <c r="K1539">
        <v>2</v>
      </c>
      <c r="L1539">
        <v>2.31</v>
      </c>
      <c r="M1539">
        <v>0</v>
      </c>
      <c r="N1539" t="s">
        <v>10018</v>
      </c>
      <c r="O1539" t="str">
        <f>HYPERLINK("2\1\marker_568_966314.png", "Ver Imagen")</f>
        <v>Ver Imagen</v>
      </c>
      <c r="P1539" t="str">
        <f>HYPERLINK("SO\A-5053\A-5053__157.png", "Ver Imagen")</f>
        <v>Ver Imagen</v>
      </c>
    </row>
    <row r="1540" spans="1:16" x14ac:dyDescent="0.25">
      <c r="A1540">
        <v>951</v>
      </c>
      <c r="B1540" t="s">
        <v>1914</v>
      </c>
      <c r="C1540">
        <v>37.249944158700004</v>
      </c>
      <c r="D1540">
        <v>-7.1272878837900002</v>
      </c>
      <c r="E1540">
        <v>1</v>
      </c>
      <c r="F1540">
        <v>2</v>
      </c>
      <c r="G1540">
        <v>2</v>
      </c>
      <c r="J1540" t="s">
        <v>15</v>
      </c>
      <c r="K1540">
        <v>2</v>
      </c>
      <c r="L1540">
        <v>2.0129999999999999</v>
      </c>
      <c r="M1540">
        <v>0</v>
      </c>
      <c r="N1540" t="s">
        <v>10019</v>
      </c>
      <c r="O1540" t="str">
        <f>HYPERLINK("2\1\marker_391_966323.png", "Ver Imagen")</f>
        <v>Ver Imagen</v>
      </c>
      <c r="P1540" t="str">
        <f>HYPERLINK("SO\A-5053\A-5053__156.png", "Ver Imagen")</f>
        <v>Ver Imagen</v>
      </c>
    </row>
    <row r="1541" spans="1:16" x14ac:dyDescent="0.25">
      <c r="A1541">
        <v>952</v>
      </c>
      <c r="B1541" t="s">
        <v>1916</v>
      </c>
      <c r="C1541">
        <v>37.244457744199998</v>
      </c>
      <c r="D1541">
        <v>-7.1280998095200001</v>
      </c>
      <c r="E1541">
        <v>1</v>
      </c>
      <c r="F1541">
        <v>2</v>
      </c>
      <c r="G1541">
        <v>2</v>
      </c>
      <c r="J1541" t="s">
        <v>15</v>
      </c>
      <c r="K1541">
        <v>2</v>
      </c>
      <c r="L1541">
        <v>2.3929999999999998</v>
      </c>
      <c r="M1541">
        <v>0</v>
      </c>
      <c r="N1541" t="s">
        <v>10017</v>
      </c>
      <c r="O1541" t="str">
        <f>HYPERLINK("2\1\marker_449_019474.png", "Ver Imagen")</f>
        <v>Ver Imagen</v>
      </c>
      <c r="P1541" t="str">
        <f>HYPERLINK("SO\A-5053\A-5053__129.png", "Ver Imagen")</f>
        <v>Ver Imagen</v>
      </c>
    </row>
    <row r="1542" spans="1:16" x14ac:dyDescent="0.25">
      <c r="A1542">
        <v>953</v>
      </c>
      <c r="B1542" t="s">
        <v>1918</v>
      </c>
      <c r="C1542">
        <v>37.242673832100003</v>
      </c>
      <c r="D1542">
        <v>-7.12836437108</v>
      </c>
      <c r="E1542">
        <v>1</v>
      </c>
      <c r="F1542">
        <v>2</v>
      </c>
      <c r="G1542">
        <v>2</v>
      </c>
      <c r="J1542" t="s">
        <v>15</v>
      </c>
      <c r="K1542">
        <v>2</v>
      </c>
      <c r="L1542">
        <v>1.964</v>
      </c>
      <c r="M1542">
        <v>0</v>
      </c>
      <c r="N1542" t="s">
        <v>10019</v>
      </c>
      <c r="O1542" t="str">
        <f>HYPERLINK("2\1\marker_850_019601.png", "Ver Imagen")</f>
        <v>Ver Imagen</v>
      </c>
      <c r="P1542" t="str">
        <f>HYPERLINK("SO\A-5053\A-5053__120.png", "Ver Imagen")</f>
        <v>Ver Imagen</v>
      </c>
    </row>
    <row r="1543" spans="1:16" x14ac:dyDescent="0.25">
      <c r="A1543">
        <v>954</v>
      </c>
      <c r="B1543" t="s">
        <v>1920</v>
      </c>
      <c r="C1543">
        <v>37.242249512599997</v>
      </c>
      <c r="D1543">
        <v>-7.1284303263900002</v>
      </c>
      <c r="E1543">
        <v>1</v>
      </c>
      <c r="F1543">
        <v>2</v>
      </c>
      <c r="G1543">
        <v>2</v>
      </c>
      <c r="J1543" t="s">
        <v>15</v>
      </c>
      <c r="K1543">
        <v>2</v>
      </c>
      <c r="L1543">
        <v>1.5129999999999999</v>
      </c>
      <c r="M1543">
        <v>0</v>
      </c>
      <c r="N1543" t="s">
        <v>10017</v>
      </c>
      <c r="O1543" t="str">
        <f>HYPERLINK("2\1\marker_514_019621.png", "Ver Imagen")</f>
        <v>Ver Imagen</v>
      </c>
      <c r="P1543" t="str">
        <f>HYPERLINK("SO\A-5053\A-5053__118.png", "Ver Imagen")</f>
        <v>Ver Imagen</v>
      </c>
    </row>
    <row r="1544" spans="1:16" x14ac:dyDescent="0.25">
      <c r="A1544">
        <v>955</v>
      </c>
      <c r="B1544" t="s">
        <v>1922</v>
      </c>
      <c r="C1544">
        <v>37.242094838699998</v>
      </c>
      <c r="D1544">
        <v>-7.1284543326999996</v>
      </c>
      <c r="E1544">
        <v>1</v>
      </c>
      <c r="F1544">
        <v>2</v>
      </c>
      <c r="G1544">
        <v>2</v>
      </c>
      <c r="J1544" t="s">
        <v>15</v>
      </c>
      <c r="K1544">
        <v>2</v>
      </c>
      <c r="L1544">
        <v>1.8859999999999999</v>
      </c>
      <c r="M1544">
        <v>0</v>
      </c>
      <c r="N1544" t="s">
        <v>10019</v>
      </c>
      <c r="O1544" t="str">
        <f>HYPERLINK("2\1\marker_128_019629.png", "Ver Imagen")</f>
        <v>Ver Imagen</v>
      </c>
      <c r="P1544" t="str">
        <f>HYPERLINK("SO\A-5053\A-5053__117.png", "Ver Imagen")</f>
        <v>Ver Imagen</v>
      </c>
    </row>
    <row r="1545" spans="1:16" x14ac:dyDescent="0.25">
      <c r="A1545">
        <v>956</v>
      </c>
      <c r="B1545" t="s">
        <v>1924</v>
      </c>
      <c r="C1545">
        <v>37.231071344100002</v>
      </c>
      <c r="D1545">
        <v>-7.1270633910700001</v>
      </c>
      <c r="E1545">
        <v>1</v>
      </c>
      <c r="F1545">
        <v>2</v>
      </c>
      <c r="G1545">
        <v>2</v>
      </c>
      <c r="J1545" t="s">
        <v>15</v>
      </c>
      <c r="K1545">
        <v>2</v>
      </c>
      <c r="L1545">
        <v>1.5860000000000001</v>
      </c>
      <c r="M1545">
        <v>0</v>
      </c>
      <c r="N1545" t="s">
        <v>10019</v>
      </c>
      <c r="O1545" t="str">
        <f>HYPERLINK("2\1\marker_700_020781.png", "Ver Imagen")</f>
        <v>Ver Imagen</v>
      </c>
      <c r="P1545" t="str">
        <f>HYPERLINK("SO\A-5053\A-5053__62.png", "Ver Imagen")</f>
        <v>Ver Imagen</v>
      </c>
    </row>
    <row r="1546" spans="1:16" x14ac:dyDescent="0.25">
      <c r="A1546">
        <v>957</v>
      </c>
      <c r="B1546" t="s">
        <v>1926</v>
      </c>
      <c r="C1546">
        <v>37.443913627000001</v>
      </c>
      <c r="D1546">
        <v>-7.0971681070599999</v>
      </c>
      <c r="E1546">
        <v>2</v>
      </c>
      <c r="F1546">
        <v>2</v>
      </c>
      <c r="G1546">
        <v>1</v>
      </c>
      <c r="J1546" t="s">
        <v>15</v>
      </c>
      <c r="K1546">
        <v>2</v>
      </c>
      <c r="L1546">
        <v>1.9279999999999999</v>
      </c>
      <c r="M1546">
        <v>0</v>
      </c>
      <c r="N1546" t="s">
        <v>10019</v>
      </c>
      <c r="O1546" t="str">
        <f>HYPERLINK("2\1\marker_318_381188.png", "Ver Imagen")</f>
        <v>Ver Imagen</v>
      </c>
      <c r="P1546" t="str">
        <f>HYPERLINK("NE\A-495\A-495__13.png", "Ver Imagen")</f>
        <v>Ver Imagen</v>
      </c>
    </row>
    <row r="1547" spans="1:16" x14ac:dyDescent="0.25">
      <c r="A1547">
        <v>958</v>
      </c>
      <c r="B1547" t="s">
        <v>1928</v>
      </c>
      <c r="C1547">
        <v>37.436363500100001</v>
      </c>
      <c r="D1547">
        <v>-7.0780328830999997</v>
      </c>
      <c r="E1547">
        <v>2</v>
      </c>
      <c r="F1547">
        <v>2</v>
      </c>
      <c r="G1547">
        <v>1</v>
      </c>
      <c r="J1547" t="s">
        <v>15</v>
      </c>
      <c r="K1547">
        <v>2</v>
      </c>
      <c r="L1547">
        <v>1.857</v>
      </c>
      <c r="M1547">
        <v>0</v>
      </c>
      <c r="N1547" t="s">
        <v>10019</v>
      </c>
      <c r="O1547" t="str">
        <f>HYPERLINK("2\1\marker_695_382135.png", "Ver Imagen")</f>
        <v>Ver Imagen</v>
      </c>
      <c r="P1547" t="str">
        <f>HYPERLINK("NE\A-495\A-495__98.png", "Ver Imagen")</f>
        <v>Ver Imagen</v>
      </c>
    </row>
    <row r="1548" spans="1:16" x14ac:dyDescent="0.25">
      <c r="A1548">
        <v>959</v>
      </c>
      <c r="B1548" t="s">
        <v>1930</v>
      </c>
      <c r="C1548">
        <v>37.435696196800002</v>
      </c>
      <c r="D1548">
        <v>-7.0768477561500003</v>
      </c>
      <c r="E1548">
        <v>2</v>
      </c>
      <c r="F1548">
        <v>2</v>
      </c>
      <c r="G1548">
        <v>1</v>
      </c>
      <c r="J1548" t="s">
        <v>15</v>
      </c>
      <c r="K1548">
        <v>2</v>
      </c>
      <c r="L1548">
        <v>1.8779999999999999</v>
      </c>
      <c r="M1548">
        <v>0</v>
      </c>
      <c r="N1548" t="s">
        <v>10019</v>
      </c>
      <c r="O1548" t="str">
        <f>HYPERLINK("2\1\marker_397_382197.png", "Ver Imagen")</f>
        <v>Ver Imagen</v>
      </c>
      <c r="P1548" t="str">
        <f>HYPERLINK("NE\A-495\A-495__104.png", "Ver Imagen")</f>
        <v>Ver Imagen</v>
      </c>
    </row>
    <row r="1549" spans="1:16" x14ac:dyDescent="0.25">
      <c r="A1549">
        <v>960</v>
      </c>
      <c r="B1549" t="s">
        <v>1932</v>
      </c>
      <c r="C1549">
        <v>37.435495605600003</v>
      </c>
      <c r="D1549">
        <v>-7.0758173386100003</v>
      </c>
      <c r="E1549">
        <v>2</v>
      </c>
      <c r="F1549">
        <v>2</v>
      </c>
      <c r="G1549">
        <v>1</v>
      </c>
      <c r="J1549" t="s">
        <v>15</v>
      </c>
      <c r="K1549">
        <v>2</v>
      </c>
      <c r="L1549">
        <v>1.8879999999999999</v>
      </c>
      <c r="M1549">
        <v>0</v>
      </c>
      <c r="N1549" t="s">
        <v>10019</v>
      </c>
      <c r="O1549" t="str">
        <f>HYPERLINK("2\1\marker_952_382264.png", "Ver Imagen")</f>
        <v>Ver Imagen</v>
      </c>
      <c r="P1549" t="str">
        <f>HYPERLINK("NE\A-495\A-495__109.png", "Ver Imagen")</f>
        <v>Ver Imagen</v>
      </c>
    </row>
    <row r="1550" spans="1:16" x14ac:dyDescent="0.25">
      <c r="A1550">
        <v>961</v>
      </c>
      <c r="B1550" t="s">
        <v>1934</v>
      </c>
      <c r="C1550">
        <v>37.434974728500002</v>
      </c>
      <c r="D1550">
        <v>-7.06979634149</v>
      </c>
      <c r="E1550">
        <v>2</v>
      </c>
      <c r="F1550">
        <v>2</v>
      </c>
      <c r="G1550">
        <v>1</v>
      </c>
      <c r="J1550" t="s">
        <v>15</v>
      </c>
      <c r="K1550">
        <v>2</v>
      </c>
      <c r="L1550">
        <v>1.77</v>
      </c>
      <c r="M1550">
        <v>0</v>
      </c>
      <c r="N1550" t="s">
        <v>10019</v>
      </c>
      <c r="O1550" t="str">
        <f>HYPERLINK("2\1\marker_217_382507.png", "Ver Imagen")</f>
        <v>Ver Imagen</v>
      </c>
      <c r="P1550" t="str">
        <f>HYPERLINK("NE\A-495\A-495__133.png", "Ver Imagen")</f>
        <v>Ver Imagen</v>
      </c>
    </row>
    <row r="1551" spans="1:16" x14ac:dyDescent="0.25">
      <c r="A1551">
        <v>962</v>
      </c>
      <c r="B1551" t="s">
        <v>1936</v>
      </c>
      <c r="C1551">
        <v>37.433228485400001</v>
      </c>
      <c r="D1551">
        <v>-7.0655163858899996</v>
      </c>
      <c r="E1551">
        <v>2</v>
      </c>
      <c r="F1551">
        <v>2</v>
      </c>
      <c r="G1551">
        <v>1</v>
      </c>
      <c r="J1551" t="s">
        <v>15</v>
      </c>
      <c r="K1551">
        <v>2</v>
      </c>
      <c r="L1551">
        <v>2.242</v>
      </c>
      <c r="M1551">
        <v>0</v>
      </c>
      <c r="N1551" t="s">
        <v>10019</v>
      </c>
      <c r="O1551" t="str">
        <f>HYPERLINK("2\1\marker_842_382706.png", "Ver Imagen")</f>
        <v>Ver Imagen</v>
      </c>
      <c r="P1551" t="str">
        <f>HYPERLINK("NE\A-495\A-495__152.png", "Ver Imagen")</f>
        <v>Ver Imagen</v>
      </c>
    </row>
    <row r="1552" spans="1:16" x14ac:dyDescent="0.25">
      <c r="A1552">
        <v>963</v>
      </c>
      <c r="B1552" t="s">
        <v>1938</v>
      </c>
      <c r="C1552">
        <v>37.431507015100003</v>
      </c>
      <c r="D1552">
        <v>-7.0617865275899998</v>
      </c>
      <c r="E1552">
        <v>2</v>
      </c>
      <c r="F1552">
        <v>2</v>
      </c>
      <c r="G1552">
        <v>1</v>
      </c>
      <c r="J1552" t="s">
        <v>15</v>
      </c>
      <c r="K1552">
        <v>2</v>
      </c>
      <c r="L1552">
        <v>1.9550000000000001</v>
      </c>
      <c r="M1552">
        <v>0</v>
      </c>
      <c r="N1552" t="s">
        <v>10019</v>
      </c>
      <c r="O1552" t="str">
        <f>HYPERLINK("2\1\marker_314_382901.png", "Ver Imagen")</f>
        <v>Ver Imagen</v>
      </c>
      <c r="P1552" t="str">
        <f>HYPERLINK("NE\A-495\A-495__169.png", "Ver Imagen")</f>
        <v>Ver Imagen</v>
      </c>
    </row>
    <row r="1553" spans="1:16" x14ac:dyDescent="0.25">
      <c r="A1553">
        <v>964</v>
      </c>
      <c r="B1553" t="s">
        <v>1940</v>
      </c>
      <c r="C1553">
        <v>37.470953522099997</v>
      </c>
      <c r="D1553">
        <v>-7.12536677727</v>
      </c>
      <c r="E1553">
        <v>2</v>
      </c>
      <c r="F1553">
        <v>2</v>
      </c>
      <c r="G1553">
        <v>1</v>
      </c>
      <c r="J1553" t="s">
        <v>15</v>
      </c>
      <c r="K1553">
        <v>2</v>
      </c>
      <c r="L1553">
        <v>1.9710000000000001</v>
      </c>
      <c r="M1553">
        <v>0</v>
      </c>
      <c r="N1553" t="s">
        <v>10019</v>
      </c>
      <c r="O1553" t="str">
        <f>HYPERLINK("2\1\marker_601_384579.png", "Ver Imagen")</f>
        <v>Ver Imagen</v>
      </c>
      <c r="P1553" t="str">
        <f>HYPERLINK("NE\A-495_1\A-495_1__119.png", "Ver Imagen")</f>
        <v>Ver Imagen</v>
      </c>
    </row>
    <row r="1554" spans="1:16" x14ac:dyDescent="0.25">
      <c r="A1554">
        <v>965</v>
      </c>
      <c r="B1554" t="s">
        <v>1942</v>
      </c>
      <c r="C1554">
        <v>37.466590929200002</v>
      </c>
      <c r="D1554">
        <v>-7.1227277882899998</v>
      </c>
      <c r="E1554">
        <v>2</v>
      </c>
      <c r="F1554">
        <v>2</v>
      </c>
      <c r="G1554">
        <v>1</v>
      </c>
      <c r="J1554" t="s">
        <v>15</v>
      </c>
      <c r="K1554">
        <v>2</v>
      </c>
      <c r="L1554">
        <v>2.0299999999999998</v>
      </c>
      <c r="M1554">
        <v>0</v>
      </c>
      <c r="N1554" t="s">
        <v>10019</v>
      </c>
      <c r="O1554" t="str">
        <f>HYPERLINK("2\1\marker_145_385087.png", "Ver Imagen")</f>
        <v>Ver Imagen</v>
      </c>
      <c r="P1554" t="str">
        <f>HYPERLINK("NE\A-495_1\A-495_1__95.png", "Ver Imagen")</f>
        <v>Ver Imagen</v>
      </c>
    </row>
    <row r="1555" spans="1:16" x14ac:dyDescent="0.25">
      <c r="A1555">
        <v>966</v>
      </c>
      <c r="B1555" t="s">
        <v>1944</v>
      </c>
      <c r="C1555">
        <v>37.466392744899998</v>
      </c>
      <c r="D1555">
        <v>-7.1227199042500002</v>
      </c>
      <c r="E1555">
        <v>2</v>
      </c>
      <c r="F1555">
        <v>2</v>
      </c>
      <c r="G1555">
        <v>1</v>
      </c>
      <c r="J1555" t="s">
        <v>15</v>
      </c>
      <c r="K1555">
        <v>2</v>
      </c>
      <c r="L1555">
        <v>1.637</v>
      </c>
      <c r="M1555">
        <v>0</v>
      </c>
      <c r="N1555" t="s">
        <v>10019</v>
      </c>
      <c r="O1555" t="str">
        <f>HYPERLINK("2\1\marker_848_385097.png", "Ver Imagen")</f>
        <v>Ver Imagen</v>
      </c>
      <c r="P1555" t="str">
        <f>HYPERLINK("NE\A-495_1\A-495_1__94.png", "Ver Imagen")</f>
        <v>Ver Imagen</v>
      </c>
    </row>
    <row r="1556" spans="1:16" x14ac:dyDescent="0.25">
      <c r="A1556">
        <v>967</v>
      </c>
      <c r="B1556" t="s">
        <v>1946</v>
      </c>
      <c r="C1556">
        <v>37.466154998299999</v>
      </c>
      <c r="D1556">
        <v>-7.1227343171699999</v>
      </c>
      <c r="E1556">
        <v>2</v>
      </c>
      <c r="F1556">
        <v>2</v>
      </c>
      <c r="G1556">
        <v>1</v>
      </c>
      <c r="J1556" t="s">
        <v>15</v>
      </c>
      <c r="K1556">
        <v>2</v>
      </c>
      <c r="L1556">
        <v>2.1110000000000002</v>
      </c>
      <c r="M1556">
        <v>0</v>
      </c>
      <c r="N1556" t="s">
        <v>10019</v>
      </c>
      <c r="O1556" t="str">
        <f>HYPERLINK("2\1\marker_668_385107.png", "Ver Imagen")</f>
        <v>Ver Imagen</v>
      </c>
      <c r="P1556" t="str">
        <f>HYPERLINK("NE\A-495_1\A-495_1__93.png", "Ver Imagen")</f>
        <v>Ver Imagen</v>
      </c>
    </row>
    <row r="1557" spans="1:16" x14ac:dyDescent="0.25">
      <c r="A1557">
        <v>968</v>
      </c>
      <c r="B1557" t="s">
        <v>1948</v>
      </c>
      <c r="C1557">
        <v>37.465025672700001</v>
      </c>
      <c r="D1557">
        <v>-7.1231970584899997</v>
      </c>
      <c r="E1557">
        <v>1</v>
      </c>
      <c r="F1557">
        <v>2</v>
      </c>
      <c r="G1557">
        <v>2</v>
      </c>
      <c r="J1557" t="s">
        <v>15</v>
      </c>
      <c r="K1557">
        <v>2</v>
      </c>
      <c r="L1557">
        <v>1.7270000000000001</v>
      </c>
      <c r="M1557">
        <v>0</v>
      </c>
      <c r="N1557" t="s">
        <v>10019</v>
      </c>
      <c r="O1557" t="str">
        <f>HYPERLINK("2\1\marker_287_385173.png", "Ver Imagen")</f>
        <v>Ver Imagen</v>
      </c>
      <c r="P1557" t="str">
        <f>HYPERLINK("NE\A-495_1\A-495_1__87.png", "Ver Imagen")</f>
        <v>Ver Imagen</v>
      </c>
    </row>
    <row r="1558" spans="1:16" x14ac:dyDescent="0.25">
      <c r="A1558">
        <v>969</v>
      </c>
      <c r="B1558" t="s">
        <v>1950</v>
      </c>
      <c r="C1558">
        <v>37.464864535499999</v>
      </c>
      <c r="D1558">
        <v>-7.1233059590699996</v>
      </c>
      <c r="E1558">
        <v>1</v>
      </c>
      <c r="F1558">
        <v>2</v>
      </c>
      <c r="G1558">
        <v>2</v>
      </c>
      <c r="J1558" t="s">
        <v>15</v>
      </c>
      <c r="K1558">
        <v>2</v>
      </c>
      <c r="L1558">
        <v>1.9890000000000001</v>
      </c>
      <c r="M1558">
        <v>0</v>
      </c>
      <c r="N1558" t="s">
        <v>10018</v>
      </c>
      <c r="O1558" t="str">
        <f>HYPERLINK("2\1\marker_966_385183.png", "Ver Imagen")</f>
        <v>Ver Imagen</v>
      </c>
      <c r="P1558" t="str">
        <f>HYPERLINK("NE\A-495_1\A-495_1__86.png", "Ver Imagen")</f>
        <v>Ver Imagen</v>
      </c>
    </row>
    <row r="1559" spans="1:16" x14ac:dyDescent="0.25">
      <c r="A1559">
        <v>970</v>
      </c>
      <c r="B1559" t="s">
        <v>1952</v>
      </c>
      <c r="C1559">
        <v>37.464345316500001</v>
      </c>
      <c r="D1559">
        <v>-7.12365302177</v>
      </c>
      <c r="E1559">
        <v>1</v>
      </c>
      <c r="F1559">
        <v>2</v>
      </c>
      <c r="G1559">
        <v>2</v>
      </c>
      <c r="J1559" t="s">
        <v>15</v>
      </c>
      <c r="K1559">
        <v>2</v>
      </c>
      <c r="L1559">
        <v>2.3140000000000001</v>
      </c>
      <c r="M1559">
        <v>0</v>
      </c>
      <c r="N1559" t="s">
        <v>10019</v>
      </c>
      <c r="O1559" t="str">
        <f>HYPERLINK("2\1\marker_324_385208.png", "Ver Imagen")</f>
        <v>Ver Imagen</v>
      </c>
      <c r="P1559" t="str">
        <f>HYPERLINK("NE\A-495_1\A-495_1__83.png", "Ver Imagen")</f>
        <v>Ver Imagen</v>
      </c>
    </row>
    <row r="1560" spans="1:16" x14ac:dyDescent="0.25">
      <c r="A1560">
        <v>971</v>
      </c>
      <c r="B1560" t="s">
        <v>1954</v>
      </c>
      <c r="C1560">
        <v>37.4639684769</v>
      </c>
      <c r="D1560">
        <v>-7.1238579255000003</v>
      </c>
      <c r="E1560">
        <v>1</v>
      </c>
      <c r="F1560">
        <v>2</v>
      </c>
      <c r="G1560">
        <v>2</v>
      </c>
      <c r="J1560" t="s">
        <v>15</v>
      </c>
      <c r="K1560">
        <v>2</v>
      </c>
      <c r="L1560">
        <v>1.8260000000000001</v>
      </c>
      <c r="M1560">
        <v>0</v>
      </c>
      <c r="N1560" t="s">
        <v>10019</v>
      </c>
      <c r="O1560" t="str">
        <f>HYPERLINK("2\1\marker_558_385225.png", "Ver Imagen")</f>
        <v>Ver Imagen</v>
      </c>
      <c r="P1560" t="str">
        <f>HYPERLINK("NE\A-495_1\A-495_1__81.png", "Ver Imagen")</f>
        <v>Ver Imagen</v>
      </c>
    </row>
    <row r="1561" spans="1:16" x14ac:dyDescent="0.25">
      <c r="A1561">
        <v>972</v>
      </c>
      <c r="B1561" t="s">
        <v>1956</v>
      </c>
      <c r="C1561">
        <v>37.463753538699997</v>
      </c>
      <c r="D1561">
        <v>-7.1239537851400003</v>
      </c>
      <c r="E1561">
        <v>1</v>
      </c>
      <c r="F1561">
        <v>2</v>
      </c>
      <c r="G1561">
        <v>2</v>
      </c>
      <c r="J1561" t="s">
        <v>15</v>
      </c>
      <c r="K1561">
        <v>2</v>
      </c>
      <c r="L1561">
        <v>2.1909999999999998</v>
      </c>
      <c r="M1561">
        <v>0</v>
      </c>
      <c r="N1561" t="s">
        <v>10017</v>
      </c>
      <c r="O1561" t="str">
        <f>HYPERLINK("2\1\marker_183_385234.png", "Ver Imagen")</f>
        <v>Ver Imagen</v>
      </c>
      <c r="P1561" t="str">
        <f>HYPERLINK("NE\A-495_1\A-495_1__80.png", "Ver Imagen")</f>
        <v>Ver Imagen</v>
      </c>
    </row>
    <row r="1562" spans="1:16" x14ac:dyDescent="0.25">
      <c r="A1562">
        <v>973</v>
      </c>
      <c r="B1562" t="s">
        <v>1958</v>
      </c>
      <c r="C1562">
        <v>37.463387346799998</v>
      </c>
      <c r="D1562">
        <v>-7.1240806170399997</v>
      </c>
      <c r="E1562">
        <v>1</v>
      </c>
      <c r="F1562">
        <v>2</v>
      </c>
      <c r="G1562">
        <v>2</v>
      </c>
      <c r="J1562" t="s">
        <v>15</v>
      </c>
      <c r="K1562">
        <v>2</v>
      </c>
      <c r="L1562">
        <v>1.7789999999999999</v>
      </c>
      <c r="M1562">
        <v>0</v>
      </c>
      <c r="N1562" t="s">
        <v>10019</v>
      </c>
      <c r="O1562" t="str">
        <f>HYPERLINK("2\1\marker_477_385251.png", "Ver Imagen")</f>
        <v>Ver Imagen</v>
      </c>
      <c r="P1562" t="str">
        <f>HYPERLINK("NE\A-495_1\A-495_1__78.png", "Ver Imagen")</f>
        <v>Ver Imagen</v>
      </c>
    </row>
    <row r="1563" spans="1:16" x14ac:dyDescent="0.25">
      <c r="A1563">
        <v>974</v>
      </c>
      <c r="B1563" t="s">
        <v>1960</v>
      </c>
      <c r="C1563">
        <v>37.461755357500003</v>
      </c>
      <c r="D1563">
        <v>-7.12439755708</v>
      </c>
      <c r="E1563">
        <v>1</v>
      </c>
      <c r="F1563">
        <v>2</v>
      </c>
      <c r="G1563">
        <v>2</v>
      </c>
      <c r="J1563" t="s">
        <v>15</v>
      </c>
      <c r="K1563">
        <v>2</v>
      </c>
      <c r="L1563">
        <v>1.8740000000000001</v>
      </c>
      <c r="M1563">
        <v>0</v>
      </c>
      <c r="N1563" t="s">
        <v>10019</v>
      </c>
      <c r="O1563" t="str">
        <f>HYPERLINK("2\1\marker_485_385327.png", "Ver Imagen")</f>
        <v>Ver Imagen</v>
      </c>
      <c r="P1563" t="str">
        <f>HYPERLINK("NE\A-495_1\A-495_1__70.png", "Ver Imagen")</f>
        <v>Ver Imagen</v>
      </c>
    </row>
    <row r="1564" spans="1:16" x14ac:dyDescent="0.25">
      <c r="A1564">
        <v>975</v>
      </c>
      <c r="B1564" t="s">
        <v>1962</v>
      </c>
      <c r="C1564">
        <v>37.461568341300001</v>
      </c>
      <c r="D1564">
        <v>-7.1244422335099999</v>
      </c>
      <c r="E1564">
        <v>1</v>
      </c>
      <c r="F1564">
        <v>2</v>
      </c>
      <c r="G1564">
        <v>2</v>
      </c>
      <c r="J1564" t="s">
        <v>15</v>
      </c>
      <c r="K1564">
        <v>2</v>
      </c>
      <c r="L1564">
        <v>1.9390000000000001</v>
      </c>
      <c r="M1564">
        <v>0</v>
      </c>
      <c r="N1564" t="s">
        <v>10019</v>
      </c>
      <c r="O1564" t="str">
        <f>HYPERLINK("2\1\marker_545_385337.png", "Ver Imagen")</f>
        <v>Ver Imagen</v>
      </c>
      <c r="P1564" t="str">
        <f>HYPERLINK("NE\A-495_1\A-495_1__69.png", "Ver Imagen")</f>
        <v>Ver Imagen</v>
      </c>
    </row>
    <row r="1565" spans="1:16" x14ac:dyDescent="0.25">
      <c r="A1565">
        <v>976</v>
      </c>
      <c r="B1565" t="s">
        <v>1964</v>
      </c>
      <c r="C1565">
        <v>37.461375435100003</v>
      </c>
      <c r="D1565">
        <v>-7.1244905548400004</v>
      </c>
      <c r="E1565">
        <v>1</v>
      </c>
      <c r="F1565">
        <v>2</v>
      </c>
      <c r="G1565">
        <v>2</v>
      </c>
      <c r="J1565" t="s">
        <v>15</v>
      </c>
      <c r="K1565">
        <v>2</v>
      </c>
      <c r="L1565">
        <v>1.871</v>
      </c>
      <c r="M1565">
        <v>0</v>
      </c>
      <c r="N1565" t="s">
        <v>10019</v>
      </c>
      <c r="O1565" t="str">
        <f>HYPERLINK("2\1\marker_384_385346.png", "Ver Imagen")</f>
        <v>Ver Imagen</v>
      </c>
      <c r="P1565" t="str">
        <f>HYPERLINK("NE\A-495_1\A-495_1__68.png", "Ver Imagen")</f>
        <v>Ver Imagen</v>
      </c>
    </row>
    <row r="1566" spans="1:16" x14ac:dyDescent="0.25">
      <c r="A1566">
        <v>977</v>
      </c>
      <c r="B1566" t="s">
        <v>1966</v>
      </c>
      <c r="C1566">
        <v>37.461181322199998</v>
      </c>
      <c r="D1566">
        <v>-7.1245407248000001</v>
      </c>
      <c r="E1566">
        <v>1</v>
      </c>
      <c r="F1566">
        <v>2</v>
      </c>
      <c r="G1566">
        <v>2</v>
      </c>
      <c r="J1566" t="s">
        <v>15</v>
      </c>
      <c r="K1566">
        <v>2</v>
      </c>
      <c r="L1566">
        <v>2.0150000000000001</v>
      </c>
      <c r="M1566">
        <v>0</v>
      </c>
      <c r="N1566" t="s">
        <v>10019</v>
      </c>
      <c r="O1566" t="str">
        <f>HYPERLINK("2\1\marker_691_385354.png", "Ver Imagen")</f>
        <v>Ver Imagen</v>
      </c>
      <c r="P1566" t="str">
        <f>HYPERLINK("NE\A-495_1\A-495_1__67.png", "Ver Imagen")</f>
        <v>Ver Imagen</v>
      </c>
    </row>
    <row r="1567" spans="1:16" x14ac:dyDescent="0.25">
      <c r="A1567">
        <v>978</v>
      </c>
      <c r="B1567" t="s">
        <v>1968</v>
      </c>
      <c r="C1567">
        <v>37.460983808999998</v>
      </c>
      <c r="D1567">
        <v>-7.1245937170499998</v>
      </c>
      <c r="E1567">
        <v>1</v>
      </c>
      <c r="F1567">
        <v>2</v>
      </c>
      <c r="G1567">
        <v>2</v>
      </c>
      <c r="J1567" t="s">
        <v>15</v>
      </c>
      <c r="K1567">
        <v>2</v>
      </c>
      <c r="L1567">
        <v>2.0019999999999998</v>
      </c>
      <c r="M1567">
        <v>0</v>
      </c>
      <c r="N1567" t="s">
        <v>10019</v>
      </c>
      <c r="O1567" t="str">
        <f>HYPERLINK("2\1\marker_298_385364.png", "Ver Imagen")</f>
        <v>Ver Imagen</v>
      </c>
      <c r="P1567" t="str">
        <f>HYPERLINK("NE\A-495_1\A-495_1__66.png", "Ver Imagen")</f>
        <v>Ver Imagen</v>
      </c>
    </row>
    <row r="1568" spans="1:16" x14ac:dyDescent="0.25">
      <c r="A1568">
        <v>979</v>
      </c>
      <c r="B1568" t="s">
        <v>1970</v>
      </c>
      <c r="C1568">
        <v>37.460186934399999</v>
      </c>
      <c r="D1568">
        <v>-7.1248348366099998</v>
      </c>
      <c r="E1568">
        <v>2</v>
      </c>
      <c r="F1568">
        <v>2</v>
      </c>
      <c r="G1568">
        <v>1</v>
      </c>
      <c r="J1568" t="s">
        <v>15</v>
      </c>
      <c r="K1568">
        <v>2</v>
      </c>
      <c r="L1568">
        <v>2.2639999999999998</v>
      </c>
      <c r="M1568">
        <v>0</v>
      </c>
      <c r="N1568" t="s">
        <v>10019</v>
      </c>
      <c r="O1568" t="str">
        <f>HYPERLINK("2\1\marker_497_385401.png", "Ver Imagen")</f>
        <v>Ver Imagen</v>
      </c>
      <c r="P1568" t="str">
        <f>HYPERLINK("NE\A-495_1\A-495_1__62.png", "Ver Imagen")</f>
        <v>Ver Imagen</v>
      </c>
    </row>
    <row r="1569" spans="1:16" x14ac:dyDescent="0.25">
      <c r="A1569">
        <v>980</v>
      </c>
      <c r="B1569" t="s">
        <v>1972</v>
      </c>
      <c r="C1569">
        <v>37.459809036499998</v>
      </c>
      <c r="D1569">
        <v>-7.1249633130500003</v>
      </c>
      <c r="E1569">
        <v>1</v>
      </c>
      <c r="F1569">
        <v>2</v>
      </c>
      <c r="G1569">
        <v>2</v>
      </c>
      <c r="J1569" t="s">
        <v>15</v>
      </c>
      <c r="K1569">
        <v>2</v>
      </c>
      <c r="L1569">
        <v>1.9219999999999999</v>
      </c>
      <c r="M1569">
        <v>0</v>
      </c>
      <c r="N1569" t="s">
        <v>10019</v>
      </c>
      <c r="O1569" t="str">
        <f>HYPERLINK("2\1\marker_751_385469.png", "Ver Imagen")</f>
        <v>Ver Imagen</v>
      </c>
      <c r="P1569" t="str">
        <f>HYPERLINK("NE\A-495_1\A-495_1__60.png", "Ver Imagen")</f>
        <v>Ver Imagen</v>
      </c>
    </row>
    <row r="1570" spans="1:16" x14ac:dyDescent="0.25">
      <c r="A1570">
        <v>981</v>
      </c>
      <c r="B1570" t="s">
        <v>1974</v>
      </c>
      <c r="C1570">
        <v>37.454755151100002</v>
      </c>
      <c r="D1570">
        <v>-7.1268172388800002</v>
      </c>
      <c r="E1570">
        <v>1</v>
      </c>
      <c r="F1570">
        <v>2</v>
      </c>
      <c r="G1570">
        <v>2</v>
      </c>
      <c r="J1570" t="s">
        <v>15</v>
      </c>
      <c r="K1570">
        <v>2</v>
      </c>
      <c r="L1570">
        <v>1.571</v>
      </c>
      <c r="M1570">
        <v>0</v>
      </c>
      <c r="N1570" t="s">
        <v>10018</v>
      </c>
      <c r="O1570" t="str">
        <f>HYPERLINK("2\1\marker_818_385836.png", "Ver Imagen")</f>
        <v>Ver Imagen</v>
      </c>
      <c r="P1570" t="str">
        <f>HYPERLINK("NE\A-495_1\A-495_1__34.png", "Ver Imagen")</f>
        <v>Ver Imagen</v>
      </c>
    </row>
    <row r="1571" spans="1:16" x14ac:dyDescent="0.25">
      <c r="A1571">
        <v>982</v>
      </c>
      <c r="B1571" t="s">
        <v>1976</v>
      </c>
      <c r="C1571">
        <v>37.4539750454</v>
      </c>
      <c r="D1571">
        <v>-7.1270942678300004</v>
      </c>
      <c r="E1571">
        <v>2</v>
      </c>
      <c r="F1571">
        <v>2</v>
      </c>
      <c r="G1571">
        <v>1</v>
      </c>
      <c r="J1571" t="s">
        <v>15</v>
      </c>
      <c r="K1571">
        <v>2</v>
      </c>
      <c r="L1571">
        <v>2.137</v>
      </c>
      <c r="M1571">
        <v>0</v>
      </c>
      <c r="N1571" t="s">
        <v>10017</v>
      </c>
      <c r="O1571" t="str">
        <f>HYPERLINK("2\1\marker_516_385871.png", "Ver Imagen")</f>
        <v>Ver Imagen</v>
      </c>
      <c r="P1571" t="str">
        <f>HYPERLINK("NE\A-495_1\A-495_1__30.png", "Ver Imagen")</f>
        <v>Ver Imagen</v>
      </c>
    </row>
    <row r="1572" spans="1:16" x14ac:dyDescent="0.25">
      <c r="A1572">
        <v>983</v>
      </c>
      <c r="B1572" t="s">
        <v>1978</v>
      </c>
      <c r="C1572">
        <v>37.452572802799999</v>
      </c>
      <c r="D1572">
        <v>-7.12741987315</v>
      </c>
      <c r="E1572">
        <v>1</v>
      </c>
      <c r="F1572">
        <v>2</v>
      </c>
      <c r="G1572">
        <v>2</v>
      </c>
      <c r="J1572" t="s">
        <v>15</v>
      </c>
      <c r="K1572">
        <v>2</v>
      </c>
      <c r="L1572">
        <v>1.9410000000000001</v>
      </c>
      <c r="M1572">
        <v>0</v>
      </c>
      <c r="N1572" t="s">
        <v>10019</v>
      </c>
      <c r="O1572" t="str">
        <f>HYPERLINK("2\1\marker_554_385943.png", "Ver Imagen")</f>
        <v>Ver Imagen</v>
      </c>
      <c r="P1572" t="str">
        <f>HYPERLINK("NE\A-495_1\A-495_1__23.png", "Ver Imagen")</f>
        <v>Ver Imagen</v>
      </c>
    </row>
    <row r="1573" spans="1:16" x14ac:dyDescent="0.25">
      <c r="A1573">
        <v>984</v>
      </c>
      <c r="B1573" t="s">
        <v>1980</v>
      </c>
      <c r="C1573">
        <v>37.200068449600003</v>
      </c>
      <c r="D1573">
        <v>-6.9867313074400004</v>
      </c>
      <c r="E1573">
        <v>1</v>
      </c>
      <c r="F1573">
        <v>2</v>
      </c>
      <c r="G1573">
        <v>2</v>
      </c>
      <c r="J1573" t="s">
        <v>15</v>
      </c>
      <c r="K1573">
        <v>2</v>
      </c>
      <c r="L1573">
        <v>2.294</v>
      </c>
      <c r="M1573">
        <v>0</v>
      </c>
      <c r="N1573" t="s">
        <v>10019</v>
      </c>
      <c r="O1573" t="str">
        <f>HYPERLINK("2\1\marker_995_367414.png", "Ver Imagen")</f>
        <v>Ver Imagen</v>
      </c>
      <c r="P1573" t="str">
        <f>HYPERLINK("SE\A-497\A-497__852.png", "Ver Imagen")</f>
        <v>Ver Imagen</v>
      </c>
    </row>
    <row r="1574" spans="1:16" x14ac:dyDescent="0.25">
      <c r="A1574">
        <v>986</v>
      </c>
      <c r="B1574" t="s">
        <v>1984</v>
      </c>
      <c r="C1574">
        <v>37.199915176399998</v>
      </c>
      <c r="D1574">
        <v>-6.9861007690300001</v>
      </c>
      <c r="E1574">
        <v>1</v>
      </c>
      <c r="F1574">
        <v>2</v>
      </c>
      <c r="G1574">
        <v>2</v>
      </c>
      <c r="J1574" t="s">
        <v>15</v>
      </c>
      <c r="K1574">
        <v>2</v>
      </c>
      <c r="L1574">
        <v>1.984</v>
      </c>
      <c r="M1574">
        <v>0</v>
      </c>
      <c r="N1574" t="s">
        <v>10019</v>
      </c>
      <c r="O1574" t="str">
        <f>HYPERLINK("2\1\marker_500_367437.png", "Ver Imagen")</f>
        <v>Ver Imagen</v>
      </c>
      <c r="P1574" t="str">
        <f>HYPERLINK("SE\A-497\A-497__850.png", "Ver Imagen")</f>
        <v>Ver Imagen</v>
      </c>
    </row>
    <row r="1575" spans="1:16" x14ac:dyDescent="0.25">
      <c r="A1575">
        <v>987</v>
      </c>
      <c r="B1575" t="s">
        <v>1986</v>
      </c>
      <c r="C1575">
        <v>37.199864749699998</v>
      </c>
      <c r="D1575">
        <v>-6.9858973125299997</v>
      </c>
      <c r="E1575">
        <v>1</v>
      </c>
      <c r="F1575">
        <v>2</v>
      </c>
      <c r="G1575">
        <v>2</v>
      </c>
      <c r="J1575" t="s">
        <v>15</v>
      </c>
      <c r="K1575">
        <v>2</v>
      </c>
      <c r="L1575">
        <v>2.1030000000000002</v>
      </c>
      <c r="M1575">
        <v>0</v>
      </c>
      <c r="N1575" t="s">
        <v>10019</v>
      </c>
      <c r="O1575" t="str">
        <f>HYPERLINK("2\1\marker_760_367446.png", "Ver Imagen")</f>
        <v>Ver Imagen</v>
      </c>
      <c r="P1575" t="str">
        <f>HYPERLINK("SE\A-497\A-497__849.png", "Ver Imagen")</f>
        <v>Ver Imagen</v>
      </c>
    </row>
    <row r="1576" spans="1:16" x14ac:dyDescent="0.25">
      <c r="A1576">
        <v>988</v>
      </c>
      <c r="B1576" t="s">
        <v>1988</v>
      </c>
      <c r="C1576">
        <v>37.199820908200003</v>
      </c>
      <c r="D1576">
        <v>-6.9857213946399996</v>
      </c>
      <c r="E1576">
        <v>1</v>
      </c>
      <c r="F1576">
        <v>2</v>
      </c>
      <c r="G1576">
        <v>2</v>
      </c>
      <c r="J1576" t="s">
        <v>15</v>
      </c>
      <c r="K1576">
        <v>2</v>
      </c>
      <c r="L1576">
        <v>2.4140000000000001</v>
      </c>
      <c r="M1576">
        <v>0</v>
      </c>
      <c r="N1576" t="s">
        <v>10018</v>
      </c>
      <c r="O1576" t="str">
        <f>HYPERLINK("2\1\marker_441_367463.png", "Ver Imagen")</f>
        <v>Ver Imagen</v>
      </c>
      <c r="P1576" t="str">
        <f>HYPERLINK("SE\A-497\A-497__848.png", "Ver Imagen")</f>
        <v>Ver Imagen</v>
      </c>
    </row>
    <row r="1577" spans="1:16" x14ac:dyDescent="0.25">
      <c r="A1577">
        <v>990</v>
      </c>
      <c r="B1577" t="s">
        <v>1992</v>
      </c>
      <c r="C1577">
        <v>37.199687294900002</v>
      </c>
      <c r="D1577">
        <v>-6.98519962575</v>
      </c>
      <c r="E1577">
        <v>1</v>
      </c>
      <c r="F1577">
        <v>2</v>
      </c>
      <c r="G1577">
        <v>2</v>
      </c>
      <c r="J1577" t="s">
        <v>15</v>
      </c>
      <c r="K1577">
        <v>2</v>
      </c>
      <c r="L1577">
        <v>1.83</v>
      </c>
      <c r="M1577">
        <v>0</v>
      </c>
      <c r="N1577" t="s">
        <v>10019</v>
      </c>
      <c r="O1577" t="str">
        <f>HYPERLINK("2\1\marker_236_367481.png", "Ver Imagen")</f>
        <v>Ver Imagen</v>
      </c>
      <c r="P1577" t="str">
        <f>HYPERLINK("SE\A-497\A-497__846.png", "Ver Imagen")</f>
        <v>Ver Imagen</v>
      </c>
    </row>
    <row r="1578" spans="1:16" x14ac:dyDescent="0.25">
      <c r="A1578">
        <v>991</v>
      </c>
      <c r="B1578" t="s">
        <v>1994</v>
      </c>
      <c r="C1578">
        <v>37.199351390799997</v>
      </c>
      <c r="D1578">
        <v>-6.9839618860200003</v>
      </c>
      <c r="E1578">
        <v>1</v>
      </c>
      <c r="F1578">
        <v>2</v>
      </c>
      <c r="G1578">
        <v>2</v>
      </c>
      <c r="J1578" t="s">
        <v>15</v>
      </c>
      <c r="K1578">
        <v>2</v>
      </c>
      <c r="L1578">
        <v>2.1219999999999999</v>
      </c>
      <c r="M1578">
        <v>0</v>
      </c>
      <c r="N1578" t="s">
        <v>10019</v>
      </c>
      <c r="O1578" t="str">
        <f>HYPERLINK("2\1\marker_532_367534.png", "Ver Imagen")</f>
        <v>Ver Imagen</v>
      </c>
      <c r="P1578" t="str">
        <f>HYPERLINK("SE\A-497\A-497__841.png", "Ver Imagen")</f>
        <v>Ver Imagen</v>
      </c>
    </row>
    <row r="1579" spans="1:16" x14ac:dyDescent="0.25">
      <c r="A1579">
        <v>992</v>
      </c>
      <c r="B1579" t="s">
        <v>1996</v>
      </c>
      <c r="C1579">
        <v>37.199283083700003</v>
      </c>
      <c r="D1579">
        <v>-6.9837301168600003</v>
      </c>
      <c r="E1579">
        <v>1</v>
      </c>
      <c r="F1579">
        <v>2</v>
      </c>
      <c r="G1579">
        <v>2</v>
      </c>
      <c r="J1579" t="s">
        <v>15</v>
      </c>
      <c r="K1579">
        <v>2</v>
      </c>
      <c r="L1579">
        <v>2.11</v>
      </c>
      <c r="M1579">
        <v>0</v>
      </c>
      <c r="N1579" t="s">
        <v>10018</v>
      </c>
      <c r="O1579" t="str">
        <f>HYPERLINK("2\1\marker_325_367543.png", "Ver Imagen")</f>
        <v>Ver Imagen</v>
      </c>
      <c r="P1579" t="str">
        <f>HYPERLINK("SE\A-497\A-497__840.png", "Ver Imagen")</f>
        <v>Ver Imagen</v>
      </c>
    </row>
    <row r="1580" spans="1:16" x14ac:dyDescent="0.25">
      <c r="A1580">
        <v>993</v>
      </c>
      <c r="B1580" t="s">
        <v>1998</v>
      </c>
      <c r="C1580">
        <v>37.199211634599997</v>
      </c>
      <c r="D1580">
        <v>-6.9834969786599999</v>
      </c>
      <c r="E1580">
        <v>1</v>
      </c>
      <c r="F1580">
        <v>2</v>
      </c>
      <c r="G1580">
        <v>2</v>
      </c>
      <c r="J1580" t="s">
        <v>15</v>
      </c>
      <c r="K1580">
        <v>2</v>
      </c>
      <c r="L1580">
        <v>1.837</v>
      </c>
      <c r="M1580">
        <v>0</v>
      </c>
      <c r="N1580" t="s">
        <v>10019</v>
      </c>
      <c r="O1580" t="str">
        <f>HYPERLINK("2\1\marker_420_367556.png", "Ver Imagen")</f>
        <v>Ver Imagen</v>
      </c>
      <c r="P1580" t="str">
        <f>HYPERLINK("SE\A-497\A-497__839.png", "Ver Imagen")</f>
        <v>Ver Imagen</v>
      </c>
    </row>
    <row r="1581" spans="1:16" x14ac:dyDescent="0.25">
      <c r="A1581">
        <v>994</v>
      </c>
      <c r="B1581" t="s">
        <v>2000</v>
      </c>
      <c r="C1581">
        <v>37.199150097699999</v>
      </c>
      <c r="D1581">
        <v>-6.9833024099900003</v>
      </c>
      <c r="E1581">
        <v>1</v>
      </c>
      <c r="F1581">
        <v>2</v>
      </c>
      <c r="G1581">
        <v>2</v>
      </c>
      <c r="J1581" t="s">
        <v>15</v>
      </c>
      <c r="K1581">
        <v>2</v>
      </c>
      <c r="L1581">
        <v>2.0249999999999999</v>
      </c>
      <c r="M1581">
        <v>0</v>
      </c>
      <c r="N1581" t="s">
        <v>10018</v>
      </c>
      <c r="O1581" t="str">
        <f>HYPERLINK("2\1\marker_288_367567.png", "Ver Imagen")</f>
        <v>Ver Imagen</v>
      </c>
      <c r="P1581" t="str">
        <f>HYPERLINK("SE\A-497\A-497__838.png", "Ver Imagen")</f>
        <v>Ver Imagen</v>
      </c>
    </row>
    <row r="1582" spans="1:16" x14ac:dyDescent="0.25">
      <c r="A1582">
        <v>995</v>
      </c>
      <c r="B1582" t="s">
        <v>2002</v>
      </c>
      <c r="C1582">
        <v>37.267379224300001</v>
      </c>
      <c r="D1582">
        <v>-6.95897718337</v>
      </c>
      <c r="E1582">
        <v>1</v>
      </c>
      <c r="F1582">
        <v>2</v>
      </c>
      <c r="G1582">
        <v>2</v>
      </c>
      <c r="J1582" t="s">
        <v>15</v>
      </c>
      <c r="K1582">
        <v>2</v>
      </c>
      <c r="L1582">
        <v>1.879</v>
      </c>
      <c r="M1582">
        <v>0</v>
      </c>
      <c r="N1582" t="s">
        <v>10019</v>
      </c>
      <c r="O1582" t="str">
        <f>HYPERLINK("2\1\marker_943_653798.png", "Ver Imagen")</f>
        <v>Ver Imagen</v>
      </c>
      <c r="P1582" t="str">
        <f>HYPERLINK("SE\A-497_2C\A-497_2C__8.png", "Ver Imagen")</f>
        <v>Ver Imagen</v>
      </c>
    </row>
    <row r="1583" spans="1:16" x14ac:dyDescent="0.25">
      <c r="A1583">
        <v>998</v>
      </c>
      <c r="B1583" t="s">
        <v>2008</v>
      </c>
      <c r="C1583">
        <v>37.2675217022</v>
      </c>
      <c r="D1583">
        <v>-6.9602834109299998</v>
      </c>
      <c r="E1583">
        <v>1</v>
      </c>
      <c r="F1583">
        <v>2</v>
      </c>
      <c r="G1583">
        <v>2</v>
      </c>
      <c r="J1583" t="s">
        <v>15</v>
      </c>
      <c r="K1583">
        <v>2</v>
      </c>
      <c r="L1583">
        <v>2.0659999999999998</v>
      </c>
      <c r="M1583">
        <v>0</v>
      </c>
      <c r="N1583" t="s">
        <v>10019</v>
      </c>
      <c r="O1583" t="str">
        <f>HYPERLINK("2\1\marker_186_654013.png", "Ver Imagen")</f>
        <v>Ver Imagen</v>
      </c>
      <c r="P1583" t="str">
        <f>HYPERLINK("SE\A-497_2C\A-497_2C__13.png", "Ver Imagen")</f>
        <v>Ver Imagen</v>
      </c>
    </row>
    <row r="1584" spans="1:16" x14ac:dyDescent="0.25">
      <c r="A1584">
        <v>999</v>
      </c>
      <c r="B1584" t="s">
        <v>2010</v>
      </c>
      <c r="C1584">
        <v>37.2675379537</v>
      </c>
      <c r="D1584">
        <v>-6.9605118313499998</v>
      </c>
      <c r="E1584">
        <v>1</v>
      </c>
      <c r="F1584">
        <v>2</v>
      </c>
      <c r="G1584">
        <v>2</v>
      </c>
      <c r="J1584" t="s">
        <v>15</v>
      </c>
      <c r="K1584">
        <v>2</v>
      </c>
      <c r="L1584">
        <v>1.8129999999999999</v>
      </c>
      <c r="M1584">
        <v>0</v>
      </c>
      <c r="N1584" t="s">
        <v>10019</v>
      </c>
      <c r="O1584" t="str">
        <f>HYPERLINK("2\1\marker_532_654021.png", "Ver Imagen")</f>
        <v>Ver Imagen</v>
      </c>
      <c r="P1584" t="str">
        <f>HYPERLINK("SE\A-497_2C\A-497_2C__14.png", "Ver Imagen")</f>
        <v>Ver Imagen</v>
      </c>
    </row>
    <row r="1585" spans="1:16" x14ac:dyDescent="0.25">
      <c r="A1585">
        <v>1000</v>
      </c>
      <c r="B1585" t="s">
        <v>2012</v>
      </c>
      <c r="C1585">
        <v>37.267553214800003</v>
      </c>
      <c r="D1585">
        <v>-6.9607884808199998</v>
      </c>
      <c r="E1585">
        <v>1</v>
      </c>
      <c r="F1585">
        <v>2</v>
      </c>
      <c r="G1585">
        <v>2</v>
      </c>
      <c r="J1585" t="s">
        <v>15</v>
      </c>
      <c r="K1585">
        <v>2</v>
      </c>
      <c r="L1585">
        <v>1.956</v>
      </c>
      <c r="M1585">
        <v>0</v>
      </c>
      <c r="N1585" t="s">
        <v>10019</v>
      </c>
      <c r="O1585" t="str">
        <f>HYPERLINK("2\1\marker_554_654031.png", "Ver Imagen")</f>
        <v>Ver Imagen</v>
      </c>
      <c r="P1585" t="str">
        <f>HYPERLINK("SE\A-497_2C\A-497_2C__15.png", "Ver Imagen")</f>
        <v>Ver Imagen</v>
      </c>
    </row>
    <row r="1586" spans="1:16" x14ac:dyDescent="0.25">
      <c r="A1586">
        <v>1001</v>
      </c>
      <c r="B1586" t="s">
        <v>2014</v>
      </c>
      <c r="C1586">
        <v>37.267564118400003</v>
      </c>
      <c r="D1586">
        <v>-6.9610344559500001</v>
      </c>
      <c r="E1586">
        <v>1</v>
      </c>
      <c r="F1586">
        <v>2</v>
      </c>
      <c r="G1586">
        <v>2</v>
      </c>
      <c r="J1586" t="s">
        <v>15</v>
      </c>
      <c r="K1586">
        <v>2</v>
      </c>
      <c r="L1586">
        <v>2.3039999999999998</v>
      </c>
      <c r="M1586">
        <v>0</v>
      </c>
      <c r="N1586" t="s">
        <v>10019</v>
      </c>
      <c r="O1586" t="str">
        <f>HYPERLINK("2\1\marker_352_654339.png", "Ver Imagen")</f>
        <v>Ver Imagen</v>
      </c>
      <c r="P1586" t="str">
        <f>HYPERLINK("SE\A-497_2C\A-497_2C__16.png", "Ver Imagen")</f>
        <v>Ver Imagen</v>
      </c>
    </row>
    <row r="1587" spans="1:16" x14ac:dyDescent="0.25">
      <c r="A1587">
        <v>1002</v>
      </c>
      <c r="B1587" t="s">
        <v>2016</v>
      </c>
      <c r="C1587">
        <v>37.267572813000001</v>
      </c>
      <c r="D1587">
        <v>-6.9612560559399999</v>
      </c>
      <c r="E1587">
        <v>1</v>
      </c>
      <c r="F1587">
        <v>2</v>
      </c>
      <c r="G1587">
        <v>2</v>
      </c>
      <c r="J1587" t="s">
        <v>15</v>
      </c>
      <c r="K1587">
        <v>2</v>
      </c>
      <c r="L1587">
        <v>2.2149999999999999</v>
      </c>
      <c r="M1587">
        <v>0</v>
      </c>
      <c r="N1587" t="s">
        <v>10019</v>
      </c>
      <c r="O1587" t="str">
        <f>HYPERLINK("2\1\marker_601_654348.png", "Ver Imagen")</f>
        <v>Ver Imagen</v>
      </c>
      <c r="P1587" t="str">
        <f>HYPERLINK("SE\A-497_2C\A-497_2C__17.png", "Ver Imagen")</f>
        <v>Ver Imagen</v>
      </c>
    </row>
    <row r="1588" spans="1:16" x14ac:dyDescent="0.25">
      <c r="A1588">
        <v>1003</v>
      </c>
      <c r="B1588" t="s">
        <v>2018</v>
      </c>
      <c r="C1588">
        <v>37.267580511699997</v>
      </c>
      <c r="D1588">
        <v>-6.9614844843999997</v>
      </c>
      <c r="E1588">
        <v>1</v>
      </c>
      <c r="F1588">
        <v>2</v>
      </c>
      <c r="G1588">
        <v>2</v>
      </c>
      <c r="J1588" t="s">
        <v>15</v>
      </c>
      <c r="K1588">
        <v>2</v>
      </c>
      <c r="L1588">
        <v>2.3780000000000001</v>
      </c>
      <c r="M1588">
        <v>0</v>
      </c>
      <c r="N1588" t="s">
        <v>10019</v>
      </c>
      <c r="O1588" t="str">
        <f>HYPERLINK("2\1\marker_133_654357.png", "Ver Imagen")</f>
        <v>Ver Imagen</v>
      </c>
      <c r="P1588" t="str">
        <f>HYPERLINK("SE\A-497_2C\A-497_2C__18.png", "Ver Imagen")</f>
        <v>Ver Imagen</v>
      </c>
    </row>
    <row r="1589" spans="1:16" x14ac:dyDescent="0.25">
      <c r="A1589">
        <v>1004</v>
      </c>
      <c r="B1589" t="s">
        <v>2020</v>
      </c>
      <c r="C1589">
        <v>37.188584755699999</v>
      </c>
      <c r="D1589">
        <v>-6.9783336180399997</v>
      </c>
      <c r="E1589">
        <v>1</v>
      </c>
      <c r="F1589">
        <v>2</v>
      </c>
      <c r="G1589">
        <v>2</v>
      </c>
      <c r="J1589" t="s">
        <v>15</v>
      </c>
      <c r="K1589">
        <v>2</v>
      </c>
      <c r="L1589">
        <v>2.1859999999999999</v>
      </c>
      <c r="M1589">
        <v>0</v>
      </c>
      <c r="N1589" t="s">
        <v>10019</v>
      </c>
      <c r="O1589" t="str">
        <f>HYPERLINK("2\1\marker_695_368818.png", "Ver Imagen")</f>
        <v>Ver Imagen</v>
      </c>
      <c r="P1589" t="str">
        <f>HYPERLINK("SE\A-497\A-497__742.png", "Ver Imagen")</f>
        <v>Ver Imagen</v>
      </c>
    </row>
    <row r="1590" spans="1:16" x14ac:dyDescent="0.25">
      <c r="A1590">
        <v>1005</v>
      </c>
      <c r="B1590" t="s">
        <v>2022</v>
      </c>
      <c r="C1590">
        <v>37.188786118499998</v>
      </c>
      <c r="D1590">
        <v>-6.97829079026</v>
      </c>
      <c r="E1590">
        <v>1</v>
      </c>
      <c r="F1590">
        <v>2</v>
      </c>
      <c r="G1590">
        <v>2</v>
      </c>
      <c r="J1590" t="s">
        <v>15</v>
      </c>
      <c r="K1590">
        <v>2</v>
      </c>
      <c r="L1590">
        <v>1.87</v>
      </c>
      <c r="M1590">
        <v>0</v>
      </c>
      <c r="N1590" t="s">
        <v>10019</v>
      </c>
      <c r="O1590" t="str">
        <f>HYPERLINK("2\1\marker_236_368829.png", "Ver Imagen")</f>
        <v>Ver Imagen</v>
      </c>
      <c r="P1590" t="str">
        <f>HYPERLINK("SE\A-497\A-497__741.png", "Ver Imagen")</f>
        <v>Ver Imagen</v>
      </c>
    </row>
    <row r="1591" spans="1:16" x14ac:dyDescent="0.25">
      <c r="A1591">
        <v>1006</v>
      </c>
      <c r="B1591" t="s">
        <v>2024</v>
      </c>
      <c r="C1591">
        <v>37.189012308099997</v>
      </c>
      <c r="D1591">
        <v>-6.9782329300199999</v>
      </c>
      <c r="E1591">
        <v>1</v>
      </c>
      <c r="F1591">
        <v>2</v>
      </c>
      <c r="G1591">
        <v>2</v>
      </c>
      <c r="J1591" t="s">
        <v>15</v>
      </c>
      <c r="K1591">
        <v>2</v>
      </c>
      <c r="L1591">
        <v>2.077</v>
      </c>
      <c r="M1591">
        <v>0</v>
      </c>
      <c r="N1591" t="s">
        <v>10019</v>
      </c>
      <c r="O1591" t="str">
        <f>HYPERLINK("2\1\marker_961_368840.png", "Ver Imagen")</f>
        <v>Ver Imagen</v>
      </c>
      <c r="P1591" t="str">
        <f>HYPERLINK("SE\A-497\A-497__740.png", "Ver Imagen")</f>
        <v>Ver Imagen</v>
      </c>
    </row>
    <row r="1592" spans="1:16" x14ac:dyDescent="0.25">
      <c r="A1592">
        <v>1007</v>
      </c>
      <c r="B1592" t="s">
        <v>2026</v>
      </c>
      <c r="C1592">
        <v>37.1891667895</v>
      </c>
      <c r="D1592">
        <v>-6.9781906862499996</v>
      </c>
      <c r="E1592">
        <v>1</v>
      </c>
      <c r="F1592">
        <v>2</v>
      </c>
      <c r="G1592">
        <v>2</v>
      </c>
      <c r="J1592" t="s">
        <v>15</v>
      </c>
      <c r="K1592">
        <v>2</v>
      </c>
      <c r="L1592">
        <v>2.222</v>
      </c>
      <c r="M1592">
        <v>0</v>
      </c>
      <c r="N1592" t="s">
        <v>10019</v>
      </c>
      <c r="O1592" t="str">
        <f>HYPERLINK("2\1\marker_192_368851.png", "Ver Imagen")</f>
        <v>Ver Imagen</v>
      </c>
      <c r="P1592" t="str">
        <f>HYPERLINK("SE\A-497\A-497__739.png", "Ver Imagen")</f>
        <v>Ver Imagen</v>
      </c>
    </row>
    <row r="1593" spans="1:16" x14ac:dyDescent="0.25">
      <c r="A1593">
        <v>1008</v>
      </c>
      <c r="B1593" t="s">
        <v>2028</v>
      </c>
      <c r="C1593">
        <v>37.189361601199998</v>
      </c>
      <c r="D1593">
        <v>-6.9781358986499997</v>
      </c>
      <c r="E1593">
        <v>1</v>
      </c>
      <c r="F1593">
        <v>2</v>
      </c>
      <c r="G1593">
        <v>2</v>
      </c>
      <c r="J1593" t="s">
        <v>15</v>
      </c>
      <c r="K1593">
        <v>2</v>
      </c>
      <c r="L1593">
        <v>1.698</v>
      </c>
      <c r="M1593">
        <v>0</v>
      </c>
      <c r="N1593" t="s">
        <v>10019</v>
      </c>
      <c r="O1593" t="str">
        <f>HYPERLINK("2\1\marker_695_368860.png", "Ver Imagen")</f>
        <v>Ver Imagen</v>
      </c>
      <c r="P1593" t="str">
        <f>HYPERLINK("SE\A-497\A-497__738.png", "Ver Imagen")</f>
        <v>Ver Imagen</v>
      </c>
    </row>
    <row r="1594" spans="1:16" x14ac:dyDescent="0.25">
      <c r="A1594">
        <v>1009</v>
      </c>
      <c r="B1594" t="s">
        <v>2030</v>
      </c>
      <c r="C1594">
        <v>37.189590776499998</v>
      </c>
      <c r="D1594">
        <v>-6.9780708154199997</v>
      </c>
      <c r="E1594">
        <v>1</v>
      </c>
      <c r="F1594">
        <v>2</v>
      </c>
      <c r="G1594">
        <v>2</v>
      </c>
      <c r="J1594" t="s">
        <v>15</v>
      </c>
      <c r="K1594">
        <v>2</v>
      </c>
      <c r="L1594">
        <v>2.4020000000000001</v>
      </c>
      <c r="M1594">
        <v>0</v>
      </c>
      <c r="N1594" t="s">
        <v>10017</v>
      </c>
      <c r="O1594" t="str">
        <f>HYPERLINK("2\1\marker_429_368869.png", "Ver Imagen")</f>
        <v>Ver Imagen</v>
      </c>
      <c r="P1594" t="str">
        <f>HYPERLINK("SE\A-497\A-497__737.png", "Ver Imagen")</f>
        <v>Ver Imagen</v>
      </c>
    </row>
    <row r="1595" spans="1:16" x14ac:dyDescent="0.25">
      <c r="A1595">
        <v>1010</v>
      </c>
      <c r="B1595" t="s">
        <v>2032</v>
      </c>
      <c r="C1595">
        <v>37.189795941100002</v>
      </c>
      <c r="D1595">
        <v>-6.9780139740799996</v>
      </c>
      <c r="E1595">
        <v>1</v>
      </c>
      <c r="F1595">
        <v>2</v>
      </c>
      <c r="G1595">
        <v>2</v>
      </c>
      <c r="J1595" t="s">
        <v>15</v>
      </c>
      <c r="K1595">
        <v>2</v>
      </c>
      <c r="L1595">
        <v>1.9970000000000001</v>
      </c>
      <c r="M1595">
        <v>0</v>
      </c>
      <c r="N1595" t="s">
        <v>10019</v>
      </c>
      <c r="O1595" t="str">
        <f>HYPERLINK("2\1\marker_610_368886.png", "Ver Imagen")</f>
        <v>Ver Imagen</v>
      </c>
      <c r="P1595" t="str">
        <f>HYPERLINK("SE\A-497\A-497__736.png", "Ver Imagen")</f>
        <v>Ver Imagen</v>
      </c>
    </row>
    <row r="1596" spans="1:16" x14ac:dyDescent="0.25">
      <c r="A1596">
        <v>1011</v>
      </c>
      <c r="B1596" t="s">
        <v>2034</v>
      </c>
      <c r="C1596">
        <v>37.1899890376</v>
      </c>
      <c r="D1596">
        <v>-6.9779613306900004</v>
      </c>
      <c r="E1596">
        <v>1</v>
      </c>
      <c r="F1596">
        <v>2</v>
      </c>
      <c r="G1596">
        <v>2</v>
      </c>
      <c r="J1596" t="s">
        <v>15</v>
      </c>
      <c r="K1596">
        <v>2</v>
      </c>
      <c r="L1596">
        <v>1.8620000000000001</v>
      </c>
      <c r="M1596">
        <v>0</v>
      </c>
      <c r="N1596" t="s">
        <v>10019</v>
      </c>
      <c r="O1596" t="str">
        <f>HYPERLINK("2\1\marker_776_368895.png", "Ver Imagen")</f>
        <v>Ver Imagen</v>
      </c>
      <c r="P1596" t="str">
        <f>HYPERLINK("SE\A-497\A-497__735.png", "Ver Imagen")</f>
        <v>Ver Imagen</v>
      </c>
    </row>
    <row r="1597" spans="1:16" x14ac:dyDescent="0.25">
      <c r="A1597">
        <v>1012</v>
      </c>
      <c r="B1597" t="s">
        <v>2036</v>
      </c>
      <c r="C1597">
        <v>37.265568280700002</v>
      </c>
      <c r="D1597">
        <v>-6.9956934190500002</v>
      </c>
      <c r="E1597">
        <v>2</v>
      </c>
      <c r="F1597">
        <v>2</v>
      </c>
      <c r="G1597">
        <v>1</v>
      </c>
      <c r="J1597" t="s">
        <v>15</v>
      </c>
      <c r="K1597">
        <v>2</v>
      </c>
      <c r="L1597">
        <v>2.0830000000000002</v>
      </c>
      <c r="M1597">
        <v>0</v>
      </c>
      <c r="N1597" t="s">
        <v>10019</v>
      </c>
      <c r="O1597" t="str">
        <f>HYPERLINK("2\1\marker_366_656199.png", "Ver Imagen")</f>
        <v>Ver Imagen</v>
      </c>
      <c r="P1597" t="str">
        <f>HYPERLINK("SE\A-497_2C\A-497_2C__170.png", "Ver Imagen")</f>
        <v>Ver Imagen</v>
      </c>
    </row>
    <row r="1598" spans="1:16" x14ac:dyDescent="0.25">
      <c r="A1598">
        <v>1013</v>
      </c>
      <c r="B1598" t="s">
        <v>2038</v>
      </c>
      <c r="C1598">
        <v>37.204647685300003</v>
      </c>
      <c r="D1598">
        <v>-7.01385566055</v>
      </c>
      <c r="E1598">
        <v>1</v>
      </c>
      <c r="F1598">
        <v>2</v>
      </c>
      <c r="G1598">
        <v>2</v>
      </c>
      <c r="J1598" t="s">
        <v>15</v>
      </c>
      <c r="K1598">
        <v>2</v>
      </c>
      <c r="L1598">
        <v>1.8580000000000001</v>
      </c>
      <c r="M1598">
        <v>0</v>
      </c>
      <c r="N1598" t="s">
        <v>10019</v>
      </c>
      <c r="O1598" t="str">
        <f>HYPERLINK("2\1\marker_444_372210.png", "Ver Imagen")</f>
        <v>Ver Imagen</v>
      </c>
      <c r="P1598" t="str">
        <f>HYPERLINK("SE\A-497\A-497__555.png", "Ver Imagen")</f>
        <v>Ver Imagen</v>
      </c>
    </row>
    <row r="1599" spans="1:16" x14ac:dyDescent="0.25">
      <c r="A1599">
        <v>1014</v>
      </c>
      <c r="B1599" t="s">
        <v>2040</v>
      </c>
      <c r="C1599">
        <v>37.204701479900002</v>
      </c>
      <c r="D1599">
        <v>-7.0141207904299998</v>
      </c>
      <c r="E1599">
        <v>1</v>
      </c>
      <c r="F1599">
        <v>2</v>
      </c>
      <c r="G1599">
        <v>2</v>
      </c>
      <c r="J1599" t="s">
        <v>15</v>
      </c>
      <c r="K1599">
        <v>2</v>
      </c>
      <c r="L1599">
        <v>1.8779999999999999</v>
      </c>
      <c r="M1599">
        <v>0</v>
      </c>
      <c r="N1599" t="s">
        <v>10017</v>
      </c>
      <c r="O1599" t="str">
        <f>HYPERLINK("2\1\marker_914_372218.png", "Ver Imagen")</f>
        <v>Ver Imagen</v>
      </c>
      <c r="P1599" t="str">
        <f>HYPERLINK("SE\A-497\A-497__554.png", "Ver Imagen")</f>
        <v>Ver Imagen</v>
      </c>
    </row>
    <row r="1600" spans="1:16" x14ac:dyDescent="0.25">
      <c r="A1600">
        <v>1015</v>
      </c>
      <c r="B1600" t="s">
        <v>2042</v>
      </c>
      <c r="C1600">
        <v>37.204747732599998</v>
      </c>
      <c r="D1600">
        <v>-7.0143514907200002</v>
      </c>
      <c r="E1600">
        <v>1</v>
      </c>
      <c r="F1600">
        <v>2</v>
      </c>
      <c r="G1600">
        <v>2</v>
      </c>
      <c r="J1600" t="s">
        <v>15</v>
      </c>
      <c r="K1600">
        <v>2</v>
      </c>
      <c r="L1600">
        <v>2.0169999999999999</v>
      </c>
      <c r="M1600">
        <v>0</v>
      </c>
      <c r="N1600" t="s">
        <v>10019</v>
      </c>
      <c r="O1600" t="str">
        <f>HYPERLINK("2\1\marker_274_372227.png", "Ver Imagen")</f>
        <v>Ver Imagen</v>
      </c>
      <c r="P1600" t="str">
        <f>HYPERLINK("SE\A-497\A-497__553.png", "Ver Imagen")</f>
        <v>Ver Imagen</v>
      </c>
    </row>
    <row r="1601" spans="1:16" x14ac:dyDescent="0.25">
      <c r="A1601">
        <v>1016</v>
      </c>
      <c r="B1601" t="s">
        <v>2044</v>
      </c>
      <c r="C1601">
        <v>37.2048337162</v>
      </c>
      <c r="D1601">
        <v>-7.0147860819099996</v>
      </c>
      <c r="E1601">
        <v>1</v>
      </c>
      <c r="F1601">
        <v>2</v>
      </c>
      <c r="G1601">
        <v>2</v>
      </c>
      <c r="J1601" t="s">
        <v>15</v>
      </c>
      <c r="K1601">
        <v>2</v>
      </c>
      <c r="L1601">
        <v>2.0670000000000002</v>
      </c>
      <c r="M1601">
        <v>0</v>
      </c>
      <c r="N1601" t="s">
        <v>10019</v>
      </c>
      <c r="O1601" t="str">
        <f>HYPERLINK("2\1\marker_626_372252.png", "Ver Imagen")</f>
        <v>Ver Imagen</v>
      </c>
      <c r="P1601" t="str">
        <f>HYPERLINK("SE\A-497\A-497__551.png", "Ver Imagen")</f>
        <v>Ver Imagen</v>
      </c>
    </row>
    <row r="1602" spans="1:16" x14ac:dyDescent="0.25">
      <c r="A1602">
        <v>1017</v>
      </c>
      <c r="B1602" t="s">
        <v>2046</v>
      </c>
      <c r="C1602">
        <v>37.204937823800002</v>
      </c>
      <c r="D1602">
        <v>-7.0153192690199999</v>
      </c>
      <c r="E1602">
        <v>1</v>
      </c>
      <c r="F1602">
        <v>2</v>
      </c>
      <c r="G1602">
        <v>2</v>
      </c>
      <c r="J1602" t="s">
        <v>15</v>
      </c>
      <c r="K1602">
        <v>2</v>
      </c>
      <c r="L1602">
        <v>2.3380000000000001</v>
      </c>
      <c r="M1602">
        <v>0</v>
      </c>
      <c r="N1602" t="s">
        <v>10018</v>
      </c>
      <c r="O1602" t="str">
        <f>HYPERLINK("2\1\marker_166_372274.png", "Ver Imagen")</f>
        <v>Ver Imagen</v>
      </c>
      <c r="P1602" t="str">
        <f>HYPERLINK("SE\A-497\A-497__549.png", "Ver Imagen")</f>
        <v>Ver Imagen</v>
      </c>
    </row>
    <row r="1603" spans="1:16" x14ac:dyDescent="0.25">
      <c r="A1603">
        <v>1018</v>
      </c>
      <c r="B1603" t="s">
        <v>2048</v>
      </c>
      <c r="C1603">
        <v>37.205079038699999</v>
      </c>
      <c r="D1603">
        <v>-7.0160183084599996</v>
      </c>
      <c r="E1603">
        <v>1</v>
      </c>
      <c r="F1603">
        <v>2</v>
      </c>
      <c r="G1603">
        <v>2</v>
      </c>
      <c r="J1603" t="s">
        <v>15</v>
      </c>
      <c r="K1603">
        <v>2</v>
      </c>
      <c r="L1603">
        <v>1.7270000000000001</v>
      </c>
      <c r="M1603">
        <v>0</v>
      </c>
      <c r="N1603" t="s">
        <v>10019</v>
      </c>
      <c r="O1603" t="str">
        <f>HYPERLINK("2\1\marker_673_372318.png", "Ver Imagen")</f>
        <v>Ver Imagen</v>
      </c>
      <c r="P1603" t="str">
        <f>HYPERLINK("SE\A-497\A-497__546.png", "Ver Imagen")</f>
        <v>Ver Imagen</v>
      </c>
    </row>
    <row r="1604" spans="1:16" x14ac:dyDescent="0.25">
      <c r="A1604">
        <v>1019</v>
      </c>
      <c r="B1604" t="s">
        <v>2050</v>
      </c>
      <c r="C1604">
        <v>37.205132628100003</v>
      </c>
      <c r="D1604">
        <v>-7.0162703370399999</v>
      </c>
      <c r="E1604">
        <v>1</v>
      </c>
      <c r="F1604">
        <v>2</v>
      </c>
      <c r="G1604">
        <v>2</v>
      </c>
      <c r="J1604" t="s">
        <v>15</v>
      </c>
      <c r="K1604">
        <v>2</v>
      </c>
      <c r="L1604">
        <v>2.1259999999999999</v>
      </c>
      <c r="M1604">
        <v>0</v>
      </c>
      <c r="N1604" t="s">
        <v>10019</v>
      </c>
      <c r="O1604" t="str">
        <f>HYPERLINK("2\1\marker_637_372329.png", "Ver Imagen")</f>
        <v>Ver Imagen</v>
      </c>
      <c r="P1604" t="str">
        <f>HYPERLINK("SE\A-497\A-497__545.png", "Ver Imagen")</f>
        <v>Ver Imagen</v>
      </c>
    </row>
    <row r="1605" spans="1:16" x14ac:dyDescent="0.25">
      <c r="A1605">
        <v>1020</v>
      </c>
      <c r="B1605" t="s">
        <v>2052</v>
      </c>
      <c r="C1605">
        <v>37.2051823591</v>
      </c>
      <c r="D1605">
        <v>-7.0164962169800003</v>
      </c>
      <c r="E1605">
        <v>1</v>
      </c>
      <c r="F1605">
        <v>2</v>
      </c>
      <c r="G1605">
        <v>2</v>
      </c>
      <c r="J1605" t="s">
        <v>15</v>
      </c>
      <c r="K1605">
        <v>2</v>
      </c>
      <c r="L1605">
        <v>1.776</v>
      </c>
      <c r="M1605">
        <v>0</v>
      </c>
      <c r="N1605" t="s">
        <v>10019</v>
      </c>
      <c r="O1605" t="str">
        <f>HYPERLINK("2\1\marker_708_372340.png", "Ver Imagen")</f>
        <v>Ver Imagen</v>
      </c>
      <c r="P1605" t="str">
        <f>HYPERLINK("SE\A-497\A-497__544.png", "Ver Imagen")</f>
        <v>Ver Imagen</v>
      </c>
    </row>
    <row r="1606" spans="1:16" x14ac:dyDescent="0.25">
      <c r="A1606">
        <v>1021</v>
      </c>
      <c r="B1606" t="s">
        <v>2054</v>
      </c>
      <c r="C1606">
        <v>37.212145740700002</v>
      </c>
      <c r="D1606">
        <v>-7.0238499778900003</v>
      </c>
      <c r="E1606">
        <v>1</v>
      </c>
      <c r="F1606">
        <v>2</v>
      </c>
      <c r="G1606">
        <v>2</v>
      </c>
      <c r="J1606" t="s">
        <v>15</v>
      </c>
      <c r="K1606">
        <v>2</v>
      </c>
      <c r="L1606">
        <v>1.986</v>
      </c>
      <c r="M1606">
        <v>0</v>
      </c>
      <c r="N1606" t="s">
        <v>10019</v>
      </c>
      <c r="O1606" t="str">
        <f>HYPERLINK("2\1\marker_703_376151.png", "Ver Imagen")</f>
        <v>Ver Imagen</v>
      </c>
      <c r="P1606" t="str">
        <f>HYPERLINK("SE\A-497\A-497__495.png", "Ver Imagen")</f>
        <v>Ver Imagen</v>
      </c>
    </row>
    <row r="1607" spans="1:16" x14ac:dyDescent="0.25">
      <c r="A1607">
        <v>1022</v>
      </c>
      <c r="B1607" t="s">
        <v>2056</v>
      </c>
      <c r="C1607">
        <v>37.212375684900003</v>
      </c>
      <c r="D1607">
        <v>-7.0238341465899996</v>
      </c>
      <c r="E1607">
        <v>1</v>
      </c>
      <c r="F1607">
        <v>2</v>
      </c>
      <c r="G1607">
        <v>2</v>
      </c>
      <c r="J1607" t="s">
        <v>15</v>
      </c>
      <c r="K1607">
        <v>2</v>
      </c>
      <c r="L1607">
        <v>1.851</v>
      </c>
      <c r="M1607">
        <v>0</v>
      </c>
      <c r="N1607" t="s">
        <v>10019</v>
      </c>
      <c r="O1607" t="str">
        <f>HYPERLINK("2\1\marker_124_376161.png", "Ver Imagen")</f>
        <v>Ver Imagen</v>
      </c>
      <c r="P1607" t="str">
        <f>HYPERLINK("SE\A-497\A-497__494.png", "Ver Imagen")</f>
        <v>Ver Imagen</v>
      </c>
    </row>
    <row r="1608" spans="1:16" x14ac:dyDescent="0.25">
      <c r="A1608">
        <v>1023</v>
      </c>
      <c r="B1608" t="s">
        <v>2058</v>
      </c>
      <c r="C1608">
        <v>37.212584581999998</v>
      </c>
      <c r="D1608">
        <v>-7.0238133592200001</v>
      </c>
      <c r="E1608">
        <v>1</v>
      </c>
      <c r="F1608">
        <v>2</v>
      </c>
      <c r="G1608">
        <v>2</v>
      </c>
      <c r="J1608" t="s">
        <v>15</v>
      </c>
      <c r="K1608">
        <v>2</v>
      </c>
      <c r="L1608">
        <v>1.8779999999999999</v>
      </c>
      <c r="M1608">
        <v>0</v>
      </c>
      <c r="N1608" t="s">
        <v>10019</v>
      </c>
      <c r="O1608" t="str">
        <f>HYPERLINK("2\1\marker_941_376169.png", "Ver Imagen")</f>
        <v>Ver Imagen</v>
      </c>
      <c r="P1608" t="str">
        <f>HYPERLINK("SE\A-497\A-497__493.png", "Ver Imagen")</f>
        <v>Ver Imagen</v>
      </c>
    </row>
    <row r="1609" spans="1:16" x14ac:dyDescent="0.25">
      <c r="A1609">
        <v>1025</v>
      </c>
      <c r="B1609" t="s">
        <v>2062</v>
      </c>
      <c r="C1609">
        <v>37.212962851299999</v>
      </c>
      <c r="D1609">
        <v>-7.0237630535899997</v>
      </c>
      <c r="E1609">
        <v>1</v>
      </c>
      <c r="F1609">
        <v>2</v>
      </c>
      <c r="G1609">
        <v>2</v>
      </c>
      <c r="J1609" t="s">
        <v>15</v>
      </c>
      <c r="K1609">
        <v>2</v>
      </c>
      <c r="L1609">
        <v>1.8879999999999999</v>
      </c>
      <c r="M1609">
        <v>0</v>
      </c>
      <c r="N1609" t="s">
        <v>10019</v>
      </c>
      <c r="O1609" t="str">
        <f>HYPERLINK("2\1\marker_250_376189.png", "Ver Imagen")</f>
        <v>Ver Imagen</v>
      </c>
      <c r="P1609" t="str">
        <f>HYPERLINK("SE\A-497\A-497__491.png", "Ver Imagen")</f>
        <v>Ver Imagen</v>
      </c>
    </row>
    <row r="1610" spans="1:16" x14ac:dyDescent="0.25">
      <c r="A1610">
        <v>1026</v>
      </c>
      <c r="B1610" t="s">
        <v>2064</v>
      </c>
      <c r="C1610">
        <v>37.213133647100001</v>
      </c>
      <c r="D1610">
        <v>-7.0237368875900001</v>
      </c>
      <c r="E1610">
        <v>1</v>
      </c>
      <c r="F1610">
        <v>2</v>
      </c>
      <c r="G1610">
        <v>2</v>
      </c>
      <c r="J1610" t="s">
        <v>15</v>
      </c>
      <c r="K1610">
        <v>2</v>
      </c>
      <c r="L1610">
        <v>2.0259999999999998</v>
      </c>
      <c r="M1610">
        <v>0</v>
      </c>
      <c r="N1610" t="s">
        <v>10019</v>
      </c>
      <c r="O1610" t="str">
        <f>HYPERLINK("2\1\marker_715_376199.png", "Ver Imagen")</f>
        <v>Ver Imagen</v>
      </c>
      <c r="P1610" t="str">
        <f>HYPERLINK("SE\A-497\A-497__490.png", "Ver Imagen")</f>
        <v>Ver Imagen</v>
      </c>
    </row>
    <row r="1611" spans="1:16" x14ac:dyDescent="0.25">
      <c r="A1611">
        <v>1027</v>
      </c>
      <c r="B1611" t="s">
        <v>2066</v>
      </c>
      <c r="C1611">
        <v>37.213369024800002</v>
      </c>
      <c r="D1611">
        <v>-7.0236983666799997</v>
      </c>
      <c r="E1611">
        <v>1</v>
      </c>
      <c r="F1611">
        <v>2</v>
      </c>
      <c r="G1611">
        <v>2</v>
      </c>
      <c r="J1611" t="s">
        <v>15</v>
      </c>
      <c r="K1611">
        <v>2</v>
      </c>
      <c r="L1611">
        <v>1.9770000000000001</v>
      </c>
      <c r="M1611">
        <v>0</v>
      </c>
      <c r="N1611" t="s">
        <v>10019</v>
      </c>
      <c r="O1611" t="str">
        <f>HYPERLINK("2\1\marker_213_376208.png", "Ver Imagen")</f>
        <v>Ver Imagen</v>
      </c>
      <c r="P1611" t="str">
        <f>HYPERLINK("SE\A-497\A-497__489.png", "Ver Imagen")</f>
        <v>Ver Imagen</v>
      </c>
    </row>
    <row r="1612" spans="1:16" x14ac:dyDescent="0.25">
      <c r="A1612">
        <v>1028</v>
      </c>
      <c r="B1612" t="s">
        <v>2068</v>
      </c>
      <c r="C1612">
        <v>37.213775776799999</v>
      </c>
      <c r="D1612">
        <v>-7.0236288238100002</v>
      </c>
      <c r="E1612">
        <v>1</v>
      </c>
      <c r="F1612">
        <v>2</v>
      </c>
      <c r="G1612">
        <v>2</v>
      </c>
      <c r="J1612" t="s">
        <v>15</v>
      </c>
      <c r="K1612">
        <v>2</v>
      </c>
      <c r="L1612">
        <v>1.9419999999999999</v>
      </c>
      <c r="M1612">
        <v>0</v>
      </c>
      <c r="N1612" t="s">
        <v>10019</v>
      </c>
      <c r="O1612" t="str">
        <f>HYPERLINK("2\1\marker_722_376228.png", "Ver Imagen")</f>
        <v>Ver Imagen</v>
      </c>
      <c r="P1612" t="str">
        <f>HYPERLINK("SE\A-497\A-497__487.png", "Ver Imagen")</f>
        <v>Ver Imagen</v>
      </c>
    </row>
    <row r="1613" spans="1:16" x14ac:dyDescent="0.25">
      <c r="A1613">
        <v>1029</v>
      </c>
      <c r="B1613" t="s">
        <v>2070</v>
      </c>
      <c r="C1613">
        <v>37.225655604899998</v>
      </c>
      <c r="D1613">
        <v>-7.0232940714799996</v>
      </c>
      <c r="E1613">
        <v>1</v>
      </c>
      <c r="F1613">
        <v>2</v>
      </c>
      <c r="G1613">
        <v>2</v>
      </c>
      <c r="J1613" t="s">
        <v>15</v>
      </c>
      <c r="K1613">
        <v>2</v>
      </c>
      <c r="L1613">
        <v>2.1190000000000002</v>
      </c>
      <c r="M1613">
        <v>0</v>
      </c>
      <c r="N1613" t="s">
        <v>10019</v>
      </c>
      <c r="O1613" t="str">
        <f>HYPERLINK("2\1\marker_628_363142.png", "Ver Imagen")</f>
        <v>Ver Imagen</v>
      </c>
      <c r="P1613" t="str">
        <f>HYPERLINK("SE\A-497_2C\A-497_2C__423.png", "Ver Imagen")</f>
        <v>Ver Imagen</v>
      </c>
    </row>
    <row r="1614" spans="1:16" x14ac:dyDescent="0.25">
      <c r="A1614">
        <v>1030</v>
      </c>
      <c r="B1614" t="s">
        <v>2072</v>
      </c>
      <c r="C1614">
        <v>37.224861326599999</v>
      </c>
      <c r="D1614">
        <v>-7.0233927390300002</v>
      </c>
      <c r="E1614">
        <v>1</v>
      </c>
      <c r="F1614">
        <v>2</v>
      </c>
      <c r="G1614">
        <v>2</v>
      </c>
      <c r="J1614" t="s">
        <v>15</v>
      </c>
      <c r="K1614">
        <v>2</v>
      </c>
      <c r="L1614">
        <v>2.1440000000000001</v>
      </c>
      <c r="M1614">
        <v>0</v>
      </c>
      <c r="N1614" t="s">
        <v>10017</v>
      </c>
      <c r="O1614" t="str">
        <f>HYPERLINK("2\1\marker_109_363178.png", "Ver Imagen")</f>
        <v>Ver Imagen</v>
      </c>
      <c r="P1614" t="str">
        <f>HYPERLINK("SE\A-497_2C\A-497_2C__427.png", "Ver Imagen")</f>
        <v>Ver Imagen</v>
      </c>
    </row>
    <row r="1615" spans="1:16" x14ac:dyDescent="0.25">
      <c r="A1615">
        <v>1031</v>
      </c>
      <c r="B1615" t="s">
        <v>2074</v>
      </c>
      <c r="C1615">
        <v>37.224499794499998</v>
      </c>
      <c r="D1615">
        <v>-7.0233835085900003</v>
      </c>
      <c r="E1615">
        <v>1</v>
      </c>
      <c r="F1615">
        <v>2</v>
      </c>
      <c r="G1615">
        <v>2</v>
      </c>
      <c r="J1615" t="s">
        <v>15</v>
      </c>
      <c r="K1615">
        <v>2</v>
      </c>
      <c r="L1615">
        <v>2.0299999999999998</v>
      </c>
      <c r="M1615">
        <v>0</v>
      </c>
      <c r="N1615" t="s">
        <v>10019</v>
      </c>
      <c r="O1615" t="str">
        <f>HYPERLINK("2\1\marker_987_363198.png", "Ver Imagen")</f>
        <v>Ver Imagen</v>
      </c>
      <c r="P1615" t="str">
        <f>HYPERLINK("SE\A-497_2C\A-497_2C__429.png", "Ver Imagen")</f>
        <v>Ver Imagen</v>
      </c>
    </row>
    <row r="1616" spans="1:16" x14ac:dyDescent="0.25">
      <c r="A1616">
        <v>1033</v>
      </c>
      <c r="B1616" t="s">
        <v>2078</v>
      </c>
      <c r="C1616">
        <v>37.222870288800003</v>
      </c>
      <c r="D1616">
        <v>-7.0232363076100004</v>
      </c>
      <c r="E1616">
        <v>1</v>
      </c>
      <c r="F1616">
        <v>2</v>
      </c>
      <c r="G1616">
        <v>2</v>
      </c>
      <c r="J1616" t="s">
        <v>15</v>
      </c>
      <c r="K1616">
        <v>2</v>
      </c>
      <c r="L1616">
        <v>2.2839999999999998</v>
      </c>
      <c r="M1616">
        <v>0</v>
      </c>
      <c r="N1616" t="s">
        <v>10019</v>
      </c>
      <c r="O1616" t="str">
        <f>HYPERLINK("2\1\marker_904_363281.png", "Ver Imagen")</f>
        <v>Ver Imagen</v>
      </c>
      <c r="P1616" t="str">
        <f>HYPERLINK("SE\A-497_2C\A-497_2C__437.png", "Ver Imagen")</f>
        <v>Ver Imagen</v>
      </c>
    </row>
    <row r="1617" spans="1:16" x14ac:dyDescent="0.25">
      <c r="A1617">
        <v>1034</v>
      </c>
      <c r="B1617" t="s">
        <v>2080</v>
      </c>
      <c r="C1617">
        <v>37.222279780599997</v>
      </c>
      <c r="D1617">
        <v>-7.0231762911100004</v>
      </c>
      <c r="E1617">
        <v>1</v>
      </c>
      <c r="F1617">
        <v>2</v>
      </c>
      <c r="G1617">
        <v>2</v>
      </c>
      <c r="J1617" t="s">
        <v>15</v>
      </c>
      <c r="K1617">
        <v>2</v>
      </c>
      <c r="L1617">
        <v>2.323</v>
      </c>
      <c r="M1617">
        <v>0</v>
      </c>
      <c r="N1617" t="s">
        <v>10019</v>
      </c>
      <c r="O1617" t="str">
        <f>HYPERLINK("2\1\marker_525_363307.png", "Ver Imagen")</f>
        <v>Ver Imagen</v>
      </c>
      <c r="P1617" t="str">
        <f>HYPERLINK("SE\A-497_2C\A-497_2C__440.png", "Ver Imagen")</f>
        <v>Ver Imagen</v>
      </c>
    </row>
    <row r="1618" spans="1:16" x14ac:dyDescent="0.25">
      <c r="A1618">
        <v>1035</v>
      </c>
      <c r="B1618" t="s">
        <v>2082</v>
      </c>
      <c r="C1618">
        <v>37.222067893999998</v>
      </c>
      <c r="D1618">
        <v>-7.0231542963100004</v>
      </c>
      <c r="E1618">
        <v>1</v>
      </c>
      <c r="F1618">
        <v>2</v>
      </c>
      <c r="G1618">
        <v>2</v>
      </c>
      <c r="J1618" t="s">
        <v>15</v>
      </c>
      <c r="K1618">
        <v>2</v>
      </c>
      <c r="L1618">
        <v>2.1469999999999998</v>
      </c>
      <c r="M1618">
        <v>0</v>
      </c>
      <c r="N1618" t="s">
        <v>10019</v>
      </c>
      <c r="O1618" t="str">
        <f>HYPERLINK("2\1\marker_120_363319.png", "Ver Imagen")</f>
        <v>Ver Imagen</v>
      </c>
      <c r="P1618" t="str">
        <f>HYPERLINK("SE\A-497_2C\A-497_2C__441.png", "Ver Imagen")</f>
        <v>Ver Imagen</v>
      </c>
    </row>
    <row r="1619" spans="1:16" x14ac:dyDescent="0.25">
      <c r="A1619">
        <v>1039</v>
      </c>
      <c r="B1619" t="s">
        <v>2090</v>
      </c>
      <c r="C1619">
        <v>37.2214634511</v>
      </c>
      <c r="D1619">
        <v>-7.0229132453999998</v>
      </c>
      <c r="E1619">
        <v>1</v>
      </c>
      <c r="F1619">
        <v>2</v>
      </c>
      <c r="G1619">
        <v>2</v>
      </c>
      <c r="J1619" t="s">
        <v>15</v>
      </c>
      <c r="K1619">
        <v>2</v>
      </c>
      <c r="L1619">
        <v>2.4249999999999998</v>
      </c>
      <c r="M1619">
        <v>0</v>
      </c>
      <c r="N1619" t="s">
        <v>10019</v>
      </c>
      <c r="O1619" t="str">
        <f>HYPERLINK("2\1\marker_107_376698.png", "Ver Imagen")</f>
        <v>Ver Imagen</v>
      </c>
      <c r="P1619" t="str">
        <f>HYPERLINK("SE\A-497\A-497__449.png", "Ver Imagen")</f>
        <v>Ver Imagen</v>
      </c>
    </row>
    <row r="1620" spans="1:16" x14ac:dyDescent="0.25">
      <c r="A1620">
        <v>1040</v>
      </c>
      <c r="B1620" t="s">
        <v>2092</v>
      </c>
      <c r="C1620">
        <v>37.205362883600003</v>
      </c>
      <c r="D1620">
        <v>-7.0178311465299998</v>
      </c>
      <c r="E1620">
        <v>1</v>
      </c>
      <c r="F1620">
        <v>2</v>
      </c>
      <c r="G1620">
        <v>2</v>
      </c>
      <c r="J1620" t="s">
        <v>15</v>
      </c>
      <c r="K1620">
        <v>2</v>
      </c>
      <c r="L1620">
        <v>1.946</v>
      </c>
      <c r="M1620">
        <v>0</v>
      </c>
      <c r="N1620" t="s">
        <v>10019</v>
      </c>
      <c r="O1620" t="str">
        <f>HYPERLINK("2\1\marker_251_364483.png", "Ver Imagen")</f>
        <v>Ver Imagen</v>
      </c>
      <c r="P1620" t="str">
        <f>HYPERLINK("SE\A-497_2C\A-497_2C__535.png", "Ver Imagen")</f>
        <v>Ver Imagen</v>
      </c>
    </row>
    <row r="1621" spans="1:16" x14ac:dyDescent="0.25">
      <c r="A1621">
        <v>1042</v>
      </c>
      <c r="B1621" t="s">
        <v>2096</v>
      </c>
      <c r="C1621">
        <v>37.227877315100002</v>
      </c>
      <c r="D1621">
        <v>-7.0218685991900003</v>
      </c>
      <c r="E1621">
        <v>2</v>
      </c>
      <c r="F1621">
        <v>2</v>
      </c>
      <c r="G1621">
        <v>1</v>
      </c>
      <c r="J1621" t="s">
        <v>15</v>
      </c>
      <c r="K1621">
        <v>2</v>
      </c>
      <c r="L1621">
        <v>1.7969999999999999</v>
      </c>
      <c r="M1621">
        <v>0</v>
      </c>
      <c r="N1621" t="s">
        <v>10019</v>
      </c>
      <c r="O1621" t="str">
        <f>HYPERLINK("2\1\marker_304_377049.png", "Ver Imagen")</f>
        <v>Ver Imagen</v>
      </c>
      <c r="P1621" t="str">
        <f>HYPERLINK("SE\A-497\A-497__416.png", "Ver Imagen")</f>
        <v>Ver Imagen</v>
      </c>
    </row>
    <row r="1622" spans="1:16" x14ac:dyDescent="0.25">
      <c r="A1622">
        <v>1043</v>
      </c>
      <c r="B1622" t="s">
        <v>2098</v>
      </c>
      <c r="C1622">
        <v>37.265152051199998</v>
      </c>
      <c r="D1622">
        <v>-6.9973733534699996</v>
      </c>
      <c r="E1622">
        <v>1</v>
      </c>
      <c r="F1622">
        <v>2</v>
      </c>
      <c r="G1622">
        <v>2</v>
      </c>
      <c r="J1622" t="s">
        <v>15</v>
      </c>
      <c r="K1622">
        <v>2</v>
      </c>
      <c r="L1622">
        <v>1.843</v>
      </c>
      <c r="M1622">
        <v>0</v>
      </c>
      <c r="N1622" t="s">
        <v>10019</v>
      </c>
      <c r="O1622" t="str">
        <f>HYPERLINK("2\1\marker_717_379620.png", "Ver Imagen")</f>
        <v>Ver Imagen</v>
      </c>
      <c r="P1622" t="str">
        <f>HYPERLINK("SE\A-497\A-497__182.png", "Ver Imagen")</f>
        <v>Ver Imagen</v>
      </c>
    </row>
    <row r="1623" spans="1:16" x14ac:dyDescent="0.25">
      <c r="A1623">
        <v>1044</v>
      </c>
      <c r="B1623" t="s">
        <v>2100</v>
      </c>
      <c r="C1623">
        <v>37.265194511200001</v>
      </c>
      <c r="D1623">
        <v>-6.9971395582599998</v>
      </c>
      <c r="E1623">
        <v>1</v>
      </c>
      <c r="F1623">
        <v>2</v>
      </c>
      <c r="G1623">
        <v>2</v>
      </c>
      <c r="J1623" t="s">
        <v>15</v>
      </c>
      <c r="K1623">
        <v>2</v>
      </c>
      <c r="L1623">
        <v>1.8069999999999999</v>
      </c>
      <c r="M1623">
        <v>0</v>
      </c>
      <c r="N1623" t="s">
        <v>10019</v>
      </c>
      <c r="O1623" t="str">
        <f>HYPERLINK("2\1\marker_529_379629.png", "Ver Imagen")</f>
        <v>Ver Imagen</v>
      </c>
      <c r="P1623" t="str">
        <f>HYPERLINK("SE\A-497\A-497__181.png", "Ver Imagen")</f>
        <v>Ver Imagen</v>
      </c>
    </row>
    <row r="1624" spans="1:16" x14ac:dyDescent="0.25">
      <c r="A1624">
        <v>1045</v>
      </c>
      <c r="B1624" t="s">
        <v>2102</v>
      </c>
      <c r="C1624">
        <v>37.265327779400003</v>
      </c>
      <c r="D1624">
        <v>-6.9964138952599999</v>
      </c>
      <c r="E1624">
        <v>2</v>
      </c>
      <c r="F1624">
        <v>2</v>
      </c>
      <c r="G1624">
        <v>1</v>
      </c>
      <c r="J1624" t="s">
        <v>15</v>
      </c>
      <c r="K1624">
        <v>2</v>
      </c>
      <c r="L1624">
        <v>1.788</v>
      </c>
      <c r="M1624">
        <v>0</v>
      </c>
      <c r="N1624" t="s">
        <v>10019</v>
      </c>
      <c r="O1624" t="str">
        <f>HYPERLINK("2\1\marker_465_379664.png", "Ver Imagen")</f>
        <v>Ver Imagen</v>
      </c>
      <c r="P1624" t="str">
        <f>HYPERLINK("SE\A-497\A-497__178.png", "Ver Imagen")</f>
        <v>Ver Imagen</v>
      </c>
    </row>
    <row r="1625" spans="1:16" x14ac:dyDescent="0.25">
      <c r="A1625">
        <v>1046</v>
      </c>
      <c r="B1625" t="s">
        <v>2104</v>
      </c>
      <c r="C1625">
        <v>37.266042755900003</v>
      </c>
      <c r="D1625">
        <v>-6.9932433185400003</v>
      </c>
      <c r="E1625">
        <v>2</v>
      </c>
      <c r="F1625">
        <v>2</v>
      </c>
      <c r="G1625">
        <v>1</v>
      </c>
      <c r="J1625" t="s">
        <v>15</v>
      </c>
      <c r="K1625">
        <v>2</v>
      </c>
      <c r="L1625">
        <v>2.2109999999999999</v>
      </c>
      <c r="M1625">
        <v>0</v>
      </c>
      <c r="N1625" t="s">
        <v>10019</v>
      </c>
      <c r="O1625" t="str">
        <f>HYPERLINK("2\1\marker_532_380200.png", "Ver Imagen")</f>
        <v>Ver Imagen</v>
      </c>
      <c r="P1625" t="str">
        <f>HYPERLINK("SE\A-497\A-497__165.png", "Ver Imagen")</f>
        <v>Ver Imagen</v>
      </c>
    </row>
    <row r="1626" spans="1:16" x14ac:dyDescent="0.25">
      <c r="A1626">
        <v>1047</v>
      </c>
      <c r="B1626" t="s">
        <v>2106</v>
      </c>
      <c r="C1626">
        <v>37.266143790500003</v>
      </c>
      <c r="D1626">
        <v>-6.9930120767900004</v>
      </c>
      <c r="E1626">
        <v>2</v>
      </c>
      <c r="F1626">
        <v>2</v>
      </c>
      <c r="G1626">
        <v>1</v>
      </c>
      <c r="J1626" t="s">
        <v>15</v>
      </c>
      <c r="K1626">
        <v>2</v>
      </c>
      <c r="L1626">
        <v>1.879</v>
      </c>
      <c r="M1626">
        <v>0</v>
      </c>
      <c r="N1626" t="s">
        <v>10019</v>
      </c>
      <c r="O1626" t="str">
        <f>HYPERLINK("2\1\marker_129_380213.png", "Ver Imagen")</f>
        <v>Ver Imagen</v>
      </c>
      <c r="P1626" t="str">
        <f>HYPERLINK("SE\A-497\A-497__164.png", "Ver Imagen")</f>
        <v>Ver Imagen</v>
      </c>
    </row>
    <row r="1627" spans="1:16" x14ac:dyDescent="0.25">
      <c r="A1627">
        <v>1049</v>
      </c>
      <c r="B1627" t="s">
        <v>2110</v>
      </c>
      <c r="C1627">
        <v>37.267907039599997</v>
      </c>
      <c r="D1627">
        <v>-6.9909463552100002</v>
      </c>
      <c r="E1627">
        <v>2</v>
      </c>
      <c r="F1627">
        <v>2</v>
      </c>
      <c r="G1627">
        <v>1</v>
      </c>
      <c r="J1627" t="s">
        <v>15</v>
      </c>
      <c r="K1627">
        <v>2</v>
      </c>
      <c r="L1627">
        <v>2.09</v>
      </c>
      <c r="M1627">
        <v>0</v>
      </c>
      <c r="N1627" t="s">
        <v>10019</v>
      </c>
      <c r="O1627" t="str">
        <f>HYPERLINK("2\1\marker_846_380325.png", "Ver Imagen")</f>
        <v>Ver Imagen</v>
      </c>
      <c r="P1627" t="str">
        <f>HYPERLINK("SE\A-497\A-497__152.png", "Ver Imagen")</f>
        <v>Ver Imagen</v>
      </c>
    </row>
    <row r="1628" spans="1:16" x14ac:dyDescent="0.25">
      <c r="A1628">
        <v>1050</v>
      </c>
      <c r="B1628" t="s">
        <v>2112</v>
      </c>
      <c r="C1628">
        <v>37.446172932899998</v>
      </c>
      <c r="D1628">
        <v>-7.1354613319400002</v>
      </c>
      <c r="E1628">
        <v>2</v>
      </c>
      <c r="F1628">
        <v>2</v>
      </c>
      <c r="G1628">
        <v>3</v>
      </c>
      <c r="J1628" t="s">
        <v>15</v>
      </c>
      <c r="K1628">
        <v>2</v>
      </c>
      <c r="L1628">
        <v>2.3759999999999999</v>
      </c>
      <c r="M1628">
        <v>0</v>
      </c>
      <c r="N1628" t="s">
        <v>10019</v>
      </c>
      <c r="O1628" t="str">
        <f>HYPERLINK("2\1\marker_763_731097.png", "Ver Imagen")</f>
        <v>Ver Imagen</v>
      </c>
      <c r="P1628" t="str">
        <f>HYPERLINK("NE\A-490\A-490__37.png", "Ver Imagen")</f>
        <v>Ver Imagen</v>
      </c>
    </row>
    <row r="1629" spans="1:16" x14ac:dyDescent="0.25">
      <c r="A1629">
        <v>1051</v>
      </c>
      <c r="B1629" t="s">
        <v>2114</v>
      </c>
      <c r="C1629">
        <v>37.446145800099998</v>
      </c>
      <c r="D1629">
        <v>-7.1359771447</v>
      </c>
      <c r="E1629">
        <v>2</v>
      </c>
      <c r="F1629">
        <v>3</v>
      </c>
      <c r="G1629">
        <v>2</v>
      </c>
      <c r="J1629" t="s">
        <v>15</v>
      </c>
      <c r="K1629">
        <v>2</v>
      </c>
      <c r="L1629">
        <v>2.0369999999999999</v>
      </c>
      <c r="M1629">
        <v>0</v>
      </c>
      <c r="N1629" t="s">
        <v>10019</v>
      </c>
      <c r="O1629" t="str">
        <f>HYPERLINK("2\1\marker_261_731147.png", "Ver Imagen")</f>
        <v>Ver Imagen</v>
      </c>
      <c r="P1629" t="str">
        <f>HYPERLINK("NE\A-490\A-490__39.png", "Ver Imagen")</f>
        <v>Ver Imagen</v>
      </c>
    </row>
    <row r="1630" spans="1:16" x14ac:dyDescent="0.25">
      <c r="A1630">
        <v>1052</v>
      </c>
      <c r="B1630" t="s">
        <v>2116</v>
      </c>
      <c r="C1630">
        <v>37.448369655299999</v>
      </c>
      <c r="D1630">
        <v>-7.1424401212899999</v>
      </c>
      <c r="E1630">
        <v>2</v>
      </c>
      <c r="F1630">
        <v>3</v>
      </c>
      <c r="G1630">
        <v>2</v>
      </c>
      <c r="J1630" t="s">
        <v>15</v>
      </c>
      <c r="K1630">
        <v>2</v>
      </c>
      <c r="L1630">
        <v>2.0569999999999999</v>
      </c>
      <c r="M1630">
        <v>0</v>
      </c>
      <c r="N1630" t="s">
        <v>10019</v>
      </c>
      <c r="O1630" t="str">
        <f>HYPERLINK("2\1\marker_393_738075.png", "Ver Imagen")</f>
        <v>Ver Imagen</v>
      </c>
      <c r="P1630" t="str">
        <f>HYPERLINK("NE\A-490\A-490__67.png", "Ver Imagen")</f>
        <v>Ver Imagen</v>
      </c>
    </row>
    <row r="1631" spans="1:16" x14ac:dyDescent="0.25">
      <c r="A1631">
        <v>1053</v>
      </c>
      <c r="B1631" t="s">
        <v>2118</v>
      </c>
      <c r="C1631">
        <v>37.451974106999998</v>
      </c>
      <c r="D1631">
        <v>-7.15817127559</v>
      </c>
      <c r="E1631">
        <v>1</v>
      </c>
      <c r="F1631">
        <v>2</v>
      </c>
      <c r="G1631">
        <v>2</v>
      </c>
      <c r="J1631" t="s">
        <v>15</v>
      </c>
      <c r="K1631">
        <v>2</v>
      </c>
      <c r="L1631">
        <v>1.911</v>
      </c>
      <c r="M1631">
        <v>0</v>
      </c>
      <c r="N1631" t="s">
        <v>10019</v>
      </c>
      <c r="O1631" t="str">
        <f>HYPERLINK("2\1\marker_125_740302.png", "Ver Imagen")</f>
        <v>Ver Imagen</v>
      </c>
      <c r="P1631" t="str">
        <f>HYPERLINK("NE\A-490\A-490__133.png", "Ver Imagen")</f>
        <v>Ver Imagen</v>
      </c>
    </row>
    <row r="1632" spans="1:16" x14ac:dyDescent="0.25">
      <c r="A1632">
        <v>1054</v>
      </c>
      <c r="B1632" t="s">
        <v>2120</v>
      </c>
      <c r="C1632">
        <v>37.452132713899999</v>
      </c>
      <c r="D1632">
        <v>-7.1589062444699998</v>
      </c>
      <c r="E1632">
        <v>2</v>
      </c>
      <c r="F1632">
        <v>3</v>
      </c>
      <c r="G1632">
        <v>2</v>
      </c>
      <c r="J1632" t="s">
        <v>15</v>
      </c>
      <c r="K1632">
        <v>2</v>
      </c>
      <c r="L1632">
        <v>2.1930000000000001</v>
      </c>
      <c r="M1632">
        <v>0</v>
      </c>
      <c r="N1632" t="s">
        <v>10019</v>
      </c>
      <c r="O1632" t="str">
        <f>HYPERLINK("2\1\marker_520_740429.png", "Ver Imagen")</f>
        <v>Ver Imagen</v>
      </c>
      <c r="P1632" t="str">
        <f>HYPERLINK("NE\A-490\A-490__136.png", "Ver Imagen")</f>
        <v>Ver Imagen</v>
      </c>
    </row>
    <row r="1633" spans="1:16" x14ac:dyDescent="0.25">
      <c r="A1633">
        <v>1057</v>
      </c>
      <c r="B1633" t="s">
        <v>2126</v>
      </c>
      <c r="C1633">
        <v>37.453275153699998</v>
      </c>
      <c r="D1633">
        <v>-7.16233579881</v>
      </c>
      <c r="E1633">
        <v>2</v>
      </c>
      <c r="F1633">
        <v>2</v>
      </c>
      <c r="G1633">
        <v>3</v>
      </c>
      <c r="J1633" t="s">
        <v>15</v>
      </c>
      <c r="K1633">
        <v>2</v>
      </c>
      <c r="L1633">
        <v>2.339</v>
      </c>
      <c r="M1633">
        <v>0</v>
      </c>
      <c r="N1633" t="s">
        <v>10019</v>
      </c>
      <c r="O1633" t="str">
        <f>HYPERLINK("2\1\marker_246_740774.png", "Ver Imagen")</f>
        <v>Ver Imagen</v>
      </c>
      <c r="P1633" t="str">
        <f>HYPERLINK("NE\A-490\A-490__151.png", "Ver Imagen")</f>
        <v>Ver Imagen</v>
      </c>
    </row>
    <row r="1634" spans="1:16" x14ac:dyDescent="0.25">
      <c r="A1634">
        <v>1058</v>
      </c>
      <c r="B1634" t="s">
        <v>2128</v>
      </c>
      <c r="C1634">
        <v>37.454268821699998</v>
      </c>
      <c r="D1634">
        <v>-7.1643063283500004</v>
      </c>
      <c r="E1634">
        <v>1</v>
      </c>
      <c r="F1634">
        <v>2</v>
      </c>
      <c r="G1634">
        <v>2</v>
      </c>
      <c r="J1634" t="s">
        <v>15</v>
      </c>
      <c r="K1634">
        <v>2</v>
      </c>
      <c r="L1634">
        <v>1.9930000000000001</v>
      </c>
      <c r="M1634">
        <v>0</v>
      </c>
      <c r="N1634" t="s">
        <v>10019</v>
      </c>
      <c r="O1634" t="str">
        <f>HYPERLINK("2\1\marker_841_741225.png", "Ver Imagen")</f>
        <v>Ver Imagen</v>
      </c>
      <c r="P1634" t="str">
        <f>HYPERLINK("NE\A-490\A-490__160.png", "Ver Imagen")</f>
        <v>Ver Imagen</v>
      </c>
    </row>
    <row r="1635" spans="1:16" x14ac:dyDescent="0.25">
      <c r="A1635">
        <v>1059</v>
      </c>
      <c r="B1635" t="s">
        <v>2130</v>
      </c>
      <c r="C1635">
        <v>37.454399303999999</v>
      </c>
      <c r="D1635">
        <v>-7.1645646859600003</v>
      </c>
      <c r="E1635">
        <v>1</v>
      </c>
      <c r="F1635">
        <v>2</v>
      </c>
      <c r="G1635">
        <v>2</v>
      </c>
      <c r="J1635" t="s">
        <v>15</v>
      </c>
      <c r="K1635">
        <v>2</v>
      </c>
      <c r="L1635">
        <v>2.0619999999999998</v>
      </c>
      <c r="M1635">
        <v>0</v>
      </c>
      <c r="N1635" t="s">
        <v>10017</v>
      </c>
      <c r="O1635" t="str">
        <f>HYPERLINK("2\1\marker_115_741250.png", "Ver Imagen")</f>
        <v>Ver Imagen</v>
      </c>
      <c r="P1635" t="str">
        <f>HYPERLINK("NE\A-490\A-490__161.png", "Ver Imagen")</f>
        <v>Ver Imagen</v>
      </c>
    </row>
    <row r="1636" spans="1:16" x14ac:dyDescent="0.25">
      <c r="A1636">
        <v>1060</v>
      </c>
      <c r="B1636" t="s">
        <v>2132</v>
      </c>
      <c r="C1636">
        <v>37.4555439843</v>
      </c>
      <c r="D1636">
        <v>-7.1662405438599999</v>
      </c>
      <c r="E1636">
        <v>2</v>
      </c>
      <c r="F1636">
        <v>3</v>
      </c>
      <c r="G1636">
        <v>2</v>
      </c>
      <c r="J1636" t="s">
        <v>15</v>
      </c>
      <c r="K1636">
        <v>2</v>
      </c>
      <c r="L1636">
        <v>1.742</v>
      </c>
      <c r="M1636">
        <v>0</v>
      </c>
      <c r="N1636" t="s">
        <v>10019</v>
      </c>
      <c r="O1636" t="str">
        <f>HYPERLINK("2\1\marker_337_741485.png", "Ver Imagen")</f>
        <v>Ver Imagen</v>
      </c>
      <c r="P1636" t="str">
        <f>HYPERLINK("NE\A-490\A-490__170.png", "Ver Imagen")</f>
        <v>Ver Imagen</v>
      </c>
    </row>
    <row r="1637" spans="1:16" x14ac:dyDescent="0.25">
      <c r="A1637">
        <v>1062</v>
      </c>
      <c r="B1637" t="s">
        <v>2136</v>
      </c>
      <c r="C1637">
        <v>37.461469815599997</v>
      </c>
      <c r="D1637">
        <v>-7.1742602281899996</v>
      </c>
      <c r="E1637">
        <v>2</v>
      </c>
      <c r="F1637">
        <v>3</v>
      </c>
      <c r="G1637">
        <v>2</v>
      </c>
      <c r="J1637" t="s">
        <v>15</v>
      </c>
      <c r="K1637">
        <v>2</v>
      </c>
      <c r="L1637">
        <v>1.9410000000000001</v>
      </c>
      <c r="M1637">
        <v>0</v>
      </c>
      <c r="N1637" t="s">
        <v>10019</v>
      </c>
      <c r="O1637" t="str">
        <f>HYPERLINK("2\1\marker_981_742847.png", "Ver Imagen")</f>
        <v>Ver Imagen</v>
      </c>
      <c r="P1637" t="str">
        <f>HYPERLINK("NE\A-490\A-490__213.png", "Ver Imagen")</f>
        <v>Ver Imagen</v>
      </c>
    </row>
    <row r="1638" spans="1:16" x14ac:dyDescent="0.25">
      <c r="A1638">
        <v>1063</v>
      </c>
      <c r="B1638" t="s">
        <v>2138</v>
      </c>
      <c r="C1638">
        <v>37.462329194799999</v>
      </c>
      <c r="D1638">
        <v>-7.1756699491999996</v>
      </c>
      <c r="E1638">
        <v>2</v>
      </c>
      <c r="F1638">
        <v>3</v>
      </c>
      <c r="G1638">
        <v>2</v>
      </c>
      <c r="J1638" t="s">
        <v>15</v>
      </c>
      <c r="K1638">
        <v>2</v>
      </c>
      <c r="L1638">
        <v>1.86</v>
      </c>
      <c r="M1638">
        <v>0</v>
      </c>
      <c r="N1638" t="s">
        <v>10019</v>
      </c>
      <c r="O1638" t="str">
        <f>HYPERLINK("2\1\marker_757_743361.png", "Ver Imagen")</f>
        <v>Ver Imagen</v>
      </c>
      <c r="P1638" t="str">
        <f>HYPERLINK("NE\A-490\A-490__220.png", "Ver Imagen")</f>
        <v>Ver Imagen</v>
      </c>
    </row>
    <row r="1639" spans="1:16" x14ac:dyDescent="0.25">
      <c r="A1639">
        <v>1065</v>
      </c>
      <c r="B1639" t="s">
        <v>2142</v>
      </c>
      <c r="C1639">
        <v>37.447378921400002</v>
      </c>
      <c r="D1639">
        <v>-7.1402554899000004</v>
      </c>
      <c r="E1639">
        <v>2</v>
      </c>
      <c r="F1639">
        <v>2</v>
      </c>
      <c r="G1639">
        <v>3</v>
      </c>
      <c r="J1639" t="s">
        <v>15</v>
      </c>
      <c r="K1639">
        <v>2</v>
      </c>
      <c r="L1639">
        <v>1.9239999999999999</v>
      </c>
      <c r="M1639">
        <v>0</v>
      </c>
      <c r="N1639" t="s">
        <v>10019</v>
      </c>
      <c r="O1639" t="str">
        <f>HYPERLINK("2\1\marker_119_737820.png", "Ver Imagen")</f>
        <v>Ver Imagen</v>
      </c>
      <c r="P1639" t="str">
        <f>HYPERLINK("NE\A-490\A-490__57.png", "Ver Imagen")</f>
        <v>Ver Imagen</v>
      </c>
    </row>
    <row r="1640" spans="1:16" x14ac:dyDescent="0.25">
      <c r="A1640">
        <v>1066</v>
      </c>
      <c r="B1640" t="s">
        <v>2144</v>
      </c>
      <c r="C1640">
        <v>37.4786322932</v>
      </c>
      <c r="D1640">
        <v>-7.2071834993800001</v>
      </c>
      <c r="E1640">
        <v>2</v>
      </c>
      <c r="F1640">
        <v>3</v>
      </c>
      <c r="G1640">
        <v>2</v>
      </c>
      <c r="J1640" t="s">
        <v>15</v>
      </c>
      <c r="K1640">
        <v>2</v>
      </c>
      <c r="L1640">
        <v>2.0099999999999998</v>
      </c>
      <c r="M1640">
        <v>0</v>
      </c>
      <c r="N1640" t="s">
        <v>10019</v>
      </c>
      <c r="O1640" t="str">
        <f>HYPERLINK("2\1\marker_833_752056.png", "Ver Imagen")</f>
        <v>Ver Imagen</v>
      </c>
      <c r="P1640" t="str">
        <f>HYPERLINK("NO\A-490\A-490__368.png", "Ver Imagen")</f>
        <v>Ver Imagen</v>
      </c>
    </row>
    <row r="1641" spans="1:16" x14ac:dyDescent="0.25">
      <c r="A1641">
        <v>1067</v>
      </c>
      <c r="B1641" t="s">
        <v>2146</v>
      </c>
      <c r="C1641">
        <v>37.4826754901</v>
      </c>
      <c r="D1641">
        <v>-7.2185206148300001</v>
      </c>
      <c r="E1641">
        <v>2</v>
      </c>
      <c r="F1641">
        <v>1</v>
      </c>
      <c r="G1641">
        <v>2</v>
      </c>
      <c r="J1641" t="s">
        <v>15</v>
      </c>
      <c r="K1641">
        <v>2</v>
      </c>
      <c r="L1641">
        <v>2.0190000000000001</v>
      </c>
      <c r="M1641">
        <v>0</v>
      </c>
      <c r="N1641" t="s">
        <v>10019</v>
      </c>
      <c r="O1641" t="str">
        <f>HYPERLINK("2\1\marker_458_754248.png", "Ver Imagen")</f>
        <v>Ver Imagen</v>
      </c>
      <c r="P1641" t="str">
        <f>HYPERLINK("NO\A-490\A-490__417.png", "Ver Imagen")</f>
        <v>Ver Imagen</v>
      </c>
    </row>
    <row r="1642" spans="1:16" x14ac:dyDescent="0.25">
      <c r="A1642">
        <v>1068</v>
      </c>
      <c r="B1642" t="s">
        <v>2148</v>
      </c>
      <c r="C1642">
        <v>37.483045549800003</v>
      </c>
      <c r="D1642">
        <v>-7.2204195231300003</v>
      </c>
      <c r="E1642">
        <v>2</v>
      </c>
      <c r="F1642">
        <v>1</v>
      </c>
      <c r="G1642">
        <v>2</v>
      </c>
      <c r="J1642" t="s">
        <v>15</v>
      </c>
      <c r="K1642">
        <v>2</v>
      </c>
      <c r="L1642">
        <v>2.0009999999999999</v>
      </c>
      <c r="M1642">
        <v>0</v>
      </c>
      <c r="N1642" t="s">
        <v>10017</v>
      </c>
      <c r="O1642" t="str">
        <f>HYPERLINK("2\1\marker_867_754377.png", "Ver Imagen")</f>
        <v>Ver Imagen</v>
      </c>
      <c r="P1642" t="str">
        <f>HYPERLINK("NO\A-490\A-490__425.png", "Ver Imagen")</f>
        <v>Ver Imagen</v>
      </c>
    </row>
    <row r="1643" spans="1:16" x14ac:dyDescent="0.25">
      <c r="A1643">
        <v>1069</v>
      </c>
      <c r="B1643" t="s">
        <v>2150</v>
      </c>
      <c r="C1643">
        <v>37.483202342799999</v>
      </c>
      <c r="D1643">
        <v>-7.2211973815999997</v>
      </c>
      <c r="E1643">
        <v>1</v>
      </c>
      <c r="F1643">
        <v>2</v>
      </c>
      <c r="G1643">
        <v>2</v>
      </c>
      <c r="J1643" t="s">
        <v>15</v>
      </c>
      <c r="K1643">
        <v>2</v>
      </c>
      <c r="L1643">
        <v>1.9890000000000001</v>
      </c>
      <c r="M1643">
        <v>0</v>
      </c>
      <c r="N1643" t="s">
        <v>10019</v>
      </c>
      <c r="O1643" t="str">
        <f>HYPERLINK("2\1\marker_442_754446.png", "Ver Imagen")</f>
        <v>Ver Imagen</v>
      </c>
      <c r="P1643" t="str">
        <f>HYPERLINK("NO\A-490\A-490__428.png", "Ver Imagen")</f>
        <v>Ver Imagen</v>
      </c>
    </row>
    <row r="1644" spans="1:16" x14ac:dyDescent="0.25">
      <c r="A1644">
        <v>1070</v>
      </c>
      <c r="B1644" t="s">
        <v>2152</v>
      </c>
      <c r="C1644">
        <v>37.483251472100001</v>
      </c>
      <c r="D1644">
        <v>-7.2214457303800001</v>
      </c>
      <c r="E1644">
        <v>2</v>
      </c>
      <c r="F1644">
        <v>2</v>
      </c>
      <c r="G1644">
        <v>1</v>
      </c>
      <c r="J1644" t="s">
        <v>15</v>
      </c>
      <c r="K1644">
        <v>2</v>
      </c>
      <c r="L1644">
        <v>1.6870000000000001</v>
      </c>
      <c r="M1644">
        <v>0</v>
      </c>
      <c r="N1644" t="s">
        <v>10019</v>
      </c>
      <c r="O1644" t="str">
        <f>HYPERLINK("2\1\marker_148_754462.png", "Ver Imagen")</f>
        <v>Ver Imagen</v>
      </c>
      <c r="P1644" t="str">
        <f>HYPERLINK("NO\A-490\A-490__429.png", "Ver Imagen")</f>
        <v>Ver Imagen</v>
      </c>
    </row>
    <row r="1645" spans="1:16" x14ac:dyDescent="0.25">
      <c r="A1645">
        <v>1071</v>
      </c>
      <c r="B1645" t="s">
        <v>2154</v>
      </c>
      <c r="C1645">
        <v>37.483343553899999</v>
      </c>
      <c r="D1645">
        <v>-7.2219134070999997</v>
      </c>
      <c r="E1645">
        <v>2</v>
      </c>
      <c r="F1645">
        <v>1</v>
      </c>
      <c r="G1645">
        <v>2</v>
      </c>
      <c r="J1645" t="s">
        <v>15</v>
      </c>
      <c r="K1645">
        <v>2</v>
      </c>
      <c r="L1645">
        <v>1.9630000000000001</v>
      </c>
      <c r="M1645">
        <v>0</v>
      </c>
      <c r="N1645" t="s">
        <v>10019</v>
      </c>
      <c r="O1645" t="str">
        <f>HYPERLINK("2\1\marker_331_754499.png", "Ver Imagen")</f>
        <v>Ver Imagen</v>
      </c>
      <c r="P1645" t="str">
        <f>HYPERLINK("NO\A-490\A-490__431.png", "Ver Imagen")</f>
        <v>Ver Imagen</v>
      </c>
    </row>
    <row r="1646" spans="1:16" x14ac:dyDescent="0.25">
      <c r="A1646">
        <v>1072</v>
      </c>
      <c r="B1646" t="s">
        <v>2156</v>
      </c>
      <c r="C1646">
        <v>37.483388380500003</v>
      </c>
      <c r="D1646">
        <v>-7.2221399080999999</v>
      </c>
      <c r="E1646">
        <v>2</v>
      </c>
      <c r="F1646">
        <v>1</v>
      </c>
      <c r="G1646">
        <v>2</v>
      </c>
      <c r="J1646" t="s">
        <v>15</v>
      </c>
      <c r="K1646">
        <v>2</v>
      </c>
      <c r="L1646">
        <v>1.591</v>
      </c>
      <c r="M1646">
        <v>0</v>
      </c>
      <c r="N1646" t="s">
        <v>10019</v>
      </c>
      <c r="O1646" t="str">
        <f>HYPERLINK("2\1\marker_411_754517.png", "Ver Imagen")</f>
        <v>Ver Imagen</v>
      </c>
      <c r="P1646" t="str">
        <f>HYPERLINK("NO\A-490\A-490__432.png", "Ver Imagen")</f>
        <v>Ver Imagen</v>
      </c>
    </row>
    <row r="1647" spans="1:16" x14ac:dyDescent="0.25">
      <c r="A1647">
        <v>1073</v>
      </c>
      <c r="B1647" t="s">
        <v>2158</v>
      </c>
      <c r="C1647">
        <v>37.484110803</v>
      </c>
      <c r="D1647">
        <v>-7.2258791987100004</v>
      </c>
      <c r="E1647">
        <v>1</v>
      </c>
      <c r="F1647">
        <v>2</v>
      </c>
      <c r="G1647">
        <v>2</v>
      </c>
      <c r="J1647" t="s">
        <v>15</v>
      </c>
      <c r="K1647">
        <v>2</v>
      </c>
      <c r="L1647">
        <v>1.8879999999999999</v>
      </c>
      <c r="M1647">
        <v>0</v>
      </c>
      <c r="N1647" t="s">
        <v>10019</v>
      </c>
      <c r="O1647" t="str">
        <f>HYPERLINK("2\1\marker_218_754973.png", "Ver Imagen")</f>
        <v>Ver Imagen</v>
      </c>
      <c r="P1647" t="str">
        <f>HYPERLINK("NO\A-490\A-490__447.png", "Ver Imagen")</f>
        <v>Ver Imagen</v>
      </c>
    </row>
    <row r="1648" spans="1:16" x14ac:dyDescent="0.25">
      <c r="A1648">
        <v>1074</v>
      </c>
      <c r="B1648" t="s">
        <v>2160</v>
      </c>
      <c r="C1648">
        <v>37.484498677300003</v>
      </c>
      <c r="D1648">
        <v>-7.2278759711699996</v>
      </c>
      <c r="E1648">
        <v>1</v>
      </c>
      <c r="F1648">
        <v>2</v>
      </c>
      <c r="G1648">
        <v>2</v>
      </c>
      <c r="J1648" t="s">
        <v>15</v>
      </c>
      <c r="K1648">
        <v>2</v>
      </c>
      <c r="L1648">
        <v>2.1560000000000001</v>
      </c>
      <c r="M1648">
        <v>0</v>
      </c>
      <c r="N1648" t="s">
        <v>10019</v>
      </c>
      <c r="O1648" t="str">
        <f>HYPERLINK("2\1\marker_230_755130.png", "Ver Imagen")</f>
        <v>Ver Imagen</v>
      </c>
      <c r="P1648" t="str">
        <f>HYPERLINK("NO\A-490\A-490__455.png", "Ver Imagen")</f>
        <v>Ver Imagen</v>
      </c>
    </row>
    <row r="1649" spans="1:16" x14ac:dyDescent="0.25">
      <c r="A1649">
        <v>1075</v>
      </c>
      <c r="B1649" t="s">
        <v>2162</v>
      </c>
      <c r="C1649">
        <v>37.484837503599998</v>
      </c>
      <c r="D1649">
        <v>-7.2296107149299997</v>
      </c>
      <c r="E1649">
        <v>2</v>
      </c>
      <c r="F1649">
        <v>2</v>
      </c>
      <c r="G1649">
        <v>1</v>
      </c>
      <c r="J1649" t="s">
        <v>15</v>
      </c>
      <c r="K1649">
        <v>2</v>
      </c>
      <c r="L1649">
        <v>1.887</v>
      </c>
      <c r="M1649">
        <v>0</v>
      </c>
      <c r="N1649" t="s">
        <v>10019</v>
      </c>
      <c r="O1649" t="str">
        <f>HYPERLINK("2\1\marker_668_755252.png", "Ver Imagen")</f>
        <v>Ver Imagen</v>
      </c>
      <c r="P1649" t="str">
        <f>HYPERLINK("NO\A-490\A-490__462.png", "Ver Imagen")</f>
        <v>Ver Imagen</v>
      </c>
    </row>
    <row r="1650" spans="1:16" x14ac:dyDescent="0.25">
      <c r="A1650">
        <v>1076</v>
      </c>
      <c r="B1650" t="s">
        <v>2164</v>
      </c>
      <c r="C1650">
        <v>37.484930216499997</v>
      </c>
      <c r="D1650">
        <v>-7.2300892319400001</v>
      </c>
      <c r="E1650">
        <v>1</v>
      </c>
      <c r="F1650">
        <v>2</v>
      </c>
      <c r="G1650">
        <v>2</v>
      </c>
      <c r="J1650" t="s">
        <v>15</v>
      </c>
      <c r="K1650">
        <v>2</v>
      </c>
      <c r="L1650">
        <v>2.02</v>
      </c>
      <c r="M1650">
        <v>0</v>
      </c>
      <c r="N1650" t="s">
        <v>10019</v>
      </c>
      <c r="O1650" t="str">
        <f>HYPERLINK("2\1\marker_588_755286.png", "Ver Imagen")</f>
        <v>Ver Imagen</v>
      </c>
      <c r="P1650" t="str">
        <f>HYPERLINK("NO\A-490\A-490__464.png", "Ver Imagen")</f>
        <v>Ver Imagen</v>
      </c>
    </row>
    <row r="1651" spans="1:16" x14ac:dyDescent="0.25">
      <c r="A1651">
        <v>1077</v>
      </c>
      <c r="B1651" t="s">
        <v>2166</v>
      </c>
      <c r="C1651">
        <v>37.485213518599998</v>
      </c>
      <c r="D1651">
        <v>-7.2315560145499997</v>
      </c>
      <c r="E1651">
        <v>1</v>
      </c>
      <c r="F1651">
        <v>2</v>
      </c>
      <c r="G1651">
        <v>2</v>
      </c>
      <c r="J1651" t="s">
        <v>15</v>
      </c>
      <c r="K1651">
        <v>2</v>
      </c>
      <c r="L1651">
        <v>1.7250000000000001</v>
      </c>
      <c r="M1651">
        <v>0</v>
      </c>
      <c r="N1651" t="s">
        <v>10019</v>
      </c>
      <c r="O1651" t="str">
        <f>HYPERLINK("2\1\marker_814_755399.png", "Ver Imagen")</f>
        <v>Ver Imagen</v>
      </c>
      <c r="P1651" t="str">
        <f>HYPERLINK("NO\A-490\A-490__470.png", "Ver Imagen")</f>
        <v>Ver Imagen</v>
      </c>
    </row>
    <row r="1652" spans="1:16" x14ac:dyDescent="0.25">
      <c r="A1652">
        <v>1079</v>
      </c>
      <c r="B1652" t="s">
        <v>2170</v>
      </c>
      <c r="C1652">
        <v>37.486482768000002</v>
      </c>
      <c r="D1652">
        <v>-7.2381753529299999</v>
      </c>
      <c r="E1652">
        <v>1</v>
      </c>
      <c r="F1652">
        <v>2</v>
      </c>
      <c r="G1652">
        <v>2</v>
      </c>
      <c r="J1652" t="s">
        <v>15</v>
      </c>
      <c r="K1652">
        <v>2</v>
      </c>
      <c r="L1652">
        <v>1.637</v>
      </c>
      <c r="M1652">
        <v>0</v>
      </c>
      <c r="N1652" t="s">
        <v>10019</v>
      </c>
      <c r="O1652" t="str">
        <f>HYPERLINK("2\1\marker_490_817505.png", "Ver Imagen")</f>
        <v>Ver Imagen</v>
      </c>
      <c r="P1652" t="str">
        <f>HYPERLINK("NO\A-490\A-490__497.png", "Ver Imagen")</f>
        <v>Ver Imagen</v>
      </c>
    </row>
    <row r="1653" spans="1:16" x14ac:dyDescent="0.25">
      <c r="A1653">
        <v>1080</v>
      </c>
      <c r="B1653" t="s">
        <v>2172</v>
      </c>
      <c r="C1653">
        <v>37.486683657599997</v>
      </c>
      <c r="D1653">
        <v>-7.2392218968200002</v>
      </c>
      <c r="E1653">
        <v>1</v>
      </c>
      <c r="F1653">
        <v>2</v>
      </c>
      <c r="G1653">
        <v>2</v>
      </c>
      <c r="J1653" t="s">
        <v>15</v>
      </c>
      <c r="K1653">
        <v>2</v>
      </c>
      <c r="L1653">
        <v>2.4870000000000001</v>
      </c>
      <c r="M1653">
        <v>0</v>
      </c>
      <c r="N1653" t="s">
        <v>10019</v>
      </c>
      <c r="O1653" t="str">
        <f>HYPERLINK("2\1\marker_497_817604.png", "Ver Imagen")</f>
        <v>Ver Imagen</v>
      </c>
      <c r="P1653" t="str">
        <f>HYPERLINK("NO\A-490\A-490__501.png", "Ver Imagen")</f>
        <v>Ver Imagen</v>
      </c>
    </row>
    <row r="1654" spans="1:16" x14ac:dyDescent="0.25">
      <c r="A1654">
        <v>1081</v>
      </c>
      <c r="B1654" t="s">
        <v>2174</v>
      </c>
      <c r="C1654">
        <v>37.486731324899999</v>
      </c>
      <c r="D1654">
        <v>-7.2394618185299997</v>
      </c>
      <c r="E1654">
        <v>1</v>
      </c>
      <c r="F1654">
        <v>2</v>
      </c>
      <c r="G1654">
        <v>2</v>
      </c>
      <c r="J1654" t="s">
        <v>15</v>
      </c>
      <c r="K1654">
        <v>2</v>
      </c>
      <c r="L1654">
        <v>1.9119999999999999</v>
      </c>
      <c r="M1654">
        <v>0</v>
      </c>
      <c r="N1654" t="s">
        <v>10019</v>
      </c>
      <c r="O1654" t="str">
        <f>HYPERLINK("2\1\marker_782_817623.png", "Ver Imagen")</f>
        <v>Ver Imagen</v>
      </c>
      <c r="P1654" t="str">
        <f>HYPERLINK("NO\A-490\A-490__502.png", "Ver Imagen")</f>
        <v>Ver Imagen</v>
      </c>
    </row>
    <row r="1655" spans="1:16" x14ac:dyDescent="0.25">
      <c r="A1655">
        <v>1082</v>
      </c>
      <c r="B1655" t="s">
        <v>2176</v>
      </c>
      <c r="C1655">
        <v>37.4867795734</v>
      </c>
      <c r="D1655">
        <v>-7.2397026844500001</v>
      </c>
      <c r="E1655">
        <v>1</v>
      </c>
      <c r="F1655">
        <v>2</v>
      </c>
      <c r="G1655">
        <v>2</v>
      </c>
      <c r="J1655" t="s">
        <v>15</v>
      </c>
      <c r="K1655">
        <v>2</v>
      </c>
      <c r="L1655">
        <v>1.786</v>
      </c>
      <c r="M1655">
        <v>0</v>
      </c>
      <c r="N1655" t="s">
        <v>10019</v>
      </c>
      <c r="O1655" t="str">
        <f>HYPERLINK("2\1\marker_821_817638.png", "Ver Imagen")</f>
        <v>Ver Imagen</v>
      </c>
      <c r="P1655" t="str">
        <f>HYPERLINK("NO\A-490\A-490__503.png", "Ver Imagen")</f>
        <v>Ver Imagen</v>
      </c>
    </row>
    <row r="1656" spans="1:16" x14ac:dyDescent="0.25">
      <c r="A1656">
        <v>1083</v>
      </c>
      <c r="B1656" t="s">
        <v>2178</v>
      </c>
      <c r="C1656">
        <v>37.486928915599997</v>
      </c>
      <c r="D1656">
        <v>-7.2404904345899999</v>
      </c>
      <c r="E1656">
        <v>1</v>
      </c>
      <c r="F1656">
        <v>2</v>
      </c>
      <c r="G1656">
        <v>2</v>
      </c>
      <c r="J1656" t="s">
        <v>15</v>
      </c>
      <c r="K1656">
        <v>2</v>
      </c>
      <c r="L1656">
        <v>2.2650000000000001</v>
      </c>
      <c r="M1656">
        <v>0</v>
      </c>
      <c r="N1656" t="s">
        <v>10019</v>
      </c>
      <c r="O1656" t="str">
        <f>HYPERLINK("2\1\marker_638_817685.png", "Ver Imagen")</f>
        <v>Ver Imagen</v>
      </c>
      <c r="P1656" t="str">
        <f>HYPERLINK("NO\A-490\A-490__506.png", "Ver Imagen")</f>
        <v>Ver Imagen</v>
      </c>
    </row>
    <row r="1657" spans="1:16" x14ac:dyDescent="0.25">
      <c r="A1657">
        <v>1084</v>
      </c>
      <c r="B1657" t="s">
        <v>2180</v>
      </c>
      <c r="C1657">
        <v>37.486961470300002</v>
      </c>
      <c r="D1657">
        <v>-7.2407112553499999</v>
      </c>
      <c r="E1657">
        <v>1</v>
      </c>
      <c r="F1657">
        <v>2</v>
      </c>
      <c r="G1657">
        <v>2</v>
      </c>
      <c r="J1657" t="s">
        <v>15</v>
      </c>
      <c r="K1657">
        <v>2</v>
      </c>
      <c r="L1657">
        <v>1.929</v>
      </c>
      <c r="M1657">
        <v>0</v>
      </c>
      <c r="N1657" t="s">
        <v>10019</v>
      </c>
      <c r="O1657" t="str">
        <f>HYPERLINK("2\1\marker_615_817712.png", "Ver Imagen")</f>
        <v>Ver Imagen</v>
      </c>
      <c r="P1657" t="str">
        <f>HYPERLINK("NO\A-490\A-490__507.png", "Ver Imagen")</f>
        <v>Ver Imagen</v>
      </c>
    </row>
    <row r="1658" spans="1:16" x14ac:dyDescent="0.25">
      <c r="A1658">
        <v>1085</v>
      </c>
      <c r="B1658" t="s">
        <v>2182</v>
      </c>
      <c r="C1658">
        <v>37.487077683899997</v>
      </c>
      <c r="D1658">
        <v>-7.2419504312700003</v>
      </c>
      <c r="E1658">
        <v>1</v>
      </c>
      <c r="F1658">
        <v>2</v>
      </c>
      <c r="G1658">
        <v>2</v>
      </c>
      <c r="J1658" t="s">
        <v>15</v>
      </c>
      <c r="K1658">
        <v>2</v>
      </c>
      <c r="L1658">
        <v>2.0110000000000001</v>
      </c>
      <c r="M1658">
        <v>0</v>
      </c>
      <c r="N1658" t="s">
        <v>10019</v>
      </c>
      <c r="O1658" t="str">
        <f>HYPERLINK("2\1\marker_952_817847.png", "Ver Imagen")</f>
        <v>Ver Imagen</v>
      </c>
      <c r="P1658" t="str">
        <f>HYPERLINK("NO\A-490\A-490__512.png", "Ver Imagen")</f>
        <v>Ver Imagen</v>
      </c>
    </row>
    <row r="1659" spans="1:16" x14ac:dyDescent="0.25">
      <c r="A1659">
        <v>1086</v>
      </c>
      <c r="B1659" t="s">
        <v>2184</v>
      </c>
      <c r="C1659">
        <v>37.487327094599998</v>
      </c>
      <c r="D1659">
        <v>-7.2436734957300004</v>
      </c>
      <c r="E1659">
        <v>1</v>
      </c>
      <c r="F1659">
        <v>2</v>
      </c>
      <c r="G1659">
        <v>2</v>
      </c>
      <c r="J1659" t="s">
        <v>15</v>
      </c>
      <c r="K1659">
        <v>2</v>
      </c>
      <c r="L1659">
        <v>2.3239999999999998</v>
      </c>
      <c r="M1659">
        <v>0</v>
      </c>
      <c r="N1659" t="s">
        <v>10017</v>
      </c>
      <c r="O1659" t="str">
        <f>HYPERLINK("2\1\marker_267_818045.png", "Ver Imagen")</f>
        <v>Ver Imagen</v>
      </c>
      <c r="P1659" t="str">
        <f>HYPERLINK("NO\A-490\A-490__519.png", "Ver Imagen")</f>
        <v>Ver Imagen</v>
      </c>
    </row>
    <row r="1660" spans="1:16" x14ac:dyDescent="0.25">
      <c r="A1660">
        <v>1088</v>
      </c>
      <c r="B1660" t="s">
        <v>2188</v>
      </c>
      <c r="C1660">
        <v>37.488784744599997</v>
      </c>
      <c r="D1660">
        <v>-7.2473074355199998</v>
      </c>
      <c r="E1660">
        <v>1</v>
      </c>
      <c r="F1660">
        <v>2</v>
      </c>
      <c r="G1660">
        <v>2</v>
      </c>
      <c r="J1660" t="s">
        <v>15</v>
      </c>
      <c r="K1660">
        <v>2</v>
      </c>
      <c r="L1660">
        <v>1.806</v>
      </c>
      <c r="M1660">
        <v>0</v>
      </c>
      <c r="N1660" t="s">
        <v>10019</v>
      </c>
      <c r="O1660" t="str">
        <f>HYPERLINK("2\1\marker_228_818277.png", "Ver Imagen")</f>
        <v>Ver Imagen</v>
      </c>
      <c r="P1660" t="str">
        <f>HYPERLINK("NO\A-490\A-490__535.png", "Ver Imagen")</f>
        <v>Ver Imagen</v>
      </c>
    </row>
    <row r="1661" spans="1:16" x14ac:dyDescent="0.25">
      <c r="A1661">
        <v>1089</v>
      </c>
      <c r="B1661" t="s">
        <v>2190</v>
      </c>
      <c r="C1661">
        <v>37.491165764800002</v>
      </c>
      <c r="D1661">
        <v>-7.26068468316</v>
      </c>
      <c r="E1661">
        <v>2</v>
      </c>
      <c r="F1661">
        <v>2</v>
      </c>
      <c r="G1661">
        <v>3</v>
      </c>
      <c r="J1661" t="s">
        <v>15</v>
      </c>
      <c r="K1661">
        <v>2</v>
      </c>
      <c r="L1661">
        <v>1.8520000000000001</v>
      </c>
      <c r="M1661">
        <v>0</v>
      </c>
      <c r="N1661" t="s">
        <v>10019</v>
      </c>
      <c r="O1661" t="str">
        <f>HYPERLINK("2\1\marker_923_819681.png", "Ver Imagen")</f>
        <v>Ver Imagen</v>
      </c>
      <c r="P1661" t="str">
        <f>HYPERLINK("NO\A-490\A-490__594.png", "Ver Imagen")</f>
        <v>Ver Imagen</v>
      </c>
    </row>
    <row r="1662" spans="1:16" x14ac:dyDescent="0.25">
      <c r="A1662">
        <v>1090</v>
      </c>
      <c r="B1662" t="s">
        <v>2192</v>
      </c>
      <c r="C1662">
        <v>37.493060102900003</v>
      </c>
      <c r="D1662">
        <v>-7.2632734550800002</v>
      </c>
      <c r="E1662">
        <v>1</v>
      </c>
      <c r="F1662">
        <v>2</v>
      </c>
      <c r="G1662">
        <v>2</v>
      </c>
      <c r="J1662" t="s">
        <v>15</v>
      </c>
      <c r="K1662">
        <v>2</v>
      </c>
      <c r="L1662">
        <v>2.226</v>
      </c>
      <c r="M1662">
        <v>0</v>
      </c>
      <c r="N1662" t="s">
        <v>10019</v>
      </c>
      <c r="O1662" t="str">
        <f>HYPERLINK("2\1\marker_183_820184.png", "Ver Imagen")</f>
        <v>Ver Imagen</v>
      </c>
      <c r="P1662" t="str">
        <f>HYPERLINK("NO\A-490\A-490__608.png", "Ver Imagen")</f>
        <v>Ver Imagen</v>
      </c>
    </row>
    <row r="1663" spans="1:16" x14ac:dyDescent="0.25">
      <c r="A1663">
        <v>1091</v>
      </c>
      <c r="B1663" t="s">
        <v>2194</v>
      </c>
      <c r="C1663">
        <v>37.278348407499998</v>
      </c>
      <c r="D1663">
        <v>-6.99312143569</v>
      </c>
      <c r="E1663">
        <v>2</v>
      </c>
      <c r="F1663">
        <v>2</v>
      </c>
      <c r="G1663">
        <v>3</v>
      </c>
      <c r="J1663" t="s">
        <v>15</v>
      </c>
      <c r="K1663">
        <v>2</v>
      </c>
      <c r="L1663">
        <v>1.58</v>
      </c>
      <c r="M1663">
        <v>0</v>
      </c>
      <c r="N1663" t="s">
        <v>10019</v>
      </c>
      <c r="O1663" t="str">
        <f>HYPERLINK("2\1\marker_713_822851.png", "Ver Imagen")</f>
        <v>Ver Imagen</v>
      </c>
      <c r="P1663" t="str">
        <f>HYPERLINK("SE\A-492\A-492__39.png", "Ver Imagen")</f>
        <v>Ver Imagen</v>
      </c>
    </row>
    <row r="1664" spans="1:16" x14ac:dyDescent="0.25">
      <c r="A1664">
        <v>1092</v>
      </c>
      <c r="B1664" t="s">
        <v>2196</v>
      </c>
      <c r="C1664">
        <v>37.278462008200002</v>
      </c>
      <c r="D1664">
        <v>-6.9932942289</v>
      </c>
      <c r="E1664">
        <v>2</v>
      </c>
      <c r="F1664">
        <v>2</v>
      </c>
      <c r="G1664">
        <v>3</v>
      </c>
      <c r="J1664" t="s">
        <v>15</v>
      </c>
      <c r="K1664">
        <v>2</v>
      </c>
      <c r="L1664">
        <v>1.9319999999999999</v>
      </c>
      <c r="M1664">
        <v>0</v>
      </c>
      <c r="N1664" t="s">
        <v>10019</v>
      </c>
      <c r="O1664" t="str">
        <f>HYPERLINK("2\1\marker_390_822861.png", "Ver Imagen")</f>
        <v>Ver Imagen</v>
      </c>
      <c r="P1664" t="str">
        <f>HYPERLINK("SE\A-492\A-492__40.png", "Ver Imagen")</f>
        <v>Ver Imagen</v>
      </c>
    </row>
    <row r="1665" spans="1:16" x14ac:dyDescent="0.25">
      <c r="A1665">
        <v>1093</v>
      </c>
      <c r="B1665" t="s">
        <v>2198</v>
      </c>
      <c r="C1665">
        <v>37.278564891400002</v>
      </c>
      <c r="D1665">
        <v>-6.9934647929700002</v>
      </c>
      <c r="E1665">
        <v>1</v>
      </c>
      <c r="F1665">
        <v>2</v>
      </c>
      <c r="G1665">
        <v>2</v>
      </c>
      <c r="J1665" t="s">
        <v>15</v>
      </c>
      <c r="K1665">
        <v>2</v>
      </c>
      <c r="L1665">
        <v>1.889</v>
      </c>
      <c r="M1665">
        <v>0</v>
      </c>
      <c r="N1665" t="s">
        <v>10019</v>
      </c>
      <c r="O1665" t="str">
        <f>HYPERLINK("2\1\marker_671_822874.png", "Ver Imagen")</f>
        <v>Ver Imagen</v>
      </c>
      <c r="P1665" t="str">
        <f>HYPERLINK("SE\A-492\A-492__41.png", "Ver Imagen")</f>
        <v>Ver Imagen</v>
      </c>
    </row>
    <row r="1666" spans="1:16" x14ac:dyDescent="0.25">
      <c r="A1666">
        <v>1094</v>
      </c>
      <c r="B1666" t="s">
        <v>2200</v>
      </c>
      <c r="C1666">
        <v>37.280624828299999</v>
      </c>
      <c r="D1666">
        <v>-7.0025073962700004</v>
      </c>
      <c r="E1666">
        <v>2</v>
      </c>
      <c r="F1666">
        <v>2</v>
      </c>
      <c r="G1666">
        <v>3</v>
      </c>
      <c r="J1666" t="s">
        <v>15</v>
      </c>
      <c r="K1666">
        <v>2</v>
      </c>
      <c r="L1666">
        <v>2.0910000000000002</v>
      </c>
      <c r="M1666">
        <v>0</v>
      </c>
      <c r="N1666" t="s">
        <v>10018</v>
      </c>
      <c r="O1666" t="str">
        <f>HYPERLINK("2\1\marker_215_823490.png", "Ver Imagen")</f>
        <v>Ver Imagen</v>
      </c>
      <c r="P1666" t="str">
        <f>HYPERLINK("SE\A-492\A-492__80.png", "Ver Imagen")</f>
        <v>Ver Imagen</v>
      </c>
    </row>
    <row r="1667" spans="1:16" x14ac:dyDescent="0.25">
      <c r="A1667">
        <v>1095</v>
      </c>
      <c r="B1667" t="s">
        <v>2202</v>
      </c>
      <c r="C1667">
        <v>37.280703959100002</v>
      </c>
      <c r="D1667">
        <v>-7.0032815365700003</v>
      </c>
      <c r="E1667">
        <v>2</v>
      </c>
      <c r="F1667">
        <v>2</v>
      </c>
      <c r="G1667">
        <v>3</v>
      </c>
      <c r="J1667" t="s">
        <v>15</v>
      </c>
      <c r="K1667">
        <v>2</v>
      </c>
      <c r="L1667">
        <v>2.4380000000000002</v>
      </c>
      <c r="M1667">
        <v>0</v>
      </c>
      <c r="N1667" t="s">
        <v>10018</v>
      </c>
      <c r="O1667" t="str">
        <f>HYPERLINK("2\1\marker_804_823524.png", "Ver Imagen")</f>
        <v>Ver Imagen</v>
      </c>
      <c r="P1667" t="str">
        <f>HYPERLINK("SE\A-492\A-492__83.png", "Ver Imagen")</f>
        <v>Ver Imagen</v>
      </c>
    </row>
    <row r="1668" spans="1:16" x14ac:dyDescent="0.25">
      <c r="A1668">
        <v>1096</v>
      </c>
      <c r="B1668" t="s">
        <v>2204</v>
      </c>
      <c r="C1668">
        <v>37.279068022700002</v>
      </c>
      <c r="D1668">
        <v>-7.0083858676100004</v>
      </c>
      <c r="E1668">
        <v>2</v>
      </c>
      <c r="F1668">
        <v>2</v>
      </c>
      <c r="G1668">
        <v>3</v>
      </c>
      <c r="J1668" t="s">
        <v>15</v>
      </c>
      <c r="K1668">
        <v>2</v>
      </c>
      <c r="L1668">
        <v>2.419</v>
      </c>
      <c r="M1668">
        <v>0</v>
      </c>
      <c r="N1668" t="s">
        <v>10017</v>
      </c>
      <c r="O1668" t="str">
        <f>HYPERLINK("2\1\marker_192_824213.png", "Ver Imagen")</f>
        <v>Ver Imagen</v>
      </c>
      <c r="P1668" t="str">
        <f>HYPERLINK("SE\A-492\A-492__105.png", "Ver Imagen")</f>
        <v>Ver Imagen</v>
      </c>
    </row>
    <row r="1669" spans="1:16" x14ac:dyDescent="0.25">
      <c r="A1669">
        <v>1097</v>
      </c>
      <c r="B1669" t="s">
        <v>2206</v>
      </c>
      <c r="C1669">
        <v>37.278892160799998</v>
      </c>
      <c r="D1669">
        <v>-7.0088355695000004</v>
      </c>
      <c r="E1669">
        <v>2</v>
      </c>
      <c r="F1669">
        <v>2</v>
      </c>
      <c r="G1669">
        <v>3</v>
      </c>
      <c r="J1669" t="s">
        <v>15</v>
      </c>
      <c r="K1669">
        <v>2</v>
      </c>
      <c r="L1669">
        <v>1.85</v>
      </c>
      <c r="M1669">
        <v>0</v>
      </c>
      <c r="N1669" t="s">
        <v>10019</v>
      </c>
      <c r="O1669" t="str">
        <f>HYPERLINK("2\1\marker_755_824256.png", "Ver Imagen")</f>
        <v>Ver Imagen</v>
      </c>
      <c r="P1669" t="str">
        <f>HYPERLINK("SE\A-492\A-492__107.png", "Ver Imagen")</f>
        <v>Ver Imagen</v>
      </c>
    </row>
    <row r="1670" spans="1:16" x14ac:dyDescent="0.25">
      <c r="A1670">
        <v>1098</v>
      </c>
      <c r="B1670" t="s">
        <v>2208</v>
      </c>
      <c r="C1670">
        <v>37.2786058561</v>
      </c>
      <c r="D1670">
        <v>-7.0095355537800001</v>
      </c>
      <c r="E1670">
        <v>2</v>
      </c>
      <c r="F1670">
        <v>2</v>
      </c>
      <c r="G1670">
        <v>3</v>
      </c>
      <c r="J1670" t="s">
        <v>15</v>
      </c>
      <c r="K1670">
        <v>2</v>
      </c>
      <c r="L1670">
        <v>1.8959999999999999</v>
      </c>
      <c r="M1670">
        <v>0</v>
      </c>
      <c r="N1670" t="s">
        <v>10019</v>
      </c>
      <c r="O1670" t="str">
        <f>HYPERLINK("2\1\marker_537_824290.png", "Ver Imagen")</f>
        <v>Ver Imagen</v>
      </c>
      <c r="P1670" t="str">
        <f>HYPERLINK("SE\A-492\A-492__110.png", "Ver Imagen")</f>
        <v>Ver Imagen</v>
      </c>
    </row>
    <row r="1671" spans="1:16" x14ac:dyDescent="0.25">
      <c r="A1671">
        <v>1100</v>
      </c>
      <c r="B1671" t="s">
        <v>2212</v>
      </c>
      <c r="C1671">
        <v>37.275381810100001</v>
      </c>
      <c r="D1671">
        <v>-7.0169980051699996</v>
      </c>
      <c r="E1671">
        <v>1</v>
      </c>
      <c r="F1671">
        <v>2</v>
      </c>
      <c r="G1671">
        <v>2</v>
      </c>
      <c r="J1671" t="s">
        <v>15</v>
      </c>
      <c r="K1671">
        <v>2</v>
      </c>
      <c r="L1671">
        <v>1.8839999999999999</v>
      </c>
      <c r="M1671">
        <v>0</v>
      </c>
      <c r="N1671" t="s">
        <v>10019</v>
      </c>
      <c r="O1671" t="str">
        <f>HYPERLINK("2\1\marker_145_824736.png", "Ver Imagen")</f>
        <v>Ver Imagen</v>
      </c>
      <c r="P1671" t="str">
        <f>HYPERLINK("SE\A-492\A-492__145.png", "Ver Imagen")</f>
        <v>Ver Imagen</v>
      </c>
    </row>
    <row r="1672" spans="1:16" x14ac:dyDescent="0.25">
      <c r="A1672">
        <v>1101</v>
      </c>
      <c r="B1672" t="s">
        <v>2214</v>
      </c>
      <c r="C1672">
        <v>37.275478497000002</v>
      </c>
      <c r="D1672">
        <v>-7.0177737422900002</v>
      </c>
      <c r="E1672">
        <v>1</v>
      </c>
      <c r="F1672">
        <v>2</v>
      </c>
      <c r="G1672">
        <v>2</v>
      </c>
      <c r="J1672" t="s">
        <v>15</v>
      </c>
      <c r="K1672">
        <v>2</v>
      </c>
      <c r="L1672">
        <v>2.105</v>
      </c>
      <c r="M1672">
        <v>0</v>
      </c>
      <c r="N1672" t="s">
        <v>10019</v>
      </c>
      <c r="O1672" t="str">
        <f>HYPERLINK("2\1\marker_534_824772.png", "Ver Imagen")</f>
        <v>Ver Imagen</v>
      </c>
      <c r="P1672" t="str">
        <f>HYPERLINK("SE\A-492\A-492__148.png", "Ver Imagen")</f>
        <v>Ver Imagen</v>
      </c>
    </row>
    <row r="1673" spans="1:16" x14ac:dyDescent="0.25">
      <c r="A1673">
        <v>1102</v>
      </c>
      <c r="B1673" t="s">
        <v>2216</v>
      </c>
      <c r="C1673">
        <v>37.275513091400001</v>
      </c>
      <c r="D1673">
        <v>-7.0180225759099999</v>
      </c>
      <c r="E1673">
        <v>1</v>
      </c>
      <c r="F1673">
        <v>2</v>
      </c>
      <c r="G1673">
        <v>2</v>
      </c>
      <c r="J1673" t="s">
        <v>15</v>
      </c>
      <c r="K1673">
        <v>2</v>
      </c>
      <c r="L1673">
        <v>2.089</v>
      </c>
      <c r="M1673">
        <v>0</v>
      </c>
      <c r="N1673" t="s">
        <v>10019</v>
      </c>
      <c r="O1673" t="str">
        <f>HYPERLINK("2\1\marker_541_824791.png", "Ver Imagen")</f>
        <v>Ver Imagen</v>
      </c>
      <c r="P1673" t="str">
        <f>HYPERLINK("SE\A-492\A-492__149.png", "Ver Imagen")</f>
        <v>Ver Imagen</v>
      </c>
    </row>
    <row r="1674" spans="1:16" x14ac:dyDescent="0.25">
      <c r="A1674">
        <v>1103</v>
      </c>
      <c r="B1674" t="s">
        <v>2218</v>
      </c>
      <c r="C1674">
        <v>37.275579800599999</v>
      </c>
      <c r="D1674">
        <v>-7.0184888852</v>
      </c>
      <c r="E1674">
        <v>1</v>
      </c>
      <c r="F1674">
        <v>2</v>
      </c>
      <c r="G1674">
        <v>2</v>
      </c>
      <c r="J1674" t="s">
        <v>15</v>
      </c>
      <c r="K1674">
        <v>2</v>
      </c>
      <c r="L1674">
        <v>2.052</v>
      </c>
      <c r="M1674">
        <v>0</v>
      </c>
      <c r="N1674" t="s">
        <v>10019</v>
      </c>
      <c r="O1674" t="str">
        <f>HYPERLINK("2\1\marker_326_824813.png", "Ver Imagen")</f>
        <v>Ver Imagen</v>
      </c>
      <c r="P1674" t="str">
        <f>HYPERLINK("SE\A-492\A-492__151.png", "Ver Imagen")</f>
        <v>Ver Imagen</v>
      </c>
    </row>
    <row r="1675" spans="1:16" x14ac:dyDescent="0.25">
      <c r="A1675">
        <v>1104</v>
      </c>
      <c r="B1675" t="s">
        <v>2220</v>
      </c>
      <c r="C1675">
        <v>37.275890880399999</v>
      </c>
      <c r="D1675">
        <v>-7.0207924990799997</v>
      </c>
      <c r="E1675">
        <v>2</v>
      </c>
      <c r="F1675">
        <v>2</v>
      </c>
      <c r="G1675">
        <v>3</v>
      </c>
      <c r="J1675" t="s">
        <v>15</v>
      </c>
      <c r="K1675">
        <v>2</v>
      </c>
      <c r="L1675">
        <v>2.1160000000000001</v>
      </c>
      <c r="M1675">
        <v>0</v>
      </c>
      <c r="N1675" t="s">
        <v>10019</v>
      </c>
      <c r="O1675" t="str">
        <f>HYPERLINK("2\1\marker_486_824957.png", "Ver Imagen")</f>
        <v>Ver Imagen</v>
      </c>
      <c r="P1675" t="str">
        <f>HYPERLINK("SE\A-492\A-492__160.png", "Ver Imagen")</f>
        <v>Ver Imagen</v>
      </c>
    </row>
    <row r="1676" spans="1:16" x14ac:dyDescent="0.25">
      <c r="A1676">
        <v>1105</v>
      </c>
      <c r="B1676" t="s">
        <v>2222</v>
      </c>
      <c r="C1676">
        <v>37.275912108</v>
      </c>
      <c r="D1676">
        <v>-7.0209519658800001</v>
      </c>
      <c r="E1676">
        <v>2</v>
      </c>
      <c r="F1676">
        <v>2</v>
      </c>
      <c r="G1676">
        <v>3</v>
      </c>
      <c r="J1676" t="s">
        <v>15</v>
      </c>
      <c r="K1676">
        <v>2</v>
      </c>
      <c r="L1676">
        <v>1.994</v>
      </c>
      <c r="M1676">
        <v>0</v>
      </c>
      <c r="N1676" t="s">
        <v>10019</v>
      </c>
      <c r="O1676" t="str">
        <f>HYPERLINK("2\1\marker_375_831330.png", "Ver Imagen")</f>
        <v>Ver Imagen</v>
      </c>
      <c r="P1676" t="str">
        <f>HYPERLINK("SE\A-492\A-492__161.png", "Ver Imagen")</f>
        <v>Ver Imagen</v>
      </c>
    </row>
    <row r="1677" spans="1:16" x14ac:dyDescent="0.25">
      <c r="A1677">
        <v>1106</v>
      </c>
      <c r="B1677" t="s">
        <v>2224</v>
      </c>
      <c r="C1677">
        <v>37.276438372699999</v>
      </c>
      <c r="D1677">
        <v>-7.02472882064</v>
      </c>
      <c r="E1677">
        <v>2</v>
      </c>
      <c r="F1677">
        <v>2</v>
      </c>
      <c r="G1677">
        <v>3</v>
      </c>
      <c r="J1677" t="s">
        <v>15</v>
      </c>
      <c r="K1677">
        <v>2</v>
      </c>
      <c r="L1677">
        <v>1.982</v>
      </c>
      <c r="M1677">
        <v>0</v>
      </c>
      <c r="N1677" t="s">
        <v>10019</v>
      </c>
      <c r="O1677" t="str">
        <f>HYPERLINK("2\1\marker_664_831548.png", "Ver Imagen")</f>
        <v>Ver Imagen</v>
      </c>
      <c r="P1677" t="str">
        <f>HYPERLINK("SE\A-492\A-492__176.png", "Ver Imagen")</f>
        <v>Ver Imagen</v>
      </c>
    </row>
    <row r="1678" spans="1:16" x14ac:dyDescent="0.25">
      <c r="A1678">
        <v>1107</v>
      </c>
      <c r="B1678" t="s">
        <v>2226</v>
      </c>
      <c r="C1678">
        <v>37.276488993400001</v>
      </c>
      <c r="D1678">
        <v>-7.0250745329499997</v>
      </c>
      <c r="E1678">
        <v>2</v>
      </c>
      <c r="F1678">
        <v>2</v>
      </c>
      <c r="G1678">
        <v>3</v>
      </c>
      <c r="J1678" t="s">
        <v>15</v>
      </c>
      <c r="K1678">
        <v>2</v>
      </c>
      <c r="L1678">
        <v>2.3690000000000002</v>
      </c>
      <c r="M1678">
        <v>0</v>
      </c>
      <c r="N1678" t="s">
        <v>10018</v>
      </c>
      <c r="O1678" t="str">
        <f>HYPERLINK("2\1\marker_689_831563.png", "Ver Imagen")</f>
        <v>Ver Imagen</v>
      </c>
      <c r="P1678" t="str">
        <f>HYPERLINK("SE\A-492\A-492__177.png", "Ver Imagen")</f>
        <v>Ver Imagen</v>
      </c>
    </row>
    <row r="1679" spans="1:16" x14ac:dyDescent="0.25">
      <c r="A1679">
        <v>1108</v>
      </c>
      <c r="B1679" t="s">
        <v>2228</v>
      </c>
      <c r="C1679">
        <v>37.276516854299999</v>
      </c>
      <c r="D1679">
        <v>-7.0252700410399997</v>
      </c>
      <c r="E1679">
        <v>2</v>
      </c>
      <c r="F1679">
        <v>2</v>
      </c>
      <c r="G1679">
        <v>3</v>
      </c>
      <c r="J1679" t="s">
        <v>15</v>
      </c>
      <c r="K1679">
        <v>2</v>
      </c>
      <c r="L1679">
        <v>2.31</v>
      </c>
      <c r="M1679">
        <v>0</v>
      </c>
      <c r="N1679" t="s">
        <v>10019</v>
      </c>
      <c r="O1679" t="str">
        <f>HYPERLINK("2\1\marker_901_831582.png", "Ver Imagen")</f>
        <v>Ver Imagen</v>
      </c>
      <c r="P1679" t="str">
        <f>HYPERLINK("SE\A-492\A-492__178.png", "Ver Imagen")</f>
        <v>Ver Imagen</v>
      </c>
    </row>
    <row r="1680" spans="1:16" x14ac:dyDescent="0.25">
      <c r="A1680">
        <v>1109</v>
      </c>
      <c r="B1680" t="s">
        <v>2230</v>
      </c>
      <c r="C1680">
        <v>37.276548482199999</v>
      </c>
      <c r="D1680">
        <v>-7.02549559768</v>
      </c>
      <c r="E1680">
        <v>2</v>
      </c>
      <c r="F1680">
        <v>2</v>
      </c>
      <c r="G1680">
        <v>3</v>
      </c>
      <c r="J1680" t="s">
        <v>15</v>
      </c>
      <c r="K1680">
        <v>2</v>
      </c>
      <c r="L1680">
        <v>2.2349999999999999</v>
      </c>
      <c r="M1680">
        <v>0</v>
      </c>
      <c r="N1680" t="s">
        <v>10019</v>
      </c>
      <c r="O1680" t="str">
        <f>HYPERLINK("2\1\marker_613_831594.png", "Ver Imagen")</f>
        <v>Ver Imagen</v>
      </c>
      <c r="P1680" t="str">
        <f>HYPERLINK("SE\A-492\A-492__179.png", "Ver Imagen")</f>
        <v>Ver Imagen</v>
      </c>
    </row>
    <row r="1681" spans="1:16" x14ac:dyDescent="0.25">
      <c r="A1681">
        <v>1110</v>
      </c>
      <c r="B1681" t="s">
        <v>2232</v>
      </c>
      <c r="C1681">
        <v>37.276687866000003</v>
      </c>
      <c r="D1681">
        <v>-7.0265011481000004</v>
      </c>
      <c r="E1681">
        <v>2</v>
      </c>
      <c r="F1681">
        <v>2</v>
      </c>
      <c r="G1681">
        <v>3</v>
      </c>
      <c r="J1681" t="s">
        <v>15</v>
      </c>
      <c r="K1681">
        <v>2</v>
      </c>
      <c r="L1681">
        <v>1.9870000000000001</v>
      </c>
      <c r="M1681">
        <v>0</v>
      </c>
      <c r="N1681" t="s">
        <v>10019</v>
      </c>
      <c r="O1681" t="str">
        <f>HYPERLINK("2\1\marker_644_831673.png", "Ver Imagen")</f>
        <v>Ver Imagen</v>
      </c>
      <c r="P1681" t="str">
        <f>HYPERLINK("SE\A-492\A-492__183.png", "Ver Imagen")</f>
        <v>Ver Imagen</v>
      </c>
    </row>
    <row r="1682" spans="1:16" x14ac:dyDescent="0.25">
      <c r="A1682">
        <v>1111</v>
      </c>
      <c r="B1682" t="s">
        <v>2234</v>
      </c>
      <c r="C1682">
        <v>37.276730458499998</v>
      </c>
      <c r="D1682">
        <v>-7.0267590917399998</v>
      </c>
      <c r="E1682">
        <v>2</v>
      </c>
      <c r="F1682">
        <v>2</v>
      </c>
      <c r="G1682">
        <v>3</v>
      </c>
      <c r="J1682" t="s">
        <v>15</v>
      </c>
      <c r="K1682">
        <v>2</v>
      </c>
      <c r="L1682">
        <v>1.931</v>
      </c>
      <c r="M1682">
        <v>0</v>
      </c>
      <c r="N1682" t="s">
        <v>10019</v>
      </c>
      <c r="O1682" t="str">
        <f>HYPERLINK("2\1\marker_293_831692.png", "Ver Imagen")</f>
        <v>Ver Imagen</v>
      </c>
      <c r="P1682" t="str">
        <f>HYPERLINK("SE\A-492\A-492__184.png", "Ver Imagen")</f>
        <v>Ver Imagen</v>
      </c>
    </row>
    <row r="1683" spans="1:16" x14ac:dyDescent="0.25">
      <c r="A1683">
        <v>1112</v>
      </c>
      <c r="B1683" t="s">
        <v>2236</v>
      </c>
      <c r="C1683">
        <v>37.276770107499999</v>
      </c>
      <c r="D1683">
        <v>-7.0269646461299997</v>
      </c>
      <c r="E1683">
        <v>2</v>
      </c>
      <c r="F1683">
        <v>2</v>
      </c>
      <c r="G1683">
        <v>3</v>
      </c>
      <c r="J1683" t="s">
        <v>15</v>
      </c>
      <c r="K1683">
        <v>2</v>
      </c>
      <c r="L1683">
        <v>2.133</v>
      </c>
      <c r="M1683">
        <v>0</v>
      </c>
      <c r="N1683" t="s">
        <v>10017</v>
      </c>
      <c r="O1683" t="str">
        <f>HYPERLINK("2\1\marker_676_831702.png", "Ver Imagen")</f>
        <v>Ver Imagen</v>
      </c>
      <c r="P1683" t="str">
        <f>HYPERLINK("SE\A-492\A-492__185.png", "Ver Imagen")</f>
        <v>Ver Imagen</v>
      </c>
    </row>
    <row r="1684" spans="1:16" x14ac:dyDescent="0.25">
      <c r="A1684">
        <v>1113</v>
      </c>
      <c r="B1684" t="s">
        <v>2238</v>
      </c>
      <c r="C1684">
        <v>37.276821837699998</v>
      </c>
      <c r="D1684">
        <v>-7.0271961271999999</v>
      </c>
      <c r="E1684">
        <v>2</v>
      </c>
      <c r="F1684">
        <v>2</v>
      </c>
      <c r="G1684">
        <v>3</v>
      </c>
      <c r="J1684" t="s">
        <v>15</v>
      </c>
      <c r="K1684">
        <v>2</v>
      </c>
      <c r="L1684">
        <v>2.1379999999999999</v>
      </c>
      <c r="M1684">
        <v>0</v>
      </c>
      <c r="N1684" t="s">
        <v>10018</v>
      </c>
      <c r="O1684" t="str">
        <f>HYPERLINK("2\1\marker_913_831744.png", "Ver Imagen")</f>
        <v>Ver Imagen</v>
      </c>
      <c r="P1684" t="str">
        <f>HYPERLINK("SE\A-492\A-492__186.png", "Ver Imagen")</f>
        <v>Ver Imagen</v>
      </c>
    </row>
    <row r="1685" spans="1:16" x14ac:dyDescent="0.25">
      <c r="A1685">
        <v>1114</v>
      </c>
      <c r="B1685" t="s">
        <v>2240</v>
      </c>
      <c r="C1685">
        <v>37.277143042399999</v>
      </c>
      <c r="D1685">
        <v>-7.0281644055800001</v>
      </c>
      <c r="E1685">
        <v>2</v>
      </c>
      <c r="F1685">
        <v>2</v>
      </c>
      <c r="G1685">
        <v>3</v>
      </c>
      <c r="J1685" t="s">
        <v>15</v>
      </c>
      <c r="K1685">
        <v>2</v>
      </c>
      <c r="L1685">
        <v>1.9550000000000001</v>
      </c>
      <c r="M1685">
        <v>0</v>
      </c>
      <c r="N1685" t="s">
        <v>10019</v>
      </c>
      <c r="O1685" t="str">
        <f>HYPERLINK("2\1\marker_793_831803.png", "Ver Imagen")</f>
        <v>Ver Imagen</v>
      </c>
      <c r="P1685" t="str">
        <f>HYPERLINK("SE\A-492\A-492__190.png", "Ver Imagen")</f>
        <v>Ver Imagen</v>
      </c>
    </row>
    <row r="1686" spans="1:16" x14ac:dyDescent="0.25">
      <c r="A1686">
        <v>1115</v>
      </c>
      <c r="B1686" t="s">
        <v>2242</v>
      </c>
      <c r="C1686">
        <v>37.277467057400003</v>
      </c>
      <c r="D1686">
        <v>-7.0287807516600003</v>
      </c>
      <c r="E1686">
        <v>2</v>
      </c>
      <c r="F1686">
        <v>2</v>
      </c>
      <c r="G1686">
        <v>3</v>
      </c>
      <c r="J1686" t="s">
        <v>15</v>
      </c>
      <c r="K1686">
        <v>2</v>
      </c>
      <c r="L1686">
        <v>1.571</v>
      </c>
      <c r="M1686">
        <v>0</v>
      </c>
      <c r="N1686" t="s">
        <v>10019</v>
      </c>
      <c r="O1686" t="str">
        <f>HYPERLINK("2\1\marker_894_831838.png", "Ver Imagen")</f>
        <v>Ver Imagen</v>
      </c>
      <c r="P1686" t="str">
        <f>HYPERLINK("SE\A-492\A-492__193.png", "Ver Imagen")</f>
        <v>Ver Imagen</v>
      </c>
    </row>
    <row r="1687" spans="1:16" x14ac:dyDescent="0.25">
      <c r="A1687">
        <v>1116</v>
      </c>
      <c r="B1687" t="s">
        <v>2244</v>
      </c>
      <c r="C1687">
        <v>37.277586936399999</v>
      </c>
      <c r="D1687">
        <v>-7.0289662376399997</v>
      </c>
      <c r="E1687">
        <v>2</v>
      </c>
      <c r="F1687">
        <v>2</v>
      </c>
      <c r="G1687">
        <v>3</v>
      </c>
      <c r="J1687" t="s">
        <v>15</v>
      </c>
      <c r="K1687">
        <v>2</v>
      </c>
      <c r="L1687">
        <v>2.3149999999999999</v>
      </c>
      <c r="M1687">
        <v>0</v>
      </c>
      <c r="N1687" t="s">
        <v>10019</v>
      </c>
      <c r="O1687" t="str">
        <f>HYPERLINK("2\1\marker_722_831853.png", "Ver Imagen")</f>
        <v>Ver Imagen</v>
      </c>
      <c r="P1687" t="str">
        <f>HYPERLINK("SE\A-492\A-492__194.png", "Ver Imagen")</f>
        <v>Ver Imagen</v>
      </c>
    </row>
    <row r="1688" spans="1:16" x14ac:dyDescent="0.25">
      <c r="A1688">
        <v>1117</v>
      </c>
      <c r="B1688" t="s">
        <v>2246</v>
      </c>
      <c r="C1688">
        <v>37.277734709299999</v>
      </c>
      <c r="D1688">
        <v>-7.0291729589400003</v>
      </c>
      <c r="E1688">
        <v>2</v>
      </c>
      <c r="F1688">
        <v>2</v>
      </c>
      <c r="G1688">
        <v>3</v>
      </c>
      <c r="J1688" t="s">
        <v>15</v>
      </c>
      <c r="K1688">
        <v>2</v>
      </c>
      <c r="L1688">
        <v>1.982</v>
      </c>
      <c r="M1688">
        <v>0</v>
      </c>
      <c r="N1688" t="s">
        <v>10019</v>
      </c>
      <c r="O1688" t="str">
        <f>HYPERLINK("2\1\marker_346_831863.png", "Ver Imagen")</f>
        <v>Ver Imagen</v>
      </c>
      <c r="P1688" t="str">
        <f>HYPERLINK("SE\A-492\A-492__195.png", "Ver Imagen")</f>
        <v>Ver Imagen</v>
      </c>
    </row>
    <row r="1689" spans="1:16" x14ac:dyDescent="0.25">
      <c r="A1689">
        <v>1118</v>
      </c>
      <c r="B1689" t="s">
        <v>2248</v>
      </c>
      <c r="C1689">
        <v>37.277898562600001</v>
      </c>
      <c r="D1689">
        <v>-7.02937490419</v>
      </c>
      <c r="E1689">
        <v>2</v>
      </c>
      <c r="F1689">
        <v>2</v>
      </c>
      <c r="G1689">
        <v>3</v>
      </c>
      <c r="J1689" t="s">
        <v>15</v>
      </c>
      <c r="K1689">
        <v>2</v>
      </c>
      <c r="L1689">
        <v>2.3559999999999999</v>
      </c>
      <c r="M1689">
        <v>0</v>
      </c>
      <c r="N1689" t="s">
        <v>10019</v>
      </c>
      <c r="O1689" t="str">
        <f>HYPERLINK("2\1\marker_663_831875.png", "Ver Imagen")</f>
        <v>Ver Imagen</v>
      </c>
      <c r="P1689" t="str">
        <f>HYPERLINK("SE\A-492\A-492__196.png", "Ver Imagen")</f>
        <v>Ver Imagen</v>
      </c>
    </row>
    <row r="1690" spans="1:16" x14ac:dyDescent="0.25">
      <c r="A1690">
        <v>1119</v>
      </c>
      <c r="B1690" t="s">
        <v>2250</v>
      </c>
      <c r="C1690">
        <v>37.2780328789</v>
      </c>
      <c r="D1690">
        <v>-7.0295231302800003</v>
      </c>
      <c r="E1690">
        <v>2</v>
      </c>
      <c r="F1690">
        <v>2</v>
      </c>
      <c r="G1690">
        <v>3</v>
      </c>
      <c r="J1690" t="s">
        <v>15</v>
      </c>
      <c r="K1690">
        <v>2</v>
      </c>
      <c r="L1690">
        <v>1.966</v>
      </c>
      <c r="M1690">
        <v>0</v>
      </c>
      <c r="N1690" t="s">
        <v>10019</v>
      </c>
      <c r="O1690" t="str">
        <f>HYPERLINK("2\1\marker_167_831886.png", "Ver Imagen")</f>
        <v>Ver Imagen</v>
      </c>
      <c r="P1690" t="str">
        <f>HYPERLINK("SE\A-492\A-492__197.png", "Ver Imagen")</f>
        <v>Ver Imagen</v>
      </c>
    </row>
    <row r="1691" spans="1:16" x14ac:dyDescent="0.25">
      <c r="A1691">
        <v>1120</v>
      </c>
      <c r="B1691" t="s">
        <v>2252</v>
      </c>
      <c r="C1691">
        <v>37.278177513300001</v>
      </c>
      <c r="D1691">
        <v>-7.0296694006399996</v>
      </c>
      <c r="E1691">
        <v>2</v>
      </c>
      <c r="F1691">
        <v>2</v>
      </c>
      <c r="G1691">
        <v>3</v>
      </c>
      <c r="J1691" t="s">
        <v>15</v>
      </c>
      <c r="K1691">
        <v>2</v>
      </c>
      <c r="L1691">
        <v>2.3919999999999999</v>
      </c>
      <c r="M1691">
        <v>0</v>
      </c>
      <c r="N1691" t="s">
        <v>10019</v>
      </c>
      <c r="O1691" t="str">
        <f>HYPERLINK("2\1\marker_481_831896.png", "Ver Imagen")</f>
        <v>Ver Imagen</v>
      </c>
      <c r="P1691" t="str">
        <f>HYPERLINK("SE\A-492\A-492__198.png", "Ver Imagen")</f>
        <v>Ver Imagen</v>
      </c>
    </row>
    <row r="1692" spans="1:16" x14ac:dyDescent="0.25">
      <c r="A1692">
        <v>1121</v>
      </c>
      <c r="B1692" t="s">
        <v>2254</v>
      </c>
      <c r="C1692">
        <v>37.278835174100003</v>
      </c>
      <c r="D1692">
        <v>-7.0302803317300002</v>
      </c>
      <c r="E1692">
        <v>2</v>
      </c>
      <c r="F1692">
        <v>2</v>
      </c>
      <c r="G1692">
        <v>3</v>
      </c>
      <c r="J1692" t="s">
        <v>15</v>
      </c>
      <c r="K1692">
        <v>2</v>
      </c>
      <c r="L1692">
        <v>1.972</v>
      </c>
      <c r="M1692">
        <v>0</v>
      </c>
      <c r="N1692" t="s">
        <v>10019</v>
      </c>
      <c r="O1692" t="str">
        <f>HYPERLINK("2\1\marker_730_831946.png", "Ver Imagen")</f>
        <v>Ver Imagen</v>
      </c>
      <c r="P1692" t="str">
        <f>HYPERLINK("SE\A-492\A-492__202.png", "Ver Imagen")</f>
        <v>Ver Imagen</v>
      </c>
    </row>
    <row r="1693" spans="1:16" x14ac:dyDescent="0.25">
      <c r="A1693">
        <v>1122</v>
      </c>
      <c r="B1693" t="s">
        <v>2256</v>
      </c>
      <c r="C1693">
        <v>37.279487215300001</v>
      </c>
      <c r="D1693">
        <v>-7.0308805213200003</v>
      </c>
      <c r="E1693">
        <v>2</v>
      </c>
      <c r="F1693">
        <v>2</v>
      </c>
      <c r="G1693">
        <v>3</v>
      </c>
      <c r="J1693" t="s">
        <v>15</v>
      </c>
      <c r="K1693">
        <v>2</v>
      </c>
      <c r="L1693">
        <v>2.157</v>
      </c>
      <c r="M1693">
        <v>0</v>
      </c>
      <c r="N1693" t="s">
        <v>10019</v>
      </c>
      <c r="O1693" t="str">
        <f>HYPERLINK("2\1\marker_879_831990.png", "Ver Imagen")</f>
        <v>Ver Imagen</v>
      </c>
      <c r="P1693" t="str">
        <f>HYPERLINK("SE\A-492\A-492__206.png", "Ver Imagen")</f>
        <v>Ver Imagen</v>
      </c>
    </row>
    <row r="1694" spans="1:16" x14ac:dyDescent="0.25">
      <c r="A1694">
        <v>1123</v>
      </c>
      <c r="B1694" t="s">
        <v>2258</v>
      </c>
      <c r="C1694">
        <v>37.279984564400003</v>
      </c>
      <c r="D1694">
        <v>-7.03131442821</v>
      </c>
      <c r="E1694">
        <v>1</v>
      </c>
      <c r="F1694">
        <v>2</v>
      </c>
      <c r="G1694">
        <v>2</v>
      </c>
      <c r="J1694" t="s">
        <v>15</v>
      </c>
      <c r="K1694">
        <v>2</v>
      </c>
      <c r="L1694">
        <v>2.3980000000000001</v>
      </c>
      <c r="M1694">
        <v>0</v>
      </c>
      <c r="N1694" t="s">
        <v>10018</v>
      </c>
      <c r="O1694" t="str">
        <f>HYPERLINK("2\1\marker_574_832029.png", "Ver Imagen")</f>
        <v>Ver Imagen</v>
      </c>
      <c r="P1694" t="str">
        <f>HYPERLINK("SE\A-492\A-492__209.png", "Ver Imagen")</f>
        <v>Ver Imagen</v>
      </c>
    </row>
    <row r="1695" spans="1:16" x14ac:dyDescent="0.25">
      <c r="A1695">
        <v>1125</v>
      </c>
      <c r="B1695" t="s">
        <v>2262</v>
      </c>
      <c r="C1695">
        <v>37.280526503200001</v>
      </c>
      <c r="D1695">
        <v>-7.03165805189</v>
      </c>
      <c r="E1695">
        <v>1</v>
      </c>
      <c r="F1695">
        <v>2</v>
      </c>
      <c r="G1695">
        <v>2</v>
      </c>
      <c r="J1695" t="s">
        <v>15</v>
      </c>
      <c r="K1695">
        <v>2</v>
      </c>
      <c r="L1695">
        <v>1.841</v>
      </c>
      <c r="M1695">
        <v>0</v>
      </c>
      <c r="N1695" t="s">
        <v>10019</v>
      </c>
      <c r="O1695" t="str">
        <f>HYPERLINK("2\1\marker_706_832653.png", "Ver Imagen")</f>
        <v>Ver Imagen</v>
      </c>
      <c r="P1695" t="str">
        <f>HYPERLINK("SE\A-492\A-492__212.png", "Ver Imagen")</f>
        <v>Ver Imagen</v>
      </c>
    </row>
    <row r="1696" spans="1:16" x14ac:dyDescent="0.25">
      <c r="A1696">
        <v>1126</v>
      </c>
      <c r="B1696" t="s">
        <v>2264</v>
      </c>
      <c r="C1696">
        <v>37.280693164100001</v>
      </c>
      <c r="D1696">
        <v>-7.0317418181500004</v>
      </c>
      <c r="E1696">
        <v>1</v>
      </c>
      <c r="F1696">
        <v>2</v>
      </c>
      <c r="G1696">
        <v>2</v>
      </c>
      <c r="J1696" t="s">
        <v>15</v>
      </c>
      <c r="K1696">
        <v>2</v>
      </c>
      <c r="L1696">
        <v>1.8819999999999999</v>
      </c>
      <c r="M1696">
        <v>0</v>
      </c>
      <c r="N1696" t="s">
        <v>10019</v>
      </c>
      <c r="O1696" t="str">
        <f>HYPERLINK("2\1\marker_618_832663.png", "Ver Imagen")</f>
        <v>Ver Imagen</v>
      </c>
      <c r="P1696" t="str">
        <f>HYPERLINK("SE\A-492\A-492__213.png", "Ver Imagen")</f>
        <v>Ver Imagen</v>
      </c>
    </row>
    <row r="1697" spans="1:16" x14ac:dyDescent="0.25">
      <c r="A1697">
        <v>1127</v>
      </c>
      <c r="B1697" t="s">
        <v>2266</v>
      </c>
      <c r="C1697">
        <v>37.280883113500003</v>
      </c>
      <c r="D1697">
        <v>-7.0318330261200002</v>
      </c>
      <c r="E1697">
        <v>1</v>
      </c>
      <c r="F1697">
        <v>2</v>
      </c>
      <c r="G1697">
        <v>2</v>
      </c>
      <c r="J1697" t="s">
        <v>15</v>
      </c>
      <c r="K1697">
        <v>2</v>
      </c>
      <c r="L1697">
        <v>2.0409999999999999</v>
      </c>
      <c r="M1697">
        <v>0</v>
      </c>
      <c r="N1697" t="s">
        <v>10019</v>
      </c>
      <c r="O1697" t="str">
        <f>HYPERLINK("2\1\marker_535_832673.png", "Ver Imagen")</f>
        <v>Ver Imagen</v>
      </c>
      <c r="P1697" t="str">
        <f>HYPERLINK("SE\A-492\A-492__214.png", "Ver Imagen")</f>
        <v>Ver Imagen</v>
      </c>
    </row>
    <row r="1698" spans="1:16" x14ac:dyDescent="0.25">
      <c r="A1698">
        <v>1128</v>
      </c>
      <c r="B1698" t="s">
        <v>2268</v>
      </c>
      <c r="C1698">
        <v>37.2814610788</v>
      </c>
      <c r="D1698">
        <v>-7.0321143007</v>
      </c>
      <c r="E1698">
        <v>1</v>
      </c>
      <c r="F1698">
        <v>2</v>
      </c>
      <c r="G1698">
        <v>2</v>
      </c>
      <c r="J1698" t="s">
        <v>15</v>
      </c>
      <c r="K1698">
        <v>2</v>
      </c>
      <c r="L1698">
        <v>1.958</v>
      </c>
      <c r="M1698">
        <v>0</v>
      </c>
      <c r="N1698" t="s">
        <v>10019</v>
      </c>
      <c r="O1698" t="str">
        <f>HYPERLINK("2\1\marker_959_832769.png", "Ver Imagen")</f>
        <v>Ver Imagen</v>
      </c>
      <c r="P1698" t="str">
        <f>HYPERLINK("SE\A-492\A-492__217.png", "Ver Imagen")</f>
        <v>Ver Imagen</v>
      </c>
    </row>
    <row r="1699" spans="1:16" x14ac:dyDescent="0.25">
      <c r="A1699">
        <v>1129</v>
      </c>
      <c r="B1699" t="s">
        <v>2270</v>
      </c>
      <c r="C1699">
        <v>37.282199358100002</v>
      </c>
      <c r="D1699">
        <v>-7.0325275415600004</v>
      </c>
      <c r="E1699">
        <v>1</v>
      </c>
      <c r="F1699">
        <v>2</v>
      </c>
      <c r="G1699">
        <v>2</v>
      </c>
      <c r="J1699" t="s">
        <v>15</v>
      </c>
      <c r="K1699">
        <v>2</v>
      </c>
      <c r="L1699">
        <v>1.9059999999999999</v>
      </c>
      <c r="M1699">
        <v>0</v>
      </c>
      <c r="N1699" t="s">
        <v>10019</v>
      </c>
      <c r="O1699" t="str">
        <f>HYPERLINK("2\1\marker_576_835672.png", "Ver Imagen")</f>
        <v>Ver Imagen</v>
      </c>
      <c r="P1699" t="str">
        <f>HYPERLINK("SE\A-492\A-492__221.png", "Ver Imagen")</f>
        <v>Ver Imagen</v>
      </c>
    </row>
    <row r="1700" spans="1:16" x14ac:dyDescent="0.25">
      <c r="A1700">
        <v>1130</v>
      </c>
      <c r="B1700" t="s">
        <v>2272</v>
      </c>
      <c r="C1700">
        <v>37.282368677999997</v>
      </c>
      <c r="D1700">
        <v>-7.03263291836</v>
      </c>
      <c r="E1700">
        <v>1</v>
      </c>
      <c r="F1700">
        <v>2</v>
      </c>
      <c r="G1700">
        <v>2</v>
      </c>
      <c r="J1700" t="s">
        <v>15</v>
      </c>
      <c r="K1700">
        <v>2</v>
      </c>
      <c r="L1700">
        <v>2.2850000000000001</v>
      </c>
      <c r="M1700">
        <v>0</v>
      </c>
      <c r="N1700" t="s">
        <v>10019</v>
      </c>
      <c r="O1700" t="str">
        <f>HYPERLINK("2\1\marker_928_835682.png", "Ver Imagen")</f>
        <v>Ver Imagen</v>
      </c>
      <c r="P1700" t="str">
        <f>HYPERLINK("SE\A-492\A-492__222.png", "Ver Imagen")</f>
        <v>Ver Imagen</v>
      </c>
    </row>
    <row r="1701" spans="1:16" x14ac:dyDescent="0.25">
      <c r="A1701">
        <v>1131</v>
      </c>
      <c r="B1701" t="s">
        <v>2274</v>
      </c>
      <c r="C1701">
        <v>37.282756572700002</v>
      </c>
      <c r="D1701">
        <v>-7.0328937531299998</v>
      </c>
      <c r="E1701">
        <v>1</v>
      </c>
      <c r="F1701">
        <v>2</v>
      </c>
      <c r="G1701">
        <v>2</v>
      </c>
      <c r="J1701" t="s">
        <v>15</v>
      </c>
      <c r="K1701">
        <v>2</v>
      </c>
      <c r="L1701">
        <v>1.5629999999999999</v>
      </c>
      <c r="M1701">
        <v>0</v>
      </c>
      <c r="N1701" t="s">
        <v>10017</v>
      </c>
      <c r="O1701" t="str">
        <f>HYPERLINK("2\1\marker_227_835703.png", "Ver Imagen")</f>
        <v>Ver Imagen</v>
      </c>
      <c r="P1701" t="str">
        <f>HYPERLINK("SE\A-492\A-492__224.png", "Ver Imagen")</f>
        <v>Ver Imagen</v>
      </c>
    </row>
    <row r="1702" spans="1:16" x14ac:dyDescent="0.25">
      <c r="A1702">
        <v>1132</v>
      </c>
      <c r="B1702" t="s">
        <v>2276</v>
      </c>
      <c r="C1702">
        <v>37.282918379199998</v>
      </c>
      <c r="D1702">
        <v>-7.0330204465400001</v>
      </c>
      <c r="E1702">
        <v>2</v>
      </c>
      <c r="F1702">
        <v>2</v>
      </c>
      <c r="G1702">
        <v>3</v>
      </c>
      <c r="J1702" t="s">
        <v>15</v>
      </c>
      <c r="K1702">
        <v>2</v>
      </c>
      <c r="L1702">
        <v>2.0720000000000001</v>
      </c>
      <c r="M1702">
        <v>0</v>
      </c>
      <c r="N1702" t="s">
        <v>10019</v>
      </c>
      <c r="O1702" t="str">
        <f>HYPERLINK("2\1\marker_581_835713.png", "Ver Imagen")</f>
        <v>Ver Imagen</v>
      </c>
      <c r="P1702" t="str">
        <f>HYPERLINK("SE\A-492\A-492__225.png", "Ver Imagen")</f>
        <v>Ver Imagen</v>
      </c>
    </row>
    <row r="1703" spans="1:16" x14ac:dyDescent="0.25">
      <c r="A1703">
        <v>1133</v>
      </c>
      <c r="B1703" t="s">
        <v>2278</v>
      </c>
      <c r="C1703">
        <v>37.2832106575</v>
      </c>
      <c r="D1703">
        <v>-7.0333028301600002</v>
      </c>
      <c r="E1703">
        <v>1</v>
      </c>
      <c r="F1703">
        <v>2</v>
      </c>
      <c r="G1703">
        <v>2</v>
      </c>
      <c r="J1703" t="s">
        <v>15</v>
      </c>
      <c r="K1703">
        <v>2</v>
      </c>
      <c r="L1703">
        <v>1.9550000000000001</v>
      </c>
      <c r="M1703">
        <v>0</v>
      </c>
      <c r="N1703" t="s">
        <v>10019</v>
      </c>
      <c r="O1703" t="str">
        <f>HYPERLINK("2\1\marker_955_835735.png", "Ver Imagen")</f>
        <v>Ver Imagen</v>
      </c>
      <c r="P1703" t="str">
        <f>HYPERLINK("SE\A-492\A-492__227.png", "Ver Imagen")</f>
        <v>Ver Imagen</v>
      </c>
    </row>
    <row r="1704" spans="1:16" x14ac:dyDescent="0.25">
      <c r="A1704">
        <v>1134</v>
      </c>
      <c r="B1704" t="s">
        <v>2280</v>
      </c>
      <c r="C1704">
        <v>37.283369776299999</v>
      </c>
      <c r="D1704">
        <v>-7.0335022367000004</v>
      </c>
      <c r="E1704">
        <v>1</v>
      </c>
      <c r="F1704">
        <v>2</v>
      </c>
      <c r="G1704">
        <v>2</v>
      </c>
      <c r="J1704" t="s">
        <v>15</v>
      </c>
      <c r="K1704">
        <v>2</v>
      </c>
      <c r="L1704">
        <v>1.7649999999999999</v>
      </c>
      <c r="M1704">
        <v>0</v>
      </c>
      <c r="N1704" t="s">
        <v>10018</v>
      </c>
      <c r="O1704" t="str">
        <f>HYPERLINK("2\1\marker_309_835749.png", "Ver Imagen")</f>
        <v>Ver Imagen</v>
      </c>
      <c r="P1704" t="str">
        <f>HYPERLINK("SE\A-492\A-492__228.png", "Ver Imagen")</f>
        <v>Ver Imagen</v>
      </c>
    </row>
    <row r="1705" spans="1:16" x14ac:dyDescent="0.25">
      <c r="A1705">
        <v>1135</v>
      </c>
      <c r="B1705" t="s">
        <v>2282</v>
      </c>
      <c r="C1705">
        <v>37.283515198400003</v>
      </c>
      <c r="D1705">
        <v>-7.0337255460200003</v>
      </c>
      <c r="E1705">
        <v>2</v>
      </c>
      <c r="F1705">
        <v>2</v>
      </c>
      <c r="G1705">
        <v>3</v>
      </c>
      <c r="J1705" t="s">
        <v>15</v>
      </c>
      <c r="K1705">
        <v>2</v>
      </c>
      <c r="L1705">
        <v>1.8109999999999999</v>
      </c>
      <c r="M1705">
        <v>0</v>
      </c>
      <c r="N1705" t="s">
        <v>10019</v>
      </c>
      <c r="O1705" t="str">
        <f>HYPERLINK("2\1\marker_439_835759.png", "Ver Imagen")</f>
        <v>Ver Imagen</v>
      </c>
      <c r="P1705" t="str">
        <f>HYPERLINK("SE\A-492\A-492__229.png", "Ver Imagen")</f>
        <v>Ver Imagen</v>
      </c>
    </row>
    <row r="1706" spans="1:16" x14ac:dyDescent="0.25">
      <c r="A1706">
        <v>1136</v>
      </c>
      <c r="B1706" t="s">
        <v>2284</v>
      </c>
      <c r="C1706">
        <v>37.283835518499998</v>
      </c>
      <c r="D1706">
        <v>-7.0343928016500001</v>
      </c>
      <c r="E1706">
        <v>1</v>
      </c>
      <c r="F1706">
        <v>2</v>
      </c>
      <c r="G1706">
        <v>2</v>
      </c>
      <c r="J1706" t="s">
        <v>15</v>
      </c>
      <c r="K1706">
        <v>2</v>
      </c>
      <c r="L1706">
        <v>1.9610000000000001</v>
      </c>
      <c r="M1706">
        <v>0</v>
      </c>
      <c r="N1706" t="s">
        <v>10019</v>
      </c>
      <c r="O1706" t="str">
        <f>HYPERLINK("2\1\marker_728_835838.png", "Ver Imagen")</f>
        <v>Ver Imagen</v>
      </c>
      <c r="P1706" t="str">
        <f>HYPERLINK("SE\A-492\A-492__232.png", "Ver Imagen")</f>
        <v>Ver Imagen</v>
      </c>
    </row>
    <row r="1707" spans="1:16" x14ac:dyDescent="0.25">
      <c r="A1707">
        <v>1137</v>
      </c>
      <c r="B1707" t="s">
        <v>2286</v>
      </c>
      <c r="C1707">
        <v>37.283912618000002</v>
      </c>
      <c r="D1707">
        <v>-7.0346086853800003</v>
      </c>
      <c r="E1707">
        <v>1</v>
      </c>
      <c r="F1707">
        <v>2</v>
      </c>
      <c r="G1707">
        <v>2</v>
      </c>
      <c r="J1707" t="s">
        <v>15</v>
      </c>
      <c r="K1707">
        <v>2</v>
      </c>
      <c r="L1707">
        <v>1.845</v>
      </c>
      <c r="M1707">
        <v>0</v>
      </c>
      <c r="N1707" t="s">
        <v>10019</v>
      </c>
      <c r="O1707" t="str">
        <f>HYPERLINK("2\1\marker_684_835850.png", "Ver Imagen")</f>
        <v>Ver Imagen</v>
      </c>
      <c r="P1707" t="str">
        <f>HYPERLINK("SE\A-492\A-492__233.png", "Ver Imagen")</f>
        <v>Ver Imagen</v>
      </c>
    </row>
    <row r="1708" spans="1:16" x14ac:dyDescent="0.25">
      <c r="A1708">
        <v>1138</v>
      </c>
      <c r="B1708" t="s">
        <v>2288</v>
      </c>
      <c r="C1708">
        <v>37.284104655</v>
      </c>
      <c r="D1708">
        <v>-7.0366152019200001</v>
      </c>
      <c r="E1708">
        <v>1</v>
      </c>
      <c r="F1708">
        <v>2</v>
      </c>
      <c r="G1708">
        <v>2</v>
      </c>
      <c r="J1708" t="s">
        <v>15</v>
      </c>
      <c r="K1708">
        <v>2</v>
      </c>
      <c r="L1708">
        <v>1.92</v>
      </c>
      <c r="M1708">
        <v>0</v>
      </c>
      <c r="N1708" t="s">
        <v>10019</v>
      </c>
      <c r="O1708" t="str">
        <f>HYPERLINK("2\1\marker_480_835956.png", "Ver Imagen")</f>
        <v>Ver Imagen</v>
      </c>
      <c r="P1708" t="str">
        <f>HYPERLINK("SE\A-492\A-492__241.png", "Ver Imagen")</f>
        <v>Ver Imagen</v>
      </c>
    </row>
    <row r="1709" spans="1:16" x14ac:dyDescent="0.25">
      <c r="A1709">
        <v>1139</v>
      </c>
      <c r="B1709" t="s">
        <v>2290</v>
      </c>
      <c r="C1709">
        <v>37.2841159695</v>
      </c>
      <c r="D1709">
        <v>-7.0368765014900001</v>
      </c>
      <c r="E1709">
        <v>1</v>
      </c>
      <c r="F1709">
        <v>2</v>
      </c>
      <c r="G1709">
        <v>2</v>
      </c>
      <c r="J1709" t="s">
        <v>15</v>
      </c>
      <c r="K1709">
        <v>2</v>
      </c>
      <c r="L1709">
        <v>1.6339999999999999</v>
      </c>
      <c r="M1709">
        <v>0</v>
      </c>
      <c r="N1709" t="s">
        <v>10019</v>
      </c>
      <c r="O1709" t="str">
        <f>HYPERLINK("2\1\marker_848_835975.png", "Ver Imagen")</f>
        <v>Ver Imagen</v>
      </c>
      <c r="P1709" t="str">
        <f>HYPERLINK("SE\A-492\A-492__242.png", "Ver Imagen")</f>
        <v>Ver Imagen</v>
      </c>
    </row>
    <row r="1710" spans="1:16" x14ac:dyDescent="0.25">
      <c r="A1710">
        <v>1140</v>
      </c>
      <c r="B1710" t="s">
        <v>2292</v>
      </c>
      <c r="C1710">
        <v>37.284274567099999</v>
      </c>
      <c r="D1710">
        <v>-7.0378074532400001</v>
      </c>
      <c r="E1710">
        <v>1</v>
      </c>
      <c r="F1710">
        <v>2</v>
      </c>
      <c r="G1710">
        <v>2</v>
      </c>
      <c r="J1710" t="s">
        <v>15</v>
      </c>
      <c r="K1710">
        <v>2</v>
      </c>
      <c r="L1710">
        <v>1.97</v>
      </c>
      <c r="M1710">
        <v>0</v>
      </c>
      <c r="N1710" t="s">
        <v>10019</v>
      </c>
      <c r="O1710" t="str">
        <f>HYPERLINK("2\1\marker_956_836042.png", "Ver Imagen")</f>
        <v>Ver Imagen</v>
      </c>
      <c r="P1710" t="str">
        <f>HYPERLINK("SE\A-492\A-492__246.png", "Ver Imagen")</f>
        <v>Ver Imagen</v>
      </c>
    </row>
    <row r="1711" spans="1:16" x14ac:dyDescent="0.25">
      <c r="A1711">
        <v>1141</v>
      </c>
      <c r="B1711" t="s">
        <v>2294</v>
      </c>
      <c r="C1711">
        <v>37.284521446500001</v>
      </c>
      <c r="D1711">
        <v>-7.0387895867400001</v>
      </c>
      <c r="E1711">
        <v>1</v>
      </c>
      <c r="F1711">
        <v>2</v>
      </c>
      <c r="G1711">
        <v>2</v>
      </c>
      <c r="J1711" t="s">
        <v>15</v>
      </c>
      <c r="K1711">
        <v>2</v>
      </c>
      <c r="L1711">
        <v>1.897</v>
      </c>
      <c r="M1711">
        <v>0</v>
      </c>
      <c r="N1711" t="s">
        <v>10019</v>
      </c>
      <c r="O1711" t="str">
        <f>HYPERLINK("2\1\marker_685_836097.png", "Ver Imagen")</f>
        <v>Ver Imagen</v>
      </c>
      <c r="P1711" t="str">
        <f>HYPERLINK("SE\A-492\A-492__250.png", "Ver Imagen")</f>
        <v>Ver Imagen</v>
      </c>
    </row>
    <row r="1712" spans="1:16" x14ac:dyDescent="0.25">
      <c r="A1712">
        <v>1142</v>
      </c>
      <c r="B1712" t="s">
        <v>2296</v>
      </c>
      <c r="C1712">
        <v>37.285249076500001</v>
      </c>
      <c r="D1712">
        <v>-7.0405882474199997</v>
      </c>
      <c r="E1712">
        <v>2</v>
      </c>
      <c r="F1712">
        <v>1</v>
      </c>
      <c r="G1712">
        <v>2</v>
      </c>
      <c r="J1712" t="s">
        <v>15</v>
      </c>
      <c r="K1712">
        <v>2</v>
      </c>
      <c r="L1712">
        <v>1.613</v>
      </c>
      <c r="M1712">
        <v>0</v>
      </c>
      <c r="N1712" t="s">
        <v>10019</v>
      </c>
      <c r="O1712" t="str">
        <f>HYPERLINK("2\1\marker_711_836248.png", "Ver Imagen")</f>
        <v>Ver Imagen</v>
      </c>
      <c r="P1712" t="str">
        <f>HYPERLINK("SE\A-492\A-492__258.png", "Ver Imagen")</f>
        <v>Ver Imagen</v>
      </c>
    </row>
    <row r="1713" spans="1:16" x14ac:dyDescent="0.25">
      <c r="A1713">
        <v>1143</v>
      </c>
      <c r="B1713" t="s">
        <v>2298</v>
      </c>
      <c r="C1713">
        <v>37.285508860100002</v>
      </c>
      <c r="D1713">
        <v>-7.0409325121000004</v>
      </c>
      <c r="E1713">
        <v>2</v>
      </c>
      <c r="F1713">
        <v>2</v>
      </c>
      <c r="G1713">
        <v>3</v>
      </c>
      <c r="J1713" t="s">
        <v>15</v>
      </c>
      <c r="K1713">
        <v>2</v>
      </c>
      <c r="L1713">
        <v>1.66</v>
      </c>
      <c r="M1713">
        <v>0</v>
      </c>
      <c r="N1713" t="s">
        <v>10019</v>
      </c>
      <c r="O1713" t="str">
        <f>HYPERLINK("2\1\marker_599_836584.png", "Ver Imagen")</f>
        <v>Ver Imagen</v>
      </c>
      <c r="P1713" t="str">
        <f>HYPERLINK("SE\A-492\A-492__260.png", "Ver Imagen")</f>
        <v>Ver Imagen</v>
      </c>
    </row>
    <row r="1714" spans="1:16" x14ac:dyDescent="0.25">
      <c r="A1714">
        <v>1144</v>
      </c>
      <c r="B1714" t="s">
        <v>2300</v>
      </c>
      <c r="C1714">
        <v>37.286203664600002</v>
      </c>
      <c r="D1714">
        <v>-7.0415488367699997</v>
      </c>
      <c r="E1714">
        <v>1</v>
      </c>
      <c r="F1714">
        <v>2</v>
      </c>
      <c r="G1714">
        <v>2</v>
      </c>
      <c r="J1714" t="s">
        <v>15</v>
      </c>
      <c r="K1714">
        <v>2</v>
      </c>
      <c r="L1714">
        <v>1.917</v>
      </c>
      <c r="M1714">
        <v>0</v>
      </c>
      <c r="N1714" t="s">
        <v>10019</v>
      </c>
      <c r="O1714" t="str">
        <f>HYPERLINK("2\1\marker_188_836679.png", "Ver Imagen")</f>
        <v>Ver Imagen</v>
      </c>
      <c r="P1714" t="str">
        <f>HYPERLINK("SE\A-492\A-492__264.png", "Ver Imagen")</f>
        <v>Ver Imagen</v>
      </c>
    </row>
    <row r="1715" spans="1:16" x14ac:dyDescent="0.25">
      <c r="A1715">
        <v>1146</v>
      </c>
      <c r="B1715" t="s">
        <v>2304</v>
      </c>
      <c r="C1715">
        <v>37.288709133799998</v>
      </c>
      <c r="D1715">
        <v>-7.0430480450999999</v>
      </c>
      <c r="E1715">
        <v>2</v>
      </c>
      <c r="F1715">
        <v>2</v>
      </c>
      <c r="G1715">
        <v>3</v>
      </c>
      <c r="J1715" t="s">
        <v>15</v>
      </c>
      <c r="K1715">
        <v>2</v>
      </c>
      <c r="L1715">
        <v>2.2349999999999999</v>
      </c>
      <c r="M1715">
        <v>0</v>
      </c>
      <c r="N1715" t="s">
        <v>10019</v>
      </c>
      <c r="O1715" t="str">
        <f>HYPERLINK("2\1\marker_953_836891.png", "Ver Imagen")</f>
        <v>Ver Imagen</v>
      </c>
      <c r="P1715" t="str">
        <f>HYPERLINK("SE\A-492\A-492__278.png", "Ver Imagen")</f>
        <v>Ver Imagen</v>
      </c>
    </row>
    <row r="1716" spans="1:16" x14ac:dyDescent="0.25">
      <c r="A1716">
        <v>1147</v>
      </c>
      <c r="B1716" t="s">
        <v>2306</v>
      </c>
      <c r="C1716">
        <v>37.2890938695</v>
      </c>
      <c r="D1716">
        <v>-7.0435902952599996</v>
      </c>
      <c r="E1716">
        <v>2</v>
      </c>
      <c r="F1716">
        <v>2</v>
      </c>
      <c r="G1716">
        <v>3</v>
      </c>
      <c r="J1716" t="s">
        <v>15</v>
      </c>
      <c r="K1716">
        <v>2</v>
      </c>
      <c r="L1716">
        <v>2.1429999999999998</v>
      </c>
      <c r="M1716">
        <v>0</v>
      </c>
      <c r="N1716" t="s">
        <v>10019</v>
      </c>
      <c r="O1716" t="str">
        <f>HYPERLINK("2\1\marker_136_837317.png", "Ver Imagen")</f>
        <v>Ver Imagen</v>
      </c>
      <c r="P1716" t="str">
        <f>HYPERLINK("SE\A-492\A-492__281.png", "Ver Imagen")</f>
        <v>Ver Imagen</v>
      </c>
    </row>
    <row r="1717" spans="1:16" x14ac:dyDescent="0.25">
      <c r="A1717">
        <v>1148</v>
      </c>
      <c r="B1717" t="s">
        <v>2308</v>
      </c>
      <c r="C1717">
        <v>37.293118771499998</v>
      </c>
      <c r="D1717">
        <v>-7.0461558413200001</v>
      </c>
      <c r="E1717">
        <v>1</v>
      </c>
      <c r="F1717">
        <v>2</v>
      </c>
      <c r="G1717">
        <v>2</v>
      </c>
      <c r="J1717" t="s">
        <v>15</v>
      </c>
      <c r="K1717">
        <v>2</v>
      </c>
      <c r="L1717">
        <v>1.883</v>
      </c>
      <c r="M1717">
        <v>0</v>
      </c>
      <c r="N1717" t="s">
        <v>10019</v>
      </c>
      <c r="O1717" t="str">
        <f>HYPERLINK("2\1\marker_781_837601.png", "Ver Imagen")</f>
        <v>Ver Imagen</v>
      </c>
      <c r="P1717" t="str">
        <f>HYPERLINK("SE\A-492\A-492__304.png", "Ver Imagen")</f>
        <v>Ver Imagen</v>
      </c>
    </row>
    <row r="1718" spans="1:16" x14ac:dyDescent="0.25">
      <c r="A1718">
        <v>1149</v>
      </c>
      <c r="B1718" t="s">
        <v>2310</v>
      </c>
      <c r="C1718">
        <v>37.2947865139</v>
      </c>
      <c r="D1718">
        <v>-7.0483469907799998</v>
      </c>
      <c r="E1718">
        <v>2</v>
      </c>
      <c r="F1718">
        <v>1</v>
      </c>
      <c r="G1718">
        <v>2</v>
      </c>
      <c r="J1718" t="s">
        <v>15</v>
      </c>
      <c r="K1718">
        <v>2</v>
      </c>
      <c r="L1718">
        <v>1.867</v>
      </c>
      <c r="M1718">
        <v>0</v>
      </c>
      <c r="N1718" t="s">
        <v>10019</v>
      </c>
      <c r="O1718" t="str">
        <f>HYPERLINK("2\1\marker_135_837738.png", "Ver Imagen")</f>
        <v>Ver Imagen</v>
      </c>
      <c r="P1718" t="str">
        <f>HYPERLINK("SE\A-492\A-492__316.png", "Ver Imagen")</f>
        <v>Ver Imagen</v>
      </c>
    </row>
    <row r="1719" spans="1:16" x14ac:dyDescent="0.25">
      <c r="A1719">
        <v>1150</v>
      </c>
      <c r="B1719" t="s">
        <v>2312</v>
      </c>
      <c r="C1719">
        <v>37.294927171099999</v>
      </c>
      <c r="D1719">
        <v>-7.0485303792499998</v>
      </c>
      <c r="E1719">
        <v>1</v>
      </c>
      <c r="F1719">
        <v>2</v>
      </c>
      <c r="G1719">
        <v>2</v>
      </c>
      <c r="J1719" t="s">
        <v>15</v>
      </c>
      <c r="K1719">
        <v>2</v>
      </c>
      <c r="L1719">
        <v>1.893</v>
      </c>
      <c r="M1719">
        <v>0</v>
      </c>
      <c r="N1719" t="s">
        <v>10019</v>
      </c>
      <c r="O1719" t="str">
        <f>HYPERLINK("2\1\marker_174_837918.png", "Ver Imagen")</f>
        <v>Ver Imagen</v>
      </c>
      <c r="P1719" t="str">
        <f>HYPERLINK("SE\A-492\A-492__317.png", "Ver Imagen")</f>
        <v>Ver Imagen</v>
      </c>
    </row>
    <row r="1720" spans="1:16" x14ac:dyDescent="0.25">
      <c r="A1720">
        <v>1151</v>
      </c>
      <c r="B1720" t="s">
        <v>2314</v>
      </c>
      <c r="C1720">
        <v>37.295969532299999</v>
      </c>
      <c r="D1720">
        <v>-7.0497287475599997</v>
      </c>
      <c r="E1720">
        <v>2</v>
      </c>
      <c r="F1720">
        <v>2</v>
      </c>
      <c r="G1720">
        <v>3</v>
      </c>
      <c r="J1720" t="s">
        <v>15</v>
      </c>
      <c r="K1720">
        <v>2</v>
      </c>
      <c r="L1720">
        <v>1.77</v>
      </c>
      <c r="M1720">
        <v>0</v>
      </c>
      <c r="N1720" t="s">
        <v>10017</v>
      </c>
      <c r="O1720" t="str">
        <f>HYPERLINK("2\1\marker_709_838008.png", "Ver Imagen")</f>
        <v>Ver Imagen</v>
      </c>
      <c r="P1720" t="str">
        <f>HYPERLINK("SE\A-492\A-492__324.png", "Ver Imagen")</f>
        <v>Ver Imagen</v>
      </c>
    </row>
    <row r="1721" spans="1:16" x14ac:dyDescent="0.25">
      <c r="A1721">
        <v>1152</v>
      </c>
      <c r="B1721" t="s">
        <v>2316</v>
      </c>
      <c r="C1721">
        <v>37.296123031100002</v>
      </c>
      <c r="D1721">
        <v>-7.0499002609900003</v>
      </c>
      <c r="E1721">
        <v>2</v>
      </c>
      <c r="F1721">
        <v>2</v>
      </c>
      <c r="G1721">
        <v>3</v>
      </c>
      <c r="J1721" t="s">
        <v>15</v>
      </c>
      <c r="K1721">
        <v>2</v>
      </c>
      <c r="L1721">
        <v>2.1840000000000002</v>
      </c>
      <c r="M1721">
        <v>0</v>
      </c>
      <c r="N1721" t="s">
        <v>10019</v>
      </c>
      <c r="O1721" t="str">
        <f>HYPERLINK("2\1\marker_850_838017.png", "Ver Imagen")</f>
        <v>Ver Imagen</v>
      </c>
      <c r="P1721" t="str">
        <f>HYPERLINK("SE\A-492\A-492__325.png", "Ver Imagen")</f>
        <v>Ver Imagen</v>
      </c>
    </row>
    <row r="1722" spans="1:16" x14ac:dyDescent="0.25">
      <c r="A1722">
        <v>1153</v>
      </c>
      <c r="B1722" t="s">
        <v>2318</v>
      </c>
      <c r="C1722">
        <v>37.296789109700001</v>
      </c>
      <c r="D1722">
        <v>-7.0508515733900001</v>
      </c>
      <c r="E1722">
        <v>2</v>
      </c>
      <c r="F1722">
        <v>2</v>
      </c>
      <c r="G1722">
        <v>3</v>
      </c>
      <c r="J1722" t="s">
        <v>15</v>
      </c>
      <c r="K1722">
        <v>2</v>
      </c>
      <c r="L1722">
        <v>2.056</v>
      </c>
      <c r="M1722">
        <v>0</v>
      </c>
      <c r="N1722" t="s">
        <v>10019</v>
      </c>
      <c r="O1722" t="str">
        <f>HYPERLINK("2\1\marker_549_838083.png", "Ver Imagen")</f>
        <v>Ver Imagen</v>
      </c>
      <c r="P1722" t="str">
        <f>HYPERLINK("SE\A-492\A-492__330.png", "Ver Imagen")</f>
        <v>Ver Imagen</v>
      </c>
    </row>
    <row r="1723" spans="1:16" x14ac:dyDescent="0.25">
      <c r="A1723">
        <v>1154</v>
      </c>
      <c r="B1723" t="s">
        <v>2320</v>
      </c>
      <c r="C1723">
        <v>37.2970761407</v>
      </c>
      <c r="D1723">
        <v>-7.0515065576299998</v>
      </c>
      <c r="E1723">
        <v>1</v>
      </c>
      <c r="F1723">
        <v>2</v>
      </c>
      <c r="G1723">
        <v>2</v>
      </c>
      <c r="J1723" t="s">
        <v>15</v>
      </c>
      <c r="K1723">
        <v>2</v>
      </c>
      <c r="L1723">
        <v>1.7370000000000001</v>
      </c>
      <c r="M1723">
        <v>0</v>
      </c>
      <c r="N1723" t="s">
        <v>10019</v>
      </c>
      <c r="O1723" t="str">
        <f>HYPERLINK("2\1\marker_520_838123.png", "Ver Imagen")</f>
        <v>Ver Imagen</v>
      </c>
      <c r="P1723" t="str">
        <f>HYPERLINK("SE\A-492\A-492__333.png", "Ver Imagen")</f>
        <v>Ver Imagen</v>
      </c>
    </row>
    <row r="1724" spans="1:16" x14ac:dyDescent="0.25">
      <c r="A1724">
        <v>1155</v>
      </c>
      <c r="B1724" t="s">
        <v>2322</v>
      </c>
      <c r="C1724">
        <v>37.297321445500003</v>
      </c>
      <c r="D1724">
        <v>-7.0522611828199997</v>
      </c>
      <c r="E1724">
        <v>1</v>
      </c>
      <c r="F1724">
        <v>2</v>
      </c>
      <c r="G1724">
        <v>2</v>
      </c>
      <c r="J1724" t="s">
        <v>15</v>
      </c>
      <c r="K1724">
        <v>2</v>
      </c>
      <c r="L1724">
        <v>1.9670000000000001</v>
      </c>
      <c r="M1724">
        <v>0</v>
      </c>
      <c r="N1724" t="s">
        <v>10019</v>
      </c>
      <c r="O1724" t="str">
        <f>HYPERLINK("2\1\marker_455_838160.png", "Ver Imagen")</f>
        <v>Ver Imagen</v>
      </c>
      <c r="P1724" t="str">
        <f>HYPERLINK("SE\A-492\A-492__336.png", "Ver Imagen")</f>
        <v>Ver Imagen</v>
      </c>
    </row>
    <row r="1725" spans="1:16" x14ac:dyDescent="0.25">
      <c r="A1725">
        <v>1156</v>
      </c>
      <c r="B1725" t="s">
        <v>2324</v>
      </c>
      <c r="C1725">
        <v>37.297695981499999</v>
      </c>
      <c r="D1725">
        <v>-7.0531442578999997</v>
      </c>
      <c r="E1725">
        <v>2</v>
      </c>
      <c r="F1725">
        <v>1</v>
      </c>
      <c r="G1725">
        <v>2</v>
      </c>
      <c r="J1725" t="s">
        <v>15</v>
      </c>
      <c r="K1725">
        <v>2</v>
      </c>
      <c r="L1725">
        <v>1.865</v>
      </c>
      <c r="M1725">
        <v>0</v>
      </c>
      <c r="N1725" t="s">
        <v>10017</v>
      </c>
      <c r="O1725" t="str">
        <f>HYPERLINK("2\1\marker_785_838199.png", "Ver Imagen")</f>
        <v>Ver Imagen</v>
      </c>
      <c r="P1725" t="str">
        <f>HYPERLINK("SE\A-492\A-492__340.png", "Ver Imagen")</f>
        <v>Ver Imagen</v>
      </c>
    </row>
    <row r="1726" spans="1:16" x14ac:dyDescent="0.25">
      <c r="A1726">
        <v>1157</v>
      </c>
      <c r="B1726" t="s">
        <v>2326</v>
      </c>
      <c r="C1726">
        <v>37.297810917900001</v>
      </c>
      <c r="D1726">
        <v>-7.05332230439</v>
      </c>
      <c r="E1726">
        <v>1</v>
      </c>
      <c r="F1726">
        <v>2</v>
      </c>
      <c r="G1726">
        <v>2</v>
      </c>
      <c r="J1726" t="s">
        <v>15</v>
      </c>
      <c r="K1726">
        <v>2</v>
      </c>
      <c r="L1726">
        <v>1.91</v>
      </c>
      <c r="M1726">
        <v>0</v>
      </c>
      <c r="N1726" t="s">
        <v>10017</v>
      </c>
      <c r="O1726" t="str">
        <f>HYPERLINK("2\1\marker_196_838210.png", "Ver Imagen")</f>
        <v>Ver Imagen</v>
      </c>
      <c r="P1726" t="str">
        <f>HYPERLINK("SE\A-492\A-492__341.png", "Ver Imagen")</f>
        <v>Ver Imagen</v>
      </c>
    </row>
    <row r="1727" spans="1:16" x14ac:dyDescent="0.25">
      <c r="A1727">
        <v>1158</v>
      </c>
      <c r="B1727" t="s">
        <v>2328</v>
      </c>
      <c r="C1727">
        <v>37.297943585299997</v>
      </c>
      <c r="D1727">
        <v>-7.0534938663700002</v>
      </c>
      <c r="E1727">
        <v>2</v>
      </c>
      <c r="F1727">
        <v>2</v>
      </c>
      <c r="G1727">
        <v>1</v>
      </c>
      <c r="J1727" t="s">
        <v>15</v>
      </c>
      <c r="K1727">
        <v>2</v>
      </c>
      <c r="L1727">
        <v>2.2919999999999998</v>
      </c>
      <c r="M1727">
        <v>0</v>
      </c>
      <c r="N1727" t="s">
        <v>10018</v>
      </c>
      <c r="O1727" t="str">
        <f>HYPERLINK("2\1\marker_287_838246.png", "Ver Imagen")</f>
        <v>Ver Imagen</v>
      </c>
      <c r="P1727" t="str">
        <f>HYPERLINK("SE\A-492\A-492__342.png", "Ver Imagen")</f>
        <v>Ver Imagen</v>
      </c>
    </row>
    <row r="1728" spans="1:16" x14ac:dyDescent="0.25">
      <c r="A1728">
        <v>1159</v>
      </c>
      <c r="B1728" t="s">
        <v>2330</v>
      </c>
      <c r="C1728">
        <v>37.298796142199997</v>
      </c>
      <c r="D1728">
        <v>-7.0541693350100001</v>
      </c>
      <c r="E1728">
        <v>2</v>
      </c>
      <c r="F1728">
        <v>1</v>
      </c>
      <c r="G1728">
        <v>2</v>
      </c>
      <c r="J1728" t="s">
        <v>15</v>
      </c>
      <c r="K1728">
        <v>2</v>
      </c>
      <c r="L1728">
        <v>1.899</v>
      </c>
      <c r="M1728">
        <v>0</v>
      </c>
      <c r="N1728" t="s">
        <v>10017</v>
      </c>
      <c r="O1728" t="str">
        <f>HYPERLINK("2\1\marker_196_838324.png", "Ver Imagen")</f>
        <v>Ver Imagen</v>
      </c>
      <c r="P1728" t="str">
        <f>HYPERLINK("SE\A-492\A-492__347.png", "Ver Imagen")</f>
        <v>Ver Imagen</v>
      </c>
    </row>
    <row r="1729" spans="1:16" x14ac:dyDescent="0.25">
      <c r="A1729">
        <v>1160</v>
      </c>
      <c r="B1729" t="s">
        <v>2332</v>
      </c>
      <c r="C1729">
        <v>37.299833062499999</v>
      </c>
      <c r="D1729">
        <v>-7.0550272208000004</v>
      </c>
      <c r="E1729">
        <v>2</v>
      </c>
      <c r="F1729">
        <v>1</v>
      </c>
      <c r="G1729">
        <v>2</v>
      </c>
      <c r="J1729" t="s">
        <v>15</v>
      </c>
      <c r="K1729">
        <v>2</v>
      </c>
      <c r="L1729">
        <v>2.16</v>
      </c>
      <c r="M1729">
        <v>0</v>
      </c>
      <c r="N1729" t="s">
        <v>10019</v>
      </c>
      <c r="O1729" t="str">
        <f>HYPERLINK("2\1\marker_444_838550.png", "Ver Imagen")</f>
        <v>Ver Imagen</v>
      </c>
      <c r="P1729" t="str">
        <f>HYPERLINK("SE\A-492\A-492__353.png", "Ver Imagen")</f>
        <v>Ver Imagen</v>
      </c>
    </row>
    <row r="1730" spans="1:16" x14ac:dyDescent="0.25">
      <c r="A1730">
        <v>1161</v>
      </c>
      <c r="B1730" t="s">
        <v>2334</v>
      </c>
      <c r="C1730">
        <v>37.299958479899999</v>
      </c>
      <c r="D1730">
        <v>-7.0551797569400003</v>
      </c>
      <c r="E1730">
        <v>2</v>
      </c>
      <c r="F1730">
        <v>3</v>
      </c>
      <c r="G1730">
        <v>2</v>
      </c>
      <c r="J1730" t="s">
        <v>15</v>
      </c>
      <c r="K1730">
        <v>2</v>
      </c>
      <c r="L1730">
        <v>2.0760000000000001</v>
      </c>
      <c r="M1730">
        <v>0</v>
      </c>
      <c r="N1730" t="s">
        <v>10018</v>
      </c>
      <c r="O1730" t="str">
        <f>HYPERLINK("2\1\marker_233_838565.png", "Ver Imagen")</f>
        <v>Ver Imagen</v>
      </c>
      <c r="P1730" t="str">
        <f>HYPERLINK("SE\A-492\A-492__354.png", "Ver Imagen")</f>
        <v>Ver Imagen</v>
      </c>
    </row>
    <row r="1731" spans="1:16" x14ac:dyDescent="0.25">
      <c r="A1731">
        <v>1162</v>
      </c>
      <c r="B1731" t="s">
        <v>2336</v>
      </c>
      <c r="C1731">
        <v>37.300235508999997</v>
      </c>
      <c r="D1731">
        <v>-7.0555149883499997</v>
      </c>
      <c r="E1731">
        <v>2</v>
      </c>
      <c r="F1731">
        <v>1</v>
      </c>
      <c r="G1731">
        <v>2</v>
      </c>
      <c r="J1731" t="s">
        <v>15</v>
      </c>
      <c r="K1731">
        <v>2</v>
      </c>
      <c r="L1731">
        <v>1.9</v>
      </c>
      <c r="M1731">
        <v>0</v>
      </c>
      <c r="N1731" t="s">
        <v>10019</v>
      </c>
      <c r="O1731" t="str">
        <f>HYPERLINK("2\1\marker_754_838585.png", "Ver Imagen")</f>
        <v>Ver Imagen</v>
      </c>
      <c r="P1731" t="str">
        <f>HYPERLINK("SE\A-492\A-492__356.png", "Ver Imagen")</f>
        <v>Ver Imagen</v>
      </c>
    </row>
    <row r="1732" spans="1:16" x14ac:dyDescent="0.25">
      <c r="A1732">
        <v>1163</v>
      </c>
      <c r="B1732" t="s">
        <v>2338</v>
      </c>
      <c r="C1732">
        <v>37.301478583399998</v>
      </c>
      <c r="D1732">
        <v>-7.0563483691800002</v>
      </c>
      <c r="E1732">
        <v>2</v>
      </c>
      <c r="F1732">
        <v>2</v>
      </c>
      <c r="G1732">
        <v>3</v>
      </c>
      <c r="J1732" t="s">
        <v>15</v>
      </c>
      <c r="K1732">
        <v>2</v>
      </c>
      <c r="L1732">
        <v>1.893</v>
      </c>
      <c r="M1732">
        <v>0</v>
      </c>
      <c r="N1732" t="s">
        <v>10019</v>
      </c>
      <c r="O1732" t="str">
        <f>HYPERLINK("2\1\marker_374_838667.png", "Ver Imagen")</f>
        <v>Ver Imagen</v>
      </c>
      <c r="P1732" t="str">
        <f>HYPERLINK("SE\A-492\A-492__363.png", "Ver Imagen")</f>
        <v>Ver Imagen</v>
      </c>
    </row>
    <row r="1733" spans="1:16" x14ac:dyDescent="0.25">
      <c r="A1733">
        <v>1164</v>
      </c>
      <c r="B1733" t="s">
        <v>2340</v>
      </c>
      <c r="C1733">
        <v>37.301714535400002</v>
      </c>
      <c r="D1733">
        <v>-7.0564099922999999</v>
      </c>
      <c r="E1733">
        <v>2</v>
      </c>
      <c r="F1733">
        <v>1</v>
      </c>
      <c r="G1733">
        <v>2</v>
      </c>
      <c r="J1733" t="s">
        <v>15</v>
      </c>
      <c r="K1733">
        <v>2</v>
      </c>
      <c r="L1733">
        <v>2.0539999999999998</v>
      </c>
      <c r="M1733">
        <v>0</v>
      </c>
      <c r="N1733" t="s">
        <v>10019</v>
      </c>
      <c r="O1733" t="str">
        <f>HYPERLINK("2\1\marker_936_838687.png", "Ver Imagen")</f>
        <v>Ver Imagen</v>
      </c>
      <c r="P1733" t="str">
        <f>HYPERLINK("SE\A-492\A-492__364.png", "Ver Imagen")</f>
        <v>Ver Imagen</v>
      </c>
    </row>
    <row r="1734" spans="1:16" x14ac:dyDescent="0.25">
      <c r="A1734">
        <v>1165</v>
      </c>
      <c r="B1734" t="s">
        <v>2342</v>
      </c>
      <c r="C1734">
        <v>37.301889321700003</v>
      </c>
      <c r="D1734">
        <v>-7.0564460033299996</v>
      </c>
      <c r="E1734">
        <v>1</v>
      </c>
      <c r="F1734">
        <v>2</v>
      </c>
      <c r="G1734">
        <v>2</v>
      </c>
      <c r="J1734" t="s">
        <v>15</v>
      </c>
      <c r="K1734">
        <v>2</v>
      </c>
      <c r="L1734">
        <v>2.15</v>
      </c>
      <c r="M1734">
        <v>0</v>
      </c>
      <c r="N1734" t="s">
        <v>10018</v>
      </c>
      <c r="O1734" t="str">
        <f>HYPERLINK("2\1\marker_487_838704.png", "Ver Imagen")</f>
        <v>Ver Imagen</v>
      </c>
      <c r="P1734" t="str">
        <f>HYPERLINK("SE\A-492\A-492__365.png", "Ver Imagen")</f>
        <v>Ver Imagen</v>
      </c>
    </row>
    <row r="1735" spans="1:16" x14ac:dyDescent="0.25">
      <c r="A1735">
        <v>1167</v>
      </c>
      <c r="B1735" t="s">
        <v>2346</v>
      </c>
      <c r="C1735">
        <v>37.3024745321</v>
      </c>
      <c r="D1735">
        <v>-7.0565495454300002</v>
      </c>
      <c r="E1735">
        <v>2</v>
      </c>
      <c r="F1735">
        <v>1</v>
      </c>
      <c r="G1735">
        <v>2</v>
      </c>
      <c r="J1735" t="s">
        <v>15</v>
      </c>
      <c r="K1735">
        <v>2</v>
      </c>
      <c r="L1735">
        <v>1.976</v>
      </c>
      <c r="M1735">
        <v>0</v>
      </c>
      <c r="N1735" t="s">
        <v>10019</v>
      </c>
      <c r="O1735" t="str">
        <f>HYPERLINK("2\1\marker_116_838736.png", "Ver Imagen")</f>
        <v>Ver Imagen</v>
      </c>
      <c r="P1735" t="str">
        <f>HYPERLINK("SE\A-492\A-492__368.png", "Ver Imagen")</f>
        <v>Ver Imagen</v>
      </c>
    </row>
    <row r="1736" spans="1:16" x14ac:dyDescent="0.25">
      <c r="A1736">
        <v>1168</v>
      </c>
      <c r="B1736" t="s">
        <v>2348</v>
      </c>
      <c r="C1736">
        <v>37.303056155</v>
      </c>
      <c r="D1736">
        <v>-7.0566487597799998</v>
      </c>
      <c r="E1736">
        <v>1</v>
      </c>
      <c r="F1736">
        <v>2</v>
      </c>
      <c r="G1736">
        <v>2</v>
      </c>
      <c r="J1736" t="s">
        <v>15</v>
      </c>
      <c r="K1736">
        <v>2</v>
      </c>
      <c r="L1736">
        <v>2.1960000000000002</v>
      </c>
      <c r="M1736">
        <v>0</v>
      </c>
      <c r="N1736" t="s">
        <v>10019</v>
      </c>
      <c r="O1736" t="str">
        <f>HYPERLINK("2\1\marker_630_838767.png", "Ver Imagen")</f>
        <v>Ver Imagen</v>
      </c>
      <c r="P1736" t="str">
        <f>HYPERLINK("SE\A-492\A-492__371.png", "Ver Imagen")</f>
        <v>Ver Imagen</v>
      </c>
    </row>
    <row r="1737" spans="1:16" x14ac:dyDescent="0.25">
      <c r="A1737">
        <v>1169</v>
      </c>
      <c r="B1737" t="s">
        <v>2350</v>
      </c>
      <c r="C1737">
        <v>37.303269528800001</v>
      </c>
      <c r="D1737">
        <v>-7.0566833974499996</v>
      </c>
      <c r="E1737">
        <v>1</v>
      </c>
      <c r="F1737">
        <v>2</v>
      </c>
      <c r="G1737">
        <v>2</v>
      </c>
      <c r="J1737" t="s">
        <v>15</v>
      </c>
      <c r="K1737">
        <v>2</v>
      </c>
      <c r="L1737">
        <v>1.522</v>
      </c>
      <c r="M1737">
        <v>0</v>
      </c>
      <c r="N1737" t="s">
        <v>10019</v>
      </c>
      <c r="O1737" t="str">
        <f>HYPERLINK("2\1\marker_351_838777.png", "Ver Imagen")</f>
        <v>Ver Imagen</v>
      </c>
      <c r="P1737" t="str">
        <f>HYPERLINK("SE\A-492\A-492__372.png", "Ver Imagen")</f>
        <v>Ver Imagen</v>
      </c>
    </row>
    <row r="1738" spans="1:16" x14ac:dyDescent="0.25">
      <c r="A1738">
        <v>1170</v>
      </c>
      <c r="B1738" t="s">
        <v>2352</v>
      </c>
      <c r="C1738">
        <v>37.3036396567</v>
      </c>
      <c r="D1738">
        <v>-7.0567321177700002</v>
      </c>
      <c r="E1738">
        <v>1</v>
      </c>
      <c r="F1738">
        <v>2</v>
      </c>
      <c r="G1738">
        <v>2</v>
      </c>
      <c r="J1738" t="s">
        <v>15</v>
      </c>
      <c r="K1738">
        <v>2</v>
      </c>
      <c r="L1738">
        <v>1.792</v>
      </c>
      <c r="M1738">
        <v>0</v>
      </c>
      <c r="N1738" t="s">
        <v>10019</v>
      </c>
      <c r="O1738" t="str">
        <f>HYPERLINK("2\1\marker_126_838802.png", "Ver Imagen")</f>
        <v>Ver Imagen</v>
      </c>
      <c r="P1738" t="str">
        <f>HYPERLINK("SE\A-492\A-492__374.png", "Ver Imagen")</f>
        <v>Ver Imagen</v>
      </c>
    </row>
    <row r="1739" spans="1:16" x14ac:dyDescent="0.25">
      <c r="A1739">
        <v>1171</v>
      </c>
      <c r="B1739" t="s">
        <v>2354</v>
      </c>
      <c r="C1739">
        <v>37.303869533300002</v>
      </c>
      <c r="D1739">
        <v>-7.0567482369999999</v>
      </c>
      <c r="E1739">
        <v>1</v>
      </c>
      <c r="F1739">
        <v>2</v>
      </c>
      <c r="G1739">
        <v>2</v>
      </c>
      <c r="J1739" t="s">
        <v>15</v>
      </c>
      <c r="K1739">
        <v>2</v>
      </c>
      <c r="L1739">
        <v>2.0720000000000001</v>
      </c>
      <c r="M1739">
        <v>0</v>
      </c>
      <c r="N1739" t="s">
        <v>10019</v>
      </c>
      <c r="O1739" t="str">
        <f>HYPERLINK("2\1\marker_117_838813.png", "Ver Imagen")</f>
        <v>Ver Imagen</v>
      </c>
      <c r="P1739" t="str">
        <f>HYPERLINK("SE\A-492\A-492__375.png", "Ver Imagen")</f>
        <v>Ver Imagen</v>
      </c>
    </row>
    <row r="1740" spans="1:16" x14ac:dyDescent="0.25">
      <c r="A1740">
        <v>1172</v>
      </c>
      <c r="B1740" t="s">
        <v>2356</v>
      </c>
      <c r="C1740">
        <v>37.304090412599997</v>
      </c>
      <c r="D1740">
        <v>-7.0567548393499999</v>
      </c>
      <c r="E1740">
        <v>1</v>
      </c>
      <c r="F1740">
        <v>2</v>
      </c>
      <c r="G1740">
        <v>2</v>
      </c>
      <c r="J1740" t="s">
        <v>15</v>
      </c>
      <c r="K1740">
        <v>2</v>
      </c>
      <c r="L1740">
        <v>1.859</v>
      </c>
      <c r="M1740">
        <v>0</v>
      </c>
      <c r="N1740" t="s">
        <v>10019</v>
      </c>
      <c r="O1740" t="str">
        <f>HYPERLINK("2\1\marker_571_838827.png", "Ver Imagen")</f>
        <v>Ver Imagen</v>
      </c>
      <c r="P1740" t="str">
        <f>HYPERLINK("SE\A-492\A-492__376.png", "Ver Imagen")</f>
        <v>Ver Imagen</v>
      </c>
    </row>
    <row r="1741" spans="1:16" x14ac:dyDescent="0.25">
      <c r="A1741">
        <v>1173</v>
      </c>
      <c r="B1741" t="s">
        <v>2358</v>
      </c>
      <c r="C1741">
        <v>37.3042739423</v>
      </c>
      <c r="D1741">
        <v>-7.0567556955599997</v>
      </c>
      <c r="E1741">
        <v>1</v>
      </c>
      <c r="F1741">
        <v>2</v>
      </c>
      <c r="G1741">
        <v>2</v>
      </c>
      <c r="J1741" t="s">
        <v>15</v>
      </c>
      <c r="K1741">
        <v>2</v>
      </c>
      <c r="L1741">
        <v>1.6879999999999999</v>
      </c>
      <c r="M1741">
        <v>0</v>
      </c>
      <c r="N1741" t="s">
        <v>10018</v>
      </c>
      <c r="O1741" t="str">
        <f>HYPERLINK("2\1\marker_104_838842.png", "Ver Imagen")</f>
        <v>Ver Imagen</v>
      </c>
      <c r="P1741" t="str">
        <f>HYPERLINK("SE\A-492\A-492__377.png", "Ver Imagen")</f>
        <v>Ver Imagen</v>
      </c>
    </row>
    <row r="1742" spans="1:16" x14ac:dyDescent="0.25">
      <c r="A1742">
        <v>1175</v>
      </c>
      <c r="B1742" t="s">
        <v>2362</v>
      </c>
      <c r="C1742">
        <v>37.304689431500002</v>
      </c>
      <c r="D1742">
        <v>-7.0567464438199998</v>
      </c>
      <c r="E1742">
        <v>1</v>
      </c>
      <c r="F1742">
        <v>2</v>
      </c>
      <c r="G1742">
        <v>2</v>
      </c>
      <c r="J1742" t="s">
        <v>15</v>
      </c>
      <c r="K1742">
        <v>2</v>
      </c>
      <c r="L1742">
        <v>2.1320000000000001</v>
      </c>
      <c r="M1742">
        <v>0</v>
      </c>
      <c r="N1742" t="s">
        <v>10019</v>
      </c>
      <c r="O1742" t="str">
        <f>HYPERLINK("2\1\marker_933_838867.png", "Ver Imagen")</f>
        <v>Ver Imagen</v>
      </c>
      <c r="P1742" t="str">
        <f>HYPERLINK("SE\A-492\A-492__379.png", "Ver Imagen")</f>
        <v>Ver Imagen</v>
      </c>
    </row>
    <row r="1743" spans="1:16" x14ac:dyDescent="0.25">
      <c r="A1743">
        <v>1176</v>
      </c>
      <c r="B1743" t="s">
        <v>2364</v>
      </c>
      <c r="C1743">
        <v>37.305287680200003</v>
      </c>
      <c r="D1743">
        <v>-7.0567342897099996</v>
      </c>
      <c r="E1743">
        <v>1</v>
      </c>
      <c r="F1743">
        <v>2</v>
      </c>
      <c r="G1743">
        <v>2</v>
      </c>
      <c r="J1743" t="s">
        <v>15</v>
      </c>
      <c r="K1743">
        <v>2</v>
      </c>
      <c r="L1743">
        <v>1.863</v>
      </c>
      <c r="M1743">
        <v>0</v>
      </c>
      <c r="N1743" t="s">
        <v>10019</v>
      </c>
      <c r="O1743" t="str">
        <f>HYPERLINK("2\1\marker_786_838913.png", "Ver Imagen")</f>
        <v>Ver Imagen</v>
      </c>
      <c r="P1743" t="str">
        <f>HYPERLINK("SE\A-492\A-492__382.png", "Ver Imagen")</f>
        <v>Ver Imagen</v>
      </c>
    </row>
    <row r="1744" spans="1:16" x14ac:dyDescent="0.25">
      <c r="A1744">
        <v>1177</v>
      </c>
      <c r="B1744" t="s">
        <v>2366</v>
      </c>
      <c r="C1744">
        <v>37.308706376000004</v>
      </c>
      <c r="D1744">
        <v>-7.0573669673200001</v>
      </c>
      <c r="E1744">
        <v>2</v>
      </c>
      <c r="F1744">
        <v>2</v>
      </c>
      <c r="G1744">
        <v>3</v>
      </c>
      <c r="J1744" t="s">
        <v>15</v>
      </c>
      <c r="K1744">
        <v>2</v>
      </c>
      <c r="L1744">
        <v>2.0350000000000001</v>
      </c>
      <c r="M1744">
        <v>0</v>
      </c>
      <c r="N1744" t="s">
        <v>10019</v>
      </c>
      <c r="O1744" t="str">
        <f>HYPERLINK("2\1\marker_440_839145.png", "Ver Imagen")</f>
        <v>Ver Imagen</v>
      </c>
      <c r="P1744" t="str">
        <f>HYPERLINK("SE\A-492\A-492__399.png", "Ver Imagen")</f>
        <v>Ver Imagen</v>
      </c>
    </row>
    <row r="1745" spans="1:16" x14ac:dyDescent="0.25">
      <c r="A1745">
        <v>1178</v>
      </c>
      <c r="B1745" t="s">
        <v>2368</v>
      </c>
      <c r="C1745">
        <v>37.309228566900003</v>
      </c>
      <c r="D1745">
        <v>-7.0576521312900002</v>
      </c>
      <c r="E1745">
        <v>2</v>
      </c>
      <c r="F1745">
        <v>2</v>
      </c>
      <c r="G1745">
        <v>3</v>
      </c>
      <c r="J1745" t="s">
        <v>15</v>
      </c>
      <c r="K1745">
        <v>2</v>
      </c>
      <c r="L1745">
        <v>2.1859999999999999</v>
      </c>
      <c r="M1745">
        <v>0</v>
      </c>
      <c r="N1745" t="s">
        <v>10019</v>
      </c>
      <c r="O1745" t="str">
        <f>HYPERLINK("2\1\marker_700_839183.png", "Ver Imagen")</f>
        <v>Ver Imagen</v>
      </c>
      <c r="P1745" t="str">
        <f>HYPERLINK("SE\A-492\A-492__402.png", "Ver Imagen")</f>
        <v>Ver Imagen</v>
      </c>
    </row>
    <row r="1746" spans="1:16" x14ac:dyDescent="0.25">
      <c r="A1746">
        <v>1179</v>
      </c>
      <c r="B1746" t="s">
        <v>2370</v>
      </c>
      <c r="C1746">
        <v>37.309423146699999</v>
      </c>
      <c r="D1746">
        <v>-7.0577831031800002</v>
      </c>
      <c r="E1746">
        <v>2</v>
      </c>
      <c r="F1746">
        <v>1</v>
      </c>
      <c r="G1746">
        <v>2</v>
      </c>
      <c r="J1746" t="s">
        <v>15</v>
      </c>
      <c r="K1746">
        <v>2</v>
      </c>
      <c r="L1746">
        <v>2.1139999999999999</v>
      </c>
      <c r="M1746">
        <v>0</v>
      </c>
      <c r="N1746" t="s">
        <v>10019</v>
      </c>
      <c r="O1746" t="str">
        <f>HYPERLINK("2\1\marker_386_839195.png", "Ver Imagen")</f>
        <v>Ver Imagen</v>
      </c>
      <c r="P1746" t="str">
        <f>HYPERLINK("SE\A-492\A-492__403.png", "Ver Imagen")</f>
        <v>Ver Imagen</v>
      </c>
    </row>
    <row r="1747" spans="1:16" x14ac:dyDescent="0.25">
      <c r="A1747">
        <v>1180</v>
      </c>
      <c r="B1747" t="s">
        <v>2372</v>
      </c>
      <c r="C1747">
        <v>37.3095860978</v>
      </c>
      <c r="D1747">
        <v>-7.05790429325</v>
      </c>
      <c r="E1747">
        <v>2</v>
      </c>
      <c r="F1747">
        <v>1</v>
      </c>
      <c r="G1747">
        <v>2</v>
      </c>
      <c r="J1747" t="s">
        <v>15</v>
      </c>
      <c r="K1747">
        <v>2</v>
      </c>
      <c r="L1747">
        <v>1.8779999999999999</v>
      </c>
      <c r="M1747">
        <v>0</v>
      </c>
      <c r="N1747" t="s">
        <v>10018</v>
      </c>
      <c r="O1747" t="str">
        <f>HYPERLINK("2\1\marker_481_839206.png", "Ver Imagen")</f>
        <v>Ver Imagen</v>
      </c>
      <c r="P1747" t="str">
        <f>HYPERLINK("SE\A-492\A-492__404.png", "Ver Imagen")</f>
        <v>Ver Imagen</v>
      </c>
    </row>
    <row r="1748" spans="1:16" x14ac:dyDescent="0.25">
      <c r="A1748">
        <v>1181</v>
      </c>
      <c r="B1748" t="s">
        <v>2374</v>
      </c>
      <c r="C1748">
        <v>37.31028491</v>
      </c>
      <c r="D1748">
        <v>-7.0584747879899998</v>
      </c>
      <c r="E1748">
        <v>1</v>
      </c>
      <c r="F1748">
        <v>2</v>
      </c>
      <c r="G1748">
        <v>2</v>
      </c>
      <c r="J1748" t="s">
        <v>15</v>
      </c>
      <c r="K1748">
        <v>2</v>
      </c>
      <c r="L1748">
        <v>1.9510000000000001</v>
      </c>
      <c r="M1748">
        <v>0</v>
      </c>
      <c r="N1748" t="s">
        <v>10019</v>
      </c>
      <c r="O1748" t="str">
        <f>HYPERLINK("2\1\marker_169_839268.png", "Ver Imagen")</f>
        <v>Ver Imagen</v>
      </c>
      <c r="P1748" t="str">
        <f>HYPERLINK("SE\A-492\A-492__408.png", "Ver Imagen")</f>
        <v>Ver Imagen</v>
      </c>
    </row>
    <row r="1749" spans="1:16" x14ac:dyDescent="0.25">
      <c r="A1749">
        <v>1182</v>
      </c>
      <c r="B1749" t="s">
        <v>2376</v>
      </c>
      <c r="C1749">
        <v>37.310631827100003</v>
      </c>
      <c r="D1749">
        <v>-7.0587723122300003</v>
      </c>
      <c r="E1749">
        <v>1</v>
      </c>
      <c r="F1749">
        <v>2</v>
      </c>
      <c r="G1749">
        <v>2</v>
      </c>
      <c r="J1749" t="s">
        <v>15</v>
      </c>
      <c r="K1749">
        <v>2</v>
      </c>
      <c r="L1749">
        <v>2.2170000000000001</v>
      </c>
      <c r="M1749">
        <v>0</v>
      </c>
      <c r="N1749" t="s">
        <v>10019</v>
      </c>
      <c r="O1749" t="str">
        <f>HYPERLINK("2\1\marker_251_839290.png", "Ver Imagen")</f>
        <v>Ver Imagen</v>
      </c>
      <c r="P1749" t="str">
        <f>HYPERLINK("SE\A-492\A-492__410.png", "Ver Imagen")</f>
        <v>Ver Imagen</v>
      </c>
    </row>
    <row r="1750" spans="1:16" x14ac:dyDescent="0.25">
      <c r="A1750">
        <v>1183</v>
      </c>
      <c r="B1750" t="s">
        <v>2378</v>
      </c>
      <c r="C1750">
        <v>37.310765631400002</v>
      </c>
      <c r="D1750">
        <v>-7.0588856511299998</v>
      </c>
      <c r="E1750">
        <v>1</v>
      </c>
      <c r="F1750">
        <v>2</v>
      </c>
      <c r="G1750">
        <v>2</v>
      </c>
      <c r="J1750" t="s">
        <v>15</v>
      </c>
      <c r="K1750">
        <v>2</v>
      </c>
      <c r="L1750">
        <v>1.89</v>
      </c>
      <c r="M1750">
        <v>0</v>
      </c>
      <c r="N1750" t="s">
        <v>10018</v>
      </c>
      <c r="O1750" t="str">
        <f>HYPERLINK("2\1\marker_961_839300.png", "Ver Imagen")</f>
        <v>Ver Imagen</v>
      </c>
      <c r="P1750" t="str">
        <f>HYPERLINK("SE\A-492\A-492__411.png", "Ver Imagen")</f>
        <v>Ver Imagen</v>
      </c>
    </row>
    <row r="1751" spans="1:16" x14ac:dyDescent="0.25">
      <c r="A1751">
        <v>1184</v>
      </c>
      <c r="B1751" t="s">
        <v>2380</v>
      </c>
      <c r="C1751">
        <v>37.311748242999997</v>
      </c>
      <c r="D1751">
        <v>-7.0598426846700004</v>
      </c>
      <c r="E1751">
        <v>2</v>
      </c>
      <c r="F1751">
        <v>1</v>
      </c>
      <c r="G1751">
        <v>2</v>
      </c>
      <c r="J1751" t="s">
        <v>15</v>
      </c>
      <c r="K1751">
        <v>2</v>
      </c>
      <c r="L1751">
        <v>1.925</v>
      </c>
      <c r="M1751">
        <v>0</v>
      </c>
      <c r="N1751" t="s">
        <v>10019</v>
      </c>
      <c r="O1751" t="str">
        <f>HYPERLINK("2\1\marker_905_839364.png", "Ver Imagen")</f>
        <v>Ver Imagen</v>
      </c>
      <c r="P1751" t="str">
        <f>HYPERLINK("SE\A-492\A-492__417.png", "Ver Imagen")</f>
        <v>Ver Imagen</v>
      </c>
    </row>
    <row r="1752" spans="1:16" x14ac:dyDescent="0.25">
      <c r="A1752">
        <v>1185</v>
      </c>
      <c r="B1752" t="s">
        <v>2382</v>
      </c>
      <c r="C1752">
        <v>37.312018589499999</v>
      </c>
      <c r="D1752">
        <v>-7.0602148903200002</v>
      </c>
      <c r="E1752">
        <v>2</v>
      </c>
      <c r="F1752">
        <v>1</v>
      </c>
      <c r="G1752">
        <v>2</v>
      </c>
      <c r="J1752" t="s">
        <v>15</v>
      </c>
      <c r="K1752">
        <v>2</v>
      </c>
      <c r="L1752">
        <v>1.9870000000000001</v>
      </c>
      <c r="M1752">
        <v>0</v>
      </c>
      <c r="N1752" t="s">
        <v>10019</v>
      </c>
      <c r="O1752" t="str">
        <f>HYPERLINK("2\1\marker_390_839388.png", "Ver Imagen")</f>
        <v>Ver Imagen</v>
      </c>
      <c r="P1752" t="str">
        <f>HYPERLINK("SE\A-492\A-492__419.png", "Ver Imagen")</f>
        <v>Ver Imagen</v>
      </c>
    </row>
    <row r="1753" spans="1:16" x14ac:dyDescent="0.25">
      <c r="A1753">
        <v>1186</v>
      </c>
      <c r="B1753" t="s">
        <v>2384</v>
      </c>
      <c r="C1753">
        <v>37.312138451000003</v>
      </c>
      <c r="D1753">
        <v>-7.0603947652899999</v>
      </c>
      <c r="E1753">
        <v>2</v>
      </c>
      <c r="F1753">
        <v>1</v>
      </c>
      <c r="G1753">
        <v>2</v>
      </c>
      <c r="J1753" t="s">
        <v>15</v>
      </c>
      <c r="K1753">
        <v>2</v>
      </c>
      <c r="L1753">
        <v>2.0880000000000001</v>
      </c>
      <c r="M1753">
        <v>0</v>
      </c>
      <c r="N1753" t="s">
        <v>10019</v>
      </c>
      <c r="O1753" t="str">
        <f>HYPERLINK("2\1\marker_961_839398.png", "Ver Imagen")</f>
        <v>Ver Imagen</v>
      </c>
      <c r="P1753" t="str">
        <f>HYPERLINK("SE\A-492\A-492__420.png", "Ver Imagen")</f>
        <v>Ver Imagen</v>
      </c>
    </row>
    <row r="1754" spans="1:16" x14ac:dyDescent="0.25">
      <c r="A1754">
        <v>1187</v>
      </c>
      <c r="B1754" t="s">
        <v>2386</v>
      </c>
      <c r="C1754">
        <v>37.312650336099999</v>
      </c>
      <c r="D1754">
        <v>-7.0611899348299998</v>
      </c>
      <c r="E1754">
        <v>1</v>
      </c>
      <c r="F1754">
        <v>2</v>
      </c>
      <c r="G1754">
        <v>2</v>
      </c>
      <c r="J1754" t="s">
        <v>15</v>
      </c>
      <c r="K1754">
        <v>2</v>
      </c>
      <c r="L1754">
        <v>2.3530000000000002</v>
      </c>
      <c r="M1754">
        <v>0</v>
      </c>
      <c r="N1754" t="s">
        <v>10018</v>
      </c>
      <c r="O1754" t="str">
        <f>HYPERLINK("2\1\marker_592_839464.png", "Ver Imagen")</f>
        <v>Ver Imagen</v>
      </c>
      <c r="P1754" t="str">
        <f>HYPERLINK("SE\A-492\A-492__424.png", "Ver Imagen")</f>
        <v>Ver Imagen</v>
      </c>
    </row>
    <row r="1755" spans="1:16" x14ac:dyDescent="0.25">
      <c r="A1755">
        <v>1188</v>
      </c>
      <c r="B1755" t="s">
        <v>2388</v>
      </c>
      <c r="C1755">
        <v>37.312774382100002</v>
      </c>
      <c r="D1755">
        <v>-7.0613853451399997</v>
      </c>
      <c r="E1755">
        <v>1</v>
      </c>
      <c r="F1755">
        <v>2</v>
      </c>
      <c r="G1755">
        <v>2</v>
      </c>
      <c r="J1755" t="s">
        <v>15</v>
      </c>
      <c r="K1755">
        <v>2</v>
      </c>
      <c r="L1755">
        <v>2.169</v>
      </c>
      <c r="M1755">
        <v>0</v>
      </c>
      <c r="N1755" t="s">
        <v>10019</v>
      </c>
      <c r="O1755" t="str">
        <f>HYPERLINK("2\1\marker_109_839476.png", "Ver Imagen")</f>
        <v>Ver Imagen</v>
      </c>
      <c r="P1755" t="str">
        <f>HYPERLINK("SE\A-492\A-492__425.png", "Ver Imagen")</f>
        <v>Ver Imagen</v>
      </c>
    </row>
    <row r="1756" spans="1:16" x14ac:dyDescent="0.25">
      <c r="A1756">
        <v>1189</v>
      </c>
      <c r="B1756" t="s">
        <v>2390</v>
      </c>
      <c r="C1756">
        <v>37.313018037900001</v>
      </c>
      <c r="D1756">
        <v>-7.0617834954700003</v>
      </c>
      <c r="E1756">
        <v>1</v>
      </c>
      <c r="F1756">
        <v>2</v>
      </c>
      <c r="G1756">
        <v>2</v>
      </c>
      <c r="J1756" t="s">
        <v>15</v>
      </c>
      <c r="K1756">
        <v>2</v>
      </c>
      <c r="L1756">
        <v>2.198</v>
      </c>
      <c r="M1756">
        <v>0</v>
      </c>
      <c r="N1756" t="s">
        <v>10019</v>
      </c>
      <c r="O1756" t="str">
        <f>HYPERLINK("2\1\marker_210_839495.png", "Ver Imagen")</f>
        <v>Ver Imagen</v>
      </c>
      <c r="P1756" t="str">
        <f>HYPERLINK("SE\A-492\A-492__427.png", "Ver Imagen")</f>
        <v>Ver Imagen</v>
      </c>
    </row>
    <row r="1757" spans="1:16" x14ac:dyDescent="0.25">
      <c r="A1757">
        <v>1190</v>
      </c>
      <c r="B1757" t="s">
        <v>2392</v>
      </c>
      <c r="C1757">
        <v>37.313153424299998</v>
      </c>
      <c r="D1757">
        <v>-7.0620188450299999</v>
      </c>
      <c r="E1757">
        <v>1</v>
      </c>
      <c r="F1757">
        <v>2</v>
      </c>
      <c r="G1757">
        <v>2</v>
      </c>
      <c r="J1757" t="s">
        <v>15</v>
      </c>
      <c r="K1757">
        <v>2</v>
      </c>
      <c r="L1757">
        <v>1.768</v>
      </c>
      <c r="M1757">
        <v>0</v>
      </c>
      <c r="N1757" t="s">
        <v>10019</v>
      </c>
      <c r="O1757" t="str">
        <f>HYPERLINK("2\1\marker_874_839504.png", "Ver Imagen")</f>
        <v>Ver Imagen</v>
      </c>
      <c r="P1757" t="str">
        <f>HYPERLINK("SE\A-492\A-492__428.png", "Ver Imagen")</f>
        <v>Ver Imagen</v>
      </c>
    </row>
    <row r="1758" spans="1:16" x14ac:dyDescent="0.25">
      <c r="A1758">
        <v>1191</v>
      </c>
      <c r="B1758" t="s">
        <v>2394</v>
      </c>
      <c r="C1758">
        <v>37.3132664472</v>
      </c>
      <c r="D1758">
        <v>-7.0622224260899999</v>
      </c>
      <c r="E1758">
        <v>2</v>
      </c>
      <c r="F1758">
        <v>2</v>
      </c>
      <c r="G1758">
        <v>3</v>
      </c>
      <c r="J1758" t="s">
        <v>15</v>
      </c>
      <c r="K1758">
        <v>2</v>
      </c>
      <c r="L1758">
        <v>2.1800000000000002</v>
      </c>
      <c r="M1758">
        <v>0</v>
      </c>
      <c r="N1758" t="s">
        <v>10019</v>
      </c>
      <c r="O1758" t="str">
        <f>HYPERLINK("2\1\marker_327_839513.png", "Ver Imagen")</f>
        <v>Ver Imagen</v>
      </c>
      <c r="P1758" t="str">
        <f>HYPERLINK("SE\A-492\A-492__429.png", "Ver Imagen")</f>
        <v>Ver Imagen</v>
      </c>
    </row>
    <row r="1759" spans="1:16" x14ac:dyDescent="0.25">
      <c r="A1759">
        <v>1192</v>
      </c>
      <c r="B1759" t="s">
        <v>2396</v>
      </c>
      <c r="C1759">
        <v>37.313382983799997</v>
      </c>
      <c r="D1759">
        <v>-7.0624368048899999</v>
      </c>
      <c r="E1759">
        <v>2</v>
      </c>
      <c r="F1759">
        <v>1</v>
      </c>
      <c r="G1759">
        <v>2</v>
      </c>
      <c r="J1759" t="s">
        <v>15</v>
      </c>
      <c r="K1759">
        <v>2</v>
      </c>
      <c r="L1759">
        <v>2.1379999999999999</v>
      </c>
      <c r="M1759">
        <v>0</v>
      </c>
      <c r="N1759" t="s">
        <v>10018</v>
      </c>
      <c r="O1759" t="str">
        <f>HYPERLINK("2\1\marker_887_839523.png", "Ver Imagen")</f>
        <v>Ver Imagen</v>
      </c>
      <c r="P1759" t="str">
        <f>HYPERLINK("SE\A-492\A-492__430.png", "Ver Imagen")</f>
        <v>Ver Imagen</v>
      </c>
    </row>
    <row r="1760" spans="1:16" x14ac:dyDescent="0.25">
      <c r="A1760">
        <v>1194</v>
      </c>
      <c r="B1760" t="s">
        <v>2400</v>
      </c>
      <c r="C1760">
        <v>37.314499835299998</v>
      </c>
      <c r="D1760">
        <v>-7.0645268651400004</v>
      </c>
      <c r="E1760">
        <v>1</v>
      </c>
      <c r="F1760">
        <v>2</v>
      </c>
      <c r="G1760">
        <v>2</v>
      </c>
      <c r="J1760" t="s">
        <v>15</v>
      </c>
      <c r="K1760">
        <v>2</v>
      </c>
      <c r="L1760">
        <v>1.78</v>
      </c>
      <c r="M1760">
        <v>0</v>
      </c>
      <c r="N1760" t="s">
        <v>10019</v>
      </c>
      <c r="O1760" t="str">
        <f>HYPERLINK("2\1\marker_789_839701.png", "Ver Imagen")</f>
        <v>Ver Imagen</v>
      </c>
      <c r="P1760" t="str">
        <f>HYPERLINK("SE\A-492\A-492__440.png", "Ver Imagen")</f>
        <v>Ver Imagen</v>
      </c>
    </row>
    <row r="1761" spans="1:16" x14ac:dyDescent="0.25">
      <c r="A1761">
        <v>1196</v>
      </c>
      <c r="B1761" t="s">
        <v>2404</v>
      </c>
      <c r="C1761">
        <v>37.314831771999998</v>
      </c>
      <c r="D1761">
        <v>-7.06514974183</v>
      </c>
      <c r="E1761">
        <v>1</v>
      </c>
      <c r="F1761">
        <v>2</v>
      </c>
      <c r="G1761">
        <v>2</v>
      </c>
      <c r="J1761" t="s">
        <v>15</v>
      </c>
      <c r="K1761">
        <v>2</v>
      </c>
      <c r="L1761">
        <v>2.0139999999999998</v>
      </c>
      <c r="M1761">
        <v>0</v>
      </c>
      <c r="N1761" t="s">
        <v>10019</v>
      </c>
      <c r="O1761" t="str">
        <f>HYPERLINK("2\1\marker_382_839732.png", "Ver Imagen")</f>
        <v>Ver Imagen</v>
      </c>
      <c r="P1761" t="str">
        <f>HYPERLINK("SE\A-492\A-492__443.png", "Ver Imagen")</f>
        <v>Ver Imagen</v>
      </c>
    </row>
    <row r="1762" spans="1:16" x14ac:dyDescent="0.25">
      <c r="A1762">
        <v>1197</v>
      </c>
      <c r="B1762" t="s">
        <v>2406</v>
      </c>
      <c r="C1762">
        <v>37.315030459500001</v>
      </c>
      <c r="D1762">
        <v>-7.0655773615799999</v>
      </c>
      <c r="E1762">
        <v>1</v>
      </c>
      <c r="F1762">
        <v>2</v>
      </c>
      <c r="G1762">
        <v>2</v>
      </c>
      <c r="J1762" t="s">
        <v>15</v>
      </c>
      <c r="K1762">
        <v>2</v>
      </c>
      <c r="L1762">
        <v>2.3820000000000001</v>
      </c>
      <c r="M1762">
        <v>0</v>
      </c>
      <c r="N1762" t="s">
        <v>10019</v>
      </c>
      <c r="O1762" t="str">
        <f>HYPERLINK("2\1\marker_815_839759.png", "Ver Imagen")</f>
        <v>Ver Imagen</v>
      </c>
      <c r="P1762" t="str">
        <f>HYPERLINK("SE\A-492\A-492__445.png", "Ver Imagen")</f>
        <v>Ver Imagen</v>
      </c>
    </row>
    <row r="1763" spans="1:16" x14ac:dyDescent="0.25">
      <c r="A1763">
        <v>1198</v>
      </c>
      <c r="B1763" t="s">
        <v>2408</v>
      </c>
      <c r="C1763">
        <v>37.317605654399998</v>
      </c>
      <c r="D1763">
        <v>-7.0711044704299999</v>
      </c>
      <c r="E1763">
        <v>2</v>
      </c>
      <c r="F1763">
        <v>2</v>
      </c>
      <c r="G1763">
        <v>3</v>
      </c>
      <c r="J1763" t="s">
        <v>15</v>
      </c>
      <c r="K1763">
        <v>2</v>
      </c>
      <c r="L1763">
        <v>2.3029999999999999</v>
      </c>
      <c r="M1763">
        <v>0</v>
      </c>
      <c r="N1763" t="s">
        <v>10017</v>
      </c>
      <c r="O1763" t="str">
        <f>HYPERLINK("2\1\marker_289_840054.png", "Ver Imagen")</f>
        <v>Ver Imagen</v>
      </c>
      <c r="P1763" t="str">
        <f>HYPERLINK("SE\A-492\A-492__471.png", "Ver Imagen")</f>
        <v>Ver Imagen</v>
      </c>
    </row>
    <row r="1764" spans="1:16" x14ac:dyDescent="0.25">
      <c r="A1764">
        <v>1199</v>
      </c>
      <c r="B1764" t="s">
        <v>2410</v>
      </c>
      <c r="C1764">
        <v>37.3177794132</v>
      </c>
      <c r="D1764">
        <v>-7.0711756702099997</v>
      </c>
      <c r="E1764">
        <v>2</v>
      </c>
      <c r="F1764">
        <v>2</v>
      </c>
      <c r="G1764">
        <v>3</v>
      </c>
      <c r="J1764" t="s">
        <v>15</v>
      </c>
      <c r="K1764">
        <v>2</v>
      </c>
      <c r="L1764">
        <v>2.2509999999999999</v>
      </c>
      <c r="M1764">
        <v>0</v>
      </c>
      <c r="N1764" t="s">
        <v>10019</v>
      </c>
      <c r="O1764" t="str">
        <f>HYPERLINK("2\1\marker_748_840068.png", "Ver Imagen")</f>
        <v>Ver Imagen</v>
      </c>
      <c r="P1764" t="str">
        <f>HYPERLINK("SE\A-492\A-492__472.png", "Ver Imagen")</f>
        <v>Ver Imagen</v>
      </c>
    </row>
    <row r="1765" spans="1:16" x14ac:dyDescent="0.25">
      <c r="A1765">
        <v>1200</v>
      </c>
      <c r="B1765" t="s">
        <v>2412</v>
      </c>
      <c r="C1765">
        <v>37.4641037946</v>
      </c>
      <c r="D1765">
        <v>-7.1187867896099997</v>
      </c>
      <c r="E1765">
        <v>1</v>
      </c>
      <c r="F1765">
        <v>2</v>
      </c>
      <c r="G1765">
        <v>2</v>
      </c>
      <c r="J1765" t="s">
        <v>15</v>
      </c>
      <c r="K1765">
        <v>2</v>
      </c>
      <c r="L1765">
        <v>1.855</v>
      </c>
      <c r="M1765">
        <v>0</v>
      </c>
      <c r="N1765" t="s">
        <v>10019</v>
      </c>
      <c r="O1765" t="str">
        <f>HYPERLINK("2\1\marker_858_895807.png", "Ver Imagen")</f>
        <v>Ver Imagen</v>
      </c>
      <c r="P1765" t="str">
        <f>HYPERLINK("NE\A-495R\A-495R__105.png", "Ver Imagen")</f>
        <v>Ver Imagen</v>
      </c>
    </row>
    <row r="1766" spans="1:16" x14ac:dyDescent="0.25">
      <c r="A1766">
        <v>1201</v>
      </c>
      <c r="B1766" t="s">
        <v>2414</v>
      </c>
      <c r="C1766">
        <v>37.4483401237</v>
      </c>
      <c r="D1766">
        <v>-7.1095120029199999</v>
      </c>
      <c r="E1766">
        <v>2</v>
      </c>
      <c r="F1766">
        <v>3</v>
      </c>
      <c r="G1766">
        <v>2</v>
      </c>
      <c r="J1766" t="s">
        <v>15</v>
      </c>
      <c r="K1766">
        <v>2</v>
      </c>
      <c r="L1766">
        <v>2.1230000000000002</v>
      </c>
      <c r="M1766">
        <v>0</v>
      </c>
      <c r="N1766" t="s">
        <v>10019</v>
      </c>
      <c r="O1766" t="str">
        <f>HYPERLINK("2\1\marker_392_936751.png", "Ver Imagen")</f>
        <v>Ver Imagen</v>
      </c>
      <c r="P1766" t="str">
        <f>HYPERLINK("NE\A-495R\A-495R__18.png", "Ver Imagen")</f>
        <v>Ver Imagen</v>
      </c>
    </row>
    <row r="1767" spans="1:16" x14ac:dyDescent="0.25">
      <c r="A1767">
        <v>1203</v>
      </c>
      <c r="B1767" t="s">
        <v>2418</v>
      </c>
      <c r="C1767">
        <v>37.2674551124</v>
      </c>
      <c r="D1767">
        <v>-6.9612411553699998</v>
      </c>
      <c r="E1767">
        <v>2</v>
      </c>
      <c r="F1767">
        <v>2</v>
      </c>
      <c r="G1767">
        <v>1</v>
      </c>
      <c r="J1767" t="s">
        <v>15</v>
      </c>
      <c r="K1767">
        <v>2</v>
      </c>
      <c r="L1767">
        <v>2.4940000000000002</v>
      </c>
      <c r="M1767">
        <v>0</v>
      </c>
      <c r="N1767" t="s">
        <v>10017</v>
      </c>
      <c r="O1767" t="str">
        <f>HYPERLINK("2\1\marker_611_943752.png", "Ver Imagen")</f>
        <v>Ver Imagen</v>
      </c>
      <c r="P1767" t="str">
        <f>HYPERLINK("SE\A-497\A-497__22.png", "Ver Imagen")</f>
        <v>Ver Imagen</v>
      </c>
    </row>
    <row r="1768" spans="1:16" x14ac:dyDescent="0.25">
      <c r="A1768">
        <v>1204</v>
      </c>
      <c r="B1768" t="s">
        <v>2420</v>
      </c>
      <c r="C1768">
        <v>37.267195572399999</v>
      </c>
      <c r="D1768">
        <v>-6.9595242211099997</v>
      </c>
      <c r="E1768">
        <v>2</v>
      </c>
      <c r="F1768">
        <v>2</v>
      </c>
      <c r="G1768">
        <v>1</v>
      </c>
      <c r="J1768" t="s">
        <v>15</v>
      </c>
      <c r="K1768">
        <v>2</v>
      </c>
      <c r="L1768">
        <v>2.0859999999999999</v>
      </c>
      <c r="M1768">
        <v>0</v>
      </c>
      <c r="N1768" t="s">
        <v>10019</v>
      </c>
      <c r="O1768" t="str">
        <f>HYPERLINK("2\1\marker_990_943834.png", "Ver Imagen")</f>
        <v>Ver Imagen</v>
      </c>
      <c r="P1768" t="str">
        <f>HYPERLINK("SE\A-497\A-497__15.png", "Ver Imagen")</f>
        <v>Ver Imagen</v>
      </c>
    </row>
    <row r="1769" spans="1:16" x14ac:dyDescent="0.25">
      <c r="A1769">
        <v>1205</v>
      </c>
      <c r="B1769" t="s">
        <v>2422</v>
      </c>
      <c r="C1769">
        <v>37.267150917000002</v>
      </c>
      <c r="D1769">
        <v>-6.9592813329999998</v>
      </c>
      <c r="E1769">
        <v>2</v>
      </c>
      <c r="F1769">
        <v>2</v>
      </c>
      <c r="G1769">
        <v>1</v>
      </c>
      <c r="J1769" t="s">
        <v>15</v>
      </c>
      <c r="K1769">
        <v>2</v>
      </c>
      <c r="L1769">
        <v>1.71</v>
      </c>
      <c r="M1769">
        <v>0</v>
      </c>
      <c r="N1769" t="s">
        <v>10019</v>
      </c>
      <c r="O1769" t="str">
        <f>HYPERLINK("2\1\marker_111_943903.png", "Ver Imagen")</f>
        <v>Ver Imagen</v>
      </c>
      <c r="P1769" t="str">
        <f>HYPERLINK("SE\A-497\A-497__14.png", "Ver Imagen")</f>
        <v>Ver Imagen</v>
      </c>
    </row>
    <row r="1770" spans="1:16" x14ac:dyDescent="0.25">
      <c r="A1770">
        <v>1206</v>
      </c>
      <c r="B1770" t="s">
        <v>2424</v>
      </c>
      <c r="C1770">
        <v>37.267101990999997</v>
      </c>
      <c r="D1770">
        <v>-6.9590260472000001</v>
      </c>
      <c r="E1770">
        <v>1</v>
      </c>
      <c r="F1770">
        <v>2</v>
      </c>
      <c r="G1770">
        <v>2</v>
      </c>
      <c r="J1770" t="s">
        <v>15</v>
      </c>
      <c r="K1770">
        <v>2</v>
      </c>
      <c r="L1770">
        <v>2.012</v>
      </c>
      <c r="M1770">
        <v>0</v>
      </c>
      <c r="N1770" t="s">
        <v>10019</v>
      </c>
      <c r="O1770" t="str">
        <f>HYPERLINK("2\1\marker_480_943913.png", "Ver Imagen")</f>
        <v>Ver Imagen</v>
      </c>
      <c r="P1770" t="str">
        <f>HYPERLINK("SE\A-497\A-497__13.png", "Ver Imagen")</f>
        <v>Ver Imagen</v>
      </c>
    </row>
    <row r="1771" spans="1:16" x14ac:dyDescent="0.25">
      <c r="A1771">
        <v>1207</v>
      </c>
      <c r="B1771" t="s">
        <v>2426</v>
      </c>
      <c r="C1771">
        <v>37.267049942500002</v>
      </c>
      <c r="D1771">
        <v>-6.9587788569100004</v>
      </c>
      <c r="E1771">
        <v>1</v>
      </c>
      <c r="F1771">
        <v>2</v>
      </c>
      <c r="G1771">
        <v>2</v>
      </c>
      <c r="J1771" t="s">
        <v>15</v>
      </c>
      <c r="K1771">
        <v>2</v>
      </c>
      <c r="L1771">
        <v>2.008</v>
      </c>
      <c r="M1771">
        <v>0</v>
      </c>
      <c r="N1771" t="s">
        <v>10019</v>
      </c>
      <c r="O1771" t="str">
        <f>HYPERLINK("2\1\marker_743_943953.png", "Ver Imagen")</f>
        <v>Ver Imagen</v>
      </c>
      <c r="P1771" t="str">
        <f>HYPERLINK("SE\A-497\A-497__12.png", "Ver Imagen")</f>
        <v>Ver Imagen</v>
      </c>
    </row>
    <row r="1772" spans="1:16" x14ac:dyDescent="0.25">
      <c r="A1772">
        <v>1208</v>
      </c>
      <c r="B1772" t="s">
        <v>2428</v>
      </c>
      <c r="C1772">
        <v>37.190072902799997</v>
      </c>
      <c r="D1772">
        <v>-6.98899874599</v>
      </c>
      <c r="E1772">
        <v>2</v>
      </c>
      <c r="F1772">
        <v>3</v>
      </c>
      <c r="G1772">
        <v>2</v>
      </c>
      <c r="J1772" t="s">
        <v>15</v>
      </c>
      <c r="K1772">
        <v>2</v>
      </c>
      <c r="L1772">
        <v>1.706</v>
      </c>
      <c r="M1772">
        <v>0</v>
      </c>
      <c r="N1772" t="s">
        <v>10019</v>
      </c>
      <c r="O1772" t="str">
        <f>HYPERLINK("2\1\marker_801_944173.png", "Ver Imagen")</f>
        <v>Ver Imagen</v>
      </c>
      <c r="P1772" t="str">
        <f>HYPERLINK("SE\A-5050\A-5050__180.png", "Ver Imagen")</f>
        <v>Ver Imagen</v>
      </c>
    </row>
    <row r="1773" spans="1:16" x14ac:dyDescent="0.25">
      <c r="A1773">
        <v>1209</v>
      </c>
      <c r="B1773" t="s">
        <v>2430</v>
      </c>
      <c r="C1773">
        <v>37.190686650899998</v>
      </c>
      <c r="D1773">
        <v>-6.9903281485399997</v>
      </c>
      <c r="E1773">
        <v>2</v>
      </c>
      <c r="F1773">
        <v>3</v>
      </c>
      <c r="G1773">
        <v>2</v>
      </c>
      <c r="J1773" t="s">
        <v>15</v>
      </c>
      <c r="K1773">
        <v>2</v>
      </c>
      <c r="L1773">
        <v>1.958</v>
      </c>
      <c r="M1773">
        <v>0</v>
      </c>
      <c r="N1773" t="s">
        <v>10019</v>
      </c>
      <c r="O1773" t="str">
        <f>HYPERLINK("2\1\marker_676_944243.png", "Ver Imagen")</f>
        <v>Ver Imagen</v>
      </c>
      <c r="P1773" t="str">
        <f>HYPERLINK("SE\A-5050\A-5050__174.png", "Ver Imagen")</f>
        <v>Ver Imagen</v>
      </c>
    </row>
    <row r="1774" spans="1:16" x14ac:dyDescent="0.25">
      <c r="A1774">
        <v>1210</v>
      </c>
      <c r="B1774" t="s">
        <v>2432</v>
      </c>
      <c r="C1774">
        <v>37.193672910399997</v>
      </c>
      <c r="D1774">
        <v>-6.9969178464299997</v>
      </c>
      <c r="E1774">
        <v>2</v>
      </c>
      <c r="F1774">
        <v>2</v>
      </c>
      <c r="G1774">
        <v>3</v>
      </c>
      <c r="J1774" t="s">
        <v>15</v>
      </c>
      <c r="K1774">
        <v>2</v>
      </c>
      <c r="L1774">
        <v>1.972</v>
      </c>
      <c r="M1774">
        <v>0</v>
      </c>
      <c r="N1774" t="s">
        <v>10017</v>
      </c>
      <c r="O1774" t="str">
        <f>HYPERLINK("2\1\marker_994_945800.png", "Ver Imagen")</f>
        <v>Ver Imagen</v>
      </c>
      <c r="P1774" t="str">
        <f>HYPERLINK("SE\A-5050\A-5050__144.png", "Ver Imagen")</f>
        <v>Ver Imagen</v>
      </c>
    </row>
    <row r="1775" spans="1:16" x14ac:dyDescent="0.25">
      <c r="A1775">
        <v>1211</v>
      </c>
      <c r="B1775" t="s">
        <v>2434</v>
      </c>
      <c r="C1775">
        <v>37.194697206699999</v>
      </c>
      <c r="D1775">
        <v>-6.9993980641300002</v>
      </c>
      <c r="E1775">
        <v>2</v>
      </c>
      <c r="F1775">
        <v>2</v>
      </c>
      <c r="G1775">
        <v>3</v>
      </c>
      <c r="J1775" t="s">
        <v>15</v>
      </c>
      <c r="K1775">
        <v>2</v>
      </c>
      <c r="L1775">
        <v>2.0870000000000002</v>
      </c>
      <c r="M1775">
        <v>0</v>
      </c>
      <c r="N1775" t="s">
        <v>10018</v>
      </c>
      <c r="O1775" t="str">
        <f>HYPERLINK("2\1\marker_412_945916.png", "Ver Imagen")</f>
        <v>Ver Imagen</v>
      </c>
      <c r="P1775" t="str">
        <f>HYPERLINK("SE\A-5050\A-5050__133.png", "Ver Imagen")</f>
        <v>Ver Imagen</v>
      </c>
    </row>
    <row r="1776" spans="1:16" x14ac:dyDescent="0.25">
      <c r="A1776">
        <v>1213</v>
      </c>
      <c r="B1776" t="s">
        <v>2438</v>
      </c>
      <c r="C1776">
        <v>37.195903743300001</v>
      </c>
      <c r="D1776">
        <v>-7.0023295994900003</v>
      </c>
      <c r="E1776">
        <v>2</v>
      </c>
      <c r="F1776">
        <v>3</v>
      </c>
      <c r="G1776">
        <v>2</v>
      </c>
      <c r="J1776" t="s">
        <v>15</v>
      </c>
      <c r="K1776">
        <v>2</v>
      </c>
      <c r="L1776">
        <v>1.992</v>
      </c>
      <c r="M1776">
        <v>0</v>
      </c>
      <c r="N1776" t="s">
        <v>10018</v>
      </c>
      <c r="O1776" t="str">
        <f>HYPERLINK("2\1\marker_259_946508.png", "Ver Imagen")</f>
        <v>Ver Imagen</v>
      </c>
      <c r="P1776" t="str">
        <f>HYPERLINK("SE\A-5050\A-5050__120.png", "Ver Imagen")</f>
        <v>Ver Imagen</v>
      </c>
    </row>
    <row r="1777" spans="1:16" x14ac:dyDescent="0.25">
      <c r="A1777">
        <v>1214</v>
      </c>
      <c r="B1777" t="s">
        <v>2440</v>
      </c>
      <c r="C1777">
        <v>37.202426315300002</v>
      </c>
      <c r="D1777">
        <v>-7.0144748691299998</v>
      </c>
      <c r="E1777">
        <v>2</v>
      </c>
      <c r="F1777">
        <v>2</v>
      </c>
      <c r="G1777">
        <v>3</v>
      </c>
      <c r="J1777" t="s">
        <v>15</v>
      </c>
      <c r="K1777">
        <v>2</v>
      </c>
      <c r="L1777">
        <v>2.044</v>
      </c>
      <c r="M1777">
        <v>0</v>
      </c>
      <c r="N1777" t="s">
        <v>10019</v>
      </c>
      <c r="O1777" t="str">
        <f>HYPERLINK("2\1\marker_786_949006.png", "Ver Imagen")</f>
        <v>Ver Imagen</v>
      </c>
      <c r="P1777" t="str">
        <f>HYPERLINK("SE\A-5050\A-5050__62.png", "Ver Imagen")</f>
        <v>Ver Imagen</v>
      </c>
    </row>
    <row r="1778" spans="1:16" x14ac:dyDescent="0.25">
      <c r="A1778">
        <v>1216</v>
      </c>
      <c r="B1778" t="s">
        <v>2444</v>
      </c>
      <c r="C1778">
        <v>37.204077904199998</v>
      </c>
      <c r="D1778">
        <v>-7.0170123289699999</v>
      </c>
      <c r="E1778">
        <v>2</v>
      </c>
      <c r="F1778">
        <v>3</v>
      </c>
      <c r="G1778">
        <v>2</v>
      </c>
      <c r="J1778" t="s">
        <v>15</v>
      </c>
      <c r="K1778">
        <v>2</v>
      </c>
      <c r="L1778">
        <v>2.044</v>
      </c>
      <c r="M1778">
        <v>0</v>
      </c>
      <c r="N1778" t="s">
        <v>10019</v>
      </c>
      <c r="O1778" t="str">
        <f>HYPERLINK("2\1\marker_883_949163.png", "Ver Imagen")</f>
        <v>Ver Imagen</v>
      </c>
      <c r="P1778" t="str">
        <f>HYPERLINK("SE\A-5050\A-5050__49.png", "Ver Imagen")</f>
        <v>Ver Imagen</v>
      </c>
    </row>
    <row r="1779" spans="1:16" x14ac:dyDescent="0.25">
      <c r="A1779">
        <v>1217</v>
      </c>
      <c r="B1779" t="s">
        <v>2446</v>
      </c>
      <c r="C1779">
        <v>37.204363816300003</v>
      </c>
      <c r="D1779">
        <v>-7.0174545503700001</v>
      </c>
      <c r="E1779">
        <v>2</v>
      </c>
      <c r="F1779">
        <v>3</v>
      </c>
      <c r="G1779">
        <v>2</v>
      </c>
      <c r="J1779" t="s">
        <v>15</v>
      </c>
      <c r="K1779">
        <v>2</v>
      </c>
      <c r="L1779">
        <v>2.036</v>
      </c>
      <c r="M1779">
        <v>0</v>
      </c>
      <c r="N1779" t="s">
        <v>10019</v>
      </c>
      <c r="O1779" t="str">
        <f>HYPERLINK("2\1\marker_126_949180.png", "Ver Imagen")</f>
        <v>Ver Imagen</v>
      </c>
      <c r="P1779" t="str">
        <f>HYPERLINK("SE\A-5050\A-5050__47.png", "Ver Imagen")</f>
        <v>Ver Imagen</v>
      </c>
    </row>
    <row r="1780" spans="1:16" x14ac:dyDescent="0.25">
      <c r="A1780">
        <v>1218</v>
      </c>
      <c r="B1780" t="s">
        <v>2448</v>
      </c>
      <c r="C1780">
        <v>37.204586126400002</v>
      </c>
      <c r="D1780">
        <v>-7.01779713113</v>
      </c>
      <c r="E1780">
        <v>2</v>
      </c>
      <c r="F1780">
        <v>3</v>
      </c>
      <c r="G1780">
        <v>2</v>
      </c>
      <c r="J1780" t="s">
        <v>15</v>
      </c>
      <c r="K1780">
        <v>2</v>
      </c>
      <c r="L1780">
        <v>1.861</v>
      </c>
      <c r="M1780">
        <v>0</v>
      </c>
      <c r="N1780" t="s">
        <v>10019</v>
      </c>
      <c r="O1780" t="str">
        <f>HYPERLINK("2\1\marker_232_949202.png", "Ver Imagen")</f>
        <v>Ver Imagen</v>
      </c>
      <c r="P1780" t="str">
        <f>HYPERLINK("SE\A-5050\A-5050__45.png", "Ver Imagen")</f>
        <v>Ver Imagen</v>
      </c>
    </row>
    <row r="1781" spans="1:16" x14ac:dyDescent="0.25">
      <c r="A1781">
        <v>1220</v>
      </c>
      <c r="B1781" t="s">
        <v>2452</v>
      </c>
      <c r="C1781">
        <v>37.206573214499997</v>
      </c>
      <c r="D1781">
        <v>-7.0210217304300002</v>
      </c>
      <c r="E1781">
        <v>2</v>
      </c>
      <c r="F1781">
        <v>3</v>
      </c>
      <c r="G1781">
        <v>2</v>
      </c>
      <c r="J1781" t="s">
        <v>15</v>
      </c>
      <c r="K1781">
        <v>2</v>
      </c>
      <c r="L1781">
        <v>2.0979999999999999</v>
      </c>
      <c r="M1781">
        <v>0</v>
      </c>
      <c r="N1781" t="s">
        <v>10019</v>
      </c>
      <c r="O1781" t="str">
        <f>HYPERLINK("2\1\marker_997_949369.png", "Ver Imagen")</f>
        <v>Ver Imagen</v>
      </c>
      <c r="P1781" t="str">
        <f>HYPERLINK("SE\A-5050\A-5050__29.png", "Ver Imagen")</f>
        <v>Ver Imagen</v>
      </c>
    </row>
    <row r="1782" spans="1:16" x14ac:dyDescent="0.25">
      <c r="A1782">
        <v>1221</v>
      </c>
      <c r="B1782" t="s">
        <v>2454</v>
      </c>
      <c r="C1782">
        <v>37.207738961099999</v>
      </c>
      <c r="D1782">
        <v>-7.02239407186</v>
      </c>
      <c r="E1782">
        <v>2</v>
      </c>
      <c r="F1782">
        <v>3</v>
      </c>
      <c r="G1782">
        <v>2</v>
      </c>
      <c r="J1782" t="s">
        <v>15</v>
      </c>
      <c r="K1782">
        <v>2</v>
      </c>
      <c r="L1782">
        <v>2.492</v>
      </c>
      <c r="M1782">
        <v>0</v>
      </c>
      <c r="N1782" t="s">
        <v>10019</v>
      </c>
      <c r="O1782" t="str">
        <f>HYPERLINK("2\1\marker_413_949448.png", "Ver Imagen")</f>
        <v>Ver Imagen</v>
      </c>
      <c r="P1782" t="str">
        <f>HYPERLINK("SE\A-5050\A-5050__21.png", "Ver Imagen")</f>
        <v>Ver Imagen</v>
      </c>
    </row>
    <row r="1783" spans="1:16" x14ac:dyDescent="0.25">
      <c r="A1783">
        <v>1222</v>
      </c>
      <c r="B1783" t="s">
        <v>2456</v>
      </c>
      <c r="C1783">
        <v>37.207875504999997</v>
      </c>
      <c r="D1783">
        <v>-7.0225461341199997</v>
      </c>
      <c r="E1783">
        <v>2</v>
      </c>
      <c r="F1783">
        <v>2</v>
      </c>
      <c r="G1783">
        <v>3</v>
      </c>
      <c r="J1783" t="s">
        <v>15</v>
      </c>
      <c r="K1783">
        <v>2</v>
      </c>
      <c r="L1783">
        <v>2.379</v>
      </c>
      <c r="M1783">
        <v>0</v>
      </c>
      <c r="N1783" t="s">
        <v>10017</v>
      </c>
      <c r="O1783" t="str">
        <f>HYPERLINK("2\1\marker_340_949456.png", "Ver Imagen")</f>
        <v>Ver Imagen</v>
      </c>
      <c r="P1783" t="str">
        <f>HYPERLINK("SE\A-5050\A-5050__20.png", "Ver Imagen")</f>
        <v>Ver Imagen</v>
      </c>
    </row>
    <row r="1784" spans="1:16" x14ac:dyDescent="0.25">
      <c r="A1784">
        <v>1223</v>
      </c>
      <c r="B1784" t="s">
        <v>2458</v>
      </c>
      <c r="C1784">
        <v>37.208637590800002</v>
      </c>
      <c r="D1784">
        <v>-7.0256763250800001</v>
      </c>
      <c r="E1784">
        <v>2</v>
      </c>
      <c r="F1784">
        <v>2</v>
      </c>
      <c r="G1784">
        <v>3</v>
      </c>
      <c r="J1784" t="s">
        <v>15</v>
      </c>
      <c r="K1784">
        <v>2</v>
      </c>
      <c r="L1784">
        <v>2.4169999999999998</v>
      </c>
      <c r="M1784">
        <v>0</v>
      </c>
      <c r="N1784" t="s">
        <v>10019</v>
      </c>
      <c r="O1784" t="str">
        <f>HYPERLINK("2\1\marker_693_949638.png", "Ver Imagen")</f>
        <v>Ver Imagen</v>
      </c>
      <c r="P1784" t="str">
        <f>HYPERLINK("SE\A-5050\A-5050__7.png", "Ver Imagen")</f>
        <v>Ver Imagen</v>
      </c>
    </row>
    <row r="1785" spans="1:16" x14ac:dyDescent="0.25">
      <c r="A1785">
        <v>1224</v>
      </c>
      <c r="B1785" t="s">
        <v>2460</v>
      </c>
      <c r="C1785">
        <v>37.2086937077</v>
      </c>
      <c r="D1785">
        <v>-7.0258853719000003</v>
      </c>
      <c r="E1785">
        <v>2</v>
      </c>
      <c r="F1785">
        <v>3</v>
      </c>
      <c r="G1785">
        <v>2</v>
      </c>
      <c r="J1785" t="s">
        <v>15</v>
      </c>
      <c r="K1785">
        <v>2</v>
      </c>
      <c r="L1785">
        <v>2.2450000000000001</v>
      </c>
      <c r="M1785">
        <v>0</v>
      </c>
      <c r="N1785" t="s">
        <v>10019</v>
      </c>
      <c r="O1785" t="str">
        <f>HYPERLINK("2\1\marker_838_949647.png", "Ver Imagen")</f>
        <v>Ver Imagen</v>
      </c>
      <c r="P1785" t="str">
        <f>HYPERLINK("SE\A-5050\A-5050__6.png", "Ver Imagen")</f>
        <v>Ver Imagen</v>
      </c>
    </row>
    <row r="1786" spans="1:16" x14ac:dyDescent="0.25">
      <c r="A1786">
        <v>1225</v>
      </c>
      <c r="B1786" t="s">
        <v>2462</v>
      </c>
      <c r="C1786">
        <v>37.208748309699999</v>
      </c>
      <c r="D1786">
        <v>-7.0261273057100002</v>
      </c>
      <c r="E1786">
        <v>2</v>
      </c>
      <c r="F1786">
        <v>3</v>
      </c>
      <c r="G1786">
        <v>2</v>
      </c>
      <c r="J1786" t="s">
        <v>15</v>
      </c>
      <c r="K1786">
        <v>2</v>
      </c>
      <c r="L1786">
        <v>2.3069999999999999</v>
      </c>
      <c r="M1786">
        <v>0</v>
      </c>
      <c r="N1786" t="s">
        <v>10019</v>
      </c>
      <c r="O1786" t="str">
        <f>HYPERLINK("2\1\marker_488_949659.png", "Ver Imagen")</f>
        <v>Ver Imagen</v>
      </c>
      <c r="P1786" t="str">
        <f>HYPERLINK("SE\A-5050\A-5050__5.png", "Ver Imagen")</f>
        <v>Ver Imagen</v>
      </c>
    </row>
    <row r="1787" spans="1:16" x14ac:dyDescent="0.25">
      <c r="A1787">
        <v>1226</v>
      </c>
      <c r="B1787" t="s">
        <v>2464</v>
      </c>
      <c r="C1787">
        <v>37.218357796900001</v>
      </c>
      <c r="D1787">
        <v>-7.1239310716400004</v>
      </c>
      <c r="E1787">
        <v>1</v>
      </c>
      <c r="F1787">
        <v>2</v>
      </c>
      <c r="G1787">
        <v>2</v>
      </c>
      <c r="J1787" t="s">
        <v>15</v>
      </c>
      <c r="K1787">
        <v>2</v>
      </c>
      <c r="L1787">
        <v>1.7549999999999999</v>
      </c>
      <c r="M1787">
        <v>0</v>
      </c>
      <c r="N1787" t="s">
        <v>10019</v>
      </c>
      <c r="O1787" t="str">
        <f>HYPERLINK("2\1\marker_110_949959.png", "Ver Imagen")</f>
        <v>Ver Imagen</v>
      </c>
      <c r="P1787" t="str">
        <f>HYPERLINK("SO\A-5052\A-5052__8.png", "Ver Imagen")</f>
        <v>Ver Imagen</v>
      </c>
    </row>
    <row r="1788" spans="1:16" x14ac:dyDescent="0.25">
      <c r="A1788">
        <v>1227</v>
      </c>
      <c r="B1788" t="s">
        <v>2466</v>
      </c>
      <c r="C1788">
        <v>37.218080637900002</v>
      </c>
      <c r="D1788">
        <v>-7.1182734711700002</v>
      </c>
      <c r="E1788">
        <v>2</v>
      </c>
      <c r="F1788">
        <v>3</v>
      </c>
      <c r="G1788">
        <v>2</v>
      </c>
      <c r="J1788" t="s">
        <v>15</v>
      </c>
      <c r="K1788">
        <v>2</v>
      </c>
      <c r="L1788">
        <v>1.9890000000000001</v>
      </c>
      <c r="M1788">
        <v>0</v>
      </c>
      <c r="N1788" t="s">
        <v>10019</v>
      </c>
      <c r="O1788" t="str">
        <f>HYPERLINK("2\1\marker_139_951639.png", "Ver Imagen")</f>
        <v>Ver Imagen</v>
      </c>
      <c r="P1788" t="str">
        <f>HYPERLINK("SO\A-5052\A-5052__31.png", "Ver Imagen")</f>
        <v>Ver Imagen</v>
      </c>
    </row>
    <row r="1789" spans="1:16" x14ac:dyDescent="0.25">
      <c r="A1789">
        <v>1228</v>
      </c>
      <c r="B1789" t="s">
        <v>2468</v>
      </c>
      <c r="C1789">
        <v>37.218045593600003</v>
      </c>
      <c r="D1789">
        <v>-7.11801341409</v>
      </c>
      <c r="E1789">
        <v>2</v>
      </c>
      <c r="F1789">
        <v>1</v>
      </c>
      <c r="G1789">
        <v>2</v>
      </c>
      <c r="J1789" t="s">
        <v>15</v>
      </c>
      <c r="K1789">
        <v>2</v>
      </c>
      <c r="L1789">
        <v>1.7829999999999999</v>
      </c>
      <c r="M1789">
        <v>0</v>
      </c>
      <c r="N1789" t="s">
        <v>10019</v>
      </c>
      <c r="O1789" t="str">
        <f>HYPERLINK("2\1\marker_401_951649.png", "Ver Imagen")</f>
        <v>Ver Imagen</v>
      </c>
      <c r="P1789" t="str">
        <f>HYPERLINK("SO\A-5052\A-5052__32.png", "Ver Imagen")</f>
        <v>Ver Imagen</v>
      </c>
    </row>
    <row r="1790" spans="1:16" x14ac:dyDescent="0.25">
      <c r="A1790">
        <v>1229</v>
      </c>
      <c r="B1790" t="s">
        <v>2470</v>
      </c>
      <c r="C1790">
        <v>37.2180054158</v>
      </c>
      <c r="D1790">
        <v>-7.1177333540600003</v>
      </c>
      <c r="E1790">
        <v>1</v>
      </c>
      <c r="F1790">
        <v>2</v>
      </c>
      <c r="G1790">
        <v>2</v>
      </c>
      <c r="J1790" t="s">
        <v>15</v>
      </c>
      <c r="K1790">
        <v>2</v>
      </c>
      <c r="L1790">
        <v>1.948</v>
      </c>
      <c r="M1790">
        <v>0</v>
      </c>
      <c r="N1790" t="s">
        <v>10019</v>
      </c>
      <c r="O1790" t="str">
        <f>HYPERLINK("2\1\marker_625_951662.png", "Ver Imagen")</f>
        <v>Ver Imagen</v>
      </c>
      <c r="P1790" t="str">
        <f>HYPERLINK("SO\A-5052\A-5052__33.png", "Ver Imagen")</f>
        <v>Ver Imagen</v>
      </c>
    </row>
    <row r="1791" spans="1:16" x14ac:dyDescent="0.25">
      <c r="A1791">
        <v>1230</v>
      </c>
      <c r="B1791" t="s">
        <v>2472</v>
      </c>
      <c r="C1791">
        <v>37.217941650100002</v>
      </c>
      <c r="D1791">
        <v>-7.1172662944200002</v>
      </c>
      <c r="E1791">
        <v>1</v>
      </c>
      <c r="F1791">
        <v>2</v>
      </c>
      <c r="G1791">
        <v>2</v>
      </c>
      <c r="J1791" t="s">
        <v>15</v>
      </c>
      <c r="K1791">
        <v>2</v>
      </c>
      <c r="L1791">
        <v>2.0070000000000001</v>
      </c>
      <c r="M1791">
        <v>0</v>
      </c>
      <c r="N1791" t="s">
        <v>10019</v>
      </c>
      <c r="O1791" t="str">
        <f>HYPERLINK("2\1\marker_268_951819.png", "Ver Imagen")</f>
        <v>Ver Imagen</v>
      </c>
      <c r="P1791" t="str">
        <f>HYPERLINK("SO\A-5052\A-5052__35.png", "Ver Imagen")</f>
        <v>Ver Imagen</v>
      </c>
    </row>
    <row r="1792" spans="1:16" x14ac:dyDescent="0.25">
      <c r="A1792">
        <v>1231</v>
      </c>
      <c r="B1792" t="s">
        <v>2474</v>
      </c>
      <c r="C1792">
        <v>37.217605701099998</v>
      </c>
      <c r="D1792">
        <v>-7.1111980430999999</v>
      </c>
      <c r="E1792">
        <v>2</v>
      </c>
      <c r="F1792">
        <v>1</v>
      </c>
      <c r="G1792">
        <v>2</v>
      </c>
      <c r="J1792" t="s">
        <v>15</v>
      </c>
      <c r="K1792">
        <v>2</v>
      </c>
      <c r="L1792">
        <v>1.929</v>
      </c>
      <c r="M1792">
        <v>0</v>
      </c>
      <c r="N1792" t="s">
        <v>10019</v>
      </c>
      <c r="O1792" t="str">
        <f>HYPERLINK("2\1\marker_960_957030.png", "Ver Imagen")</f>
        <v>Ver Imagen</v>
      </c>
      <c r="P1792" t="str">
        <f>HYPERLINK("SO\A-5052\A-5052__59.png", "Ver Imagen")</f>
        <v>Ver Imagen</v>
      </c>
    </row>
    <row r="1793" spans="1:16" x14ac:dyDescent="0.25">
      <c r="A1793">
        <v>1232</v>
      </c>
      <c r="B1793" t="s">
        <v>2476</v>
      </c>
      <c r="C1793">
        <v>37.217616447499999</v>
      </c>
      <c r="D1793">
        <v>-7.1109704821899999</v>
      </c>
      <c r="E1793">
        <v>2</v>
      </c>
      <c r="F1793">
        <v>1</v>
      </c>
      <c r="G1793">
        <v>2</v>
      </c>
      <c r="J1793" t="s">
        <v>15</v>
      </c>
      <c r="K1793">
        <v>2</v>
      </c>
      <c r="L1793">
        <v>2.0529999999999999</v>
      </c>
      <c r="M1793">
        <v>0</v>
      </c>
      <c r="N1793" t="s">
        <v>10019</v>
      </c>
      <c r="O1793" t="str">
        <f>HYPERLINK("2\1\marker_419_957051.png", "Ver Imagen")</f>
        <v>Ver Imagen</v>
      </c>
      <c r="P1793" t="str">
        <f>HYPERLINK("SO\A-5052\A-5052__60.png", "Ver Imagen")</f>
        <v>Ver Imagen</v>
      </c>
    </row>
    <row r="1794" spans="1:16" x14ac:dyDescent="0.25">
      <c r="A1794">
        <v>1233</v>
      </c>
      <c r="B1794" t="s">
        <v>2478</v>
      </c>
      <c r="C1794">
        <v>37.217133564599997</v>
      </c>
      <c r="D1794">
        <v>-7.1057048035300001</v>
      </c>
      <c r="E1794">
        <v>2</v>
      </c>
      <c r="F1794">
        <v>1</v>
      </c>
      <c r="G1794">
        <v>2</v>
      </c>
      <c r="J1794" t="s">
        <v>15</v>
      </c>
      <c r="K1794">
        <v>2</v>
      </c>
      <c r="L1794">
        <v>1.9750000000000001</v>
      </c>
      <c r="M1794">
        <v>0</v>
      </c>
      <c r="N1794" t="s">
        <v>10019</v>
      </c>
      <c r="O1794" t="str">
        <f>HYPERLINK("2\1\marker_792_957298.png", "Ver Imagen")</f>
        <v>Ver Imagen</v>
      </c>
      <c r="P1794" t="str">
        <f>HYPERLINK("SO\A-5052\A-5052__81.png", "Ver Imagen")</f>
        <v>Ver Imagen</v>
      </c>
    </row>
    <row r="1795" spans="1:16" x14ac:dyDescent="0.25">
      <c r="A1795">
        <v>1234</v>
      </c>
      <c r="B1795" t="s">
        <v>2480</v>
      </c>
      <c r="C1795">
        <v>37.217058686000001</v>
      </c>
      <c r="D1795">
        <v>-7.1049448353600004</v>
      </c>
      <c r="E1795">
        <v>2</v>
      </c>
      <c r="F1795">
        <v>2</v>
      </c>
      <c r="G1795">
        <v>3</v>
      </c>
      <c r="J1795" t="s">
        <v>15</v>
      </c>
      <c r="K1795">
        <v>2</v>
      </c>
      <c r="L1795">
        <v>1.718</v>
      </c>
      <c r="M1795">
        <v>0</v>
      </c>
      <c r="N1795" t="s">
        <v>10019</v>
      </c>
      <c r="O1795" t="str">
        <f>HYPERLINK("2\1\marker_137_957419.png", "Ver Imagen")</f>
        <v>Ver Imagen</v>
      </c>
      <c r="P1795" t="str">
        <f>HYPERLINK("SO\A-5052\A-5052__84.png", "Ver Imagen")</f>
        <v>Ver Imagen</v>
      </c>
    </row>
    <row r="1796" spans="1:16" x14ac:dyDescent="0.25">
      <c r="A1796">
        <v>1235</v>
      </c>
      <c r="B1796" t="s">
        <v>2482</v>
      </c>
      <c r="C1796">
        <v>37.2170363452</v>
      </c>
      <c r="D1796">
        <v>-7.10471045222</v>
      </c>
      <c r="E1796">
        <v>2</v>
      </c>
      <c r="F1796">
        <v>2</v>
      </c>
      <c r="G1796">
        <v>3</v>
      </c>
      <c r="J1796" t="s">
        <v>15</v>
      </c>
      <c r="K1796">
        <v>2</v>
      </c>
      <c r="L1796">
        <v>1.9890000000000001</v>
      </c>
      <c r="M1796">
        <v>0</v>
      </c>
      <c r="N1796" t="s">
        <v>10019</v>
      </c>
      <c r="O1796" t="str">
        <f>HYPERLINK("2\1\marker_913_957433.png", "Ver Imagen")</f>
        <v>Ver Imagen</v>
      </c>
      <c r="P1796" t="str">
        <f>HYPERLINK("SO\A-5052\A-5052__85.png", "Ver Imagen")</f>
        <v>Ver Imagen</v>
      </c>
    </row>
    <row r="1797" spans="1:16" x14ac:dyDescent="0.25">
      <c r="A1797">
        <v>1236</v>
      </c>
      <c r="B1797" t="s">
        <v>2484</v>
      </c>
      <c r="C1797">
        <v>37.216883556100001</v>
      </c>
      <c r="D1797">
        <v>-7.1029609439900003</v>
      </c>
      <c r="E1797">
        <v>2</v>
      </c>
      <c r="F1797">
        <v>1</v>
      </c>
      <c r="G1797">
        <v>2</v>
      </c>
      <c r="J1797" t="s">
        <v>15</v>
      </c>
      <c r="K1797">
        <v>2</v>
      </c>
      <c r="L1797">
        <v>2.3959999999999999</v>
      </c>
      <c r="M1797">
        <v>0</v>
      </c>
      <c r="N1797" t="s">
        <v>10019</v>
      </c>
      <c r="O1797" t="str">
        <f>HYPERLINK("2\1\marker_504_957522.png", "Ver Imagen")</f>
        <v>Ver Imagen</v>
      </c>
      <c r="P1797" t="str">
        <f>HYPERLINK("SE\A-5052\A-5052__92.png", "Ver Imagen")</f>
        <v>Ver Imagen</v>
      </c>
    </row>
    <row r="1798" spans="1:16" x14ac:dyDescent="0.25">
      <c r="A1798">
        <v>1236</v>
      </c>
      <c r="B1798" t="s">
        <v>2484</v>
      </c>
      <c r="C1798">
        <v>37.216883556100001</v>
      </c>
      <c r="D1798">
        <v>-7.1029609439900003</v>
      </c>
      <c r="E1798">
        <v>2</v>
      </c>
      <c r="F1798">
        <v>1</v>
      </c>
      <c r="G1798">
        <v>2</v>
      </c>
      <c r="J1798" t="s">
        <v>15</v>
      </c>
      <c r="K1798">
        <v>2</v>
      </c>
      <c r="L1798">
        <v>2.089</v>
      </c>
      <c r="M1798">
        <v>0</v>
      </c>
      <c r="N1798" t="s">
        <v>10019</v>
      </c>
      <c r="O1798" t="str">
        <f>HYPERLINK("2\1\marker_504_957522.png", "Ver Imagen")</f>
        <v>Ver Imagen</v>
      </c>
      <c r="P1798" t="str">
        <f>HYPERLINK("SO\A-5052\A-5052__92.png", "Ver Imagen")</f>
        <v>Ver Imagen</v>
      </c>
    </row>
    <row r="1799" spans="1:16" x14ac:dyDescent="0.25">
      <c r="A1799">
        <v>1237</v>
      </c>
      <c r="B1799" t="s">
        <v>2486</v>
      </c>
      <c r="C1799">
        <v>37.216839633100001</v>
      </c>
      <c r="D1799">
        <v>-7.1024493601899996</v>
      </c>
      <c r="E1799">
        <v>2</v>
      </c>
      <c r="F1799">
        <v>2</v>
      </c>
      <c r="G1799">
        <v>3</v>
      </c>
      <c r="J1799" t="s">
        <v>15</v>
      </c>
      <c r="K1799">
        <v>2</v>
      </c>
      <c r="L1799">
        <v>1.925</v>
      </c>
      <c r="M1799">
        <v>0</v>
      </c>
      <c r="N1799" t="s">
        <v>10018</v>
      </c>
      <c r="O1799" t="str">
        <f>HYPERLINK("2\1\marker_491_957555.png", "Ver Imagen")</f>
        <v>Ver Imagen</v>
      </c>
      <c r="P1799" t="str">
        <f>HYPERLINK("SO\A-5052\A-5052__94.png", "Ver Imagen")</f>
        <v>Ver Imagen</v>
      </c>
    </row>
    <row r="1800" spans="1:16" x14ac:dyDescent="0.25">
      <c r="A1800">
        <v>1238</v>
      </c>
      <c r="B1800" t="s">
        <v>2488</v>
      </c>
      <c r="C1800">
        <v>37.2169178901</v>
      </c>
      <c r="D1800">
        <v>-7.1006978799000002</v>
      </c>
      <c r="E1800">
        <v>2</v>
      </c>
      <c r="F1800">
        <v>2</v>
      </c>
      <c r="G1800">
        <v>3</v>
      </c>
      <c r="J1800" t="s">
        <v>15</v>
      </c>
      <c r="K1800">
        <v>2</v>
      </c>
      <c r="L1800">
        <v>1.887</v>
      </c>
      <c r="M1800">
        <v>0</v>
      </c>
      <c r="N1800" t="s">
        <v>10019</v>
      </c>
      <c r="O1800" t="str">
        <f>HYPERLINK("2\1\marker_127_957680.png", "Ver Imagen")</f>
        <v>Ver Imagen</v>
      </c>
      <c r="P1800" t="str">
        <f>HYPERLINK("SE\A-5052\A-5052__101.png", "Ver Imagen")</f>
        <v>Ver Imagen</v>
      </c>
    </row>
    <row r="1801" spans="1:16" x14ac:dyDescent="0.25">
      <c r="A1801">
        <v>1238</v>
      </c>
      <c r="B1801" t="s">
        <v>2488</v>
      </c>
      <c r="C1801">
        <v>37.2169178901</v>
      </c>
      <c r="D1801">
        <v>-7.1006978799000002</v>
      </c>
      <c r="E1801">
        <v>2</v>
      </c>
      <c r="F1801">
        <v>2</v>
      </c>
      <c r="G1801">
        <v>3</v>
      </c>
      <c r="J1801" t="s">
        <v>15</v>
      </c>
      <c r="K1801">
        <v>2</v>
      </c>
      <c r="L1801">
        <v>1.948</v>
      </c>
      <c r="M1801">
        <v>0</v>
      </c>
      <c r="N1801" t="s">
        <v>10019</v>
      </c>
      <c r="O1801" t="str">
        <f>HYPERLINK("2\1\marker_127_957680.png", "Ver Imagen")</f>
        <v>Ver Imagen</v>
      </c>
      <c r="P1801" t="str">
        <f>HYPERLINK("SO\A-5052\A-5052__101.png", "Ver Imagen")</f>
        <v>Ver Imagen</v>
      </c>
    </row>
    <row r="1802" spans="1:16" x14ac:dyDescent="0.25">
      <c r="A1802">
        <v>1239</v>
      </c>
      <c r="B1802" t="s">
        <v>2490</v>
      </c>
      <c r="C1802">
        <v>37.216805691600001</v>
      </c>
      <c r="D1802">
        <v>-7.0971974611600004</v>
      </c>
      <c r="E1802">
        <v>2</v>
      </c>
      <c r="F1802">
        <v>2</v>
      </c>
      <c r="G1802">
        <v>3</v>
      </c>
      <c r="J1802" t="s">
        <v>15</v>
      </c>
      <c r="K1802">
        <v>2</v>
      </c>
      <c r="L1802">
        <v>2.0190000000000001</v>
      </c>
      <c r="M1802">
        <v>0</v>
      </c>
      <c r="N1802" t="s">
        <v>10017</v>
      </c>
      <c r="O1802" t="str">
        <f>HYPERLINK("2\1\marker_565_957882.png", "Ver Imagen")</f>
        <v>Ver Imagen</v>
      </c>
      <c r="P1802" t="str">
        <f>HYPERLINK("SE\A-5052\A-5052__115.png", "Ver Imagen")</f>
        <v>Ver Imagen</v>
      </c>
    </row>
    <row r="1803" spans="1:16" x14ac:dyDescent="0.25">
      <c r="A1803">
        <v>1239</v>
      </c>
      <c r="B1803" t="s">
        <v>2490</v>
      </c>
      <c r="C1803">
        <v>37.216805691600001</v>
      </c>
      <c r="D1803">
        <v>-7.0971974611600004</v>
      </c>
      <c r="E1803">
        <v>2</v>
      </c>
      <c r="F1803">
        <v>2</v>
      </c>
      <c r="G1803">
        <v>3</v>
      </c>
      <c r="J1803" t="s">
        <v>15</v>
      </c>
      <c r="K1803">
        <v>2</v>
      </c>
      <c r="L1803">
        <v>1.764</v>
      </c>
      <c r="M1803">
        <v>0</v>
      </c>
      <c r="N1803" t="s">
        <v>10017</v>
      </c>
      <c r="O1803" t="str">
        <f>HYPERLINK("2\1\marker_565_957882.png", "Ver Imagen")</f>
        <v>Ver Imagen</v>
      </c>
      <c r="P1803" t="str">
        <f>HYPERLINK("SO\A-5052\A-5052__115.png", "Ver Imagen")</f>
        <v>Ver Imagen</v>
      </c>
    </row>
    <row r="1804" spans="1:16" x14ac:dyDescent="0.25">
      <c r="A1804">
        <v>1240</v>
      </c>
      <c r="B1804" t="s">
        <v>2492</v>
      </c>
      <c r="C1804">
        <v>37.216756625099997</v>
      </c>
      <c r="D1804">
        <v>-7.0966539926500003</v>
      </c>
      <c r="E1804">
        <v>2</v>
      </c>
      <c r="F1804">
        <v>2</v>
      </c>
      <c r="G1804">
        <v>3</v>
      </c>
      <c r="J1804" t="s">
        <v>15</v>
      </c>
      <c r="K1804">
        <v>2</v>
      </c>
      <c r="L1804">
        <v>1.68</v>
      </c>
      <c r="M1804">
        <v>0</v>
      </c>
      <c r="N1804" t="s">
        <v>10019</v>
      </c>
      <c r="O1804" t="str">
        <f>HYPERLINK("2\1\marker_839_957904.png", "Ver Imagen")</f>
        <v>Ver Imagen</v>
      </c>
      <c r="P1804" t="str">
        <f>HYPERLINK("SE\A-5052\A-5052__117.png", "Ver Imagen")</f>
        <v>Ver Imagen</v>
      </c>
    </row>
    <row r="1805" spans="1:16" x14ac:dyDescent="0.25">
      <c r="A1805">
        <v>1240</v>
      </c>
      <c r="B1805" t="s">
        <v>2492</v>
      </c>
      <c r="C1805">
        <v>37.216756625099997</v>
      </c>
      <c r="D1805">
        <v>-7.0966539926500003</v>
      </c>
      <c r="E1805">
        <v>2</v>
      </c>
      <c r="F1805">
        <v>2</v>
      </c>
      <c r="G1805">
        <v>3</v>
      </c>
      <c r="J1805" t="s">
        <v>15</v>
      </c>
      <c r="K1805">
        <v>2</v>
      </c>
      <c r="L1805">
        <v>1.804</v>
      </c>
      <c r="M1805">
        <v>0</v>
      </c>
      <c r="N1805" t="s">
        <v>10019</v>
      </c>
      <c r="O1805" t="str">
        <f>HYPERLINK("2\1\marker_839_957904.png", "Ver Imagen")</f>
        <v>Ver Imagen</v>
      </c>
      <c r="P1805" t="str">
        <f>HYPERLINK("SO\A-5052\A-5052__117.png", "Ver Imagen")</f>
        <v>Ver Imagen</v>
      </c>
    </row>
    <row r="1806" spans="1:16" x14ac:dyDescent="0.25">
      <c r="A1806">
        <v>1241</v>
      </c>
      <c r="B1806" t="s">
        <v>2494</v>
      </c>
      <c r="C1806">
        <v>37.216681179200002</v>
      </c>
      <c r="D1806">
        <v>-7.0958849882799999</v>
      </c>
      <c r="E1806">
        <v>2</v>
      </c>
      <c r="F1806">
        <v>1</v>
      </c>
      <c r="G1806">
        <v>2</v>
      </c>
      <c r="J1806" t="s">
        <v>15</v>
      </c>
      <c r="K1806">
        <v>2</v>
      </c>
      <c r="L1806">
        <v>2.11</v>
      </c>
      <c r="M1806">
        <v>0</v>
      </c>
      <c r="N1806" t="s">
        <v>10019</v>
      </c>
      <c r="O1806" t="str">
        <f>HYPERLINK("2\1\marker_558_957936.png", "Ver Imagen")</f>
        <v>Ver Imagen</v>
      </c>
      <c r="P1806" t="str">
        <f>HYPERLINK("SE\A-5052\A-5052__120.png", "Ver Imagen")</f>
        <v>Ver Imagen</v>
      </c>
    </row>
    <row r="1807" spans="1:16" x14ac:dyDescent="0.25">
      <c r="A1807">
        <v>1241</v>
      </c>
      <c r="B1807" t="s">
        <v>2494</v>
      </c>
      <c r="C1807">
        <v>37.216681179200002</v>
      </c>
      <c r="D1807">
        <v>-7.0958849882799999</v>
      </c>
      <c r="E1807">
        <v>2</v>
      </c>
      <c r="F1807">
        <v>1</v>
      </c>
      <c r="G1807">
        <v>2</v>
      </c>
      <c r="J1807" t="s">
        <v>15</v>
      </c>
      <c r="K1807">
        <v>2</v>
      </c>
      <c r="L1807">
        <v>2.1219999999999999</v>
      </c>
      <c r="M1807">
        <v>0</v>
      </c>
      <c r="N1807" t="s">
        <v>10019</v>
      </c>
      <c r="O1807" t="str">
        <f>HYPERLINK("2\1\marker_558_957936.png", "Ver Imagen")</f>
        <v>Ver Imagen</v>
      </c>
      <c r="P1807" t="str">
        <f>HYPERLINK("SO\A-5052\A-5052__120.png", "Ver Imagen")</f>
        <v>Ver Imagen</v>
      </c>
    </row>
    <row r="1808" spans="1:16" x14ac:dyDescent="0.25">
      <c r="A1808">
        <v>1242</v>
      </c>
      <c r="B1808" t="s">
        <v>2496</v>
      </c>
      <c r="C1808">
        <v>37.216620754399997</v>
      </c>
      <c r="D1808">
        <v>-7.0951318888200001</v>
      </c>
      <c r="E1808">
        <v>2</v>
      </c>
      <c r="F1808">
        <v>1</v>
      </c>
      <c r="G1808">
        <v>2</v>
      </c>
      <c r="J1808" t="s">
        <v>15</v>
      </c>
      <c r="K1808">
        <v>2</v>
      </c>
      <c r="L1808">
        <v>1.74</v>
      </c>
      <c r="M1808">
        <v>0</v>
      </c>
      <c r="N1808" t="s">
        <v>10019</v>
      </c>
      <c r="O1808" t="str">
        <f>HYPERLINK("2\1\marker_781_957979.png", "Ver Imagen")</f>
        <v>Ver Imagen</v>
      </c>
      <c r="P1808" t="str">
        <f>HYPERLINK("SE\A-5052\A-5052__123.png", "Ver Imagen")</f>
        <v>Ver Imagen</v>
      </c>
    </row>
    <row r="1809" spans="1:16" x14ac:dyDescent="0.25">
      <c r="A1809">
        <v>1242</v>
      </c>
      <c r="B1809" t="s">
        <v>2496</v>
      </c>
      <c r="C1809">
        <v>37.216620754399997</v>
      </c>
      <c r="D1809">
        <v>-7.0951318888200001</v>
      </c>
      <c r="E1809">
        <v>2</v>
      </c>
      <c r="F1809">
        <v>1</v>
      </c>
      <c r="G1809">
        <v>2</v>
      </c>
      <c r="J1809" t="s">
        <v>15</v>
      </c>
      <c r="K1809">
        <v>2</v>
      </c>
      <c r="L1809">
        <v>1.722</v>
      </c>
      <c r="M1809">
        <v>0</v>
      </c>
      <c r="N1809" t="s">
        <v>10019</v>
      </c>
      <c r="O1809" t="str">
        <f>HYPERLINK("2\1\marker_781_957979.png", "Ver Imagen")</f>
        <v>Ver Imagen</v>
      </c>
      <c r="P1809" t="str">
        <f>HYPERLINK("SO\A-5052\A-5052__123.png", "Ver Imagen")</f>
        <v>Ver Imagen</v>
      </c>
    </row>
    <row r="1810" spans="1:16" x14ac:dyDescent="0.25">
      <c r="A1810">
        <v>1243</v>
      </c>
      <c r="B1810" t="s">
        <v>2498</v>
      </c>
      <c r="C1810">
        <v>37.2166322685</v>
      </c>
      <c r="D1810">
        <v>-7.0944229078800003</v>
      </c>
      <c r="E1810">
        <v>2</v>
      </c>
      <c r="F1810">
        <v>2</v>
      </c>
      <c r="G1810">
        <v>3</v>
      </c>
      <c r="J1810" t="s">
        <v>15</v>
      </c>
      <c r="K1810">
        <v>2</v>
      </c>
      <c r="L1810">
        <v>2.0739999999999998</v>
      </c>
      <c r="M1810">
        <v>0</v>
      </c>
      <c r="N1810" t="s">
        <v>10019</v>
      </c>
      <c r="O1810" t="str">
        <f>HYPERLINK("2\1\marker_194_958037.png", "Ver Imagen")</f>
        <v>Ver Imagen</v>
      </c>
      <c r="P1810" t="str">
        <f>HYPERLINK("SE\A-5052\A-5052__126.png", "Ver Imagen")</f>
        <v>Ver Imagen</v>
      </c>
    </row>
    <row r="1811" spans="1:16" x14ac:dyDescent="0.25">
      <c r="A1811">
        <v>1243</v>
      </c>
      <c r="B1811" t="s">
        <v>2498</v>
      </c>
      <c r="C1811">
        <v>37.2166322685</v>
      </c>
      <c r="D1811">
        <v>-7.0944229078800003</v>
      </c>
      <c r="E1811">
        <v>2</v>
      </c>
      <c r="F1811">
        <v>2</v>
      </c>
      <c r="G1811">
        <v>3</v>
      </c>
      <c r="J1811" t="s">
        <v>15</v>
      </c>
      <c r="K1811">
        <v>2</v>
      </c>
      <c r="L1811">
        <v>1.8720000000000001</v>
      </c>
      <c r="M1811">
        <v>0</v>
      </c>
      <c r="N1811" t="s">
        <v>10019</v>
      </c>
      <c r="O1811" t="str">
        <f>HYPERLINK("2\1\marker_194_958037.png", "Ver Imagen")</f>
        <v>Ver Imagen</v>
      </c>
      <c r="P1811" t="str">
        <f>HYPERLINK("SO\A-5052\A-5052__126.png", "Ver Imagen")</f>
        <v>Ver Imagen</v>
      </c>
    </row>
    <row r="1812" spans="1:16" x14ac:dyDescent="0.25">
      <c r="A1812">
        <v>1244</v>
      </c>
      <c r="B1812" t="s">
        <v>2500</v>
      </c>
      <c r="C1812">
        <v>37.216496704800001</v>
      </c>
      <c r="D1812">
        <v>-7.0926528296300004</v>
      </c>
      <c r="E1812">
        <v>2</v>
      </c>
      <c r="F1812">
        <v>1</v>
      </c>
      <c r="G1812">
        <v>2</v>
      </c>
      <c r="J1812" t="s">
        <v>15</v>
      </c>
      <c r="K1812">
        <v>2</v>
      </c>
      <c r="L1812">
        <v>1.9019999999999999</v>
      </c>
      <c r="M1812">
        <v>0</v>
      </c>
      <c r="N1812" t="s">
        <v>10019</v>
      </c>
      <c r="O1812" t="str">
        <f>HYPERLINK("2\1\marker_112_958141.png", "Ver Imagen")</f>
        <v>Ver Imagen</v>
      </c>
      <c r="P1812" t="str">
        <f>HYPERLINK("SE\A-5052\A-5052__133.png", "Ver Imagen")</f>
        <v>Ver Imagen</v>
      </c>
    </row>
    <row r="1813" spans="1:16" x14ac:dyDescent="0.25">
      <c r="A1813">
        <v>1244</v>
      </c>
      <c r="B1813" t="s">
        <v>2500</v>
      </c>
      <c r="C1813">
        <v>37.216496704800001</v>
      </c>
      <c r="D1813">
        <v>-7.0926528296300004</v>
      </c>
      <c r="E1813">
        <v>2</v>
      </c>
      <c r="F1813">
        <v>1</v>
      </c>
      <c r="G1813">
        <v>2</v>
      </c>
      <c r="J1813" t="s">
        <v>15</v>
      </c>
      <c r="K1813">
        <v>2</v>
      </c>
      <c r="L1813">
        <v>1.665</v>
      </c>
      <c r="M1813">
        <v>0</v>
      </c>
      <c r="N1813" t="s">
        <v>10019</v>
      </c>
      <c r="O1813" t="str">
        <f>HYPERLINK("2\1\marker_112_958141.png", "Ver Imagen")</f>
        <v>Ver Imagen</v>
      </c>
      <c r="P1813" t="str">
        <f>HYPERLINK("SO\A-5052\A-5052__133.png", "Ver Imagen")</f>
        <v>Ver Imagen</v>
      </c>
    </row>
    <row r="1814" spans="1:16" x14ac:dyDescent="0.25">
      <c r="A1814">
        <v>1245</v>
      </c>
      <c r="B1814" t="s">
        <v>2502</v>
      </c>
      <c r="C1814">
        <v>37.216455204399999</v>
      </c>
      <c r="D1814">
        <v>-7.0923913691099996</v>
      </c>
      <c r="E1814">
        <v>2</v>
      </c>
      <c r="F1814">
        <v>1</v>
      </c>
      <c r="G1814">
        <v>2</v>
      </c>
      <c r="J1814" t="s">
        <v>15</v>
      </c>
      <c r="K1814">
        <v>2</v>
      </c>
      <c r="L1814">
        <v>1.839</v>
      </c>
      <c r="M1814">
        <v>0</v>
      </c>
      <c r="N1814" t="s">
        <v>10019</v>
      </c>
      <c r="O1814" t="str">
        <f>HYPERLINK("2\1\marker_281_958153.png", "Ver Imagen")</f>
        <v>Ver Imagen</v>
      </c>
      <c r="P1814" t="str">
        <f>HYPERLINK("SE\A-5052\A-5052__134.png", "Ver Imagen")</f>
        <v>Ver Imagen</v>
      </c>
    </row>
    <row r="1815" spans="1:16" x14ac:dyDescent="0.25">
      <c r="A1815">
        <v>1245</v>
      </c>
      <c r="B1815" t="s">
        <v>2502</v>
      </c>
      <c r="C1815">
        <v>37.216455204399999</v>
      </c>
      <c r="D1815">
        <v>-7.0923913691099996</v>
      </c>
      <c r="E1815">
        <v>2</v>
      </c>
      <c r="F1815">
        <v>1</v>
      </c>
      <c r="G1815">
        <v>2</v>
      </c>
      <c r="J1815" t="s">
        <v>15</v>
      </c>
      <c r="K1815">
        <v>2</v>
      </c>
      <c r="L1815">
        <v>1.8340000000000001</v>
      </c>
      <c r="M1815">
        <v>0</v>
      </c>
      <c r="N1815" t="s">
        <v>10019</v>
      </c>
      <c r="O1815" t="str">
        <f>HYPERLINK("2\1\marker_281_958153.png", "Ver Imagen")</f>
        <v>Ver Imagen</v>
      </c>
      <c r="P1815" t="str">
        <f>HYPERLINK("SO\A-5052\A-5052__134.png", "Ver Imagen")</f>
        <v>Ver Imagen</v>
      </c>
    </row>
    <row r="1816" spans="1:16" x14ac:dyDescent="0.25">
      <c r="A1816">
        <v>1246</v>
      </c>
      <c r="B1816" t="s">
        <v>2504</v>
      </c>
      <c r="C1816">
        <v>37.2164189509</v>
      </c>
      <c r="D1816">
        <v>-7.0921628833800003</v>
      </c>
      <c r="E1816">
        <v>2</v>
      </c>
      <c r="F1816">
        <v>2</v>
      </c>
      <c r="G1816">
        <v>3</v>
      </c>
      <c r="J1816" t="s">
        <v>15</v>
      </c>
      <c r="K1816">
        <v>2</v>
      </c>
      <c r="L1816">
        <v>1.6359999999999999</v>
      </c>
      <c r="M1816">
        <v>0</v>
      </c>
      <c r="N1816" t="s">
        <v>10019</v>
      </c>
      <c r="O1816" t="str">
        <f>HYPERLINK("2\1\marker_269_958163.png", "Ver Imagen")</f>
        <v>Ver Imagen</v>
      </c>
      <c r="P1816" t="str">
        <f>HYPERLINK("SE\A-5052\A-5052__135.png", "Ver Imagen")</f>
        <v>Ver Imagen</v>
      </c>
    </row>
    <row r="1817" spans="1:16" x14ac:dyDescent="0.25">
      <c r="A1817">
        <v>1246</v>
      </c>
      <c r="B1817" t="s">
        <v>2504</v>
      </c>
      <c r="C1817">
        <v>37.2164189509</v>
      </c>
      <c r="D1817">
        <v>-7.0921628833800003</v>
      </c>
      <c r="E1817">
        <v>2</v>
      </c>
      <c r="F1817">
        <v>2</v>
      </c>
      <c r="G1817">
        <v>3</v>
      </c>
      <c r="J1817" t="s">
        <v>15</v>
      </c>
      <c r="K1817">
        <v>2</v>
      </c>
      <c r="L1817">
        <v>2.085</v>
      </c>
      <c r="M1817">
        <v>0</v>
      </c>
      <c r="N1817" t="s">
        <v>10019</v>
      </c>
      <c r="O1817" t="str">
        <f>HYPERLINK("2\1\marker_269_958163.png", "Ver Imagen")</f>
        <v>Ver Imagen</v>
      </c>
      <c r="P1817" t="str">
        <f>HYPERLINK("SO\A-5052\A-5052__135.png", "Ver Imagen")</f>
        <v>Ver Imagen</v>
      </c>
    </row>
    <row r="1818" spans="1:16" x14ac:dyDescent="0.25">
      <c r="A1818">
        <v>1247</v>
      </c>
      <c r="B1818" t="s">
        <v>2506</v>
      </c>
      <c r="C1818">
        <v>37.216217036700002</v>
      </c>
      <c r="D1818">
        <v>-7.0908944264500002</v>
      </c>
      <c r="E1818">
        <v>1</v>
      </c>
      <c r="F1818">
        <v>2</v>
      </c>
      <c r="G1818">
        <v>2</v>
      </c>
      <c r="J1818" t="s">
        <v>15</v>
      </c>
      <c r="K1818">
        <v>2</v>
      </c>
      <c r="L1818">
        <v>2.0379999999999998</v>
      </c>
      <c r="M1818">
        <v>0</v>
      </c>
      <c r="N1818" t="s">
        <v>10018</v>
      </c>
      <c r="O1818" t="str">
        <f>HYPERLINK("2\1\marker_623_958364.png", "Ver Imagen")</f>
        <v>Ver Imagen</v>
      </c>
      <c r="P1818" t="str">
        <f>HYPERLINK("SE\A-5052\A-5052__140.png", "Ver Imagen")</f>
        <v>Ver Imagen</v>
      </c>
    </row>
    <row r="1819" spans="1:16" x14ac:dyDescent="0.25">
      <c r="A1819">
        <v>1248</v>
      </c>
      <c r="B1819" t="s">
        <v>2508</v>
      </c>
      <c r="C1819">
        <v>37.216129752999997</v>
      </c>
      <c r="D1819">
        <v>-7.0901821287800004</v>
      </c>
      <c r="E1819">
        <v>1</v>
      </c>
      <c r="F1819">
        <v>2</v>
      </c>
      <c r="G1819">
        <v>2</v>
      </c>
      <c r="J1819" t="s">
        <v>15</v>
      </c>
      <c r="K1819">
        <v>2</v>
      </c>
      <c r="L1819">
        <v>2.1859999999999999</v>
      </c>
      <c r="M1819">
        <v>0</v>
      </c>
      <c r="N1819" t="s">
        <v>10019</v>
      </c>
      <c r="O1819" t="str">
        <f>HYPERLINK("2\1\marker_884_958396.png", "Ver Imagen")</f>
        <v>Ver Imagen</v>
      </c>
      <c r="P1819" t="str">
        <f>HYPERLINK("SE\A-5052\A-5052__143.png", "Ver Imagen")</f>
        <v>Ver Imagen</v>
      </c>
    </row>
    <row r="1820" spans="1:16" x14ac:dyDescent="0.25">
      <c r="A1820">
        <v>1248</v>
      </c>
      <c r="B1820" t="s">
        <v>2508</v>
      </c>
      <c r="C1820">
        <v>37.216129752999997</v>
      </c>
      <c r="D1820">
        <v>-7.0901821287800004</v>
      </c>
      <c r="E1820">
        <v>1</v>
      </c>
      <c r="F1820">
        <v>2</v>
      </c>
      <c r="G1820">
        <v>2</v>
      </c>
      <c r="J1820" t="s">
        <v>15</v>
      </c>
      <c r="K1820">
        <v>2</v>
      </c>
      <c r="L1820">
        <v>1.7030000000000001</v>
      </c>
      <c r="M1820">
        <v>0</v>
      </c>
      <c r="N1820" t="s">
        <v>10019</v>
      </c>
      <c r="O1820" t="str">
        <f>HYPERLINK("2\1\marker_884_958396.png", "Ver Imagen")</f>
        <v>Ver Imagen</v>
      </c>
      <c r="P1820" t="str">
        <f>HYPERLINK("SO\A-5052\A-5052__143.png", "Ver Imagen")</f>
        <v>Ver Imagen</v>
      </c>
    </row>
    <row r="1821" spans="1:16" x14ac:dyDescent="0.25">
      <c r="A1821">
        <v>1249</v>
      </c>
      <c r="B1821" t="s">
        <v>2510</v>
      </c>
      <c r="C1821">
        <v>37.216104340900003</v>
      </c>
      <c r="D1821">
        <v>-7.08990385264</v>
      </c>
      <c r="E1821">
        <v>2</v>
      </c>
      <c r="F1821">
        <v>2</v>
      </c>
      <c r="G1821">
        <v>3</v>
      </c>
      <c r="J1821" t="s">
        <v>15</v>
      </c>
      <c r="K1821">
        <v>2</v>
      </c>
      <c r="L1821">
        <v>2.1240000000000001</v>
      </c>
      <c r="M1821">
        <v>0</v>
      </c>
      <c r="N1821" t="s">
        <v>10017</v>
      </c>
      <c r="O1821" t="str">
        <f>HYPERLINK("2\1\marker_445_958407.png", "Ver Imagen")</f>
        <v>Ver Imagen</v>
      </c>
      <c r="P1821" t="str">
        <f>HYPERLINK("SO\A-5052\A-5052__144.png", "Ver Imagen")</f>
        <v>Ver Imagen</v>
      </c>
    </row>
    <row r="1822" spans="1:16" x14ac:dyDescent="0.25">
      <c r="A1822">
        <v>1250</v>
      </c>
      <c r="B1822" t="s">
        <v>2512</v>
      </c>
      <c r="C1822">
        <v>37.216019129899998</v>
      </c>
      <c r="D1822">
        <v>-7.0871150007699999</v>
      </c>
      <c r="E1822">
        <v>2</v>
      </c>
      <c r="F1822">
        <v>1</v>
      </c>
      <c r="G1822">
        <v>2</v>
      </c>
      <c r="J1822" t="s">
        <v>15</v>
      </c>
      <c r="K1822">
        <v>2</v>
      </c>
      <c r="L1822">
        <v>1.8859999999999999</v>
      </c>
      <c r="M1822">
        <v>0</v>
      </c>
      <c r="N1822" t="s">
        <v>10017</v>
      </c>
      <c r="O1822" t="str">
        <f>HYPERLINK("2\1\marker_149_958606.png", "Ver Imagen")</f>
        <v>Ver Imagen</v>
      </c>
      <c r="P1822" t="str">
        <f>HYPERLINK("SE\A-5052\A-5052__155.png", "Ver Imagen")</f>
        <v>Ver Imagen</v>
      </c>
    </row>
    <row r="1823" spans="1:16" x14ac:dyDescent="0.25">
      <c r="A1823">
        <v>1250</v>
      </c>
      <c r="B1823" t="s">
        <v>2512</v>
      </c>
      <c r="C1823">
        <v>37.216019129899998</v>
      </c>
      <c r="D1823">
        <v>-7.0871150007699999</v>
      </c>
      <c r="E1823">
        <v>2</v>
      </c>
      <c r="F1823">
        <v>1</v>
      </c>
      <c r="G1823">
        <v>2</v>
      </c>
      <c r="J1823" t="s">
        <v>15</v>
      </c>
      <c r="K1823">
        <v>2</v>
      </c>
      <c r="L1823">
        <v>2.214</v>
      </c>
      <c r="M1823">
        <v>0</v>
      </c>
      <c r="N1823" t="s">
        <v>10017</v>
      </c>
      <c r="O1823" t="str">
        <f>HYPERLINK("2\1\marker_149_958606.png", "Ver Imagen")</f>
        <v>Ver Imagen</v>
      </c>
      <c r="P1823" t="str">
        <f>HYPERLINK("SO\A-5052\A-5052__155.png", "Ver Imagen")</f>
        <v>Ver Imagen</v>
      </c>
    </row>
    <row r="1824" spans="1:16" x14ac:dyDescent="0.25">
      <c r="A1824">
        <v>1251</v>
      </c>
      <c r="B1824" t="s">
        <v>2514</v>
      </c>
      <c r="C1824">
        <v>37.216143872899998</v>
      </c>
      <c r="D1824">
        <v>-7.0853776598999998</v>
      </c>
      <c r="E1824">
        <v>1</v>
      </c>
      <c r="F1824">
        <v>2</v>
      </c>
      <c r="G1824">
        <v>2</v>
      </c>
      <c r="J1824" t="s">
        <v>15</v>
      </c>
      <c r="K1824">
        <v>2</v>
      </c>
      <c r="L1824">
        <v>1.988</v>
      </c>
      <c r="M1824">
        <v>0</v>
      </c>
      <c r="N1824" t="s">
        <v>10019</v>
      </c>
      <c r="O1824" t="str">
        <f>HYPERLINK("2\1\marker_916_958701.png", "Ver Imagen")</f>
        <v>Ver Imagen</v>
      </c>
      <c r="P1824" t="str">
        <f>HYPERLINK("SE\A-5052\A-5052__162.png", "Ver Imagen")</f>
        <v>Ver Imagen</v>
      </c>
    </row>
    <row r="1825" spans="1:16" x14ac:dyDescent="0.25">
      <c r="A1825">
        <v>1251</v>
      </c>
      <c r="B1825" t="s">
        <v>2514</v>
      </c>
      <c r="C1825">
        <v>37.216143872899998</v>
      </c>
      <c r="D1825">
        <v>-7.0853776598999998</v>
      </c>
      <c r="E1825">
        <v>1</v>
      </c>
      <c r="F1825">
        <v>2</v>
      </c>
      <c r="G1825">
        <v>2</v>
      </c>
      <c r="J1825" t="s">
        <v>15</v>
      </c>
      <c r="K1825">
        <v>2</v>
      </c>
      <c r="L1825">
        <v>1.802</v>
      </c>
      <c r="M1825">
        <v>0</v>
      </c>
      <c r="N1825" t="s">
        <v>10019</v>
      </c>
      <c r="O1825" t="str">
        <f>HYPERLINK("2\1\marker_916_958701.png", "Ver Imagen")</f>
        <v>Ver Imagen</v>
      </c>
      <c r="P1825" t="str">
        <f>HYPERLINK("SO\A-5052\A-5052__162.png", "Ver Imagen")</f>
        <v>Ver Imagen</v>
      </c>
    </row>
    <row r="1826" spans="1:16" x14ac:dyDescent="0.25">
      <c r="A1826">
        <v>1252</v>
      </c>
      <c r="B1826" t="s">
        <v>2516</v>
      </c>
      <c r="C1826">
        <v>37.214936227599999</v>
      </c>
      <c r="D1826">
        <v>-7.0792944287399999</v>
      </c>
      <c r="E1826">
        <v>2</v>
      </c>
      <c r="F1826">
        <v>2</v>
      </c>
      <c r="G1826">
        <v>3</v>
      </c>
      <c r="J1826" t="s">
        <v>15</v>
      </c>
      <c r="K1826">
        <v>2</v>
      </c>
      <c r="L1826">
        <v>2.0680000000000001</v>
      </c>
      <c r="M1826">
        <v>0</v>
      </c>
      <c r="N1826" t="s">
        <v>10017</v>
      </c>
      <c r="O1826" t="str">
        <f>HYPERLINK("2\1\marker_469_959280.png", "Ver Imagen")</f>
        <v>Ver Imagen</v>
      </c>
      <c r="P1826" t="str">
        <f>HYPERLINK("SE\A-5052\A-5052__187.png", "Ver Imagen")</f>
        <v>Ver Imagen</v>
      </c>
    </row>
    <row r="1827" spans="1:16" x14ac:dyDescent="0.25">
      <c r="A1827">
        <v>1252</v>
      </c>
      <c r="B1827" t="s">
        <v>2516</v>
      </c>
      <c r="C1827">
        <v>37.214936227599999</v>
      </c>
      <c r="D1827">
        <v>-7.0792944287399999</v>
      </c>
      <c r="E1827">
        <v>2</v>
      </c>
      <c r="F1827">
        <v>2</v>
      </c>
      <c r="G1827">
        <v>3</v>
      </c>
      <c r="J1827" t="s">
        <v>15</v>
      </c>
      <c r="K1827">
        <v>2</v>
      </c>
      <c r="L1827">
        <v>1.9430000000000001</v>
      </c>
      <c r="M1827">
        <v>0</v>
      </c>
      <c r="N1827" t="s">
        <v>10017</v>
      </c>
      <c r="O1827" t="str">
        <f>HYPERLINK("2\1\marker_469_959280.png", "Ver Imagen")</f>
        <v>Ver Imagen</v>
      </c>
      <c r="P1827" t="str">
        <f>HYPERLINK("SO\A-5052\A-5052__187.png", "Ver Imagen")</f>
        <v>Ver Imagen</v>
      </c>
    </row>
    <row r="1828" spans="1:16" x14ac:dyDescent="0.25">
      <c r="A1828">
        <v>1253</v>
      </c>
      <c r="B1828" t="s">
        <v>2518</v>
      </c>
      <c r="C1828">
        <v>37.214893362200002</v>
      </c>
      <c r="D1828">
        <v>-7.0790827090299997</v>
      </c>
      <c r="E1828">
        <v>2</v>
      </c>
      <c r="F1828">
        <v>1</v>
      </c>
      <c r="G1828">
        <v>2</v>
      </c>
      <c r="J1828" t="s">
        <v>15</v>
      </c>
      <c r="K1828">
        <v>2</v>
      </c>
      <c r="L1828">
        <v>2.0710000000000002</v>
      </c>
      <c r="M1828">
        <v>0</v>
      </c>
      <c r="N1828" t="s">
        <v>10018</v>
      </c>
      <c r="O1828" t="str">
        <f>HYPERLINK("2\1\marker_512_959288.png", "Ver Imagen")</f>
        <v>Ver Imagen</v>
      </c>
      <c r="P1828" t="str">
        <f>HYPERLINK("SE\A-5052\A-5052__188.png", "Ver Imagen")</f>
        <v>Ver Imagen</v>
      </c>
    </row>
    <row r="1829" spans="1:16" x14ac:dyDescent="0.25">
      <c r="A1829">
        <v>1253</v>
      </c>
      <c r="B1829" t="s">
        <v>2518</v>
      </c>
      <c r="C1829">
        <v>37.214893362200002</v>
      </c>
      <c r="D1829">
        <v>-7.0790827090299997</v>
      </c>
      <c r="E1829">
        <v>2</v>
      </c>
      <c r="F1829">
        <v>1</v>
      </c>
      <c r="G1829">
        <v>2</v>
      </c>
      <c r="J1829" t="s">
        <v>15</v>
      </c>
      <c r="K1829">
        <v>2</v>
      </c>
      <c r="L1829">
        <v>1.619</v>
      </c>
      <c r="M1829">
        <v>0</v>
      </c>
      <c r="N1829" t="s">
        <v>10018</v>
      </c>
      <c r="O1829" t="str">
        <f>HYPERLINK("2\1\marker_512_959288.png", "Ver Imagen")</f>
        <v>Ver Imagen</v>
      </c>
      <c r="P1829" t="str">
        <f>HYPERLINK("SO\A-5052\A-5052__188.png", "Ver Imagen")</f>
        <v>Ver Imagen</v>
      </c>
    </row>
    <row r="1830" spans="1:16" x14ac:dyDescent="0.25">
      <c r="A1830">
        <v>1254</v>
      </c>
      <c r="B1830" t="s">
        <v>2520</v>
      </c>
      <c r="C1830">
        <v>37.214744845200002</v>
      </c>
      <c r="D1830">
        <v>-7.0783190464099999</v>
      </c>
      <c r="E1830">
        <v>2</v>
      </c>
      <c r="F1830">
        <v>1</v>
      </c>
      <c r="G1830">
        <v>2</v>
      </c>
      <c r="J1830" t="s">
        <v>15</v>
      </c>
      <c r="K1830">
        <v>2</v>
      </c>
      <c r="L1830">
        <v>2.048</v>
      </c>
      <c r="M1830">
        <v>0</v>
      </c>
      <c r="N1830" t="s">
        <v>10019</v>
      </c>
      <c r="O1830" t="str">
        <f>HYPERLINK("2\1\marker_180_959317.png", "Ver Imagen")</f>
        <v>Ver Imagen</v>
      </c>
      <c r="P1830" t="str">
        <f>HYPERLINK("SE\A-5052\A-5052__191.png", "Ver Imagen")</f>
        <v>Ver Imagen</v>
      </c>
    </row>
    <row r="1831" spans="1:16" x14ac:dyDescent="0.25">
      <c r="A1831">
        <v>1254</v>
      </c>
      <c r="B1831" t="s">
        <v>2520</v>
      </c>
      <c r="C1831">
        <v>37.214744845200002</v>
      </c>
      <c r="D1831">
        <v>-7.0783190464099999</v>
      </c>
      <c r="E1831">
        <v>2</v>
      </c>
      <c r="F1831">
        <v>1</v>
      </c>
      <c r="G1831">
        <v>2</v>
      </c>
      <c r="J1831" t="s">
        <v>15</v>
      </c>
      <c r="K1831">
        <v>2</v>
      </c>
      <c r="L1831">
        <v>1.8680000000000001</v>
      </c>
      <c r="M1831">
        <v>0</v>
      </c>
      <c r="N1831" t="s">
        <v>10019</v>
      </c>
      <c r="O1831" t="str">
        <f>HYPERLINK("2\1\marker_180_959317.png", "Ver Imagen")</f>
        <v>Ver Imagen</v>
      </c>
      <c r="P1831" t="str">
        <f>HYPERLINK("SO\A-5052\A-5052__191.png", "Ver Imagen")</f>
        <v>Ver Imagen</v>
      </c>
    </row>
    <row r="1832" spans="1:16" x14ac:dyDescent="0.25">
      <c r="A1832">
        <v>1255</v>
      </c>
      <c r="B1832" t="s">
        <v>2522</v>
      </c>
      <c r="C1832">
        <v>37.2146479488</v>
      </c>
      <c r="D1832">
        <v>-7.07781366627</v>
      </c>
      <c r="E1832">
        <v>2</v>
      </c>
      <c r="F1832">
        <v>1</v>
      </c>
      <c r="G1832">
        <v>2</v>
      </c>
      <c r="J1832" t="s">
        <v>15</v>
      </c>
      <c r="K1832">
        <v>2</v>
      </c>
      <c r="L1832">
        <v>2.11</v>
      </c>
      <c r="M1832">
        <v>0</v>
      </c>
      <c r="N1832" t="s">
        <v>10019</v>
      </c>
      <c r="O1832" t="str">
        <f>HYPERLINK("2\1\marker_919_959360.png", "Ver Imagen")</f>
        <v>Ver Imagen</v>
      </c>
      <c r="P1832" t="str">
        <f>HYPERLINK("SE\A-5052\A-5052__193.png", "Ver Imagen")</f>
        <v>Ver Imagen</v>
      </c>
    </row>
    <row r="1833" spans="1:16" x14ac:dyDescent="0.25">
      <c r="A1833">
        <v>1255</v>
      </c>
      <c r="B1833" t="s">
        <v>2522</v>
      </c>
      <c r="C1833">
        <v>37.2146479488</v>
      </c>
      <c r="D1833">
        <v>-7.07781366627</v>
      </c>
      <c r="E1833">
        <v>2</v>
      </c>
      <c r="F1833">
        <v>1</v>
      </c>
      <c r="G1833">
        <v>2</v>
      </c>
      <c r="J1833" t="s">
        <v>15</v>
      </c>
      <c r="K1833">
        <v>2</v>
      </c>
      <c r="L1833">
        <v>1.8560000000000001</v>
      </c>
      <c r="M1833">
        <v>0</v>
      </c>
      <c r="N1833" t="s">
        <v>10019</v>
      </c>
      <c r="O1833" t="str">
        <f>HYPERLINK("2\1\marker_919_959360.png", "Ver Imagen")</f>
        <v>Ver Imagen</v>
      </c>
      <c r="P1833" t="str">
        <f>HYPERLINK("SO\A-5052\A-5052__193.png", "Ver Imagen")</f>
        <v>Ver Imagen</v>
      </c>
    </row>
    <row r="1834" spans="1:16" x14ac:dyDescent="0.25">
      <c r="A1834">
        <v>1256</v>
      </c>
      <c r="B1834" t="s">
        <v>2524</v>
      </c>
      <c r="C1834">
        <v>37.213967054500003</v>
      </c>
      <c r="D1834">
        <v>-7.0741581774300002</v>
      </c>
      <c r="E1834">
        <v>1</v>
      </c>
      <c r="F1834">
        <v>2</v>
      </c>
      <c r="G1834">
        <v>2</v>
      </c>
      <c r="J1834" t="s">
        <v>15</v>
      </c>
      <c r="K1834">
        <v>2</v>
      </c>
      <c r="L1834">
        <v>2.0099999999999998</v>
      </c>
      <c r="M1834">
        <v>0</v>
      </c>
      <c r="N1834" t="s">
        <v>10017</v>
      </c>
      <c r="O1834" t="str">
        <f>HYPERLINK("2\1\marker_495_959567.png", "Ver Imagen")</f>
        <v>Ver Imagen</v>
      </c>
      <c r="P1834" t="str">
        <f>HYPERLINK("SE\A-5052\A-5052__208.png", "Ver Imagen")</f>
        <v>Ver Imagen</v>
      </c>
    </row>
    <row r="1835" spans="1:16" x14ac:dyDescent="0.25">
      <c r="A1835">
        <v>1256</v>
      </c>
      <c r="B1835" t="s">
        <v>2524</v>
      </c>
      <c r="C1835">
        <v>37.213967054500003</v>
      </c>
      <c r="D1835">
        <v>-7.0741581774300002</v>
      </c>
      <c r="E1835">
        <v>1</v>
      </c>
      <c r="F1835">
        <v>2</v>
      </c>
      <c r="G1835">
        <v>2</v>
      </c>
      <c r="J1835" t="s">
        <v>15</v>
      </c>
      <c r="K1835">
        <v>2</v>
      </c>
      <c r="L1835">
        <v>1.7869999999999999</v>
      </c>
      <c r="M1835">
        <v>0</v>
      </c>
      <c r="N1835" t="s">
        <v>10017</v>
      </c>
      <c r="O1835" t="str">
        <f>HYPERLINK("2\1\marker_495_959567.png", "Ver Imagen")</f>
        <v>Ver Imagen</v>
      </c>
      <c r="P1835" t="str">
        <f>HYPERLINK("SO\A-5052\A-5052__208.png", "Ver Imagen")</f>
        <v>Ver Imagen</v>
      </c>
    </row>
    <row r="1836" spans="1:16" x14ac:dyDescent="0.25">
      <c r="A1836">
        <v>1257</v>
      </c>
      <c r="B1836" t="s">
        <v>2526</v>
      </c>
      <c r="C1836">
        <v>37.2137514028</v>
      </c>
      <c r="D1836">
        <v>-7.0723811905799998</v>
      </c>
      <c r="E1836">
        <v>2</v>
      </c>
      <c r="F1836">
        <v>1</v>
      </c>
      <c r="G1836">
        <v>2</v>
      </c>
      <c r="J1836" t="s">
        <v>15</v>
      </c>
      <c r="K1836">
        <v>2</v>
      </c>
      <c r="L1836">
        <v>1.974</v>
      </c>
      <c r="M1836">
        <v>0</v>
      </c>
      <c r="N1836" t="s">
        <v>10019</v>
      </c>
      <c r="O1836" t="str">
        <f>HYPERLINK("2\1\marker_940_959642.png", "Ver Imagen")</f>
        <v>Ver Imagen</v>
      </c>
      <c r="P1836" t="str">
        <f>HYPERLINK("SE\A-5052\A-5052__215.png", "Ver Imagen")</f>
        <v>Ver Imagen</v>
      </c>
    </row>
    <row r="1837" spans="1:16" x14ac:dyDescent="0.25">
      <c r="A1837">
        <v>1258</v>
      </c>
      <c r="B1837" t="s">
        <v>2528</v>
      </c>
      <c r="C1837">
        <v>37.213725746900003</v>
      </c>
      <c r="D1837">
        <v>-7.0721402618799996</v>
      </c>
      <c r="E1837">
        <v>2</v>
      </c>
      <c r="F1837">
        <v>1</v>
      </c>
      <c r="G1837">
        <v>2</v>
      </c>
      <c r="J1837" t="s">
        <v>15</v>
      </c>
      <c r="K1837">
        <v>2</v>
      </c>
      <c r="L1837">
        <v>1.841</v>
      </c>
      <c r="M1837">
        <v>0</v>
      </c>
      <c r="N1837" t="s">
        <v>10019</v>
      </c>
      <c r="O1837" t="str">
        <f>HYPERLINK("2\1\marker_837_959677.png", "Ver Imagen")</f>
        <v>Ver Imagen</v>
      </c>
      <c r="P1837" t="str">
        <f>HYPERLINK("SE\A-5052\A-5052__216.png", "Ver Imagen")</f>
        <v>Ver Imagen</v>
      </c>
    </row>
    <row r="1838" spans="1:16" x14ac:dyDescent="0.25">
      <c r="A1838">
        <v>1259</v>
      </c>
      <c r="B1838" t="s">
        <v>2530</v>
      </c>
      <c r="C1838">
        <v>37.213670197399999</v>
      </c>
      <c r="D1838">
        <v>-7.0716525302299997</v>
      </c>
      <c r="E1838">
        <v>2</v>
      </c>
      <c r="F1838">
        <v>1</v>
      </c>
      <c r="G1838">
        <v>2</v>
      </c>
      <c r="J1838" t="s">
        <v>15</v>
      </c>
      <c r="K1838">
        <v>2</v>
      </c>
      <c r="L1838">
        <v>1.92</v>
      </c>
      <c r="M1838">
        <v>0</v>
      </c>
      <c r="N1838" t="s">
        <v>10019</v>
      </c>
      <c r="O1838" t="str">
        <f>HYPERLINK("2\1\marker_283_959699.png", "Ver Imagen")</f>
        <v>Ver Imagen</v>
      </c>
      <c r="P1838" t="str">
        <f>HYPERLINK("SE\A-5052\A-5052__218.png", "Ver Imagen")</f>
        <v>Ver Imagen</v>
      </c>
    </row>
    <row r="1839" spans="1:16" x14ac:dyDescent="0.25">
      <c r="A1839">
        <v>1260</v>
      </c>
      <c r="B1839" t="s">
        <v>2532</v>
      </c>
      <c r="C1839">
        <v>37.213366653900003</v>
      </c>
      <c r="D1839">
        <v>-7.0671115241400004</v>
      </c>
      <c r="E1839">
        <v>2</v>
      </c>
      <c r="F1839">
        <v>1</v>
      </c>
      <c r="G1839">
        <v>2</v>
      </c>
      <c r="J1839" t="s">
        <v>15</v>
      </c>
      <c r="K1839">
        <v>2</v>
      </c>
      <c r="L1839">
        <v>1.867</v>
      </c>
      <c r="M1839">
        <v>0</v>
      </c>
      <c r="N1839" t="s">
        <v>10019</v>
      </c>
      <c r="O1839" t="str">
        <f>HYPERLINK("2\1\marker_363_959905.png", "Ver Imagen")</f>
        <v>Ver Imagen</v>
      </c>
      <c r="P1839" t="str">
        <f>HYPERLINK("SE\A-5052\A-5052__236.png", "Ver Imagen")</f>
        <v>Ver Imagen</v>
      </c>
    </row>
    <row r="1840" spans="1:16" x14ac:dyDescent="0.25">
      <c r="A1840">
        <v>1261</v>
      </c>
      <c r="B1840" t="s">
        <v>2534</v>
      </c>
      <c r="C1840">
        <v>37.213338768699998</v>
      </c>
      <c r="D1840">
        <v>-7.0663780877700004</v>
      </c>
      <c r="E1840">
        <v>2</v>
      </c>
      <c r="F1840">
        <v>2</v>
      </c>
      <c r="G1840">
        <v>3</v>
      </c>
      <c r="J1840" t="s">
        <v>15</v>
      </c>
      <c r="K1840">
        <v>2</v>
      </c>
      <c r="L1840">
        <v>1.863</v>
      </c>
      <c r="M1840">
        <v>0</v>
      </c>
      <c r="N1840" t="s">
        <v>10019</v>
      </c>
      <c r="O1840" t="str">
        <f>HYPERLINK("2\1\marker_707_959935.png", "Ver Imagen")</f>
        <v>Ver Imagen</v>
      </c>
      <c r="P1840" t="str">
        <f>HYPERLINK("SE\A-5052\A-5052__239.png", "Ver Imagen")</f>
        <v>Ver Imagen</v>
      </c>
    </row>
    <row r="1841" spans="1:16" x14ac:dyDescent="0.25">
      <c r="A1841">
        <v>1262</v>
      </c>
      <c r="B1841" t="s">
        <v>2536</v>
      </c>
      <c r="C1841">
        <v>37.213199674000002</v>
      </c>
      <c r="D1841">
        <v>-7.0628920503200003</v>
      </c>
      <c r="E1841">
        <v>1</v>
      </c>
      <c r="F1841">
        <v>2</v>
      </c>
      <c r="G1841">
        <v>2</v>
      </c>
      <c r="J1841" t="s">
        <v>15</v>
      </c>
      <c r="K1841">
        <v>2</v>
      </c>
      <c r="L1841">
        <v>1.9730000000000001</v>
      </c>
      <c r="M1841">
        <v>0</v>
      </c>
      <c r="N1841" t="s">
        <v>10019</v>
      </c>
      <c r="O1841" t="str">
        <f>HYPERLINK("2\1\marker_724_960124.png", "Ver Imagen")</f>
        <v>Ver Imagen</v>
      </c>
      <c r="P1841" t="str">
        <f>HYPERLINK("SE\A-5052\A-5052__253.png", "Ver Imagen")</f>
        <v>Ver Imagen</v>
      </c>
    </row>
    <row r="1842" spans="1:16" x14ac:dyDescent="0.25">
      <c r="A1842">
        <v>1263</v>
      </c>
      <c r="B1842" t="s">
        <v>2538</v>
      </c>
      <c r="C1842">
        <v>37.212964242300004</v>
      </c>
      <c r="D1842">
        <v>-7.0616754362099998</v>
      </c>
      <c r="E1842">
        <v>2</v>
      </c>
      <c r="F1842">
        <v>2</v>
      </c>
      <c r="G1842">
        <v>3</v>
      </c>
      <c r="J1842" t="s">
        <v>15</v>
      </c>
      <c r="K1842">
        <v>2</v>
      </c>
      <c r="L1842">
        <v>2.1459999999999999</v>
      </c>
      <c r="M1842">
        <v>0</v>
      </c>
      <c r="N1842" t="s">
        <v>10019</v>
      </c>
      <c r="O1842" t="str">
        <f>HYPERLINK("2\1\marker_404_960177.png", "Ver Imagen")</f>
        <v>Ver Imagen</v>
      </c>
      <c r="P1842" t="str">
        <f>HYPERLINK("SE\A-5052\A-5052__258.png", "Ver Imagen")</f>
        <v>Ver Imagen</v>
      </c>
    </row>
    <row r="1843" spans="1:16" x14ac:dyDescent="0.25">
      <c r="A1843">
        <v>1264</v>
      </c>
      <c r="B1843" t="s">
        <v>2540</v>
      </c>
      <c r="C1843">
        <v>37.2127957147</v>
      </c>
      <c r="D1843">
        <v>-7.0611791313500003</v>
      </c>
      <c r="E1843">
        <v>1</v>
      </c>
      <c r="F1843">
        <v>2</v>
      </c>
      <c r="G1843">
        <v>2</v>
      </c>
      <c r="J1843" t="s">
        <v>15</v>
      </c>
      <c r="K1843">
        <v>2</v>
      </c>
      <c r="L1843">
        <v>1.966</v>
      </c>
      <c r="M1843">
        <v>0</v>
      </c>
      <c r="N1843" t="s">
        <v>10019</v>
      </c>
      <c r="O1843" t="str">
        <f>HYPERLINK("2\1\marker_920_960202.png", "Ver Imagen")</f>
        <v>Ver Imagen</v>
      </c>
      <c r="P1843" t="str">
        <f>HYPERLINK("SE\A-5052\A-5052__260.png", "Ver Imagen")</f>
        <v>Ver Imagen</v>
      </c>
    </row>
    <row r="1844" spans="1:16" x14ac:dyDescent="0.25">
      <c r="A1844">
        <v>1265</v>
      </c>
      <c r="B1844" t="s">
        <v>2542</v>
      </c>
      <c r="C1844">
        <v>37.2124622376</v>
      </c>
      <c r="D1844">
        <v>-7.0602886627599997</v>
      </c>
      <c r="E1844">
        <v>2</v>
      </c>
      <c r="F1844">
        <v>1</v>
      </c>
      <c r="G1844">
        <v>2</v>
      </c>
      <c r="J1844" t="s">
        <v>15</v>
      </c>
      <c r="K1844">
        <v>2</v>
      </c>
      <c r="L1844">
        <v>2.3319999999999999</v>
      </c>
      <c r="M1844">
        <v>0</v>
      </c>
      <c r="N1844" t="s">
        <v>10019</v>
      </c>
      <c r="O1844" t="str">
        <f>HYPERLINK("2\1\marker_817_960247.png", "Ver Imagen")</f>
        <v>Ver Imagen</v>
      </c>
      <c r="P1844" t="str">
        <f>HYPERLINK("SE\A-5052\A-5052__264.png", "Ver Imagen")</f>
        <v>Ver Imagen</v>
      </c>
    </row>
    <row r="1845" spans="1:16" x14ac:dyDescent="0.25">
      <c r="A1845">
        <v>1266</v>
      </c>
      <c r="B1845" t="s">
        <v>2544</v>
      </c>
      <c r="C1845">
        <v>37.212196907399999</v>
      </c>
      <c r="D1845">
        <v>-7.05956956085</v>
      </c>
      <c r="E1845">
        <v>1</v>
      </c>
      <c r="F1845">
        <v>2</v>
      </c>
      <c r="G1845">
        <v>2</v>
      </c>
      <c r="J1845" t="s">
        <v>15</v>
      </c>
      <c r="K1845">
        <v>2</v>
      </c>
      <c r="L1845">
        <v>2.3380000000000001</v>
      </c>
      <c r="M1845">
        <v>0</v>
      </c>
      <c r="N1845" t="s">
        <v>10019</v>
      </c>
      <c r="O1845" t="str">
        <f>HYPERLINK("2\1\marker_112_960284.png", "Ver Imagen")</f>
        <v>Ver Imagen</v>
      </c>
      <c r="P1845" t="str">
        <f>HYPERLINK("SE\A-5052\A-5052__267.png", "Ver Imagen")</f>
        <v>Ver Imagen</v>
      </c>
    </row>
    <row r="1846" spans="1:16" x14ac:dyDescent="0.25">
      <c r="A1846">
        <v>1267</v>
      </c>
      <c r="B1846" t="s">
        <v>2546</v>
      </c>
      <c r="C1846">
        <v>37.211283782499997</v>
      </c>
      <c r="D1846">
        <v>-7.0565389830700003</v>
      </c>
      <c r="E1846">
        <v>1</v>
      </c>
      <c r="F1846">
        <v>2</v>
      </c>
      <c r="G1846">
        <v>2</v>
      </c>
      <c r="J1846" t="s">
        <v>15</v>
      </c>
      <c r="K1846">
        <v>2</v>
      </c>
      <c r="L1846">
        <v>2.0099999999999998</v>
      </c>
      <c r="M1846">
        <v>0</v>
      </c>
      <c r="N1846" t="s">
        <v>10019</v>
      </c>
      <c r="O1846" t="str">
        <f>HYPERLINK("2\1\marker_455_960516.png", "Ver Imagen")</f>
        <v>Ver Imagen</v>
      </c>
      <c r="P1846" t="str">
        <f>HYPERLINK("SE\A-5052\A-5052__280.png", "Ver Imagen")</f>
        <v>Ver Imagen</v>
      </c>
    </row>
    <row r="1847" spans="1:16" x14ac:dyDescent="0.25">
      <c r="A1847">
        <v>1268</v>
      </c>
      <c r="B1847" t="s">
        <v>2548</v>
      </c>
      <c r="C1847">
        <v>37.211068974900002</v>
      </c>
      <c r="D1847">
        <v>-7.05477684356</v>
      </c>
      <c r="E1847">
        <v>2</v>
      </c>
      <c r="F1847">
        <v>3</v>
      </c>
      <c r="G1847">
        <v>2</v>
      </c>
      <c r="J1847" t="s">
        <v>15</v>
      </c>
      <c r="K1847">
        <v>2</v>
      </c>
      <c r="L1847">
        <v>2.1680000000000001</v>
      </c>
      <c r="M1847">
        <v>0</v>
      </c>
      <c r="N1847" t="s">
        <v>10019</v>
      </c>
      <c r="O1847" t="str">
        <f>HYPERLINK("2\1\marker_947_960606.png", "Ver Imagen")</f>
        <v>Ver Imagen</v>
      </c>
      <c r="P1847" t="str">
        <f>HYPERLINK("SE\A-5052\A-5052__287.png", "Ver Imagen")</f>
        <v>Ver Imagen</v>
      </c>
    </row>
    <row r="1848" spans="1:16" x14ac:dyDescent="0.25">
      <c r="A1848">
        <v>1269</v>
      </c>
      <c r="B1848" t="s">
        <v>2550</v>
      </c>
      <c r="C1848">
        <v>37.211001604499998</v>
      </c>
      <c r="D1848">
        <v>-7.0542725967799997</v>
      </c>
      <c r="E1848">
        <v>3</v>
      </c>
      <c r="F1848">
        <v>2</v>
      </c>
      <c r="G1848">
        <v>2</v>
      </c>
      <c r="J1848" t="s">
        <v>15</v>
      </c>
      <c r="K1848">
        <v>2</v>
      </c>
      <c r="L1848">
        <v>2.2440000000000002</v>
      </c>
      <c r="M1848">
        <v>0</v>
      </c>
      <c r="N1848" t="s">
        <v>10019</v>
      </c>
      <c r="O1848" t="str">
        <f>HYPERLINK("2\1\marker_887_960634.png", "Ver Imagen")</f>
        <v>Ver Imagen</v>
      </c>
      <c r="P1848" t="str">
        <f>HYPERLINK("SE\A-5052\A-5052__289.png", "Ver Imagen")</f>
        <v>Ver Imagen</v>
      </c>
    </row>
    <row r="1849" spans="1:16" x14ac:dyDescent="0.25">
      <c r="A1849">
        <v>1270</v>
      </c>
      <c r="B1849" t="s">
        <v>2552</v>
      </c>
      <c r="C1849">
        <v>37.210906997400002</v>
      </c>
      <c r="D1849">
        <v>-7.0538094434699996</v>
      </c>
      <c r="E1849">
        <v>2</v>
      </c>
      <c r="F1849">
        <v>3</v>
      </c>
      <c r="G1849">
        <v>2</v>
      </c>
      <c r="J1849" t="s">
        <v>15</v>
      </c>
      <c r="K1849">
        <v>2</v>
      </c>
      <c r="L1849">
        <v>1.996</v>
      </c>
      <c r="M1849">
        <v>0</v>
      </c>
      <c r="N1849" t="s">
        <v>10019</v>
      </c>
      <c r="O1849" t="str">
        <f>HYPERLINK("2\1\marker_559_960665.png", "Ver Imagen")</f>
        <v>Ver Imagen</v>
      </c>
      <c r="P1849" t="str">
        <f>HYPERLINK("SE\A-5052\A-5052__291.png", "Ver Imagen")</f>
        <v>Ver Imagen</v>
      </c>
    </row>
    <row r="1850" spans="1:16" x14ac:dyDescent="0.25">
      <c r="A1850">
        <v>1271</v>
      </c>
      <c r="B1850" t="s">
        <v>2554</v>
      </c>
      <c r="C1850">
        <v>37.210875616800003</v>
      </c>
      <c r="D1850">
        <v>-7.0513045140899999</v>
      </c>
      <c r="E1850">
        <v>2</v>
      </c>
      <c r="F1850">
        <v>3</v>
      </c>
      <c r="G1850">
        <v>2</v>
      </c>
      <c r="J1850" t="s">
        <v>15</v>
      </c>
      <c r="K1850">
        <v>2</v>
      </c>
      <c r="L1850">
        <v>1.871</v>
      </c>
      <c r="M1850">
        <v>0</v>
      </c>
      <c r="N1850" t="s">
        <v>10019</v>
      </c>
      <c r="O1850" t="str">
        <f>HYPERLINK("2\1\marker_881_960932.png", "Ver Imagen")</f>
        <v>Ver Imagen</v>
      </c>
      <c r="P1850" t="str">
        <f>HYPERLINK("SE\A-5052\A-5052__301.png", "Ver Imagen")</f>
        <v>Ver Imagen</v>
      </c>
    </row>
    <row r="1851" spans="1:16" x14ac:dyDescent="0.25">
      <c r="A1851">
        <v>1272</v>
      </c>
      <c r="B1851" t="s">
        <v>2556</v>
      </c>
      <c r="C1851">
        <v>37.211734149100003</v>
      </c>
      <c r="D1851">
        <v>-7.0487558094700002</v>
      </c>
      <c r="E1851">
        <v>2</v>
      </c>
      <c r="F1851">
        <v>1</v>
      </c>
      <c r="G1851">
        <v>2</v>
      </c>
      <c r="J1851" t="s">
        <v>15</v>
      </c>
      <c r="K1851">
        <v>2</v>
      </c>
      <c r="L1851">
        <v>2.133</v>
      </c>
      <c r="M1851">
        <v>0</v>
      </c>
      <c r="N1851" t="s">
        <v>10019</v>
      </c>
      <c r="O1851" t="str">
        <f>HYPERLINK("2\1\marker_568_961143.png", "Ver Imagen")</f>
        <v>Ver Imagen</v>
      </c>
      <c r="P1851" t="str">
        <f>HYPERLINK("SE\A-5052\A-5052__312.png", "Ver Imagen")</f>
        <v>Ver Imagen</v>
      </c>
    </row>
    <row r="1852" spans="1:16" x14ac:dyDescent="0.25">
      <c r="A1852">
        <v>1273</v>
      </c>
      <c r="B1852" t="s">
        <v>2558</v>
      </c>
      <c r="C1852">
        <v>37.211607974099998</v>
      </c>
      <c r="D1852">
        <v>-7.0469668201299998</v>
      </c>
      <c r="E1852">
        <v>2</v>
      </c>
      <c r="F1852">
        <v>3</v>
      </c>
      <c r="G1852">
        <v>2</v>
      </c>
      <c r="J1852" t="s">
        <v>15</v>
      </c>
      <c r="K1852">
        <v>2</v>
      </c>
      <c r="L1852">
        <v>1.931</v>
      </c>
      <c r="M1852">
        <v>0</v>
      </c>
      <c r="N1852" t="s">
        <v>10019</v>
      </c>
      <c r="O1852" t="str">
        <f>HYPERLINK("2\1\marker_146_961242.png", "Ver Imagen")</f>
        <v>Ver Imagen</v>
      </c>
      <c r="P1852" t="str">
        <f>HYPERLINK("SE\A-5052\A-5052__319.png", "Ver Imagen")</f>
        <v>Ver Imagen</v>
      </c>
    </row>
    <row r="1853" spans="1:16" x14ac:dyDescent="0.25">
      <c r="A1853">
        <v>1274</v>
      </c>
      <c r="B1853" t="s">
        <v>2560</v>
      </c>
      <c r="C1853">
        <v>37.211421104199999</v>
      </c>
      <c r="D1853">
        <v>-7.04596185764</v>
      </c>
      <c r="E1853">
        <v>2</v>
      </c>
      <c r="F1853">
        <v>1</v>
      </c>
      <c r="G1853">
        <v>2</v>
      </c>
      <c r="J1853" t="s">
        <v>15</v>
      </c>
      <c r="K1853">
        <v>2</v>
      </c>
      <c r="L1853">
        <v>1.665</v>
      </c>
      <c r="M1853">
        <v>0</v>
      </c>
      <c r="N1853" t="s">
        <v>10019</v>
      </c>
      <c r="O1853" t="str">
        <f>HYPERLINK("2\1\marker_196_961300.png", "Ver Imagen")</f>
        <v>Ver Imagen</v>
      </c>
      <c r="P1853" t="str">
        <f>HYPERLINK("SE\A-5052\A-5052__323.png", "Ver Imagen")</f>
        <v>Ver Imagen</v>
      </c>
    </row>
    <row r="1854" spans="1:16" x14ac:dyDescent="0.25">
      <c r="A1854">
        <v>1275</v>
      </c>
      <c r="B1854" t="s">
        <v>2562</v>
      </c>
      <c r="C1854">
        <v>37.210682353999999</v>
      </c>
      <c r="D1854">
        <v>-7.04357545473</v>
      </c>
      <c r="E1854">
        <v>2</v>
      </c>
      <c r="F1854">
        <v>3</v>
      </c>
      <c r="G1854">
        <v>2</v>
      </c>
      <c r="J1854" t="s">
        <v>15</v>
      </c>
      <c r="K1854">
        <v>2</v>
      </c>
      <c r="L1854">
        <v>2.1080000000000001</v>
      </c>
      <c r="M1854">
        <v>0</v>
      </c>
      <c r="N1854" t="s">
        <v>10019</v>
      </c>
      <c r="O1854" t="str">
        <f>HYPERLINK("2\1\marker_489_961531.png", "Ver Imagen")</f>
        <v>Ver Imagen</v>
      </c>
      <c r="P1854" t="str">
        <f>HYPERLINK("SE\A-5052\A-5052__333.png", "Ver Imagen")</f>
        <v>Ver Imagen</v>
      </c>
    </row>
    <row r="1855" spans="1:16" x14ac:dyDescent="0.25">
      <c r="A1855">
        <v>1276</v>
      </c>
      <c r="B1855" t="s">
        <v>2564</v>
      </c>
      <c r="C1855">
        <v>37.210111189899997</v>
      </c>
      <c r="D1855">
        <v>-7.0420344324100004</v>
      </c>
      <c r="E1855">
        <v>2</v>
      </c>
      <c r="F1855">
        <v>3</v>
      </c>
      <c r="G1855">
        <v>2</v>
      </c>
      <c r="J1855" t="s">
        <v>15</v>
      </c>
      <c r="K1855">
        <v>2</v>
      </c>
      <c r="L1855">
        <v>2.0190000000000001</v>
      </c>
      <c r="M1855">
        <v>0</v>
      </c>
      <c r="N1855" t="s">
        <v>10019</v>
      </c>
      <c r="O1855" t="str">
        <f>HYPERLINK("2\1\marker_326_961623.png", "Ver Imagen")</f>
        <v>Ver Imagen</v>
      </c>
      <c r="P1855" t="str">
        <f>HYPERLINK("SE\A-5052\A-5052__340.png", "Ver Imagen")</f>
        <v>Ver Imagen</v>
      </c>
    </row>
    <row r="1856" spans="1:16" x14ac:dyDescent="0.25">
      <c r="A1856">
        <v>1277</v>
      </c>
      <c r="B1856" t="s">
        <v>2566</v>
      </c>
      <c r="C1856">
        <v>37.209765633700002</v>
      </c>
      <c r="D1856">
        <v>-7.0411177549600001</v>
      </c>
      <c r="E1856">
        <v>2</v>
      </c>
      <c r="F1856">
        <v>3</v>
      </c>
      <c r="G1856">
        <v>2</v>
      </c>
      <c r="J1856" t="s">
        <v>15</v>
      </c>
      <c r="K1856">
        <v>2</v>
      </c>
      <c r="L1856">
        <v>2.052</v>
      </c>
      <c r="M1856">
        <v>0</v>
      </c>
      <c r="N1856" t="s">
        <v>10019</v>
      </c>
      <c r="O1856" t="str">
        <f>HYPERLINK("2\1\marker_330_961665.png", "Ver Imagen")</f>
        <v>Ver Imagen</v>
      </c>
      <c r="P1856" t="str">
        <f>HYPERLINK("SE\A-5052\A-5052__344.png", "Ver Imagen")</f>
        <v>Ver Imagen</v>
      </c>
    </row>
    <row r="1857" spans="1:16" x14ac:dyDescent="0.25">
      <c r="A1857">
        <v>1278</v>
      </c>
      <c r="B1857" t="s">
        <v>2568</v>
      </c>
      <c r="C1857">
        <v>37.208814296</v>
      </c>
      <c r="D1857">
        <v>-7.0386351942100003</v>
      </c>
      <c r="E1857">
        <v>2</v>
      </c>
      <c r="F1857">
        <v>3</v>
      </c>
      <c r="G1857">
        <v>2</v>
      </c>
      <c r="J1857" t="s">
        <v>15</v>
      </c>
      <c r="K1857">
        <v>2</v>
      </c>
      <c r="L1857">
        <v>2.052</v>
      </c>
      <c r="M1857">
        <v>0</v>
      </c>
      <c r="N1857" t="s">
        <v>10019</v>
      </c>
      <c r="O1857" t="str">
        <f>HYPERLINK("2\1\marker_742_961808.png", "Ver Imagen")</f>
        <v>Ver Imagen</v>
      </c>
      <c r="P1857" t="str">
        <f>HYPERLINK("SE\A-5052\A-5052__355.png", "Ver Imagen")</f>
        <v>Ver Imagen</v>
      </c>
    </row>
    <row r="1858" spans="1:16" x14ac:dyDescent="0.25">
      <c r="A1858">
        <v>1279</v>
      </c>
      <c r="B1858" t="s">
        <v>2570</v>
      </c>
      <c r="C1858">
        <v>37.208103942800001</v>
      </c>
      <c r="D1858">
        <v>-7.0367953868999997</v>
      </c>
      <c r="E1858">
        <v>2</v>
      </c>
      <c r="F1858">
        <v>3</v>
      </c>
      <c r="G1858">
        <v>2</v>
      </c>
      <c r="J1858" t="s">
        <v>15</v>
      </c>
      <c r="K1858">
        <v>2</v>
      </c>
      <c r="L1858">
        <v>1.8740000000000001</v>
      </c>
      <c r="M1858">
        <v>0</v>
      </c>
      <c r="N1858" t="s">
        <v>10019</v>
      </c>
      <c r="O1858" t="str">
        <f>HYPERLINK("2\1\marker_548_961890.png", "Ver Imagen")</f>
        <v>Ver Imagen</v>
      </c>
      <c r="P1858" t="str">
        <f>HYPERLINK("SE\A-5052\A-5052__363.png", "Ver Imagen")</f>
        <v>Ver Imagen</v>
      </c>
    </row>
    <row r="1859" spans="1:16" x14ac:dyDescent="0.25">
      <c r="A1859">
        <v>1280</v>
      </c>
      <c r="B1859" t="s">
        <v>2572</v>
      </c>
      <c r="C1859">
        <v>37.208014602900001</v>
      </c>
      <c r="D1859">
        <v>-7.0365656578199998</v>
      </c>
      <c r="E1859">
        <v>2</v>
      </c>
      <c r="F1859">
        <v>3</v>
      </c>
      <c r="G1859">
        <v>2</v>
      </c>
      <c r="J1859" t="s">
        <v>15</v>
      </c>
      <c r="K1859">
        <v>2</v>
      </c>
      <c r="L1859">
        <v>1.7669999999999999</v>
      </c>
      <c r="M1859">
        <v>0</v>
      </c>
      <c r="N1859" t="s">
        <v>10019</v>
      </c>
      <c r="O1859" t="str">
        <f>HYPERLINK("2\1\marker_717_961898.png", "Ver Imagen")</f>
        <v>Ver Imagen</v>
      </c>
      <c r="P1859" t="str">
        <f>HYPERLINK("SE\A-5052\A-5052__364.png", "Ver Imagen")</f>
        <v>Ver Imagen</v>
      </c>
    </row>
    <row r="1860" spans="1:16" x14ac:dyDescent="0.25">
      <c r="A1860">
        <v>1281</v>
      </c>
      <c r="B1860" t="s">
        <v>2574</v>
      </c>
      <c r="C1860">
        <v>37.207832685200003</v>
      </c>
      <c r="D1860">
        <v>-7.0360955012900002</v>
      </c>
      <c r="E1860">
        <v>2</v>
      </c>
      <c r="F1860">
        <v>3</v>
      </c>
      <c r="G1860">
        <v>2</v>
      </c>
      <c r="J1860" t="s">
        <v>15</v>
      </c>
      <c r="K1860">
        <v>2</v>
      </c>
      <c r="L1860">
        <v>2.2599999999999998</v>
      </c>
      <c r="M1860">
        <v>0</v>
      </c>
      <c r="N1860" t="s">
        <v>10019</v>
      </c>
      <c r="O1860" t="str">
        <f>HYPERLINK("2\1\marker_475_962242.png", "Ver Imagen")</f>
        <v>Ver Imagen</v>
      </c>
      <c r="P1860" t="str">
        <f>HYPERLINK("SE\A-5052\A-5052__366.png", "Ver Imagen")</f>
        <v>Ver Imagen</v>
      </c>
    </row>
    <row r="1861" spans="1:16" x14ac:dyDescent="0.25">
      <c r="A1861">
        <v>1283</v>
      </c>
      <c r="B1861" t="s">
        <v>2578</v>
      </c>
      <c r="C1861">
        <v>37.2075597264</v>
      </c>
      <c r="D1861">
        <v>-7.0353844257000002</v>
      </c>
      <c r="E1861">
        <v>2</v>
      </c>
      <c r="F1861">
        <v>3</v>
      </c>
      <c r="G1861">
        <v>2</v>
      </c>
      <c r="J1861" t="s">
        <v>15</v>
      </c>
      <c r="K1861">
        <v>2</v>
      </c>
      <c r="L1861">
        <v>2.13</v>
      </c>
      <c r="M1861">
        <v>0</v>
      </c>
      <c r="N1861" t="s">
        <v>10019</v>
      </c>
      <c r="O1861" t="str">
        <f>HYPERLINK("2\1\marker_602_962284.png", "Ver Imagen")</f>
        <v>Ver Imagen</v>
      </c>
      <c r="P1861" t="str">
        <f>HYPERLINK("SE\A-5052\A-5052__369.png", "Ver Imagen")</f>
        <v>Ver Imagen</v>
      </c>
    </row>
    <row r="1862" spans="1:16" x14ac:dyDescent="0.25">
      <c r="A1862">
        <v>1284</v>
      </c>
      <c r="B1862" t="s">
        <v>2580</v>
      </c>
      <c r="C1862">
        <v>37.207195379200002</v>
      </c>
      <c r="D1862">
        <v>-7.03445179718</v>
      </c>
      <c r="E1862">
        <v>2</v>
      </c>
      <c r="F1862">
        <v>3</v>
      </c>
      <c r="G1862">
        <v>2</v>
      </c>
      <c r="J1862" t="s">
        <v>15</v>
      </c>
      <c r="K1862">
        <v>2</v>
      </c>
      <c r="L1862">
        <v>1.93</v>
      </c>
      <c r="M1862">
        <v>0</v>
      </c>
      <c r="N1862" t="s">
        <v>10019</v>
      </c>
      <c r="O1862" t="str">
        <f>HYPERLINK("2\1\marker_625_962338.png", "Ver Imagen")</f>
        <v>Ver Imagen</v>
      </c>
      <c r="P1862" t="str">
        <f>HYPERLINK("SE\A-5052\A-5052__373.png", "Ver Imagen")</f>
        <v>Ver Imagen</v>
      </c>
    </row>
    <row r="1863" spans="1:16" x14ac:dyDescent="0.25">
      <c r="A1863">
        <v>1285</v>
      </c>
      <c r="B1863" t="s">
        <v>2582</v>
      </c>
      <c r="C1863">
        <v>37.207138327000003</v>
      </c>
      <c r="D1863">
        <v>-7.0343068528200003</v>
      </c>
      <c r="E1863">
        <v>2</v>
      </c>
      <c r="F1863">
        <v>3</v>
      </c>
      <c r="G1863">
        <v>2</v>
      </c>
      <c r="J1863" t="s">
        <v>15</v>
      </c>
      <c r="K1863">
        <v>2</v>
      </c>
      <c r="L1863">
        <v>2.16</v>
      </c>
      <c r="M1863">
        <v>0</v>
      </c>
      <c r="N1863" t="s">
        <v>10019</v>
      </c>
      <c r="O1863" t="str">
        <f>HYPERLINK("2\1\marker_927_962411.png", "Ver Imagen")</f>
        <v>Ver Imagen</v>
      </c>
      <c r="P1863" t="str">
        <f>HYPERLINK("SE\A-5052\A-5052__374.png", "Ver Imagen")</f>
        <v>Ver Imagen</v>
      </c>
    </row>
    <row r="1864" spans="1:16" x14ac:dyDescent="0.25">
      <c r="A1864">
        <v>1286</v>
      </c>
      <c r="B1864" t="s">
        <v>2584</v>
      </c>
      <c r="C1864">
        <v>37.207034635699998</v>
      </c>
      <c r="D1864">
        <v>-7.0340408586300001</v>
      </c>
      <c r="E1864">
        <v>2</v>
      </c>
      <c r="F1864">
        <v>3</v>
      </c>
      <c r="G1864">
        <v>2</v>
      </c>
      <c r="J1864" t="s">
        <v>15</v>
      </c>
      <c r="K1864">
        <v>2</v>
      </c>
      <c r="L1864">
        <v>2.3559999999999999</v>
      </c>
      <c r="M1864">
        <v>0</v>
      </c>
      <c r="N1864" t="s">
        <v>10019</v>
      </c>
      <c r="O1864" t="str">
        <f>HYPERLINK("2\1\marker_371_962425.png", "Ver Imagen")</f>
        <v>Ver Imagen</v>
      </c>
      <c r="P1864" t="str">
        <f>HYPERLINK("SE\A-5052\A-5052__375.png", "Ver Imagen")</f>
        <v>Ver Imagen</v>
      </c>
    </row>
    <row r="1865" spans="1:16" x14ac:dyDescent="0.25">
      <c r="A1865">
        <v>1287</v>
      </c>
      <c r="B1865" t="s">
        <v>2586</v>
      </c>
      <c r="C1865">
        <v>37.206958524500003</v>
      </c>
      <c r="D1865">
        <v>-7.0338415680499997</v>
      </c>
      <c r="E1865">
        <v>2</v>
      </c>
      <c r="F1865">
        <v>3</v>
      </c>
      <c r="G1865">
        <v>2</v>
      </c>
      <c r="J1865" t="s">
        <v>15</v>
      </c>
      <c r="K1865">
        <v>2</v>
      </c>
      <c r="L1865">
        <v>1.9990000000000001</v>
      </c>
      <c r="M1865">
        <v>0</v>
      </c>
      <c r="N1865" t="s">
        <v>10019</v>
      </c>
      <c r="O1865" t="str">
        <f>HYPERLINK("2\1\marker_861_962438.png", "Ver Imagen")</f>
        <v>Ver Imagen</v>
      </c>
      <c r="P1865" t="str">
        <f>HYPERLINK("SE\A-5052\A-5052__376.png", "Ver Imagen")</f>
        <v>Ver Imagen</v>
      </c>
    </row>
    <row r="1866" spans="1:16" x14ac:dyDescent="0.25">
      <c r="A1866">
        <v>1290</v>
      </c>
      <c r="B1866" t="s">
        <v>2592</v>
      </c>
      <c r="C1866">
        <v>37.2057129206</v>
      </c>
      <c r="D1866">
        <v>-7.0305967886499996</v>
      </c>
      <c r="E1866">
        <v>2</v>
      </c>
      <c r="F1866">
        <v>3</v>
      </c>
      <c r="G1866">
        <v>2</v>
      </c>
      <c r="J1866" t="s">
        <v>15</v>
      </c>
      <c r="K1866">
        <v>2</v>
      </c>
      <c r="L1866">
        <v>1.9410000000000001</v>
      </c>
      <c r="M1866">
        <v>0</v>
      </c>
      <c r="N1866" t="s">
        <v>10019</v>
      </c>
      <c r="O1866" t="str">
        <f>HYPERLINK("2\1\marker_951_962578.png", "Ver Imagen")</f>
        <v>Ver Imagen</v>
      </c>
      <c r="P1866" t="str">
        <f>HYPERLINK("SE\A-5052\A-5052__390.png", "Ver Imagen")</f>
        <v>Ver Imagen</v>
      </c>
    </row>
    <row r="1867" spans="1:16" x14ac:dyDescent="0.25">
      <c r="A1867">
        <v>1291</v>
      </c>
      <c r="B1867" t="s">
        <v>2594</v>
      </c>
      <c r="C1867">
        <v>37.205547230199997</v>
      </c>
      <c r="D1867">
        <v>-7.03016932285</v>
      </c>
      <c r="E1867">
        <v>2</v>
      </c>
      <c r="F1867">
        <v>3</v>
      </c>
      <c r="G1867">
        <v>2</v>
      </c>
      <c r="J1867" t="s">
        <v>15</v>
      </c>
      <c r="K1867">
        <v>2</v>
      </c>
      <c r="L1867">
        <v>2.06</v>
      </c>
      <c r="M1867">
        <v>0</v>
      </c>
      <c r="N1867" t="s">
        <v>10019</v>
      </c>
      <c r="O1867" t="str">
        <f>HYPERLINK("2\1\marker_734_962595.png", "Ver Imagen")</f>
        <v>Ver Imagen</v>
      </c>
      <c r="P1867" t="str">
        <f>HYPERLINK("SE\A-5052\A-5052__392.png", "Ver Imagen")</f>
        <v>Ver Imagen</v>
      </c>
    </row>
    <row r="1868" spans="1:16" x14ac:dyDescent="0.25">
      <c r="A1868">
        <v>1292</v>
      </c>
      <c r="B1868" t="s">
        <v>2596</v>
      </c>
      <c r="C1868">
        <v>37.203990825299996</v>
      </c>
      <c r="D1868">
        <v>-7.02608276534</v>
      </c>
      <c r="E1868">
        <v>3</v>
      </c>
      <c r="F1868">
        <v>2</v>
      </c>
      <c r="G1868">
        <v>2</v>
      </c>
      <c r="J1868" t="s">
        <v>15</v>
      </c>
      <c r="K1868">
        <v>2</v>
      </c>
      <c r="L1868">
        <v>1.988</v>
      </c>
      <c r="M1868">
        <v>0</v>
      </c>
      <c r="N1868" t="s">
        <v>10019</v>
      </c>
      <c r="O1868" t="str">
        <f>HYPERLINK("2\1\marker_305_962776.png", "Ver Imagen")</f>
        <v>Ver Imagen</v>
      </c>
      <c r="P1868" t="str">
        <f>HYPERLINK("SE\A-5052\A-5052__410.png", "Ver Imagen")</f>
        <v>Ver Imagen</v>
      </c>
    </row>
    <row r="1869" spans="1:16" x14ac:dyDescent="0.25">
      <c r="A1869">
        <v>1293</v>
      </c>
      <c r="B1869" t="s">
        <v>2598</v>
      </c>
      <c r="C1869">
        <v>37.203463227900002</v>
      </c>
      <c r="D1869">
        <v>-7.0247100759199999</v>
      </c>
      <c r="E1869">
        <v>1</v>
      </c>
      <c r="F1869">
        <v>2</v>
      </c>
      <c r="G1869">
        <v>2</v>
      </c>
      <c r="J1869" t="s">
        <v>15</v>
      </c>
      <c r="K1869">
        <v>2</v>
      </c>
      <c r="L1869">
        <v>1.8380000000000001</v>
      </c>
      <c r="M1869">
        <v>0</v>
      </c>
      <c r="N1869" t="s">
        <v>10019</v>
      </c>
      <c r="O1869" t="str">
        <f>HYPERLINK("2\1\marker_525_962832.png", "Ver Imagen")</f>
        <v>Ver Imagen</v>
      </c>
      <c r="P1869" t="str">
        <f>HYPERLINK("SE\A-5052\A-5052__416.png", "Ver Imagen")</f>
        <v>Ver Imagen</v>
      </c>
    </row>
    <row r="1870" spans="1:16" x14ac:dyDescent="0.25">
      <c r="A1870">
        <v>1295</v>
      </c>
      <c r="B1870" t="s">
        <v>2602</v>
      </c>
      <c r="C1870">
        <v>37.201017203799999</v>
      </c>
      <c r="D1870">
        <v>-7.0183422331700003</v>
      </c>
      <c r="E1870">
        <v>2</v>
      </c>
      <c r="F1870">
        <v>3</v>
      </c>
      <c r="G1870">
        <v>2</v>
      </c>
      <c r="J1870" t="s">
        <v>15</v>
      </c>
      <c r="K1870">
        <v>2</v>
      </c>
      <c r="L1870">
        <v>1.921</v>
      </c>
      <c r="M1870">
        <v>0</v>
      </c>
      <c r="N1870" t="s">
        <v>10019</v>
      </c>
      <c r="O1870" t="str">
        <f>HYPERLINK("2\1\marker_150_963120.png", "Ver Imagen")</f>
        <v>Ver Imagen</v>
      </c>
      <c r="P1870" t="str">
        <f>HYPERLINK("SE\A-5052\A-5052__444.png", "Ver Imagen")</f>
        <v>Ver Imagen</v>
      </c>
    </row>
    <row r="1871" spans="1:16" x14ac:dyDescent="0.25">
      <c r="A1871">
        <v>1296</v>
      </c>
      <c r="B1871" t="s">
        <v>2604</v>
      </c>
      <c r="C1871">
        <v>37.199072154600003</v>
      </c>
      <c r="D1871">
        <v>-7.01327015691</v>
      </c>
      <c r="E1871">
        <v>2</v>
      </c>
      <c r="F1871">
        <v>3</v>
      </c>
      <c r="G1871">
        <v>2</v>
      </c>
      <c r="J1871" t="s">
        <v>15</v>
      </c>
      <c r="K1871">
        <v>2</v>
      </c>
      <c r="L1871">
        <v>1.8660000000000001</v>
      </c>
      <c r="M1871">
        <v>0</v>
      </c>
      <c r="N1871" t="s">
        <v>10019</v>
      </c>
      <c r="O1871" t="str">
        <f>HYPERLINK("2\1\marker_220_963354.png", "Ver Imagen")</f>
        <v>Ver Imagen</v>
      </c>
      <c r="P1871" t="str">
        <f>HYPERLINK("SE\A-5052\A-5052__466.png", "Ver Imagen")</f>
        <v>Ver Imagen</v>
      </c>
    </row>
    <row r="1872" spans="1:16" x14ac:dyDescent="0.25">
      <c r="A1872">
        <v>1297</v>
      </c>
      <c r="B1872" t="s">
        <v>2606</v>
      </c>
      <c r="C1872">
        <v>37.198992966600002</v>
      </c>
      <c r="D1872">
        <v>-7.0130624799800003</v>
      </c>
      <c r="E1872">
        <v>2</v>
      </c>
      <c r="F1872">
        <v>3</v>
      </c>
      <c r="G1872">
        <v>2</v>
      </c>
      <c r="J1872" t="s">
        <v>15</v>
      </c>
      <c r="K1872">
        <v>2</v>
      </c>
      <c r="L1872">
        <v>2.0299999999999998</v>
      </c>
      <c r="M1872">
        <v>0</v>
      </c>
      <c r="N1872" t="s">
        <v>10019</v>
      </c>
      <c r="O1872" t="str">
        <f>HYPERLINK("2\1\marker_102_963362.png", "Ver Imagen")</f>
        <v>Ver Imagen</v>
      </c>
      <c r="P1872" t="str">
        <f>HYPERLINK("SE\A-5052\A-5052__467.png", "Ver Imagen")</f>
        <v>Ver Imagen</v>
      </c>
    </row>
    <row r="1873" spans="1:16" x14ac:dyDescent="0.25">
      <c r="A1873">
        <v>1298</v>
      </c>
      <c r="B1873" t="s">
        <v>2608</v>
      </c>
      <c r="C1873">
        <v>37.198296666300003</v>
      </c>
      <c r="D1873">
        <v>-7.0112692165499997</v>
      </c>
      <c r="E1873">
        <v>2</v>
      </c>
      <c r="F1873">
        <v>2</v>
      </c>
      <c r="G1873">
        <v>3</v>
      </c>
      <c r="J1873" t="s">
        <v>15</v>
      </c>
      <c r="K1873">
        <v>2</v>
      </c>
      <c r="L1873">
        <v>1.804</v>
      </c>
      <c r="M1873">
        <v>0</v>
      </c>
      <c r="N1873" t="s">
        <v>10019</v>
      </c>
      <c r="O1873" t="str">
        <f>HYPERLINK("2\1\marker_555_963442.png", "Ver Imagen")</f>
        <v>Ver Imagen</v>
      </c>
      <c r="P1873" t="str">
        <f>HYPERLINK("SE\A-5052\A-5052__475.png", "Ver Imagen")</f>
        <v>Ver Imagen</v>
      </c>
    </row>
    <row r="1874" spans="1:16" x14ac:dyDescent="0.25">
      <c r="A1874">
        <v>1299</v>
      </c>
      <c r="B1874" t="s">
        <v>2610</v>
      </c>
      <c r="C1874">
        <v>37.198195062000003</v>
      </c>
      <c r="D1874">
        <v>-7.0110069155900003</v>
      </c>
      <c r="E1874">
        <v>2</v>
      </c>
      <c r="F1874">
        <v>2</v>
      </c>
      <c r="G1874">
        <v>3</v>
      </c>
      <c r="J1874" t="s">
        <v>15</v>
      </c>
      <c r="K1874">
        <v>2</v>
      </c>
      <c r="L1874">
        <v>2.1829999999999998</v>
      </c>
      <c r="M1874">
        <v>0</v>
      </c>
      <c r="N1874" t="s">
        <v>10017</v>
      </c>
      <c r="O1874" t="str">
        <f>HYPERLINK("2\1\marker_775_963450.png", "Ver Imagen")</f>
        <v>Ver Imagen</v>
      </c>
      <c r="P1874" t="str">
        <f>HYPERLINK("SE\A-5052\A-5052__476.png", "Ver Imagen")</f>
        <v>Ver Imagen</v>
      </c>
    </row>
    <row r="1875" spans="1:16" x14ac:dyDescent="0.25">
      <c r="A1875">
        <v>1300</v>
      </c>
      <c r="B1875" t="s">
        <v>2612</v>
      </c>
      <c r="C1875">
        <v>37.1977624238</v>
      </c>
      <c r="D1875">
        <v>-7.00989189511</v>
      </c>
      <c r="E1875">
        <v>2</v>
      </c>
      <c r="F1875">
        <v>2</v>
      </c>
      <c r="G1875">
        <v>3</v>
      </c>
      <c r="J1875" t="s">
        <v>15</v>
      </c>
      <c r="K1875">
        <v>2</v>
      </c>
      <c r="L1875">
        <v>2.363</v>
      </c>
      <c r="M1875">
        <v>0</v>
      </c>
      <c r="N1875" t="s">
        <v>10019</v>
      </c>
      <c r="O1875" t="str">
        <f>HYPERLINK("2\1\marker_680_963501.png", "Ver Imagen")</f>
        <v>Ver Imagen</v>
      </c>
      <c r="P1875" t="str">
        <f>HYPERLINK("SE\A-5052\A-5052__481.png", "Ver Imagen")</f>
        <v>Ver Imagen</v>
      </c>
    </row>
    <row r="1876" spans="1:16" x14ac:dyDescent="0.25">
      <c r="A1876">
        <v>1301</v>
      </c>
      <c r="B1876" t="s">
        <v>2614</v>
      </c>
      <c r="C1876">
        <v>37.197350017200002</v>
      </c>
      <c r="D1876">
        <v>-7.0084760799100003</v>
      </c>
      <c r="E1876">
        <v>2</v>
      </c>
      <c r="F1876">
        <v>2</v>
      </c>
      <c r="G1876">
        <v>1</v>
      </c>
      <c r="J1876" t="s">
        <v>15</v>
      </c>
      <c r="K1876">
        <v>2</v>
      </c>
      <c r="L1876">
        <v>1.831</v>
      </c>
      <c r="M1876">
        <v>0</v>
      </c>
      <c r="N1876" t="s">
        <v>10017</v>
      </c>
      <c r="O1876" t="str">
        <f>HYPERLINK("2\1\marker_810_963559.png", "Ver Imagen")</f>
        <v>Ver Imagen</v>
      </c>
      <c r="P1876" t="str">
        <f>HYPERLINK("SE\A-5052\A-5052__487.png", "Ver Imagen")</f>
        <v>Ver Imagen</v>
      </c>
    </row>
    <row r="1877" spans="1:16" x14ac:dyDescent="0.25">
      <c r="A1877">
        <v>1302</v>
      </c>
      <c r="B1877" t="s">
        <v>2616</v>
      </c>
      <c r="C1877">
        <v>37.1972063754</v>
      </c>
      <c r="D1877">
        <v>-7.0069559464999998</v>
      </c>
      <c r="E1877">
        <v>2</v>
      </c>
      <c r="F1877">
        <v>2</v>
      </c>
      <c r="G1877">
        <v>3</v>
      </c>
      <c r="J1877" t="s">
        <v>15</v>
      </c>
      <c r="K1877">
        <v>2</v>
      </c>
      <c r="L1877">
        <v>2.2989999999999999</v>
      </c>
      <c r="M1877">
        <v>0</v>
      </c>
      <c r="N1877" t="s">
        <v>10019</v>
      </c>
      <c r="O1877" t="str">
        <f>HYPERLINK("2\1\marker_320_963615.png", "Ver Imagen")</f>
        <v>Ver Imagen</v>
      </c>
      <c r="P1877" t="str">
        <f>HYPERLINK("SE\A-5052\A-5052__493.png", "Ver Imagen")</f>
        <v>Ver Imagen</v>
      </c>
    </row>
    <row r="1878" spans="1:16" x14ac:dyDescent="0.25">
      <c r="A1878">
        <v>1303</v>
      </c>
      <c r="B1878" t="s">
        <v>2618</v>
      </c>
      <c r="C1878">
        <v>37.197053237399999</v>
      </c>
      <c r="D1878">
        <v>-7.0059873710499998</v>
      </c>
      <c r="E1878">
        <v>2</v>
      </c>
      <c r="F1878">
        <v>1</v>
      </c>
      <c r="G1878">
        <v>2</v>
      </c>
      <c r="J1878" t="s">
        <v>15</v>
      </c>
      <c r="K1878">
        <v>2</v>
      </c>
      <c r="L1878">
        <v>2.1360000000000001</v>
      </c>
      <c r="M1878">
        <v>0</v>
      </c>
      <c r="N1878" t="s">
        <v>10019</v>
      </c>
      <c r="O1878" t="str">
        <f>HYPERLINK("2\1\marker_297_963651.png", "Ver Imagen")</f>
        <v>Ver Imagen</v>
      </c>
      <c r="P1878" t="str">
        <f>HYPERLINK("SE\A-5052\A-5052__497.png", "Ver Imagen")</f>
        <v>Ver Imagen</v>
      </c>
    </row>
    <row r="1879" spans="1:16" x14ac:dyDescent="0.25">
      <c r="A1879">
        <v>1304</v>
      </c>
      <c r="B1879" t="s">
        <v>2620</v>
      </c>
      <c r="C1879">
        <v>37.196913415099999</v>
      </c>
      <c r="D1879">
        <v>-7.0054433886099998</v>
      </c>
      <c r="E1879">
        <v>2</v>
      </c>
      <c r="F1879">
        <v>2</v>
      </c>
      <c r="G1879">
        <v>3</v>
      </c>
      <c r="J1879" t="s">
        <v>15</v>
      </c>
      <c r="K1879">
        <v>2</v>
      </c>
      <c r="L1879">
        <v>2.0230000000000001</v>
      </c>
      <c r="M1879">
        <v>0</v>
      </c>
      <c r="N1879" t="s">
        <v>10019</v>
      </c>
      <c r="O1879" t="str">
        <f>HYPERLINK("2\1\marker_613_963668.png", "Ver Imagen")</f>
        <v>Ver Imagen</v>
      </c>
      <c r="P1879" t="str">
        <f>HYPERLINK("SE\A-5052\A-5052__499.png", "Ver Imagen")</f>
        <v>Ver Imagen</v>
      </c>
    </row>
    <row r="1880" spans="1:16" x14ac:dyDescent="0.25">
      <c r="A1880">
        <v>1305</v>
      </c>
      <c r="B1880" t="s">
        <v>2622</v>
      </c>
      <c r="C1880">
        <v>37.196794796500001</v>
      </c>
      <c r="D1880">
        <v>-7.0050362828899999</v>
      </c>
      <c r="E1880">
        <v>2</v>
      </c>
      <c r="F1880">
        <v>3</v>
      </c>
      <c r="G1880">
        <v>2</v>
      </c>
      <c r="J1880" t="s">
        <v>15</v>
      </c>
      <c r="K1880">
        <v>2</v>
      </c>
      <c r="L1880">
        <v>1.903</v>
      </c>
      <c r="M1880">
        <v>0</v>
      </c>
      <c r="N1880" t="s">
        <v>10019</v>
      </c>
      <c r="O1880" t="str">
        <f>HYPERLINK("2\1\marker_770_963689.png", "Ver Imagen")</f>
        <v>Ver Imagen</v>
      </c>
      <c r="P1880" t="str">
        <f>HYPERLINK("SE\A-5052\A-5052__501.png", "Ver Imagen")</f>
        <v>Ver Imagen</v>
      </c>
    </row>
    <row r="1881" spans="1:16" x14ac:dyDescent="0.25">
      <c r="A1881">
        <v>1307</v>
      </c>
      <c r="B1881" t="s">
        <v>2626</v>
      </c>
      <c r="C1881">
        <v>37.275423956200001</v>
      </c>
      <c r="D1881">
        <v>-7.1427595935500001</v>
      </c>
      <c r="E1881">
        <v>2</v>
      </c>
      <c r="F1881">
        <v>3</v>
      </c>
      <c r="G1881">
        <v>2</v>
      </c>
      <c r="J1881" t="s">
        <v>15</v>
      </c>
      <c r="K1881">
        <v>2</v>
      </c>
      <c r="L1881">
        <v>2.0089999999999999</v>
      </c>
      <c r="M1881">
        <v>0</v>
      </c>
      <c r="N1881" t="s">
        <v>10019</v>
      </c>
      <c r="O1881" t="str">
        <f>HYPERLINK("2\1\marker_609_964713.png", "Ver Imagen")</f>
        <v>Ver Imagen</v>
      </c>
      <c r="P1881" t="str">
        <f>HYPERLINK("SO\A-5053\A-5053__306.png", "Ver Imagen")</f>
        <v>Ver Imagen</v>
      </c>
    </row>
    <row r="1882" spans="1:16" x14ac:dyDescent="0.25">
      <c r="A1882">
        <v>1308</v>
      </c>
      <c r="B1882" t="s">
        <v>2628</v>
      </c>
      <c r="C1882">
        <v>37.275236812199999</v>
      </c>
      <c r="D1882">
        <v>-7.1427118440399999</v>
      </c>
      <c r="E1882">
        <v>2</v>
      </c>
      <c r="F1882">
        <v>3</v>
      </c>
      <c r="G1882">
        <v>2</v>
      </c>
      <c r="J1882" t="s">
        <v>15</v>
      </c>
      <c r="K1882">
        <v>2</v>
      </c>
      <c r="L1882">
        <v>1.9950000000000001</v>
      </c>
      <c r="M1882">
        <v>0</v>
      </c>
      <c r="N1882" t="s">
        <v>10017</v>
      </c>
      <c r="O1882" t="str">
        <f>HYPERLINK("2\1\marker_837_964722.png", "Ver Imagen")</f>
        <v>Ver Imagen</v>
      </c>
      <c r="P1882" t="str">
        <f>HYPERLINK("SO\A-5053\A-5053__305.png", "Ver Imagen")</f>
        <v>Ver Imagen</v>
      </c>
    </row>
    <row r="1883" spans="1:16" x14ac:dyDescent="0.25">
      <c r="A1883">
        <v>1309</v>
      </c>
      <c r="B1883" t="s">
        <v>2630</v>
      </c>
      <c r="C1883">
        <v>37.274831806999998</v>
      </c>
      <c r="D1883">
        <v>-7.14258501667</v>
      </c>
      <c r="E1883">
        <v>2</v>
      </c>
      <c r="F1883">
        <v>3</v>
      </c>
      <c r="G1883">
        <v>2</v>
      </c>
      <c r="J1883" t="s">
        <v>15</v>
      </c>
      <c r="K1883">
        <v>2</v>
      </c>
      <c r="L1883">
        <v>1.9910000000000001</v>
      </c>
      <c r="M1883">
        <v>0</v>
      </c>
      <c r="N1883" t="s">
        <v>10019</v>
      </c>
      <c r="O1883" t="str">
        <f>HYPERLINK("2\1\marker_762_964741.png", "Ver Imagen")</f>
        <v>Ver Imagen</v>
      </c>
      <c r="P1883" t="str">
        <f>HYPERLINK("SO\A-5053\A-5053__303.png", "Ver Imagen")</f>
        <v>Ver Imagen</v>
      </c>
    </row>
    <row r="1884" spans="1:16" x14ac:dyDescent="0.25">
      <c r="A1884">
        <v>1310</v>
      </c>
      <c r="B1884" t="s">
        <v>2632</v>
      </c>
      <c r="C1884">
        <v>37.271888789800002</v>
      </c>
      <c r="D1884">
        <v>-7.1410594136799999</v>
      </c>
      <c r="E1884">
        <v>2</v>
      </c>
      <c r="F1884">
        <v>3</v>
      </c>
      <c r="G1884">
        <v>2</v>
      </c>
      <c r="J1884" t="s">
        <v>15</v>
      </c>
      <c r="K1884">
        <v>2</v>
      </c>
      <c r="L1884">
        <v>1.952</v>
      </c>
      <c r="M1884">
        <v>0</v>
      </c>
      <c r="N1884" t="s">
        <v>10019</v>
      </c>
      <c r="O1884" t="str">
        <f>HYPERLINK("2\1\marker_601_964991.png", "Ver Imagen")</f>
        <v>Ver Imagen</v>
      </c>
      <c r="P1884" t="str">
        <f>HYPERLINK("SO\A-5053\A-5053__287.png", "Ver Imagen")</f>
        <v>Ver Imagen</v>
      </c>
    </row>
    <row r="1885" spans="1:16" x14ac:dyDescent="0.25">
      <c r="A1885">
        <v>1311</v>
      </c>
      <c r="B1885" t="s">
        <v>2634</v>
      </c>
      <c r="C1885">
        <v>37.271714756800002</v>
      </c>
      <c r="D1885">
        <v>-7.1409063295699999</v>
      </c>
      <c r="E1885">
        <v>2</v>
      </c>
      <c r="F1885">
        <v>3</v>
      </c>
      <c r="G1885">
        <v>2</v>
      </c>
      <c r="J1885" t="s">
        <v>15</v>
      </c>
      <c r="K1885">
        <v>2</v>
      </c>
      <c r="L1885">
        <v>2.1110000000000002</v>
      </c>
      <c r="M1885">
        <v>0</v>
      </c>
      <c r="N1885" t="s">
        <v>10019</v>
      </c>
      <c r="O1885" t="str">
        <f>HYPERLINK("2\1\marker_473_965000.png", "Ver Imagen")</f>
        <v>Ver Imagen</v>
      </c>
      <c r="P1885" t="str">
        <f>HYPERLINK("SO\A-5053\A-5053__286.png", "Ver Imagen")</f>
        <v>Ver Imagen</v>
      </c>
    </row>
    <row r="1886" spans="1:16" x14ac:dyDescent="0.25">
      <c r="A1886">
        <v>1312</v>
      </c>
      <c r="B1886" t="s">
        <v>2636</v>
      </c>
      <c r="C1886">
        <v>37.271546625699997</v>
      </c>
      <c r="D1886">
        <v>-7.1407576732600004</v>
      </c>
      <c r="E1886">
        <v>2</v>
      </c>
      <c r="F1886">
        <v>3</v>
      </c>
      <c r="G1886">
        <v>2</v>
      </c>
      <c r="J1886" t="s">
        <v>15</v>
      </c>
      <c r="K1886">
        <v>2</v>
      </c>
      <c r="L1886">
        <v>1.8180000000000001</v>
      </c>
      <c r="M1886">
        <v>0</v>
      </c>
      <c r="N1886" t="s">
        <v>10019</v>
      </c>
      <c r="O1886" t="str">
        <f>HYPERLINK("2\1\marker_566_965010.png", "Ver Imagen")</f>
        <v>Ver Imagen</v>
      </c>
      <c r="P1886" t="str">
        <f>HYPERLINK("SO\A-5053\A-5053__285.png", "Ver Imagen")</f>
        <v>Ver Imagen</v>
      </c>
    </row>
    <row r="1887" spans="1:16" x14ac:dyDescent="0.25">
      <c r="A1887">
        <v>1313</v>
      </c>
      <c r="B1887" t="s">
        <v>2638</v>
      </c>
      <c r="C1887">
        <v>37.271372019399998</v>
      </c>
      <c r="D1887">
        <v>-7.14060742768</v>
      </c>
      <c r="E1887">
        <v>3</v>
      </c>
      <c r="F1887">
        <v>2</v>
      </c>
      <c r="G1887">
        <v>2</v>
      </c>
      <c r="J1887" t="s">
        <v>15</v>
      </c>
      <c r="K1887">
        <v>2</v>
      </c>
      <c r="L1887">
        <v>1.8640000000000001</v>
      </c>
      <c r="M1887">
        <v>0</v>
      </c>
      <c r="N1887" t="s">
        <v>10019</v>
      </c>
      <c r="O1887" t="str">
        <f>HYPERLINK("2\1\marker_415_965019.png", "Ver Imagen")</f>
        <v>Ver Imagen</v>
      </c>
      <c r="P1887" t="str">
        <f>HYPERLINK("SO\A-5053\A-5053__284.png", "Ver Imagen")</f>
        <v>Ver Imagen</v>
      </c>
    </row>
    <row r="1888" spans="1:16" x14ac:dyDescent="0.25">
      <c r="A1888">
        <v>1314</v>
      </c>
      <c r="B1888" t="s">
        <v>2640</v>
      </c>
      <c r="C1888">
        <v>37.266307200100002</v>
      </c>
      <c r="D1888">
        <v>-7.1330472070599997</v>
      </c>
      <c r="E1888">
        <v>3</v>
      </c>
      <c r="F1888">
        <v>2</v>
      </c>
      <c r="G1888">
        <v>2</v>
      </c>
      <c r="J1888" t="s">
        <v>15</v>
      </c>
      <c r="K1888">
        <v>2</v>
      </c>
      <c r="L1888">
        <v>1.952</v>
      </c>
      <c r="M1888">
        <v>0</v>
      </c>
      <c r="N1888" t="s">
        <v>10019</v>
      </c>
      <c r="O1888" t="str">
        <f>HYPERLINK("2\1\marker_892_965471.png", "Ver Imagen")</f>
        <v>Ver Imagen</v>
      </c>
      <c r="P1888" t="str">
        <f>HYPERLINK("SO\A-5053\A-5053__243.png", "Ver Imagen")</f>
        <v>Ver Imagen</v>
      </c>
    </row>
    <row r="1889" spans="1:16" x14ac:dyDescent="0.25">
      <c r="A1889">
        <v>1315</v>
      </c>
      <c r="B1889" t="s">
        <v>2642</v>
      </c>
      <c r="C1889">
        <v>37.265556017500003</v>
      </c>
      <c r="D1889">
        <v>-7.1325687232300004</v>
      </c>
      <c r="E1889">
        <v>2</v>
      </c>
      <c r="F1889">
        <v>3</v>
      </c>
      <c r="G1889">
        <v>2</v>
      </c>
      <c r="J1889" t="s">
        <v>15</v>
      </c>
      <c r="K1889">
        <v>2</v>
      </c>
      <c r="L1889">
        <v>1.8169999999999999</v>
      </c>
      <c r="M1889">
        <v>0</v>
      </c>
      <c r="N1889" t="s">
        <v>10019</v>
      </c>
      <c r="O1889" t="str">
        <f>HYPERLINK("2\1\marker_167_965509.png", "Ver Imagen")</f>
        <v>Ver Imagen</v>
      </c>
      <c r="P1889" t="str">
        <f>HYPERLINK("SO\A-5053\A-5053__239.png", "Ver Imagen")</f>
        <v>Ver Imagen</v>
      </c>
    </row>
    <row r="1890" spans="1:16" x14ac:dyDescent="0.25">
      <c r="A1890">
        <v>1316</v>
      </c>
      <c r="B1890" t="s">
        <v>2644</v>
      </c>
      <c r="C1890">
        <v>37.259799873799999</v>
      </c>
      <c r="D1890">
        <v>-7.1289614122199998</v>
      </c>
      <c r="E1890">
        <v>3</v>
      </c>
      <c r="F1890">
        <v>2</v>
      </c>
      <c r="G1890">
        <v>2</v>
      </c>
      <c r="J1890" t="s">
        <v>15</v>
      </c>
      <c r="K1890">
        <v>2</v>
      </c>
      <c r="L1890">
        <v>1.9890000000000001</v>
      </c>
      <c r="M1890">
        <v>0</v>
      </c>
      <c r="N1890" t="s">
        <v>10019</v>
      </c>
      <c r="O1890" t="str">
        <f>HYPERLINK("2\1\marker_152_965824.png", "Ver Imagen")</f>
        <v>Ver Imagen</v>
      </c>
      <c r="P1890" t="str">
        <f>HYPERLINK("SO\A-5053\A-5053__207.png", "Ver Imagen")</f>
        <v>Ver Imagen</v>
      </c>
    </row>
    <row r="1891" spans="1:16" x14ac:dyDescent="0.25">
      <c r="A1891">
        <v>1317</v>
      </c>
      <c r="B1891" t="s">
        <v>2646</v>
      </c>
      <c r="C1891">
        <v>37.2592555469</v>
      </c>
      <c r="D1891">
        <v>-7.1286187508500003</v>
      </c>
      <c r="E1891">
        <v>2</v>
      </c>
      <c r="F1891">
        <v>3</v>
      </c>
      <c r="G1891">
        <v>2</v>
      </c>
      <c r="J1891" t="s">
        <v>15</v>
      </c>
      <c r="K1891">
        <v>2</v>
      </c>
      <c r="L1891">
        <v>2.113</v>
      </c>
      <c r="M1891">
        <v>0</v>
      </c>
      <c r="N1891" t="s">
        <v>10019</v>
      </c>
      <c r="O1891" t="str">
        <f>HYPERLINK("2\1\marker_475_965852.png", "Ver Imagen")</f>
        <v>Ver Imagen</v>
      </c>
      <c r="P1891" t="str">
        <f>HYPERLINK("SO\A-5053\A-5053__204.png", "Ver Imagen")</f>
        <v>Ver Imagen</v>
      </c>
    </row>
    <row r="1892" spans="1:16" x14ac:dyDescent="0.25">
      <c r="A1892">
        <v>1318</v>
      </c>
      <c r="B1892" t="s">
        <v>2648</v>
      </c>
      <c r="C1892">
        <v>37.258702472400003</v>
      </c>
      <c r="D1892">
        <v>-7.1282670440900002</v>
      </c>
      <c r="E1892">
        <v>2</v>
      </c>
      <c r="F1892">
        <v>3</v>
      </c>
      <c r="G1892">
        <v>2</v>
      </c>
      <c r="J1892" t="s">
        <v>15</v>
      </c>
      <c r="K1892">
        <v>2</v>
      </c>
      <c r="L1892">
        <v>2.2200000000000002</v>
      </c>
      <c r="M1892">
        <v>0</v>
      </c>
      <c r="N1892" t="s">
        <v>10019</v>
      </c>
      <c r="O1892" t="str">
        <f>HYPERLINK("2\1\marker_100_965876.png", "Ver Imagen")</f>
        <v>Ver Imagen</v>
      </c>
      <c r="P1892" t="str">
        <f>HYPERLINK("SO\A-5053\A-5053__201.png", "Ver Imagen")</f>
        <v>Ver Imagen</v>
      </c>
    </row>
    <row r="1893" spans="1:16" x14ac:dyDescent="0.25">
      <c r="A1893">
        <v>1319</v>
      </c>
      <c r="B1893" t="s">
        <v>2650</v>
      </c>
      <c r="C1893">
        <v>37.2580142638</v>
      </c>
      <c r="D1893">
        <v>-7.1278281543500004</v>
      </c>
      <c r="E1893">
        <v>3</v>
      </c>
      <c r="F1893">
        <v>2</v>
      </c>
      <c r="G1893">
        <v>2</v>
      </c>
      <c r="J1893" t="s">
        <v>15</v>
      </c>
      <c r="K1893">
        <v>2</v>
      </c>
      <c r="L1893">
        <v>2.1459999999999999</v>
      </c>
      <c r="M1893">
        <v>0</v>
      </c>
      <c r="N1893" t="s">
        <v>10019</v>
      </c>
      <c r="O1893" t="str">
        <f>HYPERLINK("2\1\marker_234_965914.png", "Ver Imagen")</f>
        <v>Ver Imagen</v>
      </c>
      <c r="P1893" t="str">
        <f>HYPERLINK("SO\A-5053\A-5053__197.png", "Ver Imagen")</f>
        <v>Ver Imagen</v>
      </c>
    </row>
    <row r="1894" spans="1:16" x14ac:dyDescent="0.25">
      <c r="A1894">
        <v>1320</v>
      </c>
      <c r="B1894" t="s">
        <v>2652</v>
      </c>
      <c r="C1894">
        <v>37.254322921399996</v>
      </c>
      <c r="D1894">
        <v>-7.1266309183000001</v>
      </c>
      <c r="E1894">
        <v>1</v>
      </c>
      <c r="F1894">
        <v>2</v>
      </c>
      <c r="G1894">
        <v>2</v>
      </c>
      <c r="J1894" t="s">
        <v>15</v>
      </c>
      <c r="K1894">
        <v>2</v>
      </c>
      <c r="L1894">
        <v>1.9910000000000001</v>
      </c>
      <c r="M1894">
        <v>0</v>
      </c>
      <c r="N1894" t="s">
        <v>10019</v>
      </c>
      <c r="O1894" t="str">
        <f>HYPERLINK("2\1\marker_981_966110.png", "Ver Imagen")</f>
        <v>Ver Imagen</v>
      </c>
      <c r="P1894" t="str">
        <f>HYPERLINK("SO\A-5053\A-5053__178.png", "Ver Imagen")</f>
        <v>Ver Imagen</v>
      </c>
    </row>
    <row r="1895" spans="1:16" x14ac:dyDescent="0.25">
      <c r="A1895">
        <v>1321</v>
      </c>
      <c r="B1895" t="s">
        <v>2654</v>
      </c>
      <c r="C1895">
        <v>37.250551251799997</v>
      </c>
      <c r="D1895">
        <v>-7.1271955702199996</v>
      </c>
      <c r="E1895">
        <v>2</v>
      </c>
      <c r="F1895">
        <v>3</v>
      </c>
      <c r="G1895">
        <v>2</v>
      </c>
      <c r="J1895" t="s">
        <v>15</v>
      </c>
      <c r="K1895">
        <v>2</v>
      </c>
      <c r="L1895">
        <v>1.917</v>
      </c>
      <c r="M1895">
        <v>0</v>
      </c>
      <c r="N1895" t="s">
        <v>10019</v>
      </c>
      <c r="O1895" t="str">
        <f>HYPERLINK("2\1\marker_698_966294.png", "Ver Imagen")</f>
        <v>Ver Imagen</v>
      </c>
      <c r="P1895" t="str">
        <f>HYPERLINK("SO\A-5053\A-5053__159.png", "Ver Imagen")</f>
        <v>Ver Imagen</v>
      </c>
    </row>
    <row r="1896" spans="1:16" x14ac:dyDescent="0.25">
      <c r="A1896">
        <v>1322</v>
      </c>
      <c r="B1896" t="s">
        <v>2656</v>
      </c>
      <c r="C1896">
        <v>37.248497372999999</v>
      </c>
      <c r="D1896">
        <v>-7.1275062634499999</v>
      </c>
      <c r="E1896">
        <v>2</v>
      </c>
      <c r="F1896">
        <v>2</v>
      </c>
      <c r="G1896">
        <v>3</v>
      </c>
      <c r="J1896" t="s">
        <v>15</v>
      </c>
      <c r="K1896">
        <v>2</v>
      </c>
      <c r="L1896">
        <v>2.0489999999999999</v>
      </c>
      <c r="M1896">
        <v>0</v>
      </c>
      <c r="N1896" t="s">
        <v>10019</v>
      </c>
      <c r="O1896" t="str">
        <f>HYPERLINK("2\1\marker_539_966397.png", "Ver Imagen")</f>
        <v>Ver Imagen</v>
      </c>
      <c r="P1896" t="str">
        <f>HYPERLINK("SO\A-5053\A-5053__149.png", "Ver Imagen")</f>
        <v>Ver Imagen</v>
      </c>
    </row>
    <row r="1897" spans="1:16" x14ac:dyDescent="0.25">
      <c r="A1897">
        <v>1323</v>
      </c>
      <c r="B1897" t="s">
        <v>2658</v>
      </c>
      <c r="C1897">
        <v>37.246690920399999</v>
      </c>
      <c r="D1897">
        <v>-7.1277718779099999</v>
      </c>
      <c r="E1897">
        <v>2</v>
      </c>
      <c r="F1897">
        <v>2</v>
      </c>
      <c r="G1897">
        <v>3</v>
      </c>
      <c r="J1897" t="s">
        <v>15</v>
      </c>
      <c r="K1897">
        <v>2</v>
      </c>
      <c r="L1897">
        <v>1.966</v>
      </c>
      <c r="M1897">
        <v>0</v>
      </c>
      <c r="N1897" t="s">
        <v>10019</v>
      </c>
      <c r="O1897" t="str">
        <f>HYPERLINK("2\1\marker_591_966484.png", "Ver Imagen")</f>
        <v>Ver Imagen</v>
      </c>
      <c r="P1897" t="str">
        <f>HYPERLINK("SO\A-5053\A-5053__140.png", "Ver Imagen")</f>
        <v>Ver Imagen</v>
      </c>
    </row>
    <row r="1898" spans="1:16" x14ac:dyDescent="0.25">
      <c r="A1898">
        <v>1324</v>
      </c>
      <c r="B1898" t="s">
        <v>2660</v>
      </c>
      <c r="C1898">
        <v>37.246482025399999</v>
      </c>
      <c r="D1898">
        <v>-7.1278033608499998</v>
      </c>
      <c r="E1898">
        <v>2</v>
      </c>
      <c r="F1898">
        <v>2</v>
      </c>
      <c r="G1898">
        <v>3</v>
      </c>
      <c r="J1898" t="s">
        <v>15</v>
      </c>
      <c r="K1898">
        <v>2</v>
      </c>
      <c r="L1898">
        <v>1.9770000000000001</v>
      </c>
      <c r="M1898">
        <v>0</v>
      </c>
      <c r="N1898" t="s">
        <v>10019</v>
      </c>
      <c r="O1898" t="str">
        <f>HYPERLINK("2\1\marker_362_966493.png", "Ver Imagen")</f>
        <v>Ver Imagen</v>
      </c>
      <c r="P1898" t="str">
        <f>HYPERLINK("SO\A-5053\A-5053__139.png", "Ver Imagen")</f>
        <v>Ver Imagen</v>
      </c>
    </row>
    <row r="1899" spans="1:16" x14ac:dyDescent="0.25">
      <c r="A1899">
        <v>1325</v>
      </c>
      <c r="B1899" t="s">
        <v>2662</v>
      </c>
      <c r="C1899">
        <v>37.246299254</v>
      </c>
      <c r="D1899">
        <v>-7.1278308341900001</v>
      </c>
      <c r="E1899">
        <v>2</v>
      </c>
      <c r="F1899">
        <v>2</v>
      </c>
      <c r="G1899">
        <v>3</v>
      </c>
      <c r="J1899" t="s">
        <v>15</v>
      </c>
      <c r="K1899">
        <v>2</v>
      </c>
      <c r="L1899">
        <v>2.4540000000000002</v>
      </c>
      <c r="M1899">
        <v>0</v>
      </c>
      <c r="N1899" t="s">
        <v>10018</v>
      </c>
      <c r="O1899" t="str">
        <f>HYPERLINK("2\1\marker_573_966504.png", "Ver Imagen")</f>
        <v>Ver Imagen</v>
      </c>
      <c r="P1899" t="str">
        <f>HYPERLINK("SO\A-5053\A-5053__138.png", "Ver Imagen")</f>
        <v>Ver Imagen</v>
      </c>
    </row>
    <row r="1900" spans="1:16" x14ac:dyDescent="0.25">
      <c r="A1900">
        <v>1326</v>
      </c>
      <c r="B1900" t="s">
        <v>2664</v>
      </c>
      <c r="C1900">
        <v>37.245491301599998</v>
      </c>
      <c r="D1900">
        <v>-7.1279494358599997</v>
      </c>
      <c r="E1900">
        <v>2</v>
      </c>
      <c r="F1900">
        <v>2</v>
      </c>
      <c r="G1900">
        <v>3</v>
      </c>
      <c r="J1900" t="s">
        <v>15</v>
      </c>
      <c r="K1900">
        <v>2</v>
      </c>
      <c r="L1900">
        <v>2.0739999999999998</v>
      </c>
      <c r="M1900">
        <v>0</v>
      </c>
      <c r="N1900" t="s">
        <v>10018</v>
      </c>
      <c r="O1900" t="str">
        <f>HYPERLINK("2\1\marker_905_966537.png", "Ver Imagen")</f>
        <v>Ver Imagen</v>
      </c>
      <c r="P1900" t="str">
        <f>HYPERLINK("SO\A-5053\A-5053__134.png", "Ver Imagen")</f>
        <v>Ver Imagen</v>
      </c>
    </row>
    <row r="1901" spans="1:16" x14ac:dyDescent="0.25">
      <c r="A1901">
        <v>1327</v>
      </c>
      <c r="B1901" t="s">
        <v>2666</v>
      </c>
      <c r="C1901">
        <v>37.243276469199998</v>
      </c>
      <c r="D1901">
        <v>-7.1282735692300001</v>
      </c>
      <c r="E1901">
        <v>2</v>
      </c>
      <c r="F1901">
        <v>2</v>
      </c>
      <c r="G1901">
        <v>3</v>
      </c>
      <c r="J1901" t="s">
        <v>15</v>
      </c>
      <c r="K1901">
        <v>2</v>
      </c>
      <c r="L1901">
        <v>2.0859999999999999</v>
      </c>
      <c r="M1901">
        <v>0</v>
      </c>
      <c r="N1901" t="s">
        <v>10019</v>
      </c>
      <c r="O1901" t="str">
        <f>HYPERLINK("2\1\marker_488_019560.png", "Ver Imagen")</f>
        <v>Ver Imagen</v>
      </c>
      <c r="P1901" t="str">
        <f>HYPERLINK("SO\A-5053\A-5053__123.png", "Ver Imagen")</f>
        <v>Ver Imagen</v>
      </c>
    </row>
    <row r="1902" spans="1:16" x14ac:dyDescent="0.25">
      <c r="A1902">
        <v>1328</v>
      </c>
      <c r="B1902" t="s">
        <v>2668</v>
      </c>
      <c r="C1902">
        <v>37.240654813100001</v>
      </c>
      <c r="D1902">
        <v>-7.1286041167</v>
      </c>
      <c r="E1902">
        <v>2</v>
      </c>
      <c r="F1902">
        <v>2</v>
      </c>
      <c r="G1902">
        <v>3</v>
      </c>
      <c r="J1902" t="s">
        <v>15</v>
      </c>
      <c r="K1902">
        <v>2</v>
      </c>
      <c r="L1902">
        <v>1.901</v>
      </c>
      <c r="M1902">
        <v>0</v>
      </c>
      <c r="N1902" t="s">
        <v>10019</v>
      </c>
      <c r="O1902" t="str">
        <f>HYPERLINK("2\1\marker_238_019703.png", "Ver Imagen")</f>
        <v>Ver Imagen</v>
      </c>
      <c r="P1902" t="str">
        <f>HYPERLINK("SO\A-5053\A-5053__110.png", "Ver Imagen")</f>
        <v>Ver Imagen</v>
      </c>
    </row>
    <row r="1903" spans="1:16" x14ac:dyDescent="0.25">
      <c r="A1903">
        <v>1329</v>
      </c>
      <c r="B1903" t="s">
        <v>2670</v>
      </c>
      <c r="C1903">
        <v>37.240446498799997</v>
      </c>
      <c r="D1903">
        <v>-7.1285981417000004</v>
      </c>
      <c r="E1903">
        <v>2</v>
      </c>
      <c r="F1903">
        <v>1</v>
      </c>
      <c r="G1903">
        <v>2</v>
      </c>
      <c r="J1903" t="s">
        <v>15</v>
      </c>
      <c r="K1903">
        <v>2</v>
      </c>
      <c r="L1903">
        <v>2.0670000000000002</v>
      </c>
      <c r="M1903">
        <v>0</v>
      </c>
      <c r="N1903" t="s">
        <v>10017</v>
      </c>
      <c r="O1903" t="str">
        <f>HYPERLINK("2\1\marker_698_019713.png", "Ver Imagen")</f>
        <v>Ver Imagen</v>
      </c>
      <c r="P1903" t="str">
        <f>HYPERLINK("SO\A-5053\A-5053__109.png", "Ver Imagen")</f>
        <v>Ver Imagen</v>
      </c>
    </row>
    <row r="1904" spans="1:16" x14ac:dyDescent="0.25">
      <c r="A1904">
        <v>1330</v>
      </c>
      <c r="B1904" t="s">
        <v>2672</v>
      </c>
      <c r="C1904">
        <v>37.240269337000001</v>
      </c>
      <c r="D1904">
        <v>-7.1285871746899998</v>
      </c>
      <c r="E1904">
        <v>2</v>
      </c>
      <c r="F1904">
        <v>1</v>
      </c>
      <c r="G1904">
        <v>2</v>
      </c>
      <c r="J1904" t="s">
        <v>15</v>
      </c>
      <c r="K1904">
        <v>2</v>
      </c>
      <c r="L1904">
        <v>2.0089999999999999</v>
      </c>
      <c r="M1904">
        <v>0</v>
      </c>
      <c r="N1904" t="s">
        <v>10019</v>
      </c>
      <c r="O1904" t="str">
        <f>HYPERLINK("2\1\marker_670_019724.png", "Ver Imagen")</f>
        <v>Ver Imagen</v>
      </c>
      <c r="P1904" t="str">
        <f>HYPERLINK("SO\A-5053\A-5053__108.png", "Ver Imagen")</f>
        <v>Ver Imagen</v>
      </c>
    </row>
    <row r="1905" spans="1:16" x14ac:dyDescent="0.25">
      <c r="A1905">
        <v>1331</v>
      </c>
      <c r="B1905" t="s">
        <v>2674</v>
      </c>
      <c r="C1905">
        <v>37.238229336499998</v>
      </c>
      <c r="D1905">
        <v>-7.12839815304</v>
      </c>
      <c r="E1905">
        <v>2</v>
      </c>
      <c r="F1905">
        <v>3</v>
      </c>
      <c r="G1905">
        <v>2</v>
      </c>
      <c r="J1905" t="s">
        <v>15</v>
      </c>
      <c r="K1905">
        <v>2</v>
      </c>
      <c r="L1905">
        <v>2.044</v>
      </c>
      <c r="M1905">
        <v>0</v>
      </c>
      <c r="N1905" t="s">
        <v>10019</v>
      </c>
      <c r="O1905" t="str">
        <f>HYPERLINK("2\1\marker_160_019833.png", "Ver Imagen")</f>
        <v>Ver Imagen</v>
      </c>
      <c r="P1905" t="str">
        <f>HYPERLINK("SO\A-5053\A-5053__98.png", "Ver Imagen")</f>
        <v>Ver Imagen</v>
      </c>
    </row>
    <row r="1906" spans="1:16" x14ac:dyDescent="0.25">
      <c r="A1906">
        <v>1332</v>
      </c>
      <c r="B1906" t="s">
        <v>2676</v>
      </c>
      <c r="C1906">
        <v>37.236593548000002</v>
      </c>
      <c r="D1906">
        <v>-7.1282417973800003</v>
      </c>
      <c r="E1906">
        <v>2</v>
      </c>
      <c r="F1906">
        <v>2</v>
      </c>
      <c r="G1906">
        <v>3</v>
      </c>
      <c r="J1906" t="s">
        <v>15</v>
      </c>
      <c r="K1906">
        <v>2</v>
      </c>
      <c r="L1906">
        <v>2.0609999999999999</v>
      </c>
      <c r="M1906">
        <v>0</v>
      </c>
      <c r="N1906" t="s">
        <v>10019</v>
      </c>
      <c r="O1906" t="str">
        <f>HYPERLINK("2\1\marker_248_019912.png", "Ver Imagen")</f>
        <v>Ver Imagen</v>
      </c>
      <c r="P1906" t="str">
        <f>HYPERLINK("SO\A-5053\A-5053__90.png", "Ver Imagen")</f>
        <v>Ver Imagen</v>
      </c>
    </row>
    <row r="1907" spans="1:16" x14ac:dyDescent="0.25">
      <c r="A1907">
        <v>1333</v>
      </c>
      <c r="B1907" t="s">
        <v>2678</v>
      </c>
      <c r="C1907">
        <v>37.236396004600003</v>
      </c>
      <c r="D1907">
        <v>-7.1282243938700001</v>
      </c>
      <c r="E1907">
        <v>2</v>
      </c>
      <c r="F1907">
        <v>2</v>
      </c>
      <c r="G1907">
        <v>3</v>
      </c>
      <c r="J1907" t="s">
        <v>15</v>
      </c>
      <c r="K1907">
        <v>2</v>
      </c>
      <c r="L1907">
        <v>1.972</v>
      </c>
      <c r="M1907">
        <v>0</v>
      </c>
      <c r="N1907" t="s">
        <v>10017</v>
      </c>
      <c r="O1907" t="str">
        <f>HYPERLINK("2\1\marker_861_019921.png", "Ver Imagen")</f>
        <v>Ver Imagen</v>
      </c>
      <c r="P1907" t="str">
        <f>HYPERLINK("SO\A-5053\A-5053__89.png", "Ver Imagen")</f>
        <v>Ver Imagen</v>
      </c>
    </row>
    <row r="1908" spans="1:16" x14ac:dyDescent="0.25">
      <c r="A1908">
        <v>1334</v>
      </c>
      <c r="B1908" t="s">
        <v>2680</v>
      </c>
      <c r="C1908">
        <v>37.236220794200001</v>
      </c>
      <c r="D1908">
        <v>-7.1282078211000002</v>
      </c>
      <c r="E1908">
        <v>2</v>
      </c>
      <c r="F1908">
        <v>2</v>
      </c>
      <c r="G1908">
        <v>3</v>
      </c>
      <c r="J1908" t="s">
        <v>15</v>
      </c>
      <c r="K1908">
        <v>2</v>
      </c>
      <c r="L1908">
        <v>1.835</v>
      </c>
      <c r="M1908">
        <v>0</v>
      </c>
      <c r="N1908" t="s">
        <v>10019</v>
      </c>
      <c r="O1908" t="str">
        <f>HYPERLINK("2\1\marker_451_019933.png", "Ver Imagen")</f>
        <v>Ver Imagen</v>
      </c>
      <c r="P1908" t="str">
        <f>HYPERLINK("SO\A-5053\A-5053__88.png", "Ver Imagen")</f>
        <v>Ver Imagen</v>
      </c>
    </row>
    <row r="1909" spans="1:16" x14ac:dyDescent="0.25">
      <c r="A1909">
        <v>1336</v>
      </c>
      <c r="B1909" t="s">
        <v>2684</v>
      </c>
      <c r="C1909">
        <v>37.232857590099997</v>
      </c>
      <c r="D1909">
        <v>-7.1272229003299996</v>
      </c>
      <c r="E1909">
        <v>1</v>
      </c>
      <c r="F1909">
        <v>2</v>
      </c>
      <c r="G1909">
        <v>2</v>
      </c>
      <c r="J1909" t="s">
        <v>15</v>
      </c>
      <c r="K1909">
        <v>2</v>
      </c>
      <c r="L1909">
        <v>1.958</v>
      </c>
      <c r="M1909">
        <v>0</v>
      </c>
      <c r="N1909" t="s">
        <v>10019</v>
      </c>
      <c r="O1909" t="str">
        <f>HYPERLINK("2\1\marker_240_020296.png", "Ver Imagen")</f>
        <v>Ver Imagen</v>
      </c>
      <c r="P1909" t="str">
        <f>HYPERLINK("SO\A-5053\A-5053__71.png", "Ver Imagen")</f>
        <v>Ver Imagen</v>
      </c>
    </row>
    <row r="1910" spans="1:16" x14ac:dyDescent="0.25">
      <c r="A1910">
        <v>1337</v>
      </c>
      <c r="B1910" t="s">
        <v>2686</v>
      </c>
      <c r="C1910">
        <v>37.229448869400002</v>
      </c>
      <c r="D1910">
        <v>-7.1269081240699999</v>
      </c>
      <c r="E1910">
        <v>2</v>
      </c>
      <c r="F1910">
        <v>2</v>
      </c>
      <c r="G1910">
        <v>3</v>
      </c>
      <c r="J1910" t="s">
        <v>15</v>
      </c>
      <c r="K1910">
        <v>2</v>
      </c>
      <c r="L1910">
        <v>1.748</v>
      </c>
      <c r="M1910">
        <v>0</v>
      </c>
      <c r="N1910" t="s">
        <v>10019</v>
      </c>
      <c r="O1910" t="str">
        <f>HYPERLINK("2\1\marker_567_020940.png", "Ver Imagen")</f>
        <v>Ver Imagen</v>
      </c>
      <c r="P1910" t="str">
        <f>HYPERLINK("SO\A-5053\A-5053__54.png", "Ver Imagen")</f>
        <v>Ver Imagen</v>
      </c>
    </row>
    <row r="1911" spans="1:16" x14ac:dyDescent="0.25">
      <c r="A1911">
        <v>1339</v>
      </c>
      <c r="B1911" t="s">
        <v>2690</v>
      </c>
      <c r="C1911">
        <v>37.224549491600001</v>
      </c>
      <c r="D1911">
        <v>-7.1255568135000003</v>
      </c>
      <c r="E1911">
        <v>3</v>
      </c>
      <c r="F1911">
        <v>2</v>
      </c>
      <c r="G1911">
        <v>2</v>
      </c>
      <c r="J1911" t="s">
        <v>15</v>
      </c>
      <c r="K1911">
        <v>2</v>
      </c>
      <c r="L1911">
        <v>1.9179999999999999</v>
      </c>
      <c r="M1911">
        <v>0</v>
      </c>
      <c r="N1911" t="s">
        <v>10019</v>
      </c>
      <c r="O1911" t="str">
        <f>HYPERLINK("2\1\marker_784_021819.png", "Ver Imagen")</f>
        <v>Ver Imagen</v>
      </c>
      <c r="P1911" t="str">
        <f>HYPERLINK("SO\A-5053\A-5053__29.png", "Ver Imagen")</f>
        <v>Ver Imagen</v>
      </c>
    </row>
    <row r="1912" spans="1:16" x14ac:dyDescent="0.25">
      <c r="A1912">
        <v>1340</v>
      </c>
      <c r="B1912" t="s">
        <v>2692</v>
      </c>
      <c r="C1912">
        <v>37.222578789499998</v>
      </c>
      <c r="D1912">
        <v>-7.1250316526099997</v>
      </c>
      <c r="E1912">
        <v>2</v>
      </c>
      <c r="F1912">
        <v>2</v>
      </c>
      <c r="G1912">
        <v>3</v>
      </c>
      <c r="J1912" t="s">
        <v>15</v>
      </c>
      <c r="K1912">
        <v>2</v>
      </c>
      <c r="L1912">
        <v>2.3540000000000001</v>
      </c>
      <c r="M1912">
        <v>0</v>
      </c>
      <c r="N1912" t="s">
        <v>10019</v>
      </c>
      <c r="O1912" t="str">
        <f>HYPERLINK("2\1\marker_951_022913.png", "Ver Imagen")</f>
        <v>Ver Imagen</v>
      </c>
      <c r="P1912" t="str">
        <f>HYPERLINK("SO\A-5053\A-5053__19.png", "Ver Imagen")</f>
        <v>Ver Imagen</v>
      </c>
    </row>
    <row r="1913" spans="1:16" x14ac:dyDescent="0.25">
      <c r="A1913">
        <v>1341</v>
      </c>
      <c r="B1913" t="s">
        <v>2694</v>
      </c>
      <c r="C1913">
        <v>37.220334166500002</v>
      </c>
      <c r="D1913">
        <v>-7.1257885240199998</v>
      </c>
      <c r="E1913">
        <v>2</v>
      </c>
      <c r="F1913">
        <v>2</v>
      </c>
      <c r="G1913">
        <v>3</v>
      </c>
      <c r="J1913" t="s">
        <v>15</v>
      </c>
      <c r="K1913">
        <v>2</v>
      </c>
      <c r="L1913">
        <v>2.1339999999999999</v>
      </c>
      <c r="M1913">
        <v>0</v>
      </c>
      <c r="N1913" t="s">
        <v>10019</v>
      </c>
      <c r="O1913" t="str">
        <f>HYPERLINK("2\1\marker_456_025142.png", "Ver Imagen")</f>
        <v>Ver Imagen</v>
      </c>
      <c r="P1913" t="str">
        <f>HYPERLINK("SO\A-5053\A-5053__7.png", "Ver Imagen")</f>
        <v>Ver Imagen</v>
      </c>
    </row>
    <row r="1914" spans="1:16" x14ac:dyDescent="0.25">
      <c r="A1914">
        <v>1342</v>
      </c>
      <c r="B1914" t="s">
        <v>2696</v>
      </c>
      <c r="C1914">
        <v>37.220107362900002</v>
      </c>
      <c r="D1914">
        <v>-7.1258171107099999</v>
      </c>
      <c r="E1914">
        <v>2</v>
      </c>
      <c r="F1914">
        <v>2</v>
      </c>
      <c r="G1914">
        <v>3</v>
      </c>
      <c r="J1914" t="s">
        <v>15</v>
      </c>
      <c r="K1914">
        <v>2</v>
      </c>
      <c r="L1914">
        <v>1.917</v>
      </c>
      <c r="M1914">
        <v>0</v>
      </c>
      <c r="N1914" t="s">
        <v>10018</v>
      </c>
      <c r="O1914" t="str">
        <f>HYPERLINK("2\1\marker_711_025154.png", "Ver Imagen")</f>
        <v>Ver Imagen</v>
      </c>
      <c r="P1914" t="str">
        <f>HYPERLINK("SO\A-5053\A-5053__6.png", "Ver Imagen")</f>
        <v>Ver Imagen</v>
      </c>
    </row>
    <row r="1915" spans="1:16" x14ac:dyDescent="0.25">
      <c r="A1915">
        <v>1343</v>
      </c>
      <c r="B1915" t="s">
        <v>2698</v>
      </c>
      <c r="C1915">
        <v>37.219923795600003</v>
      </c>
      <c r="D1915">
        <v>-7.1258405084899996</v>
      </c>
      <c r="E1915">
        <v>2</v>
      </c>
      <c r="F1915">
        <v>2</v>
      </c>
      <c r="G1915">
        <v>3</v>
      </c>
      <c r="J1915" t="s">
        <v>15</v>
      </c>
      <c r="K1915">
        <v>2</v>
      </c>
      <c r="L1915">
        <v>2.1520000000000001</v>
      </c>
      <c r="M1915">
        <v>0</v>
      </c>
      <c r="N1915" t="s">
        <v>10019</v>
      </c>
      <c r="O1915" t="str">
        <f>HYPERLINK("2\1\marker_269_025164.png", "Ver Imagen")</f>
        <v>Ver Imagen</v>
      </c>
      <c r="P1915" t="str">
        <f>HYPERLINK("SO\A-5053\A-5053__5.png", "Ver Imagen")</f>
        <v>Ver Imagen</v>
      </c>
    </row>
    <row r="1916" spans="1:16" x14ac:dyDescent="0.25">
      <c r="A1916">
        <v>1344</v>
      </c>
      <c r="B1916" t="s">
        <v>2700</v>
      </c>
      <c r="C1916">
        <v>37.219730204599998</v>
      </c>
      <c r="D1916">
        <v>-7.1258656388499997</v>
      </c>
      <c r="E1916">
        <v>2</v>
      </c>
      <c r="F1916">
        <v>2</v>
      </c>
      <c r="G1916">
        <v>3</v>
      </c>
      <c r="J1916" t="s">
        <v>15</v>
      </c>
      <c r="K1916">
        <v>2</v>
      </c>
      <c r="L1916">
        <v>2.2109999999999999</v>
      </c>
      <c r="M1916">
        <v>0</v>
      </c>
      <c r="N1916" t="s">
        <v>10019</v>
      </c>
      <c r="O1916" t="str">
        <f>HYPERLINK("2\1\marker_427_025175.png", "Ver Imagen")</f>
        <v>Ver Imagen</v>
      </c>
      <c r="P1916" t="str">
        <f>HYPERLINK("SO\A-5053\A-5053__4.png", "Ver Imagen")</f>
        <v>Ver Imagen</v>
      </c>
    </row>
    <row r="1917" spans="1:16" x14ac:dyDescent="0.25">
      <c r="A1917">
        <v>1345</v>
      </c>
      <c r="B1917" t="s">
        <v>2702</v>
      </c>
      <c r="C1917">
        <v>37.219531610099999</v>
      </c>
      <c r="D1917">
        <v>-7.1258922370600004</v>
      </c>
      <c r="E1917">
        <v>2</v>
      </c>
      <c r="F1917">
        <v>2</v>
      </c>
      <c r="G1917">
        <v>3</v>
      </c>
      <c r="J1917" t="s">
        <v>15</v>
      </c>
      <c r="K1917">
        <v>2</v>
      </c>
      <c r="L1917">
        <v>2.0169999999999999</v>
      </c>
      <c r="M1917">
        <v>0</v>
      </c>
      <c r="N1917" t="s">
        <v>10019</v>
      </c>
      <c r="O1917" t="str">
        <f>HYPERLINK("2\1\marker_936_025187.png", "Ver Imagen")</f>
        <v>Ver Imagen</v>
      </c>
      <c r="P1917" t="str">
        <f>HYPERLINK("SO\A-5053\A-5053__3.png", "Ver Imagen")</f>
        <v>Ver Imagen</v>
      </c>
    </row>
    <row r="1918" spans="1:16" x14ac:dyDescent="0.25">
      <c r="A1918">
        <v>1346</v>
      </c>
      <c r="B1918" t="s">
        <v>2704</v>
      </c>
      <c r="C1918">
        <v>37.443057675200002</v>
      </c>
      <c r="D1918">
        <v>-7.0946079797000001</v>
      </c>
      <c r="E1918">
        <v>3</v>
      </c>
      <c r="F1918">
        <v>2</v>
      </c>
      <c r="G1918">
        <v>2</v>
      </c>
      <c r="J1918" t="s">
        <v>15</v>
      </c>
      <c r="K1918">
        <v>2</v>
      </c>
      <c r="L1918">
        <v>2.105</v>
      </c>
      <c r="M1918">
        <v>0</v>
      </c>
      <c r="N1918" t="s">
        <v>10019</v>
      </c>
      <c r="O1918" t="str">
        <f>HYPERLINK("2\1\marker_534_381335.png", "Ver Imagen")</f>
        <v>Ver Imagen</v>
      </c>
      <c r="P1918" t="str">
        <f>HYPERLINK("NE\A-495\A-495__24.png", "Ver Imagen")</f>
        <v>Ver Imagen</v>
      </c>
    </row>
    <row r="1919" spans="1:16" x14ac:dyDescent="0.25">
      <c r="A1919">
        <v>1347</v>
      </c>
      <c r="B1919" t="s">
        <v>2706</v>
      </c>
      <c r="C1919">
        <v>37.442972021000003</v>
      </c>
      <c r="D1919">
        <v>-7.0943835917199998</v>
      </c>
      <c r="E1919">
        <v>2</v>
      </c>
      <c r="F1919">
        <v>2</v>
      </c>
      <c r="G1919">
        <v>1</v>
      </c>
      <c r="J1919" t="s">
        <v>15</v>
      </c>
      <c r="K1919">
        <v>2</v>
      </c>
      <c r="L1919">
        <v>2.335</v>
      </c>
      <c r="M1919">
        <v>0</v>
      </c>
      <c r="N1919" t="s">
        <v>10019</v>
      </c>
      <c r="O1919" t="str">
        <f>HYPERLINK("2\1\marker_584_381345.png", "Ver Imagen")</f>
        <v>Ver Imagen</v>
      </c>
      <c r="P1919" t="str">
        <f>HYPERLINK("NE\A-495\A-495__25.png", "Ver Imagen")</f>
        <v>Ver Imagen</v>
      </c>
    </row>
    <row r="1920" spans="1:16" x14ac:dyDescent="0.25">
      <c r="A1920">
        <v>1348</v>
      </c>
      <c r="B1920" t="s">
        <v>2708</v>
      </c>
      <c r="C1920">
        <v>37.442788142399998</v>
      </c>
      <c r="D1920">
        <v>-7.0939032054000002</v>
      </c>
      <c r="E1920">
        <v>3</v>
      </c>
      <c r="F1920">
        <v>2</v>
      </c>
      <c r="G1920">
        <v>2</v>
      </c>
      <c r="J1920" t="s">
        <v>15</v>
      </c>
      <c r="K1920">
        <v>2</v>
      </c>
      <c r="L1920">
        <v>1.8460000000000001</v>
      </c>
      <c r="M1920">
        <v>0</v>
      </c>
      <c r="N1920" t="s">
        <v>10019</v>
      </c>
      <c r="O1920" t="str">
        <f>HYPERLINK("2\1\marker_859_381370.png", "Ver Imagen")</f>
        <v>Ver Imagen</v>
      </c>
      <c r="P1920" t="str">
        <f>HYPERLINK("NE\A-495\A-495__27.png", "Ver Imagen")</f>
        <v>Ver Imagen</v>
      </c>
    </row>
    <row r="1921" spans="1:16" x14ac:dyDescent="0.25">
      <c r="A1921">
        <v>1349</v>
      </c>
      <c r="B1921" t="s">
        <v>2710</v>
      </c>
      <c r="C1921">
        <v>37.442180223900003</v>
      </c>
      <c r="D1921">
        <v>-7.0923454652600002</v>
      </c>
      <c r="E1921">
        <v>3</v>
      </c>
      <c r="F1921">
        <v>2</v>
      </c>
      <c r="G1921">
        <v>2</v>
      </c>
      <c r="J1921" t="s">
        <v>15</v>
      </c>
      <c r="K1921">
        <v>2</v>
      </c>
      <c r="L1921">
        <v>2.1659999999999999</v>
      </c>
      <c r="M1921">
        <v>0</v>
      </c>
      <c r="N1921" t="s">
        <v>10019</v>
      </c>
      <c r="O1921" t="str">
        <f>HYPERLINK("2\1\marker_381_381445.png", "Ver Imagen")</f>
        <v>Ver Imagen</v>
      </c>
      <c r="P1921" t="str">
        <f>HYPERLINK("NE\A-495\A-495__34.png", "Ver Imagen")</f>
        <v>Ver Imagen</v>
      </c>
    </row>
    <row r="1922" spans="1:16" x14ac:dyDescent="0.25">
      <c r="A1922">
        <v>1350</v>
      </c>
      <c r="B1922" t="s">
        <v>2712</v>
      </c>
      <c r="C1922">
        <v>37.435450972399998</v>
      </c>
      <c r="D1922">
        <v>-7.0760760321499996</v>
      </c>
      <c r="E1922">
        <v>2</v>
      </c>
      <c r="F1922">
        <v>2</v>
      </c>
      <c r="G1922">
        <v>1</v>
      </c>
      <c r="J1922" t="s">
        <v>15</v>
      </c>
      <c r="K1922">
        <v>2</v>
      </c>
      <c r="L1922">
        <v>2.282</v>
      </c>
      <c r="M1922">
        <v>0</v>
      </c>
      <c r="N1922" t="s">
        <v>10019</v>
      </c>
      <c r="O1922" t="str">
        <f>HYPERLINK("2\1\marker_373_382254.png", "Ver Imagen")</f>
        <v>Ver Imagen</v>
      </c>
      <c r="P1922" t="str">
        <f>HYPERLINK("NE\A-495\A-495__108.png", "Ver Imagen")</f>
        <v>Ver Imagen</v>
      </c>
    </row>
    <row r="1923" spans="1:16" x14ac:dyDescent="0.25">
      <c r="A1923">
        <v>1351</v>
      </c>
      <c r="B1923" t="s">
        <v>2714</v>
      </c>
      <c r="C1923">
        <v>37.221665444800003</v>
      </c>
      <c r="D1923">
        <v>-7.05474681884</v>
      </c>
      <c r="E1923">
        <v>3</v>
      </c>
      <c r="F1923">
        <v>2</v>
      </c>
      <c r="G1923">
        <v>2</v>
      </c>
      <c r="J1923" t="s">
        <v>15</v>
      </c>
      <c r="K1923">
        <v>2</v>
      </c>
      <c r="L1923">
        <v>1.8660000000000001</v>
      </c>
      <c r="M1923">
        <v>0</v>
      </c>
      <c r="N1923" t="s">
        <v>10019</v>
      </c>
      <c r="O1923" t="str">
        <f>HYPERLINK("2\1\marker_347_378765.png", "Ver Imagen")</f>
        <v>Ver Imagen</v>
      </c>
      <c r="P1923" t="str">
        <f>HYPERLINK("SE\A-5059\A-5059__78.png", "Ver Imagen")</f>
        <v>Ver Imagen</v>
      </c>
    </row>
    <row r="1924" spans="1:16" x14ac:dyDescent="0.25">
      <c r="A1924">
        <v>1352</v>
      </c>
      <c r="B1924" t="s">
        <v>2716</v>
      </c>
      <c r="C1924">
        <v>37.221943708200001</v>
      </c>
      <c r="D1924">
        <v>-7.0551166509899996</v>
      </c>
      <c r="E1924">
        <v>3</v>
      </c>
      <c r="F1924">
        <v>2</v>
      </c>
      <c r="G1924">
        <v>2</v>
      </c>
      <c r="J1924" t="s">
        <v>15</v>
      </c>
      <c r="K1924">
        <v>2</v>
      </c>
      <c r="L1924">
        <v>1.554</v>
      </c>
      <c r="M1924">
        <v>0</v>
      </c>
      <c r="N1924" t="s">
        <v>10019</v>
      </c>
      <c r="O1924" t="str">
        <f>HYPERLINK("2\1\marker_886_378788.png", "Ver Imagen")</f>
        <v>Ver Imagen</v>
      </c>
      <c r="P1924" t="str">
        <f>HYPERLINK("SE\A-5059\A-5059__76.png", "Ver Imagen")</f>
        <v>Ver Imagen</v>
      </c>
    </row>
    <row r="1925" spans="1:16" x14ac:dyDescent="0.25">
      <c r="A1925">
        <v>1353</v>
      </c>
      <c r="B1925" t="s">
        <v>2718</v>
      </c>
      <c r="C1925">
        <v>37.222266726299999</v>
      </c>
      <c r="D1925">
        <v>-7.0554240151199998</v>
      </c>
      <c r="E1925">
        <v>2</v>
      </c>
      <c r="F1925">
        <v>3</v>
      </c>
      <c r="G1925">
        <v>2</v>
      </c>
      <c r="J1925" t="s">
        <v>15</v>
      </c>
      <c r="K1925">
        <v>2</v>
      </c>
      <c r="L1925">
        <v>2.302</v>
      </c>
      <c r="M1925">
        <v>0</v>
      </c>
      <c r="N1925" t="s">
        <v>10019</v>
      </c>
      <c r="O1925" t="str">
        <f>HYPERLINK("2\1\marker_162_378810.png", "Ver Imagen")</f>
        <v>Ver Imagen</v>
      </c>
      <c r="P1925" t="str">
        <f>HYPERLINK("SE\A-5059\A-5059__74.png", "Ver Imagen")</f>
        <v>Ver Imagen</v>
      </c>
    </row>
    <row r="1926" spans="1:16" x14ac:dyDescent="0.25">
      <c r="A1926">
        <v>1354</v>
      </c>
      <c r="B1926" t="s">
        <v>2720</v>
      </c>
      <c r="C1926">
        <v>37.223592357199998</v>
      </c>
      <c r="D1926">
        <v>-7.0560665011700001</v>
      </c>
      <c r="E1926">
        <v>3</v>
      </c>
      <c r="F1926">
        <v>2</v>
      </c>
      <c r="G1926">
        <v>2</v>
      </c>
      <c r="J1926" t="s">
        <v>15</v>
      </c>
      <c r="K1926">
        <v>2</v>
      </c>
      <c r="L1926">
        <v>2.008</v>
      </c>
      <c r="M1926">
        <v>0</v>
      </c>
      <c r="N1926" t="s">
        <v>10019</v>
      </c>
      <c r="O1926" t="str">
        <f>HYPERLINK("2\1\marker_512_378875.png", "Ver Imagen")</f>
        <v>Ver Imagen</v>
      </c>
      <c r="P1926" t="str">
        <f>HYPERLINK("SE\A-5059\A-5059__67.png", "Ver Imagen")</f>
        <v>Ver Imagen</v>
      </c>
    </row>
    <row r="1927" spans="1:16" x14ac:dyDescent="0.25">
      <c r="A1927">
        <v>1355</v>
      </c>
      <c r="B1927" t="s">
        <v>2722</v>
      </c>
      <c r="C1927">
        <v>37.2239589729</v>
      </c>
      <c r="D1927">
        <v>-7.0562687124599996</v>
      </c>
      <c r="E1927">
        <v>3</v>
      </c>
      <c r="F1927">
        <v>2</v>
      </c>
      <c r="G1927">
        <v>2</v>
      </c>
      <c r="J1927" t="s">
        <v>15</v>
      </c>
      <c r="K1927">
        <v>2</v>
      </c>
      <c r="L1927">
        <v>1.976</v>
      </c>
      <c r="M1927">
        <v>0</v>
      </c>
      <c r="N1927" t="s">
        <v>10019</v>
      </c>
      <c r="O1927" t="str">
        <f>HYPERLINK("2\1\marker_472_378894.png", "Ver Imagen")</f>
        <v>Ver Imagen</v>
      </c>
      <c r="P1927" t="str">
        <f>HYPERLINK("SE\A-5059\A-5059__65.png", "Ver Imagen")</f>
        <v>Ver Imagen</v>
      </c>
    </row>
    <row r="1928" spans="1:16" x14ac:dyDescent="0.25">
      <c r="A1928">
        <v>1356</v>
      </c>
      <c r="B1928" t="s">
        <v>2724</v>
      </c>
      <c r="C1928">
        <v>37.224408737600001</v>
      </c>
      <c r="D1928">
        <v>-7.0567346944400002</v>
      </c>
      <c r="E1928">
        <v>3</v>
      </c>
      <c r="F1928">
        <v>2</v>
      </c>
      <c r="G1928">
        <v>2</v>
      </c>
      <c r="J1928" t="s">
        <v>15</v>
      </c>
      <c r="K1928">
        <v>2</v>
      </c>
      <c r="L1928">
        <v>1.9359999999999999</v>
      </c>
      <c r="M1928">
        <v>0</v>
      </c>
      <c r="N1928" t="s">
        <v>10019</v>
      </c>
      <c r="O1928" t="str">
        <f>HYPERLINK("2\1\marker_370_378926.png", "Ver Imagen")</f>
        <v>Ver Imagen</v>
      </c>
      <c r="P1928" t="str">
        <f>HYPERLINK("SE\A-5059\A-5059__62.png", "Ver Imagen")</f>
        <v>Ver Imagen</v>
      </c>
    </row>
    <row r="1929" spans="1:16" x14ac:dyDescent="0.25">
      <c r="A1929">
        <v>1357</v>
      </c>
      <c r="B1929" t="s">
        <v>2726</v>
      </c>
      <c r="C1929">
        <v>37.224546287999999</v>
      </c>
      <c r="D1929">
        <v>-7.0569482906900003</v>
      </c>
      <c r="E1929">
        <v>3</v>
      </c>
      <c r="F1929">
        <v>2</v>
      </c>
      <c r="G1929">
        <v>2</v>
      </c>
      <c r="J1929" t="s">
        <v>15</v>
      </c>
      <c r="K1929">
        <v>2</v>
      </c>
      <c r="L1929">
        <v>1.724</v>
      </c>
      <c r="M1929">
        <v>0</v>
      </c>
      <c r="N1929" t="s">
        <v>10019</v>
      </c>
      <c r="O1929" t="str">
        <f>HYPERLINK("2\1\marker_455_378936.png", "Ver Imagen")</f>
        <v>Ver Imagen</v>
      </c>
      <c r="P1929" t="str">
        <f>HYPERLINK("SE\A-5059\A-5059__61.png", "Ver Imagen")</f>
        <v>Ver Imagen</v>
      </c>
    </row>
    <row r="1930" spans="1:16" x14ac:dyDescent="0.25">
      <c r="A1930">
        <v>1358</v>
      </c>
      <c r="B1930" t="s">
        <v>2728</v>
      </c>
      <c r="C1930">
        <v>37.224667842700001</v>
      </c>
      <c r="D1930">
        <v>-7.0571488658200003</v>
      </c>
      <c r="E1930">
        <v>3</v>
      </c>
      <c r="F1930">
        <v>2</v>
      </c>
      <c r="G1930">
        <v>2</v>
      </c>
      <c r="J1930" t="s">
        <v>15</v>
      </c>
      <c r="K1930">
        <v>2</v>
      </c>
      <c r="L1930">
        <v>1.9139999999999999</v>
      </c>
      <c r="M1930">
        <v>0</v>
      </c>
      <c r="N1930" t="s">
        <v>10019</v>
      </c>
      <c r="O1930" t="str">
        <f>HYPERLINK("2\1\marker_270_378945.png", "Ver Imagen")</f>
        <v>Ver Imagen</v>
      </c>
      <c r="P1930" t="str">
        <f>HYPERLINK("SE\A-5059\A-5059__60.png", "Ver Imagen")</f>
        <v>Ver Imagen</v>
      </c>
    </row>
    <row r="1931" spans="1:16" x14ac:dyDescent="0.25">
      <c r="A1931">
        <v>1359</v>
      </c>
      <c r="B1931" t="s">
        <v>2730</v>
      </c>
      <c r="C1931">
        <v>37.225275953500002</v>
      </c>
      <c r="D1931">
        <v>-7.0581731696499999</v>
      </c>
      <c r="E1931">
        <v>3</v>
      </c>
      <c r="F1931">
        <v>2</v>
      </c>
      <c r="G1931">
        <v>2</v>
      </c>
      <c r="J1931" t="s">
        <v>15</v>
      </c>
      <c r="K1931">
        <v>2</v>
      </c>
      <c r="L1931">
        <v>2.0569999999999999</v>
      </c>
      <c r="M1931">
        <v>0</v>
      </c>
      <c r="N1931" t="s">
        <v>10019</v>
      </c>
      <c r="O1931" t="str">
        <f>HYPERLINK("2\1\marker_404_379033.png", "Ver Imagen")</f>
        <v>Ver Imagen</v>
      </c>
      <c r="P1931" t="str">
        <f>HYPERLINK("SE\A-5059\A-5059__55.png", "Ver Imagen")</f>
        <v>Ver Imagen</v>
      </c>
    </row>
    <row r="1932" spans="1:16" x14ac:dyDescent="0.25">
      <c r="A1932">
        <v>1360</v>
      </c>
      <c r="B1932" t="s">
        <v>2732</v>
      </c>
      <c r="C1932">
        <v>37.225879739500002</v>
      </c>
      <c r="D1932">
        <v>-7.0591956485300003</v>
      </c>
      <c r="E1932">
        <v>3</v>
      </c>
      <c r="F1932">
        <v>2</v>
      </c>
      <c r="G1932">
        <v>2</v>
      </c>
      <c r="J1932" t="s">
        <v>15</v>
      </c>
      <c r="K1932">
        <v>2</v>
      </c>
      <c r="L1932">
        <v>1.8580000000000001</v>
      </c>
      <c r="M1932">
        <v>0</v>
      </c>
      <c r="N1932" t="s">
        <v>10019</v>
      </c>
      <c r="O1932" t="str">
        <f>HYPERLINK("2\1\marker_387_379093.png", "Ver Imagen")</f>
        <v>Ver Imagen</v>
      </c>
      <c r="P1932" t="str">
        <f>HYPERLINK("SE\A-5059\A-5059__50.png", "Ver Imagen")</f>
        <v>Ver Imagen</v>
      </c>
    </row>
    <row r="1933" spans="1:16" x14ac:dyDescent="0.25">
      <c r="A1933">
        <v>1361</v>
      </c>
      <c r="B1933" t="s">
        <v>2734</v>
      </c>
      <c r="C1933">
        <v>37.2260093071</v>
      </c>
      <c r="D1933">
        <v>-7.0594149235800003</v>
      </c>
      <c r="E1933">
        <v>3</v>
      </c>
      <c r="F1933">
        <v>2</v>
      </c>
      <c r="G1933">
        <v>2</v>
      </c>
      <c r="J1933" t="s">
        <v>15</v>
      </c>
      <c r="K1933">
        <v>2</v>
      </c>
      <c r="L1933">
        <v>2.16</v>
      </c>
      <c r="M1933">
        <v>0</v>
      </c>
      <c r="N1933" t="s">
        <v>10019</v>
      </c>
      <c r="O1933" t="str">
        <f>HYPERLINK("2\1\marker_700_379104.png", "Ver Imagen")</f>
        <v>Ver Imagen</v>
      </c>
      <c r="P1933" t="str">
        <f>HYPERLINK("SE\A-5059\A-5059__49.png", "Ver Imagen")</f>
        <v>Ver Imagen</v>
      </c>
    </row>
    <row r="1934" spans="1:16" x14ac:dyDescent="0.25">
      <c r="A1934">
        <v>1362</v>
      </c>
      <c r="B1934" t="s">
        <v>2736</v>
      </c>
      <c r="C1934">
        <v>37.2263609237</v>
      </c>
      <c r="D1934">
        <v>-7.06001298241</v>
      </c>
      <c r="E1934">
        <v>3</v>
      </c>
      <c r="F1934">
        <v>2</v>
      </c>
      <c r="G1934">
        <v>2</v>
      </c>
      <c r="J1934" t="s">
        <v>15</v>
      </c>
      <c r="K1934">
        <v>2</v>
      </c>
      <c r="L1934">
        <v>2.2080000000000002</v>
      </c>
      <c r="M1934">
        <v>0</v>
      </c>
      <c r="N1934" t="s">
        <v>10019</v>
      </c>
      <c r="O1934" t="str">
        <f>HYPERLINK("2\1\marker_825_379133.png", "Ver Imagen")</f>
        <v>Ver Imagen</v>
      </c>
      <c r="P1934" t="str">
        <f>HYPERLINK("SE\A-5059\A-5059__46.png", "Ver Imagen")</f>
        <v>Ver Imagen</v>
      </c>
    </row>
    <row r="1935" spans="1:16" x14ac:dyDescent="0.25">
      <c r="A1935">
        <v>1364</v>
      </c>
      <c r="B1935" t="s">
        <v>2740</v>
      </c>
      <c r="C1935">
        <v>37.226485690700002</v>
      </c>
      <c r="D1935">
        <v>-7.06020976818</v>
      </c>
      <c r="E1935">
        <v>3</v>
      </c>
      <c r="F1935">
        <v>2</v>
      </c>
      <c r="G1935">
        <v>2</v>
      </c>
      <c r="J1935" t="s">
        <v>15</v>
      </c>
      <c r="K1935">
        <v>2</v>
      </c>
      <c r="L1935">
        <v>2.1469999999999998</v>
      </c>
      <c r="M1935">
        <v>0</v>
      </c>
      <c r="N1935" t="s">
        <v>10019</v>
      </c>
      <c r="O1935" t="str">
        <f>HYPERLINK("2\1\marker_437_379142.png", "Ver Imagen")</f>
        <v>Ver Imagen</v>
      </c>
      <c r="P1935" t="str">
        <f>HYPERLINK("SE\A-5059\A-5059__45.png", "Ver Imagen")</f>
        <v>Ver Imagen</v>
      </c>
    </row>
    <row r="1936" spans="1:16" x14ac:dyDescent="0.25">
      <c r="A1936">
        <v>1365</v>
      </c>
      <c r="B1936" t="s">
        <v>2742</v>
      </c>
      <c r="C1936">
        <v>37.434822004700003</v>
      </c>
      <c r="D1936">
        <v>-7.0692395227100002</v>
      </c>
      <c r="E1936">
        <v>2</v>
      </c>
      <c r="F1936">
        <v>2</v>
      </c>
      <c r="G1936">
        <v>1</v>
      </c>
      <c r="J1936" t="s">
        <v>15</v>
      </c>
      <c r="K1936">
        <v>2</v>
      </c>
      <c r="L1936">
        <v>2.2610000000000001</v>
      </c>
      <c r="M1936">
        <v>0</v>
      </c>
      <c r="N1936" t="s">
        <v>10018</v>
      </c>
      <c r="O1936" t="str">
        <f>HYPERLINK("2\1\marker_230_382530.png", "Ver Imagen")</f>
        <v>Ver Imagen</v>
      </c>
      <c r="P1936" t="str">
        <f>HYPERLINK("NE\A-495\A-495__135.png", "Ver Imagen")</f>
        <v>Ver Imagen</v>
      </c>
    </row>
    <row r="1937" spans="1:16" x14ac:dyDescent="0.25">
      <c r="A1937">
        <v>1367</v>
      </c>
      <c r="B1937" t="s">
        <v>2746</v>
      </c>
      <c r="C1937">
        <v>37.434680125100002</v>
      </c>
      <c r="D1937">
        <v>-7.0688053004900002</v>
      </c>
      <c r="E1937">
        <v>2</v>
      </c>
      <c r="F1937">
        <v>3</v>
      </c>
      <c r="G1937">
        <v>2</v>
      </c>
      <c r="J1937" t="s">
        <v>15</v>
      </c>
      <c r="K1937">
        <v>2</v>
      </c>
      <c r="L1937">
        <v>2.1150000000000002</v>
      </c>
      <c r="M1937">
        <v>0</v>
      </c>
      <c r="N1937" t="s">
        <v>10017</v>
      </c>
      <c r="O1937" t="str">
        <f>HYPERLINK("2\1\marker_812_382552.png", "Ver Imagen")</f>
        <v>Ver Imagen</v>
      </c>
      <c r="P1937" t="str">
        <f>HYPERLINK("NE\A-495\A-495__137.png", "Ver Imagen")</f>
        <v>Ver Imagen</v>
      </c>
    </row>
    <row r="1938" spans="1:16" x14ac:dyDescent="0.25">
      <c r="A1938">
        <v>1368</v>
      </c>
      <c r="B1938" t="s">
        <v>2748</v>
      </c>
      <c r="C1938">
        <v>37.434596318600001</v>
      </c>
      <c r="D1938">
        <v>-7.0685782656300002</v>
      </c>
      <c r="E1938">
        <v>2</v>
      </c>
      <c r="F1938">
        <v>3</v>
      </c>
      <c r="G1938">
        <v>2</v>
      </c>
      <c r="J1938" t="s">
        <v>15</v>
      </c>
      <c r="K1938">
        <v>2</v>
      </c>
      <c r="L1938">
        <v>2.339</v>
      </c>
      <c r="M1938">
        <v>0</v>
      </c>
      <c r="N1938" t="s">
        <v>10017</v>
      </c>
      <c r="O1938" t="str">
        <f>HYPERLINK("2\1\marker_270_382561.png", "Ver Imagen")</f>
        <v>Ver Imagen</v>
      </c>
      <c r="P1938" t="str">
        <f>HYPERLINK("NE\A-495\A-495__138.png", "Ver Imagen")</f>
        <v>Ver Imagen</v>
      </c>
    </row>
    <row r="1939" spans="1:16" x14ac:dyDescent="0.25">
      <c r="A1939">
        <v>1369</v>
      </c>
      <c r="B1939" t="s">
        <v>2750</v>
      </c>
      <c r="C1939">
        <v>37.228201966900002</v>
      </c>
      <c r="D1939">
        <v>-7.0614550957600004</v>
      </c>
      <c r="E1939">
        <v>3</v>
      </c>
      <c r="F1939">
        <v>2</v>
      </c>
      <c r="G1939">
        <v>2</v>
      </c>
      <c r="J1939" t="s">
        <v>15</v>
      </c>
      <c r="K1939">
        <v>2</v>
      </c>
      <c r="L1939">
        <v>1.9770000000000001</v>
      </c>
      <c r="M1939">
        <v>0</v>
      </c>
      <c r="N1939" t="s">
        <v>10019</v>
      </c>
      <c r="O1939" t="str">
        <f>HYPERLINK("2\1\marker_533_379357.png", "Ver Imagen")</f>
        <v>Ver Imagen</v>
      </c>
      <c r="P1939" t="str">
        <f>HYPERLINK("SE\A-5059\A-5059__35.png", "Ver Imagen")</f>
        <v>Ver Imagen</v>
      </c>
    </row>
    <row r="1940" spans="1:16" x14ac:dyDescent="0.25">
      <c r="A1940">
        <v>1371</v>
      </c>
      <c r="B1940" t="s">
        <v>2754</v>
      </c>
      <c r="C1940">
        <v>37.228498684199998</v>
      </c>
      <c r="D1940">
        <v>-7.0618008896099997</v>
      </c>
      <c r="E1940">
        <v>2</v>
      </c>
      <c r="F1940">
        <v>3</v>
      </c>
      <c r="G1940">
        <v>2</v>
      </c>
      <c r="J1940" t="s">
        <v>15</v>
      </c>
      <c r="K1940">
        <v>2</v>
      </c>
      <c r="L1940">
        <v>2.1349999999999998</v>
      </c>
      <c r="M1940">
        <v>0</v>
      </c>
      <c r="N1940" t="s">
        <v>10019</v>
      </c>
      <c r="O1940" t="str">
        <f>HYPERLINK("2\1\marker_403_379377.png", "Ver Imagen")</f>
        <v>Ver Imagen</v>
      </c>
      <c r="P1940" t="str">
        <f>HYPERLINK("SE\A-5059\A-5059__33.png", "Ver Imagen")</f>
        <v>Ver Imagen</v>
      </c>
    </row>
    <row r="1941" spans="1:16" x14ac:dyDescent="0.25">
      <c r="A1941">
        <v>1372</v>
      </c>
      <c r="B1941" t="s">
        <v>2756</v>
      </c>
      <c r="C1941">
        <v>37.2307104064</v>
      </c>
      <c r="D1941">
        <v>-7.0633994360600001</v>
      </c>
      <c r="E1941">
        <v>3</v>
      </c>
      <c r="F1941">
        <v>2</v>
      </c>
      <c r="G1941">
        <v>2</v>
      </c>
      <c r="J1941" t="s">
        <v>15</v>
      </c>
      <c r="K1941">
        <v>2</v>
      </c>
      <c r="L1941">
        <v>2.17</v>
      </c>
      <c r="M1941">
        <v>0</v>
      </c>
      <c r="N1941" t="s">
        <v>10019</v>
      </c>
      <c r="O1941" t="str">
        <f>HYPERLINK("2\1\marker_594_379491.png", "Ver Imagen")</f>
        <v>Ver Imagen</v>
      </c>
      <c r="P1941" t="str">
        <f>HYPERLINK("SE\A-5059\A-5059__20.png", "Ver Imagen")</f>
        <v>Ver Imagen</v>
      </c>
    </row>
    <row r="1942" spans="1:16" x14ac:dyDescent="0.25">
      <c r="A1942">
        <v>1373</v>
      </c>
      <c r="B1942" t="s">
        <v>2758</v>
      </c>
      <c r="C1942">
        <v>37.231302969700003</v>
      </c>
      <c r="D1942">
        <v>-7.06357155254</v>
      </c>
      <c r="E1942">
        <v>3</v>
      </c>
      <c r="F1942">
        <v>2</v>
      </c>
      <c r="G1942">
        <v>2</v>
      </c>
      <c r="J1942" t="s">
        <v>15</v>
      </c>
      <c r="K1942">
        <v>2</v>
      </c>
      <c r="L1942">
        <v>2.198</v>
      </c>
      <c r="M1942">
        <v>0</v>
      </c>
      <c r="N1942" t="s">
        <v>10019</v>
      </c>
      <c r="O1942" t="str">
        <f>HYPERLINK("2\1\marker_536_379517.png", "Ver Imagen")</f>
        <v>Ver Imagen</v>
      </c>
      <c r="P1942" t="str">
        <f>HYPERLINK("SE\A-5059\A-5059__17.png", "Ver Imagen")</f>
        <v>Ver Imagen</v>
      </c>
    </row>
    <row r="1943" spans="1:16" x14ac:dyDescent="0.25">
      <c r="A1943">
        <v>1374</v>
      </c>
      <c r="B1943" t="s">
        <v>2760</v>
      </c>
      <c r="C1943">
        <v>37.232525841899999</v>
      </c>
      <c r="D1943">
        <v>-7.0648316359200001</v>
      </c>
      <c r="E1943">
        <v>3</v>
      </c>
      <c r="F1943">
        <v>2</v>
      </c>
      <c r="G1943">
        <v>2</v>
      </c>
      <c r="J1943" t="s">
        <v>15</v>
      </c>
      <c r="K1943">
        <v>2</v>
      </c>
      <c r="L1943">
        <v>1.6459999999999999</v>
      </c>
      <c r="M1943">
        <v>0</v>
      </c>
      <c r="N1943" t="s">
        <v>10019</v>
      </c>
      <c r="O1943" t="str">
        <f>HYPERLINK("2\1\marker_189_379590.png", "Ver Imagen")</f>
        <v>Ver Imagen</v>
      </c>
      <c r="P1943" t="str">
        <f>HYPERLINK("SE\A-5059\A-5059__9.png", "Ver Imagen")</f>
        <v>Ver Imagen</v>
      </c>
    </row>
    <row r="1944" spans="1:16" x14ac:dyDescent="0.25">
      <c r="A1944">
        <v>1375</v>
      </c>
      <c r="B1944" t="s">
        <v>2762</v>
      </c>
      <c r="C1944">
        <v>37.232651187899997</v>
      </c>
      <c r="D1944">
        <v>-7.0650728211200002</v>
      </c>
      <c r="E1944">
        <v>3</v>
      </c>
      <c r="F1944">
        <v>2</v>
      </c>
      <c r="G1944">
        <v>2</v>
      </c>
      <c r="J1944" t="s">
        <v>15</v>
      </c>
      <c r="K1944">
        <v>2</v>
      </c>
      <c r="L1944">
        <v>2.282</v>
      </c>
      <c r="M1944">
        <v>0</v>
      </c>
      <c r="N1944" t="s">
        <v>10019</v>
      </c>
      <c r="O1944" t="str">
        <f>HYPERLINK("2\1\marker_381_379599.png", "Ver Imagen")</f>
        <v>Ver Imagen</v>
      </c>
      <c r="P1944" t="str">
        <f>HYPERLINK("SE\A-5059\A-5059__8.png", "Ver Imagen")</f>
        <v>Ver Imagen</v>
      </c>
    </row>
    <row r="1945" spans="1:16" x14ac:dyDescent="0.25">
      <c r="A1945">
        <v>1376</v>
      </c>
      <c r="B1945" t="s">
        <v>2764</v>
      </c>
      <c r="C1945">
        <v>37.233429902499999</v>
      </c>
      <c r="D1945">
        <v>-7.0661545707700002</v>
      </c>
      <c r="E1945">
        <v>2</v>
      </c>
      <c r="F1945">
        <v>1</v>
      </c>
      <c r="G1945">
        <v>2</v>
      </c>
      <c r="J1945" t="s">
        <v>15</v>
      </c>
      <c r="K1945">
        <v>2</v>
      </c>
      <c r="L1945">
        <v>1.901</v>
      </c>
      <c r="M1945">
        <v>0</v>
      </c>
      <c r="N1945" t="s">
        <v>10019</v>
      </c>
      <c r="O1945" t="str">
        <f>HYPERLINK("2\1\marker_568_379656.png", "Ver Imagen")</f>
        <v>Ver Imagen</v>
      </c>
      <c r="P1945" t="str">
        <f>HYPERLINK("SE\A-5059\A-5059__2.png", "Ver Imagen")</f>
        <v>Ver Imagen</v>
      </c>
    </row>
    <row r="1946" spans="1:16" x14ac:dyDescent="0.25">
      <c r="A1946">
        <v>1377</v>
      </c>
      <c r="B1946" t="s">
        <v>2766</v>
      </c>
      <c r="C1946">
        <v>37.225261250800003</v>
      </c>
      <c r="D1946">
        <v>-7.0280111610800002</v>
      </c>
      <c r="E1946">
        <v>3</v>
      </c>
      <c r="F1946">
        <v>2</v>
      </c>
      <c r="G1946">
        <v>2</v>
      </c>
      <c r="J1946" t="s">
        <v>15</v>
      </c>
      <c r="K1946">
        <v>2</v>
      </c>
      <c r="L1946">
        <v>1.8320000000000001</v>
      </c>
      <c r="M1946">
        <v>0</v>
      </c>
      <c r="N1946" t="s">
        <v>10019</v>
      </c>
      <c r="O1946" t="str">
        <f>HYPERLINK("2\1\marker_766_379809.png", "Ver Imagen")</f>
        <v>Ver Imagen</v>
      </c>
      <c r="P1946" t="str">
        <f>HYPERLINK("SE\A-5058\A-5058__3.png", "Ver Imagen")</f>
        <v>Ver Imagen</v>
      </c>
    </row>
    <row r="1947" spans="1:16" x14ac:dyDescent="0.25">
      <c r="A1947">
        <v>1378</v>
      </c>
      <c r="B1947" t="s">
        <v>2768</v>
      </c>
      <c r="C1947">
        <v>37.225277564599999</v>
      </c>
      <c r="D1947">
        <v>-7.0282828686299998</v>
      </c>
      <c r="E1947">
        <v>2</v>
      </c>
      <c r="F1947">
        <v>3</v>
      </c>
      <c r="G1947">
        <v>2</v>
      </c>
      <c r="J1947" t="s">
        <v>15</v>
      </c>
      <c r="K1947">
        <v>2</v>
      </c>
      <c r="L1947">
        <v>1.667</v>
      </c>
      <c r="M1947">
        <v>0</v>
      </c>
      <c r="N1947" t="s">
        <v>10019</v>
      </c>
      <c r="O1947" t="str">
        <f>HYPERLINK("2\1\marker_226_379839.png", "Ver Imagen")</f>
        <v>Ver Imagen</v>
      </c>
      <c r="P1947" t="str">
        <f>HYPERLINK("SE\A-5058\A-5058__4.png", "Ver Imagen")</f>
        <v>Ver Imagen</v>
      </c>
    </row>
    <row r="1948" spans="1:16" x14ac:dyDescent="0.25">
      <c r="A1948">
        <v>1379</v>
      </c>
      <c r="B1948" t="s">
        <v>2770</v>
      </c>
      <c r="C1948">
        <v>37.432322808999999</v>
      </c>
      <c r="D1948">
        <v>-7.0635568947999996</v>
      </c>
      <c r="E1948">
        <v>2</v>
      </c>
      <c r="F1948">
        <v>3</v>
      </c>
      <c r="G1948">
        <v>2</v>
      </c>
      <c r="J1948" t="s">
        <v>15</v>
      </c>
      <c r="K1948">
        <v>2</v>
      </c>
      <c r="L1948">
        <v>1.873</v>
      </c>
      <c r="M1948">
        <v>0</v>
      </c>
      <c r="N1948" t="s">
        <v>10019</v>
      </c>
      <c r="O1948" t="str">
        <f>HYPERLINK("2\1\marker_547_382811.png", "Ver Imagen")</f>
        <v>Ver Imagen</v>
      </c>
      <c r="P1948" t="str">
        <f>HYPERLINK("NE\A-495\A-495__161.png", "Ver Imagen")</f>
        <v>Ver Imagen</v>
      </c>
    </row>
    <row r="1949" spans="1:16" x14ac:dyDescent="0.25">
      <c r="A1949">
        <v>1380</v>
      </c>
      <c r="B1949" t="s">
        <v>2772</v>
      </c>
      <c r="C1949">
        <v>37.2253330518</v>
      </c>
      <c r="D1949">
        <v>-7.0292856172900002</v>
      </c>
      <c r="E1949">
        <v>2</v>
      </c>
      <c r="F1949">
        <v>2</v>
      </c>
      <c r="G1949">
        <v>3</v>
      </c>
      <c r="J1949" t="s">
        <v>15</v>
      </c>
      <c r="K1949">
        <v>2</v>
      </c>
      <c r="L1949">
        <v>1.972</v>
      </c>
      <c r="M1949">
        <v>0</v>
      </c>
      <c r="N1949" t="s">
        <v>10019</v>
      </c>
      <c r="O1949" t="str">
        <f>HYPERLINK("2\1\marker_138_379891.png", "Ver Imagen")</f>
        <v>Ver Imagen</v>
      </c>
      <c r="P1949" t="str">
        <f>HYPERLINK("SE\A-5058\A-5058__8.png", "Ver Imagen")</f>
        <v>Ver Imagen</v>
      </c>
    </row>
    <row r="1950" spans="1:16" x14ac:dyDescent="0.25">
      <c r="A1950">
        <v>1381</v>
      </c>
      <c r="B1950" t="s">
        <v>2774</v>
      </c>
      <c r="C1950">
        <v>37.2253356262</v>
      </c>
      <c r="D1950">
        <v>-7.0305647389699999</v>
      </c>
      <c r="E1950">
        <v>2</v>
      </c>
      <c r="F1950">
        <v>1</v>
      </c>
      <c r="G1950">
        <v>2</v>
      </c>
      <c r="J1950" t="s">
        <v>15</v>
      </c>
      <c r="K1950">
        <v>2</v>
      </c>
      <c r="L1950">
        <v>2.3519999999999999</v>
      </c>
      <c r="M1950">
        <v>0</v>
      </c>
      <c r="N1950" t="s">
        <v>10019</v>
      </c>
      <c r="O1950" t="str">
        <f>HYPERLINK("2\1\marker_159_379935.png", "Ver Imagen")</f>
        <v>Ver Imagen</v>
      </c>
      <c r="P1950" t="str">
        <f>HYPERLINK("SE\A-5058\A-5058__13.png", "Ver Imagen")</f>
        <v>Ver Imagen</v>
      </c>
    </row>
    <row r="1951" spans="1:16" x14ac:dyDescent="0.25">
      <c r="A1951">
        <v>1382</v>
      </c>
      <c r="B1951" t="s">
        <v>2776</v>
      </c>
      <c r="C1951">
        <v>37.432207825200003</v>
      </c>
      <c r="D1951">
        <v>-7.0633090344599996</v>
      </c>
      <c r="E1951">
        <v>2</v>
      </c>
      <c r="F1951">
        <v>3</v>
      </c>
      <c r="G1951">
        <v>2</v>
      </c>
      <c r="J1951" t="s">
        <v>15</v>
      </c>
      <c r="K1951">
        <v>2</v>
      </c>
      <c r="L1951">
        <v>2.29</v>
      </c>
      <c r="M1951">
        <v>0</v>
      </c>
      <c r="N1951" t="s">
        <v>10019</v>
      </c>
      <c r="O1951" t="str">
        <f>HYPERLINK("2\1\marker_890_382819.png", "Ver Imagen")</f>
        <v>Ver Imagen</v>
      </c>
      <c r="P1951" t="str">
        <f>HYPERLINK("NE\A-495\A-495__162.png", "Ver Imagen")</f>
        <v>Ver Imagen</v>
      </c>
    </row>
    <row r="1952" spans="1:16" x14ac:dyDescent="0.25">
      <c r="A1952">
        <v>1383</v>
      </c>
      <c r="B1952" t="s">
        <v>2778</v>
      </c>
      <c r="C1952">
        <v>37.2253189316</v>
      </c>
      <c r="D1952">
        <v>-7.0308041013300002</v>
      </c>
      <c r="E1952">
        <v>3</v>
      </c>
      <c r="F1952">
        <v>2</v>
      </c>
      <c r="G1952">
        <v>2</v>
      </c>
      <c r="J1952" t="s">
        <v>15</v>
      </c>
      <c r="K1952">
        <v>2</v>
      </c>
      <c r="L1952">
        <v>2.2839999999999998</v>
      </c>
      <c r="M1952">
        <v>0</v>
      </c>
      <c r="N1952" t="s">
        <v>10018</v>
      </c>
      <c r="O1952" t="str">
        <f>HYPERLINK("2\1\marker_761_379945.png", "Ver Imagen")</f>
        <v>Ver Imagen</v>
      </c>
      <c r="P1952" t="str">
        <f>HYPERLINK("SE\A-5058\A-5058__14.png", "Ver Imagen")</f>
        <v>Ver Imagen</v>
      </c>
    </row>
    <row r="1953" spans="1:16" x14ac:dyDescent="0.25">
      <c r="A1953">
        <v>1385</v>
      </c>
      <c r="B1953" t="s">
        <v>2782</v>
      </c>
      <c r="C1953">
        <v>37.4320009793</v>
      </c>
      <c r="D1953">
        <v>-7.06285799618</v>
      </c>
      <c r="E1953">
        <v>2</v>
      </c>
      <c r="F1953">
        <v>2</v>
      </c>
      <c r="G1953">
        <v>3</v>
      </c>
      <c r="J1953" t="s">
        <v>15</v>
      </c>
      <c r="K1953">
        <v>2</v>
      </c>
      <c r="L1953">
        <v>2.1219999999999999</v>
      </c>
      <c r="M1953">
        <v>0</v>
      </c>
      <c r="N1953" t="s">
        <v>10019</v>
      </c>
      <c r="O1953" t="str">
        <f>HYPERLINK("2\1\marker_165_382854.png", "Ver Imagen")</f>
        <v>Ver Imagen</v>
      </c>
      <c r="P1953" t="str">
        <f>HYPERLINK("NE\A-495\A-495__164.png", "Ver Imagen")</f>
        <v>Ver Imagen</v>
      </c>
    </row>
    <row r="1954" spans="1:16" x14ac:dyDescent="0.25">
      <c r="A1954">
        <v>1387</v>
      </c>
      <c r="B1954" t="s">
        <v>2786</v>
      </c>
      <c r="C1954">
        <v>37.4315916053</v>
      </c>
      <c r="D1954">
        <v>-7.0619696738100002</v>
      </c>
      <c r="E1954">
        <v>2</v>
      </c>
      <c r="F1954">
        <v>2</v>
      </c>
      <c r="G1954">
        <v>3</v>
      </c>
      <c r="J1954" t="s">
        <v>15</v>
      </c>
      <c r="K1954">
        <v>2</v>
      </c>
      <c r="L1954">
        <v>1.958</v>
      </c>
      <c r="M1954">
        <v>0</v>
      </c>
      <c r="N1954" t="s">
        <v>10019</v>
      </c>
      <c r="O1954" t="str">
        <f>HYPERLINK("2\1\marker_726_382893.png", "Ver Imagen")</f>
        <v>Ver Imagen</v>
      </c>
      <c r="P1954" t="str">
        <f>HYPERLINK("NE\A-495\A-495__168.png", "Ver Imagen")</f>
        <v>Ver Imagen</v>
      </c>
    </row>
    <row r="1955" spans="1:16" x14ac:dyDescent="0.25">
      <c r="A1955">
        <v>1388</v>
      </c>
      <c r="B1955" t="s">
        <v>2788</v>
      </c>
      <c r="C1955">
        <v>37.224649484799997</v>
      </c>
      <c r="D1955">
        <v>-7.0379978317200003</v>
      </c>
      <c r="E1955">
        <v>2</v>
      </c>
      <c r="F1955">
        <v>3</v>
      </c>
      <c r="G1955">
        <v>2</v>
      </c>
      <c r="J1955" t="s">
        <v>15</v>
      </c>
      <c r="K1955">
        <v>2</v>
      </c>
      <c r="L1955">
        <v>1.6970000000000001</v>
      </c>
      <c r="M1955">
        <v>0</v>
      </c>
      <c r="N1955" t="s">
        <v>10019</v>
      </c>
      <c r="O1955" t="str">
        <f>HYPERLINK("2\1\marker_303_380461.png", "Ver Imagen")</f>
        <v>Ver Imagen</v>
      </c>
      <c r="P1955" t="str">
        <f>HYPERLINK("SE\A-5058\A-5058__44.png", "Ver Imagen")</f>
        <v>Ver Imagen</v>
      </c>
    </row>
    <row r="1956" spans="1:16" x14ac:dyDescent="0.25">
      <c r="A1956">
        <v>1389</v>
      </c>
      <c r="B1956" t="s">
        <v>2790</v>
      </c>
      <c r="C1956">
        <v>37.224800946800002</v>
      </c>
      <c r="D1956">
        <v>-7.0392674196199998</v>
      </c>
      <c r="E1956">
        <v>2</v>
      </c>
      <c r="F1956">
        <v>3</v>
      </c>
      <c r="G1956">
        <v>2</v>
      </c>
      <c r="J1956" t="s">
        <v>15</v>
      </c>
      <c r="K1956">
        <v>2</v>
      </c>
      <c r="L1956">
        <v>1.734</v>
      </c>
      <c r="M1956">
        <v>0</v>
      </c>
      <c r="N1956" t="s">
        <v>10019</v>
      </c>
      <c r="O1956" t="str">
        <f>HYPERLINK("2\1\marker_747_380526.png", "Ver Imagen")</f>
        <v>Ver Imagen</v>
      </c>
      <c r="P1956" t="str">
        <f>HYPERLINK("SE\A-5058\A-5058__49.png", "Ver Imagen")</f>
        <v>Ver Imagen</v>
      </c>
    </row>
    <row r="1957" spans="1:16" x14ac:dyDescent="0.25">
      <c r="A1957">
        <v>1390</v>
      </c>
      <c r="B1957" t="s">
        <v>2792</v>
      </c>
      <c r="C1957">
        <v>37.224853658699999</v>
      </c>
      <c r="D1957">
        <v>-7.0395192382399996</v>
      </c>
      <c r="E1957">
        <v>2</v>
      </c>
      <c r="F1957">
        <v>3</v>
      </c>
      <c r="G1957">
        <v>2</v>
      </c>
      <c r="J1957" t="s">
        <v>15</v>
      </c>
      <c r="K1957">
        <v>2</v>
      </c>
      <c r="L1957">
        <v>2.04</v>
      </c>
      <c r="M1957">
        <v>0</v>
      </c>
      <c r="N1957" t="s">
        <v>10019</v>
      </c>
      <c r="O1957" t="str">
        <f>HYPERLINK("2\1\marker_404_380535.png", "Ver Imagen")</f>
        <v>Ver Imagen</v>
      </c>
      <c r="P1957" t="str">
        <f>HYPERLINK("SE\A-5058\A-5058__50.png", "Ver Imagen")</f>
        <v>Ver Imagen</v>
      </c>
    </row>
    <row r="1958" spans="1:16" x14ac:dyDescent="0.25">
      <c r="A1958">
        <v>1391</v>
      </c>
      <c r="B1958" t="s">
        <v>2794</v>
      </c>
      <c r="C1958">
        <v>37.226376881699998</v>
      </c>
      <c r="D1958">
        <v>-7.0436239219100001</v>
      </c>
      <c r="E1958">
        <v>2</v>
      </c>
      <c r="F1958">
        <v>3</v>
      </c>
      <c r="G1958">
        <v>2</v>
      </c>
      <c r="J1958" t="s">
        <v>15</v>
      </c>
      <c r="K1958">
        <v>2</v>
      </c>
      <c r="L1958">
        <v>2.2440000000000002</v>
      </c>
      <c r="M1958">
        <v>0</v>
      </c>
      <c r="N1958" t="s">
        <v>10019</v>
      </c>
      <c r="O1958" t="str">
        <f>HYPERLINK("2\1\marker_240_380735.png", "Ver Imagen")</f>
        <v>Ver Imagen</v>
      </c>
      <c r="P1958" t="str">
        <f>HYPERLINK("SE\A-5058\A-5058__68.png", "Ver Imagen")</f>
        <v>Ver Imagen</v>
      </c>
    </row>
    <row r="1959" spans="1:16" x14ac:dyDescent="0.25">
      <c r="A1959">
        <v>1392</v>
      </c>
      <c r="B1959" t="s">
        <v>2796</v>
      </c>
      <c r="C1959">
        <v>37.226685519900002</v>
      </c>
      <c r="D1959">
        <v>-7.0442593430700002</v>
      </c>
      <c r="E1959">
        <v>2</v>
      </c>
      <c r="F1959">
        <v>1</v>
      </c>
      <c r="G1959">
        <v>2</v>
      </c>
      <c r="J1959" t="s">
        <v>15</v>
      </c>
      <c r="K1959">
        <v>2</v>
      </c>
      <c r="L1959">
        <v>2.024</v>
      </c>
      <c r="M1959">
        <v>0</v>
      </c>
      <c r="N1959" t="s">
        <v>10019</v>
      </c>
      <c r="O1959" t="str">
        <f>HYPERLINK("2\1\marker_115_380765.png", "Ver Imagen")</f>
        <v>Ver Imagen</v>
      </c>
      <c r="P1959" t="str">
        <f>HYPERLINK("SE\A-5058\A-5058__71.png", "Ver Imagen")</f>
        <v>Ver Imagen</v>
      </c>
    </row>
    <row r="1960" spans="1:16" x14ac:dyDescent="0.25">
      <c r="A1960">
        <v>1394</v>
      </c>
      <c r="B1960" t="s">
        <v>2800</v>
      </c>
      <c r="C1960">
        <v>37.229738924999999</v>
      </c>
      <c r="D1960">
        <v>-7.0482717458600002</v>
      </c>
      <c r="E1960">
        <v>2</v>
      </c>
      <c r="F1960">
        <v>2</v>
      </c>
      <c r="G1960">
        <v>3</v>
      </c>
      <c r="J1960" t="s">
        <v>15</v>
      </c>
      <c r="K1960">
        <v>2</v>
      </c>
      <c r="L1960">
        <v>1.8140000000000001</v>
      </c>
      <c r="M1960">
        <v>0</v>
      </c>
      <c r="N1960" t="s">
        <v>10019</v>
      </c>
      <c r="O1960" t="str">
        <f>HYPERLINK("2\1\marker_236_381041.png", "Ver Imagen")</f>
        <v>Ver Imagen</v>
      </c>
      <c r="P1960" t="str">
        <f>HYPERLINK("SE\A-5058\A-5058__93.png", "Ver Imagen")</f>
        <v>Ver Imagen</v>
      </c>
    </row>
    <row r="1961" spans="1:16" x14ac:dyDescent="0.25">
      <c r="A1961">
        <v>1395</v>
      </c>
      <c r="B1961" t="s">
        <v>2802</v>
      </c>
      <c r="C1961">
        <v>37.2302235473</v>
      </c>
      <c r="D1961">
        <v>-7.0490783594100002</v>
      </c>
      <c r="E1961">
        <v>2</v>
      </c>
      <c r="F1961">
        <v>2</v>
      </c>
      <c r="G1961">
        <v>3</v>
      </c>
      <c r="J1961" t="s">
        <v>15</v>
      </c>
      <c r="K1961">
        <v>2</v>
      </c>
      <c r="L1961">
        <v>1.827</v>
      </c>
      <c r="M1961">
        <v>0</v>
      </c>
      <c r="N1961" t="s">
        <v>10019</v>
      </c>
      <c r="O1961" t="str">
        <f>HYPERLINK("2\1\marker_623_381081.png", "Ver Imagen")</f>
        <v>Ver Imagen</v>
      </c>
      <c r="P1961" t="str">
        <f>HYPERLINK("SE\A-5058\A-5058__97.png", "Ver Imagen")</f>
        <v>Ver Imagen</v>
      </c>
    </row>
    <row r="1962" spans="1:16" x14ac:dyDescent="0.25">
      <c r="A1962">
        <v>1396</v>
      </c>
      <c r="B1962" t="s">
        <v>2804</v>
      </c>
      <c r="C1962">
        <v>37.230721610800003</v>
      </c>
      <c r="D1962">
        <v>-7.04992142487</v>
      </c>
      <c r="E1962">
        <v>2</v>
      </c>
      <c r="F1962">
        <v>2</v>
      </c>
      <c r="G1962">
        <v>3</v>
      </c>
      <c r="J1962" t="s">
        <v>15</v>
      </c>
      <c r="K1962">
        <v>2</v>
      </c>
      <c r="L1962">
        <v>2.29</v>
      </c>
      <c r="M1962">
        <v>0</v>
      </c>
      <c r="N1962" t="s">
        <v>10019</v>
      </c>
      <c r="O1962" t="str">
        <f>HYPERLINK("2\1\marker_725_381129.png", "Ver Imagen")</f>
        <v>Ver Imagen</v>
      </c>
      <c r="P1962" t="str">
        <f>HYPERLINK("SE\A-5058\A-5058__101.png", "Ver Imagen")</f>
        <v>Ver Imagen</v>
      </c>
    </row>
    <row r="1963" spans="1:16" x14ac:dyDescent="0.25">
      <c r="A1963">
        <v>1398</v>
      </c>
      <c r="B1963" t="s">
        <v>2808</v>
      </c>
      <c r="C1963">
        <v>37.484610388500002</v>
      </c>
      <c r="D1963">
        <v>-7.1303936888099999</v>
      </c>
      <c r="E1963">
        <v>2</v>
      </c>
      <c r="F1963">
        <v>3</v>
      </c>
      <c r="G1963">
        <v>2</v>
      </c>
      <c r="J1963" t="s">
        <v>15</v>
      </c>
      <c r="K1963">
        <v>2</v>
      </c>
      <c r="L1963">
        <v>2.2650000000000001</v>
      </c>
      <c r="M1963">
        <v>0</v>
      </c>
      <c r="N1963" t="s">
        <v>10019</v>
      </c>
      <c r="O1963" t="str">
        <f>HYPERLINK("2\1\marker_508_383691.png", "Ver Imagen")</f>
        <v>Ver Imagen</v>
      </c>
      <c r="P1963" t="str">
        <f>HYPERLINK("NE\A-495_1\A-495_1__194.png", "Ver Imagen")</f>
        <v>Ver Imagen</v>
      </c>
    </row>
    <row r="1964" spans="1:16" x14ac:dyDescent="0.25">
      <c r="A1964">
        <v>1399</v>
      </c>
      <c r="B1964" t="s">
        <v>2810</v>
      </c>
      <c r="C1964">
        <v>37.483485913599999</v>
      </c>
      <c r="D1964">
        <v>-7.1293714642400001</v>
      </c>
      <c r="E1964">
        <v>2</v>
      </c>
      <c r="F1964">
        <v>3</v>
      </c>
      <c r="G1964">
        <v>2</v>
      </c>
      <c r="J1964" t="s">
        <v>15</v>
      </c>
      <c r="K1964">
        <v>2</v>
      </c>
      <c r="L1964">
        <v>1.7250000000000001</v>
      </c>
      <c r="M1964">
        <v>0</v>
      </c>
      <c r="N1964" t="s">
        <v>10019</v>
      </c>
      <c r="O1964" t="str">
        <f>HYPERLINK("2\1\marker_821_383757.png", "Ver Imagen")</f>
        <v>Ver Imagen</v>
      </c>
      <c r="P1964" t="str">
        <f>HYPERLINK("NE\A-495_1\A-495_1__187.png", "Ver Imagen")</f>
        <v>Ver Imagen</v>
      </c>
    </row>
    <row r="1965" spans="1:16" x14ac:dyDescent="0.25">
      <c r="A1965">
        <v>1400</v>
      </c>
      <c r="B1965" t="s">
        <v>2812</v>
      </c>
      <c r="C1965">
        <v>37.483313144299998</v>
      </c>
      <c r="D1965">
        <v>-7.1291944521500001</v>
      </c>
      <c r="E1965">
        <v>2</v>
      </c>
      <c r="F1965">
        <v>3</v>
      </c>
      <c r="G1965">
        <v>2</v>
      </c>
      <c r="J1965" t="s">
        <v>15</v>
      </c>
      <c r="K1965">
        <v>2</v>
      </c>
      <c r="L1965">
        <v>2.073</v>
      </c>
      <c r="M1965">
        <v>0</v>
      </c>
      <c r="N1965" t="s">
        <v>10019</v>
      </c>
      <c r="O1965" t="str">
        <f>HYPERLINK("2\1\marker_321_383767.png", "Ver Imagen")</f>
        <v>Ver Imagen</v>
      </c>
      <c r="P1965" t="str">
        <f>HYPERLINK("NE\A-495_1\A-495_1__186.png", "Ver Imagen")</f>
        <v>Ver Imagen</v>
      </c>
    </row>
    <row r="1966" spans="1:16" x14ac:dyDescent="0.25">
      <c r="A1966">
        <v>1401</v>
      </c>
      <c r="B1966" t="s">
        <v>2814</v>
      </c>
      <c r="C1966">
        <v>37.471130298299997</v>
      </c>
      <c r="D1966">
        <v>-7.1255106933399999</v>
      </c>
      <c r="E1966">
        <v>3</v>
      </c>
      <c r="F1966">
        <v>2</v>
      </c>
      <c r="G1966">
        <v>2</v>
      </c>
      <c r="J1966" t="s">
        <v>15</v>
      </c>
      <c r="K1966">
        <v>2</v>
      </c>
      <c r="L1966">
        <v>1.905</v>
      </c>
      <c r="M1966">
        <v>0</v>
      </c>
      <c r="N1966" t="s">
        <v>10019</v>
      </c>
      <c r="O1966" t="str">
        <f>HYPERLINK("2\1\marker_901_384570.png", "Ver Imagen")</f>
        <v>Ver Imagen</v>
      </c>
      <c r="P1966" t="str">
        <f>HYPERLINK("NE\A-495_1\A-495_1__120.png", "Ver Imagen")</f>
        <v>Ver Imagen</v>
      </c>
    </row>
    <row r="1967" spans="1:16" x14ac:dyDescent="0.25">
      <c r="A1967">
        <v>1403</v>
      </c>
      <c r="B1967" t="s">
        <v>2818</v>
      </c>
      <c r="C1967">
        <v>37.469905056800002</v>
      </c>
      <c r="D1967">
        <v>-7.12456641136</v>
      </c>
      <c r="E1967">
        <v>2</v>
      </c>
      <c r="F1967">
        <v>3</v>
      </c>
      <c r="G1967">
        <v>2</v>
      </c>
      <c r="J1967" t="s">
        <v>15</v>
      </c>
      <c r="K1967">
        <v>2</v>
      </c>
      <c r="L1967">
        <v>2.0179999999999998</v>
      </c>
      <c r="M1967">
        <v>0</v>
      </c>
      <c r="N1967" t="s">
        <v>10019</v>
      </c>
      <c r="O1967" t="str">
        <f>HYPERLINK("2\1\marker_560_384692.png", "Ver Imagen")</f>
        <v>Ver Imagen</v>
      </c>
      <c r="P1967" t="str">
        <f>HYPERLINK("NE\A-495_1\A-495_1__113.png", "Ver Imagen")</f>
        <v>Ver Imagen</v>
      </c>
    </row>
    <row r="1968" spans="1:16" x14ac:dyDescent="0.25">
      <c r="A1968">
        <v>1404</v>
      </c>
      <c r="B1968" t="s">
        <v>2820</v>
      </c>
      <c r="C1968">
        <v>37.466985530000002</v>
      </c>
      <c r="D1968">
        <v>-7.1227991361200003</v>
      </c>
      <c r="E1968">
        <v>2</v>
      </c>
      <c r="F1968">
        <v>3</v>
      </c>
      <c r="G1968">
        <v>2</v>
      </c>
      <c r="J1968" t="s">
        <v>15</v>
      </c>
      <c r="K1968">
        <v>2</v>
      </c>
      <c r="L1968">
        <v>2.3220000000000001</v>
      </c>
      <c r="M1968">
        <v>0</v>
      </c>
      <c r="N1968" t="s">
        <v>10019</v>
      </c>
      <c r="O1968" t="str">
        <f>HYPERLINK("2\1\marker_835_385070.png", "Ver Imagen")</f>
        <v>Ver Imagen</v>
      </c>
      <c r="P1968" t="str">
        <f>HYPERLINK("NE\A-495_1\A-495_1__97.png", "Ver Imagen")</f>
        <v>Ver Imagen</v>
      </c>
    </row>
    <row r="1969" spans="1:16" x14ac:dyDescent="0.25">
      <c r="A1969">
        <v>1406</v>
      </c>
      <c r="B1969" t="s">
        <v>2824</v>
      </c>
      <c r="C1969">
        <v>37.465616160499998</v>
      </c>
      <c r="D1969">
        <v>-7.1228731488000001</v>
      </c>
      <c r="E1969">
        <v>2</v>
      </c>
      <c r="F1969">
        <v>3</v>
      </c>
      <c r="G1969">
        <v>2</v>
      </c>
      <c r="J1969" t="s">
        <v>15</v>
      </c>
      <c r="K1969">
        <v>2</v>
      </c>
      <c r="L1969">
        <v>2.032</v>
      </c>
      <c r="M1969">
        <v>0</v>
      </c>
      <c r="N1969" t="s">
        <v>10019</v>
      </c>
      <c r="O1969" t="str">
        <f>HYPERLINK("2\1\marker_408_385145.png", "Ver Imagen")</f>
        <v>Ver Imagen</v>
      </c>
      <c r="P1969" t="str">
        <f>HYPERLINK("NE\A-495_1\A-495_1__90.png", "Ver Imagen")</f>
        <v>Ver Imagen</v>
      </c>
    </row>
    <row r="1970" spans="1:16" x14ac:dyDescent="0.25">
      <c r="A1970">
        <v>1407</v>
      </c>
      <c r="B1970" t="s">
        <v>2826</v>
      </c>
      <c r="C1970">
        <v>37.464503981999997</v>
      </c>
      <c r="D1970">
        <v>-7.12355161277</v>
      </c>
      <c r="E1970">
        <v>2</v>
      </c>
      <c r="F1970">
        <v>3</v>
      </c>
      <c r="G1970">
        <v>2</v>
      </c>
      <c r="J1970" t="s">
        <v>15</v>
      </c>
      <c r="K1970">
        <v>2</v>
      </c>
      <c r="L1970">
        <v>1.8180000000000001</v>
      </c>
      <c r="M1970">
        <v>0</v>
      </c>
      <c r="N1970" t="s">
        <v>10019</v>
      </c>
      <c r="O1970" t="str">
        <f>HYPERLINK("2\1\marker_332_385200.png", "Ver Imagen")</f>
        <v>Ver Imagen</v>
      </c>
      <c r="P1970" t="str">
        <f>HYPERLINK("NE\A-495_1\A-495_1__84.png", "Ver Imagen")</f>
        <v>Ver Imagen</v>
      </c>
    </row>
    <row r="1971" spans="1:16" x14ac:dyDescent="0.25">
      <c r="A1971">
        <v>1408</v>
      </c>
      <c r="B1971" t="s">
        <v>2828</v>
      </c>
      <c r="C1971">
        <v>37.462774080499997</v>
      </c>
      <c r="D1971">
        <v>-7.1242066593700004</v>
      </c>
      <c r="E1971">
        <v>2</v>
      </c>
      <c r="F1971">
        <v>3</v>
      </c>
      <c r="G1971">
        <v>2</v>
      </c>
      <c r="J1971" t="s">
        <v>15</v>
      </c>
      <c r="K1971">
        <v>2</v>
      </c>
      <c r="L1971">
        <v>1.534</v>
      </c>
      <c r="M1971">
        <v>0</v>
      </c>
      <c r="N1971" t="s">
        <v>10017</v>
      </c>
      <c r="O1971" t="str">
        <f>HYPERLINK("2\1\marker_868_385281.png", "Ver Imagen")</f>
        <v>Ver Imagen</v>
      </c>
      <c r="P1971" t="str">
        <f>HYPERLINK("NE\A-495_1\A-495_1__75.png", "Ver Imagen")</f>
        <v>Ver Imagen</v>
      </c>
    </row>
    <row r="1972" spans="1:16" x14ac:dyDescent="0.25">
      <c r="A1972">
        <v>1409</v>
      </c>
      <c r="B1972" t="s">
        <v>2830</v>
      </c>
      <c r="C1972">
        <v>37.4625831846</v>
      </c>
      <c r="D1972">
        <v>-7.1242377620899999</v>
      </c>
      <c r="E1972">
        <v>2</v>
      </c>
      <c r="F1972">
        <v>3</v>
      </c>
      <c r="G1972">
        <v>2</v>
      </c>
      <c r="J1972" t="s">
        <v>15</v>
      </c>
      <c r="K1972">
        <v>2</v>
      </c>
      <c r="L1972">
        <v>1.958</v>
      </c>
      <c r="M1972">
        <v>0</v>
      </c>
      <c r="N1972" t="s">
        <v>10019</v>
      </c>
      <c r="O1972" t="str">
        <f>HYPERLINK("2\1\marker_119_385290.png", "Ver Imagen")</f>
        <v>Ver Imagen</v>
      </c>
      <c r="P1972" t="str">
        <f>HYPERLINK("NE\A-495_1\A-495_1__74.png", "Ver Imagen")</f>
        <v>Ver Imagen</v>
      </c>
    </row>
    <row r="1973" spans="1:16" x14ac:dyDescent="0.25">
      <c r="A1973">
        <v>1410</v>
      </c>
      <c r="B1973" t="s">
        <v>2832</v>
      </c>
      <c r="C1973">
        <v>37.461979460400002</v>
      </c>
      <c r="D1973">
        <v>-7.1243483975500004</v>
      </c>
      <c r="E1973">
        <v>2</v>
      </c>
      <c r="F1973">
        <v>3</v>
      </c>
      <c r="G1973">
        <v>2</v>
      </c>
      <c r="J1973" t="s">
        <v>15</v>
      </c>
      <c r="K1973">
        <v>2</v>
      </c>
      <c r="L1973">
        <v>1.901</v>
      </c>
      <c r="M1973">
        <v>0</v>
      </c>
      <c r="N1973" t="s">
        <v>10019</v>
      </c>
      <c r="O1973" t="str">
        <f>HYPERLINK("2\1\marker_809_385318.png", "Ver Imagen")</f>
        <v>Ver Imagen</v>
      </c>
      <c r="P1973" t="str">
        <f>HYPERLINK("NE\A-495_1\A-495_1__71.png", "Ver Imagen")</f>
        <v>Ver Imagen</v>
      </c>
    </row>
    <row r="1974" spans="1:16" x14ac:dyDescent="0.25">
      <c r="A1974">
        <v>1411</v>
      </c>
      <c r="B1974" t="s">
        <v>2834</v>
      </c>
      <c r="C1974">
        <v>37.4594262683</v>
      </c>
      <c r="D1974">
        <v>-7.1251035817600004</v>
      </c>
      <c r="E1974">
        <v>2</v>
      </c>
      <c r="F1974">
        <v>3</v>
      </c>
      <c r="G1974">
        <v>2</v>
      </c>
      <c r="J1974" t="s">
        <v>15</v>
      </c>
      <c r="K1974">
        <v>2</v>
      </c>
      <c r="L1974">
        <v>1.8620000000000001</v>
      </c>
      <c r="M1974">
        <v>0</v>
      </c>
      <c r="N1974" t="s">
        <v>10019</v>
      </c>
      <c r="O1974" t="str">
        <f>HYPERLINK("2\1\marker_341_385487.png", "Ver Imagen")</f>
        <v>Ver Imagen</v>
      </c>
      <c r="P1974" t="str">
        <f>HYPERLINK("NE\A-495_1\A-495_1__58.png", "Ver Imagen")</f>
        <v>Ver Imagen</v>
      </c>
    </row>
    <row r="1975" spans="1:16" x14ac:dyDescent="0.25">
      <c r="A1975">
        <v>1412</v>
      </c>
      <c r="B1975" t="s">
        <v>2836</v>
      </c>
      <c r="C1975">
        <v>37.457654773599998</v>
      </c>
      <c r="D1975">
        <v>-7.1257480584600001</v>
      </c>
      <c r="E1975">
        <v>2</v>
      </c>
      <c r="F1975">
        <v>1</v>
      </c>
      <c r="G1975">
        <v>2</v>
      </c>
      <c r="J1975" t="s">
        <v>15</v>
      </c>
      <c r="K1975">
        <v>2</v>
      </c>
      <c r="L1975">
        <v>1.9990000000000001</v>
      </c>
      <c r="M1975">
        <v>0</v>
      </c>
      <c r="N1975" t="s">
        <v>10019</v>
      </c>
      <c r="O1975" t="str">
        <f>HYPERLINK("2\1\marker_926_385570.png", "Ver Imagen")</f>
        <v>Ver Imagen</v>
      </c>
      <c r="P1975" t="str">
        <f>HYPERLINK("NE\A-495_1\A-495_1__49.png", "Ver Imagen")</f>
        <v>Ver Imagen</v>
      </c>
    </row>
    <row r="1976" spans="1:16" x14ac:dyDescent="0.25">
      <c r="A1976">
        <v>1413</v>
      </c>
      <c r="B1976" t="s">
        <v>2838</v>
      </c>
      <c r="C1976">
        <v>37.4571008367</v>
      </c>
      <c r="D1976">
        <v>-7.1259486805299996</v>
      </c>
      <c r="E1976">
        <v>2</v>
      </c>
      <c r="F1976">
        <v>3</v>
      </c>
      <c r="G1976">
        <v>2</v>
      </c>
      <c r="J1976" t="s">
        <v>15</v>
      </c>
      <c r="K1976">
        <v>2</v>
      </c>
      <c r="L1976">
        <v>2.0680000000000001</v>
      </c>
      <c r="M1976">
        <v>0</v>
      </c>
      <c r="N1976" t="s">
        <v>10019</v>
      </c>
      <c r="O1976" t="str">
        <f>HYPERLINK("2\1\marker_259_385597.png", "Ver Imagen")</f>
        <v>Ver Imagen</v>
      </c>
      <c r="P1976" t="str">
        <f>HYPERLINK("NE\A-495_1\A-495_1__46.png", "Ver Imagen")</f>
        <v>Ver Imagen</v>
      </c>
    </row>
    <row r="1977" spans="1:16" x14ac:dyDescent="0.25">
      <c r="A1977">
        <v>1414</v>
      </c>
      <c r="B1977" t="s">
        <v>2840</v>
      </c>
      <c r="C1977">
        <v>37.4567079746</v>
      </c>
      <c r="D1977">
        <v>-7.1260958139000001</v>
      </c>
      <c r="E1977">
        <v>2</v>
      </c>
      <c r="F1977">
        <v>3</v>
      </c>
      <c r="G1977">
        <v>2</v>
      </c>
      <c r="J1977" t="s">
        <v>15</v>
      </c>
      <c r="K1977">
        <v>2</v>
      </c>
      <c r="L1977">
        <v>1.859</v>
      </c>
      <c r="M1977">
        <v>0</v>
      </c>
      <c r="N1977" t="s">
        <v>10019</v>
      </c>
      <c r="O1977" t="str">
        <f>HYPERLINK("2\1\marker_467_385618.png", "Ver Imagen")</f>
        <v>Ver Imagen</v>
      </c>
      <c r="P1977" t="str">
        <f>HYPERLINK("NE\A-495_1\A-495_1__44.png", "Ver Imagen")</f>
        <v>Ver Imagen</v>
      </c>
    </row>
    <row r="1978" spans="1:16" x14ac:dyDescent="0.25">
      <c r="A1978">
        <v>1415</v>
      </c>
      <c r="B1978" t="s">
        <v>2842</v>
      </c>
      <c r="C1978">
        <v>37.456239779999997</v>
      </c>
      <c r="D1978">
        <v>-7.1262711998299997</v>
      </c>
      <c r="E1978">
        <v>2</v>
      </c>
      <c r="F1978">
        <v>3</v>
      </c>
      <c r="G1978">
        <v>2</v>
      </c>
      <c r="J1978" t="s">
        <v>15</v>
      </c>
      <c r="K1978">
        <v>2</v>
      </c>
      <c r="L1978">
        <v>2.2309999999999999</v>
      </c>
      <c r="M1978">
        <v>0</v>
      </c>
      <c r="N1978" t="s">
        <v>10019</v>
      </c>
      <c r="O1978" t="str">
        <f>HYPERLINK("2\1\marker_928_385635.png", "Ver Imagen")</f>
        <v>Ver Imagen</v>
      </c>
      <c r="P1978" t="str">
        <f>HYPERLINK("NE\A-495_1\A-495_1__42.png", "Ver Imagen")</f>
        <v>Ver Imagen</v>
      </c>
    </row>
    <row r="1979" spans="1:16" x14ac:dyDescent="0.25">
      <c r="A1979">
        <v>1416</v>
      </c>
      <c r="B1979" t="s">
        <v>2844</v>
      </c>
      <c r="C1979">
        <v>37.455908299199997</v>
      </c>
      <c r="D1979">
        <v>-7.1263932153100003</v>
      </c>
      <c r="E1979">
        <v>2</v>
      </c>
      <c r="F1979">
        <v>3</v>
      </c>
      <c r="G1979">
        <v>2</v>
      </c>
      <c r="J1979" t="s">
        <v>15</v>
      </c>
      <c r="K1979">
        <v>2</v>
      </c>
      <c r="L1979">
        <v>1.8720000000000001</v>
      </c>
      <c r="M1979">
        <v>0</v>
      </c>
      <c r="N1979" t="s">
        <v>10019</v>
      </c>
      <c r="O1979" t="str">
        <f>HYPERLINK("2\1\marker_454_385655.png", "Ver Imagen")</f>
        <v>Ver Imagen</v>
      </c>
      <c r="P1979" t="str">
        <f>HYPERLINK("NE\A-495_1\A-495_1__40.png", "Ver Imagen")</f>
        <v>Ver Imagen</v>
      </c>
    </row>
    <row r="1980" spans="1:16" x14ac:dyDescent="0.25">
      <c r="A1980">
        <v>1417</v>
      </c>
      <c r="B1980" t="s">
        <v>2846</v>
      </c>
      <c r="C1980">
        <v>37.453597633900003</v>
      </c>
      <c r="D1980">
        <v>-7.1272107153800004</v>
      </c>
      <c r="E1980">
        <v>1</v>
      </c>
      <c r="F1980">
        <v>2</v>
      </c>
      <c r="G1980">
        <v>2</v>
      </c>
      <c r="J1980" t="s">
        <v>15</v>
      </c>
      <c r="K1980">
        <v>2</v>
      </c>
      <c r="L1980">
        <v>2.0499999999999998</v>
      </c>
      <c r="M1980">
        <v>0</v>
      </c>
      <c r="N1980" t="s">
        <v>10019</v>
      </c>
      <c r="O1980" t="str">
        <f>HYPERLINK("2\1\marker_204_385899.png", "Ver Imagen")</f>
        <v>Ver Imagen</v>
      </c>
      <c r="P1980" t="str">
        <f>HYPERLINK("NE\A-495_1\A-495_1__28.png", "Ver Imagen")</f>
        <v>Ver Imagen</v>
      </c>
    </row>
    <row r="1981" spans="1:16" x14ac:dyDescent="0.25">
      <c r="A1981">
        <v>1418</v>
      </c>
      <c r="B1981" t="s">
        <v>2848</v>
      </c>
      <c r="C1981">
        <v>37.452731184100003</v>
      </c>
      <c r="D1981">
        <v>-7.1273981196699996</v>
      </c>
      <c r="E1981">
        <v>2</v>
      </c>
      <c r="F1981">
        <v>1</v>
      </c>
      <c r="G1981">
        <v>2</v>
      </c>
      <c r="J1981" t="s">
        <v>15</v>
      </c>
      <c r="K1981">
        <v>2</v>
      </c>
      <c r="L1981">
        <v>2.1269999999999998</v>
      </c>
      <c r="M1981">
        <v>0</v>
      </c>
      <c r="N1981" t="s">
        <v>10019</v>
      </c>
      <c r="O1981" t="str">
        <f>HYPERLINK("2\1\marker_798_385933.png", "Ver Imagen")</f>
        <v>Ver Imagen</v>
      </c>
      <c r="P1981" t="str">
        <f>HYPERLINK("NE\A-495_1\A-495_1__24.png", "Ver Imagen")</f>
        <v>Ver Imagen</v>
      </c>
    </row>
    <row r="1982" spans="1:16" x14ac:dyDescent="0.25">
      <c r="A1982">
        <v>1419</v>
      </c>
      <c r="B1982" t="s">
        <v>2850</v>
      </c>
      <c r="C1982">
        <v>37.487362718200004</v>
      </c>
      <c r="D1982">
        <v>-7.2799955290699998</v>
      </c>
      <c r="E1982">
        <v>2</v>
      </c>
      <c r="F1982">
        <v>1</v>
      </c>
      <c r="G1982">
        <v>2</v>
      </c>
      <c r="J1982" t="s">
        <v>15</v>
      </c>
      <c r="K1982">
        <v>2</v>
      </c>
      <c r="L1982">
        <v>2.0099999999999998</v>
      </c>
      <c r="M1982">
        <v>0</v>
      </c>
      <c r="N1982" t="s">
        <v>10019</v>
      </c>
      <c r="O1982" t="str">
        <f>HYPERLINK("2\1\marker_839_529205.png", "Ver Imagen")</f>
        <v>Ver Imagen</v>
      </c>
      <c r="P1982" t="str">
        <f>HYPERLINK("NO\A-499\A-499__3.png", "Ver Imagen")</f>
        <v>Ver Imagen</v>
      </c>
    </row>
    <row r="1983" spans="1:16" x14ac:dyDescent="0.25">
      <c r="A1983">
        <v>1420</v>
      </c>
      <c r="B1983" t="s">
        <v>2852</v>
      </c>
      <c r="C1983">
        <v>37.487553939900003</v>
      </c>
      <c r="D1983">
        <v>-7.2798963888300001</v>
      </c>
      <c r="E1983">
        <v>2</v>
      </c>
      <c r="F1983">
        <v>3</v>
      </c>
      <c r="G1983">
        <v>2</v>
      </c>
      <c r="J1983" t="s">
        <v>15</v>
      </c>
      <c r="K1983">
        <v>2</v>
      </c>
      <c r="L1983">
        <v>1.92</v>
      </c>
      <c r="M1983">
        <v>0</v>
      </c>
      <c r="N1983" t="s">
        <v>10019</v>
      </c>
      <c r="O1983" t="str">
        <f>HYPERLINK("2\1\marker_873_529214.png", "Ver Imagen")</f>
        <v>Ver Imagen</v>
      </c>
      <c r="P1983" t="str">
        <f>HYPERLINK("NO\A-499\A-499__4.png", "Ver Imagen")</f>
        <v>Ver Imagen</v>
      </c>
    </row>
    <row r="1984" spans="1:16" x14ac:dyDescent="0.25">
      <c r="A1984">
        <v>1421</v>
      </c>
      <c r="B1984" t="s">
        <v>2854</v>
      </c>
      <c r="C1984">
        <v>37.488112734399998</v>
      </c>
      <c r="D1984">
        <v>-7.2796058530199996</v>
      </c>
      <c r="E1984">
        <v>2</v>
      </c>
      <c r="F1984">
        <v>1</v>
      </c>
      <c r="G1984">
        <v>2</v>
      </c>
      <c r="J1984" t="s">
        <v>15</v>
      </c>
      <c r="K1984">
        <v>2</v>
      </c>
      <c r="L1984">
        <v>2.1280000000000001</v>
      </c>
      <c r="M1984">
        <v>0</v>
      </c>
      <c r="N1984" t="s">
        <v>10019</v>
      </c>
      <c r="O1984" t="str">
        <f>HYPERLINK("2\1\marker_807_529247.png", "Ver Imagen")</f>
        <v>Ver Imagen</v>
      </c>
      <c r="P1984" t="str">
        <f>HYPERLINK("NO\A-499\A-499__7.png", "Ver Imagen")</f>
        <v>Ver Imagen</v>
      </c>
    </row>
    <row r="1985" spans="1:16" x14ac:dyDescent="0.25">
      <c r="A1985">
        <v>1422</v>
      </c>
      <c r="B1985" t="s">
        <v>2856</v>
      </c>
      <c r="C1985">
        <v>37.488661197799999</v>
      </c>
      <c r="D1985">
        <v>-7.27931965353</v>
      </c>
      <c r="E1985">
        <v>2</v>
      </c>
      <c r="F1985">
        <v>3</v>
      </c>
      <c r="G1985">
        <v>2</v>
      </c>
      <c r="J1985" t="s">
        <v>15</v>
      </c>
      <c r="K1985">
        <v>2</v>
      </c>
      <c r="L1985">
        <v>1.962</v>
      </c>
      <c r="M1985">
        <v>0</v>
      </c>
      <c r="N1985" t="s">
        <v>10019</v>
      </c>
      <c r="O1985" t="str">
        <f>HYPERLINK("2\1\marker_563_529302.png", "Ver Imagen")</f>
        <v>Ver Imagen</v>
      </c>
      <c r="P1985" t="str">
        <f>HYPERLINK("NO\A-499\A-499__10.png", "Ver Imagen")</f>
        <v>Ver Imagen</v>
      </c>
    </row>
    <row r="1986" spans="1:16" x14ac:dyDescent="0.25">
      <c r="A1986">
        <v>1423</v>
      </c>
      <c r="B1986" t="s">
        <v>2858</v>
      </c>
      <c r="C1986">
        <v>37.488835909700001</v>
      </c>
      <c r="D1986">
        <v>-7.2792291977300003</v>
      </c>
      <c r="E1986">
        <v>2</v>
      </c>
      <c r="F1986">
        <v>1</v>
      </c>
      <c r="G1986">
        <v>2</v>
      </c>
      <c r="J1986" t="s">
        <v>15</v>
      </c>
      <c r="K1986">
        <v>2</v>
      </c>
      <c r="L1986">
        <v>2.1059999999999999</v>
      </c>
      <c r="M1986">
        <v>0</v>
      </c>
      <c r="N1986" t="s">
        <v>10019</v>
      </c>
      <c r="O1986" t="str">
        <f>HYPERLINK("2\1\marker_994_529312.png", "Ver Imagen")</f>
        <v>Ver Imagen</v>
      </c>
      <c r="P1986" t="str">
        <f>HYPERLINK("NO\A-499\A-499__11.png", "Ver Imagen")</f>
        <v>Ver Imagen</v>
      </c>
    </row>
    <row r="1987" spans="1:16" x14ac:dyDescent="0.25">
      <c r="A1987">
        <v>1424</v>
      </c>
      <c r="B1987" t="s">
        <v>2860</v>
      </c>
      <c r="C1987">
        <v>37.489013464199999</v>
      </c>
      <c r="D1987">
        <v>-7.2791375445700002</v>
      </c>
      <c r="E1987">
        <v>2</v>
      </c>
      <c r="F1987">
        <v>3</v>
      </c>
      <c r="G1987">
        <v>2</v>
      </c>
      <c r="J1987" t="s">
        <v>15</v>
      </c>
      <c r="K1987">
        <v>2</v>
      </c>
      <c r="L1987">
        <v>2.081</v>
      </c>
      <c r="M1987">
        <v>0</v>
      </c>
      <c r="N1987" t="s">
        <v>10019</v>
      </c>
      <c r="O1987" t="str">
        <f>HYPERLINK("2\1\marker_620_529321.png", "Ver Imagen")</f>
        <v>Ver Imagen</v>
      </c>
      <c r="P1987" t="str">
        <f>HYPERLINK("NO\A-499\A-499__12.png", "Ver Imagen")</f>
        <v>Ver Imagen</v>
      </c>
    </row>
    <row r="1988" spans="1:16" x14ac:dyDescent="0.25">
      <c r="A1988">
        <v>1425</v>
      </c>
      <c r="B1988" t="s">
        <v>2862</v>
      </c>
      <c r="C1988">
        <v>37.491492599600001</v>
      </c>
      <c r="D1988">
        <v>-7.2778965752399998</v>
      </c>
      <c r="E1988">
        <v>2</v>
      </c>
      <c r="F1988">
        <v>1</v>
      </c>
      <c r="G1988">
        <v>2</v>
      </c>
      <c r="J1988" t="s">
        <v>15</v>
      </c>
      <c r="K1988">
        <v>2</v>
      </c>
      <c r="L1988">
        <v>2.1360000000000001</v>
      </c>
      <c r="M1988">
        <v>0</v>
      </c>
      <c r="N1988" t="s">
        <v>10019</v>
      </c>
      <c r="O1988" t="str">
        <f>HYPERLINK("2\1\marker_954_529493.png", "Ver Imagen")</f>
        <v>Ver Imagen</v>
      </c>
      <c r="P1988" t="str">
        <f>HYPERLINK("NO\A-499\A-499__25.png", "Ver Imagen")</f>
        <v>Ver Imagen</v>
      </c>
    </row>
    <row r="1989" spans="1:16" x14ac:dyDescent="0.25">
      <c r="A1989">
        <v>1426</v>
      </c>
      <c r="B1989" t="s">
        <v>2864</v>
      </c>
      <c r="C1989">
        <v>37.492039054199999</v>
      </c>
      <c r="D1989">
        <v>-7.2776660923199996</v>
      </c>
      <c r="E1989">
        <v>2</v>
      </c>
      <c r="F1989">
        <v>3</v>
      </c>
      <c r="G1989">
        <v>2</v>
      </c>
      <c r="J1989" t="s">
        <v>15</v>
      </c>
      <c r="K1989">
        <v>2</v>
      </c>
      <c r="L1989">
        <v>2.089</v>
      </c>
      <c r="M1989">
        <v>0</v>
      </c>
      <c r="N1989" t="s">
        <v>10019</v>
      </c>
      <c r="O1989" t="str">
        <f>HYPERLINK("2\1\marker_857_529519.png", "Ver Imagen")</f>
        <v>Ver Imagen</v>
      </c>
      <c r="P1989" t="str">
        <f>HYPERLINK("NO\A-499\A-499__28.png", "Ver Imagen")</f>
        <v>Ver Imagen</v>
      </c>
    </row>
    <row r="1990" spans="1:16" x14ac:dyDescent="0.25">
      <c r="A1990">
        <v>1427</v>
      </c>
      <c r="B1990" t="s">
        <v>2866</v>
      </c>
      <c r="C1990">
        <v>37.493021771800002</v>
      </c>
      <c r="D1990">
        <v>-7.2773013778399998</v>
      </c>
      <c r="E1990">
        <v>2</v>
      </c>
      <c r="F1990">
        <v>3</v>
      </c>
      <c r="G1990">
        <v>2</v>
      </c>
      <c r="J1990" t="s">
        <v>15</v>
      </c>
      <c r="K1990">
        <v>2</v>
      </c>
      <c r="L1990">
        <v>1.948</v>
      </c>
      <c r="M1990">
        <v>0</v>
      </c>
      <c r="N1990" t="s">
        <v>10019</v>
      </c>
      <c r="O1990" t="str">
        <f>HYPERLINK("2\1\marker_846_529955.png", "Ver Imagen")</f>
        <v>Ver Imagen</v>
      </c>
      <c r="P1990" t="str">
        <f>HYPERLINK("NO\A-499\A-499__33.png", "Ver Imagen")</f>
        <v>Ver Imagen</v>
      </c>
    </row>
    <row r="1991" spans="1:16" x14ac:dyDescent="0.25">
      <c r="A1991">
        <v>1428</v>
      </c>
      <c r="B1991" t="s">
        <v>2868</v>
      </c>
      <c r="C1991">
        <v>37.493804111099998</v>
      </c>
      <c r="D1991">
        <v>-7.2770397290800002</v>
      </c>
      <c r="E1991">
        <v>2</v>
      </c>
      <c r="F1991">
        <v>1</v>
      </c>
      <c r="G1991">
        <v>2</v>
      </c>
      <c r="J1991" t="s">
        <v>15</v>
      </c>
      <c r="K1991">
        <v>2</v>
      </c>
      <c r="L1991">
        <v>1.9410000000000001</v>
      </c>
      <c r="M1991">
        <v>0</v>
      </c>
      <c r="N1991" t="s">
        <v>10019</v>
      </c>
      <c r="O1991" t="str">
        <f>HYPERLINK("2\1\marker_197_529995.png", "Ver Imagen")</f>
        <v>Ver Imagen</v>
      </c>
      <c r="P1991" t="str">
        <f>HYPERLINK("NO\A-499\A-499__37.png", "Ver Imagen")</f>
        <v>Ver Imagen</v>
      </c>
    </row>
    <row r="1992" spans="1:16" x14ac:dyDescent="0.25">
      <c r="A1992">
        <v>1429</v>
      </c>
      <c r="B1992" t="s">
        <v>2870</v>
      </c>
      <c r="C1992">
        <v>37.494391629200003</v>
      </c>
      <c r="D1992">
        <v>-7.2768460645599999</v>
      </c>
      <c r="E1992">
        <v>2</v>
      </c>
      <c r="F1992">
        <v>1</v>
      </c>
      <c r="G1992">
        <v>2</v>
      </c>
      <c r="J1992" t="s">
        <v>15</v>
      </c>
      <c r="K1992">
        <v>2</v>
      </c>
      <c r="L1992">
        <v>1.875</v>
      </c>
      <c r="M1992">
        <v>0</v>
      </c>
      <c r="N1992" t="s">
        <v>10019</v>
      </c>
      <c r="O1992" t="str">
        <f>HYPERLINK("2\1\marker_452_530022.png", "Ver Imagen")</f>
        <v>Ver Imagen</v>
      </c>
      <c r="P1992" t="str">
        <f>HYPERLINK("NO\A-499\A-499__40.png", "Ver Imagen")</f>
        <v>Ver Imagen</v>
      </c>
    </row>
    <row r="1993" spans="1:16" x14ac:dyDescent="0.25">
      <c r="A1993">
        <v>1430</v>
      </c>
      <c r="B1993" t="s">
        <v>2872</v>
      </c>
      <c r="C1993">
        <v>37.494786229399999</v>
      </c>
      <c r="D1993">
        <v>-7.2767208429899997</v>
      </c>
      <c r="E1993">
        <v>2</v>
      </c>
      <c r="F1993">
        <v>1</v>
      </c>
      <c r="G1993">
        <v>2</v>
      </c>
      <c r="J1993" t="s">
        <v>15</v>
      </c>
      <c r="K1993">
        <v>2</v>
      </c>
      <c r="L1993">
        <v>2</v>
      </c>
      <c r="M1993">
        <v>0</v>
      </c>
      <c r="N1993" t="s">
        <v>10019</v>
      </c>
      <c r="O1993" t="str">
        <f>HYPERLINK("2\1\marker_548_530042.png", "Ver Imagen")</f>
        <v>Ver Imagen</v>
      </c>
      <c r="P1993" t="str">
        <f>HYPERLINK("NO\A-499\A-499__42.png", "Ver Imagen")</f>
        <v>Ver Imagen</v>
      </c>
    </row>
    <row r="1994" spans="1:16" x14ac:dyDescent="0.25">
      <c r="A1994">
        <v>1431</v>
      </c>
      <c r="B1994" t="s">
        <v>2874</v>
      </c>
      <c r="C1994">
        <v>37.495614636200003</v>
      </c>
      <c r="D1994">
        <v>-7.2755248436500004</v>
      </c>
      <c r="E1994">
        <v>2</v>
      </c>
      <c r="F1994">
        <v>1</v>
      </c>
      <c r="G1994">
        <v>2</v>
      </c>
      <c r="J1994" t="s">
        <v>15</v>
      </c>
      <c r="K1994">
        <v>2</v>
      </c>
      <c r="L1994">
        <v>2.1320000000000001</v>
      </c>
      <c r="M1994">
        <v>0</v>
      </c>
      <c r="N1994" t="s">
        <v>10019</v>
      </c>
      <c r="O1994" t="str">
        <f>HYPERLINK("2\1\marker_514_534884.png", "Ver Imagen")</f>
        <v>Ver Imagen</v>
      </c>
      <c r="P1994" t="str">
        <f>HYPERLINK("NO\A-499\A-499__49.png", "Ver Imagen")</f>
        <v>Ver Imagen</v>
      </c>
    </row>
    <row r="1995" spans="1:16" x14ac:dyDescent="0.25">
      <c r="A1995">
        <v>1432</v>
      </c>
      <c r="B1995" t="s">
        <v>2876</v>
      </c>
      <c r="C1995">
        <v>37.495645104200001</v>
      </c>
      <c r="D1995">
        <v>-7.2752567246000002</v>
      </c>
      <c r="E1995">
        <v>3</v>
      </c>
      <c r="F1995">
        <v>2</v>
      </c>
      <c r="G1995">
        <v>2</v>
      </c>
      <c r="J1995" t="s">
        <v>15</v>
      </c>
      <c r="K1995">
        <v>2</v>
      </c>
      <c r="L1995">
        <v>2.173</v>
      </c>
      <c r="M1995">
        <v>0</v>
      </c>
      <c r="N1995" t="s">
        <v>10019</v>
      </c>
      <c r="O1995" t="str">
        <f>HYPERLINK("2\1\marker_709_534893.png", "Ver Imagen")</f>
        <v>Ver Imagen</v>
      </c>
      <c r="P1995" t="str">
        <f>HYPERLINK("NO\A-499\A-499__50.png", "Ver Imagen")</f>
        <v>Ver Imagen</v>
      </c>
    </row>
    <row r="1996" spans="1:16" x14ac:dyDescent="0.25">
      <c r="A1996">
        <v>1433</v>
      </c>
      <c r="B1996" t="s">
        <v>2878</v>
      </c>
      <c r="C1996">
        <v>37.495675024299999</v>
      </c>
      <c r="D1996">
        <v>-7.2749903736199997</v>
      </c>
      <c r="E1996">
        <v>2</v>
      </c>
      <c r="F1996">
        <v>1</v>
      </c>
      <c r="G1996">
        <v>2</v>
      </c>
      <c r="J1996" t="s">
        <v>15</v>
      </c>
      <c r="K1996">
        <v>2</v>
      </c>
      <c r="L1996">
        <v>2.0110000000000001</v>
      </c>
      <c r="M1996">
        <v>0</v>
      </c>
      <c r="N1996" t="s">
        <v>10019</v>
      </c>
      <c r="O1996" t="str">
        <f>HYPERLINK("2\1\marker_372_534902.png", "Ver Imagen")</f>
        <v>Ver Imagen</v>
      </c>
      <c r="P1996" t="str">
        <f>HYPERLINK("NO\A-499\A-499__51.png", "Ver Imagen")</f>
        <v>Ver Imagen</v>
      </c>
    </row>
    <row r="1997" spans="1:16" x14ac:dyDescent="0.25">
      <c r="A1997">
        <v>1434</v>
      </c>
      <c r="B1997" t="s">
        <v>2880</v>
      </c>
      <c r="C1997">
        <v>37.495510949</v>
      </c>
      <c r="D1997">
        <v>-7.2727682585600002</v>
      </c>
      <c r="E1997">
        <v>2</v>
      </c>
      <c r="F1997">
        <v>1</v>
      </c>
      <c r="G1997">
        <v>2</v>
      </c>
      <c r="J1997" t="s">
        <v>15</v>
      </c>
      <c r="K1997">
        <v>2</v>
      </c>
      <c r="L1997">
        <v>1.5269999999999999</v>
      </c>
      <c r="M1997">
        <v>0</v>
      </c>
      <c r="N1997" t="s">
        <v>10019</v>
      </c>
      <c r="O1997" t="str">
        <f>HYPERLINK("2\1\marker_219_535072.png", "Ver Imagen")</f>
        <v>Ver Imagen</v>
      </c>
      <c r="P1997" t="str">
        <f>HYPERLINK("NO\A-499\A-499__60.png", "Ver Imagen")</f>
        <v>Ver Imagen</v>
      </c>
    </row>
    <row r="1998" spans="1:16" x14ac:dyDescent="0.25">
      <c r="A1998">
        <v>1435</v>
      </c>
      <c r="B1998" t="s">
        <v>2882</v>
      </c>
      <c r="C1998">
        <v>37.495471150299998</v>
      </c>
      <c r="D1998">
        <v>-7.2725293797599999</v>
      </c>
      <c r="E1998">
        <v>2</v>
      </c>
      <c r="F1998">
        <v>3</v>
      </c>
      <c r="G1998">
        <v>2</v>
      </c>
      <c r="J1998" t="s">
        <v>15</v>
      </c>
      <c r="K1998">
        <v>2</v>
      </c>
      <c r="L1998">
        <v>1.893</v>
      </c>
      <c r="M1998">
        <v>0</v>
      </c>
      <c r="N1998" t="s">
        <v>10017</v>
      </c>
      <c r="O1998" t="str">
        <f>HYPERLINK("2\1\marker_798_535081.png", "Ver Imagen")</f>
        <v>Ver Imagen</v>
      </c>
      <c r="P1998" t="str">
        <f>HYPERLINK("NO\A-499\A-499__61.png", "Ver Imagen")</f>
        <v>Ver Imagen</v>
      </c>
    </row>
    <row r="1999" spans="1:16" x14ac:dyDescent="0.25">
      <c r="A1999">
        <v>1436</v>
      </c>
      <c r="B1999" t="s">
        <v>2884</v>
      </c>
      <c r="C1999">
        <v>37.496221455300002</v>
      </c>
      <c r="D1999">
        <v>-7.2681971720499998</v>
      </c>
      <c r="E1999">
        <v>2</v>
      </c>
      <c r="F1999">
        <v>2</v>
      </c>
      <c r="G1999">
        <v>3</v>
      </c>
      <c r="J1999" t="s">
        <v>15</v>
      </c>
      <c r="K1999">
        <v>2</v>
      </c>
      <c r="L1999">
        <v>1.679</v>
      </c>
      <c r="M1999">
        <v>0</v>
      </c>
      <c r="N1999" t="s">
        <v>10017</v>
      </c>
      <c r="O1999" t="str">
        <f>HYPERLINK("2\1\marker_640_789892.png", "Ver Imagen")</f>
        <v>Ver Imagen</v>
      </c>
      <c r="P1999" t="str">
        <f>HYPERLINK("NO\A-499\A-499__87.png", "Ver Imagen")</f>
        <v>Ver Imagen</v>
      </c>
    </row>
    <row r="2000" spans="1:16" x14ac:dyDescent="0.25">
      <c r="A2000">
        <v>1437</v>
      </c>
      <c r="B2000" t="s">
        <v>2886</v>
      </c>
      <c r="C2000">
        <v>37.496434219000001</v>
      </c>
      <c r="D2000">
        <v>-7.2682038643400002</v>
      </c>
      <c r="E2000">
        <v>2</v>
      </c>
      <c r="F2000">
        <v>3</v>
      </c>
      <c r="G2000">
        <v>2</v>
      </c>
      <c r="J2000" t="s">
        <v>15</v>
      </c>
      <c r="K2000">
        <v>2</v>
      </c>
      <c r="L2000">
        <v>2.1749999999999998</v>
      </c>
      <c r="M2000">
        <v>0</v>
      </c>
      <c r="N2000" t="s">
        <v>10019</v>
      </c>
      <c r="O2000" t="str">
        <f>HYPERLINK("2\1\marker_221_789911.png", "Ver Imagen")</f>
        <v>Ver Imagen</v>
      </c>
      <c r="P2000" t="str">
        <f>HYPERLINK("NO\A-499\A-499__88.png", "Ver Imagen")</f>
        <v>Ver Imagen</v>
      </c>
    </row>
    <row r="2001" spans="1:16" x14ac:dyDescent="0.25">
      <c r="A2001">
        <v>1438</v>
      </c>
      <c r="B2001" t="s">
        <v>2888</v>
      </c>
      <c r="C2001">
        <v>37.496631314600002</v>
      </c>
      <c r="D2001">
        <v>-7.2681900239299999</v>
      </c>
      <c r="E2001">
        <v>2</v>
      </c>
      <c r="F2001">
        <v>1</v>
      </c>
      <c r="G2001">
        <v>2</v>
      </c>
      <c r="J2001" t="s">
        <v>15</v>
      </c>
      <c r="K2001">
        <v>2</v>
      </c>
      <c r="L2001">
        <v>1.9810000000000001</v>
      </c>
      <c r="M2001">
        <v>0</v>
      </c>
      <c r="N2001" t="s">
        <v>10019</v>
      </c>
      <c r="O2001" t="str">
        <f>HYPERLINK("2\1\marker_271_789925.png", "Ver Imagen")</f>
        <v>Ver Imagen</v>
      </c>
      <c r="P2001" t="str">
        <f>HYPERLINK("NO\A-499\A-499__89.png", "Ver Imagen")</f>
        <v>Ver Imagen</v>
      </c>
    </row>
    <row r="2002" spans="1:16" x14ac:dyDescent="0.25">
      <c r="A2002">
        <v>1439</v>
      </c>
      <c r="B2002" t="s">
        <v>2890</v>
      </c>
      <c r="C2002">
        <v>37.498617987199999</v>
      </c>
      <c r="D2002">
        <v>-7.2675756041300001</v>
      </c>
      <c r="E2002">
        <v>2</v>
      </c>
      <c r="F2002">
        <v>3</v>
      </c>
      <c r="G2002">
        <v>2</v>
      </c>
      <c r="J2002" t="s">
        <v>15</v>
      </c>
      <c r="K2002">
        <v>2</v>
      </c>
      <c r="L2002">
        <v>2.02</v>
      </c>
      <c r="M2002">
        <v>0</v>
      </c>
      <c r="N2002" t="s">
        <v>10019</v>
      </c>
      <c r="O2002" t="str">
        <f>HYPERLINK("2\1\marker_816_793218.png", "Ver Imagen")</f>
        <v>Ver Imagen</v>
      </c>
      <c r="P2002" t="str">
        <f>HYPERLINK("NO\A-499\A-499__99.png", "Ver Imagen")</f>
        <v>Ver Imagen</v>
      </c>
    </row>
    <row r="2003" spans="1:16" x14ac:dyDescent="0.25">
      <c r="A2003">
        <v>1440</v>
      </c>
      <c r="B2003" t="s">
        <v>2892</v>
      </c>
      <c r="C2003">
        <v>37.499002027700001</v>
      </c>
      <c r="D2003">
        <v>-7.2674420375300004</v>
      </c>
      <c r="E2003">
        <v>2</v>
      </c>
      <c r="F2003">
        <v>3</v>
      </c>
      <c r="G2003">
        <v>2</v>
      </c>
      <c r="J2003" t="s">
        <v>15</v>
      </c>
      <c r="K2003">
        <v>2</v>
      </c>
      <c r="L2003">
        <v>2.4300000000000002</v>
      </c>
      <c r="M2003">
        <v>0</v>
      </c>
      <c r="N2003" t="s">
        <v>10018</v>
      </c>
      <c r="O2003" t="str">
        <f>HYPERLINK("2\1\marker_941_793245.png", "Ver Imagen")</f>
        <v>Ver Imagen</v>
      </c>
      <c r="P2003" t="str">
        <f>HYPERLINK("NO\A-499\A-499__101.png", "Ver Imagen")</f>
        <v>Ver Imagen</v>
      </c>
    </row>
    <row r="2004" spans="1:16" x14ac:dyDescent="0.25">
      <c r="A2004">
        <v>1441</v>
      </c>
      <c r="B2004" t="s">
        <v>2894</v>
      </c>
      <c r="C2004">
        <v>37.499589548099998</v>
      </c>
      <c r="D2004">
        <v>-7.26724089998</v>
      </c>
      <c r="E2004">
        <v>2</v>
      </c>
      <c r="F2004">
        <v>1</v>
      </c>
      <c r="G2004">
        <v>2</v>
      </c>
      <c r="J2004" t="s">
        <v>15</v>
      </c>
      <c r="K2004">
        <v>2</v>
      </c>
      <c r="L2004">
        <v>1.8320000000000001</v>
      </c>
      <c r="M2004">
        <v>0</v>
      </c>
      <c r="N2004" t="s">
        <v>10019</v>
      </c>
      <c r="O2004" t="str">
        <f>HYPERLINK("2\1\marker_249_793291.png", "Ver Imagen")</f>
        <v>Ver Imagen</v>
      </c>
      <c r="P2004" t="str">
        <f>HYPERLINK("NO\A-499\A-499__104.png", "Ver Imagen")</f>
        <v>Ver Imagen</v>
      </c>
    </row>
    <row r="2005" spans="1:16" x14ac:dyDescent="0.25">
      <c r="A2005">
        <v>1442</v>
      </c>
      <c r="B2005" t="s">
        <v>2896</v>
      </c>
      <c r="C2005">
        <v>37.199620058900003</v>
      </c>
      <c r="D2005">
        <v>-6.9849437106599996</v>
      </c>
      <c r="E2005">
        <v>2</v>
      </c>
      <c r="F2005">
        <v>3</v>
      </c>
      <c r="G2005">
        <v>2</v>
      </c>
      <c r="J2005" t="s">
        <v>15</v>
      </c>
      <c r="K2005">
        <v>2</v>
      </c>
      <c r="L2005">
        <v>2.4500000000000002</v>
      </c>
      <c r="M2005">
        <v>0</v>
      </c>
      <c r="N2005" t="s">
        <v>10017</v>
      </c>
      <c r="O2005" t="str">
        <f>HYPERLINK("2\1\marker_543_367493.png", "Ver Imagen")</f>
        <v>Ver Imagen</v>
      </c>
      <c r="P2005" t="str">
        <f>HYPERLINK("SE\A-497\A-497__845.png", "Ver Imagen")</f>
        <v>Ver Imagen</v>
      </c>
    </row>
    <row r="2006" spans="1:16" x14ac:dyDescent="0.25">
      <c r="A2006">
        <v>1443</v>
      </c>
      <c r="B2006" t="s">
        <v>2898</v>
      </c>
      <c r="C2006">
        <v>37.192197808300001</v>
      </c>
      <c r="D2006">
        <v>-6.9776763762999998</v>
      </c>
      <c r="E2006">
        <v>2</v>
      </c>
      <c r="F2006">
        <v>2</v>
      </c>
      <c r="G2006">
        <v>3</v>
      </c>
      <c r="J2006" t="s">
        <v>15</v>
      </c>
      <c r="K2006">
        <v>2</v>
      </c>
      <c r="L2006">
        <v>1.756</v>
      </c>
      <c r="M2006">
        <v>0</v>
      </c>
      <c r="N2006" t="s">
        <v>10019</v>
      </c>
      <c r="O2006" t="str">
        <f>HYPERLINK("2\1\marker_604_368016.png", "Ver Imagen")</f>
        <v>Ver Imagen</v>
      </c>
      <c r="P2006" t="str">
        <f>HYPERLINK("SE\A-497\A-497__794.png", "Ver Imagen")</f>
        <v>Ver Imagen</v>
      </c>
    </row>
    <row r="2007" spans="1:16" x14ac:dyDescent="0.25">
      <c r="A2007">
        <v>1444</v>
      </c>
      <c r="B2007" t="s">
        <v>2900</v>
      </c>
      <c r="C2007">
        <v>37.1882747768</v>
      </c>
      <c r="D2007">
        <v>-6.9787430482000001</v>
      </c>
      <c r="E2007">
        <v>2</v>
      </c>
      <c r="F2007">
        <v>3</v>
      </c>
      <c r="G2007">
        <v>2</v>
      </c>
      <c r="J2007" t="s">
        <v>15</v>
      </c>
      <c r="K2007">
        <v>2</v>
      </c>
      <c r="L2007">
        <v>1.5940000000000001</v>
      </c>
      <c r="M2007">
        <v>0</v>
      </c>
      <c r="N2007" t="s">
        <v>10019</v>
      </c>
      <c r="O2007" t="str">
        <f>HYPERLINK("2\1\marker_123_368248.png", "Ver Imagen")</f>
        <v>Ver Imagen</v>
      </c>
      <c r="P2007" t="str">
        <f>HYPERLINK("SE\A-497\A-497__774.png", "Ver Imagen")</f>
        <v>Ver Imagen</v>
      </c>
    </row>
    <row r="2008" spans="1:16" x14ac:dyDescent="0.25">
      <c r="A2008">
        <v>1445</v>
      </c>
      <c r="B2008" t="s">
        <v>2902</v>
      </c>
      <c r="C2008">
        <v>37.501919967299997</v>
      </c>
      <c r="D2008">
        <v>-7.2664452990799999</v>
      </c>
      <c r="E2008">
        <v>2</v>
      </c>
      <c r="F2008">
        <v>3</v>
      </c>
      <c r="G2008">
        <v>2</v>
      </c>
      <c r="J2008" t="s">
        <v>15</v>
      </c>
      <c r="K2008">
        <v>2</v>
      </c>
      <c r="L2008">
        <v>1.7609999999999999</v>
      </c>
      <c r="M2008">
        <v>0</v>
      </c>
      <c r="N2008" t="s">
        <v>10018</v>
      </c>
      <c r="O2008" t="str">
        <f>HYPERLINK("2\1\marker_537_793524.png", "Ver Imagen")</f>
        <v>Ver Imagen</v>
      </c>
      <c r="P2008" t="str">
        <f>HYPERLINK("NO\A-499\A-499__116.png", "Ver Imagen")</f>
        <v>Ver Imagen</v>
      </c>
    </row>
    <row r="2009" spans="1:16" x14ac:dyDescent="0.25">
      <c r="A2009">
        <v>1446</v>
      </c>
      <c r="B2009" t="s">
        <v>2904</v>
      </c>
      <c r="C2009">
        <v>37.502301673200002</v>
      </c>
      <c r="D2009">
        <v>-7.2663127357599997</v>
      </c>
      <c r="E2009">
        <v>2</v>
      </c>
      <c r="F2009">
        <v>2</v>
      </c>
      <c r="G2009">
        <v>3</v>
      </c>
      <c r="J2009" t="s">
        <v>15</v>
      </c>
      <c r="K2009">
        <v>2</v>
      </c>
      <c r="L2009">
        <v>1.873</v>
      </c>
      <c r="M2009">
        <v>0</v>
      </c>
      <c r="N2009" t="s">
        <v>10019</v>
      </c>
      <c r="O2009" t="str">
        <f>HYPERLINK("2\1\marker_219_793560.png", "Ver Imagen")</f>
        <v>Ver Imagen</v>
      </c>
      <c r="P2009" t="str">
        <f>HYPERLINK("NO\A-499\A-499__118.png", "Ver Imagen")</f>
        <v>Ver Imagen</v>
      </c>
    </row>
    <row r="2010" spans="1:16" x14ac:dyDescent="0.25">
      <c r="A2010">
        <v>1447</v>
      </c>
      <c r="B2010" t="s">
        <v>2906</v>
      </c>
      <c r="C2010">
        <v>37.502676633900002</v>
      </c>
      <c r="D2010">
        <v>-7.2661861126199998</v>
      </c>
      <c r="E2010">
        <v>2</v>
      </c>
      <c r="F2010">
        <v>2</v>
      </c>
      <c r="G2010">
        <v>3</v>
      </c>
      <c r="J2010" t="s">
        <v>15</v>
      </c>
      <c r="K2010">
        <v>2</v>
      </c>
      <c r="L2010">
        <v>1.925</v>
      </c>
      <c r="M2010">
        <v>0</v>
      </c>
      <c r="N2010" t="s">
        <v>10019</v>
      </c>
      <c r="O2010" t="str">
        <f>HYPERLINK("2\1\marker_512_793603.png", "Ver Imagen")</f>
        <v>Ver Imagen</v>
      </c>
      <c r="P2010" t="str">
        <f>HYPERLINK("NO\A-499\A-499__120.png", "Ver Imagen")</f>
        <v>Ver Imagen</v>
      </c>
    </row>
    <row r="2011" spans="1:16" x14ac:dyDescent="0.25">
      <c r="A2011">
        <v>1448</v>
      </c>
      <c r="B2011" t="s">
        <v>2908</v>
      </c>
      <c r="C2011">
        <v>37.503109877200004</v>
      </c>
      <c r="D2011">
        <v>-7.2660407427399996</v>
      </c>
      <c r="E2011">
        <v>2</v>
      </c>
      <c r="F2011">
        <v>3</v>
      </c>
      <c r="G2011">
        <v>2</v>
      </c>
      <c r="J2011" t="s">
        <v>15</v>
      </c>
      <c r="K2011">
        <v>2</v>
      </c>
      <c r="L2011">
        <v>2.117</v>
      </c>
      <c r="M2011">
        <v>0</v>
      </c>
      <c r="N2011" t="s">
        <v>10019</v>
      </c>
      <c r="O2011" t="str">
        <f>HYPERLINK("2\1\marker_884_793644.png", "Ver Imagen")</f>
        <v>Ver Imagen</v>
      </c>
      <c r="P2011" t="str">
        <f>HYPERLINK("NO\A-499\A-499__122.png", "Ver Imagen")</f>
        <v>Ver Imagen</v>
      </c>
    </row>
    <row r="2012" spans="1:16" x14ac:dyDescent="0.25">
      <c r="A2012">
        <v>1449</v>
      </c>
      <c r="B2012" t="s">
        <v>2910</v>
      </c>
      <c r="C2012">
        <v>37.267357193899997</v>
      </c>
      <c r="D2012">
        <v>-6.95873299341</v>
      </c>
      <c r="E2012">
        <v>2</v>
      </c>
      <c r="F2012">
        <v>3</v>
      </c>
      <c r="G2012">
        <v>2</v>
      </c>
      <c r="J2012" t="s">
        <v>15</v>
      </c>
      <c r="K2012">
        <v>2</v>
      </c>
      <c r="L2012">
        <v>1.905</v>
      </c>
      <c r="M2012">
        <v>0</v>
      </c>
      <c r="N2012" t="s">
        <v>10019</v>
      </c>
      <c r="O2012" t="str">
        <f>HYPERLINK("2\1\marker_929_653789.png", "Ver Imagen")</f>
        <v>Ver Imagen</v>
      </c>
      <c r="P2012" t="str">
        <f>HYPERLINK("SE\A-497_2C\A-497_2C__7.png", "Ver Imagen")</f>
        <v>Ver Imagen</v>
      </c>
    </row>
    <row r="2013" spans="1:16" x14ac:dyDescent="0.25">
      <c r="A2013">
        <v>1450</v>
      </c>
      <c r="B2013" t="s">
        <v>2912</v>
      </c>
      <c r="C2013">
        <v>37.267463452699999</v>
      </c>
      <c r="D2013">
        <v>-6.9597158915400001</v>
      </c>
      <c r="E2013">
        <v>2</v>
      </c>
      <c r="F2013">
        <v>3</v>
      </c>
      <c r="G2013">
        <v>2</v>
      </c>
      <c r="J2013" t="s">
        <v>15</v>
      </c>
      <c r="K2013">
        <v>2</v>
      </c>
      <c r="L2013">
        <v>2.4009999999999998</v>
      </c>
      <c r="M2013">
        <v>0</v>
      </c>
      <c r="N2013" t="s">
        <v>10017</v>
      </c>
      <c r="O2013" t="str">
        <f>HYPERLINK("2\1\marker_973_653994.png", "Ver Imagen")</f>
        <v>Ver Imagen</v>
      </c>
      <c r="P2013" t="str">
        <f>HYPERLINK("SE\A-497_2C\A-497_2C__11.png", "Ver Imagen")</f>
        <v>Ver Imagen</v>
      </c>
    </row>
    <row r="2014" spans="1:16" x14ac:dyDescent="0.25">
      <c r="A2014">
        <v>1451</v>
      </c>
      <c r="B2014" t="s">
        <v>2914</v>
      </c>
      <c r="C2014">
        <v>37.503281759799997</v>
      </c>
      <c r="D2014">
        <v>-7.2659815675499999</v>
      </c>
      <c r="E2014">
        <v>3</v>
      </c>
      <c r="F2014">
        <v>2</v>
      </c>
      <c r="G2014">
        <v>2</v>
      </c>
      <c r="J2014" t="s">
        <v>15</v>
      </c>
      <c r="K2014">
        <v>2</v>
      </c>
      <c r="L2014">
        <v>2.1429999999999998</v>
      </c>
      <c r="M2014">
        <v>0</v>
      </c>
      <c r="N2014" t="s">
        <v>10019</v>
      </c>
      <c r="O2014" t="str">
        <f>HYPERLINK("2\1\marker_471_793659.png", "Ver Imagen")</f>
        <v>Ver Imagen</v>
      </c>
      <c r="P2014" t="str">
        <f>HYPERLINK("NO\A-499\A-499__123.png", "Ver Imagen")</f>
        <v>Ver Imagen</v>
      </c>
    </row>
    <row r="2015" spans="1:16" x14ac:dyDescent="0.25">
      <c r="A2015">
        <v>1452</v>
      </c>
      <c r="B2015" t="s">
        <v>2916</v>
      </c>
      <c r="C2015">
        <v>37.504243235200001</v>
      </c>
      <c r="D2015">
        <v>-7.2656547906900002</v>
      </c>
      <c r="E2015">
        <v>2</v>
      </c>
      <c r="F2015">
        <v>2</v>
      </c>
      <c r="G2015">
        <v>3</v>
      </c>
      <c r="J2015" t="s">
        <v>15</v>
      </c>
      <c r="K2015">
        <v>2</v>
      </c>
      <c r="L2015">
        <v>1.83</v>
      </c>
      <c r="M2015">
        <v>0</v>
      </c>
      <c r="N2015" t="s">
        <v>10019</v>
      </c>
      <c r="O2015" t="str">
        <f>HYPERLINK("2\1\marker_633_793739.png", "Ver Imagen")</f>
        <v>Ver Imagen</v>
      </c>
      <c r="P2015" t="str">
        <f>HYPERLINK("NO\A-499\A-499__128.png", "Ver Imagen")</f>
        <v>Ver Imagen</v>
      </c>
    </row>
    <row r="2016" spans="1:16" x14ac:dyDescent="0.25">
      <c r="A2016">
        <v>1453</v>
      </c>
      <c r="B2016" t="s">
        <v>2918</v>
      </c>
      <c r="C2016">
        <v>37.5046385184</v>
      </c>
      <c r="D2016">
        <v>-7.2655165768199996</v>
      </c>
      <c r="E2016">
        <v>2</v>
      </c>
      <c r="F2016">
        <v>1</v>
      </c>
      <c r="G2016">
        <v>2</v>
      </c>
      <c r="J2016" t="s">
        <v>15</v>
      </c>
      <c r="K2016">
        <v>2</v>
      </c>
      <c r="L2016">
        <v>1.865</v>
      </c>
      <c r="M2016">
        <v>0</v>
      </c>
      <c r="N2016" t="s">
        <v>10019</v>
      </c>
      <c r="O2016" t="str">
        <f>HYPERLINK("2\1\marker_282_793798.png", "Ver Imagen")</f>
        <v>Ver Imagen</v>
      </c>
      <c r="P2016" t="str">
        <f>HYPERLINK("NO\A-499\A-499__130.png", "Ver Imagen")</f>
        <v>Ver Imagen</v>
      </c>
    </row>
    <row r="2017" spans="1:16" x14ac:dyDescent="0.25">
      <c r="A2017">
        <v>1454</v>
      </c>
      <c r="B2017" t="s">
        <v>2920</v>
      </c>
      <c r="C2017">
        <v>37.504850923900001</v>
      </c>
      <c r="D2017">
        <v>-7.2654441467500002</v>
      </c>
      <c r="E2017">
        <v>2</v>
      </c>
      <c r="F2017">
        <v>1</v>
      </c>
      <c r="G2017">
        <v>2</v>
      </c>
      <c r="J2017" t="s">
        <v>15</v>
      </c>
      <c r="K2017">
        <v>2</v>
      </c>
      <c r="L2017">
        <v>1.7509999999999999</v>
      </c>
      <c r="M2017">
        <v>0</v>
      </c>
      <c r="N2017" t="s">
        <v>10019</v>
      </c>
      <c r="O2017" t="str">
        <f>HYPERLINK("2\1\marker_504_793812.png", "Ver Imagen")</f>
        <v>Ver Imagen</v>
      </c>
      <c r="P2017" t="str">
        <f>HYPERLINK("NO\A-499\A-499__131.png", "Ver Imagen")</f>
        <v>Ver Imagen</v>
      </c>
    </row>
    <row r="2018" spans="1:16" x14ac:dyDescent="0.25">
      <c r="A2018">
        <v>1455</v>
      </c>
      <c r="B2018" t="s">
        <v>2922</v>
      </c>
      <c r="C2018">
        <v>37.506042827500004</v>
      </c>
      <c r="D2018">
        <v>-7.2652653115400003</v>
      </c>
      <c r="E2018">
        <v>2</v>
      </c>
      <c r="F2018">
        <v>1</v>
      </c>
      <c r="G2018">
        <v>2</v>
      </c>
      <c r="J2018" t="s">
        <v>15</v>
      </c>
      <c r="K2018">
        <v>2</v>
      </c>
      <c r="L2018">
        <v>1.706</v>
      </c>
      <c r="M2018">
        <v>0</v>
      </c>
      <c r="N2018" t="s">
        <v>10019</v>
      </c>
      <c r="O2018" t="str">
        <f>HYPERLINK("2\1\marker_666_793945.png", "Ver Imagen")</f>
        <v>Ver Imagen</v>
      </c>
      <c r="P2018" t="str">
        <f>HYPERLINK("NO\A-499\A-499__137.png", "Ver Imagen")</f>
        <v>Ver Imagen</v>
      </c>
    </row>
    <row r="2019" spans="1:16" x14ac:dyDescent="0.25">
      <c r="A2019">
        <v>1456</v>
      </c>
      <c r="B2019" t="s">
        <v>2924</v>
      </c>
      <c r="C2019">
        <v>37.507382939599999</v>
      </c>
      <c r="D2019">
        <v>-7.2658597390999997</v>
      </c>
      <c r="E2019">
        <v>2</v>
      </c>
      <c r="F2019">
        <v>2</v>
      </c>
      <c r="G2019">
        <v>3</v>
      </c>
      <c r="J2019" t="s">
        <v>15</v>
      </c>
      <c r="K2019">
        <v>2</v>
      </c>
      <c r="L2019">
        <v>1.944</v>
      </c>
      <c r="M2019">
        <v>0</v>
      </c>
      <c r="N2019" t="s">
        <v>10019</v>
      </c>
      <c r="O2019" t="str">
        <f>HYPERLINK("2\1\marker_324_794144.png", "Ver Imagen")</f>
        <v>Ver Imagen</v>
      </c>
      <c r="P2019" t="str">
        <f>HYPERLINK("NO\A-499\A-499__144.png", "Ver Imagen")</f>
        <v>Ver Imagen</v>
      </c>
    </row>
    <row r="2020" spans="1:16" x14ac:dyDescent="0.25">
      <c r="A2020">
        <v>1457</v>
      </c>
      <c r="B2020" t="s">
        <v>2926</v>
      </c>
      <c r="C2020">
        <v>37.507566025800003</v>
      </c>
      <c r="D2020">
        <v>-7.26600478718</v>
      </c>
      <c r="E2020">
        <v>2</v>
      </c>
      <c r="F2020">
        <v>2</v>
      </c>
      <c r="G2020">
        <v>3</v>
      </c>
      <c r="J2020" t="s">
        <v>15</v>
      </c>
      <c r="K2020">
        <v>2</v>
      </c>
      <c r="L2020">
        <v>2.069</v>
      </c>
      <c r="M2020">
        <v>0</v>
      </c>
      <c r="N2020" t="s">
        <v>10019</v>
      </c>
      <c r="O2020" t="str">
        <f>HYPERLINK("2\1\marker_885_794167.png", "Ver Imagen")</f>
        <v>Ver Imagen</v>
      </c>
      <c r="P2020" t="str">
        <f>HYPERLINK("NO\A-499\A-499__145.png", "Ver Imagen")</f>
        <v>Ver Imagen</v>
      </c>
    </row>
    <row r="2021" spans="1:16" x14ac:dyDescent="0.25">
      <c r="A2021">
        <v>1458</v>
      </c>
      <c r="B2021" t="s">
        <v>2928</v>
      </c>
      <c r="C2021">
        <v>37.5077300863</v>
      </c>
      <c r="D2021">
        <v>-7.2661382512300001</v>
      </c>
      <c r="E2021">
        <v>2</v>
      </c>
      <c r="F2021">
        <v>2</v>
      </c>
      <c r="G2021">
        <v>3</v>
      </c>
      <c r="J2021" t="s">
        <v>15</v>
      </c>
      <c r="K2021">
        <v>2</v>
      </c>
      <c r="L2021">
        <v>2.363</v>
      </c>
      <c r="M2021">
        <v>0</v>
      </c>
      <c r="N2021" t="s">
        <v>10018</v>
      </c>
      <c r="O2021" t="str">
        <f>HYPERLINK("2\1\marker_877_794202.png", "Ver Imagen")</f>
        <v>Ver Imagen</v>
      </c>
      <c r="P2021" t="str">
        <f>HYPERLINK("NO\A-499\A-499__146.png", "Ver Imagen")</f>
        <v>Ver Imagen</v>
      </c>
    </row>
    <row r="2022" spans="1:16" x14ac:dyDescent="0.25">
      <c r="A2022">
        <v>1459</v>
      </c>
      <c r="B2022" t="s">
        <v>2930</v>
      </c>
      <c r="C2022">
        <v>37.507910574100002</v>
      </c>
      <c r="D2022">
        <v>-7.2662860020200002</v>
      </c>
      <c r="E2022">
        <v>2</v>
      </c>
      <c r="F2022">
        <v>2</v>
      </c>
      <c r="G2022">
        <v>3</v>
      </c>
      <c r="J2022" t="s">
        <v>15</v>
      </c>
      <c r="K2022">
        <v>2</v>
      </c>
      <c r="L2022">
        <v>1.7490000000000001</v>
      </c>
      <c r="M2022">
        <v>0</v>
      </c>
      <c r="N2022" t="s">
        <v>10019</v>
      </c>
      <c r="O2022" t="str">
        <f>HYPERLINK("2\1\marker_347_794238.png", "Ver Imagen")</f>
        <v>Ver Imagen</v>
      </c>
      <c r="P2022" t="str">
        <f>HYPERLINK("NO\A-499\A-499__147.png", "Ver Imagen")</f>
        <v>Ver Imagen</v>
      </c>
    </row>
    <row r="2023" spans="1:16" x14ac:dyDescent="0.25">
      <c r="A2023">
        <v>1460</v>
      </c>
      <c r="B2023" t="s">
        <v>2932</v>
      </c>
      <c r="C2023">
        <v>37.508930440699999</v>
      </c>
      <c r="D2023">
        <v>-7.2670625436099998</v>
      </c>
      <c r="E2023">
        <v>2</v>
      </c>
      <c r="F2023">
        <v>1</v>
      </c>
      <c r="G2023">
        <v>2</v>
      </c>
      <c r="J2023" t="s">
        <v>15</v>
      </c>
      <c r="K2023">
        <v>2</v>
      </c>
      <c r="L2023">
        <v>2.2160000000000002</v>
      </c>
      <c r="M2023">
        <v>0</v>
      </c>
      <c r="N2023" t="s">
        <v>10019</v>
      </c>
      <c r="O2023" t="str">
        <f>HYPERLINK("2\1\marker_696_794410.png", "Ver Imagen")</f>
        <v>Ver Imagen</v>
      </c>
      <c r="P2023" t="str">
        <f>HYPERLINK("NO\A-499\A-499__153.png", "Ver Imagen")</f>
        <v>Ver Imagen</v>
      </c>
    </row>
    <row r="2024" spans="1:16" x14ac:dyDescent="0.25">
      <c r="A2024">
        <v>1461</v>
      </c>
      <c r="B2024" t="s">
        <v>2934</v>
      </c>
      <c r="C2024">
        <v>37.5090978108</v>
      </c>
      <c r="D2024">
        <v>-7.2671662431100001</v>
      </c>
      <c r="E2024">
        <v>2</v>
      </c>
      <c r="F2024">
        <v>1</v>
      </c>
      <c r="G2024">
        <v>2</v>
      </c>
      <c r="J2024" t="s">
        <v>15</v>
      </c>
      <c r="K2024">
        <v>2</v>
      </c>
      <c r="L2024">
        <v>2.13</v>
      </c>
      <c r="M2024">
        <v>0</v>
      </c>
      <c r="N2024" t="s">
        <v>10019</v>
      </c>
      <c r="O2024" t="str">
        <f>HYPERLINK("2\1\marker_832_794422.png", "Ver Imagen")</f>
        <v>Ver Imagen</v>
      </c>
      <c r="P2024" t="str">
        <f>HYPERLINK("NO\A-499\A-499__154.png", "Ver Imagen")</f>
        <v>Ver Imagen</v>
      </c>
    </row>
    <row r="2025" spans="1:16" x14ac:dyDescent="0.25">
      <c r="A2025">
        <v>1462</v>
      </c>
      <c r="B2025" t="s">
        <v>2936</v>
      </c>
      <c r="C2025">
        <v>37.509287306799997</v>
      </c>
      <c r="D2025">
        <v>-7.26727338322</v>
      </c>
      <c r="E2025">
        <v>2</v>
      </c>
      <c r="F2025">
        <v>1</v>
      </c>
      <c r="G2025">
        <v>2</v>
      </c>
      <c r="J2025" t="s">
        <v>15</v>
      </c>
      <c r="K2025">
        <v>2</v>
      </c>
      <c r="L2025">
        <v>2.3929999999999998</v>
      </c>
      <c r="M2025">
        <v>0</v>
      </c>
      <c r="N2025" t="s">
        <v>10019</v>
      </c>
      <c r="O2025" t="str">
        <f>HYPERLINK("2\1\marker_451_794457.png", "Ver Imagen")</f>
        <v>Ver Imagen</v>
      </c>
      <c r="P2025" t="str">
        <f>HYPERLINK("NO\A-499\A-499__155.png", "Ver Imagen")</f>
        <v>Ver Imagen</v>
      </c>
    </row>
    <row r="2026" spans="1:16" x14ac:dyDescent="0.25">
      <c r="A2026">
        <v>1463</v>
      </c>
      <c r="B2026" t="s">
        <v>2938</v>
      </c>
      <c r="C2026">
        <v>37.509466245200002</v>
      </c>
      <c r="D2026">
        <v>-7.2673631927200004</v>
      </c>
      <c r="E2026">
        <v>2</v>
      </c>
      <c r="F2026">
        <v>2</v>
      </c>
      <c r="G2026">
        <v>3</v>
      </c>
      <c r="J2026" t="s">
        <v>15</v>
      </c>
      <c r="K2026">
        <v>2</v>
      </c>
      <c r="L2026">
        <v>2.2599999999999998</v>
      </c>
      <c r="M2026">
        <v>0</v>
      </c>
      <c r="N2026" t="s">
        <v>10019</v>
      </c>
      <c r="O2026" t="str">
        <f>HYPERLINK("2\1\marker_309_794520.png", "Ver Imagen")</f>
        <v>Ver Imagen</v>
      </c>
      <c r="P2026" t="str">
        <f>HYPERLINK("NO\A-499\A-499__156.png", "Ver Imagen")</f>
        <v>Ver Imagen</v>
      </c>
    </row>
    <row r="2027" spans="1:16" x14ac:dyDescent="0.25">
      <c r="A2027">
        <v>1464</v>
      </c>
      <c r="B2027" t="s">
        <v>2940</v>
      </c>
      <c r="C2027">
        <v>37.509851162799997</v>
      </c>
      <c r="D2027">
        <v>-7.2675274356699999</v>
      </c>
      <c r="E2027">
        <v>2</v>
      </c>
      <c r="F2027">
        <v>2</v>
      </c>
      <c r="G2027">
        <v>3</v>
      </c>
      <c r="J2027" t="s">
        <v>15</v>
      </c>
      <c r="K2027">
        <v>2</v>
      </c>
      <c r="L2027">
        <v>2.2109999999999999</v>
      </c>
      <c r="M2027">
        <v>0</v>
      </c>
      <c r="N2027" t="s">
        <v>10019</v>
      </c>
      <c r="O2027" t="str">
        <f>HYPERLINK("2\1\marker_313_794554.png", "Ver Imagen")</f>
        <v>Ver Imagen</v>
      </c>
      <c r="P2027" t="str">
        <f>HYPERLINK("NO\A-499\A-499__158.png", "Ver Imagen")</f>
        <v>Ver Imagen</v>
      </c>
    </row>
    <row r="2028" spans="1:16" x14ac:dyDescent="0.25">
      <c r="A2028">
        <v>1465</v>
      </c>
      <c r="B2028" t="s">
        <v>2942</v>
      </c>
      <c r="C2028">
        <v>37.510250168200002</v>
      </c>
      <c r="D2028">
        <v>-7.2676731937800003</v>
      </c>
      <c r="E2028">
        <v>2</v>
      </c>
      <c r="F2028">
        <v>3</v>
      </c>
      <c r="G2028">
        <v>2</v>
      </c>
      <c r="J2028" t="s">
        <v>15</v>
      </c>
      <c r="K2028">
        <v>2</v>
      </c>
      <c r="L2028">
        <v>2.048</v>
      </c>
      <c r="M2028">
        <v>0</v>
      </c>
      <c r="N2028" t="s">
        <v>10019</v>
      </c>
      <c r="O2028" t="str">
        <f>HYPERLINK("2\1\marker_660_794576.png", "Ver Imagen")</f>
        <v>Ver Imagen</v>
      </c>
      <c r="P2028" t="str">
        <f>HYPERLINK("NO\A-499\A-499__160.png", "Ver Imagen")</f>
        <v>Ver Imagen</v>
      </c>
    </row>
    <row r="2029" spans="1:16" x14ac:dyDescent="0.25">
      <c r="A2029">
        <v>1467</v>
      </c>
      <c r="B2029" t="s">
        <v>2946</v>
      </c>
      <c r="C2029">
        <v>37.510630663599997</v>
      </c>
      <c r="D2029">
        <v>-7.2678044957300001</v>
      </c>
      <c r="E2029">
        <v>2</v>
      </c>
      <c r="F2029">
        <v>3</v>
      </c>
      <c r="G2029">
        <v>2</v>
      </c>
      <c r="J2029" t="s">
        <v>15</v>
      </c>
      <c r="K2029">
        <v>2</v>
      </c>
      <c r="L2029">
        <v>2.0419999999999998</v>
      </c>
      <c r="M2029">
        <v>0</v>
      </c>
      <c r="N2029" t="s">
        <v>10019</v>
      </c>
      <c r="O2029" t="str">
        <f>HYPERLINK("2\1\marker_157_794615.png", "Ver Imagen")</f>
        <v>Ver Imagen</v>
      </c>
      <c r="P2029" t="str">
        <f>HYPERLINK("NO\A-499\A-499__162.png", "Ver Imagen")</f>
        <v>Ver Imagen</v>
      </c>
    </row>
    <row r="2030" spans="1:16" x14ac:dyDescent="0.25">
      <c r="A2030">
        <v>1470</v>
      </c>
      <c r="B2030" t="s">
        <v>2952</v>
      </c>
      <c r="C2030">
        <v>37.511839179200003</v>
      </c>
      <c r="D2030">
        <v>-7.2683081774199998</v>
      </c>
      <c r="E2030">
        <v>2</v>
      </c>
      <c r="F2030">
        <v>3</v>
      </c>
      <c r="G2030">
        <v>2</v>
      </c>
      <c r="J2030" t="s">
        <v>15</v>
      </c>
      <c r="K2030">
        <v>2</v>
      </c>
      <c r="L2030">
        <v>2.028</v>
      </c>
      <c r="M2030">
        <v>0</v>
      </c>
      <c r="N2030" t="s">
        <v>10019</v>
      </c>
      <c r="O2030" t="str">
        <f>HYPERLINK("2\1\marker_732_794768.png", "Ver Imagen")</f>
        <v>Ver Imagen</v>
      </c>
      <c r="P2030" t="str">
        <f>HYPERLINK("NO\A-499\A-499__168.png", "Ver Imagen")</f>
        <v>Ver Imagen</v>
      </c>
    </row>
    <row r="2031" spans="1:16" x14ac:dyDescent="0.25">
      <c r="A2031">
        <v>1472</v>
      </c>
      <c r="B2031" t="s">
        <v>2956</v>
      </c>
      <c r="C2031">
        <v>37.5131551606</v>
      </c>
      <c r="D2031">
        <v>-7.2688334176599998</v>
      </c>
      <c r="E2031">
        <v>2</v>
      </c>
      <c r="F2031">
        <v>3</v>
      </c>
      <c r="G2031">
        <v>2</v>
      </c>
      <c r="J2031" t="s">
        <v>15</v>
      </c>
      <c r="K2031">
        <v>2</v>
      </c>
      <c r="L2031">
        <v>2.14</v>
      </c>
      <c r="M2031">
        <v>0</v>
      </c>
      <c r="N2031" t="s">
        <v>10019</v>
      </c>
      <c r="O2031" t="str">
        <f>HYPERLINK("2\1\marker_968_795561.png", "Ver Imagen")</f>
        <v>Ver Imagen</v>
      </c>
      <c r="P2031" t="str">
        <f>HYPERLINK("NO\A-499\A-499__175.png", "Ver Imagen")</f>
        <v>Ver Imagen</v>
      </c>
    </row>
    <row r="2032" spans="1:16" x14ac:dyDescent="0.25">
      <c r="A2032">
        <v>1473</v>
      </c>
      <c r="B2032" t="s">
        <v>2958</v>
      </c>
      <c r="C2032">
        <v>37.513345675899998</v>
      </c>
      <c r="D2032">
        <v>-7.2688967775500002</v>
      </c>
      <c r="E2032">
        <v>3</v>
      </c>
      <c r="F2032">
        <v>2</v>
      </c>
      <c r="G2032">
        <v>2</v>
      </c>
      <c r="J2032" t="s">
        <v>15</v>
      </c>
      <c r="K2032">
        <v>2</v>
      </c>
      <c r="L2032">
        <v>2.0289999999999999</v>
      </c>
      <c r="M2032">
        <v>0</v>
      </c>
      <c r="N2032" t="s">
        <v>10019</v>
      </c>
      <c r="O2032" t="str">
        <f>HYPERLINK("2\1\marker_575_795575.png", "Ver Imagen")</f>
        <v>Ver Imagen</v>
      </c>
      <c r="P2032" t="str">
        <f>HYPERLINK("NO\A-499\A-499__176.png", "Ver Imagen")</f>
        <v>Ver Imagen</v>
      </c>
    </row>
    <row r="2033" spans="1:16" x14ac:dyDescent="0.25">
      <c r="A2033">
        <v>1474</v>
      </c>
      <c r="B2033" t="s">
        <v>2960</v>
      </c>
      <c r="C2033">
        <v>37.513735863299999</v>
      </c>
      <c r="D2033">
        <v>-7.2689869494000003</v>
      </c>
      <c r="E2033">
        <v>2</v>
      </c>
      <c r="F2033">
        <v>3</v>
      </c>
      <c r="G2033">
        <v>2</v>
      </c>
      <c r="J2033" t="s">
        <v>15</v>
      </c>
      <c r="K2033">
        <v>2</v>
      </c>
      <c r="L2033">
        <v>1.8919999999999999</v>
      </c>
      <c r="M2033">
        <v>0</v>
      </c>
      <c r="N2033" t="s">
        <v>10019</v>
      </c>
      <c r="O2033" t="str">
        <f>HYPERLINK("2\1\marker_605_795598.png", "Ver Imagen")</f>
        <v>Ver Imagen</v>
      </c>
      <c r="P2033" t="str">
        <f>HYPERLINK("NO\A-499\A-499__178.png", "Ver Imagen")</f>
        <v>Ver Imagen</v>
      </c>
    </row>
    <row r="2034" spans="1:16" x14ac:dyDescent="0.25">
      <c r="A2034">
        <v>1475</v>
      </c>
      <c r="B2034" t="s">
        <v>2962</v>
      </c>
      <c r="C2034">
        <v>37.513939109100001</v>
      </c>
      <c r="D2034">
        <v>-7.2689996558400001</v>
      </c>
      <c r="E2034">
        <v>2</v>
      </c>
      <c r="F2034">
        <v>1</v>
      </c>
      <c r="G2034">
        <v>2</v>
      </c>
      <c r="J2034" t="s">
        <v>15</v>
      </c>
      <c r="K2034">
        <v>2</v>
      </c>
      <c r="L2034">
        <v>2.09</v>
      </c>
      <c r="M2034">
        <v>0</v>
      </c>
      <c r="N2034" t="s">
        <v>10019</v>
      </c>
      <c r="O2034" t="str">
        <f>HYPERLINK("2\1\marker_142_795608.png", "Ver Imagen")</f>
        <v>Ver Imagen</v>
      </c>
      <c r="P2034" t="str">
        <f>HYPERLINK("NO\A-499\A-499__179.png", "Ver Imagen")</f>
        <v>Ver Imagen</v>
      </c>
    </row>
    <row r="2035" spans="1:16" x14ac:dyDescent="0.25">
      <c r="A2035">
        <v>1476</v>
      </c>
      <c r="B2035" t="s">
        <v>2964</v>
      </c>
      <c r="C2035">
        <v>37.5141260487</v>
      </c>
      <c r="D2035">
        <v>-7.2689897758099997</v>
      </c>
      <c r="E2035">
        <v>2</v>
      </c>
      <c r="F2035">
        <v>3</v>
      </c>
      <c r="G2035">
        <v>2</v>
      </c>
      <c r="J2035" t="s">
        <v>15</v>
      </c>
      <c r="K2035">
        <v>2</v>
      </c>
      <c r="L2035">
        <v>2.0960000000000001</v>
      </c>
      <c r="M2035">
        <v>0</v>
      </c>
      <c r="N2035" t="s">
        <v>10017</v>
      </c>
      <c r="O2035" t="str">
        <f>HYPERLINK("2\1\marker_127_795622.png", "Ver Imagen")</f>
        <v>Ver Imagen</v>
      </c>
      <c r="P2035" t="str">
        <f>HYPERLINK("NO\A-499\A-499__180.png", "Ver Imagen")</f>
        <v>Ver Imagen</v>
      </c>
    </row>
    <row r="2036" spans="1:16" x14ac:dyDescent="0.25">
      <c r="A2036">
        <v>1477</v>
      </c>
      <c r="B2036" t="s">
        <v>2966</v>
      </c>
      <c r="C2036">
        <v>37.514738820300003</v>
      </c>
      <c r="D2036">
        <v>-7.2688362827999997</v>
      </c>
      <c r="E2036">
        <v>2</v>
      </c>
      <c r="F2036">
        <v>1</v>
      </c>
      <c r="G2036">
        <v>2</v>
      </c>
      <c r="J2036" t="s">
        <v>15</v>
      </c>
      <c r="K2036">
        <v>2</v>
      </c>
      <c r="L2036">
        <v>1.998</v>
      </c>
      <c r="M2036">
        <v>0</v>
      </c>
      <c r="N2036" t="s">
        <v>10019</v>
      </c>
      <c r="O2036" t="str">
        <f>HYPERLINK("2\1\marker_281_795664.png", "Ver Imagen")</f>
        <v>Ver Imagen</v>
      </c>
      <c r="P2036" t="str">
        <f>HYPERLINK("NO\A-499\A-499__183.png", "Ver Imagen")</f>
        <v>Ver Imagen</v>
      </c>
    </row>
    <row r="2037" spans="1:16" x14ac:dyDescent="0.25">
      <c r="A2037">
        <v>1478</v>
      </c>
      <c r="B2037" t="s">
        <v>2968</v>
      </c>
      <c r="C2037">
        <v>37.5154281103</v>
      </c>
      <c r="D2037">
        <v>-7.2684148177700001</v>
      </c>
      <c r="E2037">
        <v>2</v>
      </c>
      <c r="F2037">
        <v>1</v>
      </c>
      <c r="G2037">
        <v>2</v>
      </c>
      <c r="J2037" t="s">
        <v>15</v>
      </c>
      <c r="K2037">
        <v>2</v>
      </c>
      <c r="L2037">
        <v>1.9530000000000001</v>
      </c>
      <c r="M2037">
        <v>0</v>
      </c>
      <c r="N2037" t="s">
        <v>10019</v>
      </c>
      <c r="O2037" t="str">
        <f>HYPERLINK("2\1\marker_102_795763.png", "Ver Imagen")</f>
        <v>Ver Imagen</v>
      </c>
      <c r="P2037" t="str">
        <f>HYPERLINK("NO\A-499\A-499__187.png", "Ver Imagen")</f>
        <v>Ver Imagen</v>
      </c>
    </row>
    <row r="2038" spans="1:16" x14ac:dyDescent="0.25">
      <c r="A2038">
        <v>1479</v>
      </c>
      <c r="B2038" t="s">
        <v>2970</v>
      </c>
      <c r="C2038">
        <v>37.515882843599996</v>
      </c>
      <c r="D2038">
        <v>-7.2679156739700002</v>
      </c>
      <c r="E2038">
        <v>2</v>
      </c>
      <c r="F2038">
        <v>1</v>
      </c>
      <c r="G2038">
        <v>2</v>
      </c>
      <c r="J2038" t="s">
        <v>15</v>
      </c>
      <c r="K2038">
        <v>2</v>
      </c>
      <c r="L2038">
        <v>2.194</v>
      </c>
      <c r="M2038">
        <v>0</v>
      </c>
      <c r="N2038" t="s">
        <v>10018</v>
      </c>
      <c r="O2038" t="str">
        <f>HYPERLINK("2\1\marker_588_795808.png", "Ver Imagen")</f>
        <v>Ver Imagen</v>
      </c>
      <c r="P2038" t="str">
        <f>HYPERLINK("NO\A-499\A-499__190.png", "Ver Imagen")</f>
        <v>Ver Imagen</v>
      </c>
    </row>
    <row r="2039" spans="1:16" x14ac:dyDescent="0.25">
      <c r="A2039">
        <v>1480</v>
      </c>
      <c r="B2039" t="s">
        <v>2972</v>
      </c>
      <c r="C2039">
        <v>37.516030850600004</v>
      </c>
      <c r="D2039">
        <v>-7.2676990042899998</v>
      </c>
      <c r="E2039">
        <v>2</v>
      </c>
      <c r="F2039">
        <v>1</v>
      </c>
      <c r="G2039">
        <v>2</v>
      </c>
      <c r="J2039" t="s">
        <v>15</v>
      </c>
      <c r="K2039">
        <v>2</v>
      </c>
      <c r="L2039">
        <v>2.0920000000000001</v>
      </c>
      <c r="M2039">
        <v>0</v>
      </c>
      <c r="N2039" t="s">
        <v>10019</v>
      </c>
      <c r="O2039" t="str">
        <f>HYPERLINK("2\1\marker_645_795824.png", "Ver Imagen")</f>
        <v>Ver Imagen</v>
      </c>
      <c r="P2039" t="str">
        <f>HYPERLINK("NO\A-499\A-499__191.png", "Ver Imagen")</f>
        <v>Ver Imagen</v>
      </c>
    </row>
    <row r="2040" spans="1:16" x14ac:dyDescent="0.25">
      <c r="A2040">
        <v>1481</v>
      </c>
      <c r="B2040" t="s">
        <v>2974</v>
      </c>
      <c r="C2040">
        <v>37.516155417500002</v>
      </c>
      <c r="D2040">
        <v>-7.2674912991899996</v>
      </c>
      <c r="E2040">
        <v>2</v>
      </c>
      <c r="F2040">
        <v>1</v>
      </c>
      <c r="G2040">
        <v>2</v>
      </c>
      <c r="J2040" t="s">
        <v>15</v>
      </c>
      <c r="K2040">
        <v>2</v>
      </c>
      <c r="L2040">
        <v>2.004</v>
      </c>
      <c r="M2040">
        <v>0</v>
      </c>
      <c r="N2040" t="s">
        <v>10019</v>
      </c>
      <c r="O2040" t="str">
        <f>HYPERLINK("2\1\marker_763_795845.png", "Ver Imagen")</f>
        <v>Ver Imagen</v>
      </c>
      <c r="P2040" t="str">
        <f>HYPERLINK("NO\A-499\A-499__192.png", "Ver Imagen")</f>
        <v>Ver Imagen</v>
      </c>
    </row>
    <row r="2041" spans="1:16" x14ac:dyDescent="0.25">
      <c r="A2041">
        <v>1482</v>
      </c>
      <c r="B2041" t="s">
        <v>2976</v>
      </c>
      <c r="C2041">
        <v>37.516280141000003</v>
      </c>
      <c r="D2041">
        <v>-7.26726377497</v>
      </c>
      <c r="E2041">
        <v>2</v>
      </c>
      <c r="F2041">
        <v>1</v>
      </c>
      <c r="G2041">
        <v>2</v>
      </c>
      <c r="J2041" t="s">
        <v>15</v>
      </c>
      <c r="K2041">
        <v>2</v>
      </c>
      <c r="L2041">
        <v>1.917</v>
      </c>
      <c r="M2041">
        <v>0</v>
      </c>
      <c r="N2041" t="s">
        <v>10019</v>
      </c>
      <c r="O2041" t="str">
        <f>HYPERLINK("2\1\marker_144_795857.png", "Ver Imagen")</f>
        <v>Ver Imagen</v>
      </c>
      <c r="P2041" t="str">
        <f>HYPERLINK("NO\A-499\A-499__193.png", "Ver Imagen")</f>
        <v>Ver Imagen</v>
      </c>
    </row>
    <row r="2042" spans="1:16" x14ac:dyDescent="0.25">
      <c r="A2042">
        <v>1483</v>
      </c>
      <c r="B2042" t="s">
        <v>2978</v>
      </c>
      <c r="C2042">
        <v>37.517147357299997</v>
      </c>
      <c r="D2042">
        <v>-7.2655749867399999</v>
      </c>
      <c r="E2042">
        <v>2</v>
      </c>
      <c r="F2042">
        <v>1</v>
      </c>
      <c r="G2042">
        <v>2</v>
      </c>
      <c r="J2042" t="s">
        <v>15</v>
      </c>
      <c r="K2042">
        <v>2</v>
      </c>
      <c r="L2042">
        <v>1.8979999999999999</v>
      </c>
      <c r="M2042">
        <v>0</v>
      </c>
      <c r="N2042" t="s">
        <v>10019</v>
      </c>
      <c r="O2042" t="str">
        <f>HYPERLINK("2\1\marker_465_796099.png", "Ver Imagen")</f>
        <v>Ver Imagen</v>
      </c>
      <c r="P2042" t="str">
        <f>HYPERLINK("NO\A-499\A-499__201.png", "Ver Imagen")</f>
        <v>Ver Imagen</v>
      </c>
    </row>
    <row r="2043" spans="1:16" x14ac:dyDescent="0.25">
      <c r="A2043">
        <v>1484</v>
      </c>
      <c r="B2043" t="s">
        <v>2980</v>
      </c>
      <c r="C2043">
        <v>37.517266150099999</v>
      </c>
      <c r="D2043">
        <v>-7.26534206004</v>
      </c>
      <c r="E2043">
        <v>2</v>
      </c>
      <c r="F2043">
        <v>1</v>
      </c>
      <c r="G2043">
        <v>2</v>
      </c>
      <c r="J2043" t="s">
        <v>15</v>
      </c>
      <c r="K2043">
        <v>2</v>
      </c>
      <c r="L2043">
        <v>1.962</v>
      </c>
      <c r="M2043">
        <v>0</v>
      </c>
      <c r="N2043" t="s">
        <v>10019</v>
      </c>
      <c r="O2043" t="str">
        <f>HYPERLINK("2\1\marker_944_796111.png", "Ver Imagen")</f>
        <v>Ver Imagen</v>
      </c>
      <c r="P2043" t="str">
        <f>HYPERLINK("NO\A-499\A-499__202.png", "Ver Imagen")</f>
        <v>Ver Imagen</v>
      </c>
    </row>
    <row r="2044" spans="1:16" x14ac:dyDescent="0.25">
      <c r="A2044">
        <v>1485</v>
      </c>
      <c r="B2044" t="s">
        <v>2982</v>
      </c>
      <c r="C2044">
        <v>37.5173871975</v>
      </c>
      <c r="D2044">
        <v>-7.2651045913100001</v>
      </c>
      <c r="E2044">
        <v>2</v>
      </c>
      <c r="F2044">
        <v>1</v>
      </c>
      <c r="G2044">
        <v>2</v>
      </c>
      <c r="J2044" t="s">
        <v>15</v>
      </c>
      <c r="K2044">
        <v>2</v>
      </c>
      <c r="L2044">
        <v>1.7030000000000001</v>
      </c>
      <c r="M2044">
        <v>0</v>
      </c>
      <c r="N2044" t="s">
        <v>10017</v>
      </c>
      <c r="O2044" t="str">
        <f>HYPERLINK("2\1\marker_591_796130.png", "Ver Imagen")</f>
        <v>Ver Imagen</v>
      </c>
      <c r="P2044" t="str">
        <f>HYPERLINK("NO\A-499\A-499__203.png", "Ver Imagen")</f>
        <v>Ver Imagen</v>
      </c>
    </row>
    <row r="2045" spans="1:16" x14ac:dyDescent="0.25">
      <c r="A2045">
        <v>1486</v>
      </c>
      <c r="B2045" t="s">
        <v>2984</v>
      </c>
      <c r="C2045">
        <v>37.517479508800001</v>
      </c>
      <c r="D2045">
        <v>-7.2649232054699997</v>
      </c>
      <c r="E2045">
        <v>2</v>
      </c>
      <c r="F2045">
        <v>3</v>
      </c>
      <c r="G2045">
        <v>2</v>
      </c>
      <c r="J2045" t="s">
        <v>15</v>
      </c>
      <c r="K2045">
        <v>2</v>
      </c>
      <c r="L2045">
        <v>1.6359999999999999</v>
      </c>
      <c r="M2045">
        <v>0</v>
      </c>
      <c r="N2045" t="s">
        <v>10017</v>
      </c>
      <c r="O2045" t="str">
        <f>HYPERLINK("2\1\marker_917_796196.png", "Ver Imagen")</f>
        <v>Ver Imagen</v>
      </c>
      <c r="P2045" t="str">
        <f>HYPERLINK("NO\A-499\A-499__204.png", "Ver Imagen")</f>
        <v>Ver Imagen</v>
      </c>
    </row>
    <row r="2046" spans="1:16" x14ac:dyDescent="0.25">
      <c r="A2046">
        <v>1487</v>
      </c>
      <c r="B2046" t="s">
        <v>2986</v>
      </c>
      <c r="C2046">
        <v>37.517578241700001</v>
      </c>
      <c r="D2046">
        <v>-7.2647293184599997</v>
      </c>
      <c r="E2046">
        <v>2</v>
      </c>
      <c r="F2046">
        <v>1</v>
      </c>
      <c r="G2046">
        <v>2</v>
      </c>
      <c r="J2046" t="s">
        <v>15</v>
      </c>
      <c r="K2046">
        <v>2</v>
      </c>
      <c r="L2046">
        <v>1.8320000000000001</v>
      </c>
      <c r="M2046">
        <v>0</v>
      </c>
      <c r="N2046" t="s">
        <v>10019</v>
      </c>
      <c r="O2046" t="str">
        <f>HYPERLINK("2\1\marker_186_796212.png", "Ver Imagen")</f>
        <v>Ver Imagen</v>
      </c>
      <c r="P2046" t="str">
        <f>HYPERLINK("NO\A-499\A-499__205.png", "Ver Imagen")</f>
        <v>Ver Imagen</v>
      </c>
    </row>
    <row r="2047" spans="1:16" x14ac:dyDescent="0.25">
      <c r="A2047">
        <v>1488</v>
      </c>
      <c r="B2047" t="s">
        <v>2988</v>
      </c>
      <c r="C2047">
        <v>37.518455644200003</v>
      </c>
      <c r="D2047">
        <v>-7.2630141261399999</v>
      </c>
      <c r="E2047">
        <v>2</v>
      </c>
      <c r="F2047">
        <v>1</v>
      </c>
      <c r="G2047">
        <v>2</v>
      </c>
      <c r="J2047" t="s">
        <v>15</v>
      </c>
      <c r="K2047">
        <v>2</v>
      </c>
      <c r="L2047">
        <v>2.1890000000000001</v>
      </c>
      <c r="M2047">
        <v>0</v>
      </c>
      <c r="N2047" t="s">
        <v>10019</v>
      </c>
      <c r="O2047" t="str">
        <f>HYPERLINK("2\1\marker_690_796349.png", "Ver Imagen")</f>
        <v>Ver Imagen</v>
      </c>
      <c r="P2047" t="str">
        <f>HYPERLINK("NO\A-499\A-499__213.png", "Ver Imagen")</f>
        <v>Ver Imagen</v>
      </c>
    </row>
    <row r="2048" spans="1:16" x14ac:dyDescent="0.25">
      <c r="A2048">
        <v>1489</v>
      </c>
      <c r="B2048" t="s">
        <v>2990</v>
      </c>
      <c r="C2048">
        <v>37.518569415899996</v>
      </c>
      <c r="D2048">
        <v>-7.26281225456</v>
      </c>
      <c r="E2048">
        <v>2</v>
      </c>
      <c r="F2048">
        <v>2</v>
      </c>
      <c r="G2048">
        <v>3</v>
      </c>
      <c r="J2048" t="s">
        <v>15</v>
      </c>
      <c r="K2048">
        <v>2</v>
      </c>
      <c r="L2048">
        <v>2.177</v>
      </c>
      <c r="M2048">
        <v>0</v>
      </c>
      <c r="N2048" t="s">
        <v>10019</v>
      </c>
      <c r="O2048" t="str">
        <f>HYPERLINK("2\1\marker_971_796399.png", "Ver Imagen")</f>
        <v>Ver Imagen</v>
      </c>
      <c r="P2048" t="str">
        <f>HYPERLINK("NO\A-499\A-499__214.png", "Ver Imagen")</f>
        <v>Ver Imagen</v>
      </c>
    </row>
    <row r="2049" spans="1:16" x14ac:dyDescent="0.25">
      <c r="A2049">
        <v>1490</v>
      </c>
      <c r="B2049" t="s">
        <v>2992</v>
      </c>
      <c r="C2049">
        <v>37.518827277699998</v>
      </c>
      <c r="D2049">
        <v>-7.2624298437599997</v>
      </c>
      <c r="E2049">
        <v>2</v>
      </c>
      <c r="F2049">
        <v>1</v>
      </c>
      <c r="G2049">
        <v>2</v>
      </c>
      <c r="J2049" t="s">
        <v>15</v>
      </c>
      <c r="K2049">
        <v>2</v>
      </c>
      <c r="L2049">
        <v>2.0659999999999998</v>
      </c>
      <c r="M2049">
        <v>0</v>
      </c>
      <c r="N2049" t="s">
        <v>10019</v>
      </c>
      <c r="O2049" t="str">
        <f>HYPERLINK("2\1\marker_367_796423.png", "Ver Imagen")</f>
        <v>Ver Imagen</v>
      </c>
      <c r="P2049" t="str">
        <f>HYPERLINK("NO\A-499\A-499__216.png", "Ver Imagen")</f>
        <v>Ver Imagen</v>
      </c>
    </row>
    <row r="2050" spans="1:16" x14ac:dyDescent="0.25">
      <c r="A2050">
        <v>1491</v>
      </c>
      <c r="B2050" t="s">
        <v>2994</v>
      </c>
      <c r="C2050">
        <v>37.519129274699999</v>
      </c>
      <c r="D2050">
        <v>-7.2620838752000001</v>
      </c>
      <c r="E2050">
        <v>2</v>
      </c>
      <c r="F2050">
        <v>1</v>
      </c>
      <c r="G2050">
        <v>2</v>
      </c>
      <c r="J2050" t="s">
        <v>15</v>
      </c>
      <c r="K2050">
        <v>2</v>
      </c>
      <c r="L2050">
        <v>1.772</v>
      </c>
      <c r="M2050">
        <v>0</v>
      </c>
      <c r="N2050" t="s">
        <v>10019</v>
      </c>
      <c r="O2050" t="str">
        <f>HYPERLINK("2\1\marker_996_796446.png", "Ver Imagen")</f>
        <v>Ver Imagen</v>
      </c>
      <c r="P2050" t="str">
        <f>HYPERLINK("NO\A-499\A-499__218.png", "Ver Imagen")</f>
        <v>Ver Imagen</v>
      </c>
    </row>
    <row r="2051" spans="1:16" x14ac:dyDescent="0.25">
      <c r="A2051">
        <v>1492</v>
      </c>
      <c r="B2051" t="s">
        <v>2996</v>
      </c>
      <c r="C2051">
        <v>37.519441934100001</v>
      </c>
      <c r="D2051">
        <v>-7.26177644757</v>
      </c>
      <c r="E2051">
        <v>2</v>
      </c>
      <c r="F2051">
        <v>1</v>
      </c>
      <c r="G2051">
        <v>2</v>
      </c>
      <c r="J2051" t="s">
        <v>15</v>
      </c>
      <c r="K2051">
        <v>2</v>
      </c>
      <c r="L2051">
        <v>1.92</v>
      </c>
      <c r="M2051">
        <v>0</v>
      </c>
      <c r="N2051" t="s">
        <v>10019</v>
      </c>
      <c r="O2051" t="str">
        <f>HYPERLINK("2\1\marker_526_796470.png", "Ver Imagen")</f>
        <v>Ver Imagen</v>
      </c>
      <c r="P2051" t="str">
        <f>HYPERLINK("NO\A-499\A-499__220.png", "Ver Imagen")</f>
        <v>Ver Imagen</v>
      </c>
    </row>
    <row r="2052" spans="1:16" x14ac:dyDescent="0.25">
      <c r="A2052">
        <v>1493</v>
      </c>
      <c r="B2052" t="s">
        <v>2998</v>
      </c>
      <c r="C2052">
        <v>37.520102618800003</v>
      </c>
      <c r="D2052">
        <v>-7.2611596978200001</v>
      </c>
      <c r="E2052">
        <v>2</v>
      </c>
      <c r="F2052">
        <v>2</v>
      </c>
      <c r="G2052">
        <v>3</v>
      </c>
      <c r="J2052" t="s">
        <v>15</v>
      </c>
      <c r="K2052">
        <v>2</v>
      </c>
      <c r="L2052">
        <v>1.5329999999999999</v>
      </c>
      <c r="M2052">
        <v>0</v>
      </c>
      <c r="N2052" t="s">
        <v>10019</v>
      </c>
      <c r="O2052" t="str">
        <f>HYPERLINK("2\1\marker_770_796530.png", "Ver Imagen")</f>
        <v>Ver Imagen</v>
      </c>
      <c r="P2052" t="str">
        <f>HYPERLINK("NO\A-499\A-499__224.png", "Ver Imagen")</f>
        <v>Ver Imagen</v>
      </c>
    </row>
    <row r="2053" spans="1:16" x14ac:dyDescent="0.25">
      <c r="A2053">
        <v>1494</v>
      </c>
      <c r="B2053" t="s">
        <v>3000</v>
      </c>
      <c r="C2053">
        <v>37.520428840500003</v>
      </c>
      <c r="D2053">
        <v>-7.2608531847200002</v>
      </c>
      <c r="E2053">
        <v>2</v>
      </c>
      <c r="F2053">
        <v>1</v>
      </c>
      <c r="G2053">
        <v>2</v>
      </c>
      <c r="J2053" t="s">
        <v>15</v>
      </c>
      <c r="K2053">
        <v>2</v>
      </c>
      <c r="L2053">
        <v>1.7370000000000001</v>
      </c>
      <c r="M2053">
        <v>0</v>
      </c>
      <c r="N2053" t="s">
        <v>10019</v>
      </c>
      <c r="O2053" t="str">
        <f>HYPERLINK("2\1\marker_957_796562.png", "Ver Imagen")</f>
        <v>Ver Imagen</v>
      </c>
      <c r="P2053" t="str">
        <f>HYPERLINK("NO\A-499\A-499__226.png", "Ver Imagen")</f>
        <v>Ver Imagen</v>
      </c>
    </row>
    <row r="2054" spans="1:16" x14ac:dyDescent="0.25">
      <c r="A2054">
        <v>1495</v>
      </c>
      <c r="B2054" t="s">
        <v>3002</v>
      </c>
      <c r="C2054">
        <v>37.520730696699999</v>
      </c>
      <c r="D2054">
        <v>-7.2605687680199997</v>
      </c>
      <c r="E2054">
        <v>2</v>
      </c>
      <c r="F2054">
        <v>2</v>
      </c>
      <c r="G2054">
        <v>3</v>
      </c>
      <c r="J2054" t="s">
        <v>15</v>
      </c>
      <c r="K2054">
        <v>2</v>
      </c>
      <c r="L2054">
        <v>1.861</v>
      </c>
      <c r="M2054">
        <v>0</v>
      </c>
      <c r="N2054" t="s">
        <v>10019</v>
      </c>
      <c r="O2054" t="str">
        <f>HYPERLINK("2\1\marker_423_796593.png", "Ver Imagen")</f>
        <v>Ver Imagen</v>
      </c>
      <c r="P2054" t="str">
        <f>HYPERLINK("NO\A-499\A-499__228.png", "Ver Imagen")</f>
        <v>Ver Imagen</v>
      </c>
    </row>
    <row r="2055" spans="1:16" x14ac:dyDescent="0.25">
      <c r="A2055">
        <v>1496</v>
      </c>
      <c r="B2055" t="s">
        <v>3004</v>
      </c>
      <c r="C2055">
        <v>37.267672653699996</v>
      </c>
      <c r="D2055">
        <v>-6.9650970272899997</v>
      </c>
      <c r="E2055">
        <v>2</v>
      </c>
      <c r="F2055">
        <v>2</v>
      </c>
      <c r="G2055">
        <v>3</v>
      </c>
      <c r="J2055" t="s">
        <v>15</v>
      </c>
      <c r="K2055">
        <v>2</v>
      </c>
      <c r="L2055">
        <v>2.3109999999999999</v>
      </c>
      <c r="M2055">
        <v>0</v>
      </c>
      <c r="N2055" t="s">
        <v>10019</v>
      </c>
      <c r="O2055" t="str">
        <f>HYPERLINK("2\1\marker_670_654508.png", "Ver Imagen")</f>
        <v>Ver Imagen</v>
      </c>
      <c r="P2055" t="str">
        <f>HYPERLINK("SE\A-497_2C\A-497_2C__32.png", "Ver Imagen")</f>
        <v>Ver Imagen</v>
      </c>
    </row>
    <row r="2056" spans="1:16" x14ac:dyDescent="0.25">
      <c r="A2056">
        <v>1497</v>
      </c>
      <c r="B2056" t="s">
        <v>3006</v>
      </c>
      <c r="C2056">
        <v>37.521069168399997</v>
      </c>
      <c r="D2056">
        <v>-7.2602508394100003</v>
      </c>
      <c r="E2056">
        <v>2</v>
      </c>
      <c r="F2056">
        <v>1</v>
      </c>
      <c r="G2056">
        <v>2</v>
      </c>
      <c r="J2056" t="s">
        <v>15</v>
      </c>
      <c r="K2056">
        <v>2</v>
      </c>
      <c r="L2056">
        <v>1.968</v>
      </c>
      <c r="M2056">
        <v>0</v>
      </c>
      <c r="N2056" t="s">
        <v>10019</v>
      </c>
      <c r="O2056" t="str">
        <f>HYPERLINK("2\1\marker_697_796624.png", "Ver Imagen")</f>
        <v>Ver Imagen</v>
      </c>
      <c r="P2056" t="str">
        <f>HYPERLINK("NO\A-499\A-499__230.png", "Ver Imagen")</f>
        <v>Ver Imagen</v>
      </c>
    </row>
    <row r="2057" spans="1:16" x14ac:dyDescent="0.25">
      <c r="A2057">
        <v>1498</v>
      </c>
      <c r="B2057" t="s">
        <v>3008</v>
      </c>
      <c r="C2057">
        <v>37.521232986000001</v>
      </c>
      <c r="D2057">
        <v>-7.26010158326</v>
      </c>
      <c r="E2057">
        <v>2</v>
      </c>
      <c r="F2057">
        <v>1</v>
      </c>
      <c r="G2057">
        <v>2</v>
      </c>
      <c r="J2057" t="s">
        <v>15</v>
      </c>
      <c r="K2057">
        <v>2</v>
      </c>
      <c r="L2057">
        <v>1.8640000000000001</v>
      </c>
      <c r="M2057">
        <v>0</v>
      </c>
      <c r="N2057" t="s">
        <v>10019</v>
      </c>
      <c r="O2057" t="str">
        <f>HYPERLINK("2\1\marker_815_796659.png", "Ver Imagen")</f>
        <v>Ver Imagen</v>
      </c>
      <c r="P2057" t="str">
        <f>HYPERLINK("NO\A-499\A-499__231.png", "Ver Imagen")</f>
        <v>Ver Imagen</v>
      </c>
    </row>
    <row r="2058" spans="1:16" x14ac:dyDescent="0.25">
      <c r="A2058">
        <v>1499</v>
      </c>
      <c r="B2058" t="s">
        <v>3010</v>
      </c>
      <c r="C2058">
        <v>37.521570966600002</v>
      </c>
      <c r="D2058">
        <v>-7.2598284955399999</v>
      </c>
      <c r="E2058">
        <v>2</v>
      </c>
      <c r="F2058">
        <v>1</v>
      </c>
      <c r="G2058">
        <v>2</v>
      </c>
      <c r="J2058" t="s">
        <v>15</v>
      </c>
      <c r="K2058">
        <v>2</v>
      </c>
      <c r="L2058">
        <v>2.0950000000000002</v>
      </c>
      <c r="M2058">
        <v>0</v>
      </c>
      <c r="N2058" t="s">
        <v>10019</v>
      </c>
      <c r="O2058" t="str">
        <f>HYPERLINK("2\1\marker_763_796680.png", "Ver Imagen")</f>
        <v>Ver Imagen</v>
      </c>
      <c r="P2058" t="str">
        <f>HYPERLINK("NO\A-499\A-499__233.png", "Ver Imagen")</f>
        <v>Ver Imagen</v>
      </c>
    </row>
    <row r="2059" spans="1:16" x14ac:dyDescent="0.25">
      <c r="A2059">
        <v>1500</v>
      </c>
      <c r="B2059" t="s">
        <v>3012</v>
      </c>
      <c r="C2059">
        <v>37.522311179299997</v>
      </c>
      <c r="D2059">
        <v>-7.2594165665899997</v>
      </c>
      <c r="E2059">
        <v>2</v>
      </c>
      <c r="F2059">
        <v>1</v>
      </c>
      <c r="G2059">
        <v>2</v>
      </c>
      <c r="J2059" t="s">
        <v>15</v>
      </c>
      <c r="K2059">
        <v>2</v>
      </c>
      <c r="L2059">
        <v>1.9279999999999999</v>
      </c>
      <c r="M2059">
        <v>0</v>
      </c>
      <c r="N2059" t="s">
        <v>10017</v>
      </c>
      <c r="O2059" t="str">
        <f>HYPERLINK("2\1\marker_690_796740.png", "Ver Imagen")</f>
        <v>Ver Imagen</v>
      </c>
      <c r="P2059" t="str">
        <f>HYPERLINK("NO\A-499\A-499__237.png", "Ver Imagen")</f>
        <v>Ver Imagen</v>
      </c>
    </row>
    <row r="2060" spans="1:16" x14ac:dyDescent="0.25">
      <c r="A2060">
        <v>1501</v>
      </c>
      <c r="B2060" t="s">
        <v>3014</v>
      </c>
      <c r="C2060">
        <v>37.522508534899998</v>
      </c>
      <c r="D2060">
        <v>-7.2593399862799997</v>
      </c>
      <c r="E2060">
        <v>2</v>
      </c>
      <c r="F2060">
        <v>2</v>
      </c>
      <c r="G2060">
        <v>3</v>
      </c>
      <c r="J2060" t="s">
        <v>15</v>
      </c>
      <c r="K2060">
        <v>2</v>
      </c>
      <c r="L2060">
        <v>1.8320000000000001</v>
      </c>
      <c r="M2060">
        <v>0</v>
      </c>
      <c r="N2060" t="s">
        <v>10019</v>
      </c>
      <c r="O2060" t="str">
        <f>HYPERLINK("2\1\marker_916_796779.png", "Ver Imagen")</f>
        <v>Ver Imagen</v>
      </c>
      <c r="P2060" t="str">
        <f>HYPERLINK("NO\A-499\A-499__238.png", "Ver Imagen")</f>
        <v>Ver Imagen</v>
      </c>
    </row>
    <row r="2061" spans="1:16" x14ac:dyDescent="0.25">
      <c r="A2061">
        <v>1502</v>
      </c>
      <c r="B2061" t="s">
        <v>3016</v>
      </c>
      <c r="C2061">
        <v>37.523285361900001</v>
      </c>
      <c r="D2061">
        <v>-7.2590405420900002</v>
      </c>
      <c r="E2061">
        <v>2</v>
      </c>
      <c r="F2061">
        <v>1</v>
      </c>
      <c r="G2061">
        <v>2</v>
      </c>
      <c r="J2061" t="s">
        <v>15</v>
      </c>
      <c r="K2061">
        <v>2</v>
      </c>
      <c r="L2061">
        <v>1.7</v>
      </c>
      <c r="M2061">
        <v>0</v>
      </c>
      <c r="N2061" t="s">
        <v>10019</v>
      </c>
      <c r="O2061" t="str">
        <f>HYPERLINK("2\1\marker_100_796895.png", "Ver Imagen")</f>
        <v>Ver Imagen</v>
      </c>
      <c r="P2061" t="str">
        <f>HYPERLINK("NO\A-499\A-499__242.png", "Ver Imagen")</f>
        <v>Ver Imagen</v>
      </c>
    </row>
    <row r="2062" spans="1:16" x14ac:dyDescent="0.25">
      <c r="A2062">
        <v>1503</v>
      </c>
      <c r="B2062" t="s">
        <v>3018</v>
      </c>
      <c r="C2062">
        <v>37.2680127653</v>
      </c>
      <c r="D2062">
        <v>-6.9698832785500002</v>
      </c>
      <c r="E2062">
        <v>2</v>
      </c>
      <c r="F2062">
        <v>3</v>
      </c>
      <c r="G2062">
        <v>2</v>
      </c>
      <c r="J2062" t="s">
        <v>15</v>
      </c>
      <c r="K2062">
        <v>2</v>
      </c>
      <c r="L2062">
        <v>2.14</v>
      </c>
      <c r="M2062">
        <v>0</v>
      </c>
      <c r="N2062" t="s">
        <v>10019</v>
      </c>
      <c r="O2062" t="str">
        <f>HYPERLINK("2\1\marker_878_654763.png", "Ver Imagen")</f>
        <v>Ver Imagen</v>
      </c>
      <c r="P2062" t="str">
        <f>HYPERLINK("SE\A-497_2C\A-497_2C__51.png", "Ver Imagen")</f>
        <v>Ver Imagen</v>
      </c>
    </row>
    <row r="2063" spans="1:16" x14ac:dyDescent="0.25">
      <c r="A2063">
        <v>1504</v>
      </c>
      <c r="B2063" t="s">
        <v>3020</v>
      </c>
      <c r="C2063">
        <v>37.523827437900003</v>
      </c>
      <c r="D2063">
        <v>-7.2587000221500002</v>
      </c>
      <c r="E2063">
        <v>2</v>
      </c>
      <c r="F2063">
        <v>3</v>
      </c>
      <c r="G2063">
        <v>2</v>
      </c>
      <c r="J2063" t="s">
        <v>15</v>
      </c>
      <c r="K2063">
        <v>2</v>
      </c>
      <c r="L2063">
        <v>2.2480000000000002</v>
      </c>
      <c r="M2063">
        <v>0</v>
      </c>
      <c r="N2063" t="s">
        <v>10019</v>
      </c>
      <c r="O2063" t="str">
        <f>HYPERLINK("2\1\marker_615_796930.png", "Ver Imagen")</f>
        <v>Ver Imagen</v>
      </c>
      <c r="P2063" t="str">
        <f>HYPERLINK("NO\A-499\A-499__245.png", "Ver Imagen")</f>
        <v>Ver Imagen</v>
      </c>
    </row>
    <row r="2064" spans="1:16" x14ac:dyDescent="0.25">
      <c r="A2064">
        <v>1505</v>
      </c>
      <c r="B2064" t="s">
        <v>3022</v>
      </c>
      <c r="C2064">
        <v>37.524004543700002</v>
      </c>
      <c r="D2064">
        <v>-7.2585494751199997</v>
      </c>
      <c r="E2064">
        <v>2</v>
      </c>
      <c r="F2064">
        <v>3</v>
      </c>
      <c r="G2064">
        <v>2</v>
      </c>
      <c r="J2064" t="s">
        <v>15</v>
      </c>
      <c r="K2064">
        <v>2</v>
      </c>
      <c r="L2064">
        <v>1.9610000000000001</v>
      </c>
      <c r="M2064">
        <v>0</v>
      </c>
      <c r="N2064" t="s">
        <v>10019</v>
      </c>
      <c r="O2064" t="str">
        <f>HYPERLINK("2\1\marker_654_796951.png", "Ver Imagen")</f>
        <v>Ver Imagen</v>
      </c>
      <c r="P2064" t="str">
        <f>HYPERLINK("NO\A-499\A-499__246.png", "Ver Imagen")</f>
        <v>Ver Imagen</v>
      </c>
    </row>
    <row r="2065" spans="1:16" x14ac:dyDescent="0.25">
      <c r="A2065">
        <v>1506</v>
      </c>
      <c r="B2065" t="s">
        <v>3024</v>
      </c>
      <c r="C2065">
        <v>37.5241411943</v>
      </c>
      <c r="D2065">
        <v>-7.2584166332100004</v>
      </c>
      <c r="E2065">
        <v>2</v>
      </c>
      <c r="F2065">
        <v>1</v>
      </c>
      <c r="G2065">
        <v>2</v>
      </c>
      <c r="J2065" t="s">
        <v>15</v>
      </c>
      <c r="K2065">
        <v>2</v>
      </c>
      <c r="L2065">
        <v>2.2170000000000001</v>
      </c>
      <c r="M2065">
        <v>0</v>
      </c>
      <c r="N2065" t="s">
        <v>10019</v>
      </c>
      <c r="O2065" t="str">
        <f>HYPERLINK("2\1\marker_825_796961.png", "Ver Imagen")</f>
        <v>Ver Imagen</v>
      </c>
      <c r="P2065" t="str">
        <f>HYPERLINK("NO\A-499\A-499__247.png", "Ver Imagen")</f>
        <v>Ver Imagen</v>
      </c>
    </row>
    <row r="2066" spans="1:16" x14ac:dyDescent="0.25">
      <c r="A2066">
        <v>1507</v>
      </c>
      <c r="B2066" t="s">
        <v>3026</v>
      </c>
      <c r="C2066">
        <v>37.524835510599999</v>
      </c>
      <c r="D2066">
        <v>-7.2574752329300001</v>
      </c>
      <c r="E2066">
        <v>2</v>
      </c>
      <c r="F2066">
        <v>1</v>
      </c>
      <c r="G2066">
        <v>2</v>
      </c>
      <c r="J2066" t="s">
        <v>15</v>
      </c>
      <c r="K2066">
        <v>2</v>
      </c>
      <c r="L2066">
        <v>1.859</v>
      </c>
      <c r="M2066">
        <v>0</v>
      </c>
      <c r="N2066" t="s">
        <v>10019</v>
      </c>
      <c r="O2066" t="str">
        <f>HYPERLINK("2\1\marker_101_797030.png", "Ver Imagen")</f>
        <v>Ver Imagen</v>
      </c>
      <c r="P2066" t="str">
        <f>HYPERLINK("NO\A-499\A-499__252.png", "Ver Imagen")</f>
        <v>Ver Imagen</v>
      </c>
    </row>
    <row r="2067" spans="1:16" x14ac:dyDescent="0.25">
      <c r="A2067">
        <v>1508</v>
      </c>
      <c r="B2067" t="s">
        <v>3028</v>
      </c>
      <c r="C2067">
        <v>37.5257279665</v>
      </c>
      <c r="D2067">
        <v>-7.2560609606000002</v>
      </c>
      <c r="E2067">
        <v>2</v>
      </c>
      <c r="F2067">
        <v>1</v>
      </c>
      <c r="G2067">
        <v>2</v>
      </c>
      <c r="J2067" t="s">
        <v>15</v>
      </c>
      <c r="K2067">
        <v>2</v>
      </c>
      <c r="L2067">
        <v>2.0819999999999999</v>
      </c>
      <c r="M2067">
        <v>0</v>
      </c>
      <c r="N2067" t="s">
        <v>10019</v>
      </c>
      <c r="O2067" t="str">
        <f>HYPERLINK("2\1\marker_623_797247.png", "Ver Imagen")</f>
        <v>Ver Imagen</v>
      </c>
      <c r="P2067" t="str">
        <f>HYPERLINK("NO\A-499\A-499__259.png", "Ver Imagen")</f>
        <v>Ver Imagen</v>
      </c>
    </row>
    <row r="2068" spans="1:16" x14ac:dyDescent="0.25">
      <c r="A2068">
        <v>1509</v>
      </c>
      <c r="B2068" t="s">
        <v>3030</v>
      </c>
      <c r="C2068">
        <v>37.526002237900002</v>
      </c>
      <c r="D2068">
        <v>-7.2557023751200003</v>
      </c>
      <c r="E2068">
        <v>2</v>
      </c>
      <c r="F2068">
        <v>1</v>
      </c>
      <c r="G2068">
        <v>2</v>
      </c>
      <c r="J2068" t="s">
        <v>15</v>
      </c>
      <c r="K2068">
        <v>2</v>
      </c>
      <c r="L2068">
        <v>1.7310000000000001</v>
      </c>
      <c r="M2068">
        <v>0</v>
      </c>
      <c r="N2068" t="s">
        <v>10019</v>
      </c>
      <c r="O2068" t="str">
        <f>HYPERLINK("2\1\marker_578_797272.png", "Ver Imagen")</f>
        <v>Ver Imagen</v>
      </c>
      <c r="P2068" t="str">
        <f>HYPERLINK("NO\A-499\A-499__261.png", "Ver Imagen")</f>
        <v>Ver Imagen</v>
      </c>
    </row>
    <row r="2069" spans="1:16" x14ac:dyDescent="0.25">
      <c r="A2069">
        <v>1510</v>
      </c>
      <c r="B2069" t="s">
        <v>3032</v>
      </c>
      <c r="C2069">
        <v>37.270449855599999</v>
      </c>
      <c r="D2069">
        <v>-6.9806045329200002</v>
      </c>
      <c r="E2069">
        <v>2</v>
      </c>
      <c r="F2069">
        <v>3</v>
      </c>
      <c r="G2069">
        <v>2</v>
      </c>
      <c r="J2069" t="s">
        <v>15</v>
      </c>
      <c r="K2069">
        <v>2</v>
      </c>
      <c r="L2069">
        <v>1.9430000000000001</v>
      </c>
      <c r="M2069">
        <v>0</v>
      </c>
      <c r="N2069" t="s">
        <v>10019</v>
      </c>
      <c r="O2069" t="str">
        <f>HYPERLINK("2\1\marker_859_655358.png", "Ver Imagen")</f>
        <v>Ver Imagen</v>
      </c>
      <c r="P2069" t="str">
        <f>HYPERLINK("SE\A-497_2C\A-497_2C__95.png", "Ver Imagen")</f>
        <v>Ver Imagen</v>
      </c>
    </row>
    <row r="2070" spans="1:16" x14ac:dyDescent="0.25">
      <c r="A2070">
        <v>1512</v>
      </c>
      <c r="B2070" t="s">
        <v>3036</v>
      </c>
      <c r="C2070">
        <v>37.271603323100003</v>
      </c>
      <c r="D2070">
        <v>-6.9878917744700004</v>
      </c>
      <c r="E2070">
        <v>2</v>
      </c>
      <c r="F2070">
        <v>3</v>
      </c>
      <c r="G2070">
        <v>2</v>
      </c>
      <c r="J2070" t="s">
        <v>15</v>
      </c>
      <c r="K2070">
        <v>2</v>
      </c>
      <c r="L2070">
        <v>1.9710000000000001</v>
      </c>
      <c r="M2070">
        <v>0</v>
      </c>
      <c r="N2070" t="s">
        <v>10019</v>
      </c>
      <c r="O2070" t="str">
        <f>HYPERLINK("2\1\marker_308_655723.png", "Ver Imagen")</f>
        <v>Ver Imagen</v>
      </c>
      <c r="P2070" t="str">
        <f>HYPERLINK("SE\A-497_2C\A-497_2C__125.png", "Ver Imagen")</f>
        <v>Ver Imagen</v>
      </c>
    </row>
    <row r="2071" spans="1:16" x14ac:dyDescent="0.25">
      <c r="A2071">
        <v>1513</v>
      </c>
      <c r="B2071" t="s">
        <v>3038</v>
      </c>
      <c r="C2071">
        <v>37.271497698799998</v>
      </c>
      <c r="D2071">
        <v>-6.9881350723400004</v>
      </c>
      <c r="E2071">
        <v>2</v>
      </c>
      <c r="F2071">
        <v>1</v>
      </c>
      <c r="G2071">
        <v>2</v>
      </c>
      <c r="J2071" t="s">
        <v>15</v>
      </c>
      <c r="K2071">
        <v>2</v>
      </c>
      <c r="L2071">
        <v>1.9730000000000001</v>
      </c>
      <c r="M2071">
        <v>0</v>
      </c>
      <c r="N2071" t="s">
        <v>10019</v>
      </c>
      <c r="O2071" t="str">
        <f>HYPERLINK("2\1\marker_118_655733.png", "Ver Imagen")</f>
        <v>Ver Imagen</v>
      </c>
      <c r="P2071" t="str">
        <f>HYPERLINK("SE\A-497_2C\A-497_2C__126.png", "Ver Imagen")</f>
        <v>Ver Imagen</v>
      </c>
    </row>
    <row r="2072" spans="1:16" x14ac:dyDescent="0.25">
      <c r="A2072">
        <v>1515</v>
      </c>
      <c r="B2072" t="s">
        <v>3042</v>
      </c>
      <c r="C2072">
        <v>37.267473002899997</v>
      </c>
      <c r="D2072">
        <v>-6.99145427812</v>
      </c>
      <c r="E2072">
        <v>2</v>
      </c>
      <c r="F2072">
        <v>3</v>
      </c>
      <c r="G2072">
        <v>2</v>
      </c>
      <c r="J2072" t="s">
        <v>15</v>
      </c>
      <c r="K2072">
        <v>2</v>
      </c>
      <c r="L2072">
        <v>1.952</v>
      </c>
      <c r="M2072">
        <v>0</v>
      </c>
      <c r="N2072" t="s">
        <v>10019</v>
      </c>
      <c r="O2072" t="str">
        <f>HYPERLINK("2\1\marker_850_656002.png", "Ver Imagen")</f>
        <v>Ver Imagen</v>
      </c>
      <c r="P2072" t="str">
        <f>HYPERLINK("SE\A-497_2C\A-497_2C__150.png", "Ver Imagen")</f>
        <v>Ver Imagen</v>
      </c>
    </row>
    <row r="2073" spans="1:16" x14ac:dyDescent="0.25">
      <c r="A2073">
        <v>1516</v>
      </c>
      <c r="B2073" t="s">
        <v>3044</v>
      </c>
      <c r="C2073">
        <v>37.266465398400001</v>
      </c>
      <c r="D2073">
        <v>-6.9926540891900002</v>
      </c>
      <c r="E2073">
        <v>2</v>
      </c>
      <c r="F2073">
        <v>3</v>
      </c>
      <c r="G2073">
        <v>2</v>
      </c>
      <c r="J2073" t="s">
        <v>15</v>
      </c>
      <c r="K2073">
        <v>2</v>
      </c>
      <c r="L2073">
        <v>1.9450000000000001</v>
      </c>
      <c r="M2073">
        <v>0</v>
      </c>
      <c r="N2073" t="s">
        <v>10019</v>
      </c>
      <c r="O2073" t="str">
        <f>HYPERLINK("2\1\marker_135_656076.png", "Ver Imagen")</f>
        <v>Ver Imagen</v>
      </c>
      <c r="P2073" t="str">
        <f>HYPERLINK("SE\A-497_2C\A-497_2C__157.png", "Ver Imagen")</f>
        <v>Ver Imagen</v>
      </c>
    </row>
    <row r="2074" spans="1:16" x14ac:dyDescent="0.25">
      <c r="A2074">
        <v>1517</v>
      </c>
      <c r="B2074" t="s">
        <v>3046</v>
      </c>
      <c r="C2074">
        <v>37.190145811999997</v>
      </c>
      <c r="D2074">
        <v>-6.9779192341799998</v>
      </c>
      <c r="E2074">
        <v>2</v>
      </c>
      <c r="F2074">
        <v>3</v>
      </c>
      <c r="G2074">
        <v>2</v>
      </c>
      <c r="J2074" t="s">
        <v>15</v>
      </c>
      <c r="K2074">
        <v>2</v>
      </c>
      <c r="L2074">
        <v>1.879</v>
      </c>
      <c r="M2074">
        <v>0</v>
      </c>
      <c r="N2074" t="s">
        <v>10019</v>
      </c>
      <c r="O2074" t="str">
        <f>HYPERLINK("2\1\marker_864_368904.png", "Ver Imagen")</f>
        <v>Ver Imagen</v>
      </c>
      <c r="P2074" t="str">
        <f>HYPERLINK("SE\A-497\A-497__734.png", "Ver Imagen")</f>
        <v>Ver Imagen</v>
      </c>
    </row>
    <row r="2075" spans="1:16" x14ac:dyDescent="0.25">
      <c r="A2075">
        <v>1518</v>
      </c>
      <c r="B2075" t="s">
        <v>3048</v>
      </c>
      <c r="C2075">
        <v>37.190756083099998</v>
      </c>
      <c r="D2075">
        <v>-6.9777640414700004</v>
      </c>
      <c r="E2075">
        <v>2</v>
      </c>
      <c r="F2075">
        <v>3</v>
      </c>
      <c r="G2075">
        <v>2</v>
      </c>
      <c r="J2075" t="s">
        <v>15</v>
      </c>
      <c r="K2075">
        <v>2</v>
      </c>
      <c r="L2075">
        <v>1.921</v>
      </c>
      <c r="M2075">
        <v>0</v>
      </c>
      <c r="N2075" t="s">
        <v>10019</v>
      </c>
      <c r="O2075" t="str">
        <f>HYPERLINK("2\1\marker_988_368936.png", "Ver Imagen")</f>
        <v>Ver Imagen</v>
      </c>
      <c r="P2075" t="str">
        <f>HYPERLINK("SE\A-497\A-497__731.png", "Ver Imagen")</f>
        <v>Ver Imagen</v>
      </c>
    </row>
    <row r="2076" spans="1:16" x14ac:dyDescent="0.25">
      <c r="A2076">
        <v>1520</v>
      </c>
      <c r="B2076" t="s">
        <v>3052</v>
      </c>
      <c r="C2076">
        <v>37.265608867200001</v>
      </c>
      <c r="D2076">
        <v>-6.9954643936599998</v>
      </c>
      <c r="E2076">
        <v>2</v>
      </c>
      <c r="F2076">
        <v>2</v>
      </c>
      <c r="G2076">
        <v>1</v>
      </c>
      <c r="J2076" t="s">
        <v>15</v>
      </c>
      <c r="K2076">
        <v>2</v>
      </c>
      <c r="L2076">
        <v>1.877</v>
      </c>
      <c r="M2076">
        <v>0</v>
      </c>
      <c r="N2076" t="s">
        <v>10019</v>
      </c>
      <c r="O2076" t="str">
        <f>HYPERLINK("2\1\marker_320_656190.png", "Ver Imagen")</f>
        <v>Ver Imagen</v>
      </c>
      <c r="P2076" t="str">
        <f>HYPERLINK("SE\A-497_2C\A-497_2C__169.png", "Ver Imagen")</f>
        <v>Ver Imagen</v>
      </c>
    </row>
    <row r="2077" spans="1:16" x14ac:dyDescent="0.25">
      <c r="A2077">
        <v>1521</v>
      </c>
      <c r="B2077" t="s">
        <v>3054</v>
      </c>
      <c r="C2077">
        <v>37.197099102000003</v>
      </c>
      <c r="D2077">
        <v>-6.9793245497000003</v>
      </c>
      <c r="E2077">
        <v>2</v>
      </c>
      <c r="F2077">
        <v>3</v>
      </c>
      <c r="G2077">
        <v>2</v>
      </c>
      <c r="J2077" t="s">
        <v>15</v>
      </c>
      <c r="K2077">
        <v>2</v>
      </c>
      <c r="L2077">
        <v>2.09</v>
      </c>
      <c r="M2077">
        <v>0</v>
      </c>
      <c r="N2077" t="s">
        <v>10019</v>
      </c>
      <c r="O2077" t="str">
        <f>HYPERLINK("2\1\marker_606_370397.png", "Ver Imagen")</f>
        <v>Ver Imagen</v>
      </c>
      <c r="P2077" t="str">
        <f>HYPERLINK("SE\A-497\A-497__698.png", "Ver Imagen")</f>
        <v>Ver Imagen</v>
      </c>
    </row>
    <row r="2078" spans="1:16" x14ac:dyDescent="0.25">
      <c r="A2078">
        <v>1522</v>
      </c>
      <c r="B2078" t="s">
        <v>3056</v>
      </c>
      <c r="C2078">
        <v>37.199202559500002</v>
      </c>
      <c r="D2078">
        <v>-6.9829697037500003</v>
      </c>
      <c r="E2078">
        <v>2</v>
      </c>
      <c r="F2078">
        <v>3</v>
      </c>
      <c r="G2078">
        <v>2</v>
      </c>
      <c r="J2078" t="s">
        <v>15</v>
      </c>
      <c r="K2078">
        <v>2</v>
      </c>
      <c r="L2078">
        <v>2.173</v>
      </c>
      <c r="M2078">
        <v>0</v>
      </c>
      <c r="N2078" t="s">
        <v>10018</v>
      </c>
      <c r="O2078" t="str">
        <f>HYPERLINK("2\1\marker_910_370574.png", "Ver Imagen")</f>
        <v>Ver Imagen</v>
      </c>
      <c r="P2078" t="str">
        <f>HYPERLINK("SE\A-497\A-497__680.png", "Ver Imagen")</f>
        <v>Ver Imagen</v>
      </c>
    </row>
    <row r="2079" spans="1:16" x14ac:dyDescent="0.25">
      <c r="A2079">
        <v>1523</v>
      </c>
      <c r="B2079" t="s">
        <v>3058</v>
      </c>
      <c r="C2079">
        <v>37.199683385699998</v>
      </c>
      <c r="D2079">
        <v>-6.9846050096600001</v>
      </c>
      <c r="E2079">
        <v>2</v>
      </c>
      <c r="F2079">
        <v>3</v>
      </c>
      <c r="G2079">
        <v>2</v>
      </c>
      <c r="J2079" t="s">
        <v>15</v>
      </c>
      <c r="K2079">
        <v>2</v>
      </c>
      <c r="L2079">
        <v>2.0779999999999998</v>
      </c>
      <c r="M2079">
        <v>0</v>
      </c>
      <c r="N2079" t="s">
        <v>10019</v>
      </c>
      <c r="O2079" t="str">
        <f>HYPERLINK("2\1\marker_916_370997.png", "Ver Imagen")</f>
        <v>Ver Imagen</v>
      </c>
      <c r="P2079" t="str">
        <f>HYPERLINK("SE\A-497\A-497__673.png", "Ver Imagen")</f>
        <v>Ver Imagen</v>
      </c>
    </row>
    <row r="2080" spans="1:16" x14ac:dyDescent="0.25">
      <c r="A2080">
        <v>1524</v>
      </c>
      <c r="B2080" t="s">
        <v>3060</v>
      </c>
      <c r="C2080">
        <v>37.261312704700003</v>
      </c>
      <c r="D2080">
        <v>-7.01086094361</v>
      </c>
      <c r="E2080">
        <v>2</v>
      </c>
      <c r="F2080">
        <v>3</v>
      </c>
      <c r="G2080">
        <v>2</v>
      </c>
      <c r="J2080" t="s">
        <v>15</v>
      </c>
      <c r="K2080">
        <v>2</v>
      </c>
      <c r="L2080">
        <v>1.766</v>
      </c>
      <c r="M2080">
        <v>0</v>
      </c>
      <c r="N2080" t="s">
        <v>10019</v>
      </c>
      <c r="O2080" t="str">
        <f>HYPERLINK("2\1\marker_549_656925.png", "Ver Imagen")</f>
        <v>Ver Imagen</v>
      </c>
      <c r="P2080" t="str">
        <f>HYPERLINK("SE\A-497_2C\A-497_2C__235.png", "Ver Imagen")</f>
        <v>Ver Imagen</v>
      </c>
    </row>
    <row r="2081" spans="1:16" x14ac:dyDescent="0.25">
      <c r="A2081">
        <v>1525</v>
      </c>
      <c r="B2081" t="s">
        <v>3062</v>
      </c>
      <c r="C2081">
        <v>37.2608049822</v>
      </c>
      <c r="D2081">
        <v>-7.0111965198800004</v>
      </c>
      <c r="E2081">
        <v>2</v>
      </c>
      <c r="F2081">
        <v>1</v>
      </c>
      <c r="G2081">
        <v>2</v>
      </c>
      <c r="J2081" t="s">
        <v>15</v>
      </c>
      <c r="K2081">
        <v>2</v>
      </c>
      <c r="L2081">
        <v>2.38</v>
      </c>
      <c r="M2081">
        <v>0</v>
      </c>
      <c r="N2081" t="s">
        <v>10019</v>
      </c>
      <c r="O2081" t="str">
        <f>HYPERLINK("2\1\marker_106_656972.png", "Ver Imagen")</f>
        <v>Ver Imagen</v>
      </c>
      <c r="P2081" t="str">
        <f>HYPERLINK("SE\A-497_2C\A-497_2C__238.png", "Ver Imagen")</f>
        <v>Ver Imagen</v>
      </c>
    </row>
    <row r="2082" spans="1:16" x14ac:dyDescent="0.25">
      <c r="A2082">
        <v>1526</v>
      </c>
      <c r="B2082" t="s">
        <v>3064</v>
      </c>
      <c r="C2082">
        <v>37.260426988100001</v>
      </c>
      <c r="D2082">
        <v>-7.0114368331200003</v>
      </c>
      <c r="E2082">
        <v>2</v>
      </c>
      <c r="F2082">
        <v>3</v>
      </c>
      <c r="G2082">
        <v>2</v>
      </c>
      <c r="J2082" t="s">
        <v>15</v>
      </c>
      <c r="K2082">
        <v>2</v>
      </c>
      <c r="L2082">
        <v>2.1019999999999999</v>
      </c>
      <c r="M2082">
        <v>0</v>
      </c>
      <c r="N2082" t="s">
        <v>10019</v>
      </c>
      <c r="O2082" t="str">
        <f>HYPERLINK("2\1\marker_938_657027.png", "Ver Imagen")</f>
        <v>Ver Imagen</v>
      </c>
      <c r="P2082" t="str">
        <f>HYPERLINK("SE\A-497_2C\A-497_2C__240.png", "Ver Imagen")</f>
        <v>Ver Imagen</v>
      </c>
    </row>
    <row r="2083" spans="1:16" x14ac:dyDescent="0.25">
      <c r="A2083">
        <v>1528</v>
      </c>
      <c r="B2083" t="s">
        <v>3068</v>
      </c>
      <c r="C2083">
        <v>37.258779357599998</v>
      </c>
      <c r="D2083">
        <v>-7.0124854473599996</v>
      </c>
      <c r="E2083">
        <v>2</v>
      </c>
      <c r="F2083">
        <v>3</v>
      </c>
      <c r="G2083">
        <v>2</v>
      </c>
      <c r="J2083" t="s">
        <v>15</v>
      </c>
      <c r="K2083">
        <v>2</v>
      </c>
      <c r="L2083">
        <v>2.0990000000000002</v>
      </c>
      <c r="M2083">
        <v>0</v>
      </c>
      <c r="N2083" t="s">
        <v>10019</v>
      </c>
      <c r="O2083" t="str">
        <f>HYPERLINK("2\1\marker_825_319392.png", "Ver Imagen")</f>
        <v>Ver Imagen</v>
      </c>
      <c r="P2083" t="str">
        <f>HYPERLINK("SE\A-497_2C\A-497_2C__249.png", "Ver Imagen")</f>
        <v>Ver Imagen</v>
      </c>
    </row>
    <row r="2084" spans="1:16" x14ac:dyDescent="0.25">
      <c r="A2084">
        <v>1529</v>
      </c>
      <c r="B2084" t="s">
        <v>3070</v>
      </c>
      <c r="C2084">
        <v>37.255884079700003</v>
      </c>
      <c r="D2084">
        <v>-7.0143239745899999</v>
      </c>
      <c r="E2084">
        <v>2</v>
      </c>
      <c r="F2084">
        <v>2</v>
      </c>
      <c r="G2084">
        <v>3</v>
      </c>
      <c r="J2084" t="s">
        <v>15</v>
      </c>
      <c r="K2084">
        <v>2</v>
      </c>
      <c r="L2084">
        <v>2.4569999999999999</v>
      </c>
      <c r="M2084">
        <v>0</v>
      </c>
      <c r="N2084" t="s">
        <v>10017</v>
      </c>
      <c r="O2084" t="str">
        <f>HYPERLINK("2\1\marker_555_319678.png", "Ver Imagen")</f>
        <v>Ver Imagen</v>
      </c>
      <c r="P2084" t="str">
        <f>HYPERLINK("SE\A-497_2C\A-497_2C__265.png", "Ver Imagen")</f>
        <v>Ver Imagen</v>
      </c>
    </row>
    <row r="2085" spans="1:16" x14ac:dyDescent="0.25">
      <c r="A2085">
        <v>1531</v>
      </c>
      <c r="B2085" t="s">
        <v>3074</v>
      </c>
      <c r="C2085">
        <v>37.248902350199998</v>
      </c>
      <c r="D2085">
        <v>-7.0183163338299996</v>
      </c>
      <c r="E2085">
        <v>2</v>
      </c>
      <c r="F2085">
        <v>3</v>
      </c>
      <c r="G2085">
        <v>2</v>
      </c>
      <c r="J2085" t="s">
        <v>15</v>
      </c>
      <c r="K2085">
        <v>2</v>
      </c>
      <c r="L2085">
        <v>1.5309999999999999</v>
      </c>
      <c r="M2085">
        <v>0</v>
      </c>
      <c r="N2085" t="s">
        <v>10019</v>
      </c>
      <c r="O2085" t="str">
        <f>HYPERLINK("2\1\marker_653_320200.png", "Ver Imagen")</f>
        <v>Ver Imagen</v>
      </c>
      <c r="P2085" t="str">
        <f>HYPERLINK("SE\A-497_2C\A-497_2C__303.png", "Ver Imagen")</f>
        <v>Ver Imagen</v>
      </c>
    </row>
    <row r="2086" spans="1:16" x14ac:dyDescent="0.25">
      <c r="A2086">
        <v>1532</v>
      </c>
      <c r="B2086" t="s">
        <v>3076</v>
      </c>
      <c r="C2086">
        <v>37.2460862342</v>
      </c>
      <c r="D2086">
        <v>-7.0184486582499996</v>
      </c>
      <c r="E2086">
        <v>2</v>
      </c>
      <c r="F2086">
        <v>3</v>
      </c>
      <c r="G2086">
        <v>2</v>
      </c>
      <c r="J2086" t="s">
        <v>15</v>
      </c>
      <c r="K2086">
        <v>2</v>
      </c>
      <c r="L2086">
        <v>2.089</v>
      </c>
      <c r="M2086">
        <v>0</v>
      </c>
      <c r="N2086" t="s">
        <v>10019</v>
      </c>
      <c r="O2086" t="str">
        <f>HYPERLINK("2\1\marker_356_361898.png", "Ver Imagen")</f>
        <v>Ver Imagen</v>
      </c>
      <c r="P2086" t="str">
        <f>HYPERLINK("SE\A-497_2C\A-497_2C__317.png", "Ver Imagen")</f>
        <v>Ver Imagen</v>
      </c>
    </row>
    <row r="2087" spans="1:16" x14ac:dyDescent="0.25">
      <c r="A2087">
        <v>1533</v>
      </c>
      <c r="B2087" t="s">
        <v>3078</v>
      </c>
      <c r="C2087">
        <v>37.227892165599997</v>
      </c>
      <c r="D2087">
        <v>-7.0220638217999998</v>
      </c>
      <c r="E2087">
        <v>2</v>
      </c>
      <c r="F2087">
        <v>1</v>
      </c>
      <c r="G2087">
        <v>2</v>
      </c>
      <c r="J2087" t="s">
        <v>15</v>
      </c>
      <c r="K2087">
        <v>2</v>
      </c>
      <c r="L2087">
        <v>2.1349999999999998</v>
      </c>
      <c r="M2087">
        <v>0</v>
      </c>
      <c r="N2087" t="s">
        <v>10018</v>
      </c>
      <c r="O2087" t="str">
        <f>HYPERLINK("2\1\marker_525_363018.png", "Ver Imagen")</f>
        <v>Ver Imagen</v>
      </c>
      <c r="P2087" t="str">
        <f>HYPERLINK("SE\A-497_2C\A-497_2C__411.png", "Ver Imagen")</f>
        <v>Ver Imagen</v>
      </c>
    </row>
    <row r="2088" spans="1:16" x14ac:dyDescent="0.25">
      <c r="A2088">
        <v>1534</v>
      </c>
      <c r="B2088" t="s">
        <v>3080</v>
      </c>
      <c r="C2088">
        <v>37.226129264599997</v>
      </c>
      <c r="D2088">
        <v>-7.0231504078600002</v>
      </c>
      <c r="E2088">
        <v>2</v>
      </c>
      <c r="F2088">
        <v>1</v>
      </c>
      <c r="G2088">
        <v>2</v>
      </c>
      <c r="J2088" t="s">
        <v>15</v>
      </c>
      <c r="K2088">
        <v>2</v>
      </c>
      <c r="L2088">
        <v>2.286</v>
      </c>
      <c r="M2088">
        <v>0</v>
      </c>
      <c r="N2088" t="s">
        <v>10017</v>
      </c>
      <c r="O2088" t="str">
        <f>HYPERLINK("2\1\marker_871_363122.png", "Ver Imagen")</f>
        <v>Ver Imagen</v>
      </c>
      <c r="P2088" t="str">
        <f>HYPERLINK("SE\A-497_2C\A-497_2C__421.png", "Ver Imagen")</f>
        <v>Ver Imagen</v>
      </c>
    </row>
    <row r="2089" spans="1:16" x14ac:dyDescent="0.25">
      <c r="A2089">
        <v>1535</v>
      </c>
      <c r="B2089" t="s">
        <v>3082</v>
      </c>
      <c r="C2089">
        <v>37.225880216</v>
      </c>
      <c r="D2089">
        <v>-7.0232344235599999</v>
      </c>
      <c r="E2089">
        <v>2</v>
      </c>
      <c r="F2089">
        <v>1</v>
      </c>
      <c r="G2089">
        <v>2</v>
      </c>
      <c r="J2089" t="s">
        <v>15</v>
      </c>
      <c r="K2089">
        <v>2</v>
      </c>
      <c r="L2089">
        <v>2.0019999999999998</v>
      </c>
      <c r="M2089">
        <v>0</v>
      </c>
      <c r="N2089" t="s">
        <v>10019</v>
      </c>
      <c r="O2089" t="str">
        <f>HYPERLINK("2\1\marker_579_363132.png", "Ver Imagen")</f>
        <v>Ver Imagen</v>
      </c>
      <c r="P2089" t="str">
        <f>HYPERLINK("SE\A-497_2C\A-497_2C__422.png", "Ver Imagen")</f>
        <v>Ver Imagen</v>
      </c>
    </row>
    <row r="2090" spans="1:16" x14ac:dyDescent="0.25">
      <c r="A2090">
        <v>1536</v>
      </c>
      <c r="B2090" t="s">
        <v>3084</v>
      </c>
      <c r="C2090">
        <v>37.214583350700003</v>
      </c>
      <c r="D2090">
        <v>-7.0234866490399996</v>
      </c>
      <c r="E2090">
        <v>2</v>
      </c>
      <c r="F2090">
        <v>1</v>
      </c>
      <c r="G2090">
        <v>2</v>
      </c>
      <c r="J2090" t="s">
        <v>15</v>
      </c>
      <c r="K2090">
        <v>2</v>
      </c>
      <c r="L2090">
        <v>2.0089999999999999</v>
      </c>
      <c r="M2090">
        <v>0</v>
      </c>
      <c r="N2090" t="s">
        <v>10019</v>
      </c>
      <c r="O2090" t="str">
        <f>HYPERLINK("2\1\marker_842_376270.png", "Ver Imagen")</f>
        <v>Ver Imagen</v>
      </c>
      <c r="P2090" t="str">
        <f>HYPERLINK("SE\A-497\A-497__483.png", "Ver Imagen")</f>
        <v>Ver Imagen</v>
      </c>
    </row>
    <row r="2091" spans="1:16" x14ac:dyDescent="0.25">
      <c r="A2091">
        <v>1537</v>
      </c>
      <c r="B2091" t="s">
        <v>3086</v>
      </c>
      <c r="C2091">
        <v>37.214955935799999</v>
      </c>
      <c r="D2091">
        <v>-7.0234187555499998</v>
      </c>
      <c r="E2091">
        <v>2</v>
      </c>
      <c r="F2091">
        <v>3</v>
      </c>
      <c r="G2091">
        <v>2</v>
      </c>
      <c r="J2091" t="s">
        <v>15</v>
      </c>
      <c r="K2091">
        <v>2</v>
      </c>
      <c r="L2091">
        <v>1.966</v>
      </c>
      <c r="M2091">
        <v>0</v>
      </c>
      <c r="N2091" t="s">
        <v>10019</v>
      </c>
      <c r="O2091" t="str">
        <f>HYPERLINK("2\1\marker_601_376296.png", "Ver Imagen")</f>
        <v>Ver Imagen</v>
      </c>
      <c r="P2091" t="str">
        <f>HYPERLINK("SE\A-497\A-497__481.png", "Ver Imagen")</f>
        <v>Ver Imagen</v>
      </c>
    </row>
    <row r="2092" spans="1:16" x14ac:dyDescent="0.25">
      <c r="A2092">
        <v>1538</v>
      </c>
      <c r="B2092" t="s">
        <v>3088</v>
      </c>
      <c r="C2092">
        <v>37.2246506838</v>
      </c>
      <c r="D2092">
        <v>-7.0233908913700001</v>
      </c>
      <c r="E2092">
        <v>2</v>
      </c>
      <c r="F2092">
        <v>3</v>
      </c>
      <c r="G2092">
        <v>2</v>
      </c>
      <c r="J2092" t="s">
        <v>15</v>
      </c>
      <c r="K2092">
        <v>2</v>
      </c>
      <c r="L2092">
        <v>2.4449999999999998</v>
      </c>
      <c r="M2092">
        <v>0</v>
      </c>
      <c r="N2092" t="s">
        <v>10019</v>
      </c>
      <c r="O2092" t="str">
        <f>HYPERLINK("2\1\marker_351_363189.png", "Ver Imagen")</f>
        <v>Ver Imagen</v>
      </c>
      <c r="P2092" t="str">
        <f>HYPERLINK("SE\A-497_2C\A-497_2C__428.png", "Ver Imagen")</f>
        <v>Ver Imagen</v>
      </c>
    </row>
    <row r="2093" spans="1:16" x14ac:dyDescent="0.25">
      <c r="A2093">
        <v>1539</v>
      </c>
      <c r="B2093" t="s">
        <v>3090</v>
      </c>
      <c r="C2093">
        <v>37.223051280900002</v>
      </c>
      <c r="D2093">
        <v>-7.0232535840399999</v>
      </c>
      <c r="E2093">
        <v>2</v>
      </c>
      <c r="F2093">
        <v>1</v>
      </c>
      <c r="G2093">
        <v>2</v>
      </c>
      <c r="J2093" t="s">
        <v>15</v>
      </c>
      <c r="K2093">
        <v>2</v>
      </c>
      <c r="L2093">
        <v>2.177</v>
      </c>
      <c r="M2093">
        <v>0</v>
      </c>
      <c r="N2093" t="s">
        <v>10019</v>
      </c>
      <c r="O2093" t="str">
        <f>HYPERLINK("2\1\marker_200_363268.png", "Ver Imagen")</f>
        <v>Ver Imagen</v>
      </c>
      <c r="P2093" t="str">
        <f>HYPERLINK("SE\A-497_2C\A-497_2C__436.png", "Ver Imagen")</f>
        <v>Ver Imagen</v>
      </c>
    </row>
    <row r="2094" spans="1:16" x14ac:dyDescent="0.25">
      <c r="A2094">
        <v>1540</v>
      </c>
      <c r="B2094" t="s">
        <v>3092</v>
      </c>
      <c r="C2094">
        <v>37.2181927114</v>
      </c>
      <c r="D2094">
        <v>-7.0228521406500004</v>
      </c>
      <c r="E2094">
        <v>2</v>
      </c>
      <c r="F2094">
        <v>1</v>
      </c>
      <c r="G2094">
        <v>2</v>
      </c>
      <c r="J2094" t="s">
        <v>15</v>
      </c>
      <c r="K2094">
        <v>2</v>
      </c>
      <c r="L2094">
        <v>2.3969999999999998</v>
      </c>
      <c r="M2094">
        <v>0</v>
      </c>
      <c r="N2094" t="s">
        <v>10018</v>
      </c>
      <c r="O2094" t="str">
        <f>HYPERLINK("2\1\marker_848_376522.png", "Ver Imagen")</f>
        <v>Ver Imagen</v>
      </c>
      <c r="P2094" t="str">
        <f>HYPERLINK("SE\A-497\A-497__465.png", "Ver Imagen")</f>
        <v>Ver Imagen</v>
      </c>
    </row>
    <row r="2095" spans="1:16" x14ac:dyDescent="0.25">
      <c r="A2095">
        <v>1541</v>
      </c>
      <c r="B2095" t="s">
        <v>3094</v>
      </c>
      <c r="C2095">
        <v>37.218939175899997</v>
      </c>
      <c r="D2095">
        <v>-7.0227791108300002</v>
      </c>
      <c r="E2095">
        <v>2</v>
      </c>
      <c r="F2095">
        <v>3</v>
      </c>
      <c r="G2095">
        <v>2</v>
      </c>
      <c r="J2095" t="s">
        <v>15</v>
      </c>
      <c r="K2095">
        <v>2</v>
      </c>
      <c r="L2095">
        <v>2.1190000000000002</v>
      </c>
      <c r="M2095">
        <v>0</v>
      </c>
      <c r="N2095" t="s">
        <v>10019</v>
      </c>
      <c r="O2095" t="str">
        <f>HYPERLINK("2\1\marker_416_376557.png", "Ver Imagen")</f>
        <v>Ver Imagen</v>
      </c>
      <c r="P2095" t="str">
        <f>HYPERLINK("SE\A-497\A-497__461.png", "Ver Imagen")</f>
        <v>Ver Imagen</v>
      </c>
    </row>
    <row r="2096" spans="1:16" x14ac:dyDescent="0.25">
      <c r="A2096">
        <v>1542</v>
      </c>
      <c r="B2096" t="s">
        <v>3096</v>
      </c>
      <c r="C2096">
        <v>37.219615563700003</v>
      </c>
      <c r="D2096">
        <v>-7.0227688114999998</v>
      </c>
      <c r="E2096">
        <v>2</v>
      </c>
      <c r="F2096">
        <v>1</v>
      </c>
      <c r="G2096">
        <v>2</v>
      </c>
      <c r="J2096" t="s">
        <v>15</v>
      </c>
      <c r="K2096">
        <v>2</v>
      </c>
      <c r="L2096">
        <v>2.2120000000000002</v>
      </c>
      <c r="M2096">
        <v>0</v>
      </c>
      <c r="N2096" t="s">
        <v>10019</v>
      </c>
      <c r="O2096" t="str">
        <f>HYPERLINK("2\1\marker_106_376594.png", "Ver Imagen")</f>
        <v>Ver Imagen</v>
      </c>
      <c r="P2096" t="str">
        <f>HYPERLINK("SE\A-497\A-497__458.png", "Ver Imagen")</f>
        <v>Ver Imagen</v>
      </c>
    </row>
    <row r="2097" spans="1:16" x14ac:dyDescent="0.25">
      <c r="A2097">
        <v>1543</v>
      </c>
      <c r="B2097" t="s">
        <v>3098</v>
      </c>
      <c r="C2097">
        <v>37.209981799600001</v>
      </c>
      <c r="D2097">
        <v>-7.0237117664099999</v>
      </c>
      <c r="E2097">
        <v>2</v>
      </c>
      <c r="F2097">
        <v>1</v>
      </c>
      <c r="G2097">
        <v>2</v>
      </c>
      <c r="J2097" t="s">
        <v>15</v>
      </c>
      <c r="K2097">
        <v>2</v>
      </c>
      <c r="L2097">
        <v>2.4289999999999998</v>
      </c>
      <c r="M2097">
        <v>0</v>
      </c>
      <c r="N2097" t="s">
        <v>10017</v>
      </c>
      <c r="O2097" t="str">
        <f>HYPERLINK("2\1\marker_822_364073.png", "Ver Imagen")</f>
        <v>Ver Imagen</v>
      </c>
      <c r="P2097" t="str">
        <f>HYPERLINK("SE\A-497_2C\A-497_2C__501.png", "Ver Imagen")</f>
        <v>Ver Imagen</v>
      </c>
    </row>
    <row r="2098" spans="1:16" x14ac:dyDescent="0.25">
      <c r="A2098">
        <v>1544</v>
      </c>
      <c r="B2098" t="s">
        <v>3100</v>
      </c>
      <c r="C2098">
        <v>37.208512837000001</v>
      </c>
      <c r="D2098">
        <v>-7.0229202472500001</v>
      </c>
      <c r="E2098">
        <v>2</v>
      </c>
      <c r="F2098">
        <v>1</v>
      </c>
      <c r="G2098">
        <v>2</v>
      </c>
      <c r="J2098" t="s">
        <v>15</v>
      </c>
      <c r="K2098">
        <v>2</v>
      </c>
      <c r="L2098">
        <v>2.048</v>
      </c>
      <c r="M2098">
        <v>0</v>
      </c>
      <c r="N2098" t="s">
        <v>10019</v>
      </c>
      <c r="O2098" t="str">
        <f>HYPERLINK("2\1\marker_682_364150.png", "Ver Imagen")</f>
        <v>Ver Imagen</v>
      </c>
      <c r="P2098" t="str">
        <f>HYPERLINK("SE\A-497_2C\A-497_2C__509.png", "Ver Imagen")</f>
        <v>Ver Imagen</v>
      </c>
    </row>
    <row r="2099" spans="1:16" x14ac:dyDescent="0.25">
      <c r="A2099">
        <v>1545</v>
      </c>
      <c r="B2099" t="s">
        <v>3102</v>
      </c>
      <c r="C2099">
        <v>37.208158373499998</v>
      </c>
      <c r="D2099">
        <v>-7.0226413964500001</v>
      </c>
      <c r="E2099">
        <v>2</v>
      </c>
      <c r="F2099">
        <v>3</v>
      </c>
      <c r="G2099">
        <v>2</v>
      </c>
      <c r="J2099" t="s">
        <v>15</v>
      </c>
      <c r="K2099">
        <v>2</v>
      </c>
      <c r="L2099">
        <v>2.02</v>
      </c>
      <c r="M2099">
        <v>0</v>
      </c>
      <c r="N2099" t="s">
        <v>10019</v>
      </c>
      <c r="O2099" t="str">
        <f>HYPERLINK("2\1\marker_490_364170.png", "Ver Imagen")</f>
        <v>Ver Imagen</v>
      </c>
      <c r="P2099" t="str">
        <f>HYPERLINK("SE\A-497_2C\A-497_2C__511.png", "Ver Imagen")</f>
        <v>Ver Imagen</v>
      </c>
    </row>
    <row r="2100" spans="1:16" x14ac:dyDescent="0.25">
      <c r="A2100">
        <v>1546</v>
      </c>
      <c r="B2100" t="s">
        <v>3104</v>
      </c>
      <c r="C2100">
        <v>37.206567417099997</v>
      </c>
      <c r="D2100">
        <v>-7.0207749802799997</v>
      </c>
      <c r="E2100">
        <v>2</v>
      </c>
      <c r="F2100">
        <v>3</v>
      </c>
      <c r="G2100">
        <v>2</v>
      </c>
      <c r="J2100" t="s">
        <v>15</v>
      </c>
      <c r="K2100">
        <v>2</v>
      </c>
      <c r="L2100">
        <v>1.9850000000000001</v>
      </c>
      <c r="M2100">
        <v>0</v>
      </c>
      <c r="N2100" t="s">
        <v>10019</v>
      </c>
      <c r="O2100" t="str">
        <f>HYPERLINK("2\1\marker_836_364295.png", "Ver Imagen")</f>
        <v>Ver Imagen</v>
      </c>
      <c r="P2100" t="str">
        <f>HYPERLINK("SE\A-497_2C\A-497_2C__522.png", "Ver Imagen")</f>
        <v>Ver Imagen</v>
      </c>
    </row>
    <row r="2101" spans="1:16" x14ac:dyDescent="0.25">
      <c r="A2101">
        <v>1547</v>
      </c>
      <c r="B2101" t="s">
        <v>3106</v>
      </c>
      <c r="C2101">
        <v>37.205977201700001</v>
      </c>
      <c r="D2101">
        <v>-7.0196257044500001</v>
      </c>
      <c r="E2101">
        <v>2</v>
      </c>
      <c r="F2101">
        <v>3</v>
      </c>
      <c r="G2101">
        <v>2</v>
      </c>
      <c r="J2101" t="s">
        <v>15</v>
      </c>
      <c r="K2101">
        <v>2</v>
      </c>
      <c r="L2101">
        <v>1.974</v>
      </c>
      <c r="M2101">
        <v>0</v>
      </c>
      <c r="N2101" t="s">
        <v>10019</v>
      </c>
      <c r="O2101" t="str">
        <f>HYPERLINK("2\1\marker_611_364408.png", "Ver Imagen")</f>
        <v>Ver Imagen</v>
      </c>
      <c r="P2101" t="str">
        <f>HYPERLINK("SE\A-497_2C\A-497_2C__527.png", "Ver Imagen")</f>
        <v>Ver Imagen</v>
      </c>
    </row>
    <row r="2102" spans="1:16" x14ac:dyDescent="0.25">
      <c r="A2102">
        <v>1548</v>
      </c>
      <c r="B2102" t="s">
        <v>3108</v>
      </c>
      <c r="C2102">
        <v>37.203587115600001</v>
      </c>
      <c r="D2102">
        <v>-7.00856779158</v>
      </c>
      <c r="E2102">
        <v>2</v>
      </c>
      <c r="F2102">
        <v>3</v>
      </c>
      <c r="G2102">
        <v>2</v>
      </c>
      <c r="J2102" t="s">
        <v>15</v>
      </c>
      <c r="K2102">
        <v>2</v>
      </c>
      <c r="L2102">
        <v>2.1669999999999998</v>
      </c>
      <c r="M2102">
        <v>0</v>
      </c>
      <c r="N2102" t="s">
        <v>10019</v>
      </c>
      <c r="O2102" t="str">
        <f>HYPERLINK("2\1\marker_666_366511.png", "Ver Imagen")</f>
        <v>Ver Imagen</v>
      </c>
      <c r="P2102" t="str">
        <f>HYPERLINK("SE\A-497_2C\A-497_2C__573.png", "Ver Imagen")</f>
        <v>Ver Imagen</v>
      </c>
    </row>
    <row r="2103" spans="1:16" x14ac:dyDescent="0.25">
      <c r="A2103">
        <v>1549</v>
      </c>
      <c r="B2103" t="s">
        <v>3110</v>
      </c>
      <c r="C2103">
        <v>37.201855701900001</v>
      </c>
      <c r="D2103">
        <v>-6.9955762942300002</v>
      </c>
      <c r="E2103">
        <v>2</v>
      </c>
      <c r="F2103">
        <v>3</v>
      </c>
      <c r="G2103">
        <v>2</v>
      </c>
      <c r="J2103" t="s">
        <v>15</v>
      </c>
      <c r="K2103">
        <v>2</v>
      </c>
      <c r="L2103">
        <v>2.0139999999999998</v>
      </c>
      <c r="M2103">
        <v>0</v>
      </c>
      <c r="N2103" t="s">
        <v>10017</v>
      </c>
      <c r="O2103" t="str">
        <f>HYPERLINK("2\1\marker_933_367034.png", "Ver Imagen")</f>
        <v>Ver Imagen</v>
      </c>
      <c r="P2103" t="str">
        <f>HYPERLINK("SE\A-497_2C\A-497_2C__625.png", "Ver Imagen")</f>
        <v>Ver Imagen</v>
      </c>
    </row>
    <row r="2104" spans="1:16" x14ac:dyDescent="0.25">
      <c r="A2104">
        <v>1550</v>
      </c>
      <c r="B2104" t="s">
        <v>3112</v>
      </c>
      <c r="C2104">
        <v>37.201430647499997</v>
      </c>
      <c r="D2104">
        <v>-6.9931255019599998</v>
      </c>
      <c r="E2104">
        <v>2</v>
      </c>
      <c r="F2104">
        <v>1</v>
      </c>
      <c r="G2104">
        <v>2</v>
      </c>
      <c r="J2104" t="s">
        <v>15</v>
      </c>
      <c r="K2104">
        <v>2</v>
      </c>
      <c r="L2104">
        <v>1.752</v>
      </c>
      <c r="M2104">
        <v>0</v>
      </c>
      <c r="N2104" t="s">
        <v>10019</v>
      </c>
      <c r="O2104" t="str">
        <f>HYPERLINK("2\1\marker_136_367130.png", "Ver Imagen")</f>
        <v>Ver Imagen</v>
      </c>
      <c r="P2104" t="str">
        <f>HYPERLINK("SE\A-497_2C\A-497_2C__635.png", "Ver Imagen")</f>
        <v>Ver Imagen</v>
      </c>
    </row>
    <row r="2105" spans="1:16" x14ac:dyDescent="0.25">
      <c r="A2105">
        <v>1551</v>
      </c>
      <c r="B2105" t="s">
        <v>3114</v>
      </c>
      <c r="C2105">
        <v>37.2013385399</v>
      </c>
      <c r="D2105">
        <v>-6.9926403905300001</v>
      </c>
      <c r="E2105">
        <v>2</v>
      </c>
      <c r="F2105">
        <v>3</v>
      </c>
      <c r="G2105">
        <v>2</v>
      </c>
      <c r="J2105" t="s">
        <v>15</v>
      </c>
      <c r="K2105">
        <v>2</v>
      </c>
      <c r="L2105">
        <v>2.1030000000000002</v>
      </c>
      <c r="M2105">
        <v>0</v>
      </c>
      <c r="N2105" t="s">
        <v>10019</v>
      </c>
      <c r="O2105" t="str">
        <f>HYPERLINK("2\1\marker_482_367149.png", "Ver Imagen")</f>
        <v>Ver Imagen</v>
      </c>
      <c r="P2105" t="str">
        <f>HYPERLINK("SE\A-497_2C\A-497_2C__637.png", "Ver Imagen")</f>
        <v>Ver Imagen</v>
      </c>
    </row>
    <row r="2106" spans="1:16" x14ac:dyDescent="0.25">
      <c r="A2106">
        <v>1552</v>
      </c>
      <c r="B2106" t="s">
        <v>3116</v>
      </c>
      <c r="C2106">
        <v>37.201238321399998</v>
      </c>
      <c r="D2106">
        <v>-6.9921214813599999</v>
      </c>
      <c r="E2106">
        <v>2</v>
      </c>
      <c r="F2106">
        <v>3</v>
      </c>
      <c r="G2106">
        <v>2</v>
      </c>
      <c r="J2106" t="s">
        <v>15</v>
      </c>
      <c r="K2106">
        <v>2</v>
      </c>
      <c r="L2106">
        <v>2.101</v>
      </c>
      <c r="M2106">
        <v>0</v>
      </c>
      <c r="N2106" t="s">
        <v>10019</v>
      </c>
      <c r="O2106" t="str">
        <f>HYPERLINK("2\1\marker_331_367168.png", "Ver Imagen")</f>
        <v>Ver Imagen</v>
      </c>
      <c r="P2106" t="str">
        <f>HYPERLINK("SE\A-497_2C\A-497_2C__639.png", "Ver Imagen")</f>
        <v>Ver Imagen</v>
      </c>
    </row>
    <row r="2107" spans="1:16" x14ac:dyDescent="0.25">
      <c r="A2107">
        <v>1553</v>
      </c>
      <c r="B2107" t="s">
        <v>3118</v>
      </c>
      <c r="C2107">
        <v>37.200943874899998</v>
      </c>
      <c r="D2107">
        <v>-6.9906279853199997</v>
      </c>
      <c r="E2107">
        <v>2</v>
      </c>
      <c r="F2107">
        <v>3</v>
      </c>
      <c r="G2107">
        <v>2</v>
      </c>
      <c r="J2107" t="s">
        <v>15</v>
      </c>
      <c r="K2107">
        <v>2</v>
      </c>
      <c r="L2107">
        <v>2.0329999999999999</v>
      </c>
      <c r="M2107">
        <v>0</v>
      </c>
      <c r="N2107" t="s">
        <v>10019</v>
      </c>
      <c r="O2107" t="str">
        <f>HYPERLINK("2\1\marker_574_367229.png", "Ver Imagen")</f>
        <v>Ver Imagen</v>
      </c>
      <c r="P2107" t="str">
        <f>HYPERLINK("SE\A-497_2C\A-497_2C__645.png", "Ver Imagen")</f>
        <v>Ver Imagen</v>
      </c>
    </row>
    <row r="2108" spans="1:16" x14ac:dyDescent="0.25">
      <c r="A2108">
        <v>1554</v>
      </c>
      <c r="B2108" t="s">
        <v>3120</v>
      </c>
      <c r="C2108">
        <v>37.200841842000003</v>
      </c>
      <c r="D2108">
        <v>-6.9901476800299998</v>
      </c>
      <c r="E2108">
        <v>2</v>
      </c>
      <c r="F2108">
        <v>3</v>
      </c>
      <c r="G2108">
        <v>2</v>
      </c>
      <c r="J2108" t="s">
        <v>15</v>
      </c>
      <c r="K2108">
        <v>2</v>
      </c>
      <c r="L2108">
        <v>2.0920000000000001</v>
      </c>
      <c r="M2108">
        <v>0</v>
      </c>
      <c r="N2108" t="s">
        <v>10019</v>
      </c>
      <c r="O2108" t="str">
        <f>HYPERLINK("2\1\marker_898_367247.png", "Ver Imagen")</f>
        <v>Ver Imagen</v>
      </c>
      <c r="P2108" t="str">
        <f>HYPERLINK("SE\A-497_2C\A-497_2C__647.png", "Ver Imagen")</f>
        <v>Ver Imagen</v>
      </c>
    </row>
    <row r="2109" spans="1:16" x14ac:dyDescent="0.25">
      <c r="A2109">
        <v>1555</v>
      </c>
      <c r="B2109" t="s">
        <v>3122</v>
      </c>
      <c r="C2109">
        <v>37.200795221</v>
      </c>
      <c r="D2109">
        <v>-6.989933336</v>
      </c>
      <c r="E2109">
        <v>2</v>
      </c>
      <c r="F2109">
        <v>3</v>
      </c>
      <c r="G2109">
        <v>2</v>
      </c>
      <c r="J2109" t="s">
        <v>15</v>
      </c>
      <c r="K2109">
        <v>2</v>
      </c>
      <c r="L2109">
        <v>2.4700000000000002</v>
      </c>
      <c r="M2109">
        <v>0</v>
      </c>
      <c r="N2109" t="s">
        <v>10017</v>
      </c>
      <c r="O2109" t="str">
        <f>HYPERLINK("2\1\marker_946_367258.png", "Ver Imagen")</f>
        <v>Ver Imagen</v>
      </c>
      <c r="P2109" t="str">
        <f>HYPERLINK("SE\A-497_2C\A-497_2C__648.png", "Ver Imagen")</f>
        <v>Ver Imagen</v>
      </c>
    </row>
    <row r="2110" spans="1:16" x14ac:dyDescent="0.25">
      <c r="A2110">
        <v>1556</v>
      </c>
      <c r="B2110" t="s">
        <v>3124</v>
      </c>
      <c r="C2110">
        <v>37.200631573400003</v>
      </c>
      <c r="D2110">
        <v>-6.98918789889</v>
      </c>
      <c r="E2110">
        <v>2</v>
      </c>
      <c r="F2110">
        <v>1</v>
      </c>
      <c r="G2110">
        <v>2</v>
      </c>
      <c r="J2110" t="s">
        <v>15</v>
      </c>
      <c r="K2110">
        <v>2</v>
      </c>
      <c r="L2110">
        <v>1.91</v>
      </c>
      <c r="M2110">
        <v>0</v>
      </c>
      <c r="N2110" t="s">
        <v>10019</v>
      </c>
      <c r="O2110" t="str">
        <f>HYPERLINK("2\1\marker_879_367286.png", "Ver Imagen")</f>
        <v>Ver Imagen</v>
      </c>
      <c r="P2110" t="str">
        <f>HYPERLINK("SE\A-497_2C\A-497_2C__651.png", "Ver Imagen")</f>
        <v>Ver Imagen</v>
      </c>
    </row>
    <row r="2111" spans="1:16" x14ac:dyDescent="0.25">
      <c r="A2111">
        <v>1557</v>
      </c>
      <c r="B2111" t="s">
        <v>3126</v>
      </c>
      <c r="C2111">
        <v>37.200305783399997</v>
      </c>
      <c r="D2111">
        <v>-6.9877451606000003</v>
      </c>
      <c r="E2111">
        <v>2</v>
      </c>
      <c r="F2111">
        <v>3</v>
      </c>
      <c r="G2111">
        <v>2</v>
      </c>
      <c r="J2111" t="s">
        <v>15</v>
      </c>
      <c r="K2111">
        <v>2</v>
      </c>
      <c r="L2111">
        <v>2.085</v>
      </c>
      <c r="M2111">
        <v>0</v>
      </c>
      <c r="N2111" t="s">
        <v>10019</v>
      </c>
      <c r="O2111" t="str">
        <f>HYPERLINK("2\1\marker_555_367360.png", "Ver Imagen")</f>
        <v>Ver Imagen</v>
      </c>
      <c r="P2111" t="str">
        <f>HYPERLINK("SE\A-497_2C\A-497_2C__657.png", "Ver Imagen")</f>
        <v>Ver Imagen</v>
      </c>
    </row>
    <row r="2112" spans="1:16" x14ac:dyDescent="0.25">
      <c r="A2112">
        <v>1558</v>
      </c>
      <c r="B2112" t="s">
        <v>3128</v>
      </c>
      <c r="C2112">
        <v>37.200254948500003</v>
      </c>
      <c r="D2112">
        <v>-6.9875264395199999</v>
      </c>
      <c r="E2112">
        <v>2</v>
      </c>
      <c r="F2112">
        <v>3</v>
      </c>
      <c r="G2112">
        <v>2</v>
      </c>
      <c r="J2112" t="s">
        <v>15</v>
      </c>
      <c r="K2112">
        <v>2</v>
      </c>
      <c r="L2112">
        <v>2.0139999999999998</v>
      </c>
      <c r="M2112">
        <v>0</v>
      </c>
      <c r="N2112" t="s">
        <v>10019</v>
      </c>
      <c r="O2112" t="str">
        <f>HYPERLINK("2\1\marker_477_367369.png", "Ver Imagen")</f>
        <v>Ver Imagen</v>
      </c>
      <c r="P2112" t="str">
        <f>HYPERLINK("SE\A-497_2C\A-497_2C__658.png", "Ver Imagen")</f>
        <v>Ver Imagen</v>
      </c>
    </row>
    <row r="2113" spans="1:16" x14ac:dyDescent="0.25">
      <c r="A2113">
        <v>1559</v>
      </c>
      <c r="B2113" t="s">
        <v>3130</v>
      </c>
      <c r="C2113">
        <v>37.2002017975</v>
      </c>
      <c r="D2113">
        <v>-6.9872979418399996</v>
      </c>
      <c r="E2113">
        <v>2</v>
      </c>
      <c r="F2113">
        <v>3</v>
      </c>
      <c r="G2113">
        <v>2</v>
      </c>
      <c r="J2113" t="s">
        <v>15</v>
      </c>
      <c r="K2113">
        <v>2</v>
      </c>
      <c r="L2113">
        <v>1.825</v>
      </c>
      <c r="M2113">
        <v>0</v>
      </c>
      <c r="N2113" t="s">
        <v>10019</v>
      </c>
      <c r="O2113" t="str">
        <f>HYPERLINK("2\1\marker_124_367377.png", "Ver Imagen")</f>
        <v>Ver Imagen</v>
      </c>
      <c r="P2113" t="str">
        <f>HYPERLINK("SE\A-497_2C\A-497_2C__659.png", "Ver Imagen")</f>
        <v>Ver Imagen</v>
      </c>
    </row>
    <row r="2114" spans="1:16" x14ac:dyDescent="0.25">
      <c r="A2114">
        <v>1560</v>
      </c>
      <c r="B2114" t="s">
        <v>3132</v>
      </c>
      <c r="C2114">
        <v>37.223018074700001</v>
      </c>
      <c r="D2114">
        <v>-7.0230630001199996</v>
      </c>
      <c r="E2114">
        <v>2</v>
      </c>
      <c r="F2114">
        <v>1</v>
      </c>
      <c r="G2114">
        <v>2</v>
      </c>
      <c r="J2114" t="s">
        <v>15</v>
      </c>
      <c r="K2114">
        <v>2</v>
      </c>
      <c r="L2114">
        <v>2.0870000000000002</v>
      </c>
      <c r="M2114">
        <v>0</v>
      </c>
      <c r="N2114" t="s">
        <v>10019</v>
      </c>
      <c r="O2114" t="str">
        <f>HYPERLINK("2\1\marker_204_376793.png", "Ver Imagen")</f>
        <v>Ver Imagen</v>
      </c>
      <c r="P2114" t="str">
        <f>HYPERLINK("SE\A-497\A-497__441.png", "Ver Imagen")</f>
        <v>Ver Imagen</v>
      </c>
    </row>
    <row r="2115" spans="1:16" x14ac:dyDescent="0.25">
      <c r="A2115">
        <v>1561</v>
      </c>
      <c r="B2115" t="s">
        <v>3134</v>
      </c>
      <c r="C2115">
        <v>37.223830303100002</v>
      </c>
      <c r="D2115">
        <v>-7.0231421467699997</v>
      </c>
      <c r="E2115">
        <v>2</v>
      </c>
      <c r="F2115">
        <v>3</v>
      </c>
      <c r="G2115">
        <v>2</v>
      </c>
      <c r="J2115" t="s">
        <v>15</v>
      </c>
      <c r="K2115">
        <v>2</v>
      </c>
      <c r="L2115">
        <v>1.956</v>
      </c>
      <c r="M2115">
        <v>0</v>
      </c>
      <c r="N2115" t="s">
        <v>10017</v>
      </c>
      <c r="O2115" t="str">
        <f>HYPERLINK("2\1\marker_249_376833.png", "Ver Imagen")</f>
        <v>Ver Imagen</v>
      </c>
      <c r="P2115" t="str">
        <f>HYPERLINK("SE\A-497\A-497__437.png", "Ver Imagen")</f>
        <v>Ver Imagen</v>
      </c>
    </row>
    <row r="2116" spans="1:16" x14ac:dyDescent="0.25">
      <c r="A2116">
        <v>1562</v>
      </c>
      <c r="B2116" t="s">
        <v>3136</v>
      </c>
      <c r="C2116">
        <v>37.224411960399998</v>
      </c>
      <c r="D2116">
        <v>-7.0231953276499999</v>
      </c>
      <c r="E2116">
        <v>2</v>
      </c>
      <c r="F2116">
        <v>1</v>
      </c>
      <c r="G2116">
        <v>2</v>
      </c>
      <c r="J2116" t="s">
        <v>15</v>
      </c>
      <c r="K2116">
        <v>2</v>
      </c>
      <c r="L2116">
        <v>2.004</v>
      </c>
      <c r="M2116">
        <v>0</v>
      </c>
      <c r="N2116" t="s">
        <v>10019</v>
      </c>
      <c r="O2116" t="str">
        <f>HYPERLINK("2\1\marker_585_376861.png", "Ver Imagen")</f>
        <v>Ver Imagen</v>
      </c>
      <c r="P2116" t="str">
        <f>HYPERLINK("SE\A-497\A-497__434.png", "Ver Imagen")</f>
        <v>Ver Imagen</v>
      </c>
    </row>
    <row r="2117" spans="1:16" x14ac:dyDescent="0.25">
      <c r="A2117">
        <v>1563</v>
      </c>
      <c r="B2117" t="s">
        <v>3138</v>
      </c>
      <c r="C2117">
        <v>37.225442589099998</v>
      </c>
      <c r="D2117">
        <v>-7.0231564077800002</v>
      </c>
      <c r="E2117">
        <v>2</v>
      </c>
      <c r="F2117">
        <v>3</v>
      </c>
      <c r="G2117">
        <v>2</v>
      </c>
      <c r="J2117" t="s">
        <v>15</v>
      </c>
      <c r="K2117">
        <v>2</v>
      </c>
      <c r="L2117">
        <v>2.1760000000000002</v>
      </c>
      <c r="M2117">
        <v>0</v>
      </c>
      <c r="N2117" t="s">
        <v>10019</v>
      </c>
      <c r="O2117" t="str">
        <f>HYPERLINK("2\1\marker_614_376921.png", "Ver Imagen")</f>
        <v>Ver Imagen</v>
      </c>
      <c r="P2117" t="str">
        <f>HYPERLINK("SE\A-497\A-497__429.png", "Ver Imagen")</f>
        <v>Ver Imagen</v>
      </c>
    </row>
    <row r="2118" spans="1:16" x14ac:dyDescent="0.25">
      <c r="A2118">
        <v>1564</v>
      </c>
      <c r="B2118" t="s">
        <v>3140</v>
      </c>
      <c r="C2118">
        <v>37.225838017599997</v>
      </c>
      <c r="D2118">
        <v>-7.0230678789400001</v>
      </c>
      <c r="E2118">
        <v>2</v>
      </c>
      <c r="F2118">
        <v>3</v>
      </c>
      <c r="G2118">
        <v>2</v>
      </c>
      <c r="J2118" t="s">
        <v>15</v>
      </c>
      <c r="K2118">
        <v>2</v>
      </c>
      <c r="L2118">
        <v>1.9830000000000001</v>
      </c>
      <c r="M2118">
        <v>0</v>
      </c>
      <c r="N2118" t="s">
        <v>10019</v>
      </c>
      <c r="O2118" t="str">
        <f>HYPERLINK("2\1\marker_964_376945.png", "Ver Imagen")</f>
        <v>Ver Imagen</v>
      </c>
      <c r="P2118" t="str">
        <f>HYPERLINK("SE\A-497\A-497__427.png", "Ver Imagen")</f>
        <v>Ver Imagen</v>
      </c>
    </row>
    <row r="2119" spans="1:16" x14ac:dyDescent="0.25">
      <c r="A2119">
        <v>1565</v>
      </c>
      <c r="B2119" t="s">
        <v>3142</v>
      </c>
      <c r="C2119">
        <v>37.226412806399999</v>
      </c>
      <c r="D2119">
        <v>-7.0228517085300002</v>
      </c>
      <c r="E2119">
        <v>2</v>
      </c>
      <c r="F2119">
        <v>3</v>
      </c>
      <c r="G2119">
        <v>2</v>
      </c>
      <c r="J2119" t="s">
        <v>15</v>
      </c>
      <c r="K2119">
        <v>2</v>
      </c>
      <c r="L2119">
        <v>2.0379999999999998</v>
      </c>
      <c r="M2119">
        <v>0</v>
      </c>
      <c r="N2119" t="s">
        <v>10017</v>
      </c>
      <c r="O2119" t="str">
        <f>HYPERLINK("2\1\marker_601_376975.png", "Ver Imagen")</f>
        <v>Ver Imagen</v>
      </c>
      <c r="P2119" t="str">
        <f>HYPERLINK("SE\A-497\A-497__424.png", "Ver Imagen")</f>
        <v>Ver Imagen</v>
      </c>
    </row>
    <row r="2120" spans="1:16" x14ac:dyDescent="0.25">
      <c r="A2120">
        <v>1566</v>
      </c>
      <c r="B2120" t="s">
        <v>3144</v>
      </c>
      <c r="C2120">
        <v>37.227122838100001</v>
      </c>
      <c r="D2120">
        <v>-7.0224272976500002</v>
      </c>
      <c r="E2120">
        <v>2</v>
      </c>
      <c r="F2120">
        <v>3</v>
      </c>
      <c r="G2120">
        <v>2</v>
      </c>
      <c r="J2120" t="s">
        <v>15</v>
      </c>
      <c r="K2120">
        <v>2</v>
      </c>
      <c r="L2120">
        <v>1.976</v>
      </c>
      <c r="M2120">
        <v>0</v>
      </c>
      <c r="N2120" t="s">
        <v>10019</v>
      </c>
      <c r="O2120" t="str">
        <f>HYPERLINK("2\1\marker_305_377012.png", "Ver Imagen")</f>
        <v>Ver Imagen</v>
      </c>
      <c r="P2120" t="str">
        <f>HYPERLINK("SE\A-497\A-497__420.png", "Ver Imagen")</f>
        <v>Ver Imagen</v>
      </c>
    </row>
    <row r="2121" spans="1:16" x14ac:dyDescent="0.25">
      <c r="A2121">
        <v>1567</v>
      </c>
      <c r="B2121" t="s">
        <v>3146</v>
      </c>
      <c r="C2121">
        <v>37.234080867400003</v>
      </c>
      <c r="D2121">
        <v>-7.0179957185599999</v>
      </c>
      <c r="E2121">
        <v>2</v>
      </c>
      <c r="F2121">
        <v>3</v>
      </c>
      <c r="G2121">
        <v>2</v>
      </c>
      <c r="J2121" t="s">
        <v>15</v>
      </c>
      <c r="K2121">
        <v>2</v>
      </c>
      <c r="L2121">
        <v>2.0089999999999999</v>
      </c>
      <c r="M2121">
        <v>0</v>
      </c>
      <c r="N2121" t="s">
        <v>10019</v>
      </c>
      <c r="O2121" t="str">
        <f>HYPERLINK("2\1\marker_902_377361.png", "Ver Imagen")</f>
        <v>Ver Imagen</v>
      </c>
      <c r="P2121" t="str">
        <f>HYPERLINK("SE\A-497\A-497__381.png", "Ver Imagen")</f>
        <v>Ver Imagen</v>
      </c>
    </row>
    <row r="2122" spans="1:16" x14ac:dyDescent="0.25">
      <c r="A2122">
        <v>1568</v>
      </c>
      <c r="B2122" t="s">
        <v>3148</v>
      </c>
      <c r="C2122">
        <v>37.235692496799999</v>
      </c>
      <c r="D2122">
        <v>-7.0182866530099997</v>
      </c>
      <c r="E2122">
        <v>2</v>
      </c>
      <c r="F2122">
        <v>3</v>
      </c>
      <c r="G2122">
        <v>2</v>
      </c>
      <c r="J2122" t="s">
        <v>15</v>
      </c>
      <c r="K2122">
        <v>2</v>
      </c>
      <c r="L2122">
        <v>1.9590000000000001</v>
      </c>
      <c r="M2122">
        <v>0</v>
      </c>
      <c r="N2122" t="s">
        <v>10019</v>
      </c>
      <c r="O2122" t="str">
        <f>HYPERLINK("2\1\marker_123_377428.png", "Ver Imagen")</f>
        <v>Ver Imagen</v>
      </c>
      <c r="P2122" t="str">
        <f>HYPERLINK("SE\A-497\A-497__373.png", "Ver Imagen")</f>
        <v>Ver Imagen</v>
      </c>
    </row>
    <row r="2123" spans="1:16" x14ac:dyDescent="0.25">
      <c r="A2123">
        <v>1569</v>
      </c>
      <c r="B2123" t="s">
        <v>3150</v>
      </c>
      <c r="C2123">
        <v>37.236345098299999</v>
      </c>
      <c r="D2123">
        <v>-7.0184476246300003</v>
      </c>
      <c r="E2123">
        <v>2</v>
      </c>
      <c r="F2123">
        <v>3</v>
      </c>
      <c r="G2123">
        <v>2</v>
      </c>
      <c r="J2123" t="s">
        <v>15</v>
      </c>
      <c r="K2123">
        <v>2</v>
      </c>
      <c r="L2123">
        <v>1.857</v>
      </c>
      <c r="M2123">
        <v>0</v>
      </c>
      <c r="N2123" t="s">
        <v>10019</v>
      </c>
      <c r="O2123" t="str">
        <f>HYPERLINK("2\1\marker_902_377456.png", "Ver Imagen")</f>
        <v>Ver Imagen</v>
      </c>
      <c r="P2123" t="str">
        <f>HYPERLINK("SE\A-497\A-497__370.png", "Ver Imagen")</f>
        <v>Ver Imagen</v>
      </c>
    </row>
    <row r="2124" spans="1:16" x14ac:dyDescent="0.25">
      <c r="A2124">
        <v>1570</v>
      </c>
      <c r="B2124" t="s">
        <v>3152</v>
      </c>
      <c r="C2124">
        <v>37.236907102099998</v>
      </c>
      <c r="D2124">
        <v>-7.0185305359700001</v>
      </c>
      <c r="E2124">
        <v>2</v>
      </c>
      <c r="F2124">
        <v>3</v>
      </c>
      <c r="G2124">
        <v>2</v>
      </c>
      <c r="J2124" t="s">
        <v>15</v>
      </c>
      <c r="K2124">
        <v>2</v>
      </c>
      <c r="L2124">
        <v>1.778</v>
      </c>
      <c r="M2124">
        <v>0</v>
      </c>
      <c r="N2124" t="s">
        <v>10019</v>
      </c>
      <c r="O2124" t="str">
        <f>HYPERLINK("2\1\marker_678_377484.png", "Ver Imagen")</f>
        <v>Ver Imagen</v>
      </c>
      <c r="P2124" t="str">
        <f>HYPERLINK("SE\A-497\A-497__367.png", "Ver Imagen")</f>
        <v>Ver Imagen</v>
      </c>
    </row>
    <row r="2125" spans="1:16" x14ac:dyDescent="0.25">
      <c r="A2125">
        <v>1571</v>
      </c>
      <c r="B2125" t="s">
        <v>3154</v>
      </c>
      <c r="C2125">
        <v>37.237512676900003</v>
      </c>
      <c r="D2125">
        <v>-7.0185693909299998</v>
      </c>
      <c r="E2125">
        <v>2</v>
      </c>
      <c r="F2125">
        <v>3</v>
      </c>
      <c r="G2125">
        <v>2</v>
      </c>
      <c r="J2125" t="s">
        <v>15</v>
      </c>
      <c r="K2125">
        <v>2</v>
      </c>
      <c r="L2125">
        <v>2.0619999999999998</v>
      </c>
      <c r="M2125">
        <v>0</v>
      </c>
      <c r="N2125" t="s">
        <v>10019</v>
      </c>
      <c r="O2125" t="str">
        <f>HYPERLINK("2\1\marker_181_377513.png", "Ver Imagen")</f>
        <v>Ver Imagen</v>
      </c>
      <c r="P2125" t="str">
        <f>HYPERLINK("SE\A-497\A-497__364.png", "Ver Imagen")</f>
        <v>Ver Imagen</v>
      </c>
    </row>
    <row r="2126" spans="1:16" x14ac:dyDescent="0.25">
      <c r="A2126">
        <v>1572</v>
      </c>
      <c r="B2126" t="s">
        <v>3156</v>
      </c>
      <c r="C2126">
        <v>37.237903855200003</v>
      </c>
      <c r="D2126">
        <v>-7.0185696047699997</v>
      </c>
      <c r="E2126">
        <v>2</v>
      </c>
      <c r="F2126">
        <v>3</v>
      </c>
      <c r="G2126">
        <v>2</v>
      </c>
      <c r="J2126" t="s">
        <v>15</v>
      </c>
      <c r="K2126">
        <v>2</v>
      </c>
      <c r="L2126">
        <v>2.4529999999999998</v>
      </c>
      <c r="M2126">
        <v>0</v>
      </c>
      <c r="N2126" t="s">
        <v>10019</v>
      </c>
      <c r="O2126" t="str">
        <f>HYPERLINK("2\1\marker_701_377531.png", "Ver Imagen")</f>
        <v>Ver Imagen</v>
      </c>
      <c r="P2126" t="str">
        <f>HYPERLINK("SE\A-497\A-497__362.png", "Ver Imagen")</f>
        <v>Ver Imagen</v>
      </c>
    </row>
    <row r="2127" spans="1:16" x14ac:dyDescent="0.25">
      <c r="A2127">
        <v>1573</v>
      </c>
      <c r="B2127" t="s">
        <v>3158</v>
      </c>
      <c r="C2127">
        <v>37.247822738399996</v>
      </c>
      <c r="D2127">
        <v>-7.01819273023</v>
      </c>
      <c r="E2127">
        <v>2</v>
      </c>
      <c r="F2127">
        <v>3</v>
      </c>
      <c r="G2127">
        <v>2</v>
      </c>
      <c r="J2127" t="s">
        <v>15</v>
      </c>
      <c r="K2127">
        <v>2</v>
      </c>
      <c r="L2127">
        <v>2.0870000000000002</v>
      </c>
      <c r="M2127">
        <v>0</v>
      </c>
      <c r="N2127" t="s">
        <v>10019</v>
      </c>
      <c r="O2127" t="str">
        <f>HYPERLINK("2\1\marker_767_378041.png", "Ver Imagen")</f>
        <v>Ver Imagen</v>
      </c>
      <c r="P2127" t="str">
        <f>HYPERLINK("SE\A-497\A-497__313.png", "Ver Imagen")</f>
        <v>Ver Imagen</v>
      </c>
    </row>
    <row r="2128" spans="1:16" x14ac:dyDescent="0.25">
      <c r="A2128">
        <v>1574</v>
      </c>
      <c r="B2128" t="s">
        <v>3160</v>
      </c>
      <c r="C2128">
        <v>37.250365223999999</v>
      </c>
      <c r="D2128">
        <v>-7.0176290462399997</v>
      </c>
      <c r="E2128">
        <v>2</v>
      </c>
      <c r="F2128">
        <v>3</v>
      </c>
      <c r="G2128">
        <v>2</v>
      </c>
      <c r="J2128" t="s">
        <v>15</v>
      </c>
      <c r="K2128">
        <v>2</v>
      </c>
      <c r="L2128">
        <v>1.833</v>
      </c>
      <c r="M2128">
        <v>0</v>
      </c>
      <c r="N2128" t="s">
        <v>10019</v>
      </c>
      <c r="O2128" t="str">
        <f>HYPERLINK("2\1\marker_326_378215.png", "Ver Imagen")</f>
        <v>Ver Imagen</v>
      </c>
      <c r="P2128" t="str">
        <f>HYPERLINK("SE\A-497\A-497__300.png", "Ver Imagen")</f>
        <v>Ver Imagen</v>
      </c>
    </row>
    <row r="2129" spans="1:16" x14ac:dyDescent="0.25">
      <c r="A2129">
        <v>1575</v>
      </c>
      <c r="B2129" t="s">
        <v>3162</v>
      </c>
      <c r="C2129">
        <v>37.252780054799999</v>
      </c>
      <c r="D2129">
        <v>-7.0161087627900001</v>
      </c>
      <c r="E2129">
        <v>2</v>
      </c>
      <c r="F2129">
        <v>3</v>
      </c>
      <c r="G2129">
        <v>2</v>
      </c>
      <c r="J2129" t="s">
        <v>15</v>
      </c>
      <c r="K2129">
        <v>2</v>
      </c>
      <c r="L2129">
        <v>2.3809999999999998</v>
      </c>
      <c r="M2129">
        <v>0</v>
      </c>
      <c r="N2129" t="s">
        <v>10019</v>
      </c>
      <c r="O2129" t="str">
        <f>HYPERLINK("2\1\marker_217_378386.png", "Ver Imagen")</f>
        <v>Ver Imagen</v>
      </c>
      <c r="P2129" t="str">
        <f>HYPERLINK("SE\A-497\A-497__287.png", "Ver Imagen")</f>
        <v>Ver Imagen</v>
      </c>
    </row>
    <row r="2130" spans="1:16" x14ac:dyDescent="0.25">
      <c r="A2130">
        <v>1576</v>
      </c>
      <c r="B2130" t="s">
        <v>3164</v>
      </c>
      <c r="C2130">
        <v>37.253253467299999</v>
      </c>
      <c r="D2130">
        <v>-7.0158078253999996</v>
      </c>
      <c r="E2130">
        <v>2</v>
      </c>
      <c r="F2130">
        <v>3</v>
      </c>
      <c r="G2130">
        <v>2</v>
      </c>
      <c r="J2130" t="s">
        <v>15</v>
      </c>
      <c r="K2130">
        <v>2</v>
      </c>
      <c r="L2130">
        <v>1.88</v>
      </c>
      <c r="M2130">
        <v>0</v>
      </c>
      <c r="N2130" t="s">
        <v>10019</v>
      </c>
      <c r="O2130" t="str">
        <f>HYPERLINK("2\1\marker_845_378427.png", "Ver Imagen")</f>
        <v>Ver Imagen</v>
      </c>
      <c r="P2130" t="str">
        <f>HYPERLINK("SE\A-497\A-497__284.png", "Ver Imagen")</f>
        <v>Ver Imagen</v>
      </c>
    </row>
    <row r="2131" spans="1:16" x14ac:dyDescent="0.25">
      <c r="A2131">
        <v>1579</v>
      </c>
      <c r="B2131" t="s">
        <v>3170</v>
      </c>
      <c r="C2131">
        <v>37.264984807499999</v>
      </c>
      <c r="D2131">
        <v>-6.9983139534700003</v>
      </c>
      <c r="E2131">
        <v>2</v>
      </c>
      <c r="F2131">
        <v>3</v>
      </c>
      <c r="G2131">
        <v>2</v>
      </c>
      <c r="J2131" t="s">
        <v>15</v>
      </c>
      <c r="K2131">
        <v>2</v>
      </c>
      <c r="L2131">
        <v>1.673</v>
      </c>
      <c r="M2131">
        <v>0</v>
      </c>
      <c r="N2131" t="s">
        <v>10019</v>
      </c>
      <c r="O2131" t="str">
        <f>HYPERLINK("2\1\marker_991_379565.png", "Ver Imagen")</f>
        <v>Ver Imagen</v>
      </c>
      <c r="P2131" t="str">
        <f>HYPERLINK("SE\A-497\A-497__186.png", "Ver Imagen")</f>
        <v>Ver Imagen</v>
      </c>
    </row>
    <row r="2132" spans="1:16" x14ac:dyDescent="0.25">
      <c r="A2132">
        <v>1580</v>
      </c>
      <c r="B2132" t="s">
        <v>3172</v>
      </c>
      <c r="C2132">
        <v>37.265242316799998</v>
      </c>
      <c r="D2132">
        <v>-6.99687980693</v>
      </c>
      <c r="E2132">
        <v>2</v>
      </c>
      <c r="F2132">
        <v>2</v>
      </c>
      <c r="G2132">
        <v>1</v>
      </c>
      <c r="J2132" t="s">
        <v>15</v>
      </c>
      <c r="K2132">
        <v>2</v>
      </c>
      <c r="L2132">
        <v>1.54</v>
      </c>
      <c r="M2132">
        <v>0</v>
      </c>
      <c r="N2132" t="s">
        <v>10019</v>
      </c>
      <c r="O2132" t="str">
        <f>HYPERLINK("2\1\marker_783_379642.png", "Ver Imagen")</f>
        <v>Ver Imagen</v>
      </c>
      <c r="P2132" t="str">
        <f>HYPERLINK("SE\A-497\A-497__180.png", "Ver Imagen")</f>
        <v>Ver Imagen</v>
      </c>
    </row>
    <row r="2133" spans="1:16" x14ac:dyDescent="0.25">
      <c r="A2133">
        <v>1581</v>
      </c>
      <c r="B2133" t="s">
        <v>3174</v>
      </c>
      <c r="C2133">
        <v>37.2654169236</v>
      </c>
      <c r="D2133">
        <v>-6.9959100148499997</v>
      </c>
      <c r="E2133">
        <v>2</v>
      </c>
      <c r="F2133">
        <v>2</v>
      </c>
      <c r="G2133">
        <v>1</v>
      </c>
      <c r="J2133" t="s">
        <v>15</v>
      </c>
      <c r="K2133">
        <v>2</v>
      </c>
      <c r="L2133">
        <v>1.637</v>
      </c>
      <c r="M2133">
        <v>0</v>
      </c>
      <c r="N2133" t="s">
        <v>10018</v>
      </c>
      <c r="O2133" t="str">
        <f>HYPERLINK("2\1\marker_732_379688.png", "Ver Imagen")</f>
        <v>Ver Imagen</v>
      </c>
      <c r="P2133" t="str">
        <f>HYPERLINK("SE\A-497\A-497__176.png", "Ver Imagen")</f>
        <v>Ver Imagen</v>
      </c>
    </row>
    <row r="2134" spans="1:16" x14ac:dyDescent="0.25">
      <c r="A2134">
        <v>1583</v>
      </c>
      <c r="B2134" t="s">
        <v>3178</v>
      </c>
      <c r="C2134">
        <v>37.460721809100001</v>
      </c>
      <c r="D2134">
        <v>-7.1730224598700003</v>
      </c>
      <c r="E2134">
        <v>2</v>
      </c>
      <c r="F2134">
        <v>2</v>
      </c>
      <c r="G2134">
        <v>3</v>
      </c>
      <c r="J2134" t="s">
        <v>15</v>
      </c>
      <c r="K2134">
        <v>2</v>
      </c>
      <c r="L2134">
        <v>1.7669999999999999</v>
      </c>
      <c r="M2134">
        <v>0</v>
      </c>
      <c r="N2134" t="s">
        <v>10019</v>
      </c>
      <c r="O2134" t="str">
        <f>HYPERLINK("2\1\marker_156_742526.png", "Ver Imagen")</f>
        <v>Ver Imagen</v>
      </c>
      <c r="P2134" t="str">
        <f>HYPERLINK("NE\A-490\A-490__207.png", "Ver Imagen")</f>
        <v>Ver Imagen</v>
      </c>
    </row>
    <row r="2135" spans="1:16" x14ac:dyDescent="0.25">
      <c r="A2135">
        <v>1586</v>
      </c>
      <c r="B2135" t="s">
        <v>3184</v>
      </c>
      <c r="C2135">
        <v>37.4772647725</v>
      </c>
      <c r="D2135">
        <v>-7.2040066869699997</v>
      </c>
      <c r="E2135">
        <v>2</v>
      </c>
      <c r="F2135">
        <v>2</v>
      </c>
      <c r="G2135">
        <v>3</v>
      </c>
      <c r="J2135" t="s">
        <v>15</v>
      </c>
      <c r="K2135">
        <v>2</v>
      </c>
      <c r="L2135">
        <v>1.78</v>
      </c>
      <c r="M2135">
        <v>0</v>
      </c>
      <c r="N2135" t="s">
        <v>10019</v>
      </c>
      <c r="O2135" t="str">
        <f>HYPERLINK("2\1\marker_111_751747.png", "Ver Imagen")</f>
        <v>Ver Imagen</v>
      </c>
      <c r="P2135" t="str">
        <f>HYPERLINK("NE\A-490\A-490__354.png", "Ver Imagen")</f>
        <v>Ver Imagen</v>
      </c>
    </row>
    <row r="2136" spans="1:16" x14ac:dyDescent="0.25">
      <c r="A2136">
        <v>1586</v>
      </c>
      <c r="B2136" t="s">
        <v>3184</v>
      </c>
      <c r="C2136">
        <v>37.4772647725</v>
      </c>
      <c r="D2136">
        <v>-7.2040066869699997</v>
      </c>
      <c r="E2136">
        <v>2</v>
      </c>
      <c r="F2136">
        <v>2</v>
      </c>
      <c r="G2136">
        <v>3</v>
      </c>
      <c r="J2136" t="s">
        <v>15</v>
      </c>
      <c r="K2136">
        <v>2</v>
      </c>
      <c r="L2136">
        <v>2.181</v>
      </c>
      <c r="M2136">
        <v>0</v>
      </c>
      <c r="N2136" t="s">
        <v>10019</v>
      </c>
      <c r="O2136" t="str">
        <f>HYPERLINK("2\1\marker_111_751747.png", "Ver Imagen")</f>
        <v>Ver Imagen</v>
      </c>
      <c r="P2136" t="str">
        <f>HYPERLINK("NO\A-490\A-490__354.png", "Ver Imagen")</f>
        <v>Ver Imagen</v>
      </c>
    </row>
    <row r="2137" spans="1:16" x14ac:dyDescent="0.25">
      <c r="A2137">
        <v>1587</v>
      </c>
      <c r="B2137" t="s">
        <v>3186</v>
      </c>
      <c r="C2137">
        <v>37.480170178599998</v>
      </c>
      <c r="D2137">
        <v>-7.2107566033500001</v>
      </c>
      <c r="E2137">
        <v>2</v>
      </c>
      <c r="F2137">
        <v>2</v>
      </c>
      <c r="G2137">
        <v>3</v>
      </c>
      <c r="J2137" t="s">
        <v>15</v>
      </c>
      <c r="K2137">
        <v>2</v>
      </c>
      <c r="L2137">
        <v>2.0979999999999999</v>
      </c>
      <c r="M2137">
        <v>0</v>
      </c>
      <c r="N2137" t="s">
        <v>10019</v>
      </c>
      <c r="O2137" t="str">
        <f>HYPERLINK("2\1\marker_473_752425.png", "Ver Imagen")</f>
        <v>Ver Imagen</v>
      </c>
      <c r="P2137" t="str">
        <f>HYPERLINK("NO\A-490\A-490__384.png", "Ver Imagen")</f>
        <v>Ver Imagen</v>
      </c>
    </row>
    <row r="2138" spans="1:16" x14ac:dyDescent="0.25">
      <c r="A2138">
        <v>1588</v>
      </c>
      <c r="B2138" t="s">
        <v>3188</v>
      </c>
      <c r="C2138">
        <v>37.488488677900001</v>
      </c>
      <c r="D2138">
        <v>-7.2466492135099996</v>
      </c>
      <c r="E2138">
        <v>2</v>
      </c>
      <c r="F2138">
        <v>2</v>
      </c>
      <c r="G2138">
        <v>3</v>
      </c>
      <c r="J2138" t="s">
        <v>15</v>
      </c>
      <c r="K2138">
        <v>2</v>
      </c>
      <c r="L2138">
        <v>2.1640000000000001</v>
      </c>
      <c r="M2138">
        <v>0</v>
      </c>
      <c r="N2138" t="s">
        <v>10019</v>
      </c>
      <c r="O2138" t="str">
        <f>HYPERLINK("2\1\marker_100_818231.png", "Ver Imagen")</f>
        <v>Ver Imagen</v>
      </c>
      <c r="P2138" t="str">
        <f>HYPERLINK("NO\A-490\A-490__532.png", "Ver Imagen")</f>
        <v>Ver Imagen</v>
      </c>
    </row>
    <row r="2139" spans="1:16" x14ac:dyDescent="0.25">
      <c r="A2139">
        <v>1589</v>
      </c>
      <c r="B2139" t="s">
        <v>3190</v>
      </c>
      <c r="C2139">
        <v>37.489493053799997</v>
      </c>
      <c r="D2139">
        <v>-7.2482053958100003</v>
      </c>
      <c r="E2139">
        <v>2</v>
      </c>
      <c r="F2139">
        <v>2</v>
      </c>
      <c r="G2139">
        <v>3</v>
      </c>
      <c r="J2139" t="s">
        <v>15</v>
      </c>
      <c r="K2139">
        <v>2</v>
      </c>
      <c r="L2139">
        <v>1.889</v>
      </c>
      <c r="M2139">
        <v>0</v>
      </c>
      <c r="N2139" t="s">
        <v>10017</v>
      </c>
      <c r="O2139" t="str">
        <f>HYPERLINK("2\1\marker_197_818346.png", "Ver Imagen")</f>
        <v>Ver Imagen</v>
      </c>
      <c r="P2139" t="str">
        <f>HYPERLINK("NO\A-490\A-490__540.png", "Ver Imagen")</f>
        <v>Ver Imagen</v>
      </c>
    </row>
    <row r="2140" spans="1:16" x14ac:dyDescent="0.25">
      <c r="A2140">
        <v>1590</v>
      </c>
      <c r="B2140" t="s">
        <v>3192</v>
      </c>
      <c r="C2140">
        <v>37.279156192800002</v>
      </c>
      <c r="D2140">
        <v>-7.00816128555</v>
      </c>
      <c r="E2140">
        <v>2</v>
      </c>
      <c r="F2140">
        <v>2</v>
      </c>
      <c r="G2140">
        <v>3</v>
      </c>
      <c r="J2140" t="s">
        <v>15</v>
      </c>
      <c r="K2140">
        <v>2</v>
      </c>
      <c r="L2140">
        <v>2.0150000000000001</v>
      </c>
      <c r="M2140">
        <v>0</v>
      </c>
      <c r="N2140" t="s">
        <v>10019</v>
      </c>
      <c r="O2140" t="str">
        <f>HYPERLINK("2\1\marker_460_823807.png", "Ver Imagen")</f>
        <v>Ver Imagen</v>
      </c>
      <c r="P2140" t="str">
        <f>HYPERLINK("SE\A-492\A-492__104.png", "Ver Imagen")</f>
        <v>Ver Imagen</v>
      </c>
    </row>
    <row r="2141" spans="1:16" x14ac:dyDescent="0.25">
      <c r="A2141">
        <v>1591</v>
      </c>
      <c r="B2141" t="s">
        <v>3194</v>
      </c>
      <c r="C2141">
        <v>37.275435199699999</v>
      </c>
      <c r="D2141">
        <v>-7.0160269843699998</v>
      </c>
      <c r="E2141">
        <v>2</v>
      </c>
      <c r="F2141">
        <v>2</v>
      </c>
      <c r="G2141">
        <v>3</v>
      </c>
      <c r="J2141" t="s">
        <v>15</v>
      </c>
      <c r="K2141">
        <v>2</v>
      </c>
      <c r="L2141">
        <v>1.7330000000000001</v>
      </c>
      <c r="M2141">
        <v>0</v>
      </c>
      <c r="N2141" t="s">
        <v>10019</v>
      </c>
      <c r="O2141" t="str">
        <f>HYPERLINK("2\1\marker_468_824687.png", "Ver Imagen")</f>
        <v>Ver Imagen</v>
      </c>
      <c r="P2141" t="str">
        <f>HYPERLINK("SE\A-492\A-492__141.png", "Ver Imagen")</f>
        <v>Ver Imagen</v>
      </c>
    </row>
    <row r="2142" spans="1:16" x14ac:dyDescent="0.25">
      <c r="A2142">
        <v>1592</v>
      </c>
      <c r="B2142" t="s">
        <v>3196</v>
      </c>
      <c r="C2142">
        <v>37.275374868900002</v>
      </c>
      <c r="D2142">
        <v>-7.0162810453000004</v>
      </c>
      <c r="E2142">
        <v>2</v>
      </c>
      <c r="F2142">
        <v>2</v>
      </c>
      <c r="G2142">
        <v>3</v>
      </c>
      <c r="J2142" t="s">
        <v>15</v>
      </c>
      <c r="K2142">
        <v>2</v>
      </c>
      <c r="L2142">
        <v>1.538</v>
      </c>
      <c r="M2142">
        <v>0</v>
      </c>
      <c r="N2142" t="s">
        <v>10019</v>
      </c>
      <c r="O2142" t="str">
        <f>HYPERLINK("2\1\marker_538_824698.png", "Ver Imagen")</f>
        <v>Ver Imagen</v>
      </c>
      <c r="P2142" t="str">
        <f>HYPERLINK("SE\A-492\A-492__142.png", "Ver Imagen")</f>
        <v>Ver Imagen</v>
      </c>
    </row>
    <row r="2143" spans="1:16" x14ac:dyDescent="0.25">
      <c r="A2143">
        <v>1594</v>
      </c>
      <c r="B2143" t="s">
        <v>3200</v>
      </c>
      <c r="C2143">
        <v>37.276225239399999</v>
      </c>
      <c r="D2143">
        <v>-7.0232241013700003</v>
      </c>
      <c r="E2143">
        <v>2</v>
      </c>
      <c r="F2143">
        <v>2</v>
      </c>
      <c r="G2143">
        <v>3</v>
      </c>
      <c r="J2143" t="s">
        <v>15</v>
      </c>
      <c r="K2143">
        <v>2</v>
      </c>
      <c r="L2143">
        <v>1.7709999999999999</v>
      </c>
      <c r="M2143">
        <v>0</v>
      </c>
      <c r="N2143" t="s">
        <v>10019</v>
      </c>
      <c r="O2143" t="str">
        <f>HYPERLINK("2\1\marker_305_831458.png", "Ver Imagen")</f>
        <v>Ver Imagen</v>
      </c>
      <c r="P2143" t="str">
        <f>HYPERLINK("SE\A-492\A-492__170.png", "Ver Imagen")</f>
        <v>Ver Imagen</v>
      </c>
    </row>
    <row r="2144" spans="1:16" x14ac:dyDescent="0.25">
      <c r="A2144">
        <v>1595</v>
      </c>
      <c r="B2144" t="s">
        <v>3202</v>
      </c>
      <c r="C2144">
        <v>37.288052070299997</v>
      </c>
      <c r="D2144">
        <v>-7.0424710802100003</v>
      </c>
      <c r="E2144">
        <v>2</v>
      </c>
      <c r="F2144">
        <v>2</v>
      </c>
      <c r="G2144">
        <v>3</v>
      </c>
      <c r="J2144" t="s">
        <v>15</v>
      </c>
      <c r="K2144">
        <v>2</v>
      </c>
      <c r="L2144">
        <v>2.0720000000000001</v>
      </c>
      <c r="M2144">
        <v>0</v>
      </c>
      <c r="N2144" t="s">
        <v>10019</v>
      </c>
      <c r="O2144" t="str">
        <f>HYPERLINK("2\1\marker_542_836839.png", "Ver Imagen")</f>
        <v>Ver Imagen</v>
      </c>
      <c r="P2144" t="str">
        <f>HYPERLINK("SE\A-492\A-492__274.png", "Ver Imagen")</f>
        <v>Ver Imagen</v>
      </c>
    </row>
    <row r="2145" spans="1:16" x14ac:dyDescent="0.25">
      <c r="A2145">
        <v>1596</v>
      </c>
      <c r="B2145" t="s">
        <v>3204</v>
      </c>
      <c r="C2145">
        <v>37.294094696199998</v>
      </c>
      <c r="D2145">
        <v>-7.0474123799099999</v>
      </c>
      <c r="E2145">
        <v>2</v>
      </c>
      <c r="F2145">
        <v>2</v>
      </c>
      <c r="G2145">
        <v>3</v>
      </c>
      <c r="J2145" t="s">
        <v>15</v>
      </c>
      <c r="K2145">
        <v>2</v>
      </c>
      <c r="L2145">
        <v>2.4340000000000002</v>
      </c>
      <c r="M2145">
        <v>0</v>
      </c>
      <c r="N2145" t="s">
        <v>10019</v>
      </c>
      <c r="O2145" t="str">
        <f>HYPERLINK("2\1\marker_810_837684.png", "Ver Imagen")</f>
        <v>Ver Imagen</v>
      </c>
      <c r="P2145" t="str">
        <f>HYPERLINK("SE\A-492\A-492__311.png", "Ver Imagen")</f>
        <v>Ver Imagen</v>
      </c>
    </row>
    <row r="2146" spans="1:16" x14ac:dyDescent="0.25">
      <c r="A2146">
        <v>1597</v>
      </c>
      <c r="B2146" t="s">
        <v>3206</v>
      </c>
      <c r="C2146">
        <v>37.294231428499998</v>
      </c>
      <c r="D2146">
        <v>-7.0476002291600004</v>
      </c>
      <c r="E2146">
        <v>2</v>
      </c>
      <c r="F2146">
        <v>2</v>
      </c>
      <c r="G2146">
        <v>3</v>
      </c>
      <c r="J2146" t="s">
        <v>15</v>
      </c>
      <c r="K2146">
        <v>2</v>
      </c>
      <c r="L2146">
        <v>1.91</v>
      </c>
      <c r="M2146">
        <v>0</v>
      </c>
      <c r="N2146" t="s">
        <v>10019</v>
      </c>
      <c r="O2146" t="str">
        <f>HYPERLINK("2\1\marker_610_837695.png", "Ver Imagen")</f>
        <v>Ver Imagen</v>
      </c>
      <c r="P2146" t="str">
        <f>HYPERLINK("SE\A-492\A-492__312.png", "Ver Imagen")</f>
        <v>Ver Imagen</v>
      </c>
    </row>
    <row r="2147" spans="1:16" x14ac:dyDescent="0.25">
      <c r="A2147">
        <v>1598</v>
      </c>
      <c r="B2147" t="s">
        <v>3208</v>
      </c>
      <c r="C2147">
        <v>37.296269025100003</v>
      </c>
      <c r="D2147">
        <v>-7.0500762458199997</v>
      </c>
      <c r="E2147">
        <v>2</v>
      </c>
      <c r="F2147">
        <v>2</v>
      </c>
      <c r="G2147">
        <v>3</v>
      </c>
      <c r="J2147" t="s">
        <v>15</v>
      </c>
      <c r="K2147">
        <v>2</v>
      </c>
      <c r="L2147">
        <v>1.877</v>
      </c>
      <c r="M2147">
        <v>0</v>
      </c>
      <c r="N2147" t="s">
        <v>10019</v>
      </c>
      <c r="O2147" t="str">
        <f>HYPERLINK("2\1\marker_115_838025.png", "Ver Imagen")</f>
        <v>Ver Imagen</v>
      </c>
      <c r="P2147" t="str">
        <f>HYPERLINK("SE\A-492\A-492__326.png", "Ver Imagen")</f>
        <v>Ver Imagen</v>
      </c>
    </row>
    <row r="2148" spans="1:16" x14ac:dyDescent="0.25">
      <c r="A2148">
        <v>1599</v>
      </c>
      <c r="B2148" t="s">
        <v>3210</v>
      </c>
      <c r="C2148">
        <v>37.267183519200003</v>
      </c>
      <c r="D2148">
        <v>-6.9573102563899996</v>
      </c>
      <c r="E2148">
        <v>2</v>
      </c>
      <c r="F2148">
        <v>2</v>
      </c>
      <c r="G2148">
        <v>3</v>
      </c>
      <c r="J2148" t="s">
        <v>15</v>
      </c>
      <c r="K2148">
        <v>2</v>
      </c>
      <c r="L2148">
        <v>2.2269999999999999</v>
      </c>
      <c r="M2148">
        <v>0</v>
      </c>
      <c r="N2148" t="s">
        <v>10019</v>
      </c>
      <c r="O2148" t="str">
        <f>HYPERLINK("2\1\marker_661_944050.png", "Ver Imagen")</f>
        <v>Ver Imagen</v>
      </c>
      <c r="P2148" t="str">
        <f>HYPERLINK("SE\A-497\A-497__3.png", "Ver Imagen")</f>
        <v>Ver Imagen</v>
      </c>
    </row>
    <row r="2149" spans="1:16" x14ac:dyDescent="0.25">
      <c r="A2149">
        <v>1600</v>
      </c>
      <c r="B2149" t="s">
        <v>3212</v>
      </c>
      <c r="C2149">
        <v>37.190786968200001</v>
      </c>
      <c r="D2149">
        <v>-6.9905446929400004</v>
      </c>
      <c r="E2149">
        <v>2</v>
      </c>
      <c r="F2149">
        <v>2</v>
      </c>
      <c r="G2149">
        <v>3</v>
      </c>
      <c r="J2149" t="s">
        <v>15</v>
      </c>
      <c r="K2149">
        <v>2</v>
      </c>
      <c r="L2149">
        <v>1.9259999999999999</v>
      </c>
      <c r="M2149">
        <v>0</v>
      </c>
      <c r="N2149" t="s">
        <v>10019</v>
      </c>
      <c r="O2149" t="str">
        <f>HYPERLINK("2\1\marker_440_944253.png", "Ver Imagen")</f>
        <v>Ver Imagen</v>
      </c>
      <c r="P2149" t="str">
        <f>HYPERLINK("SE\A-5050\A-5050__173.png", "Ver Imagen")</f>
        <v>Ver Imagen</v>
      </c>
    </row>
    <row r="2150" spans="1:16" x14ac:dyDescent="0.25">
      <c r="A2150">
        <v>1602</v>
      </c>
      <c r="B2150" t="s">
        <v>3216</v>
      </c>
      <c r="C2150">
        <v>37.196759309400001</v>
      </c>
      <c r="D2150">
        <v>-7.0043377177500004</v>
      </c>
      <c r="E2150">
        <v>2</v>
      </c>
      <c r="F2150">
        <v>2</v>
      </c>
      <c r="G2150">
        <v>3</v>
      </c>
      <c r="J2150" t="s">
        <v>15</v>
      </c>
      <c r="K2150">
        <v>2</v>
      </c>
      <c r="L2150">
        <v>2.4009999999999998</v>
      </c>
      <c r="M2150">
        <v>0</v>
      </c>
      <c r="N2150" t="s">
        <v>10017</v>
      </c>
      <c r="O2150" t="str">
        <f>HYPERLINK("2\1\marker_359_946650.png", "Ver Imagen")</f>
        <v>Ver Imagen</v>
      </c>
      <c r="P2150" t="str">
        <f>HYPERLINK("SE\A-5050\A-5050__111.png", "Ver Imagen")</f>
        <v>Ver Imagen</v>
      </c>
    </row>
    <row r="2151" spans="1:16" x14ac:dyDescent="0.25">
      <c r="A2151">
        <v>1603</v>
      </c>
      <c r="B2151" t="s">
        <v>3218</v>
      </c>
      <c r="C2151">
        <v>37.197210272900001</v>
      </c>
      <c r="D2151">
        <v>-7.0054571038300004</v>
      </c>
      <c r="E2151">
        <v>2</v>
      </c>
      <c r="F2151">
        <v>2</v>
      </c>
      <c r="G2151">
        <v>3</v>
      </c>
      <c r="J2151" t="s">
        <v>15</v>
      </c>
      <c r="K2151">
        <v>2</v>
      </c>
      <c r="L2151">
        <v>1.9490000000000001</v>
      </c>
      <c r="M2151">
        <v>0</v>
      </c>
      <c r="N2151" t="s">
        <v>10019</v>
      </c>
      <c r="O2151" t="str">
        <f>HYPERLINK("2\1\marker_217_946709.png", "Ver Imagen")</f>
        <v>Ver Imagen</v>
      </c>
      <c r="P2151" t="str">
        <f>HYPERLINK("SE\A-5050\A-5050__106.png", "Ver Imagen")</f>
        <v>Ver Imagen</v>
      </c>
    </row>
    <row r="2152" spans="1:16" x14ac:dyDescent="0.25">
      <c r="A2152">
        <v>1604</v>
      </c>
      <c r="B2152" t="s">
        <v>3220</v>
      </c>
      <c r="C2152">
        <v>37.198340198799997</v>
      </c>
      <c r="D2152">
        <v>-7.00785540597</v>
      </c>
      <c r="E2152">
        <v>2</v>
      </c>
      <c r="F2152">
        <v>2</v>
      </c>
      <c r="G2152">
        <v>3</v>
      </c>
      <c r="J2152" t="s">
        <v>15</v>
      </c>
      <c r="K2152">
        <v>2</v>
      </c>
      <c r="L2152">
        <v>2.246</v>
      </c>
      <c r="M2152">
        <v>0</v>
      </c>
      <c r="N2152" t="s">
        <v>10019</v>
      </c>
      <c r="O2152" t="str">
        <f>HYPERLINK("2\1\marker_780_946922.png", "Ver Imagen")</f>
        <v>Ver Imagen</v>
      </c>
      <c r="P2152" t="str">
        <f>HYPERLINK("SE\A-5050\A-5050__95.png", "Ver Imagen")</f>
        <v>Ver Imagen</v>
      </c>
    </row>
    <row r="2153" spans="1:16" x14ac:dyDescent="0.25">
      <c r="A2153">
        <v>1605</v>
      </c>
      <c r="B2153" t="s">
        <v>3222</v>
      </c>
      <c r="C2153">
        <v>37.216636387500003</v>
      </c>
      <c r="D2153">
        <v>-7.0954161397500002</v>
      </c>
      <c r="E2153">
        <v>2</v>
      </c>
      <c r="F2153">
        <v>2</v>
      </c>
      <c r="G2153">
        <v>3</v>
      </c>
      <c r="J2153" t="s">
        <v>15</v>
      </c>
      <c r="K2153">
        <v>2</v>
      </c>
      <c r="L2153">
        <v>1.66</v>
      </c>
      <c r="M2153">
        <v>0</v>
      </c>
      <c r="N2153" t="s">
        <v>10019</v>
      </c>
      <c r="O2153" t="str">
        <f>HYPERLINK("2\1\marker_568_957968.png", "Ver Imagen")</f>
        <v>Ver Imagen</v>
      </c>
      <c r="P2153" t="str">
        <f>HYPERLINK("SE\A-5052\A-5052__122.png", "Ver Imagen")</f>
        <v>Ver Imagen</v>
      </c>
    </row>
    <row r="2154" spans="1:16" x14ac:dyDescent="0.25">
      <c r="A2154">
        <v>1605</v>
      </c>
      <c r="B2154" t="s">
        <v>3222</v>
      </c>
      <c r="C2154">
        <v>37.216636387500003</v>
      </c>
      <c r="D2154">
        <v>-7.0954161397500002</v>
      </c>
      <c r="E2154">
        <v>2</v>
      </c>
      <c r="F2154">
        <v>2</v>
      </c>
      <c r="G2154">
        <v>3</v>
      </c>
      <c r="J2154" t="s">
        <v>15</v>
      </c>
      <c r="K2154">
        <v>2</v>
      </c>
      <c r="L2154">
        <v>2.1749999999999998</v>
      </c>
      <c r="M2154">
        <v>0</v>
      </c>
      <c r="N2154" t="s">
        <v>10019</v>
      </c>
      <c r="O2154" t="str">
        <f>HYPERLINK("2\1\marker_568_957968.png", "Ver Imagen")</f>
        <v>Ver Imagen</v>
      </c>
      <c r="P2154" t="str">
        <f>HYPERLINK("SO\A-5052\A-5052__122.png", "Ver Imagen")</f>
        <v>Ver Imagen</v>
      </c>
    </row>
    <row r="2155" spans="1:16" x14ac:dyDescent="0.25">
      <c r="A2155">
        <v>1606</v>
      </c>
      <c r="B2155" t="s">
        <v>3224</v>
      </c>
      <c r="C2155">
        <v>37.496813433900002</v>
      </c>
      <c r="D2155">
        <v>-7.2681624127499997</v>
      </c>
      <c r="E2155">
        <v>3</v>
      </c>
      <c r="F2155">
        <v>2</v>
      </c>
      <c r="G2155">
        <v>2</v>
      </c>
      <c r="J2155" t="s">
        <v>15</v>
      </c>
      <c r="K2155">
        <v>2</v>
      </c>
      <c r="L2155">
        <v>1.893</v>
      </c>
      <c r="M2155">
        <v>0</v>
      </c>
      <c r="N2155" t="s">
        <v>10019</v>
      </c>
      <c r="O2155" t="str">
        <f>HYPERLINK("2\1\marker_186_789989.png", "Ver Imagen")</f>
        <v>Ver Imagen</v>
      </c>
      <c r="P2155" t="str">
        <f>HYPERLINK("NO\A-499\A-499__90.png", "Ver Imagen")</f>
        <v>Ver Imagen</v>
      </c>
    </row>
    <row r="2156" spans="1:16" x14ac:dyDescent="0.25">
      <c r="A2156">
        <v>1607</v>
      </c>
      <c r="B2156" t="s">
        <v>3226</v>
      </c>
      <c r="C2156">
        <v>37.498026299499998</v>
      </c>
      <c r="D2156">
        <v>-7.2677778931199999</v>
      </c>
      <c r="E2156">
        <v>3</v>
      </c>
      <c r="F2156">
        <v>2</v>
      </c>
      <c r="G2156">
        <v>2</v>
      </c>
      <c r="J2156" t="s">
        <v>15</v>
      </c>
      <c r="K2156">
        <v>2</v>
      </c>
      <c r="L2156">
        <v>1.9750000000000001</v>
      </c>
      <c r="M2156">
        <v>0</v>
      </c>
      <c r="N2156" t="s">
        <v>10019</v>
      </c>
      <c r="O2156" t="str">
        <f>HYPERLINK("2\1\marker_150_793150.png", "Ver Imagen")</f>
        <v>Ver Imagen</v>
      </c>
      <c r="P2156" t="str">
        <f>HYPERLINK("NO\A-499\A-499__96.png", "Ver Imagen")</f>
        <v>Ver Imagen</v>
      </c>
    </row>
    <row r="2157" spans="1:16" x14ac:dyDescent="0.25">
      <c r="A2157">
        <v>1608</v>
      </c>
      <c r="B2157" t="s">
        <v>3228</v>
      </c>
      <c r="E2157">
        <v>2</v>
      </c>
      <c r="F2157">
        <v>2</v>
      </c>
      <c r="G2157">
        <v>3</v>
      </c>
      <c r="J2157" t="s">
        <v>3230</v>
      </c>
      <c r="K2157">
        <v>3</v>
      </c>
      <c r="L2157">
        <v>3.1680000000000001</v>
      </c>
      <c r="M2157">
        <v>0</v>
      </c>
      <c r="N2157" t="s">
        <v>10019</v>
      </c>
      <c r="O2157" t="str">
        <f>HYPERLINK("2\1\marker_309_648402.png", "Ver Imagen")</f>
        <v>Ver Imagen</v>
      </c>
      <c r="P2157" t="str">
        <f>HYPERLINK("NE\A-490\A-490__60.png", "Ver Imagen")</f>
        <v>Ver Imagen</v>
      </c>
    </row>
    <row r="2158" spans="1:16" x14ac:dyDescent="0.25">
      <c r="A2158">
        <v>1609</v>
      </c>
      <c r="B2158" t="s">
        <v>3231</v>
      </c>
      <c r="C2158">
        <v>37.479103463599998</v>
      </c>
      <c r="D2158">
        <v>-7.2082776155800001</v>
      </c>
      <c r="E2158">
        <v>2</v>
      </c>
      <c r="F2158">
        <v>2</v>
      </c>
      <c r="G2158">
        <v>3</v>
      </c>
      <c r="J2158" t="s">
        <v>15</v>
      </c>
      <c r="K2158">
        <v>2</v>
      </c>
      <c r="L2158">
        <v>2.1880000000000002</v>
      </c>
      <c r="M2158">
        <v>0</v>
      </c>
      <c r="N2158" t="s">
        <v>10017</v>
      </c>
      <c r="O2158" t="str">
        <f>HYPERLINK("2\1\marker_205_752162.png", "Ver Imagen")</f>
        <v>Ver Imagen</v>
      </c>
      <c r="P2158" t="str">
        <f>HYPERLINK("NO\A-490\A-490__373.png", "Ver Imagen")</f>
        <v>Ver Imagen</v>
      </c>
    </row>
    <row r="2159" spans="1:16" x14ac:dyDescent="0.25">
      <c r="A2159">
        <v>1610</v>
      </c>
      <c r="B2159" t="s">
        <v>3233</v>
      </c>
      <c r="C2159">
        <v>37.482773909899997</v>
      </c>
      <c r="D2159">
        <v>-7.21902106822</v>
      </c>
      <c r="E2159">
        <v>1</v>
      </c>
      <c r="F2159">
        <v>2</v>
      </c>
      <c r="G2159">
        <v>2</v>
      </c>
      <c r="J2159" t="s">
        <v>15</v>
      </c>
      <c r="K2159">
        <v>2</v>
      </c>
      <c r="L2159">
        <v>1.6919999999999999</v>
      </c>
      <c r="M2159">
        <v>0</v>
      </c>
      <c r="N2159" t="s">
        <v>10019</v>
      </c>
      <c r="O2159" t="str">
        <f>HYPERLINK("2\1\marker_743_754280.png", "Ver Imagen")</f>
        <v>Ver Imagen</v>
      </c>
      <c r="P2159" t="str">
        <f>HYPERLINK("NO\A-490\A-490__419.png", "Ver Imagen")</f>
        <v>Ver Imagen</v>
      </c>
    </row>
    <row r="2160" spans="1:16" x14ac:dyDescent="0.25">
      <c r="A2160">
        <v>1611</v>
      </c>
      <c r="B2160" t="s">
        <v>3235</v>
      </c>
      <c r="C2160">
        <v>37.482811378999997</v>
      </c>
      <c r="D2160">
        <v>-7.2192134193599999</v>
      </c>
      <c r="E2160">
        <v>1</v>
      </c>
      <c r="F2160">
        <v>2</v>
      </c>
      <c r="G2160">
        <v>2</v>
      </c>
      <c r="J2160" t="s">
        <v>15</v>
      </c>
      <c r="K2160">
        <v>2</v>
      </c>
      <c r="L2160">
        <v>2.0339999999999998</v>
      </c>
      <c r="M2160">
        <v>0</v>
      </c>
      <c r="N2160" t="s">
        <v>10019</v>
      </c>
      <c r="O2160" t="str">
        <f>HYPERLINK("2\1\marker_803_754293.png", "Ver Imagen")</f>
        <v>Ver Imagen</v>
      </c>
      <c r="P2160" t="str">
        <f>HYPERLINK("NO\A-490\A-490__420.png", "Ver Imagen")</f>
        <v>Ver Imagen</v>
      </c>
    </row>
    <row r="2161" spans="1:16" x14ac:dyDescent="0.25">
      <c r="A2161">
        <v>1612</v>
      </c>
      <c r="B2161" t="s">
        <v>3237</v>
      </c>
      <c r="C2161">
        <v>37.484968586299999</v>
      </c>
      <c r="D2161">
        <v>-7.2302884478199996</v>
      </c>
      <c r="E2161">
        <v>1</v>
      </c>
      <c r="F2161">
        <v>2</v>
      </c>
      <c r="G2161">
        <v>2</v>
      </c>
      <c r="J2161" t="s">
        <v>15</v>
      </c>
      <c r="K2161">
        <v>2</v>
      </c>
      <c r="L2161">
        <v>2.4750000000000001</v>
      </c>
      <c r="M2161">
        <v>0</v>
      </c>
      <c r="N2161" t="s">
        <v>10017</v>
      </c>
      <c r="O2161" t="str">
        <f>HYPERLINK("2\1\marker_202_755299.png", "Ver Imagen")</f>
        <v>Ver Imagen</v>
      </c>
      <c r="P2161" t="str">
        <f>HYPERLINK("NO\A-490\A-490__465.png", "Ver Imagen")</f>
        <v>Ver Imagen</v>
      </c>
    </row>
    <row r="2162" spans="1:16" x14ac:dyDescent="0.25">
      <c r="A2162">
        <v>1613</v>
      </c>
      <c r="B2162" t="s">
        <v>3239</v>
      </c>
      <c r="C2162">
        <v>37.485460257500002</v>
      </c>
      <c r="D2162">
        <v>-7.2328505825800002</v>
      </c>
      <c r="E2162">
        <v>1</v>
      </c>
      <c r="F2162">
        <v>2</v>
      </c>
      <c r="G2162">
        <v>2</v>
      </c>
      <c r="J2162" t="s">
        <v>15</v>
      </c>
      <c r="K2162">
        <v>2</v>
      </c>
      <c r="L2162">
        <v>1.881</v>
      </c>
      <c r="M2162">
        <v>0</v>
      </c>
      <c r="N2162" t="s">
        <v>10019</v>
      </c>
      <c r="O2162" t="str">
        <f>HYPERLINK("2\1\marker_994_755497.png", "Ver Imagen")</f>
        <v>Ver Imagen</v>
      </c>
      <c r="P2162" t="str">
        <f>HYPERLINK("NO\A-490\A-490__475.png", "Ver Imagen")</f>
        <v>Ver Imagen</v>
      </c>
    </row>
    <row r="2163" spans="1:16" x14ac:dyDescent="0.25">
      <c r="A2163">
        <v>1614</v>
      </c>
      <c r="B2163" t="s">
        <v>3241</v>
      </c>
      <c r="C2163">
        <v>37.485502887700001</v>
      </c>
      <c r="D2163">
        <v>-7.2330718201700002</v>
      </c>
      <c r="E2163">
        <v>1</v>
      </c>
      <c r="F2163">
        <v>2</v>
      </c>
      <c r="G2163">
        <v>2</v>
      </c>
      <c r="J2163" t="s">
        <v>15</v>
      </c>
      <c r="K2163">
        <v>2</v>
      </c>
      <c r="L2163">
        <v>1.6559999999999999</v>
      </c>
      <c r="M2163">
        <v>0</v>
      </c>
      <c r="N2163" t="s">
        <v>10017</v>
      </c>
      <c r="O2163" t="str">
        <f>HYPERLINK("2\1\marker_959_755512.png", "Ver Imagen")</f>
        <v>Ver Imagen</v>
      </c>
      <c r="P2163" t="str">
        <f>HYPERLINK("NO\A-490\A-490__476.png", "Ver Imagen")</f>
        <v>Ver Imagen</v>
      </c>
    </row>
    <row r="2164" spans="1:16" x14ac:dyDescent="0.25">
      <c r="A2164">
        <v>1615</v>
      </c>
      <c r="B2164" t="s">
        <v>3243</v>
      </c>
      <c r="C2164">
        <v>37.4855448</v>
      </c>
      <c r="D2164">
        <v>-7.2332923105200004</v>
      </c>
      <c r="E2164">
        <v>1</v>
      </c>
      <c r="F2164">
        <v>2</v>
      </c>
      <c r="G2164">
        <v>2</v>
      </c>
      <c r="J2164" t="s">
        <v>15</v>
      </c>
      <c r="K2164">
        <v>2</v>
      </c>
      <c r="L2164">
        <v>2.0139999999999998</v>
      </c>
      <c r="M2164">
        <v>0</v>
      </c>
      <c r="N2164" t="s">
        <v>10018</v>
      </c>
      <c r="O2164" t="str">
        <f>HYPERLINK("2\1\marker_272_755527.png", "Ver Imagen")</f>
        <v>Ver Imagen</v>
      </c>
      <c r="P2164" t="str">
        <f>HYPERLINK("NO\A-490\A-490__477.png", "Ver Imagen")</f>
        <v>Ver Imagen</v>
      </c>
    </row>
    <row r="2165" spans="1:16" x14ac:dyDescent="0.25">
      <c r="A2165">
        <v>1616</v>
      </c>
      <c r="B2165" t="s">
        <v>3245</v>
      </c>
      <c r="C2165">
        <v>37.485593502599997</v>
      </c>
      <c r="D2165">
        <v>-7.2335535559900004</v>
      </c>
      <c r="E2165">
        <v>1</v>
      </c>
      <c r="F2165">
        <v>2</v>
      </c>
      <c r="G2165">
        <v>2</v>
      </c>
      <c r="J2165" t="s">
        <v>15</v>
      </c>
      <c r="K2165">
        <v>2</v>
      </c>
      <c r="L2165">
        <v>2.137</v>
      </c>
      <c r="M2165">
        <v>0</v>
      </c>
      <c r="N2165" t="s">
        <v>10019</v>
      </c>
      <c r="O2165" t="str">
        <f>HYPERLINK("2\1\marker_197_755544.png", "Ver Imagen")</f>
        <v>Ver Imagen</v>
      </c>
      <c r="P2165" t="str">
        <f>HYPERLINK("NO\A-490\A-490__478.png", "Ver Imagen")</f>
        <v>Ver Imagen</v>
      </c>
    </row>
    <row r="2166" spans="1:16" x14ac:dyDescent="0.25">
      <c r="A2166">
        <v>1617</v>
      </c>
      <c r="B2166" t="s">
        <v>3247</v>
      </c>
      <c r="C2166">
        <v>37.486064377799998</v>
      </c>
      <c r="D2166">
        <v>-7.2359960518299999</v>
      </c>
      <c r="E2166">
        <v>1</v>
      </c>
      <c r="F2166">
        <v>2</v>
      </c>
      <c r="G2166">
        <v>2</v>
      </c>
      <c r="J2166" t="s">
        <v>15</v>
      </c>
      <c r="K2166">
        <v>2</v>
      </c>
      <c r="L2166">
        <v>1.9870000000000001</v>
      </c>
      <c r="M2166">
        <v>0</v>
      </c>
      <c r="N2166" t="s">
        <v>10019</v>
      </c>
      <c r="O2166" t="str">
        <f>HYPERLINK("2\1\marker_804_755735.png", "Ver Imagen")</f>
        <v>Ver Imagen</v>
      </c>
      <c r="P2166" t="str">
        <f>HYPERLINK("NO\A-490\A-490__488.png", "Ver Imagen")</f>
        <v>Ver Imagen</v>
      </c>
    </row>
    <row r="2167" spans="1:16" x14ac:dyDescent="0.25">
      <c r="A2167">
        <v>1618</v>
      </c>
      <c r="B2167" t="s">
        <v>3249</v>
      </c>
      <c r="C2167">
        <v>37.4862097412</v>
      </c>
      <c r="D2167">
        <v>-7.2367448545000004</v>
      </c>
      <c r="E2167">
        <v>1</v>
      </c>
      <c r="F2167">
        <v>2</v>
      </c>
      <c r="G2167">
        <v>2</v>
      </c>
      <c r="J2167" t="s">
        <v>15</v>
      </c>
      <c r="K2167">
        <v>2</v>
      </c>
      <c r="L2167">
        <v>1.8240000000000001</v>
      </c>
      <c r="M2167">
        <v>0</v>
      </c>
      <c r="N2167" t="s">
        <v>10019</v>
      </c>
      <c r="O2167" t="str">
        <f>HYPERLINK("2\1\marker_330_755778.png", "Ver Imagen")</f>
        <v>Ver Imagen</v>
      </c>
      <c r="P2167" t="str">
        <f>HYPERLINK("NO\A-490\A-490__491.png", "Ver Imagen")</f>
        <v>Ver Imagen</v>
      </c>
    </row>
    <row r="2168" spans="1:16" x14ac:dyDescent="0.25">
      <c r="A2168">
        <v>1620</v>
      </c>
      <c r="B2168" t="s">
        <v>3253</v>
      </c>
      <c r="C2168">
        <v>37.486440765499999</v>
      </c>
      <c r="D2168">
        <v>-7.2379518539600003</v>
      </c>
      <c r="E2168">
        <v>1</v>
      </c>
      <c r="F2168">
        <v>2</v>
      </c>
      <c r="G2168">
        <v>2</v>
      </c>
      <c r="J2168" t="s">
        <v>15</v>
      </c>
      <c r="K2168">
        <v>2</v>
      </c>
      <c r="L2168">
        <v>2.137</v>
      </c>
      <c r="M2168">
        <v>0</v>
      </c>
      <c r="N2168" t="s">
        <v>10019</v>
      </c>
      <c r="O2168" t="str">
        <f>HYPERLINK("2\1\marker_371_755902.png", "Ver Imagen")</f>
        <v>Ver Imagen</v>
      </c>
      <c r="P2168" t="str">
        <f>HYPERLINK("NO\A-490\A-490__496.png", "Ver Imagen")</f>
        <v>Ver Imagen</v>
      </c>
    </row>
    <row r="2169" spans="1:16" x14ac:dyDescent="0.25">
      <c r="A2169">
        <v>1623</v>
      </c>
      <c r="B2169" t="s">
        <v>3259</v>
      </c>
      <c r="C2169">
        <v>37.4944257609</v>
      </c>
      <c r="D2169">
        <v>-7.2660361710099997</v>
      </c>
      <c r="E2169">
        <v>1</v>
      </c>
      <c r="F2169">
        <v>2</v>
      </c>
      <c r="G2169">
        <v>2</v>
      </c>
      <c r="J2169" t="s">
        <v>15</v>
      </c>
      <c r="K2169">
        <v>2</v>
      </c>
      <c r="L2169">
        <v>2.0950000000000002</v>
      </c>
      <c r="M2169">
        <v>0</v>
      </c>
      <c r="N2169" t="s">
        <v>10019</v>
      </c>
      <c r="O2169" t="str">
        <f>HYPERLINK("2\1\marker_297_820322.png", "Ver Imagen")</f>
        <v>Ver Imagen</v>
      </c>
      <c r="P2169" t="str">
        <f>HYPERLINK("NO\A-490\A-490__621.png", "Ver Imagen")</f>
        <v>Ver Imagen</v>
      </c>
    </row>
    <row r="2170" spans="1:16" x14ac:dyDescent="0.25">
      <c r="A2170">
        <v>1624</v>
      </c>
      <c r="B2170" t="s">
        <v>3261</v>
      </c>
      <c r="C2170">
        <v>37.279408694399997</v>
      </c>
      <c r="D2170">
        <v>-6.9960811429699996</v>
      </c>
      <c r="E2170">
        <v>2</v>
      </c>
      <c r="F2170">
        <v>2</v>
      </c>
      <c r="G2170">
        <v>3</v>
      </c>
      <c r="J2170" t="s">
        <v>15</v>
      </c>
      <c r="K2170">
        <v>2</v>
      </c>
      <c r="L2170">
        <v>1.573</v>
      </c>
      <c r="M2170">
        <v>0</v>
      </c>
      <c r="N2170" t="s">
        <v>10019</v>
      </c>
      <c r="O2170" t="str">
        <f>HYPERLINK("2\1\marker_429_823028.png", "Ver Imagen")</f>
        <v>Ver Imagen</v>
      </c>
      <c r="P2170" t="str">
        <f>HYPERLINK("SE\A-492\A-492__52.png", "Ver Imagen")</f>
        <v>Ver Imagen</v>
      </c>
    </row>
    <row r="2171" spans="1:16" x14ac:dyDescent="0.25">
      <c r="A2171">
        <v>1625</v>
      </c>
      <c r="B2171" t="s">
        <v>3263</v>
      </c>
      <c r="C2171">
        <v>37.279576167400002</v>
      </c>
      <c r="D2171">
        <v>-6.9968262905799996</v>
      </c>
      <c r="E2171">
        <v>2</v>
      </c>
      <c r="F2171">
        <v>2</v>
      </c>
      <c r="G2171">
        <v>3</v>
      </c>
      <c r="J2171" t="s">
        <v>15</v>
      </c>
      <c r="K2171">
        <v>2</v>
      </c>
      <c r="L2171">
        <v>1.887</v>
      </c>
      <c r="M2171">
        <v>0</v>
      </c>
      <c r="N2171" t="s">
        <v>10019</v>
      </c>
      <c r="O2171" t="str">
        <f>HYPERLINK("2\1\marker_319_823076.png", "Ver Imagen")</f>
        <v>Ver Imagen</v>
      </c>
      <c r="P2171" t="str">
        <f>HYPERLINK("SE\A-492\A-492__55.png", "Ver Imagen")</f>
        <v>Ver Imagen</v>
      </c>
    </row>
    <row r="2172" spans="1:16" x14ac:dyDescent="0.25">
      <c r="A2172">
        <v>1626</v>
      </c>
      <c r="B2172" t="s">
        <v>3265</v>
      </c>
      <c r="C2172">
        <v>37.2796175832</v>
      </c>
      <c r="D2172">
        <v>-6.9970290020199997</v>
      </c>
      <c r="E2172">
        <v>2</v>
      </c>
      <c r="F2172">
        <v>2</v>
      </c>
      <c r="G2172">
        <v>3</v>
      </c>
      <c r="J2172" t="s">
        <v>15</v>
      </c>
      <c r="K2172">
        <v>2</v>
      </c>
      <c r="L2172">
        <v>1.601</v>
      </c>
      <c r="M2172">
        <v>0</v>
      </c>
      <c r="N2172" t="s">
        <v>10019</v>
      </c>
      <c r="O2172" t="str">
        <f>HYPERLINK("2\1\marker_956_823086.png", "Ver Imagen")</f>
        <v>Ver Imagen</v>
      </c>
      <c r="P2172" t="str">
        <f>HYPERLINK("SE\A-492\A-492__56.png", "Ver Imagen")</f>
        <v>Ver Imagen</v>
      </c>
    </row>
    <row r="2173" spans="1:16" x14ac:dyDescent="0.25">
      <c r="A2173">
        <v>1627</v>
      </c>
      <c r="B2173" t="s">
        <v>3267</v>
      </c>
      <c r="C2173">
        <v>37.275445910899997</v>
      </c>
      <c r="D2173">
        <v>-7.0175266367000004</v>
      </c>
      <c r="E2173">
        <v>1</v>
      </c>
      <c r="F2173">
        <v>2</v>
      </c>
      <c r="G2173">
        <v>2</v>
      </c>
      <c r="J2173" t="s">
        <v>15</v>
      </c>
      <c r="K2173">
        <v>2</v>
      </c>
      <c r="L2173">
        <v>1.84</v>
      </c>
      <c r="M2173">
        <v>0</v>
      </c>
      <c r="N2173" t="s">
        <v>10018</v>
      </c>
      <c r="O2173" t="str">
        <f>HYPERLINK("2\1\marker_219_824758.png", "Ver Imagen")</f>
        <v>Ver Imagen</v>
      </c>
      <c r="P2173" t="str">
        <f>HYPERLINK("SE\A-492\A-492__147.png", "Ver Imagen")</f>
        <v>Ver Imagen</v>
      </c>
    </row>
    <row r="2174" spans="1:16" x14ac:dyDescent="0.25">
      <c r="A2174">
        <v>1628</v>
      </c>
      <c r="B2174" t="s">
        <v>3269</v>
      </c>
      <c r="C2174">
        <v>37.285992301100002</v>
      </c>
      <c r="D2174">
        <v>-7.0413996696199996</v>
      </c>
      <c r="E2174">
        <v>1</v>
      </c>
      <c r="F2174">
        <v>2</v>
      </c>
      <c r="G2174">
        <v>2</v>
      </c>
      <c r="J2174" t="s">
        <v>15</v>
      </c>
      <c r="K2174">
        <v>2</v>
      </c>
      <c r="L2174">
        <v>2.04</v>
      </c>
      <c r="M2174">
        <v>0</v>
      </c>
      <c r="N2174" t="s">
        <v>10019</v>
      </c>
      <c r="O2174" t="str">
        <f>HYPERLINK("2\1\marker_341_836626.png", "Ver Imagen")</f>
        <v>Ver Imagen</v>
      </c>
      <c r="P2174" t="str">
        <f>HYPERLINK("SE\A-492\A-492__263.png", "Ver Imagen")</f>
        <v>Ver Imagen</v>
      </c>
    </row>
    <row r="2175" spans="1:16" x14ac:dyDescent="0.25">
      <c r="A2175">
        <v>1629</v>
      </c>
      <c r="B2175" t="s">
        <v>3271</v>
      </c>
      <c r="C2175">
        <v>37.286900164599999</v>
      </c>
      <c r="D2175">
        <v>-7.0419162537500002</v>
      </c>
      <c r="E2175">
        <v>1</v>
      </c>
      <c r="F2175">
        <v>2</v>
      </c>
      <c r="G2175">
        <v>2</v>
      </c>
      <c r="J2175" t="s">
        <v>15</v>
      </c>
      <c r="K2175">
        <v>2</v>
      </c>
      <c r="L2175">
        <v>2.1419999999999999</v>
      </c>
      <c r="M2175">
        <v>0</v>
      </c>
      <c r="N2175" t="s">
        <v>10019</v>
      </c>
      <c r="O2175" t="str">
        <f>HYPERLINK("2\1\marker_546_836725.png", "Ver Imagen")</f>
        <v>Ver Imagen</v>
      </c>
      <c r="P2175" t="str">
        <f>HYPERLINK("SE\A-492\A-492__268.png", "Ver Imagen")</f>
        <v>Ver Imagen</v>
      </c>
    </row>
    <row r="2176" spans="1:16" x14ac:dyDescent="0.25">
      <c r="A2176">
        <v>1630</v>
      </c>
      <c r="B2176" t="s">
        <v>3273</v>
      </c>
      <c r="C2176">
        <v>37.2873060943</v>
      </c>
      <c r="D2176">
        <v>-7.0420980249699996</v>
      </c>
      <c r="E2176">
        <v>1</v>
      </c>
      <c r="F2176">
        <v>2</v>
      </c>
      <c r="G2176">
        <v>2</v>
      </c>
      <c r="J2176" t="s">
        <v>15</v>
      </c>
      <c r="K2176">
        <v>2</v>
      </c>
      <c r="L2176">
        <v>2.3420000000000001</v>
      </c>
      <c r="M2176">
        <v>0</v>
      </c>
      <c r="N2176" t="s">
        <v>10019</v>
      </c>
      <c r="O2176" t="str">
        <f>HYPERLINK("2\1\marker_730_836750.png", "Ver Imagen")</f>
        <v>Ver Imagen</v>
      </c>
      <c r="P2176" t="str">
        <f>HYPERLINK("SE\A-492\A-492__270.png", "Ver Imagen")</f>
        <v>Ver Imagen</v>
      </c>
    </row>
    <row r="2177" spans="1:16" x14ac:dyDescent="0.25">
      <c r="A2177">
        <v>1631</v>
      </c>
      <c r="B2177" t="s">
        <v>3275</v>
      </c>
      <c r="C2177">
        <v>37.295664063399997</v>
      </c>
      <c r="D2177">
        <v>-7.0494017970099998</v>
      </c>
      <c r="E2177">
        <v>1</v>
      </c>
      <c r="F2177">
        <v>2</v>
      </c>
      <c r="G2177">
        <v>2</v>
      </c>
      <c r="J2177" t="s">
        <v>15</v>
      </c>
      <c r="K2177">
        <v>2</v>
      </c>
      <c r="L2177">
        <v>1.9219999999999999</v>
      </c>
      <c r="M2177">
        <v>0</v>
      </c>
      <c r="N2177" t="s">
        <v>10019</v>
      </c>
      <c r="O2177" t="str">
        <f>HYPERLINK("2\1\marker_293_837984.png", "Ver Imagen")</f>
        <v>Ver Imagen</v>
      </c>
      <c r="P2177" t="str">
        <f>HYPERLINK("SE\A-492\A-492__322.png", "Ver Imagen")</f>
        <v>Ver Imagen</v>
      </c>
    </row>
    <row r="2178" spans="1:16" x14ac:dyDescent="0.25">
      <c r="A2178">
        <v>1632</v>
      </c>
      <c r="B2178" t="s">
        <v>3277</v>
      </c>
      <c r="C2178">
        <v>37.297586641700001</v>
      </c>
      <c r="D2178">
        <v>-7.0529427508199998</v>
      </c>
      <c r="E2178">
        <v>1</v>
      </c>
      <c r="F2178">
        <v>2</v>
      </c>
      <c r="G2178">
        <v>2</v>
      </c>
      <c r="J2178" t="s">
        <v>15</v>
      </c>
      <c r="K2178">
        <v>2</v>
      </c>
      <c r="L2178">
        <v>1.7350000000000001</v>
      </c>
      <c r="M2178">
        <v>0</v>
      </c>
      <c r="N2178" t="s">
        <v>10019</v>
      </c>
      <c r="O2178" t="str">
        <f>HYPERLINK("2\1\marker_599_838190.png", "Ver Imagen")</f>
        <v>Ver Imagen</v>
      </c>
      <c r="P2178" t="str">
        <f>HYPERLINK("SE\A-492\A-492__339.png", "Ver Imagen")</f>
        <v>Ver Imagen</v>
      </c>
    </row>
    <row r="2179" spans="1:16" x14ac:dyDescent="0.25">
      <c r="A2179">
        <v>1633</v>
      </c>
      <c r="B2179" t="s">
        <v>3279</v>
      </c>
      <c r="C2179">
        <v>37.3125339586</v>
      </c>
      <c r="D2179">
        <v>-7.0610082619899996</v>
      </c>
      <c r="E2179">
        <v>1</v>
      </c>
      <c r="F2179">
        <v>2</v>
      </c>
      <c r="G2179">
        <v>2</v>
      </c>
      <c r="J2179" t="s">
        <v>15</v>
      </c>
      <c r="K2179">
        <v>2</v>
      </c>
      <c r="L2179">
        <v>2.0059999999999998</v>
      </c>
      <c r="M2179">
        <v>0</v>
      </c>
      <c r="N2179" t="s">
        <v>10019</v>
      </c>
      <c r="O2179" t="str">
        <f>HYPERLINK("2\1\marker_617_839448.png", "Ver Imagen")</f>
        <v>Ver Imagen</v>
      </c>
      <c r="P2179" t="str">
        <f>HYPERLINK("SE\A-492\A-492__423.png", "Ver Imagen")</f>
        <v>Ver Imagen</v>
      </c>
    </row>
    <row r="2180" spans="1:16" x14ac:dyDescent="0.25">
      <c r="A2180">
        <v>1634</v>
      </c>
      <c r="B2180" t="s">
        <v>3281</v>
      </c>
      <c r="C2180">
        <v>37.314944988800001</v>
      </c>
      <c r="D2180">
        <v>-7.06538215545</v>
      </c>
      <c r="E2180">
        <v>1</v>
      </c>
      <c r="F2180">
        <v>2</v>
      </c>
      <c r="G2180">
        <v>2</v>
      </c>
      <c r="J2180" t="s">
        <v>15</v>
      </c>
      <c r="K2180">
        <v>2</v>
      </c>
      <c r="L2180">
        <v>1.5620000000000001</v>
      </c>
      <c r="M2180">
        <v>0</v>
      </c>
      <c r="N2180" t="s">
        <v>10019</v>
      </c>
      <c r="O2180" t="str">
        <f>HYPERLINK("2\1\marker_441_839744.png", "Ver Imagen")</f>
        <v>Ver Imagen</v>
      </c>
      <c r="P2180" t="str">
        <f>HYPERLINK("SE\A-492\A-492__444.png", "Ver Imagen")</f>
        <v>Ver Imagen</v>
      </c>
    </row>
    <row r="2181" spans="1:16" x14ac:dyDescent="0.25">
      <c r="A2181">
        <v>1635</v>
      </c>
      <c r="B2181" t="s">
        <v>3283</v>
      </c>
      <c r="C2181">
        <v>37.318362481900003</v>
      </c>
      <c r="D2181">
        <v>-7.0713183015299999</v>
      </c>
      <c r="E2181">
        <v>2</v>
      </c>
      <c r="F2181">
        <v>2</v>
      </c>
      <c r="G2181">
        <v>3</v>
      </c>
      <c r="J2181" t="s">
        <v>15</v>
      </c>
      <c r="K2181">
        <v>2</v>
      </c>
      <c r="L2181">
        <v>1.923</v>
      </c>
      <c r="M2181">
        <v>0</v>
      </c>
      <c r="N2181" t="s">
        <v>10019</v>
      </c>
      <c r="O2181" t="str">
        <f>HYPERLINK("2\1\marker_677_840102.png", "Ver Imagen")</f>
        <v>Ver Imagen</v>
      </c>
      <c r="P2181" t="str">
        <f>HYPERLINK("SE\A-492\A-492__475.png", "Ver Imagen")</f>
        <v>Ver Imagen</v>
      </c>
    </row>
    <row r="2182" spans="1:16" x14ac:dyDescent="0.25">
      <c r="A2182">
        <v>1636</v>
      </c>
      <c r="B2182" t="s">
        <v>3285</v>
      </c>
      <c r="C2182">
        <v>37.318762663100003</v>
      </c>
      <c r="D2182">
        <v>-7.0713887377200004</v>
      </c>
      <c r="E2182">
        <v>2</v>
      </c>
      <c r="F2182">
        <v>2</v>
      </c>
      <c r="G2182">
        <v>3</v>
      </c>
      <c r="J2182" t="s">
        <v>15</v>
      </c>
      <c r="K2182">
        <v>2</v>
      </c>
      <c r="L2182">
        <v>2.1459999999999999</v>
      </c>
      <c r="M2182">
        <v>0</v>
      </c>
      <c r="N2182" t="s">
        <v>10017</v>
      </c>
      <c r="O2182" t="str">
        <f>HYPERLINK("2\1\marker_336_840122.png", "Ver Imagen")</f>
        <v>Ver Imagen</v>
      </c>
      <c r="P2182" t="str">
        <f>HYPERLINK("SE\A-492\A-492__477.png", "Ver Imagen")</f>
        <v>Ver Imagen</v>
      </c>
    </row>
    <row r="2183" spans="1:16" x14ac:dyDescent="0.25">
      <c r="A2183">
        <v>1637</v>
      </c>
      <c r="B2183" t="s">
        <v>3287</v>
      </c>
      <c r="C2183">
        <v>37.191516207500001</v>
      </c>
      <c r="D2183">
        <v>-6.9920555397399999</v>
      </c>
      <c r="E2183">
        <v>2</v>
      </c>
      <c r="F2183">
        <v>2</v>
      </c>
      <c r="G2183">
        <v>3</v>
      </c>
      <c r="J2183" t="s">
        <v>15</v>
      </c>
      <c r="K2183">
        <v>2</v>
      </c>
      <c r="L2183">
        <v>1.778</v>
      </c>
      <c r="M2183">
        <v>0</v>
      </c>
      <c r="N2183" t="s">
        <v>10019</v>
      </c>
      <c r="O2183" t="str">
        <f>HYPERLINK("2\1\marker_374_944331.png", "Ver Imagen")</f>
        <v>Ver Imagen</v>
      </c>
      <c r="P2183" t="str">
        <f>HYPERLINK("SE\A-5050\A-5050__166.png", "Ver Imagen")</f>
        <v>Ver Imagen</v>
      </c>
    </row>
    <row r="2184" spans="1:16" x14ac:dyDescent="0.25">
      <c r="A2184">
        <v>1638</v>
      </c>
      <c r="B2184" t="s">
        <v>3289</v>
      </c>
      <c r="C2184">
        <v>37.191929676800001</v>
      </c>
      <c r="D2184">
        <v>-6.9929134984800001</v>
      </c>
      <c r="E2184">
        <v>2</v>
      </c>
      <c r="F2184">
        <v>2</v>
      </c>
      <c r="G2184">
        <v>3</v>
      </c>
      <c r="J2184" t="s">
        <v>15</v>
      </c>
      <c r="K2184">
        <v>2</v>
      </c>
      <c r="L2184">
        <v>2.1880000000000002</v>
      </c>
      <c r="M2184">
        <v>0</v>
      </c>
      <c r="N2184" t="s">
        <v>10019</v>
      </c>
      <c r="O2184" t="str">
        <f>HYPERLINK("2\1\marker_251_944669.png", "Ver Imagen")</f>
        <v>Ver Imagen</v>
      </c>
      <c r="P2184" t="str">
        <f>HYPERLINK("SE\A-5050\A-5050__162.png", "Ver Imagen")</f>
        <v>Ver Imagen</v>
      </c>
    </row>
    <row r="2185" spans="1:16" x14ac:dyDescent="0.25">
      <c r="A2185">
        <v>1639</v>
      </c>
      <c r="B2185" t="s">
        <v>3291</v>
      </c>
      <c r="C2185">
        <v>37.217997164400003</v>
      </c>
      <c r="D2185">
        <v>-7.1210396790199999</v>
      </c>
      <c r="E2185">
        <v>3</v>
      </c>
      <c r="F2185">
        <v>2</v>
      </c>
      <c r="G2185">
        <v>2</v>
      </c>
      <c r="J2185" t="s">
        <v>15</v>
      </c>
      <c r="K2185">
        <v>2</v>
      </c>
      <c r="L2185">
        <v>2.3660000000000001</v>
      </c>
      <c r="M2185">
        <v>0</v>
      </c>
      <c r="N2185" t="s">
        <v>10018</v>
      </c>
      <c r="O2185" t="str">
        <f>HYPERLINK("2\1\marker_201_951472.png", "Ver Imagen")</f>
        <v>Ver Imagen</v>
      </c>
      <c r="P2185" t="str">
        <f>HYPERLINK("SO\A-5052\A-5052__20.png", "Ver Imagen")</f>
        <v>Ver Imagen</v>
      </c>
    </row>
    <row r="2186" spans="1:16" x14ac:dyDescent="0.25">
      <c r="A2186">
        <v>1640</v>
      </c>
      <c r="B2186" t="s">
        <v>3293</v>
      </c>
      <c r="C2186">
        <v>37.218016696200003</v>
      </c>
      <c r="D2186">
        <v>-7.1207897461399998</v>
      </c>
      <c r="E2186">
        <v>2</v>
      </c>
      <c r="F2186">
        <v>2</v>
      </c>
      <c r="G2186">
        <v>3</v>
      </c>
      <c r="J2186" t="s">
        <v>15</v>
      </c>
      <c r="K2186">
        <v>2</v>
      </c>
      <c r="L2186">
        <v>2.11</v>
      </c>
      <c r="M2186">
        <v>0</v>
      </c>
      <c r="N2186" t="s">
        <v>10019</v>
      </c>
      <c r="O2186" t="str">
        <f>HYPERLINK("2\1\marker_225_951484.png", "Ver Imagen")</f>
        <v>Ver Imagen</v>
      </c>
      <c r="P2186" t="str">
        <f>HYPERLINK("SO\A-5052\A-5052__21.png", "Ver Imagen")</f>
        <v>Ver Imagen</v>
      </c>
    </row>
    <row r="2187" spans="1:16" x14ac:dyDescent="0.25">
      <c r="A2187">
        <v>1641</v>
      </c>
      <c r="B2187" t="s">
        <v>3295</v>
      </c>
      <c r="C2187">
        <v>37.218107313200001</v>
      </c>
      <c r="D2187">
        <v>-7.1195173334700002</v>
      </c>
      <c r="E2187">
        <v>2</v>
      </c>
      <c r="F2187">
        <v>2</v>
      </c>
      <c r="G2187">
        <v>3</v>
      </c>
      <c r="J2187" t="s">
        <v>15</v>
      </c>
      <c r="K2187">
        <v>2</v>
      </c>
      <c r="L2187">
        <v>2.3559999999999999</v>
      </c>
      <c r="M2187">
        <v>0</v>
      </c>
      <c r="N2187" t="s">
        <v>10019</v>
      </c>
      <c r="O2187" t="str">
        <f>HYPERLINK("2\1\marker_171_951547.png", "Ver Imagen")</f>
        <v>Ver Imagen</v>
      </c>
      <c r="P2187" t="str">
        <f>HYPERLINK("SO\A-5052\A-5052__26.png", "Ver Imagen")</f>
        <v>Ver Imagen</v>
      </c>
    </row>
    <row r="2188" spans="1:16" x14ac:dyDescent="0.25">
      <c r="A2188">
        <v>1642</v>
      </c>
      <c r="B2188" t="s">
        <v>3297</v>
      </c>
      <c r="C2188">
        <v>37.217031388199999</v>
      </c>
      <c r="D2188">
        <v>-7.09944792779</v>
      </c>
      <c r="E2188">
        <v>2</v>
      </c>
      <c r="F2188">
        <v>2</v>
      </c>
      <c r="G2188">
        <v>3</v>
      </c>
      <c r="J2188" t="s">
        <v>15</v>
      </c>
      <c r="K2188">
        <v>2</v>
      </c>
      <c r="L2188">
        <v>2.02</v>
      </c>
      <c r="M2188">
        <v>0</v>
      </c>
      <c r="N2188" t="s">
        <v>10019</v>
      </c>
      <c r="O2188" t="str">
        <f>HYPERLINK("2\1\marker_581_957744.png", "Ver Imagen")</f>
        <v>Ver Imagen</v>
      </c>
      <c r="P2188" t="str">
        <f>HYPERLINK("SE\A-5052\A-5052__106.png", "Ver Imagen")</f>
        <v>Ver Imagen</v>
      </c>
    </row>
    <row r="2189" spans="1:16" x14ac:dyDescent="0.25">
      <c r="A2189">
        <v>1642</v>
      </c>
      <c r="B2189" t="s">
        <v>3297</v>
      </c>
      <c r="C2189">
        <v>37.217031388199999</v>
      </c>
      <c r="D2189">
        <v>-7.09944792779</v>
      </c>
      <c r="E2189">
        <v>2</v>
      </c>
      <c r="F2189">
        <v>2</v>
      </c>
      <c r="G2189">
        <v>3</v>
      </c>
      <c r="J2189" t="s">
        <v>15</v>
      </c>
      <c r="K2189">
        <v>2</v>
      </c>
      <c r="L2189">
        <v>2.0350000000000001</v>
      </c>
      <c r="M2189">
        <v>0</v>
      </c>
      <c r="N2189" t="s">
        <v>10019</v>
      </c>
      <c r="O2189" t="str">
        <f>HYPERLINK("2\1\marker_581_957744.png", "Ver Imagen")</f>
        <v>Ver Imagen</v>
      </c>
      <c r="P2189" t="str">
        <f>HYPERLINK("SO\A-5052\A-5052__106.png", "Ver Imagen")</f>
        <v>Ver Imagen</v>
      </c>
    </row>
    <row r="2190" spans="1:16" x14ac:dyDescent="0.25">
      <c r="A2190">
        <v>1643</v>
      </c>
      <c r="B2190" t="s">
        <v>3299</v>
      </c>
      <c r="C2190">
        <v>37.216577593899999</v>
      </c>
      <c r="D2190">
        <v>-7.0931819227900004</v>
      </c>
      <c r="E2190">
        <v>2</v>
      </c>
      <c r="F2190">
        <v>2</v>
      </c>
      <c r="G2190">
        <v>3</v>
      </c>
      <c r="J2190" t="s">
        <v>15</v>
      </c>
      <c r="K2190">
        <v>2</v>
      </c>
      <c r="L2190">
        <v>1.8640000000000001</v>
      </c>
      <c r="M2190">
        <v>0</v>
      </c>
      <c r="N2190" t="s">
        <v>10019</v>
      </c>
      <c r="O2190" t="str">
        <f>HYPERLINK("2\1\marker_221_958121.png", "Ver Imagen")</f>
        <v>Ver Imagen</v>
      </c>
      <c r="P2190" t="str">
        <f>HYPERLINK("SE\A-5052\A-5052__131.png", "Ver Imagen")</f>
        <v>Ver Imagen</v>
      </c>
    </row>
    <row r="2191" spans="1:16" x14ac:dyDescent="0.25">
      <c r="A2191">
        <v>1643</v>
      </c>
      <c r="B2191" t="s">
        <v>3299</v>
      </c>
      <c r="C2191">
        <v>37.216577593899999</v>
      </c>
      <c r="D2191">
        <v>-7.0931819227900004</v>
      </c>
      <c r="E2191">
        <v>2</v>
      </c>
      <c r="F2191">
        <v>2</v>
      </c>
      <c r="G2191">
        <v>3</v>
      </c>
      <c r="J2191" t="s">
        <v>15</v>
      </c>
      <c r="K2191">
        <v>2</v>
      </c>
      <c r="L2191">
        <v>1.7390000000000001</v>
      </c>
      <c r="M2191">
        <v>0</v>
      </c>
      <c r="N2191" t="s">
        <v>10019</v>
      </c>
      <c r="O2191" t="str">
        <f>HYPERLINK("2\1\marker_221_958121.png", "Ver Imagen")</f>
        <v>Ver Imagen</v>
      </c>
      <c r="P2191" t="str">
        <f>HYPERLINK("SO\A-5052\A-5052__131.png", "Ver Imagen")</f>
        <v>Ver Imagen</v>
      </c>
    </row>
    <row r="2192" spans="1:16" x14ac:dyDescent="0.25">
      <c r="A2192">
        <v>1644</v>
      </c>
      <c r="B2192" t="s">
        <v>3301</v>
      </c>
      <c r="C2192">
        <v>37.216044963800002</v>
      </c>
      <c r="D2192">
        <v>-7.0889238754999999</v>
      </c>
      <c r="E2192">
        <v>2</v>
      </c>
      <c r="F2192">
        <v>2</v>
      </c>
      <c r="G2192">
        <v>3</v>
      </c>
      <c r="J2192" t="s">
        <v>15</v>
      </c>
      <c r="K2192">
        <v>2</v>
      </c>
      <c r="L2192">
        <v>2.0089999999999999</v>
      </c>
      <c r="M2192">
        <v>0</v>
      </c>
      <c r="N2192" t="s">
        <v>10019</v>
      </c>
      <c r="O2192" t="str">
        <f>HYPERLINK("2\1\marker_224_958456.png", "Ver Imagen")</f>
        <v>Ver Imagen</v>
      </c>
      <c r="P2192" t="str">
        <f>HYPERLINK("SE\A-5052\A-5052__148.png", "Ver Imagen")</f>
        <v>Ver Imagen</v>
      </c>
    </row>
    <row r="2193" spans="1:16" x14ac:dyDescent="0.25">
      <c r="A2193">
        <v>1644</v>
      </c>
      <c r="B2193" t="s">
        <v>3301</v>
      </c>
      <c r="C2193">
        <v>37.216044963800002</v>
      </c>
      <c r="D2193">
        <v>-7.0889238754999999</v>
      </c>
      <c r="E2193">
        <v>2</v>
      </c>
      <c r="F2193">
        <v>2</v>
      </c>
      <c r="G2193">
        <v>3</v>
      </c>
      <c r="J2193" t="s">
        <v>15</v>
      </c>
      <c r="K2193">
        <v>2</v>
      </c>
      <c r="L2193">
        <v>1.929</v>
      </c>
      <c r="M2193">
        <v>0</v>
      </c>
      <c r="N2193" t="s">
        <v>10019</v>
      </c>
      <c r="O2193" t="str">
        <f>HYPERLINK("2\1\marker_224_958456.png", "Ver Imagen")</f>
        <v>Ver Imagen</v>
      </c>
      <c r="P2193" t="str">
        <f>HYPERLINK("SO\A-5052\A-5052__148.png", "Ver Imagen")</f>
        <v>Ver Imagen</v>
      </c>
    </row>
    <row r="2194" spans="1:16" x14ac:dyDescent="0.25">
      <c r="A2194">
        <v>1645</v>
      </c>
      <c r="B2194" t="s">
        <v>3303</v>
      </c>
      <c r="C2194">
        <v>37.216150667299999</v>
      </c>
      <c r="D2194">
        <v>-7.0838726188200001</v>
      </c>
      <c r="E2194">
        <v>2</v>
      </c>
      <c r="F2194">
        <v>2</v>
      </c>
      <c r="G2194">
        <v>3</v>
      </c>
      <c r="J2194" t="s">
        <v>15</v>
      </c>
      <c r="K2194">
        <v>2</v>
      </c>
      <c r="L2194">
        <v>2.0310000000000001</v>
      </c>
      <c r="M2194">
        <v>0</v>
      </c>
      <c r="N2194" t="s">
        <v>10019</v>
      </c>
      <c r="O2194" t="str">
        <f>HYPERLINK("2\1\marker_766_958935.png", "Ver Imagen")</f>
        <v>Ver Imagen</v>
      </c>
      <c r="P2194" t="str">
        <f>HYPERLINK("SE\A-5052\A-5052__168.png", "Ver Imagen")</f>
        <v>Ver Imagen</v>
      </c>
    </row>
    <row r="2195" spans="1:16" x14ac:dyDescent="0.25">
      <c r="A2195">
        <v>1645</v>
      </c>
      <c r="B2195" t="s">
        <v>3303</v>
      </c>
      <c r="C2195">
        <v>37.216150667299999</v>
      </c>
      <c r="D2195">
        <v>-7.0838726188200001</v>
      </c>
      <c r="E2195">
        <v>2</v>
      </c>
      <c r="F2195">
        <v>2</v>
      </c>
      <c r="G2195">
        <v>3</v>
      </c>
      <c r="J2195" t="s">
        <v>15</v>
      </c>
      <c r="K2195">
        <v>2</v>
      </c>
      <c r="L2195">
        <v>2.0880000000000001</v>
      </c>
      <c r="M2195">
        <v>0</v>
      </c>
      <c r="N2195" t="s">
        <v>10019</v>
      </c>
      <c r="O2195" t="str">
        <f>HYPERLINK("2\1\marker_766_958935.png", "Ver Imagen")</f>
        <v>Ver Imagen</v>
      </c>
      <c r="P2195" t="str">
        <f>HYPERLINK("SO\A-5052\A-5052__168.png", "Ver Imagen")</f>
        <v>Ver Imagen</v>
      </c>
    </row>
    <row r="2196" spans="1:16" x14ac:dyDescent="0.25">
      <c r="A2196">
        <v>1646</v>
      </c>
      <c r="B2196" t="s">
        <v>3305</v>
      </c>
      <c r="C2196">
        <v>37.2160948609</v>
      </c>
      <c r="D2196">
        <v>-7.08363317313</v>
      </c>
      <c r="E2196">
        <v>2</v>
      </c>
      <c r="F2196">
        <v>2</v>
      </c>
      <c r="G2196">
        <v>3</v>
      </c>
      <c r="J2196" t="s">
        <v>15</v>
      </c>
      <c r="K2196">
        <v>2</v>
      </c>
      <c r="L2196">
        <v>1.974</v>
      </c>
      <c r="M2196">
        <v>0</v>
      </c>
      <c r="N2196" t="s">
        <v>10019</v>
      </c>
      <c r="O2196" t="str">
        <f>HYPERLINK("2\1\marker_403_958944.png", "Ver Imagen")</f>
        <v>Ver Imagen</v>
      </c>
      <c r="P2196" t="str">
        <f>HYPERLINK("SE\A-5052\A-5052__169.png", "Ver Imagen")</f>
        <v>Ver Imagen</v>
      </c>
    </row>
    <row r="2197" spans="1:16" x14ac:dyDescent="0.25">
      <c r="A2197">
        <v>1646</v>
      </c>
      <c r="B2197" t="s">
        <v>3305</v>
      </c>
      <c r="C2197">
        <v>37.2160948609</v>
      </c>
      <c r="D2197">
        <v>-7.08363317313</v>
      </c>
      <c r="E2197">
        <v>2</v>
      </c>
      <c r="F2197">
        <v>2</v>
      </c>
      <c r="G2197">
        <v>3</v>
      </c>
      <c r="J2197" t="s">
        <v>15</v>
      </c>
      <c r="K2197">
        <v>2</v>
      </c>
      <c r="L2197">
        <v>1.95</v>
      </c>
      <c r="M2197">
        <v>0</v>
      </c>
      <c r="N2197" t="s">
        <v>10019</v>
      </c>
      <c r="O2197" t="str">
        <f>HYPERLINK("2\1\marker_403_958944.png", "Ver Imagen")</f>
        <v>Ver Imagen</v>
      </c>
      <c r="P2197" t="str">
        <f>HYPERLINK("SO\A-5052\A-5052__169.png", "Ver Imagen")</f>
        <v>Ver Imagen</v>
      </c>
    </row>
    <row r="2198" spans="1:16" x14ac:dyDescent="0.25">
      <c r="A2198">
        <v>1647</v>
      </c>
      <c r="B2198" t="s">
        <v>3307</v>
      </c>
      <c r="C2198">
        <v>37.216040841800002</v>
      </c>
      <c r="D2198">
        <v>-7.0834085719199997</v>
      </c>
      <c r="E2198">
        <v>2</v>
      </c>
      <c r="F2198">
        <v>2</v>
      </c>
      <c r="G2198">
        <v>3</v>
      </c>
      <c r="J2198" t="s">
        <v>15</v>
      </c>
      <c r="K2198">
        <v>2</v>
      </c>
      <c r="L2198">
        <v>1.93</v>
      </c>
      <c r="M2198">
        <v>0</v>
      </c>
      <c r="N2198" t="s">
        <v>10017</v>
      </c>
      <c r="O2198" t="str">
        <f>HYPERLINK("2\1\marker_689_958953.png", "Ver Imagen")</f>
        <v>Ver Imagen</v>
      </c>
      <c r="P2198" t="str">
        <f>HYPERLINK("SE\A-5052\A-5052__170.png", "Ver Imagen")</f>
        <v>Ver Imagen</v>
      </c>
    </row>
    <row r="2199" spans="1:16" x14ac:dyDescent="0.25">
      <c r="A2199">
        <v>1647</v>
      </c>
      <c r="B2199" t="s">
        <v>3307</v>
      </c>
      <c r="C2199">
        <v>37.216040841800002</v>
      </c>
      <c r="D2199">
        <v>-7.0834085719199997</v>
      </c>
      <c r="E2199">
        <v>2</v>
      </c>
      <c r="F2199">
        <v>2</v>
      </c>
      <c r="G2199">
        <v>3</v>
      </c>
      <c r="J2199" t="s">
        <v>15</v>
      </c>
      <c r="K2199">
        <v>2</v>
      </c>
      <c r="L2199">
        <v>1.6439999999999999</v>
      </c>
      <c r="M2199">
        <v>0</v>
      </c>
      <c r="N2199" t="s">
        <v>10017</v>
      </c>
      <c r="O2199" t="str">
        <f>HYPERLINK("2\1\marker_689_958953.png", "Ver Imagen")</f>
        <v>Ver Imagen</v>
      </c>
      <c r="P2199" t="str">
        <f>HYPERLINK("SO\A-5052\A-5052__170.png", "Ver Imagen")</f>
        <v>Ver Imagen</v>
      </c>
    </row>
    <row r="2200" spans="1:16" x14ac:dyDescent="0.25">
      <c r="A2200">
        <v>1648</v>
      </c>
      <c r="B2200" t="s">
        <v>3309</v>
      </c>
      <c r="C2200">
        <v>37.215972830299997</v>
      </c>
      <c r="D2200">
        <v>-7.0831367627299997</v>
      </c>
      <c r="E2200">
        <v>2</v>
      </c>
      <c r="F2200">
        <v>2</v>
      </c>
      <c r="G2200">
        <v>3</v>
      </c>
      <c r="J2200" t="s">
        <v>15</v>
      </c>
      <c r="K2200">
        <v>2</v>
      </c>
      <c r="L2200">
        <v>1.923</v>
      </c>
      <c r="M2200">
        <v>0</v>
      </c>
      <c r="N2200" t="s">
        <v>10017</v>
      </c>
      <c r="O2200" t="str">
        <f>HYPERLINK("2\1\marker_922_958965.png", "Ver Imagen")</f>
        <v>Ver Imagen</v>
      </c>
      <c r="P2200" t="str">
        <f>HYPERLINK("SE\A-5052\A-5052__171.png", "Ver Imagen")</f>
        <v>Ver Imagen</v>
      </c>
    </row>
    <row r="2201" spans="1:16" x14ac:dyDescent="0.25">
      <c r="A2201">
        <v>1648</v>
      </c>
      <c r="B2201" t="s">
        <v>3309</v>
      </c>
      <c r="C2201">
        <v>37.215972830299997</v>
      </c>
      <c r="D2201">
        <v>-7.0831367627299997</v>
      </c>
      <c r="E2201">
        <v>2</v>
      </c>
      <c r="F2201">
        <v>2</v>
      </c>
      <c r="G2201">
        <v>3</v>
      </c>
      <c r="J2201" t="s">
        <v>15</v>
      </c>
      <c r="K2201">
        <v>2</v>
      </c>
      <c r="L2201">
        <v>1.7290000000000001</v>
      </c>
      <c r="M2201">
        <v>0</v>
      </c>
      <c r="N2201" t="s">
        <v>10017</v>
      </c>
      <c r="O2201" t="str">
        <f>HYPERLINK("2\1\marker_922_958965.png", "Ver Imagen")</f>
        <v>Ver Imagen</v>
      </c>
      <c r="P2201" t="str">
        <f>HYPERLINK("SO\A-5052\A-5052__171.png", "Ver Imagen")</f>
        <v>Ver Imagen</v>
      </c>
    </row>
    <row r="2202" spans="1:16" x14ac:dyDescent="0.25">
      <c r="A2202">
        <v>1649</v>
      </c>
      <c r="B2202" t="s">
        <v>3311</v>
      </c>
      <c r="C2202">
        <v>37.213831083899997</v>
      </c>
      <c r="D2202">
        <v>-7.0731367266299996</v>
      </c>
      <c r="E2202">
        <v>2</v>
      </c>
      <c r="F2202">
        <v>2</v>
      </c>
      <c r="G2202">
        <v>3</v>
      </c>
      <c r="J2202" t="s">
        <v>15</v>
      </c>
      <c r="K2202">
        <v>2</v>
      </c>
      <c r="L2202">
        <v>1.7689999999999999</v>
      </c>
      <c r="M2202">
        <v>0</v>
      </c>
      <c r="N2202" t="s">
        <v>10019</v>
      </c>
      <c r="O2202" t="str">
        <f>HYPERLINK("2\1\marker_358_959614.png", "Ver Imagen")</f>
        <v>Ver Imagen</v>
      </c>
      <c r="P2202" t="str">
        <f>HYPERLINK("SE\A-5052\A-5052__212.png", "Ver Imagen")</f>
        <v>Ver Imagen</v>
      </c>
    </row>
    <row r="2203" spans="1:16" x14ac:dyDescent="0.25">
      <c r="A2203">
        <v>1649</v>
      </c>
      <c r="B2203" t="s">
        <v>3311</v>
      </c>
      <c r="C2203">
        <v>37.213831083899997</v>
      </c>
      <c r="D2203">
        <v>-7.0731367266299996</v>
      </c>
      <c r="E2203">
        <v>2</v>
      </c>
      <c r="F2203">
        <v>2</v>
      </c>
      <c r="G2203">
        <v>3</v>
      </c>
      <c r="J2203" t="s">
        <v>15</v>
      </c>
      <c r="K2203">
        <v>2</v>
      </c>
      <c r="L2203">
        <v>2.3370000000000002</v>
      </c>
      <c r="M2203">
        <v>0</v>
      </c>
      <c r="N2203" t="s">
        <v>10019</v>
      </c>
      <c r="O2203" t="str">
        <f>HYPERLINK("2\1\marker_358_959614.png", "Ver Imagen")</f>
        <v>Ver Imagen</v>
      </c>
      <c r="P2203" t="str">
        <f>HYPERLINK("SO\A-5052\A-5052__212.png", "Ver Imagen")</f>
        <v>Ver Imagen</v>
      </c>
    </row>
    <row r="2204" spans="1:16" x14ac:dyDescent="0.25">
      <c r="A2204">
        <v>1650</v>
      </c>
      <c r="B2204" t="s">
        <v>3313</v>
      </c>
      <c r="C2204">
        <v>37.2133261472</v>
      </c>
      <c r="D2204">
        <v>-7.06609968274</v>
      </c>
      <c r="E2204">
        <v>2</v>
      </c>
      <c r="F2204">
        <v>2</v>
      </c>
      <c r="G2204">
        <v>3</v>
      </c>
      <c r="J2204" t="s">
        <v>15</v>
      </c>
      <c r="K2204">
        <v>2</v>
      </c>
      <c r="L2204">
        <v>1.9790000000000001</v>
      </c>
      <c r="M2204">
        <v>0</v>
      </c>
      <c r="N2204" t="s">
        <v>10019</v>
      </c>
      <c r="O2204" t="str">
        <f>HYPERLINK("2\1\marker_859_959946.png", "Ver Imagen")</f>
        <v>Ver Imagen</v>
      </c>
      <c r="P2204" t="str">
        <f>HYPERLINK("SE\A-5052\A-5052__240.png", "Ver Imagen")</f>
        <v>Ver Imagen</v>
      </c>
    </row>
    <row r="2205" spans="1:16" x14ac:dyDescent="0.25">
      <c r="A2205">
        <v>1651</v>
      </c>
      <c r="B2205" t="s">
        <v>3315</v>
      </c>
      <c r="C2205">
        <v>37.198911749300002</v>
      </c>
      <c r="D2205">
        <v>-7.01285020063</v>
      </c>
      <c r="E2205">
        <v>2</v>
      </c>
      <c r="F2205">
        <v>2</v>
      </c>
      <c r="G2205">
        <v>3</v>
      </c>
      <c r="J2205" t="s">
        <v>15</v>
      </c>
      <c r="K2205">
        <v>2</v>
      </c>
      <c r="L2205">
        <v>2.1819999999999999</v>
      </c>
      <c r="M2205">
        <v>0</v>
      </c>
      <c r="N2205" t="s">
        <v>10019</v>
      </c>
      <c r="O2205" t="str">
        <f>HYPERLINK("2\1\marker_977_963373.png", "Ver Imagen")</f>
        <v>Ver Imagen</v>
      </c>
      <c r="P2205" t="str">
        <f>HYPERLINK("SE\A-5052\A-5052__468.png", "Ver Imagen")</f>
        <v>Ver Imagen</v>
      </c>
    </row>
    <row r="2206" spans="1:16" x14ac:dyDescent="0.25">
      <c r="A2206">
        <v>1652</v>
      </c>
      <c r="B2206" t="s">
        <v>3317</v>
      </c>
      <c r="C2206">
        <v>37.1975917026</v>
      </c>
      <c r="D2206">
        <v>-7.0094452060799997</v>
      </c>
      <c r="E2206">
        <v>2</v>
      </c>
      <c r="F2206">
        <v>2</v>
      </c>
      <c r="G2206">
        <v>3</v>
      </c>
      <c r="J2206" t="s">
        <v>15</v>
      </c>
      <c r="K2206">
        <v>2</v>
      </c>
      <c r="L2206">
        <v>1.623</v>
      </c>
      <c r="M2206">
        <v>0</v>
      </c>
      <c r="N2206" t="s">
        <v>10018</v>
      </c>
      <c r="O2206" t="str">
        <f>HYPERLINK("2\1\marker_824_963522.png", "Ver Imagen")</f>
        <v>Ver Imagen</v>
      </c>
      <c r="P2206" t="str">
        <f>HYPERLINK("SE\A-5052\A-5052__483.png", "Ver Imagen")</f>
        <v>Ver Imagen</v>
      </c>
    </row>
    <row r="2207" spans="1:16" x14ac:dyDescent="0.25">
      <c r="A2207">
        <v>1654</v>
      </c>
      <c r="B2207" t="s">
        <v>3321</v>
      </c>
      <c r="C2207">
        <v>37.272042128899997</v>
      </c>
      <c r="D2207">
        <v>-7.1411867637100004</v>
      </c>
      <c r="E2207">
        <v>3</v>
      </c>
      <c r="F2207">
        <v>2</v>
      </c>
      <c r="G2207">
        <v>2</v>
      </c>
      <c r="J2207" t="s">
        <v>15</v>
      </c>
      <c r="K2207">
        <v>2</v>
      </c>
      <c r="L2207">
        <v>2.48</v>
      </c>
      <c r="M2207">
        <v>0</v>
      </c>
      <c r="N2207" t="s">
        <v>10017</v>
      </c>
      <c r="O2207" t="str">
        <f>HYPERLINK("2\1\marker_275_964976.png", "Ver Imagen")</f>
        <v>Ver Imagen</v>
      </c>
      <c r="P2207" t="str">
        <f>HYPERLINK("SO\A-5053\A-5053__288.png", "Ver Imagen")</f>
        <v>Ver Imagen</v>
      </c>
    </row>
    <row r="2208" spans="1:16" x14ac:dyDescent="0.25">
      <c r="A2208">
        <v>1656</v>
      </c>
      <c r="B2208" t="s">
        <v>3325</v>
      </c>
      <c r="C2208">
        <v>37.251741448899999</v>
      </c>
      <c r="D2208">
        <v>-7.1270172685800004</v>
      </c>
      <c r="E2208">
        <v>3</v>
      </c>
      <c r="F2208">
        <v>2</v>
      </c>
      <c r="G2208">
        <v>2</v>
      </c>
      <c r="J2208" t="s">
        <v>15</v>
      </c>
      <c r="K2208">
        <v>2</v>
      </c>
      <c r="L2208">
        <v>2.246</v>
      </c>
      <c r="M2208">
        <v>0</v>
      </c>
      <c r="N2208" t="s">
        <v>10019</v>
      </c>
      <c r="O2208" t="str">
        <f>HYPERLINK("2\1\marker_281_966239.png", "Ver Imagen")</f>
        <v>Ver Imagen</v>
      </c>
      <c r="P2208" t="str">
        <f>HYPERLINK("SO\A-5053\A-5053__165.png", "Ver Imagen")</f>
        <v>Ver Imagen</v>
      </c>
    </row>
    <row r="2209" spans="1:16" x14ac:dyDescent="0.25">
      <c r="A2209">
        <v>1659</v>
      </c>
      <c r="B2209" t="s">
        <v>3331</v>
      </c>
      <c r="C2209">
        <v>37.237207841900002</v>
      </c>
      <c r="D2209">
        <v>-7.1282975713300001</v>
      </c>
      <c r="E2209">
        <v>2</v>
      </c>
      <c r="F2209">
        <v>2</v>
      </c>
      <c r="G2209">
        <v>3</v>
      </c>
      <c r="J2209" t="s">
        <v>15</v>
      </c>
      <c r="K2209">
        <v>2</v>
      </c>
      <c r="L2209">
        <v>2.2269999999999999</v>
      </c>
      <c r="M2209">
        <v>0</v>
      </c>
      <c r="N2209" t="s">
        <v>10018</v>
      </c>
      <c r="O2209" t="str">
        <f>HYPERLINK("2\1\marker_445_019879.png", "Ver Imagen")</f>
        <v>Ver Imagen</v>
      </c>
      <c r="P2209" t="str">
        <f>HYPERLINK("SO\A-5053\A-5053__93.png", "Ver Imagen")</f>
        <v>Ver Imagen</v>
      </c>
    </row>
    <row r="2210" spans="1:16" x14ac:dyDescent="0.25">
      <c r="A2210">
        <v>1660</v>
      </c>
      <c r="B2210" t="s">
        <v>3333</v>
      </c>
      <c r="C2210">
        <v>37.235414445300002</v>
      </c>
      <c r="D2210">
        <v>-7.1280953188999998</v>
      </c>
      <c r="E2210">
        <v>2</v>
      </c>
      <c r="F2210">
        <v>2</v>
      </c>
      <c r="G2210">
        <v>3</v>
      </c>
      <c r="J2210" t="s">
        <v>15</v>
      </c>
      <c r="K2210">
        <v>2</v>
      </c>
      <c r="L2210">
        <v>1.9990000000000001</v>
      </c>
      <c r="M2210">
        <v>0</v>
      </c>
      <c r="N2210" t="s">
        <v>10019</v>
      </c>
      <c r="O2210" t="str">
        <f>HYPERLINK("2\1\marker_433_019974.png", "Ver Imagen")</f>
        <v>Ver Imagen</v>
      </c>
      <c r="P2210" t="str">
        <f>HYPERLINK("SO\A-5053\A-5053__84.png", "Ver Imagen")</f>
        <v>Ver Imagen</v>
      </c>
    </row>
    <row r="2211" spans="1:16" x14ac:dyDescent="0.25">
      <c r="A2211">
        <v>1661</v>
      </c>
      <c r="B2211" t="s">
        <v>3335</v>
      </c>
      <c r="C2211">
        <v>37.234825729000001</v>
      </c>
      <c r="D2211">
        <v>-7.12789013063</v>
      </c>
      <c r="E2211">
        <v>2</v>
      </c>
      <c r="F2211">
        <v>2</v>
      </c>
      <c r="G2211">
        <v>3</v>
      </c>
      <c r="J2211" t="s">
        <v>15</v>
      </c>
      <c r="K2211">
        <v>2</v>
      </c>
      <c r="L2211">
        <v>2.1259999999999999</v>
      </c>
      <c r="M2211">
        <v>0</v>
      </c>
      <c r="N2211" t="s">
        <v>10019</v>
      </c>
      <c r="O2211" t="str">
        <f>HYPERLINK("2\1\marker_132_020001.png", "Ver Imagen")</f>
        <v>Ver Imagen</v>
      </c>
      <c r="P2211" t="str">
        <f>HYPERLINK("SO\A-5053\A-5053__81.png", "Ver Imagen")</f>
        <v>Ver Imagen</v>
      </c>
    </row>
    <row r="2212" spans="1:16" x14ac:dyDescent="0.25">
      <c r="A2212">
        <v>1662</v>
      </c>
      <c r="B2212" t="s">
        <v>3337</v>
      </c>
      <c r="C2212">
        <v>37.231456714099998</v>
      </c>
      <c r="D2212">
        <v>-7.1270950108299997</v>
      </c>
      <c r="E2212">
        <v>2</v>
      </c>
      <c r="F2212">
        <v>2</v>
      </c>
      <c r="G2212">
        <v>3</v>
      </c>
      <c r="J2212" t="s">
        <v>15</v>
      </c>
      <c r="K2212">
        <v>2</v>
      </c>
      <c r="L2212">
        <v>1.762</v>
      </c>
      <c r="M2212">
        <v>0</v>
      </c>
      <c r="N2212" t="s">
        <v>10019</v>
      </c>
      <c r="O2212" t="str">
        <f>HYPERLINK("2\1\marker_679_020764.png", "Ver Imagen")</f>
        <v>Ver Imagen</v>
      </c>
      <c r="P2212" t="str">
        <f>HYPERLINK("SO\A-5053\A-5053__64.png", "Ver Imagen")</f>
        <v>Ver Imagen</v>
      </c>
    </row>
    <row r="2213" spans="1:16" x14ac:dyDescent="0.25">
      <c r="A2213">
        <v>1663</v>
      </c>
      <c r="B2213" t="s">
        <v>3339</v>
      </c>
      <c r="C2213">
        <v>37.229848804900001</v>
      </c>
      <c r="D2213">
        <v>-7.1269466353400004</v>
      </c>
      <c r="E2213">
        <v>2</v>
      </c>
      <c r="F2213">
        <v>2</v>
      </c>
      <c r="G2213">
        <v>3</v>
      </c>
      <c r="J2213" t="s">
        <v>15</v>
      </c>
      <c r="K2213">
        <v>2</v>
      </c>
      <c r="L2213">
        <v>1.946</v>
      </c>
      <c r="M2213">
        <v>0</v>
      </c>
      <c r="N2213" t="s">
        <v>10019</v>
      </c>
      <c r="O2213" t="str">
        <f>HYPERLINK("2\1\marker_862_020923.png", "Ver Imagen")</f>
        <v>Ver Imagen</v>
      </c>
      <c r="P2213" t="str">
        <f>HYPERLINK("SO\A-5053\A-5053__56.png", "Ver Imagen")</f>
        <v>Ver Imagen</v>
      </c>
    </row>
    <row r="2214" spans="1:16" x14ac:dyDescent="0.25">
      <c r="A2214">
        <v>1664</v>
      </c>
      <c r="B2214" t="s">
        <v>3341</v>
      </c>
      <c r="C2214">
        <v>37.229655871200002</v>
      </c>
      <c r="D2214">
        <v>-7.1269286066899999</v>
      </c>
      <c r="E2214">
        <v>2</v>
      </c>
      <c r="F2214">
        <v>2</v>
      </c>
      <c r="G2214">
        <v>3</v>
      </c>
      <c r="J2214" t="s">
        <v>15</v>
      </c>
      <c r="K2214">
        <v>2</v>
      </c>
      <c r="L2214">
        <v>2.3149999999999999</v>
      </c>
      <c r="M2214">
        <v>0</v>
      </c>
      <c r="N2214" t="s">
        <v>10018</v>
      </c>
      <c r="O2214" t="str">
        <f>HYPERLINK("2\1\marker_994_020932.png", "Ver Imagen")</f>
        <v>Ver Imagen</v>
      </c>
      <c r="P2214" t="str">
        <f>HYPERLINK("SO\A-5053\A-5053__55.png", "Ver Imagen")</f>
        <v>Ver Imagen</v>
      </c>
    </row>
    <row r="2215" spans="1:16" x14ac:dyDescent="0.25">
      <c r="A2215">
        <v>1665</v>
      </c>
      <c r="B2215" t="s">
        <v>3343</v>
      </c>
      <c r="C2215">
        <v>37.223181271100003</v>
      </c>
      <c r="D2215">
        <v>-7.1250361666800002</v>
      </c>
      <c r="E2215">
        <v>3</v>
      </c>
      <c r="F2215">
        <v>2</v>
      </c>
      <c r="G2215">
        <v>2</v>
      </c>
      <c r="J2215" t="s">
        <v>15</v>
      </c>
      <c r="K2215">
        <v>2</v>
      </c>
      <c r="L2215">
        <v>1.966</v>
      </c>
      <c r="M2215">
        <v>0</v>
      </c>
      <c r="N2215" t="s">
        <v>10019</v>
      </c>
      <c r="O2215" t="str">
        <f>HYPERLINK("2\1\marker_389_022884.png", "Ver Imagen")</f>
        <v>Ver Imagen</v>
      </c>
      <c r="P2215" t="str">
        <f>HYPERLINK("SO\A-5053\A-5053__22.png", "Ver Imagen")</f>
        <v>Ver Imagen</v>
      </c>
    </row>
    <row r="2216" spans="1:16" x14ac:dyDescent="0.25">
      <c r="A2216">
        <v>1666</v>
      </c>
      <c r="B2216" t="s">
        <v>3345</v>
      </c>
      <c r="C2216">
        <v>37.222780091200001</v>
      </c>
      <c r="D2216">
        <v>-7.1250105142600004</v>
      </c>
      <c r="E2216">
        <v>2</v>
      </c>
      <c r="F2216">
        <v>2</v>
      </c>
      <c r="G2216">
        <v>3</v>
      </c>
      <c r="J2216" t="s">
        <v>15</v>
      </c>
      <c r="K2216">
        <v>2</v>
      </c>
      <c r="L2216">
        <v>2.4209999999999998</v>
      </c>
      <c r="M2216">
        <v>0</v>
      </c>
      <c r="N2216" t="s">
        <v>10018</v>
      </c>
      <c r="O2216" t="str">
        <f>HYPERLINK("2\1\marker_677_022902.png", "Ver Imagen")</f>
        <v>Ver Imagen</v>
      </c>
      <c r="P2216" t="str">
        <f>HYPERLINK("SO\A-5053\A-5053__20.png", "Ver Imagen")</f>
        <v>Ver Imagen</v>
      </c>
    </row>
    <row r="2217" spans="1:16" x14ac:dyDescent="0.25">
      <c r="A2217">
        <v>1668</v>
      </c>
      <c r="B2217" t="s">
        <v>3349</v>
      </c>
      <c r="C2217">
        <v>37.443752699500003</v>
      </c>
      <c r="D2217">
        <v>-7.0964572693800001</v>
      </c>
      <c r="E2217">
        <v>3</v>
      </c>
      <c r="F2217">
        <v>2</v>
      </c>
      <c r="G2217">
        <v>2</v>
      </c>
      <c r="J2217" t="s">
        <v>15</v>
      </c>
      <c r="K2217">
        <v>2</v>
      </c>
      <c r="L2217">
        <v>1.772</v>
      </c>
      <c r="M2217">
        <v>0</v>
      </c>
      <c r="N2217" t="s">
        <v>10019</v>
      </c>
      <c r="O2217" t="str">
        <f>HYPERLINK("2\1\marker_484_381223.png", "Ver Imagen")</f>
        <v>Ver Imagen</v>
      </c>
      <c r="P2217" t="str">
        <f>HYPERLINK("NE\A-495\A-495__16.png", "Ver Imagen")</f>
        <v>Ver Imagen</v>
      </c>
    </row>
    <row r="2218" spans="1:16" x14ac:dyDescent="0.25">
      <c r="A2218">
        <v>1669</v>
      </c>
      <c r="B2218" t="s">
        <v>3351</v>
      </c>
      <c r="C2218">
        <v>37.443673860200001</v>
      </c>
      <c r="D2218">
        <v>-7.0962244803000001</v>
      </c>
      <c r="E2218">
        <v>3</v>
      </c>
      <c r="F2218">
        <v>2</v>
      </c>
      <c r="G2218">
        <v>2</v>
      </c>
      <c r="J2218" t="s">
        <v>15</v>
      </c>
      <c r="K2218">
        <v>2</v>
      </c>
      <c r="L2218">
        <v>1.9450000000000001</v>
      </c>
      <c r="M2218">
        <v>0</v>
      </c>
      <c r="N2218" t="s">
        <v>10019</v>
      </c>
      <c r="O2218" t="str">
        <f>HYPERLINK("2\1\marker_153_381234.png", "Ver Imagen")</f>
        <v>Ver Imagen</v>
      </c>
      <c r="P2218" t="str">
        <f>HYPERLINK("NE\A-495\A-495__17.png", "Ver Imagen")</f>
        <v>Ver Imagen</v>
      </c>
    </row>
    <row r="2219" spans="1:16" x14ac:dyDescent="0.25">
      <c r="A2219">
        <v>1670</v>
      </c>
      <c r="B2219" t="s">
        <v>3353</v>
      </c>
      <c r="C2219">
        <v>37.443332168300003</v>
      </c>
      <c r="D2219">
        <v>-7.0953219554300002</v>
      </c>
      <c r="E2219">
        <v>3</v>
      </c>
      <c r="F2219">
        <v>2</v>
      </c>
      <c r="G2219">
        <v>2</v>
      </c>
      <c r="J2219" t="s">
        <v>15</v>
      </c>
      <c r="K2219">
        <v>2</v>
      </c>
      <c r="L2219">
        <v>2.0670000000000002</v>
      </c>
      <c r="M2219">
        <v>0</v>
      </c>
      <c r="N2219" t="s">
        <v>10019</v>
      </c>
      <c r="O2219" t="str">
        <f>HYPERLINK("2\1\marker_469_381302.png", "Ver Imagen")</f>
        <v>Ver Imagen</v>
      </c>
      <c r="P2219" t="str">
        <f>HYPERLINK("NE\A-495\A-495__21.png", "Ver Imagen")</f>
        <v>Ver Imagen</v>
      </c>
    </row>
    <row r="2220" spans="1:16" x14ac:dyDescent="0.25">
      <c r="A2220">
        <v>1671</v>
      </c>
      <c r="B2220" t="s">
        <v>3355</v>
      </c>
      <c r="C2220">
        <v>37.222822048799998</v>
      </c>
      <c r="D2220">
        <v>-7.0557208396900002</v>
      </c>
      <c r="E2220">
        <v>3</v>
      </c>
      <c r="F2220">
        <v>2</v>
      </c>
      <c r="G2220">
        <v>2</v>
      </c>
      <c r="J2220" t="s">
        <v>15</v>
      </c>
      <c r="K2220">
        <v>2</v>
      </c>
      <c r="L2220">
        <v>2.0910000000000002</v>
      </c>
      <c r="M2220">
        <v>0</v>
      </c>
      <c r="N2220" t="s">
        <v>10019</v>
      </c>
      <c r="O2220" t="str">
        <f>HYPERLINK("2\1\marker_752_378838.png", "Ver Imagen")</f>
        <v>Ver Imagen</v>
      </c>
      <c r="P2220" t="str">
        <f>HYPERLINK("SE\A-5059\A-5059__71.png", "Ver Imagen")</f>
        <v>Ver Imagen</v>
      </c>
    </row>
    <row r="2221" spans="1:16" x14ac:dyDescent="0.25">
      <c r="A2221">
        <v>1673</v>
      </c>
      <c r="B2221" t="s">
        <v>3359</v>
      </c>
      <c r="C2221">
        <v>37.224965660499997</v>
      </c>
      <c r="D2221">
        <v>-7.0399983944600004</v>
      </c>
      <c r="E2221">
        <v>2</v>
      </c>
      <c r="F2221">
        <v>2</v>
      </c>
      <c r="G2221">
        <v>3</v>
      </c>
      <c r="J2221" t="s">
        <v>15</v>
      </c>
      <c r="K2221">
        <v>2</v>
      </c>
      <c r="L2221">
        <v>1.7649999999999999</v>
      </c>
      <c r="M2221">
        <v>0</v>
      </c>
      <c r="N2221" t="s">
        <v>10019</v>
      </c>
      <c r="O2221" t="str">
        <f>HYPERLINK("2\1\marker_828_380551.png", "Ver Imagen")</f>
        <v>Ver Imagen</v>
      </c>
      <c r="P2221" t="str">
        <f>HYPERLINK("SE\A-5058\A-5058__52.png", "Ver Imagen")</f>
        <v>Ver Imagen</v>
      </c>
    </row>
    <row r="2222" spans="1:16" x14ac:dyDescent="0.25">
      <c r="A2222">
        <v>1675</v>
      </c>
      <c r="B2222" t="s">
        <v>3363</v>
      </c>
      <c r="C2222">
        <v>37.225679753800001</v>
      </c>
      <c r="D2222">
        <v>-7.04209020497</v>
      </c>
      <c r="E2222">
        <v>2</v>
      </c>
      <c r="F2222">
        <v>2</v>
      </c>
      <c r="G2222">
        <v>3</v>
      </c>
      <c r="J2222" t="s">
        <v>15</v>
      </c>
      <c r="K2222">
        <v>2</v>
      </c>
      <c r="L2222">
        <v>1.766</v>
      </c>
      <c r="M2222">
        <v>0</v>
      </c>
      <c r="N2222" t="s">
        <v>10019</v>
      </c>
      <c r="O2222" t="str">
        <f>HYPERLINK("2\1\marker_519_380655.png", "Ver Imagen")</f>
        <v>Ver Imagen</v>
      </c>
      <c r="P2222" t="str">
        <f>HYPERLINK("SE\A-5058\A-5058__61.png", "Ver Imagen")</f>
        <v>Ver Imagen</v>
      </c>
    </row>
    <row r="2223" spans="1:16" x14ac:dyDescent="0.25">
      <c r="A2223">
        <v>1677</v>
      </c>
      <c r="B2223" t="s">
        <v>3367</v>
      </c>
      <c r="C2223">
        <v>37.226180746499999</v>
      </c>
      <c r="D2223">
        <v>-7.0431921901800001</v>
      </c>
      <c r="E2223">
        <v>2</v>
      </c>
      <c r="F2223">
        <v>2</v>
      </c>
      <c r="G2223">
        <v>3</v>
      </c>
      <c r="J2223" t="s">
        <v>15</v>
      </c>
      <c r="K2223">
        <v>2</v>
      </c>
      <c r="L2223">
        <v>1.9379999999999999</v>
      </c>
      <c r="M2223">
        <v>0</v>
      </c>
      <c r="N2223" t="s">
        <v>10019</v>
      </c>
      <c r="O2223" t="str">
        <f>HYPERLINK("2\1\marker_526_380711.png", "Ver Imagen")</f>
        <v>Ver Imagen</v>
      </c>
      <c r="P2223" t="str">
        <f>HYPERLINK("SE\A-5058\A-5058__66.png", "Ver Imagen")</f>
        <v>Ver Imagen</v>
      </c>
    </row>
    <row r="2224" spans="1:16" x14ac:dyDescent="0.25">
      <c r="A2224">
        <v>1678</v>
      </c>
      <c r="B2224" t="s">
        <v>3369</v>
      </c>
      <c r="C2224">
        <v>37.226272187200003</v>
      </c>
      <c r="D2224">
        <v>-7.0433922969899996</v>
      </c>
      <c r="E2224">
        <v>2</v>
      </c>
      <c r="F2224">
        <v>2</v>
      </c>
      <c r="G2224">
        <v>3</v>
      </c>
      <c r="J2224" t="s">
        <v>15</v>
      </c>
      <c r="K2224">
        <v>2</v>
      </c>
      <c r="L2224">
        <v>1.7549999999999999</v>
      </c>
      <c r="M2224">
        <v>0</v>
      </c>
      <c r="N2224" t="s">
        <v>10019</v>
      </c>
      <c r="O2224" t="str">
        <f>HYPERLINK("2\1\marker_766_380726.png", "Ver Imagen")</f>
        <v>Ver Imagen</v>
      </c>
      <c r="P2224" t="str">
        <f>HYPERLINK("SE\A-5058\A-5058__67.png", "Ver Imagen")</f>
        <v>Ver Imagen</v>
      </c>
    </row>
    <row r="2225" spans="1:16" x14ac:dyDescent="0.25">
      <c r="A2225">
        <v>1679</v>
      </c>
      <c r="B2225" t="s">
        <v>3371</v>
      </c>
      <c r="C2225">
        <v>37.226488628799999</v>
      </c>
      <c r="D2225">
        <v>-7.0438660449199997</v>
      </c>
      <c r="E2225">
        <v>2</v>
      </c>
      <c r="F2225">
        <v>2</v>
      </c>
      <c r="G2225">
        <v>3</v>
      </c>
      <c r="J2225" t="s">
        <v>15</v>
      </c>
      <c r="K2225">
        <v>2</v>
      </c>
      <c r="L2225">
        <v>2.089</v>
      </c>
      <c r="M2225">
        <v>0</v>
      </c>
      <c r="N2225" t="s">
        <v>10019</v>
      </c>
      <c r="O2225" t="str">
        <f>HYPERLINK("2\1\marker_351_380746.png", "Ver Imagen")</f>
        <v>Ver Imagen</v>
      </c>
      <c r="P2225" t="str">
        <f>HYPERLINK("SE\A-5058\A-5058__69.png", "Ver Imagen")</f>
        <v>Ver Imagen</v>
      </c>
    </row>
    <row r="2226" spans="1:16" x14ac:dyDescent="0.25">
      <c r="A2226">
        <v>1680</v>
      </c>
      <c r="B2226" t="s">
        <v>3373</v>
      </c>
      <c r="C2226">
        <v>37.226582471299999</v>
      </c>
      <c r="D2226">
        <v>-7.0440602975199997</v>
      </c>
      <c r="E2226">
        <v>2</v>
      </c>
      <c r="F2226">
        <v>2</v>
      </c>
      <c r="G2226">
        <v>3</v>
      </c>
      <c r="J2226" t="s">
        <v>15</v>
      </c>
      <c r="K2226">
        <v>2</v>
      </c>
      <c r="L2226">
        <v>2.2400000000000002</v>
      </c>
      <c r="M2226">
        <v>0</v>
      </c>
      <c r="N2226" t="s">
        <v>10019</v>
      </c>
      <c r="O2226" t="str">
        <f>HYPERLINK("2\1\marker_670_380755.png", "Ver Imagen")</f>
        <v>Ver Imagen</v>
      </c>
      <c r="P2226" t="str">
        <f>HYPERLINK("SE\A-5058\A-5058__70.png", "Ver Imagen")</f>
        <v>Ver Imagen</v>
      </c>
    </row>
    <row r="2227" spans="1:16" x14ac:dyDescent="0.25">
      <c r="A2227">
        <v>1681</v>
      </c>
      <c r="B2227" t="s">
        <v>3375</v>
      </c>
      <c r="C2227">
        <v>37.227093563899999</v>
      </c>
      <c r="D2227">
        <v>-7.0448373112400002</v>
      </c>
      <c r="E2227">
        <v>2</v>
      </c>
      <c r="F2227">
        <v>2</v>
      </c>
      <c r="G2227">
        <v>3</v>
      </c>
      <c r="J2227" t="s">
        <v>15</v>
      </c>
      <c r="K2227">
        <v>2</v>
      </c>
      <c r="L2227">
        <v>1.7789999999999999</v>
      </c>
      <c r="M2227">
        <v>0</v>
      </c>
      <c r="N2227" t="s">
        <v>10019</v>
      </c>
      <c r="O2227" t="str">
        <f>HYPERLINK("2\1\marker_246_380794.png", "Ver Imagen")</f>
        <v>Ver Imagen</v>
      </c>
      <c r="P2227" t="str">
        <f>HYPERLINK("SE\A-5058\A-5058__74.png", "Ver Imagen")</f>
        <v>Ver Imagen</v>
      </c>
    </row>
    <row r="2228" spans="1:16" x14ac:dyDescent="0.25">
      <c r="A2228">
        <v>1682</v>
      </c>
      <c r="B2228" t="s">
        <v>3377</v>
      </c>
      <c r="C2228">
        <v>37.227401195799999</v>
      </c>
      <c r="D2228">
        <v>-7.0451463611799996</v>
      </c>
      <c r="E2228">
        <v>3</v>
      </c>
      <c r="F2228">
        <v>2</v>
      </c>
      <c r="G2228">
        <v>2</v>
      </c>
      <c r="J2228" t="s">
        <v>15</v>
      </c>
      <c r="K2228">
        <v>2</v>
      </c>
      <c r="L2228">
        <v>2.3359999999999999</v>
      </c>
      <c r="M2228">
        <v>0</v>
      </c>
      <c r="N2228" t="s">
        <v>10019</v>
      </c>
      <c r="O2228" t="str">
        <f>HYPERLINK("2\1\marker_321_380819.png", "Ver Imagen")</f>
        <v>Ver Imagen</v>
      </c>
      <c r="P2228" t="str">
        <f>HYPERLINK("SE\A-5058\A-5058__76.png", "Ver Imagen")</f>
        <v>Ver Imagen</v>
      </c>
    </row>
    <row r="2229" spans="1:16" x14ac:dyDescent="0.25">
      <c r="A2229">
        <v>1683</v>
      </c>
      <c r="B2229" t="s">
        <v>3379</v>
      </c>
      <c r="C2229">
        <v>37.227576319199997</v>
      </c>
      <c r="D2229">
        <v>-7.0453122715500003</v>
      </c>
      <c r="E2229">
        <v>3</v>
      </c>
      <c r="F2229">
        <v>2</v>
      </c>
      <c r="G2229">
        <v>2</v>
      </c>
      <c r="J2229" t="s">
        <v>15</v>
      </c>
      <c r="K2229">
        <v>2</v>
      </c>
      <c r="L2229">
        <v>1.8779999999999999</v>
      </c>
      <c r="M2229">
        <v>0</v>
      </c>
      <c r="N2229" t="s">
        <v>10019</v>
      </c>
      <c r="O2229" t="str">
        <f>HYPERLINK("2\1\marker_934_380828.png", "Ver Imagen")</f>
        <v>Ver Imagen</v>
      </c>
      <c r="P2229" t="str">
        <f>HYPERLINK("SE\A-5058\A-5058__77.png", "Ver Imagen")</f>
        <v>Ver Imagen</v>
      </c>
    </row>
    <row r="2230" spans="1:16" x14ac:dyDescent="0.25">
      <c r="A2230">
        <v>1684</v>
      </c>
      <c r="B2230" t="s">
        <v>3381</v>
      </c>
      <c r="C2230">
        <v>37.227726945400001</v>
      </c>
      <c r="D2230">
        <v>-7.0454543092500002</v>
      </c>
      <c r="E2230">
        <v>2</v>
      </c>
      <c r="F2230">
        <v>2</v>
      </c>
      <c r="G2230">
        <v>3</v>
      </c>
      <c r="J2230" t="s">
        <v>15</v>
      </c>
      <c r="K2230">
        <v>2</v>
      </c>
      <c r="L2230">
        <v>1.9950000000000001</v>
      </c>
      <c r="M2230">
        <v>0</v>
      </c>
      <c r="N2230" t="s">
        <v>10019</v>
      </c>
      <c r="O2230" t="str">
        <f>HYPERLINK("2\1\marker_692_380839.png", "Ver Imagen")</f>
        <v>Ver Imagen</v>
      </c>
      <c r="P2230" t="str">
        <f>HYPERLINK("SE\A-5058\A-5058__78.png", "Ver Imagen")</f>
        <v>Ver Imagen</v>
      </c>
    </row>
    <row r="2231" spans="1:16" x14ac:dyDescent="0.25">
      <c r="A2231">
        <v>1685</v>
      </c>
      <c r="B2231" t="s">
        <v>3383</v>
      </c>
      <c r="C2231">
        <v>37.228342320599999</v>
      </c>
      <c r="D2231">
        <v>-7.0461000136600003</v>
      </c>
      <c r="E2231">
        <v>2</v>
      </c>
      <c r="F2231">
        <v>2</v>
      </c>
      <c r="G2231">
        <v>3</v>
      </c>
      <c r="J2231" t="s">
        <v>15</v>
      </c>
      <c r="K2231">
        <v>2</v>
      </c>
      <c r="L2231">
        <v>2.052</v>
      </c>
      <c r="M2231">
        <v>0</v>
      </c>
      <c r="N2231" t="s">
        <v>10019</v>
      </c>
      <c r="O2231" t="str">
        <f>HYPERLINK("2\1\marker_690_380886.png", "Ver Imagen")</f>
        <v>Ver Imagen</v>
      </c>
      <c r="P2231" t="str">
        <f>HYPERLINK("SE\A-5058\A-5058__82.png", "Ver Imagen")</f>
        <v>Ver Imagen</v>
      </c>
    </row>
    <row r="2232" spans="1:16" x14ac:dyDescent="0.25">
      <c r="A2232">
        <v>1686</v>
      </c>
      <c r="B2232" t="s">
        <v>3385</v>
      </c>
      <c r="C2232">
        <v>37.228492952099998</v>
      </c>
      <c r="D2232">
        <v>-7.0462876162599999</v>
      </c>
      <c r="E2232">
        <v>2</v>
      </c>
      <c r="F2232">
        <v>2</v>
      </c>
      <c r="G2232">
        <v>3</v>
      </c>
      <c r="J2232" t="s">
        <v>15</v>
      </c>
      <c r="K2232">
        <v>2</v>
      </c>
      <c r="L2232">
        <v>2.0419999999999998</v>
      </c>
      <c r="M2232">
        <v>0</v>
      </c>
      <c r="N2232" t="s">
        <v>10019</v>
      </c>
      <c r="O2232" t="str">
        <f>HYPERLINK("2\1\marker_462_380905.png", "Ver Imagen")</f>
        <v>Ver Imagen</v>
      </c>
      <c r="P2232" t="str">
        <f>HYPERLINK("SE\A-5058\A-5058__83.png", "Ver Imagen")</f>
        <v>Ver Imagen</v>
      </c>
    </row>
    <row r="2233" spans="1:16" x14ac:dyDescent="0.25">
      <c r="A2233">
        <v>1687</v>
      </c>
      <c r="B2233" t="s">
        <v>3387</v>
      </c>
      <c r="C2233">
        <v>37.228635918999998</v>
      </c>
      <c r="D2233">
        <v>-7.0464821751100004</v>
      </c>
      <c r="E2233">
        <v>2</v>
      </c>
      <c r="F2233">
        <v>2</v>
      </c>
      <c r="G2233">
        <v>3</v>
      </c>
      <c r="J2233" t="s">
        <v>15</v>
      </c>
      <c r="K2233">
        <v>2</v>
      </c>
      <c r="L2233">
        <v>2.0939999999999999</v>
      </c>
      <c r="M2233">
        <v>0</v>
      </c>
      <c r="N2233" t="s">
        <v>10019</v>
      </c>
      <c r="O2233" t="str">
        <f>HYPERLINK("2\1\marker_143_380919.png", "Ver Imagen")</f>
        <v>Ver Imagen</v>
      </c>
      <c r="P2233" t="str">
        <f>HYPERLINK("SE\A-5058\A-5058__84.png", "Ver Imagen")</f>
        <v>Ver Imagen</v>
      </c>
    </row>
    <row r="2234" spans="1:16" x14ac:dyDescent="0.25">
      <c r="A2234">
        <v>1689</v>
      </c>
      <c r="B2234" t="s">
        <v>3391</v>
      </c>
      <c r="C2234">
        <v>37.229133476299999</v>
      </c>
      <c r="D2234">
        <v>-7.0472626487500003</v>
      </c>
      <c r="E2234">
        <v>2</v>
      </c>
      <c r="F2234">
        <v>2</v>
      </c>
      <c r="G2234">
        <v>3</v>
      </c>
      <c r="J2234" t="s">
        <v>15</v>
      </c>
      <c r="K2234">
        <v>2</v>
      </c>
      <c r="L2234">
        <v>1.81</v>
      </c>
      <c r="M2234">
        <v>0</v>
      </c>
      <c r="N2234" t="s">
        <v>10019</v>
      </c>
      <c r="O2234" t="str">
        <f>HYPERLINK("2\1\marker_557_380964.png", "Ver Imagen")</f>
        <v>Ver Imagen</v>
      </c>
      <c r="P2234" t="str">
        <f>HYPERLINK("SE\A-5058\A-5058__88.png", "Ver Imagen")</f>
        <v>Ver Imagen</v>
      </c>
    </row>
    <row r="2235" spans="1:16" x14ac:dyDescent="0.25">
      <c r="A2235">
        <v>1690</v>
      </c>
      <c r="B2235" t="s">
        <v>3393</v>
      </c>
      <c r="C2235">
        <v>37.229257533499997</v>
      </c>
      <c r="D2235">
        <v>-7.0474674542500004</v>
      </c>
      <c r="E2235">
        <v>2</v>
      </c>
      <c r="F2235">
        <v>2</v>
      </c>
      <c r="G2235">
        <v>3</v>
      </c>
      <c r="J2235" t="s">
        <v>15</v>
      </c>
      <c r="K2235">
        <v>2</v>
      </c>
      <c r="L2235">
        <v>1.8260000000000001</v>
      </c>
      <c r="M2235">
        <v>0</v>
      </c>
      <c r="N2235" t="s">
        <v>10019</v>
      </c>
      <c r="O2235" t="str">
        <f>HYPERLINK("2\1\marker_375_380973.png", "Ver Imagen")</f>
        <v>Ver Imagen</v>
      </c>
      <c r="P2235" t="str">
        <f>HYPERLINK("SE\A-5058\A-5058__89.png", "Ver Imagen")</f>
        <v>Ver Imagen</v>
      </c>
    </row>
    <row r="2236" spans="1:16" x14ac:dyDescent="0.25">
      <c r="A2236">
        <v>1691</v>
      </c>
      <c r="B2236" t="s">
        <v>3395</v>
      </c>
      <c r="C2236">
        <v>37.229376559599999</v>
      </c>
      <c r="D2236">
        <v>-7.0476646357500004</v>
      </c>
      <c r="E2236">
        <v>2</v>
      </c>
      <c r="F2236">
        <v>2</v>
      </c>
      <c r="G2236">
        <v>3</v>
      </c>
      <c r="J2236" t="s">
        <v>15</v>
      </c>
      <c r="K2236">
        <v>2</v>
      </c>
      <c r="L2236">
        <v>2.0699999999999998</v>
      </c>
      <c r="M2236">
        <v>0</v>
      </c>
      <c r="N2236" t="s">
        <v>10019</v>
      </c>
      <c r="O2236" t="str">
        <f>HYPERLINK("2\1\marker_555_380986.png", "Ver Imagen")</f>
        <v>Ver Imagen</v>
      </c>
      <c r="P2236" t="str">
        <f>HYPERLINK("SE\A-5058\A-5058__90.png", "Ver Imagen")</f>
        <v>Ver Imagen</v>
      </c>
    </row>
    <row r="2237" spans="1:16" x14ac:dyDescent="0.25">
      <c r="A2237">
        <v>1692</v>
      </c>
      <c r="B2237" t="s">
        <v>3397</v>
      </c>
      <c r="C2237">
        <v>37.229500094700001</v>
      </c>
      <c r="D2237">
        <v>-7.0478717268100004</v>
      </c>
      <c r="E2237">
        <v>2</v>
      </c>
      <c r="F2237">
        <v>2</v>
      </c>
      <c r="G2237">
        <v>3</v>
      </c>
      <c r="J2237" t="s">
        <v>15</v>
      </c>
      <c r="K2237">
        <v>2</v>
      </c>
      <c r="L2237">
        <v>2.2519999999999998</v>
      </c>
      <c r="M2237">
        <v>0</v>
      </c>
      <c r="N2237" t="s">
        <v>10017</v>
      </c>
      <c r="O2237" t="str">
        <f>HYPERLINK("2\1\marker_367_381014.png", "Ver Imagen")</f>
        <v>Ver Imagen</v>
      </c>
      <c r="P2237" t="str">
        <f>HYPERLINK("SE\A-5058\A-5058__91.png", "Ver Imagen")</f>
        <v>Ver Imagen</v>
      </c>
    </row>
    <row r="2238" spans="1:16" x14ac:dyDescent="0.25">
      <c r="A2238">
        <v>1693</v>
      </c>
      <c r="B2238" t="s">
        <v>3399</v>
      </c>
      <c r="C2238">
        <v>37.229620822000001</v>
      </c>
      <c r="D2238">
        <v>-7.0480745983400004</v>
      </c>
      <c r="E2238">
        <v>2</v>
      </c>
      <c r="F2238">
        <v>2</v>
      </c>
      <c r="G2238">
        <v>3</v>
      </c>
      <c r="J2238" t="s">
        <v>15</v>
      </c>
      <c r="K2238">
        <v>2</v>
      </c>
      <c r="L2238">
        <v>2.11</v>
      </c>
      <c r="M2238">
        <v>0</v>
      </c>
      <c r="N2238" t="s">
        <v>10019</v>
      </c>
      <c r="O2238" t="str">
        <f>HYPERLINK("2\1\marker_491_381024.png", "Ver Imagen")</f>
        <v>Ver Imagen</v>
      </c>
      <c r="P2238" t="str">
        <f>HYPERLINK("SE\A-5058\A-5058__92.png", "Ver Imagen")</f>
        <v>Ver Imagen</v>
      </c>
    </row>
    <row r="2239" spans="1:16" x14ac:dyDescent="0.25">
      <c r="A2239">
        <v>1694</v>
      </c>
      <c r="B2239" t="s">
        <v>3401</v>
      </c>
      <c r="C2239">
        <v>37.229871084400003</v>
      </c>
      <c r="D2239">
        <v>-7.04849331505</v>
      </c>
      <c r="E2239">
        <v>2</v>
      </c>
      <c r="F2239">
        <v>2</v>
      </c>
      <c r="G2239">
        <v>3</v>
      </c>
      <c r="J2239" t="s">
        <v>15</v>
      </c>
      <c r="K2239">
        <v>2</v>
      </c>
      <c r="L2239">
        <v>2.383</v>
      </c>
      <c r="M2239">
        <v>0</v>
      </c>
      <c r="N2239" t="s">
        <v>10019</v>
      </c>
      <c r="O2239" t="str">
        <f>HYPERLINK("2\1\marker_277_381051.png", "Ver Imagen")</f>
        <v>Ver Imagen</v>
      </c>
      <c r="P2239" t="str">
        <f>HYPERLINK("SE\A-5058\A-5058__94.png", "Ver Imagen")</f>
        <v>Ver Imagen</v>
      </c>
    </row>
    <row r="2240" spans="1:16" x14ac:dyDescent="0.25">
      <c r="A2240">
        <v>1695</v>
      </c>
      <c r="B2240" t="s">
        <v>3403</v>
      </c>
      <c r="C2240">
        <v>37.230003415399999</v>
      </c>
      <c r="D2240">
        <v>-7.04871344828</v>
      </c>
      <c r="E2240">
        <v>2</v>
      </c>
      <c r="F2240">
        <v>2</v>
      </c>
      <c r="G2240">
        <v>3</v>
      </c>
      <c r="J2240" t="s">
        <v>15</v>
      </c>
      <c r="K2240">
        <v>2</v>
      </c>
      <c r="L2240">
        <v>2.2090000000000001</v>
      </c>
      <c r="M2240">
        <v>0</v>
      </c>
      <c r="N2240" t="s">
        <v>10019</v>
      </c>
      <c r="O2240" t="str">
        <f>HYPERLINK("2\1\marker_898_381061.png", "Ver Imagen")</f>
        <v>Ver Imagen</v>
      </c>
      <c r="P2240" t="str">
        <f>HYPERLINK("SE\A-5058\A-5058__95.png", "Ver Imagen")</f>
        <v>Ver Imagen</v>
      </c>
    </row>
    <row r="2241" spans="1:16" x14ac:dyDescent="0.25">
      <c r="A2241">
        <v>1696</v>
      </c>
      <c r="B2241" t="s">
        <v>3405</v>
      </c>
      <c r="C2241">
        <v>37.230348686699998</v>
      </c>
      <c r="D2241">
        <v>-7.0492879052299999</v>
      </c>
      <c r="E2241">
        <v>2</v>
      </c>
      <c r="F2241">
        <v>2</v>
      </c>
      <c r="G2241">
        <v>3</v>
      </c>
      <c r="J2241" t="s">
        <v>15</v>
      </c>
      <c r="K2241">
        <v>2</v>
      </c>
      <c r="L2241">
        <v>1.8009999999999999</v>
      </c>
      <c r="M2241">
        <v>0</v>
      </c>
      <c r="N2241" t="s">
        <v>10019</v>
      </c>
      <c r="O2241" t="str">
        <f>HYPERLINK("2\1\marker_771_381090.png", "Ver Imagen")</f>
        <v>Ver Imagen</v>
      </c>
      <c r="P2241" t="str">
        <f>HYPERLINK("SE\A-5058\A-5058__98.png", "Ver Imagen")</f>
        <v>Ver Imagen</v>
      </c>
    </row>
    <row r="2242" spans="1:16" x14ac:dyDescent="0.25">
      <c r="A2242">
        <v>1697</v>
      </c>
      <c r="B2242" t="s">
        <v>3407</v>
      </c>
      <c r="C2242">
        <v>37.231166223199999</v>
      </c>
      <c r="D2242">
        <v>-7.0507299189300001</v>
      </c>
      <c r="E2242">
        <v>2</v>
      </c>
      <c r="F2242">
        <v>2</v>
      </c>
      <c r="G2242">
        <v>3</v>
      </c>
      <c r="J2242" t="s">
        <v>15</v>
      </c>
      <c r="K2242">
        <v>2</v>
      </c>
      <c r="L2242">
        <v>1.94</v>
      </c>
      <c r="M2242">
        <v>0</v>
      </c>
      <c r="N2242" t="s">
        <v>10019</v>
      </c>
      <c r="O2242" t="str">
        <f>HYPERLINK("2\1\marker_968_381185.png", "Ver Imagen")</f>
        <v>Ver Imagen</v>
      </c>
      <c r="P2242" t="str">
        <f>HYPERLINK("SE\A-5058\A-5058__105.png", "Ver Imagen")</f>
        <v>Ver Imagen</v>
      </c>
    </row>
    <row r="2243" spans="1:16" x14ac:dyDescent="0.25">
      <c r="A2243">
        <v>1698</v>
      </c>
      <c r="B2243" t="s">
        <v>3409</v>
      </c>
      <c r="C2243">
        <v>37.231506308100002</v>
      </c>
      <c r="D2243">
        <v>-7.05137998947</v>
      </c>
      <c r="E2243">
        <v>2</v>
      </c>
      <c r="F2243">
        <v>2</v>
      </c>
      <c r="G2243">
        <v>3</v>
      </c>
      <c r="J2243" t="s">
        <v>15</v>
      </c>
      <c r="K2243">
        <v>2</v>
      </c>
      <c r="L2243">
        <v>1.85</v>
      </c>
      <c r="M2243">
        <v>0</v>
      </c>
      <c r="N2243" t="s">
        <v>10019</v>
      </c>
      <c r="O2243" t="str">
        <f>HYPERLINK("2\1\marker_869_381219.png", "Ver Imagen")</f>
        <v>Ver Imagen</v>
      </c>
      <c r="P2243" t="str">
        <f>HYPERLINK("SE\A-5058\A-5058__108.png", "Ver Imagen")</f>
        <v>Ver Imagen</v>
      </c>
    </row>
    <row r="2244" spans="1:16" x14ac:dyDescent="0.25">
      <c r="A2244">
        <v>1699</v>
      </c>
      <c r="B2244" t="s">
        <v>3411</v>
      </c>
      <c r="C2244">
        <v>37.232179471800002</v>
      </c>
      <c r="D2244">
        <v>-7.0526321518300001</v>
      </c>
      <c r="E2244">
        <v>2</v>
      </c>
      <c r="F2244">
        <v>2</v>
      </c>
      <c r="G2244">
        <v>3</v>
      </c>
      <c r="J2244" t="s">
        <v>15</v>
      </c>
      <c r="K2244">
        <v>2</v>
      </c>
      <c r="L2244">
        <v>2.0510000000000002</v>
      </c>
      <c r="M2244">
        <v>0</v>
      </c>
      <c r="N2244" t="s">
        <v>10019</v>
      </c>
      <c r="O2244" t="str">
        <f>HYPERLINK("2\1\marker_427_381283.png", "Ver Imagen")</f>
        <v>Ver Imagen</v>
      </c>
      <c r="P2244" t="str">
        <f>HYPERLINK("SE\A-5058\A-5058__114.png", "Ver Imagen")</f>
        <v>Ver Imagen</v>
      </c>
    </row>
    <row r="2245" spans="1:16" x14ac:dyDescent="0.25">
      <c r="A2245">
        <v>1700</v>
      </c>
      <c r="B2245" t="s">
        <v>3413</v>
      </c>
      <c r="C2245">
        <v>37.2325307192</v>
      </c>
      <c r="D2245">
        <v>-7.0532828433799999</v>
      </c>
      <c r="E2245">
        <v>2</v>
      </c>
      <c r="F2245">
        <v>2</v>
      </c>
      <c r="G2245">
        <v>3</v>
      </c>
      <c r="J2245" t="s">
        <v>15</v>
      </c>
      <c r="K2245">
        <v>2</v>
      </c>
      <c r="L2245">
        <v>2.4569999999999999</v>
      </c>
      <c r="M2245">
        <v>0</v>
      </c>
      <c r="N2245" t="s">
        <v>10018</v>
      </c>
      <c r="O2245" t="str">
        <f>HYPERLINK("2\1\marker_955_381315.png", "Ver Imagen")</f>
        <v>Ver Imagen</v>
      </c>
      <c r="P2245" t="str">
        <f>HYPERLINK("SE\A-5058\A-5058__117.png", "Ver Imagen")</f>
        <v>Ver Imagen</v>
      </c>
    </row>
    <row r="2246" spans="1:16" x14ac:dyDescent="0.25">
      <c r="A2246">
        <v>1701</v>
      </c>
      <c r="B2246" t="s">
        <v>3415</v>
      </c>
      <c r="C2246">
        <v>37.232738363199999</v>
      </c>
      <c r="D2246">
        <v>-7.0537091844799997</v>
      </c>
      <c r="E2246">
        <v>2</v>
      </c>
      <c r="F2246">
        <v>2</v>
      </c>
      <c r="G2246">
        <v>3</v>
      </c>
      <c r="J2246" t="s">
        <v>15</v>
      </c>
      <c r="K2246">
        <v>2</v>
      </c>
      <c r="L2246">
        <v>1.9339999999999999</v>
      </c>
      <c r="M2246">
        <v>0</v>
      </c>
      <c r="N2246" t="s">
        <v>10019</v>
      </c>
      <c r="O2246" t="str">
        <f>HYPERLINK("2\1\marker_789_381334.png", "Ver Imagen")</f>
        <v>Ver Imagen</v>
      </c>
      <c r="P2246" t="str">
        <f>HYPERLINK("SE\A-5058\A-5058__119.png", "Ver Imagen")</f>
        <v>Ver Imagen</v>
      </c>
    </row>
    <row r="2247" spans="1:16" x14ac:dyDescent="0.25">
      <c r="A2247">
        <v>1702</v>
      </c>
      <c r="B2247" t="s">
        <v>3417</v>
      </c>
      <c r="C2247">
        <v>37.232827861399997</v>
      </c>
      <c r="D2247">
        <v>-7.0539194541099999</v>
      </c>
      <c r="E2247">
        <v>2</v>
      </c>
      <c r="F2247">
        <v>2</v>
      </c>
      <c r="G2247">
        <v>3</v>
      </c>
      <c r="J2247" t="s">
        <v>15</v>
      </c>
      <c r="K2247">
        <v>2</v>
      </c>
      <c r="L2247">
        <v>2.17</v>
      </c>
      <c r="M2247">
        <v>0</v>
      </c>
      <c r="N2247" t="s">
        <v>10018</v>
      </c>
      <c r="O2247" t="str">
        <f>HYPERLINK("2\1\marker_215_381342.png", "Ver Imagen")</f>
        <v>Ver Imagen</v>
      </c>
      <c r="P2247" t="str">
        <f>HYPERLINK("SE\A-5058\A-5058__120.png", "Ver Imagen")</f>
        <v>Ver Imagen</v>
      </c>
    </row>
    <row r="2248" spans="1:16" x14ac:dyDescent="0.25">
      <c r="A2248">
        <v>1703</v>
      </c>
      <c r="B2248" t="s">
        <v>3419</v>
      </c>
      <c r="C2248">
        <v>37.232922433100001</v>
      </c>
      <c r="D2248">
        <v>-7.0541562665699997</v>
      </c>
      <c r="E2248">
        <v>2</v>
      </c>
      <c r="F2248">
        <v>2</v>
      </c>
      <c r="G2248">
        <v>3</v>
      </c>
      <c r="J2248" t="s">
        <v>15</v>
      </c>
      <c r="K2248">
        <v>2</v>
      </c>
      <c r="L2248">
        <v>2.2429999999999999</v>
      </c>
      <c r="M2248">
        <v>0</v>
      </c>
      <c r="N2248" t="s">
        <v>10019</v>
      </c>
      <c r="O2248" t="str">
        <f>HYPERLINK("2\1\marker_716_381351.png", "Ver Imagen")</f>
        <v>Ver Imagen</v>
      </c>
      <c r="P2248" t="str">
        <f>HYPERLINK("SE\A-5058\A-5058__121.png", "Ver Imagen")</f>
        <v>Ver Imagen</v>
      </c>
    </row>
    <row r="2249" spans="1:16" x14ac:dyDescent="0.25">
      <c r="A2249">
        <v>1704</v>
      </c>
      <c r="B2249" t="s">
        <v>3421</v>
      </c>
      <c r="C2249">
        <v>37.233005740400003</v>
      </c>
      <c r="D2249">
        <v>-7.0543836173600001</v>
      </c>
      <c r="E2249">
        <v>2</v>
      </c>
      <c r="F2249">
        <v>2</v>
      </c>
      <c r="G2249">
        <v>3</v>
      </c>
      <c r="J2249" t="s">
        <v>15</v>
      </c>
      <c r="K2249">
        <v>2</v>
      </c>
      <c r="L2249">
        <v>2.2320000000000002</v>
      </c>
      <c r="M2249">
        <v>0</v>
      </c>
      <c r="N2249" t="s">
        <v>10019</v>
      </c>
      <c r="O2249" t="str">
        <f>HYPERLINK("2\1\marker_899_381360.png", "Ver Imagen")</f>
        <v>Ver Imagen</v>
      </c>
      <c r="P2249" t="str">
        <f>HYPERLINK("SE\A-5058\A-5058__122.png", "Ver Imagen")</f>
        <v>Ver Imagen</v>
      </c>
    </row>
    <row r="2250" spans="1:16" x14ac:dyDescent="0.25">
      <c r="A2250">
        <v>1705</v>
      </c>
      <c r="B2250" t="s">
        <v>3423</v>
      </c>
      <c r="C2250">
        <v>37.233078792299999</v>
      </c>
      <c r="D2250">
        <v>-7.0546100912699998</v>
      </c>
      <c r="E2250">
        <v>2</v>
      </c>
      <c r="F2250">
        <v>2</v>
      </c>
      <c r="G2250">
        <v>3</v>
      </c>
      <c r="J2250" t="s">
        <v>15</v>
      </c>
      <c r="K2250">
        <v>2</v>
      </c>
      <c r="L2250">
        <v>2.1120000000000001</v>
      </c>
      <c r="M2250">
        <v>0</v>
      </c>
      <c r="N2250" t="s">
        <v>10019</v>
      </c>
      <c r="O2250" t="str">
        <f>HYPERLINK("2\1\marker_771_381369.png", "Ver Imagen")</f>
        <v>Ver Imagen</v>
      </c>
      <c r="P2250" t="str">
        <f>HYPERLINK("SE\A-5058\A-5058__123.png", "Ver Imagen")</f>
        <v>Ver Imagen</v>
      </c>
    </row>
    <row r="2251" spans="1:16" x14ac:dyDescent="0.25">
      <c r="A2251">
        <v>1707</v>
      </c>
      <c r="B2251" t="s">
        <v>3427</v>
      </c>
      <c r="C2251">
        <v>37.233269308700002</v>
      </c>
      <c r="D2251">
        <v>-7.05531469651</v>
      </c>
      <c r="E2251">
        <v>2</v>
      </c>
      <c r="F2251">
        <v>2</v>
      </c>
      <c r="G2251">
        <v>3</v>
      </c>
      <c r="J2251" t="s">
        <v>15</v>
      </c>
      <c r="K2251">
        <v>2</v>
      </c>
      <c r="L2251">
        <v>2.1720000000000002</v>
      </c>
      <c r="M2251">
        <v>0</v>
      </c>
      <c r="N2251" t="s">
        <v>10019</v>
      </c>
      <c r="O2251" t="str">
        <f>HYPERLINK("2\1\marker_465_381398.png", "Ver Imagen")</f>
        <v>Ver Imagen</v>
      </c>
      <c r="P2251" t="str">
        <f>HYPERLINK("SE\A-5058\A-5058__126.png", "Ver Imagen")</f>
        <v>Ver Imagen</v>
      </c>
    </row>
    <row r="2252" spans="1:16" x14ac:dyDescent="0.25">
      <c r="A2252">
        <v>1708</v>
      </c>
      <c r="B2252" t="s">
        <v>3429</v>
      </c>
      <c r="C2252">
        <v>37.233327475599999</v>
      </c>
      <c r="D2252">
        <v>-7.05554061527</v>
      </c>
      <c r="E2252">
        <v>2</v>
      </c>
      <c r="F2252">
        <v>2</v>
      </c>
      <c r="G2252">
        <v>3</v>
      </c>
      <c r="J2252" t="s">
        <v>15</v>
      </c>
      <c r="K2252">
        <v>2</v>
      </c>
      <c r="L2252">
        <v>2.028</v>
      </c>
      <c r="M2252">
        <v>0</v>
      </c>
      <c r="N2252" t="s">
        <v>10019</v>
      </c>
      <c r="O2252" t="str">
        <f>HYPERLINK("2\1\marker_542_381422.png", "Ver Imagen")</f>
        <v>Ver Imagen</v>
      </c>
      <c r="P2252" t="str">
        <f>HYPERLINK("SE\A-5058\A-5058__127.png", "Ver Imagen")</f>
        <v>Ver Imagen</v>
      </c>
    </row>
    <row r="2253" spans="1:16" x14ac:dyDescent="0.25">
      <c r="A2253">
        <v>1709</v>
      </c>
      <c r="B2253" t="s">
        <v>3431</v>
      </c>
      <c r="C2253">
        <v>37.233463362099997</v>
      </c>
      <c r="D2253">
        <v>-7.0560640008300002</v>
      </c>
      <c r="E2253">
        <v>2</v>
      </c>
      <c r="F2253">
        <v>2</v>
      </c>
      <c r="G2253">
        <v>3</v>
      </c>
      <c r="J2253" t="s">
        <v>15</v>
      </c>
      <c r="K2253">
        <v>2</v>
      </c>
      <c r="L2253">
        <v>2.2789999999999999</v>
      </c>
      <c r="M2253">
        <v>0</v>
      </c>
      <c r="N2253" t="s">
        <v>10019</v>
      </c>
      <c r="O2253" t="str">
        <f>HYPERLINK("2\1\marker_400_381446.png", "Ver Imagen")</f>
        <v>Ver Imagen</v>
      </c>
      <c r="P2253" t="str">
        <f>HYPERLINK("SE\A-5058\A-5058__129.png", "Ver Imagen")</f>
        <v>Ver Imagen</v>
      </c>
    </row>
    <row r="2254" spans="1:16" x14ac:dyDescent="0.25">
      <c r="A2254">
        <v>1710</v>
      </c>
      <c r="B2254" t="s">
        <v>3433</v>
      </c>
      <c r="C2254">
        <v>37.2335869789</v>
      </c>
      <c r="D2254">
        <v>-7.0565314661</v>
      </c>
      <c r="E2254">
        <v>2</v>
      </c>
      <c r="F2254">
        <v>2</v>
      </c>
      <c r="G2254">
        <v>3</v>
      </c>
      <c r="J2254" t="s">
        <v>15</v>
      </c>
      <c r="K2254">
        <v>2</v>
      </c>
      <c r="L2254">
        <v>1.98</v>
      </c>
      <c r="M2254">
        <v>0</v>
      </c>
      <c r="N2254" t="s">
        <v>10018</v>
      </c>
      <c r="O2254" t="str">
        <f>HYPERLINK("2\1\marker_728_381466.png", "Ver Imagen")</f>
        <v>Ver Imagen</v>
      </c>
      <c r="P2254" t="str">
        <f>HYPERLINK("SE\A-5058\A-5058__131.png", "Ver Imagen")</f>
        <v>Ver Imagen</v>
      </c>
    </row>
    <row r="2255" spans="1:16" x14ac:dyDescent="0.25">
      <c r="A2255">
        <v>1711</v>
      </c>
      <c r="B2255" t="s">
        <v>3435</v>
      </c>
      <c r="C2255">
        <v>37.233656557000003</v>
      </c>
      <c r="D2255">
        <v>-7.05679547031</v>
      </c>
      <c r="E2255">
        <v>2</v>
      </c>
      <c r="F2255">
        <v>2</v>
      </c>
      <c r="G2255">
        <v>3</v>
      </c>
      <c r="J2255" t="s">
        <v>15</v>
      </c>
      <c r="K2255">
        <v>2</v>
      </c>
      <c r="L2255">
        <v>1.93</v>
      </c>
      <c r="M2255">
        <v>0</v>
      </c>
      <c r="N2255" t="s">
        <v>10019</v>
      </c>
      <c r="O2255" t="str">
        <f>HYPERLINK("2\1\marker_946_381484.png", "Ver Imagen")</f>
        <v>Ver Imagen</v>
      </c>
      <c r="P2255" t="str">
        <f>HYPERLINK("SE\A-5058\A-5058__132.png", "Ver Imagen")</f>
        <v>Ver Imagen</v>
      </c>
    </row>
    <row r="2256" spans="1:16" x14ac:dyDescent="0.25">
      <c r="A2256">
        <v>1712</v>
      </c>
      <c r="B2256" t="s">
        <v>3437</v>
      </c>
      <c r="C2256">
        <v>37.233718539599998</v>
      </c>
      <c r="D2256">
        <v>-7.0570301719800002</v>
      </c>
      <c r="E2256">
        <v>2</v>
      </c>
      <c r="F2256">
        <v>2</v>
      </c>
      <c r="G2256">
        <v>3</v>
      </c>
      <c r="J2256" t="s">
        <v>15</v>
      </c>
      <c r="K2256">
        <v>2</v>
      </c>
      <c r="L2256">
        <v>1.9279999999999999</v>
      </c>
      <c r="M2256">
        <v>0</v>
      </c>
      <c r="N2256" t="s">
        <v>10019</v>
      </c>
      <c r="O2256" t="str">
        <f>HYPERLINK("2\1\marker_641_381497.png", "Ver Imagen")</f>
        <v>Ver Imagen</v>
      </c>
      <c r="P2256" t="str">
        <f>HYPERLINK("SE\A-5058\A-5058__133.png", "Ver Imagen")</f>
        <v>Ver Imagen</v>
      </c>
    </row>
    <row r="2257" spans="1:16" x14ac:dyDescent="0.25">
      <c r="A2257">
        <v>1713</v>
      </c>
      <c r="B2257" t="s">
        <v>3439</v>
      </c>
      <c r="C2257">
        <v>37.2337777324</v>
      </c>
      <c r="D2257">
        <v>-7.0572539576400004</v>
      </c>
      <c r="E2257">
        <v>2</v>
      </c>
      <c r="F2257">
        <v>2</v>
      </c>
      <c r="G2257">
        <v>3</v>
      </c>
      <c r="J2257" t="s">
        <v>15</v>
      </c>
      <c r="K2257">
        <v>2</v>
      </c>
      <c r="L2257">
        <v>1.8109999999999999</v>
      </c>
      <c r="M2257">
        <v>0</v>
      </c>
      <c r="N2257" t="s">
        <v>10019</v>
      </c>
      <c r="O2257" t="str">
        <f>HYPERLINK("2\1\marker_819_381508.png", "Ver Imagen")</f>
        <v>Ver Imagen</v>
      </c>
      <c r="P2257" t="str">
        <f>HYPERLINK("SE\A-5058\A-5058__134.png", "Ver Imagen")</f>
        <v>Ver Imagen</v>
      </c>
    </row>
    <row r="2258" spans="1:16" x14ac:dyDescent="0.25">
      <c r="A2258">
        <v>1714</v>
      </c>
      <c r="B2258" t="s">
        <v>3441</v>
      </c>
      <c r="C2258">
        <v>37.234037535100001</v>
      </c>
      <c r="D2258">
        <v>-7.0638173965700002</v>
      </c>
      <c r="E2258">
        <v>2</v>
      </c>
      <c r="F2258">
        <v>2</v>
      </c>
      <c r="G2258">
        <v>3</v>
      </c>
      <c r="J2258" t="s">
        <v>15</v>
      </c>
      <c r="K2258">
        <v>2</v>
      </c>
      <c r="L2258">
        <v>2.2320000000000002</v>
      </c>
      <c r="M2258">
        <v>0</v>
      </c>
      <c r="N2258" t="s">
        <v>10017</v>
      </c>
      <c r="O2258" t="str">
        <f>HYPERLINK("2\1\marker_501_381826.png", "Ver Imagen")</f>
        <v>Ver Imagen</v>
      </c>
      <c r="P2258" t="str">
        <f>HYPERLINK("SE\A-5058\A-5058__160.png", "Ver Imagen")</f>
        <v>Ver Imagen</v>
      </c>
    </row>
    <row r="2259" spans="1:16" x14ac:dyDescent="0.25">
      <c r="A2259">
        <v>1715</v>
      </c>
      <c r="B2259" t="s">
        <v>3443</v>
      </c>
      <c r="C2259">
        <v>37.239499265500001</v>
      </c>
      <c r="D2259">
        <v>-7.0806414397399999</v>
      </c>
      <c r="E2259">
        <v>2</v>
      </c>
      <c r="F2259">
        <v>2</v>
      </c>
      <c r="G2259">
        <v>3</v>
      </c>
      <c r="J2259" t="s">
        <v>15</v>
      </c>
      <c r="K2259">
        <v>2</v>
      </c>
      <c r="L2259">
        <v>2.1379999999999999</v>
      </c>
      <c r="M2259">
        <v>0</v>
      </c>
      <c r="N2259" t="s">
        <v>10019</v>
      </c>
      <c r="O2259" t="str">
        <f>HYPERLINK("2\1\marker_579_383323.png", "Ver Imagen")</f>
        <v>Ver Imagen</v>
      </c>
      <c r="P2259" t="str">
        <f>HYPERLINK("SE\A-5058\A-5058__236.png", "Ver Imagen")</f>
        <v>Ver Imagen</v>
      </c>
    </row>
    <row r="2260" spans="1:16" x14ac:dyDescent="0.25">
      <c r="A2260">
        <v>1715</v>
      </c>
      <c r="B2260" t="s">
        <v>3443</v>
      </c>
      <c r="C2260">
        <v>37.239499265500001</v>
      </c>
      <c r="D2260">
        <v>-7.0806414397399999</v>
      </c>
      <c r="E2260">
        <v>2</v>
      </c>
      <c r="F2260">
        <v>2</v>
      </c>
      <c r="G2260">
        <v>3</v>
      </c>
      <c r="J2260" t="s">
        <v>15</v>
      </c>
      <c r="K2260">
        <v>2</v>
      </c>
      <c r="L2260">
        <v>2.0590000000000002</v>
      </c>
      <c r="M2260">
        <v>0</v>
      </c>
      <c r="N2260" t="s">
        <v>10019</v>
      </c>
      <c r="O2260" t="str">
        <f>HYPERLINK("2\1\marker_579_383323.png", "Ver Imagen")</f>
        <v>Ver Imagen</v>
      </c>
      <c r="P2260" t="str">
        <f>HYPERLINK("SO\A-5058\A-5058__236.png", "Ver Imagen")</f>
        <v>Ver Imagen</v>
      </c>
    </row>
    <row r="2261" spans="1:16" x14ac:dyDescent="0.25">
      <c r="A2261">
        <v>1716</v>
      </c>
      <c r="B2261" t="s">
        <v>3445</v>
      </c>
      <c r="C2261">
        <v>37.250227142100002</v>
      </c>
      <c r="D2261">
        <v>-7.1029630812300004</v>
      </c>
      <c r="E2261">
        <v>2</v>
      </c>
      <c r="F2261">
        <v>2</v>
      </c>
      <c r="G2261">
        <v>3</v>
      </c>
      <c r="J2261" t="s">
        <v>15</v>
      </c>
      <c r="K2261">
        <v>2</v>
      </c>
      <c r="L2261">
        <v>2.2120000000000002</v>
      </c>
      <c r="M2261">
        <v>0</v>
      </c>
      <c r="N2261" t="s">
        <v>10017</v>
      </c>
      <c r="O2261" t="str">
        <f>HYPERLINK("2\1\marker_446_384795.png", "Ver Imagen")</f>
        <v>Ver Imagen</v>
      </c>
      <c r="P2261" t="str">
        <f>HYPERLINK("SO\A-5058\A-5058__343.png", "Ver Imagen")</f>
        <v>Ver Imagen</v>
      </c>
    </row>
    <row r="2262" spans="1:16" x14ac:dyDescent="0.25">
      <c r="A2262">
        <v>1717</v>
      </c>
      <c r="B2262" t="s">
        <v>3447</v>
      </c>
      <c r="C2262">
        <v>37.251141344200001</v>
      </c>
      <c r="D2262">
        <v>-7.1034967514699998</v>
      </c>
      <c r="E2262">
        <v>2</v>
      </c>
      <c r="F2262">
        <v>2</v>
      </c>
      <c r="G2262">
        <v>3</v>
      </c>
      <c r="J2262" t="s">
        <v>15</v>
      </c>
      <c r="K2262">
        <v>2</v>
      </c>
      <c r="L2262">
        <v>2.3660000000000001</v>
      </c>
      <c r="M2262">
        <v>0</v>
      </c>
      <c r="N2262" t="s">
        <v>10019</v>
      </c>
      <c r="O2262" t="str">
        <f>HYPERLINK("2\1\marker_488_384845.png", "Ver Imagen")</f>
        <v>Ver Imagen</v>
      </c>
      <c r="P2262" t="str">
        <f>HYPERLINK("SO\A-5058\A-5058__348.png", "Ver Imagen")</f>
        <v>Ver Imagen</v>
      </c>
    </row>
    <row r="2263" spans="1:16" x14ac:dyDescent="0.25">
      <c r="A2263">
        <v>1718</v>
      </c>
      <c r="B2263" t="s">
        <v>3449</v>
      </c>
      <c r="C2263">
        <v>37.252781795700002</v>
      </c>
      <c r="D2263">
        <v>-7.1053225589100002</v>
      </c>
      <c r="E2263">
        <v>2</v>
      </c>
      <c r="F2263">
        <v>2</v>
      </c>
      <c r="G2263">
        <v>3</v>
      </c>
      <c r="J2263" t="s">
        <v>15</v>
      </c>
      <c r="K2263">
        <v>2</v>
      </c>
      <c r="L2263">
        <v>2.2050000000000001</v>
      </c>
      <c r="M2263">
        <v>0</v>
      </c>
      <c r="N2263" t="s">
        <v>10019</v>
      </c>
      <c r="O2263" t="str">
        <f>HYPERLINK("2\1\marker_321_384963.png", "Ver Imagen")</f>
        <v>Ver Imagen</v>
      </c>
      <c r="P2263" t="str">
        <f>HYPERLINK("SO\A-5058\A-5058__359.png", "Ver Imagen")</f>
        <v>Ver Imagen</v>
      </c>
    </row>
    <row r="2264" spans="1:16" x14ac:dyDescent="0.25">
      <c r="A2264">
        <v>1719</v>
      </c>
      <c r="B2264" t="s">
        <v>3451</v>
      </c>
      <c r="C2264">
        <v>37.2536919036</v>
      </c>
      <c r="D2264">
        <v>-7.1072746903399997</v>
      </c>
      <c r="E2264">
        <v>2</v>
      </c>
      <c r="F2264">
        <v>2</v>
      </c>
      <c r="G2264">
        <v>3</v>
      </c>
      <c r="J2264" t="s">
        <v>15</v>
      </c>
      <c r="K2264">
        <v>2</v>
      </c>
      <c r="L2264">
        <v>2.2850000000000001</v>
      </c>
      <c r="M2264">
        <v>0</v>
      </c>
      <c r="N2264" t="s">
        <v>10019</v>
      </c>
      <c r="O2264" t="str">
        <f>HYPERLINK("2\1\marker_243_385055.png", "Ver Imagen")</f>
        <v>Ver Imagen</v>
      </c>
      <c r="P2264" t="str">
        <f>HYPERLINK("SO\A-5058\A-5058__368.png", "Ver Imagen")</f>
        <v>Ver Imagen</v>
      </c>
    </row>
    <row r="2265" spans="1:16" x14ac:dyDescent="0.25">
      <c r="A2265">
        <v>1721</v>
      </c>
      <c r="B2265" t="s">
        <v>3455</v>
      </c>
      <c r="C2265">
        <v>37.4440457854</v>
      </c>
      <c r="D2265">
        <v>-7.0991828557499996</v>
      </c>
      <c r="E2265">
        <v>2</v>
      </c>
      <c r="F2265">
        <v>2</v>
      </c>
      <c r="G2265">
        <v>3</v>
      </c>
      <c r="J2265" t="s">
        <v>15</v>
      </c>
      <c r="K2265">
        <v>2</v>
      </c>
      <c r="L2265">
        <v>1.7769999999999999</v>
      </c>
      <c r="M2265">
        <v>0</v>
      </c>
      <c r="N2265" t="s">
        <v>10019</v>
      </c>
      <c r="O2265" t="str">
        <f>HYPERLINK("2\1\marker_705_381029.png", "Ver Imagen")</f>
        <v>Ver Imagen</v>
      </c>
      <c r="P2265" t="str">
        <f>HYPERLINK("NE\A-495\A-495__5.png", "Ver Imagen")</f>
        <v>Ver Imagen</v>
      </c>
    </row>
    <row r="2266" spans="1:16" x14ac:dyDescent="0.25">
      <c r="A2266">
        <v>1722</v>
      </c>
      <c r="B2266" t="s">
        <v>3457</v>
      </c>
      <c r="C2266">
        <v>37.482088940499999</v>
      </c>
      <c r="D2266">
        <v>-7.1283106867499999</v>
      </c>
      <c r="E2266">
        <v>2</v>
      </c>
      <c r="F2266">
        <v>2</v>
      </c>
      <c r="G2266">
        <v>3</v>
      </c>
      <c r="J2266" t="s">
        <v>15</v>
      </c>
      <c r="K2266">
        <v>2</v>
      </c>
      <c r="L2266">
        <v>2.278</v>
      </c>
      <c r="M2266">
        <v>0</v>
      </c>
      <c r="N2266" t="s">
        <v>10018</v>
      </c>
      <c r="O2266" t="str">
        <f>HYPERLINK("2\1\marker_622_383830.png", "Ver Imagen")</f>
        <v>Ver Imagen</v>
      </c>
      <c r="P2266" t="str">
        <f>HYPERLINK("NE\A-495_1\A-495_1__179.png", "Ver Imagen")</f>
        <v>Ver Imagen</v>
      </c>
    </row>
    <row r="2267" spans="1:16" x14ac:dyDescent="0.25">
      <c r="A2267">
        <v>1723</v>
      </c>
      <c r="B2267" t="s">
        <v>3459</v>
      </c>
      <c r="C2267">
        <v>37.481747140400003</v>
      </c>
      <c r="D2267">
        <v>-7.1281014453699996</v>
      </c>
      <c r="E2267">
        <v>2</v>
      </c>
      <c r="F2267">
        <v>2</v>
      </c>
      <c r="G2267">
        <v>3</v>
      </c>
      <c r="J2267" t="s">
        <v>15</v>
      </c>
      <c r="K2267">
        <v>2</v>
      </c>
      <c r="L2267">
        <v>1.9490000000000001</v>
      </c>
      <c r="M2267">
        <v>0</v>
      </c>
      <c r="N2267" t="s">
        <v>10019</v>
      </c>
      <c r="O2267" t="str">
        <f>HYPERLINK("2\1\marker_322_383925.png", "Ver Imagen")</f>
        <v>Ver Imagen</v>
      </c>
      <c r="P2267" t="str">
        <f>HYPERLINK("NE\A-495_1\A-495_1__177.png", "Ver Imagen")</f>
        <v>Ver Imagen</v>
      </c>
    </row>
    <row r="2268" spans="1:16" x14ac:dyDescent="0.25">
      <c r="A2268">
        <v>1724</v>
      </c>
      <c r="B2268" t="s">
        <v>3461</v>
      </c>
      <c r="C2268">
        <v>37.481528580099997</v>
      </c>
      <c r="D2268">
        <v>-7.1279936799700003</v>
      </c>
      <c r="E2268">
        <v>2</v>
      </c>
      <c r="F2268">
        <v>2</v>
      </c>
      <c r="G2268">
        <v>3</v>
      </c>
      <c r="J2268" t="s">
        <v>15</v>
      </c>
      <c r="K2268">
        <v>2</v>
      </c>
      <c r="L2268">
        <v>2.1360000000000001</v>
      </c>
      <c r="M2268">
        <v>0</v>
      </c>
      <c r="N2268" t="s">
        <v>10019</v>
      </c>
      <c r="O2268" t="str">
        <f>HYPERLINK("2\1\marker_153_383935.png", "Ver Imagen")</f>
        <v>Ver Imagen</v>
      </c>
      <c r="P2268" t="str">
        <f>HYPERLINK("NE\A-495_1\A-495_1__176.png", "Ver Imagen")</f>
        <v>Ver Imagen</v>
      </c>
    </row>
    <row r="2269" spans="1:16" x14ac:dyDescent="0.25">
      <c r="A2269">
        <v>1725</v>
      </c>
      <c r="B2269" t="s">
        <v>3463</v>
      </c>
      <c r="C2269">
        <v>37.470422704500002</v>
      </c>
      <c r="D2269">
        <v>-7.1249498476899999</v>
      </c>
      <c r="E2269">
        <v>3</v>
      </c>
      <c r="F2269">
        <v>2</v>
      </c>
      <c r="G2269">
        <v>2</v>
      </c>
      <c r="J2269" t="s">
        <v>15</v>
      </c>
      <c r="K2269">
        <v>2</v>
      </c>
      <c r="L2269">
        <v>2.085</v>
      </c>
      <c r="M2269">
        <v>0</v>
      </c>
      <c r="N2269" t="s">
        <v>10019</v>
      </c>
      <c r="O2269" t="str">
        <f>HYPERLINK("2\1\marker_526_384614.png", "Ver Imagen")</f>
        <v>Ver Imagen</v>
      </c>
      <c r="P2269" t="str">
        <f>HYPERLINK("NE\A-495_1\A-495_1__116.png", "Ver Imagen")</f>
        <v>Ver Imagen</v>
      </c>
    </row>
    <row r="2270" spans="1:16" x14ac:dyDescent="0.25">
      <c r="A2270">
        <v>1726</v>
      </c>
      <c r="B2270" t="s">
        <v>3465</v>
      </c>
      <c r="C2270">
        <v>37.450980192599999</v>
      </c>
      <c r="D2270">
        <v>-7.1274199148099999</v>
      </c>
      <c r="E2270">
        <v>2</v>
      </c>
      <c r="F2270">
        <v>2</v>
      </c>
      <c r="G2270">
        <v>3</v>
      </c>
      <c r="J2270" t="s">
        <v>15</v>
      </c>
      <c r="K2270">
        <v>2</v>
      </c>
      <c r="L2270">
        <v>1.8560000000000001</v>
      </c>
      <c r="M2270">
        <v>0</v>
      </c>
      <c r="N2270" t="s">
        <v>10019</v>
      </c>
      <c r="O2270" t="str">
        <f>HYPERLINK("2\1\marker_269_386179.png", "Ver Imagen")</f>
        <v>Ver Imagen</v>
      </c>
      <c r="P2270" t="str">
        <f>HYPERLINK("NE\A-495_1\A-495_1__15.png", "Ver Imagen")</f>
        <v>Ver Imagen</v>
      </c>
    </row>
    <row r="2271" spans="1:16" x14ac:dyDescent="0.25">
      <c r="A2271">
        <v>1727</v>
      </c>
      <c r="B2271" t="s">
        <v>3467</v>
      </c>
      <c r="C2271">
        <v>37.492610103300002</v>
      </c>
      <c r="D2271">
        <v>-7.2774437343100002</v>
      </c>
      <c r="E2271">
        <v>2</v>
      </c>
      <c r="F2271">
        <v>2</v>
      </c>
      <c r="G2271">
        <v>3</v>
      </c>
      <c r="J2271" t="s">
        <v>15</v>
      </c>
      <c r="K2271">
        <v>2</v>
      </c>
      <c r="L2271">
        <v>1.978</v>
      </c>
      <c r="M2271">
        <v>0</v>
      </c>
      <c r="N2271" t="s">
        <v>10019</v>
      </c>
      <c r="O2271" t="str">
        <f>HYPERLINK("2\1\marker_338_529936.png", "Ver Imagen")</f>
        <v>Ver Imagen</v>
      </c>
      <c r="P2271" t="str">
        <f>HYPERLINK("NO\A-499\A-499__31.png", "Ver Imagen")</f>
        <v>Ver Imagen</v>
      </c>
    </row>
    <row r="2272" spans="1:16" x14ac:dyDescent="0.25">
      <c r="A2272">
        <v>1728</v>
      </c>
      <c r="B2272" t="s">
        <v>3469</v>
      </c>
      <c r="C2272">
        <v>37.492823373</v>
      </c>
      <c r="D2272">
        <v>-7.2773682420199997</v>
      </c>
      <c r="E2272">
        <v>2</v>
      </c>
      <c r="F2272">
        <v>2</v>
      </c>
      <c r="G2272">
        <v>3</v>
      </c>
      <c r="J2272" t="s">
        <v>15</v>
      </c>
      <c r="K2272">
        <v>2</v>
      </c>
      <c r="L2272">
        <v>1.966</v>
      </c>
      <c r="M2272">
        <v>0</v>
      </c>
      <c r="N2272" t="s">
        <v>10019</v>
      </c>
      <c r="O2272" t="str">
        <f>HYPERLINK("2\1\marker_520_529946.png", "Ver Imagen")</f>
        <v>Ver Imagen</v>
      </c>
      <c r="P2272" t="str">
        <f>HYPERLINK("NO\A-499\A-499__32.png", "Ver Imagen")</f>
        <v>Ver Imagen</v>
      </c>
    </row>
    <row r="2273" spans="1:16" x14ac:dyDescent="0.25">
      <c r="A2273">
        <v>1730</v>
      </c>
      <c r="B2273" t="s">
        <v>3473</v>
      </c>
      <c r="C2273">
        <v>37.495536256999998</v>
      </c>
      <c r="D2273">
        <v>-7.27603525411</v>
      </c>
      <c r="E2273">
        <v>3</v>
      </c>
      <c r="F2273">
        <v>2</v>
      </c>
      <c r="G2273">
        <v>2</v>
      </c>
      <c r="J2273" t="s">
        <v>15</v>
      </c>
      <c r="K2273">
        <v>2</v>
      </c>
      <c r="L2273">
        <v>2.0030000000000001</v>
      </c>
      <c r="M2273">
        <v>0</v>
      </c>
      <c r="N2273" t="s">
        <v>10019</v>
      </c>
      <c r="O2273" t="str">
        <f>HYPERLINK("2\1\marker_463_534834.png", "Ver Imagen")</f>
        <v>Ver Imagen</v>
      </c>
      <c r="P2273" t="str">
        <f>HYPERLINK("NO\A-499\A-499__47.png", "Ver Imagen")</f>
        <v>Ver Imagen</v>
      </c>
    </row>
    <row r="2274" spans="1:16" x14ac:dyDescent="0.25">
      <c r="A2274">
        <v>1731</v>
      </c>
      <c r="B2274" t="s">
        <v>3475</v>
      </c>
      <c r="C2274">
        <v>37.495714777899998</v>
      </c>
      <c r="D2274">
        <v>-7.27452661377</v>
      </c>
      <c r="E2274">
        <v>2</v>
      </c>
      <c r="F2274">
        <v>2</v>
      </c>
      <c r="G2274">
        <v>3</v>
      </c>
      <c r="J2274" t="s">
        <v>15</v>
      </c>
      <c r="K2274">
        <v>2</v>
      </c>
      <c r="L2274">
        <v>1.752</v>
      </c>
      <c r="M2274">
        <v>0</v>
      </c>
      <c r="N2274" t="s">
        <v>10019</v>
      </c>
      <c r="O2274" t="str">
        <f>HYPERLINK("2\1\marker_560_534925.png", "Ver Imagen")</f>
        <v>Ver Imagen</v>
      </c>
      <c r="P2274" t="str">
        <f>HYPERLINK("NO\A-499\A-499__53.png", "Ver Imagen")</f>
        <v>Ver Imagen</v>
      </c>
    </row>
    <row r="2275" spans="1:16" x14ac:dyDescent="0.25">
      <c r="A2275">
        <v>1732</v>
      </c>
      <c r="B2275" t="s">
        <v>3477</v>
      </c>
      <c r="C2275">
        <v>37.502122775300002</v>
      </c>
      <c r="D2275">
        <v>-7.2663747519799999</v>
      </c>
      <c r="E2275">
        <v>2</v>
      </c>
      <c r="F2275">
        <v>2</v>
      </c>
      <c r="G2275">
        <v>3</v>
      </c>
      <c r="J2275" t="s">
        <v>15</v>
      </c>
      <c r="K2275">
        <v>2</v>
      </c>
      <c r="L2275">
        <v>2.0209999999999999</v>
      </c>
      <c r="M2275">
        <v>0</v>
      </c>
      <c r="N2275" t="s">
        <v>10019</v>
      </c>
      <c r="O2275" t="str">
        <f>HYPERLINK("2\1\marker_393_793542.png", "Ver Imagen")</f>
        <v>Ver Imagen</v>
      </c>
      <c r="P2275" t="str">
        <f>HYPERLINK("NO\A-499\A-499__117.png", "Ver Imagen")</f>
        <v>Ver Imagen</v>
      </c>
    </row>
    <row r="2276" spans="1:16" x14ac:dyDescent="0.25">
      <c r="A2276">
        <v>1733</v>
      </c>
      <c r="B2276" t="s">
        <v>3479</v>
      </c>
      <c r="C2276">
        <v>37.271401841200003</v>
      </c>
      <c r="D2276">
        <v>-6.9883202359499998</v>
      </c>
      <c r="E2276">
        <v>3</v>
      </c>
      <c r="F2276">
        <v>2</v>
      </c>
      <c r="G2276">
        <v>2</v>
      </c>
      <c r="J2276" t="s">
        <v>15</v>
      </c>
      <c r="K2276">
        <v>2</v>
      </c>
      <c r="L2276">
        <v>1.6759999999999999</v>
      </c>
      <c r="M2276">
        <v>0</v>
      </c>
      <c r="N2276" t="s">
        <v>10019</v>
      </c>
      <c r="O2276" t="str">
        <f>HYPERLINK("2\1\marker_715_655741.png", "Ver Imagen")</f>
        <v>Ver Imagen</v>
      </c>
      <c r="P2276" t="str">
        <f>HYPERLINK("SE\A-497_2C\A-497_2C__127.png", "Ver Imagen")</f>
        <v>Ver Imagen</v>
      </c>
    </row>
    <row r="2277" spans="1:16" x14ac:dyDescent="0.25">
      <c r="A2277">
        <v>1735</v>
      </c>
      <c r="B2277" t="s">
        <v>3483</v>
      </c>
      <c r="C2277">
        <v>37.263425861599998</v>
      </c>
      <c r="D2277">
        <v>-7.0075806176500004</v>
      </c>
      <c r="E2277">
        <v>2</v>
      </c>
      <c r="F2277">
        <v>2</v>
      </c>
      <c r="G2277">
        <v>3</v>
      </c>
      <c r="J2277" t="s">
        <v>15</v>
      </c>
      <c r="K2277">
        <v>2</v>
      </c>
      <c r="L2277">
        <v>1.9119999999999999</v>
      </c>
      <c r="M2277">
        <v>0</v>
      </c>
      <c r="N2277" t="s">
        <v>10019</v>
      </c>
      <c r="O2277" t="str">
        <f>HYPERLINK("2\1\marker_626_656735.png", "Ver Imagen")</f>
        <v>Ver Imagen</v>
      </c>
      <c r="P2277" t="str">
        <f>HYPERLINK("SE\A-497_2C\A-497_2C__218.png", "Ver Imagen")</f>
        <v>Ver Imagen</v>
      </c>
    </row>
    <row r="2278" spans="1:16" x14ac:dyDescent="0.25">
      <c r="A2278">
        <v>1737</v>
      </c>
      <c r="B2278" t="s">
        <v>3487</v>
      </c>
      <c r="C2278">
        <v>37.249904805100002</v>
      </c>
      <c r="D2278">
        <v>-7.0180576419199996</v>
      </c>
      <c r="E2278">
        <v>2</v>
      </c>
      <c r="F2278">
        <v>2</v>
      </c>
      <c r="G2278">
        <v>3</v>
      </c>
      <c r="J2278" t="s">
        <v>15</v>
      </c>
      <c r="K2278">
        <v>2</v>
      </c>
      <c r="L2278">
        <v>2.0070000000000001</v>
      </c>
      <c r="M2278">
        <v>0</v>
      </c>
      <c r="N2278" t="s">
        <v>10019</v>
      </c>
      <c r="O2278" t="str">
        <f>HYPERLINK("2\1\marker_298_320151.png", "Ver Imagen")</f>
        <v>Ver Imagen</v>
      </c>
      <c r="P2278" t="str">
        <f>HYPERLINK("SE\A-497_2C\A-497_2C__298.png", "Ver Imagen")</f>
        <v>Ver Imagen</v>
      </c>
    </row>
    <row r="2279" spans="1:16" x14ac:dyDescent="0.25">
      <c r="A2279">
        <v>1738</v>
      </c>
      <c r="B2279" t="s">
        <v>3489</v>
      </c>
      <c r="C2279">
        <v>37.2052417011</v>
      </c>
      <c r="D2279">
        <v>-7.0167554544400002</v>
      </c>
      <c r="E2279">
        <v>3</v>
      </c>
      <c r="F2279">
        <v>2</v>
      </c>
      <c r="G2279">
        <v>2</v>
      </c>
      <c r="J2279" t="s">
        <v>15</v>
      </c>
      <c r="K2279">
        <v>2</v>
      </c>
      <c r="L2279">
        <v>1.861</v>
      </c>
      <c r="M2279">
        <v>0</v>
      </c>
      <c r="N2279" t="s">
        <v>10019</v>
      </c>
      <c r="O2279" t="str">
        <f>HYPERLINK("2\1\marker_667_372349.png", "Ver Imagen")</f>
        <v>Ver Imagen</v>
      </c>
      <c r="P2279" t="str">
        <f>HYPERLINK("SE\A-497\A-497__543.png", "Ver Imagen")</f>
        <v>Ver Imagen</v>
      </c>
    </row>
    <row r="2280" spans="1:16" x14ac:dyDescent="0.25">
      <c r="A2280">
        <v>1739</v>
      </c>
      <c r="B2280" t="s">
        <v>3491</v>
      </c>
      <c r="C2280">
        <v>37.237587032500002</v>
      </c>
      <c r="D2280">
        <v>-7.0187563778299999</v>
      </c>
      <c r="E2280">
        <v>2</v>
      </c>
      <c r="F2280">
        <v>2</v>
      </c>
      <c r="G2280">
        <v>3</v>
      </c>
      <c r="J2280" t="s">
        <v>15</v>
      </c>
      <c r="K2280">
        <v>2</v>
      </c>
      <c r="L2280">
        <v>2.004</v>
      </c>
      <c r="M2280">
        <v>0</v>
      </c>
      <c r="N2280" t="s">
        <v>10019</v>
      </c>
      <c r="O2280" t="str">
        <f>HYPERLINK("2\1\marker_881_362318.png", "Ver Imagen")</f>
        <v>Ver Imagen</v>
      </c>
      <c r="P2280" t="str">
        <f>HYPERLINK("SE\A-497_2C\A-497_2C__359.png", "Ver Imagen")</f>
        <v>Ver Imagen</v>
      </c>
    </row>
    <row r="2281" spans="1:16" x14ac:dyDescent="0.25">
      <c r="A2281">
        <v>1740</v>
      </c>
      <c r="B2281" t="s">
        <v>3493</v>
      </c>
      <c r="C2281">
        <v>37.237387522900001</v>
      </c>
      <c r="D2281">
        <v>-7.0187507801900004</v>
      </c>
      <c r="E2281">
        <v>2</v>
      </c>
      <c r="F2281">
        <v>2</v>
      </c>
      <c r="G2281">
        <v>3</v>
      </c>
      <c r="J2281" t="s">
        <v>15</v>
      </c>
      <c r="K2281">
        <v>2</v>
      </c>
      <c r="L2281">
        <v>2.2120000000000002</v>
      </c>
      <c r="M2281">
        <v>0</v>
      </c>
      <c r="N2281" t="s">
        <v>10019</v>
      </c>
      <c r="O2281" t="str">
        <f>HYPERLINK("2\1\marker_155_362327.png", "Ver Imagen")</f>
        <v>Ver Imagen</v>
      </c>
      <c r="P2281" t="str">
        <f>HYPERLINK("SE\A-497_2C\A-497_2C__360.png", "Ver Imagen")</f>
        <v>Ver Imagen</v>
      </c>
    </row>
    <row r="2282" spans="1:16" x14ac:dyDescent="0.25">
      <c r="A2282">
        <v>1744</v>
      </c>
      <c r="B2282" t="s">
        <v>3501</v>
      </c>
      <c r="C2282">
        <v>37.228393157900001</v>
      </c>
      <c r="D2282">
        <v>-7.0216801307900001</v>
      </c>
      <c r="E2282">
        <v>3</v>
      </c>
      <c r="F2282">
        <v>2</v>
      </c>
      <c r="G2282">
        <v>2</v>
      </c>
      <c r="J2282" t="s">
        <v>15</v>
      </c>
      <c r="K2282">
        <v>2</v>
      </c>
      <c r="L2282">
        <v>2.1349999999999998</v>
      </c>
      <c r="M2282">
        <v>0</v>
      </c>
      <c r="N2282" t="s">
        <v>10019</v>
      </c>
      <c r="O2282" t="str">
        <f>HYPERLINK("2\1\marker_425_362990.png", "Ver Imagen")</f>
        <v>Ver Imagen</v>
      </c>
      <c r="P2282" t="str">
        <f>HYPERLINK("SE\A-497_2C\A-497_2C__408.png", "Ver Imagen")</f>
        <v>Ver Imagen</v>
      </c>
    </row>
    <row r="2283" spans="1:16" x14ac:dyDescent="0.25">
      <c r="A2283">
        <v>1745</v>
      </c>
      <c r="B2283" t="s">
        <v>3503</v>
      </c>
      <c r="C2283">
        <v>37.228204762200001</v>
      </c>
      <c r="D2283">
        <v>-7.0218240109299996</v>
      </c>
      <c r="E2283">
        <v>3</v>
      </c>
      <c r="F2283">
        <v>2</v>
      </c>
      <c r="G2283">
        <v>2</v>
      </c>
      <c r="J2283" t="s">
        <v>15</v>
      </c>
      <c r="K2283">
        <v>2</v>
      </c>
      <c r="L2283">
        <v>1.899</v>
      </c>
      <c r="M2283">
        <v>0</v>
      </c>
      <c r="N2283" t="s">
        <v>10017</v>
      </c>
      <c r="O2283" t="str">
        <f>HYPERLINK("2\1\marker_478_362998.png", "Ver Imagen")</f>
        <v>Ver Imagen</v>
      </c>
      <c r="P2283" t="str">
        <f>HYPERLINK("SE\A-497_2C\A-497_2C__409.png", "Ver Imagen")</f>
        <v>Ver Imagen</v>
      </c>
    </row>
    <row r="2284" spans="1:16" x14ac:dyDescent="0.25">
      <c r="A2284">
        <v>1746</v>
      </c>
      <c r="B2284" t="s">
        <v>3505</v>
      </c>
      <c r="C2284">
        <v>37.227574948899999</v>
      </c>
      <c r="D2284">
        <v>-7.0223045882799999</v>
      </c>
      <c r="E2284">
        <v>3</v>
      </c>
      <c r="F2284">
        <v>2</v>
      </c>
      <c r="G2284">
        <v>2</v>
      </c>
      <c r="J2284" t="s">
        <v>15</v>
      </c>
      <c r="K2284">
        <v>2</v>
      </c>
      <c r="L2284">
        <v>1.8080000000000001</v>
      </c>
      <c r="M2284">
        <v>0</v>
      </c>
      <c r="N2284" t="s">
        <v>10019</v>
      </c>
      <c r="O2284" t="str">
        <f>HYPERLINK("2\1\marker_753_363045.png", "Ver Imagen")</f>
        <v>Ver Imagen</v>
      </c>
      <c r="P2284" t="str">
        <f>HYPERLINK("SE\A-497_2C\A-497_2C__413.png", "Ver Imagen")</f>
        <v>Ver Imagen</v>
      </c>
    </row>
    <row r="2285" spans="1:16" x14ac:dyDescent="0.25">
      <c r="A2285">
        <v>1747</v>
      </c>
      <c r="B2285" t="s">
        <v>3507</v>
      </c>
      <c r="C2285">
        <v>37.215359922799998</v>
      </c>
      <c r="D2285">
        <v>-7.0233459107099998</v>
      </c>
      <c r="E2285">
        <v>2</v>
      </c>
      <c r="F2285">
        <v>2</v>
      </c>
      <c r="G2285">
        <v>3</v>
      </c>
      <c r="J2285" t="s">
        <v>15</v>
      </c>
      <c r="K2285">
        <v>2</v>
      </c>
      <c r="L2285">
        <v>2.06</v>
      </c>
      <c r="M2285">
        <v>0</v>
      </c>
      <c r="N2285" t="s">
        <v>10019</v>
      </c>
      <c r="O2285" t="str">
        <f>HYPERLINK("2\1\marker_139_376319.png", "Ver Imagen")</f>
        <v>Ver Imagen</v>
      </c>
      <c r="P2285" t="str">
        <f>HYPERLINK("SE\A-497\A-497__479.png", "Ver Imagen")</f>
        <v>Ver Imagen</v>
      </c>
    </row>
    <row r="2286" spans="1:16" x14ac:dyDescent="0.25">
      <c r="A2286">
        <v>1748</v>
      </c>
      <c r="B2286" t="s">
        <v>3509</v>
      </c>
      <c r="C2286">
        <v>37.215579652099997</v>
      </c>
      <c r="D2286">
        <v>-7.0233066015899999</v>
      </c>
      <c r="E2286">
        <v>2</v>
      </c>
      <c r="F2286">
        <v>2</v>
      </c>
      <c r="G2286">
        <v>3</v>
      </c>
      <c r="J2286" t="s">
        <v>15</v>
      </c>
      <c r="K2286">
        <v>2</v>
      </c>
      <c r="L2286">
        <v>1.7689999999999999</v>
      </c>
      <c r="M2286">
        <v>0</v>
      </c>
      <c r="N2286" t="s">
        <v>10019</v>
      </c>
      <c r="O2286" t="str">
        <f>HYPERLINK("2\1\marker_605_376330.png", "Ver Imagen")</f>
        <v>Ver Imagen</v>
      </c>
      <c r="P2286" t="str">
        <f>HYPERLINK("SE\A-497\A-497__478.png", "Ver Imagen")</f>
        <v>Ver Imagen</v>
      </c>
    </row>
    <row r="2287" spans="1:16" x14ac:dyDescent="0.25">
      <c r="A2287">
        <v>1749</v>
      </c>
      <c r="B2287" t="s">
        <v>3511</v>
      </c>
      <c r="C2287">
        <v>37.215949331700003</v>
      </c>
      <c r="D2287">
        <v>-7.0232395035900002</v>
      </c>
      <c r="E2287">
        <v>3</v>
      </c>
      <c r="F2287">
        <v>2</v>
      </c>
      <c r="G2287">
        <v>2</v>
      </c>
      <c r="J2287" t="s">
        <v>15</v>
      </c>
      <c r="K2287">
        <v>2</v>
      </c>
      <c r="L2287">
        <v>1.968</v>
      </c>
      <c r="M2287">
        <v>0</v>
      </c>
      <c r="N2287" t="s">
        <v>10019</v>
      </c>
      <c r="O2287" t="str">
        <f>HYPERLINK("2\1\marker_345_376362.png", "Ver Imagen")</f>
        <v>Ver Imagen</v>
      </c>
      <c r="P2287" t="str">
        <f>HYPERLINK("SE\A-497\A-497__476.png", "Ver Imagen")</f>
        <v>Ver Imagen</v>
      </c>
    </row>
    <row r="2288" spans="1:16" x14ac:dyDescent="0.25">
      <c r="A2288">
        <v>1750</v>
      </c>
      <c r="B2288" t="s">
        <v>3513</v>
      </c>
      <c r="C2288">
        <v>37.216173529999999</v>
      </c>
      <c r="D2288">
        <v>-7.0231991254099997</v>
      </c>
      <c r="E2288">
        <v>3</v>
      </c>
      <c r="F2288">
        <v>2</v>
      </c>
      <c r="G2288">
        <v>2</v>
      </c>
      <c r="J2288" t="s">
        <v>15</v>
      </c>
      <c r="K2288">
        <v>2</v>
      </c>
      <c r="L2288">
        <v>1.867</v>
      </c>
      <c r="M2288">
        <v>0</v>
      </c>
      <c r="N2288" t="s">
        <v>10019</v>
      </c>
      <c r="O2288" t="str">
        <f>HYPERLINK("2\1\marker_467_376372.png", "Ver Imagen")</f>
        <v>Ver Imagen</v>
      </c>
      <c r="P2288" t="str">
        <f>HYPERLINK("SE\A-497\A-497__475.png", "Ver Imagen")</f>
        <v>Ver Imagen</v>
      </c>
    </row>
    <row r="2289" spans="1:16" x14ac:dyDescent="0.25">
      <c r="A2289">
        <v>1751</v>
      </c>
      <c r="B2289" t="s">
        <v>3515</v>
      </c>
      <c r="C2289">
        <v>37.220794933900002</v>
      </c>
      <c r="D2289">
        <v>-7.0228486163800001</v>
      </c>
      <c r="E2289">
        <v>2</v>
      </c>
      <c r="F2289">
        <v>2</v>
      </c>
      <c r="G2289">
        <v>3</v>
      </c>
      <c r="J2289" t="s">
        <v>15</v>
      </c>
      <c r="K2289">
        <v>2</v>
      </c>
      <c r="L2289">
        <v>2.3889999999999998</v>
      </c>
      <c r="M2289">
        <v>0</v>
      </c>
      <c r="N2289" t="s">
        <v>10019</v>
      </c>
      <c r="O2289" t="str">
        <f>HYPERLINK("2\1\marker_448_376666.png", "Ver Imagen")</f>
        <v>Ver Imagen</v>
      </c>
      <c r="P2289" t="str">
        <f>HYPERLINK("SE\A-497\A-497__452.png", "Ver Imagen")</f>
        <v>Ver Imagen</v>
      </c>
    </row>
    <row r="2290" spans="1:16" x14ac:dyDescent="0.25">
      <c r="A2290">
        <v>1752</v>
      </c>
      <c r="B2290" t="s">
        <v>3517</v>
      </c>
      <c r="C2290">
        <v>37.206779394000002</v>
      </c>
      <c r="D2290">
        <v>-7.02110686371</v>
      </c>
      <c r="E2290">
        <v>2</v>
      </c>
      <c r="F2290">
        <v>2</v>
      </c>
      <c r="G2290">
        <v>3</v>
      </c>
      <c r="J2290" t="s">
        <v>15</v>
      </c>
      <c r="K2290">
        <v>2</v>
      </c>
      <c r="L2290">
        <v>1.952</v>
      </c>
      <c r="M2290">
        <v>0</v>
      </c>
      <c r="N2290" t="s">
        <v>10019</v>
      </c>
      <c r="O2290" t="str">
        <f>HYPERLINK("2\1\marker_730_364276.png", "Ver Imagen")</f>
        <v>Ver Imagen</v>
      </c>
      <c r="P2290" t="str">
        <f>HYPERLINK("SE\A-497_2C\A-497_2C__520.png", "Ver Imagen")</f>
        <v>Ver Imagen</v>
      </c>
    </row>
    <row r="2291" spans="1:16" x14ac:dyDescent="0.25">
      <c r="A2291">
        <v>1753</v>
      </c>
      <c r="B2291" t="s">
        <v>3519</v>
      </c>
      <c r="C2291">
        <v>37.206437809900002</v>
      </c>
      <c r="D2291">
        <v>-7.0205542531100003</v>
      </c>
      <c r="E2291">
        <v>2</v>
      </c>
      <c r="F2291">
        <v>2</v>
      </c>
      <c r="G2291">
        <v>3</v>
      </c>
      <c r="J2291" t="s">
        <v>15</v>
      </c>
      <c r="K2291">
        <v>2</v>
      </c>
      <c r="L2291">
        <v>2.4540000000000002</v>
      </c>
      <c r="M2291">
        <v>0</v>
      </c>
      <c r="N2291" t="s">
        <v>10019</v>
      </c>
      <c r="O2291" t="str">
        <f>HYPERLINK("2\1\marker_260_364363.png", "Ver Imagen")</f>
        <v>Ver Imagen</v>
      </c>
      <c r="P2291" t="str">
        <f>HYPERLINK("SE\A-497_2C\A-497_2C__523.png", "Ver Imagen")</f>
        <v>Ver Imagen</v>
      </c>
    </row>
    <row r="2292" spans="1:16" x14ac:dyDescent="0.25">
      <c r="A2292">
        <v>1754</v>
      </c>
      <c r="B2292" t="s">
        <v>3521</v>
      </c>
      <c r="C2292">
        <v>37.2063284213</v>
      </c>
      <c r="D2292">
        <v>-7.02035656278</v>
      </c>
      <c r="E2292">
        <v>2</v>
      </c>
      <c r="F2292">
        <v>2</v>
      </c>
      <c r="G2292">
        <v>3</v>
      </c>
      <c r="J2292" t="s">
        <v>15</v>
      </c>
      <c r="K2292">
        <v>2</v>
      </c>
      <c r="L2292">
        <v>1.831</v>
      </c>
      <c r="M2292">
        <v>0</v>
      </c>
      <c r="N2292" t="s">
        <v>10017</v>
      </c>
      <c r="O2292" t="str">
        <f>HYPERLINK("2\1\marker_720_364380.png", "Ver Imagen")</f>
        <v>Ver Imagen</v>
      </c>
      <c r="P2292" t="str">
        <f>HYPERLINK("SE\A-497_2C\A-497_2C__524.png", "Ver Imagen")</f>
        <v>Ver Imagen</v>
      </c>
    </row>
    <row r="2293" spans="1:16" x14ac:dyDescent="0.25">
      <c r="A2293">
        <v>1755</v>
      </c>
      <c r="B2293" t="s">
        <v>3523</v>
      </c>
      <c r="C2293">
        <v>37.205730451800001</v>
      </c>
      <c r="D2293">
        <v>-7.0189952039000003</v>
      </c>
      <c r="E2293">
        <v>2</v>
      </c>
      <c r="F2293">
        <v>2</v>
      </c>
      <c r="G2293">
        <v>3</v>
      </c>
      <c r="J2293" t="s">
        <v>15</v>
      </c>
      <c r="K2293">
        <v>2</v>
      </c>
      <c r="L2293">
        <v>1.9279999999999999</v>
      </c>
      <c r="M2293">
        <v>0</v>
      </c>
      <c r="N2293" t="s">
        <v>10019</v>
      </c>
      <c r="O2293" t="str">
        <f>HYPERLINK("2\1\marker_819_364435.png", "Ver Imagen")</f>
        <v>Ver Imagen</v>
      </c>
      <c r="P2293" t="str">
        <f>HYPERLINK("SE\A-497_2C\A-497_2C__530.png", "Ver Imagen")</f>
        <v>Ver Imagen</v>
      </c>
    </row>
    <row r="2294" spans="1:16" x14ac:dyDescent="0.25">
      <c r="A2294">
        <v>1756</v>
      </c>
      <c r="B2294" t="s">
        <v>3525</v>
      </c>
      <c r="C2294">
        <v>37.205175005500003</v>
      </c>
      <c r="D2294">
        <v>-7.0171147527000004</v>
      </c>
      <c r="E2294">
        <v>3</v>
      </c>
      <c r="F2294">
        <v>2</v>
      </c>
      <c r="G2294">
        <v>2</v>
      </c>
      <c r="J2294" t="s">
        <v>15</v>
      </c>
      <c r="K2294">
        <v>2</v>
      </c>
      <c r="L2294">
        <v>2.0760000000000001</v>
      </c>
      <c r="M2294">
        <v>0</v>
      </c>
      <c r="N2294" t="s">
        <v>10019</v>
      </c>
      <c r="O2294" t="str">
        <f>HYPERLINK("2\1\marker_525_364520.png", "Ver Imagen")</f>
        <v>Ver Imagen</v>
      </c>
      <c r="P2294" t="str">
        <f>HYPERLINK("SE\A-497_2C\A-497_2C__538.png", "Ver Imagen")</f>
        <v>Ver Imagen</v>
      </c>
    </row>
    <row r="2295" spans="1:16" x14ac:dyDescent="0.25">
      <c r="A2295">
        <v>1757</v>
      </c>
      <c r="B2295" t="s">
        <v>3527</v>
      </c>
      <c r="C2295">
        <v>37.204251761099997</v>
      </c>
      <c r="D2295">
        <v>-7.01253973675</v>
      </c>
      <c r="E2295">
        <v>2</v>
      </c>
      <c r="F2295">
        <v>2</v>
      </c>
      <c r="G2295">
        <v>3</v>
      </c>
      <c r="J2295" t="s">
        <v>15</v>
      </c>
      <c r="K2295">
        <v>2</v>
      </c>
      <c r="L2295">
        <v>1.9790000000000001</v>
      </c>
      <c r="M2295">
        <v>0</v>
      </c>
      <c r="N2295" t="s">
        <v>10019</v>
      </c>
      <c r="O2295" t="str">
        <f>HYPERLINK("2\1\marker_237_366347.png", "Ver Imagen")</f>
        <v>Ver Imagen</v>
      </c>
      <c r="P2295" t="str">
        <f>HYPERLINK("SE\A-497_2C\A-497_2C__557.png", "Ver Imagen")</f>
        <v>Ver Imagen</v>
      </c>
    </row>
    <row r="2296" spans="1:16" x14ac:dyDescent="0.25">
      <c r="A2296">
        <v>1759</v>
      </c>
      <c r="B2296" t="s">
        <v>3531</v>
      </c>
      <c r="C2296">
        <v>37.203520127799997</v>
      </c>
      <c r="D2296">
        <v>-7.0081210819199997</v>
      </c>
      <c r="E2296">
        <v>2</v>
      </c>
      <c r="F2296">
        <v>2</v>
      </c>
      <c r="G2296">
        <v>3</v>
      </c>
      <c r="J2296" t="s">
        <v>15</v>
      </c>
      <c r="K2296">
        <v>2</v>
      </c>
      <c r="L2296">
        <v>2.0139999999999998</v>
      </c>
      <c r="M2296">
        <v>0</v>
      </c>
      <c r="N2296" t="s">
        <v>10019</v>
      </c>
      <c r="O2296" t="str">
        <f>HYPERLINK("2\1\marker_649_366529.png", "Ver Imagen")</f>
        <v>Ver Imagen</v>
      </c>
      <c r="P2296" t="str">
        <f>HYPERLINK("SE\A-497_2C\A-497_2C__575.png", "Ver Imagen")</f>
        <v>Ver Imagen</v>
      </c>
    </row>
    <row r="2297" spans="1:16" x14ac:dyDescent="0.25">
      <c r="A2297">
        <v>1760</v>
      </c>
      <c r="B2297" t="s">
        <v>3533</v>
      </c>
      <c r="C2297">
        <v>37.228040540499997</v>
      </c>
      <c r="D2297">
        <v>-7.0217462772200001</v>
      </c>
      <c r="E2297">
        <v>3</v>
      </c>
      <c r="F2297">
        <v>2</v>
      </c>
      <c r="G2297">
        <v>2</v>
      </c>
      <c r="J2297" t="s">
        <v>15</v>
      </c>
      <c r="K2297">
        <v>2</v>
      </c>
      <c r="L2297">
        <v>1.9590000000000001</v>
      </c>
      <c r="M2297">
        <v>0</v>
      </c>
      <c r="N2297" t="s">
        <v>10019</v>
      </c>
      <c r="O2297" t="str">
        <f>HYPERLINK("2\1\marker_497_377057.png", "Ver Imagen")</f>
        <v>Ver Imagen</v>
      </c>
      <c r="P2297" t="str">
        <f>HYPERLINK("SE\A-497\A-497__415.png", "Ver Imagen")</f>
        <v>Ver Imagen</v>
      </c>
    </row>
    <row r="2298" spans="1:16" x14ac:dyDescent="0.25">
      <c r="A2298">
        <v>1761</v>
      </c>
      <c r="B2298" t="s">
        <v>3535</v>
      </c>
      <c r="C2298">
        <v>37.232876218800001</v>
      </c>
      <c r="D2298">
        <v>-7.0182415897199997</v>
      </c>
      <c r="E2298">
        <v>2</v>
      </c>
      <c r="F2298">
        <v>2</v>
      </c>
      <c r="G2298">
        <v>3</v>
      </c>
      <c r="J2298" t="s">
        <v>15</v>
      </c>
      <c r="K2298">
        <v>2</v>
      </c>
      <c r="L2298">
        <v>2.0430000000000001</v>
      </c>
      <c r="M2298">
        <v>0</v>
      </c>
      <c r="N2298" t="s">
        <v>10019</v>
      </c>
      <c r="O2298" t="str">
        <f>HYPERLINK("2\1\marker_993_377310.png", "Ver Imagen")</f>
        <v>Ver Imagen</v>
      </c>
      <c r="P2298" t="str">
        <f>HYPERLINK("SE\A-497\A-497__387.png", "Ver Imagen")</f>
        <v>Ver Imagen</v>
      </c>
    </row>
    <row r="2299" spans="1:16" x14ac:dyDescent="0.25">
      <c r="A2299">
        <v>1762</v>
      </c>
      <c r="B2299" t="s">
        <v>3537</v>
      </c>
      <c r="C2299">
        <v>37.235106427300003</v>
      </c>
      <c r="D2299">
        <v>-7.0181342130299997</v>
      </c>
      <c r="E2299">
        <v>2</v>
      </c>
      <c r="F2299">
        <v>2</v>
      </c>
      <c r="G2299">
        <v>3</v>
      </c>
      <c r="J2299" t="s">
        <v>15</v>
      </c>
      <c r="K2299">
        <v>2</v>
      </c>
      <c r="L2299">
        <v>2.2450000000000001</v>
      </c>
      <c r="M2299">
        <v>0</v>
      </c>
      <c r="N2299" t="s">
        <v>10019</v>
      </c>
      <c r="O2299" t="str">
        <f>HYPERLINK("2\1\marker_898_377405.png", "Ver Imagen")</f>
        <v>Ver Imagen</v>
      </c>
      <c r="P2299" t="str">
        <f>HYPERLINK("SE\A-497\A-497__376.png", "Ver Imagen")</f>
        <v>Ver Imagen</v>
      </c>
    </row>
    <row r="2300" spans="1:16" x14ac:dyDescent="0.25">
      <c r="A2300">
        <v>1763</v>
      </c>
      <c r="B2300" t="s">
        <v>3539</v>
      </c>
      <c r="C2300">
        <v>37.236494001200001</v>
      </c>
      <c r="D2300">
        <v>-7.0184751295799996</v>
      </c>
      <c r="E2300">
        <v>2</v>
      </c>
      <c r="F2300">
        <v>2</v>
      </c>
      <c r="G2300">
        <v>3</v>
      </c>
      <c r="J2300" t="s">
        <v>15</v>
      </c>
      <c r="K2300">
        <v>2</v>
      </c>
      <c r="L2300">
        <v>2.0539999999999998</v>
      </c>
      <c r="M2300">
        <v>0</v>
      </c>
      <c r="N2300" t="s">
        <v>10019</v>
      </c>
      <c r="O2300" t="str">
        <f>HYPERLINK("2\1\marker_528_377467.png", "Ver Imagen")</f>
        <v>Ver Imagen</v>
      </c>
      <c r="P2300" t="str">
        <f>HYPERLINK("SE\A-497\A-497__369.png", "Ver Imagen")</f>
        <v>Ver Imagen</v>
      </c>
    </row>
    <row r="2301" spans="1:16" x14ac:dyDescent="0.25">
      <c r="A2301">
        <v>1764</v>
      </c>
      <c r="B2301" t="s">
        <v>3541</v>
      </c>
      <c r="C2301">
        <v>37.236700808499997</v>
      </c>
      <c r="D2301">
        <v>-7.0185062202399999</v>
      </c>
      <c r="E2301">
        <v>2</v>
      </c>
      <c r="F2301">
        <v>2</v>
      </c>
      <c r="G2301">
        <v>3</v>
      </c>
      <c r="J2301" t="s">
        <v>15</v>
      </c>
      <c r="K2301">
        <v>2</v>
      </c>
      <c r="L2301">
        <v>1.77</v>
      </c>
      <c r="M2301">
        <v>0</v>
      </c>
      <c r="N2301" t="s">
        <v>10019</v>
      </c>
      <c r="O2301" t="str">
        <f>HYPERLINK("2\1\marker_228_377476.png", "Ver Imagen")</f>
        <v>Ver Imagen</v>
      </c>
      <c r="P2301" t="str">
        <f>HYPERLINK("SE\A-497\A-497__368.png", "Ver Imagen")</f>
        <v>Ver Imagen</v>
      </c>
    </row>
    <row r="2302" spans="1:16" x14ac:dyDescent="0.25">
      <c r="A2302">
        <v>1765</v>
      </c>
      <c r="B2302" t="s">
        <v>3543</v>
      </c>
      <c r="C2302">
        <v>37.248039516699997</v>
      </c>
      <c r="D2302">
        <v>-7.0181822281999997</v>
      </c>
      <c r="E2302">
        <v>2</v>
      </c>
      <c r="F2302">
        <v>2</v>
      </c>
      <c r="G2302">
        <v>3</v>
      </c>
      <c r="J2302" t="s">
        <v>15</v>
      </c>
      <c r="K2302">
        <v>2</v>
      </c>
      <c r="L2302">
        <v>1.9950000000000001</v>
      </c>
      <c r="M2302">
        <v>0</v>
      </c>
      <c r="N2302" t="s">
        <v>10019</v>
      </c>
      <c r="O2302" t="str">
        <f>HYPERLINK("2\1\marker_738_378051.png", "Ver Imagen")</f>
        <v>Ver Imagen</v>
      </c>
      <c r="P2302" t="str">
        <f>HYPERLINK("SE\A-497\A-497__312.png", "Ver Imagen")</f>
        <v>Ver Imagen</v>
      </c>
    </row>
    <row r="2303" spans="1:16" x14ac:dyDescent="0.25">
      <c r="A2303">
        <v>1766</v>
      </c>
      <c r="B2303" t="s">
        <v>3545</v>
      </c>
      <c r="C2303">
        <v>37.253076465600003</v>
      </c>
      <c r="D2303">
        <v>-7.0159202037900004</v>
      </c>
      <c r="E2303">
        <v>2</v>
      </c>
      <c r="F2303">
        <v>2</v>
      </c>
      <c r="G2303">
        <v>3</v>
      </c>
      <c r="J2303" t="s">
        <v>15</v>
      </c>
      <c r="K2303">
        <v>2</v>
      </c>
      <c r="L2303">
        <v>2.17</v>
      </c>
      <c r="M2303">
        <v>0</v>
      </c>
      <c r="N2303" t="s">
        <v>10019</v>
      </c>
      <c r="O2303" t="str">
        <f>HYPERLINK("2\1\marker_901_378417.png", "Ver Imagen")</f>
        <v>Ver Imagen</v>
      </c>
      <c r="P2303" t="str">
        <f>HYPERLINK("SE\A-497\A-497__285.png", "Ver Imagen")</f>
        <v>Ver Imagen</v>
      </c>
    </row>
    <row r="2304" spans="1:16" x14ac:dyDescent="0.25">
      <c r="A2304">
        <v>1767</v>
      </c>
      <c r="B2304" t="s">
        <v>3547</v>
      </c>
      <c r="C2304">
        <v>37.2563404343</v>
      </c>
      <c r="D2304">
        <v>-7.0138413905299997</v>
      </c>
      <c r="E2304">
        <v>2</v>
      </c>
      <c r="F2304">
        <v>2</v>
      </c>
      <c r="G2304">
        <v>3</v>
      </c>
      <c r="J2304" t="s">
        <v>15</v>
      </c>
      <c r="K2304">
        <v>2</v>
      </c>
      <c r="L2304">
        <v>1.9670000000000001</v>
      </c>
      <c r="M2304">
        <v>0</v>
      </c>
      <c r="N2304" t="s">
        <v>10019</v>
      </c>
      <c r="O2304" t="str">
        <f>HYPERLINK("2\1\marker_871_378609.png", "Ver Imagen")</f>
        <v>Ver Imagen</v>
      </c>
      <c r="P2304" t="str">
        <f>HYPERLINK("SE\A-497\A-497__267.png", "Ver Imagen")</f>
        <v>Ver Imagen</v>
      </c>
    </row>
    <row r="2305" spans="1:16" x14ac:dyDescent="0.25">
      <c r="A2305">
        <v>1768</v>
      </c>
      <c r="B2305" t="s">
        <v>3549</v>
      </c>
      <c r="C2305">
        <v>37.2574184168</v>
      </c>
      <c r="D2305">
        <v>-7.01315312885</v>
      </c>
      <c r="E2305">
        <v>2</v>
      </c>
      <c r="F2305">
        <v>2</v>
      </c>
      <c r="G2305">
        <v>3</v>
      </c>
      <c r="J2305" t="s">
        <v>15</v>
      </c>
      <c r="K2305">
        <v>2</v>
      </c>
      <c r="L2305">
        <v>1.8460000000000001</v>
      </c>
      <c r="M2305">
        <v>0</v>
      </c>
      <c r="N2305" t="s">
        <v>10019</v>
      </c>
      <c r="O2305" t="str">
        <f>HYPERLINK("2\1\marker_319_378667.png", "Ver Imagen")</f>
        <v>Ver Imagen</v>
      </c>
      <c r="P2305" t="str">
        <f>HYPERLINK("SE\A-497\A-497__261.png", "Ver Imagen")</f>
        <v>Ver Imagen</v>
      </c>
    </row>
    <row r="2306" spans="1:16" x14ac:dyDescent="0.25">
      <c r="A2306">
        <v>1769</v>
      </c>
      <c r="B2306" t="s">
        <v>3551</v>
      </c>
      <c r="C2306">
        <v>37.258677710199997</v>
      </c>
      <c r="D2306">
        <v>-7.0123520046400003</v>
      </c>
      <c r="E2306">
        <v>2</v>
      </c>
      <c r="F2306">
        <v>2</v>
      </c>
      <c r="G2306">
        <v>3</v>
      </c>
      <c r="J2306" t="s">
        <v>15</v>
      </c>
      <c r="K2306">
        <v>2</v>
      </c>
      <c r="L2306">
        <v>2.1819999999999999</v>
      </c>
      <c r="M2306">
        <v>0</v>
      </c>
      <c r="N2306" t="s">
        <v>10019</v>
      </c>
      <c r="O2306" t="str">
        <f>HYPERLINK("2\1\marker_171_378743.png", "Ver Imagen")</f>
        <v>Ver Imagen</v>
      </c>
      <c r="P2306" t="str">
        <f>HYPERLINK("SE\A-497\A-497__254.png", "Ver Imagen")</f>
        <v>Ver Imagen</v>
      </c>
    </row>
    <row r="2307" spans="1:16" x14ac:dyDescent="0.25">
      <c r="A2307">
        <v>1770</v>
      </c>
      <c r="B2307" t="s">
        <v>3553</v>
      </c>
      <c r="C2307">
        <v>37.259039750699998</v>
      </c>
      <c r="D2307">
        <v>-7.0121211672800001</v>
      </c>
      <c r="E2307">
        <v>2</v>
      </c>
      <c r="F2307">
        <v>2</v>
      </c>
      <c r="G2307">
        <v>3</v>
      </c>
      <c r="J2307" t="s">
        <v>15</v>
      </c>
      <c r="K2307">
        <v>2</v>
      </c>
      <c r="L2307">
        <v>1.9510000000000001</v>
      </c>
      <c r="M2307">
        <v>0</v>
      </c>
      <c r="N2307" t="s">
        <v>10019</v>
      </c>
      <c r="O2307" t="str">
        <f>HYPERLINK("2\1\marker_532_378764.png", "Ver Imagen")</f>
        <v>Ver Imagen</v>
      </c>
      <c r="P2307" t="str">
        <f>HYPERLINK("SE\A-497\A-497__252.png", "Ver Imagen")</f>
        <v>Ver Imagen</v>
      </c>
    </row>
    <row r="2308" spans="1:16" x14ac:dyDescent="0.25">
      <c r="A2308">
        <v>1771</v>
      </c>
      <c r="B2308" t="s">
        <v>3555</v>
      </c>
      <c r="C2308">
        <v>37.259216120399998</v>
      </c>
      <c r="D2308">
        <v>-7.0120077584100002</v>
      </c>
      <c r="E2308">
        <v>2</v>
      </c>
      <c r="F2308">
        <v>2</v>
      </c>
      <c r="G2308">
        <v>3</v>
      </c>
      <c r="J2308" t="s">
        <v>15</v>
      </c>
      <c r="K2308">
        <v>2</v>
      </c>
      <c r="L2308">
        <v>2.395</v>
      </c>
      <c r="M2308">
        <v>0</v>
      </c>
      <c r="N2308" t="s">
        <v>10019</v>
      </c>
      <c r="O2308" t="str">
        <f>HYPERLINK("2\1\marker_167_378773.png", "Ver Imagen")</f>
        <v>Ver Imagen</v>
      </c>
      <c r="P2308" t="str">
        <f>HYPERLINK("SE\A-497\A-497__251.png", "Ver Imagen")</f>
        <v>Ver Imagen</v>
      </c>
    </row>
    <row r="2309" spans="1:16" x14ac:dyDescent="0.25">
      <c r="A2309">
        <v>1772</v>
      </c>
      <c r="B2309" t="s">
        <v>3557</v>
      </c>
      <c r="C2309">
        <v>37.2593856449</v>
      </c>
      <c r="D2309">
        <v>-7.0118984123699999</v>
      </c>
      <c r="E2309">
        <v>2</v>
      </c>
      <c r="F2309">
        <v>2</v>
      </c>
      <c r="G2309">
        <v>3</v>
      </c>
      <c r="J2309" t="s">
        <v>15</v>
      </c>
      <c r="K2309">
        <v>2</v>
      </c>
      <c r="L2309">
        <v>2.4180000000000001</v>
      </c>
      <c r="M2309">
        <v>0</v>
      </c>
      <c r="N2309" t="s">
        <v>10019</v>
      </c>
      <c r="O2309" t="str">
        <f>HYPERLINK("2\1\marker_468_378782.png", "Ver Imagen")</f>
        <v>Ver Imagen</v>
      </c>
      <c r="P2309" t="str">
        <f>HYPERLINK("SE\A-497\A-497__250.png", "Ver Imagen")</f>
        <v>Ver Imagen</v>
      </c>
    </row>
    <row r="2310" spans="1:16" x14ac:dyDescent="0.25">
      <c r="A2310">
        <v>1773</v>
      </c>
      <c r="B2310" t="s">
        <v>3559</v>
      </c>
      <c r="C2310">
        <v>37.2612121835</v>
      </c>
      <c r="D2310">
        <v>-7.0107238899100004</v>
      </c>
      <c r="E2310">
        <v>2</v>
      </c>
      <c r="F2310">
        <v>2</v>
      </c>
      <c r="G2310">
        <v>3</v>
      </c>
      <c r="J2310" t="s">
        <v>15</v>
      </c>
      <c r="K2310">
        <v>2</v>
      </c>
      <c r="L2310">
        <v>2.2639999999999998</v>
      </c>
      <c r="M2310">
        <v>0</v>
      </c>
      <c r="N2310" t="s">
        <v>10019</v>
      </c>
      <c r="O2310" t="str">
        <f>HYPERLINK("2\1\marker_216_378918.png", "Ver Imagen")</f>
        <v>Ver Imagen</v>
      </c>
      <c r="P2310" t="str">
        <f>HYPERLINK("SE\A-497\A-497__240.png", "Ver Imagen")</f>
        <v>Ver Imagen</v>
      </c>
    </row>
    <row r="2311" spans="1:16" x14ac:dyDescent="0.25">
      <c r="A2311">
        <v>1774</v>
      </c>
      <c r="B2311" t="s">
        <v>3561</v>
      </c>
      <c r="C2311">
        <v>37.261705064399997</v>
      </c>
      <c r="D2311">
        <v>-7.0103311608799999</v>
      </c>
      <c r="E2311">
        <v>2</v>
      </c>
      <c r="F2311">
        <v>2</v>
      </c>
      <c r="G2311">
        <v>3</v>
      </c>
      <c r="J2311" t="s">
        <v>15</v>
      </c>
      <c r="K2311">
        <v>2</v>
      </c>
      <c r="L2311">
        <v>2.077</v>
      </c>
      <c r="M2311">
        <v>0</v>
      </c>
      <c r="N2311" t="s">
        <v>10019</v>
      </c>
      <c r="O2311" t="str">
        <f>HYPERLINK("2\1\marker_672_378943.png", "Ver Imagen")</f>
        <v>Ver Imagen</v>
      </c>
      <c r="P2311" t="str">
        <f>HYPERLINK("SE\A-497\A-497__237.png", "Ver Imagen")</f>
        <v>Ver Imagen</v>
      </c>
    </row>
    <row r="2312" spans="1:16" x14ac:dyDescent="0.25">
      <c r="A2312">
        <v>1775</v>
      </c>
      <c r="B2312" t="s">
        <v>3563</v>
      </c>
      <c r="C2312">
        <v>37.263653955199999</v>
      </c>
      <c r="D2312">
        <v>-7.00580963064</v>
      </c>
      <c r="E2312">
        <v>2</v>
      </c>
      <c r="F2312">
        <v>2</v>
      </c>
      <c r="G2312">
        <v>3</v>
      </c>
      <c r="J2312" t="s">
        <v>15</v>
      </c>
      <c r="K2312">
        <v>2</v>
      </c>
      <c r="L2312">
        <v>1.5569999999999999</v>
      </c>
      <c r="M2312">
        <v>0</v>
      </c>
      <c r="N2312" t="s">
        <v>10019</v>
      </c>
      <c r="O2312" t="str">
        <f>HYPERLINK("2\1\marker_956_379193.png", "Ver Imagen")</f>
        <v>Ver Imagen</v>
      </c>
      <c r="P2312" t="str">
        <f>HYPERLINK("SE\A-497\A-497__216.png", "Ver Imagen")</f>
        <v>Ver Imagen</v>
      </c>
    </row>
    <row r="2313" spans="1:16" x14ac:dyDescent="0.25">
      <c r="A2313">
        <v>1776</v>
      </c>
      <c r="B2313" t="s">
        <v>3565</v>
      </c>
      <c r="C2313">
        <v>37.263694020599999</v>
      </c>
      <c r="D2313">
        <v>-7.0055820368299999</v>
      </c>
      <c r="E2313">
        <v>2</v>
      </c>
      <c r="F2313">
        <v>2</v>
      </c>
      <c r="G2313">
        <v>3</v>
      </c>
      <c r="J2313" t="s">
        <v>15</v>
      </c>
      <c r="K2313">
        <v>2</v>
      </c>
      <c r="L2313">
        <v>1.982</v>
      </c>
      <c r="M2313">
        <v>0</v>
      </c>
      <c r="N2313" t="s">
        <v>10018</v>
      </c>
      <c r="O2313" t="str">
        <f>HYPERLINK("2\1\marker_724_379205.png", "Ver Imagen")</f>
        <v>Ver Imagen</v>
      </c>
      <c r="P2313" t="str">
        <f>HYPERLINK("SE\A-497\A-497__215.png", "Ver Imagen")</f>
        <v>Ver Imagen</v>
      </c>
    </row>
    <row r="2314" spans="1:16" x14ac:dyDescent="0.25">
      <c r="A2314">
        <v>1777</v>
      </c>
      <c r="B2314" t="s">
        <v>3567</v>
      </c>
      <c r="C2314">
        <v>37.263739248699999</v>
      </c>
      <c r="D2314">
        <v>-7.0053257743600001</v>
      </c>
      <c r="E2314">
        <v>2</v>
      </c>
      <c r="F2314">
        <v>2</v>
      </c>
      <c r="G2314">
        <v>3</v>
      </c>
      <c r="J2314" t="s">
        <v>15</v>
      </c>
      <c r="K2314">
        <v>2</v>
      </c>
      <c r="L2314">
        <v>1.6819999999999999</v>
      </c>
      <c r="M2314">
        <v>0</v>
      </c>
      <c r="N2314" t="s">
        <v>10019</v>
      </c>
      <c r="O2314" t="str">
        <f>HYPERLINK("2\1\marker_847_379215.png", "Ver Imagen")</f>
        <v>Ver Imagen</v>
      </c>
      <c r="P2314" t="str">
        <f>HYPERLINK("SE\A-497\A-497__214.png", "Ver Imagen")</f>
        <v>Ver Imagen</v>
      </c>
    </row>
    <row r="2315" spans="1:16" x14ac:dyDescent="0.25">
      <c r="A2315">
        <v>1778</v>
      </c>
      <c r="B2315" t="s">
        <v>3569</v>
      </c>
      <c r="C2315">
        <v>37.263783166000003</v>
      </c>
      <c r="D2315">
        <v>-7.0050789451800002</v>
      </c>
      <c r="E2315">
        <v>2</v>
      </c>
      <c r="F2315">
        <v>2</v>
      </c>
      <c r="G2315">
        <v>3</v>
      </c>
      <c r="J2315" t="s">
        <v>15</v>
      </c>
      <c r="K2315">
        <v>2</v>
      </c>
      <c r="L2315">
        <v>2.0259999999999998</v>
      </c>
      <c r="M2315">
        <v>0</v>
      </c>
      <c r="N2315" t="s">
        <v>10019</v>
      </c>
      <c r="O2315" t="str">
        <f>HYPERLINK("2\1\marker_449_379226.png", "Ver Imagen")</f>
        <v>Ver Imagen</v>
      </c>
      <c r="P2315" t="str">
        <f>HYPERLINK("SE\A-497\A-497__213.png", "Ver Imagen")</f>
        <v>Ver Imagen</v>
      </c>
    </row>
    <row r="2316" spans="1:16" x14ac:dyDescent="0.25">
      <c r="A2316">
        <v>1779</v>
      </c>
      <c r="B2316" t="s">
        <v>3571</v>
      </c>
      <c r="C2316">
        <v>37.263882536899999</v>
      </c>
      <c r="D2316">
        <v>-7.0045316579300003</v>
      </c>
      <c r="E2316">
        <v>2</v>
      </c>
      <c r="F2316">
        <v>2</v>
      </c>
      <c r="G2316">
        <v>3</v>
      </c>
      <c r="J2316" t="s">
        <v>15</v>
      </c>
      <c r="K2316">
        <v>2</v>
      </c>
      <c r="L2316">
        <v>2.1360000000000001</v>
      </c>
      <c r="M2316">
        <v>0</v>
      </c>
      <c r="N2316" t="s">
        <v>10019</v>
      </c>
      <c r="O2316" t="str">
        <f>HYPERLINK("2\1\marker_357_379246.png", "Ver Imagen")</f>
        <v>Ver Imagen</v>
      </c>
      <c r="P2316" t="str">
        <f>HYPERLINK("SE\A-497\A-497__211.png", "Ver Imagen")</f>
        <v>Ver Imagen</v>
      </c>
    </row>
    <row r="2317" spans="1:16" x14ac:dyDescent="0.25">
      <c r="A2317">
        <v>1781</v>
      </c>
      <c r="B2317" t="s">
        <v>3575</v>
      </c>
      <c r="C2317">
        <v>37.264057765899999</v>
      </c>
      <c r="D2317">
        <v>-7.0035332746399996</v>
      </c>
      <c r="E2317">
        <v>2</v>
      </c>
      <c r="F2317">
        <v>2</v>
      </c>
      <c r="G2317">
        <v>3</v>
      </c>
      <c r="J2317" t="s">
        <v>15</v>
      </c>
      <c r="K2317">
        <v>2</v>
      </c>
      <c r="L2317">
        <v>2.37</v>
      </c>
      <c r="M2317">
        <v>0</v>
      </c>
      <c r="N2317" t="s">
        <v>10019</v>
      </c>
      <c r="O2317" t="str">
        <f>HYPERLINK("2\1\marker_692_379302.png", "Ver Imagen")</f>
        <v>Ver Imagen</v>
      </c>
      <c r="P2317" t="str">
        <f>HYPERLINK("SE\A-497\A-497__207.png", "Ver Imagen")</f>
        <v>Ver Imagen</v>
      </c>
    </row>
    <row r="2318" spans="1:16" x14ac:dyDescent="0.25">
      <c r="A2318">
        <v>1782</v>
      </c>
      <c r="B2318" t="s">
        <v>3577</v>
      </c>
      <c r="C2318">
        <v>37.267045939299997</v>
      </c>
      <c r="D2318">
        <v>-6.9916662674800003</v>
      </c>
      <c r="E2318">
        <v>2</v>
      </c>
      <c r="F2318">
        <v>2</v>
      </c>
      <c r="G2318">
        <v>3</v>
      </c>
      <c r="J2318" t="s">
        <v>15</v>
      </c>
      <c r="K2318">
        <v>2</v>
      </c>
      <c r="L2318">
        <v>2.3130000000000002</v>
      </c>
      <c r="M2318">
        <v>0</v>
      </c>
      <c r="N2318" t="s">
        <v>10019</v>
      </c>
      <c r="O2318" t="str">
        <f>HYPERLINK("2\1\marker_359_380279.png", "Ver Imagen")</f>
        <v>Ver Imagen</v>
      </c>
      <c r="P2318" t="str">
        <f>HYPERLINK("SE\A-497\A-497__157.png", "Ver Imagen")</f>
        <v>Ver Imagen</v>
      </c>
    </row>
    <row r="2319" spans="1:16" x14ac:dyDescent="0.25">
      <c r="A2319">
        <v>1783</v>
      </c>
      <c r="B2319" t="s">
        <v>3579</v>
      </c>
      <c r="C2319">
        <v>37.270191585600003</v>
      </c>
      <c r="D2319">
        <v>-6.9893378628300002</v>
      </c>
      <c r="E2319">
        <v>2</v>
      </c>
      <c r="F2319">
        <v>2</v>
      </c>
      <c r="G2319">
        <v>3</v>
      </c>
      <c r="J2319" t="s">
        <v>15</v>
      </c>
      <c r="K2319">
        <v>2</v>
      </c>
      <c r="L2319">
        <v>1.718</v>
      </c>
      <c r="M2319">
        <v>0</v>
      </c>
      <c r="N2319" t="s">
        <v>10019</v>
      </c>
      <c r="O2319" t="str">
        <f>HYPERLINK("2\1\marker_539_380450.png", "Ver Imagen")</f>
        <v>Ver Imagen</v>
      </c>
      <c r="P2319" t="str">
        <f>HYPERLINK("SE\A-497\A-497__139.png", "Ver Imagen")</f>
        <v>Ver Imagen</v>
      </c>
    </row>
    <row r="2320" spans="1:16" x14ac:dyDescent="0.25">
      <c r="A2320">
        <v>1784</v>
      </c>
      <c r="B2320" t="s">
        <v>3581</v>
      </c>
      <c r="C2320">
        <v>37.270366555999999</v>
      </c>
      <c r="D2320">
        <v>-6.9892135157100004</v>
      </c>
      <c r="E2320">
        <v>2</v>
      </c>
      <c r="F2320">
        <v>2</v>
      </c>
      <c r="G2320">
        <v>3</v>
      </c>
      <c r="J2320" t="s">
        <v>15</v>
      </c>
      <c r="K2320">
        <v>2</v>
      </c>
      <c r="L2320">
        <v>2.1890000000000001</v>
      </c>
      <c r="M2320">
        <v>0</v>
      </c>
      <c r="N2320" t="s">
        <v>10019</v>
      </c>
      <c r="O2320" t="str">
        <f>HYPERLINK("2\1\marker_653_380459.png", "Ver Imagen")</f>
        <v>Ver Imagen</v>
      </c>
      <c r="P2320" t="str">
        <f>HYPERLINK("SE\A-497\A-497__138.png", "Ver Imagen")</f>
        <v>Ver Imagen</v>
      </c>
    </row>
    <row r="2321" spans="1:16" x14ac:dyDescent="0.25">
      <c r="A2321">
        <v>1785</v>
      </c>
      <c r="B2321" t="s">
        <v>3583</v>
      </c>
      <c r="C2321">
        <v>37.270555357200003</v>
      </c>
      <c r="D2321">
        <v>-6.9890745373599996</v>
      </c>
      <c r="E2321">
        <v>2</v>
      </c>
      <c r="F2321">
        <v>2</v>
      </c>
      <c r="G2321">
        <v>3</v>
      </c>
      <c r="J2321" t="s">
        <v>15</v>
      </c>
      <c r="K2321">
        <v>2</v>
      </c>
      <c r="L2321">
        <v>1.8160000000000001</v>
      </c>
      <c r="M2321">
        <v>0</v>
      </c>
      <c r="N2321" t="s">
        <v>10019</v>
      </c>
      <c r="O2321" t="str">
        <f>HYPERLINK("2\1\marker_580_380467.png", "Ver Imagen")</f>
        <v>Ver Imagen</v>
      </c>
      <c r="P2321" t="str">
        <f>HYPERLINK("SE\A-497\A-497__137.png", "Ver Imagen")</f>
        <v>Ver Imagen</v>
      </c>
    </row>
    <row r="2322" spans="1:16" x14ac:dyDescent="0.25">
      <c r="A2322">
        <v>1786</v>
      </c>
      <c r="B2322" t="s">
        <v>3585</v>
      </c>
      <c r="C2322">
        <v>37.270719666700003</v>
      </c>
      <c r="D2322">
        <v>-6.9889427553900001</v>
      </c>
      <c r="E2322">
        <v>2</v>
      </c>
      <c r="F2322">
        <v>2</v>
      </c>
      <c r="G2322">
        <v>3</v>
      </c>
      <c r="J2322" t="s">
        <v>15</v>
      </c>
      <c r="K2322">
        <v>2</v>
      </c>
      <c r="L2322">
        <v>1.841</v>
      </c>
      <c r="M2322">
        <v>0</v>
      </c>
      <c r="N2322" t="s">
        <v>10019</v>
      </c>
      <c r="O2322" t="str">
        <f>HYPERLINK("2\1\marker_526_380477.png", "Ver Imagen")</f>
        <v>Ver Imagen</v>
      </c>
      <c r="P2322" t="str">
        <f>HYPERLINK("SE\A-497\A-497__136.png", "Ver Imagen")</f>
        <v>Ver Imagen</v>
      </c>
    </row>
    <row r="2323" spans="1:16" x14ac:dyDescent="0.25">
      <c r="A2323">
        <v>1787</v>
      </c>
      <c r="B2323" t="s">
        <v>3587</v>
      </c>
      <c r="C2323">
        <v>37.2708865532</v>
      </c>
      <c r="D2323">
        <v>-6.9887857735400001</v>
      </c>
      <c r="E2323">
        <v>2</v>
      </c>
      <c r="F2323">
        <v>2</v>
      </c>
      <c r="G2323">
        <v>3</v>
      </c>
      <c r="J2323" t="s">
        <v>15</v>
      </c>
      <c r="K2323">
        <v>2</v>
      </c>
      <c r="L2323">
        <v>1.839</v>
      </c>
      <c r="M2323">
        <v>0</v>
      </c>
      <c r="N2323" t="s">
        <v>10019</v>
      </c>
      <c r="O2323" t="str">
        <f>HYPERLINK("2\1\marker_257_380485.png", "Ver Imagen")</f>
        <v>Ver Imagen</v>
      </c>
      <c r="P2323" t="str">
        <f>HYPERLINK("SE\A-497\A-497__135.png", "Ver Imagen")</f>
        <v>Ver Imagen</v>
      </c>
    </row>
    <row r="2324" spans="1:16" x14ac:dyDescent="0.25">
      <c r="A2324">
        <v>1788</v>
      </c>
      <c r="B2324" t="s">
        <v>3589</v>
      </c>
      <c r="C2324">
        <v>37.271028276899997</v>
      </c>
      <c r="D2324">
        <v>-6.9886269823799996</v>
      </c>
      <c r="E2324">
        <v>2</v>
      </c>
      <c r="F2324">
        <v>2</v>
      </c>
      <c r="G2324">
        <v>3</v>
      </c>
      <c r="J2324" t="s">
        <v>15</v>
      </c>
      <c r="K2324">
        <v>2</v>
      </c>
      <c r="L2324">
        <v>1.8089999999999999</v>
      </c>
      <c r="M2324">
        <v>0</v>
      </c>
      <c r="N2324" t="s">
        <v>10019</v>
      </c>
      <c r="O2324" t="str">
        <f>HYPERLINK("2\1\marker_624_380495.png", "Ver Imagen")</f>
        <v>Ver Imagen</v>
      </c>
      <c r="P2324" t="str">
        <f>HYPERLINK("SE\A-497\A-497__134.png", "Ver Imagen")</f>
        <v>Ver Imagen</v>
      </c>
    </row>
    <row r="2325" spans="1:16" x14ac:dyDescent="0.25">
      <c r="A2325">
        <v>1789</v>
      </c>
      <c r="B2325" t="s">
        <v>3591</v>
      </c>
      <c r="C2325">
        <v>37.446578491099999</v>
      </c>
      <c r="D2325">
        <v>-7.1322381948800002</v>
      </c>
      <c r="E2325">
        <v>3</v>
      </c>
      <c r="F2325">
        <v>3</v>
      </c>
      <c r="G2325">
        <v>3</v>
      </c>
      <c r="J2325" t="s">
        <v>15</v>
      </c>
      <c r="K2325">
        <v>3</v>
      </c>
      <c r="L2325">
        <v>2.9060000000000001</v>
      </c>
      <c r="M2325">
        <v>0</v>
      </c>
      <c r="N2325" t="s">
        <v>10019</v>
      </c>
      <c r="O2325" t="str">
        <f>HYPERLINK("3\0\marker_174_730754.png", "Ver Imagen")</f>
        <v>Ver Imagen</v>
      </c>
      <c r="P2325" t="str">
        <f>HYPERLINK("NE\A-490\A-490__24.png", "Ver Imagen")</f>
        <v>Ver Imagen</v>
      </c>
    </row>
    <row r="2326" spans="1:16" x14ac:dyDescent="0.25">
      <c r="A2326">
        <v>1790</v>
      </c>
      <c r="B2326" t="s">
        <v>3593</v>
      </c>
      <c r="C2326">
        <v>37.446847075599997</v>
      </c>
      <c r="D2326">
        <v>-7.1307324760400004</v>
      </c>
      <c r="E2326">
        <v>3</v>
      </c>
      <c r="F2326">
        <v>3</v>
      </c>
      <c r="G2326">
        <v>3</v>
      </c>
      <c r="J2326" t="s">
        <v>15</v>
      </c>
      <c r="K2326">
        <v>3</v>
      </c>
      <c r="L2326">
        <v>3.359</v>
      </c>
      <c r="M2326">
        <v>0</v>
      </c>
      <c r="N2326" t="s">
        <v>10018</v>
      </c>
      <c r="O2326" t="str">
        <f>HYPERLINK("3\0\marker_244_730563.png", "Ver Imagen")</f>
        <v>Ver Imagen</v>
      </c>
      <c r="P2326" t="str">
        <f>HYPERLINK("NE\A-490\A-490__18.png", "Ver Imagen")</f>
        <v>Ver Imagen</v>
      </c>
    </row>
    <row r="2327" spans="1:16" x14ac:dyDescent="0.25">
      <c r="A2327">
        <v>1791</v>
      </c>
      <c r="B2327" t="s">
        <v>3595</v>
      </c>
      <c r="C2327">
        <v>37.4615719532</v>
      </c>
      <c r="D2327">
        <v>-7.1744293214899999</v>
      </c>
      <c r="E2327">
        <v>3</v>
      </c>
      <c r="F2327">
        <v>3</v>
      </c>
      <c r="G2327">
        <v>3</v>
      </c>
      <c r="J2327" t="s">
        <v>15</v>
      </c>
      <c r="K2327">
        <v>3</v>
      </c>
      <c r="L2327">
        <v>2.9279999999999999</v>
      </c>
      <c r="M2327">
        <v>0</v>
      </c>
      <c r="N2327" t="s">
        <v>10019</v>
      </c>
      <c r="O2327" t="str">
        <f>HYPERLINK("3\0\marker_141_742987.png", "Ver Imagen")</f>
        <v>Ver Imagen</v>
      </c>
      <c r="P2327" t="str">
        <f>HYPERLINK("NE\A-490\A-490__214.png", "Ver Imagen")</f>
        <v>Ver Imagen</v>
      </c>
    </row>
    <row r="2328" spans="1:16" x14ac:dyDescent="0.25">
      <c r="A2328">
        <v>1792</v>
      </c>
      <c r="B2328" t="s">
        <v>3597</v>
      </c>
      <c r="C2328">
        <v>37.462814909199999</v>
      </c>
      <c r="D2328">
        <v>-7.1764617900600003</v>
      </c>
      <c r="E2328">
        <v>3</v>
      </c>
      <c r="F2328">
        <v>3</v>
      </c>
      <c r="G2328">
        <v>3</v>
      </c>
      <c r="J2328" t="s">
        <v>15</v>
      </c>
      <c r="K2328">
        <v>3</v>
      </c>
      <c r="L2328">
        <v>3.0009999999999999</v>
      </c>
      <c r="M2328">
        <v>0</v>
      </c>
      <c r="N2328" t="s">
        <v>10019</v>
      </c>
      <c r="O2328" t="str">
        <f>HYPERLINK("3\0\marker_722_743676.png", "Ver Imagen")</f>
        <v>Ver Imagen</v>
      </c>
      <c r="P2328" t="str">
        <f>HYPERLINK("NE\A-490\A-490__224.png", "Ver Imagen")</f>
        <v>Ver Imagen</v>
      </c>
    </row>
    <row r="2329" spans="1:16" x14ac:dyDescent="0.25">
      <c r="A2329">
        <v>1793</v>
      </c>
      <c r="B2329" t="s">
        <v>3599</v>
      </c>
      <c r="C2329">
        <v>37.463642313199998</v>
      </c>
      <c r="D2329">
        <v>-7.17784589656</v>
      </c>
      <c r="E2329">
        <v>3</v>
      </c>
      <c r="F2329">
        <v>3</v>
      </c>
      <c r="G2329">
        <v>3</v>
      </c>
      <c r="J2329" t="s">
        <v>15</v>
      </c>
      <c r="K2329">
        <v>3</v>
      </c>
      <c r="L2329">
        <v>2.84</v>
      </c>
      <c r="M2329">
        <v>0</v>
      </c>
      <c r="N2329" t="s">
        <v>10019</v>
      </c>
      <c r="O2329" t="str">
        <f>HYPERLINK("3\0\marker_480_743862.png", "Ver Imagen")</f>
        <v>Ver Imagen</v>
      </c>
      <c r="P2329" t="str">
        <f>HYPERLINK("NE\A-490\A-490__231.png", "Ver Imagen")</f>
        <v>Ver Imagen</v>
      </c>
    </row>
    <row r="2330" spans="1:16" x14ac:dyDescent="0.25">
      <c r="A2330">
        <v>1795</v>
      </c>
      <c r="B2330" t="s">
        <v>3603</v>
      </c>
      <c r="C2330">
        <v>37.490171940000003</v>
      </c>
      <c r="D2330">
        <v>-7.2594655594099997</v>
      </c>
      <c r="E2330">
        <v>3</v>
      </c>
      <c r="F2330">
        <v>3</v>
      </c>
      <c r="G2330">
        <v>3</v>
      </c>
      <c r="J2330" t="s">
        <v>15</v>
      </c>
      <c r="K2330">
        <v>3</v>
      </c>
      <c r="L2330">
        <v>3.101</v>
      </c>
      <c r="M2330">
        <v>0</v>
      </c>
      <c r="N2330" t="s">
        <v>10019</v>
      </c>
      <c r="O2330" t="str">
        <f>HYPERLINK("3\0\marker_908_819577.png", "Ver Imagen")</f>
        <v>Ver Imagen</v>
      </c>
      <c r="P2330" t="str">
        <f>HYPERLINK("NO\A-490\A-490__587.png", "Ver Imagen")</f>
        <v>Ver Imagen</v>
      </c>
    </row>
    <row r="2331" spans="1:16" x14ac:dyDescent="0.25">
      <c r="A2331">
        <v>1797</v>
      </c>
      <c r="B2331" t="s">
        <v>3607</v>
      </c>
      <c r="C2331">
        <v>37.280688001599998</v>
      </c>
      <c r="D2331">
        <v>-7.0029920334</v>
      </c>
      <c r="E2331">
        <v>3</v>
      </c>
      <c r="F2331">
        <v>3</v>
      </c>
      <c r="G2331">
        <v>3</v>
      </c>
      <c r="J2331" t="s">
        <v>15</v>
      </c>
      <c r="K2331">
        <v>3</v>
      </c>
      <c r="L2331">
        <v>3.1240000000000001</v>
      </c>
      <c r="M2331">
        <v>0</v>
      </c>
      <c r="N2331" t="s">
        <v>10019</v>
      </c>
      <c r="O2331" t="str">
        <f>HYPERLINK("3\0\marker_185_823512.png", "Ver Imagen")</f>
        <v>Ver Imagen</v>
      </c>
      <c r="P2331" t="str">
        <f>HYPERLINK("SE\A-492\A-492__82.png", "Ver Imagen")</f>
        <v>Ver Imagen</v>
      </c>
    </row>
    <row r="2332" spans="1:16" x14ac:dyDescent="0.25">
      <c r="A2332">
        <v>1799</v>
      </c>
      <c r="B2332" t="s">
        <v>3611</v>
      </c>
      <c r="C2332">
        <v>37.277946650200001</v>
      </c>
      <c r="D2332">
        <v>-7.01082500468</v>
      </c>
      <c r="E2332">
        <v>3</v>
      </c>
      <c r="F2332">
        <v>3</v>
      </c>
      <c r="G2332">
        <v>3</v>
      </c>
      <c r="J2332" t="s">
        <v>15</v>
      </c>
      <c r="K2332">
        <v>3</v>
      </c>
      <c r="L2332">
        <v>3.2930000000000001</v>
      </c>
      <c r="M2332">
        <v>0</v>
      </c>
      <c r="N2332" t="s">
        <v>10019</v>
      </c>
      <c r="O2332" t="str">
        <f>HYPERLINK("3\0\marker_283_824360.png", "Ver Imagen")</f>
        <v>Ver Imagen</v>
      </c>
      <c r="P2332" t="str">
        <f>HYPERLINK("SE\A-492\A-492__116.png", "Ver Imagen")</f>
        <v>Ver Imagen</v>
      </c>
    </row>
    <row r="2333" spans="1:16" x14ac:dyDescent="0.25">
      <c r="A2333">
        <v>1800</v>
      </c>
      <c r="B2333" t="s">
        <v>3613</v>
      </c>
      <c r="C2333">
        <v>37.3174097367</v>
      </c>
      <c r="D2333">
        <v>-7.0709980039999998</v>
      </c>
      <c r="E2333">
        <v>3</v>
      </c>
      <c r="F2333">
        <v>3</v>
      </c>
      <c r="G2333">
        <v>3</v>
      </c>
      <c r="J2333" t="s">
        <v>15</v>
      </c>
      <c r="K2333">
        <v>3</v>
      </c>
      <c r="L2333">
        <v>2.9049999999999998</v>
      </c>
      <c r="M2333">
        <v>0</v>
      </c>
      <c r="N2333" t="s">
        <v>10019</v>
      </c>
      <c r="O2333" t="str">
        <f>HYPERLINK("3\0\marker_950_840045.png", "Ver Imagen")</f>
        <v>Ver Imagen</v>
      </c>
      <c r="P2333" t="str">
        <f>HYPERLINK("SE\A-492\A-492__470.png", "Ver Imagen")</f>
        <v>Ver Imagen</v>
      </c>
    </row>
    <row r="2334" spans="1:16" x14ac:dyDescent="0.25">
      <c r="A2334">
        <v>1801</v>
      </c>
      <c r="B2334" t="s">
        <v>3615</v>
      </c>
      <c r="C2334">
        <v>37.453137810199998</v>
      </c>
      <c r="D2334">
        <v>-7.1121420396600001</v>
      </c>
      <c r="E2334">
        <v>3</v>
      </c>
      <c r="F2334">
        <v>3</v>
      </c>
      <c r="G2334">
        <v>3</v>
      </c>
      <c r="J2334" t="s">
        <v>15</v>
      </c>
      <c r="K2334">
        <v>3</v>
      </c>
      <c r="L2334">
        <v>3.073</v>
      </c>
      <c r="M2334">
        <v>0</v>
      </c>
      <c r="N2334" t="s">
        <v>10019</v>
      </c>
      <c r="O2334" t="str">
        <f>HYPERLINK("3\0\marker_237_935721.png", "Ver Imagen")</f>
        <v>Ver Imagen</v>
      </c>
      <c r="P2334" t="str">
        <f>HYPERLINK("NE\A-495R\A-495R__44.png", "Ver Imagen")</f>
        <v>Ver Imagen</v>
      </c>
    </row>
    <row r="2335" spans="1:16" x14ac:dyDescent="0.25">
      <c r="A2335">
        <v>1803</v>
      </c>
      <c r="B2335" t="s">
        <v>3619</v>
      </c>
      <c r="C2335">
        <v>37.268252037499998</v>
      </c>
      <c r="D2335">
        <v>-6.9723913815299996</v>
      </c>
      <c r="E2335">
        <v>3</v>
      </c>
      <c r="F2335">
        <v>3</v>
      </c>
      <c r="G2335">
        <v>3</v>
      </c>
      <c r="J2335" t="s">
        <v>15</v>
      </c>
      <c r="K2335">
        <v>3</v>
      </c>
      <c r="L2335">
        <v>2.903</v>
      </c>
      <c r="M2335">
        <v>0</v>
      </c>
      <c r="N2335" t="s">
        <v>10019</v>
      </c>
      <c r="O2335" t="str">
        <f>HYPERLINK("3\0\marker_944_938191.png", "Ver Imagen")</f>
        <v>Ver Imagen</v>
      </c>
      <c r="P2335" t="str">
        <f>HYPERLINK("SE\A-497\A-497__66.png", "Ver Imagen")</f>
        <v>Ver Imagen</v>
      </c>
    </row>
    <row r="2336" spans="1:16" x14ac:dyDescent="0.25">
      <c r="A2336">
        <v>1804</v>
      </c>
      <c r="B2336" t="s">
        <v>3621</v>
      </c>
      <c r="C2336">
        <v>37.268194241499998</v>
      </c>
      <c r="D2336">
        <v>-6.9720546071499996</v>
      </c>
      <c r="E2336">
        <v>3</v>
      </c>
      <c r="F2336">
        <v>3</v>
      </c>
      <c r="G2336">
        <v>3</v>
      </c>
      <c r="J2336" t="s">
        <v>15</v>
      </c>
      <c r="K2336">
        <v>3</v>
      </c>
      <c r="L2336">
        <v>3.0379999999999998</v>
      </c>
      <c r="M2336">
        <v>0</v>
      </c>
      <c r="N2336" t="s">
        <v>10019</v>
      </c>
      <c r="O2336" t="str">
        <f>HYPERLINK("3\0\marker_150_938206.png", "Ver Imagen")</f>
        <v>Ver Imagen</v>
      </c>
      <c r="P2336" t="str">
        <f>HYPERLINK("SE\A-497\A-497__65.png", "Ver Imagen")</f>
        <v>Ver Imagen</v>
      </c>
    </row>
    <row r="2337" spans="1:16" x14ac:dyDescent="0.25">
      <c r="A2337">
        <v>1805</v>
      </c>
      <c r="B2337" t="s">
        <v>3623</v>
      </c>
      <c r="C2337">
        <v>37.267710040200001</v>
      </c>
      <c r="D2337">
        <v>-6.9682686942999998</v>
      </c>
      <c r="E2337">
        <v>3</v>
      </c>
      <c r="F2337">
        <v>3</v>
      </c>
      <c r="G2337">
        <v>3</v>
      </c>
      <c r="J2337" t="s">
        <v>15</v>
      </c>
      <c r="K2337">
        <v>3</v>
      </c>
      <c r="L2337">
        <v>2.7080000000000002</v>
      </c>
      <c r="M2337">
        <v>0</v>
      </c>
      <c r="N2337" t="s">
        <v>10017</v>
      </c>
      <c r="O2337" t="str">
        <f>HYPERLINK("3\0\marker_989_938394.png", "Ver Imagen")</f>
        <v>Ver Imagen</v>
      </c>
      <c r="P2337" t="str">
        <f>HYPERLINK("SE\A-497\A-497__50.png", "Ver Imagen")</f>
        <v>Ver Imagen</v>
      </c>
    </row>
    <row r="2338" spans="1:16" x14ac:dyDescent="0.25">
      <c r="A2338">
        <v>1807</v>
      </c>
      <c r="B2338" t="s">
        <v>3627</v>
      </c>
      <c r="C2338">
        <v>37.2674826505</v>
      </c>
      <c r="D2338">
        <v>-6.9622557973300001</v>
      </c>
      <c r="E2338">
        <v>3</v>
      </c>
      <c r="F2338">
        <v>3</v>
      </c>
      <c r="G2338">
        <v>3</v>
      </c>
      <c r="J2338" t="s">
        <v>15</v>
      </c>
      <c r="K2338">
        <v>3</v>
      </c>
      <c r="L2338">
        <v>2.7490000000000001</v>
      </c>
      <c r="M2338">
        <v>0</v>
      </c>
      <c r="N2338" t="s">
        <v>10019</v>
      </c>
      <c r="O2338" t="str">
        <f>HYPERLINK("3\0\marker_745_940911.png", "Ver Imagen")</f>
        <v>Ver Imagen</v>
      </c>
      <c r="P2338" t="str">
        <f>HYPERLINK("SE\A-497\A-497__26.png", "Ver Imagen")</f>
        <v>Ver Imagen</v>
      </c>
    </row>
    <row r="2339" spans="1:16" x14ac:dyDescent="0.25">
      <c r="A2339">
        <v>1808</v>
      </c>
      <c r="B2339" t="s">
        <v>3629</v>
      </c>
      <c r="C2339">
        <v>37.196206886299997</v>
      </c>
      <c r="D2339">
        <v>-7.00300165156</v>
      </c>
      <c r="E2339">
        <v>3</v>
      </c>
      <c r="F2339">
        <v>3</v>
      </c>
      <c r="G2339">
        <v>3</v>
      </c>
      <c r="J2339" t="s">
        <v>15</v>
      </c>
      <c r="K2339">
        <v>3</v>
      </c>
      <c r="L2339">
        <v>2.504</v>
      </c>
      <c r="M2339">
        <v>0</v>
      </c>
      <c r="N2339" t="s">
        <v>10019</v>
      </c>
      <c r="O2339" t="str">
        <f>HYPERLINK("3\0\marker_561_946540.png", "Ver Imagen")</f>
        <v>Ver Imagen</v>
      </c>
      <c r="P2339" t="str">
        <f>HYPERLINK("SE\A-5050\A-5050__117.png", "Ver Imagen")</f>
        <v>Ver Imagen</v>
      </c>
    </row>
    <row r="2340" spans="1:16" x14ac:dyDescent="0.25">
      <c r="A2340">
        <v>1810</v>
      </c>
      <c r="B2340" t="s">
        <v>3633</v>
      </c>
      <c r="C2340">
        <v>37.197408191699999</v>
      </c>
      <c r="D2340">
        <v>-7.0059125250500003</v>
      </c>
      <c r="E2340">
        <v>3</v>
      </c>
      <c r="F2340">
        <v>3</v>
      </c>
      <c r="G2340">
        <v>3</v>
      </c>
      <c r="J2340" t="s">
        <v>15</v>
      </c>
      <c r="K2340">
        <v>3</v>
      </c>
      <c r="L2340">
        <v>2.782</v>
      </c>
      <c r="M2340">
        <v>0</v>
      </c>
      <c r="N2340" t="s">
        <v>10019</v>
      </c>
      <c r="O2340" t="str">
        <f>HYPERLINK("3\0\marker_100_946738.png", "Ver Imagen")</f>
        <v>Ver Imagen</v>
      </c>
      <c r="P2340" t="str">
        <f>HYPERLINK("SE\A-5050\A-5050__104.png", "Ver Imagen")</f>
        <v>Ver Imagen</v>
      </c>
    </row>
    <row r="2341" spans="1:16" x14ac:dyDescent="0.25">
      <c r="A2341">
        <v>1812</v>
      </c>
      <c r="B2341" t="s">
        <v>3637</v>
      </c>
      <c r="C2341">
        <v>37.200602576599998</v>
      </c>
      <c r="D2341">
        <v>-7.0116815632699998</v>
      </c>
      <c r="E2341">
        <v>3</v>
      </c>
      <c r="F2341">
        <v>3</v>
      </c>
      <c r="G2341">
        <v>3</v>
      </c>
      <c r="J2341" t="s">
        <v>15</v>
      </c>
      <c r="K2341">
        <v>3</v>
      </c>
      <c r="L2341">
        <v>3.1360000000000001</v>
      </c>
      <c r="M2341">
        <v>0</v>
      </c>
      <c r="N2341" t="s">
        <v>10019</v>
      </c>
      <c r="O2341" t="str">
        <f>HYPERLINK("3\0\marker_380_948815.png", "Ver Imagen")</f>
        <v>Ver Imagen</v>
      </c>
      <c r="P2341" t="str">
        <f>HYPERLINK("SE\A-5050\A-5050__76.png", "Ver Imagen")</f>
        <v>Ver Imagen</v>
      </c>
    </row>
    <row r="2342" spans="1:16" x14ac:dyDescent="0.25">
      <c r="A2342">
        <v>1813</v>
      </c>
      <c r="B2342" t="s">
        <v>3639</v>
      </c>
      <c r="C2342">
        <v>37.204834260200002</v>
      </c>
      <c r="D2342">
        <v>-7.0181806830099998</v>
      </c>
      <c r="E2342">
        <v>3</v>
      </c>
      <c r="F2342">
        <v>3</v>
      </c>
      <c r="G2342">
        <v>3</v>
      </c>
      <c r="J2342" t="s">
        <v>15</v>
      </c>
      <c r="K2342">
        <v>3</v>
      </c>
      <c r="L2342">
        <v>2.78</v>
      </c>
      <c r="M2342">
        <v>0</v>
      </c>
      <c r="N2342" t="s">
        <v>10019</v>
      </c>
      <c r="O2342" t="str">
        <f>HYPERLINK("3\0\marker_965_949220.png", "Ver Imagen")</f>
        <v>Ver Imagen</v>
      </c>
      <c r="P2342" t="str">
        <f>HYPERLINK("SE\A-5050\A-5050__43.png", "Ver Imagen")</f>
        <v>Ver Imagen</v>
      </c>
    </row>
    <row r="2343" spans="1:16" x14ac:dyDescent="0.25">
      <c r="A2343">
        <v>1814</v>
      </c>
      <c r="B2343" t="s">
        <v>3641</v>
      </c>
      <c r="C2343">
        <v>37.204979111599997</v>
      </c>
      <c r="D2343">
        <v>-7.01840459699</v>
      </c>
      <c r="E2343">
        <v>3</v>
      </c>
      <c r="F2343">
        <v>3</v>
      </c>
      <c r="G2343">
        <v>3</v>
      </c>
      <c r="J2343" t="s">
        <v>15</v>
      </c>
      <c r="K2343">
        <v>3</v>
      </c>
      <c r="L2343">
        <v>2.6549999999999998</v>
      </c>
      <c r="M2343">
        <v>0</v>
      </c>
      <c r="N2343" t="s">
        <v>10018</v>
      </c>
      <c r="O2343" t="str">
        <f>HYPERLINK("3\0\marker_660_949229.png", "Ver Imagen")</f>
        <v>Ver Imagen</v>
      </c>
      <c r="P2343" t="str">
        <f>HYPERLINK("SE\A-5050\A-5050__42.png", "Ver Imagen")</f>
        <v>Ver Imagen</v>
      </c>
    </row>
    <row r="2344" spans="1:16" x14ac:dyDescent="0.25">
      <c r="A2344">
        <v>1815</v>
      </c>
      <c r="B2344" t="s">
        <v>3643</v>
      </c>
      <c r="C2344">
        <v>37.205102672499997</v>
      </c>
      <c r="D2344">
        <v>-7.0185951801200002</v>
      </c>
      <c r="E2344">
        <v>3</v>
      </c>
      <c r="F2344">
        <v>3</v>
      </c>
      <c r="G2344">
        <v>3</v>
      </c>
      <c r="J2344" t="s">
        <v>15</v>
      </c>
      <c r="K2344">
        <v>3</v>
      </c>
      <c r="L2344">
        <v>3.048</v>
      </c>
      <c r="M2344">
        <v>0</v>
      </c>
      <c r="N2344" t="s">
        <v>10019</v>
      </c>
      <c r="O2344" t="str">
        <f>HYPERLINK("3\0\marker_865_949238.png", "Ver Imagen")</f>
        <v>Ver Imagen</v>
      </c>
      <c r="P2344" t="str">
        <f>HYPERLINK("SE\A-5050\A-5050__41.png", "Ver Imagen")</f>
        <v>Ver Imagen</v>
      </c>
    </row>
    <row r="2345" spans="1:16" x14ac:dyDescent="0.25">
      <c r="A2345">
        <v>1816</v>
      </c>
      <c r="B2345" t="s">
        <v>3645</v>
      </c>
      <c r="C2345">
        <v>37.205360116400001</v>
      </c>
      <c r="D2345">
        <v>-7.0189907466000001</v>
      </c>
      <c r="E2345">
        <v>3</v>
      </c>
      <c r="F2345">
        <v>3</v>
      </c>
      <c r="G2345">
        <v>3</v>
      </c>
      <c r="J2345" t="s">
        <v>15</v>
      </c>
      <c r="K2345">
        <v>3</v>
      </c>
      <c r="L2345">
        <v>3.1629999999999998</v>
      </c>
      <c r="M2345">
        <v>0</v>
      </c>
      <c r="N2345" t="s">
        <v>10017</v>
      </c>
      <c r="O2345" t="str">
        <f>HYPERLINK("3\0\marker_774_949259.png", "Ver Imagen")</f>
        <v>Ver Imagen</v>
      </c>
      <c r="P2345" t="str">
        <f>HYPERLINK("SE\A-5050\A-5050__39.png", "Ver Imagen")</f>
        <v>Ver Imagen</v>
      </c>
    </row>
    <row r="2346" spans="1:16" x14ac:dyDescent="0.25">
      <c r="A2346">
        <v>1817</v>
      </c>
      <c r="B2346" t="s">
        <v>3647</v>
      </c>
      <c r="C2346">
        <v>37.205488164099997</v>
      </c>
      <c r="D2346">
        <v>-7.0191889412300004</v>
      </c>
      <c r="E2346">
        <v>3</v>
      </c>
      <c r="F2346">
        <v>3</v>
      </c>
      <c r="G2346">
        <v>3</v>
      </c>
      <c r="J2346" t="s">
        <v>15</v>
      </c>
      <c r="K2346">
        <v>3</v>
      </c>
      <c r="L2346">
        <v>3.1869999999999998</v>
      </c>
      <c r="M2346">
        <v>0</v>
      </c>
      <c r="N2346" t="s">
        <v>10019</v>
      </c>
      <c r="O2346" t="str">
        <f>HYPERLINK("3\0\marker_107_949272.png", "Ver Imagen")</f>
        <v>Ver Imagen</v>
      </c>
      <c r="P2346" t="str">
        <f>HYPERLINK("SE\A-5050\A-5050__38.png", "Ver Imagen")</f>
        <v>Ver Imagen</v>
      </c>
    </row>
    <row r="2347" spans="1:16" x14ac:dyDescent="0.25">
      <c r="A2347">
        <v>1818</v>
      </c>
      <c r="B2347" t="s">
        <v>3649</v>
      </c>
      <c r="C2347">
        <v>37.2056244471</v>
      </c>
      <c r="D2347">
        <v>-7.0194020145399998</v>
      </c>
      <c r="E2347">
        <v>3</v>
      </c>
      <c r="F2347">
        <v>3</v>
      </c>
      <c r="G2347">
        <v>3</v>
      </c>
      <c r="J2347" t="s">
        <v>15</v>
      </c>
      <c r="K2347">
        <v>3</v>
      </c>
      <c r="L2347">
        <v>2.6509999999999998</v>
      </c>
      <c r="M2347">
        <v>0</v>
      </c>
      <c r="N2347" t="s">
        <v>10019</v>
      </c>
      <c r="O2347" t="str">
        <f>HYPERLINK("3\0\marker_238_949289.png", "Ver Imagen")</f>
        <v>Ver Imagen</v>
      </c>
      <c r="P2347" t="str">
        <f>HYPERLINK("SE\A-5050\A-5050__37.png", "Ver Imagen")</f>
        <v>Ver Imagen</v>
      </c>
    </row>
    <row r="2348" spans="1:16" x14ac:dyDescent="0.25">
      <c r="A2348">
        <v>1819</v>
      </c>
      <c r="B2348" t="s">
        <v>3651</v>
      </c>
      <c r="C2348">
        <v>37.205720554599999</v>
      </c>
      <c r="D2348">
        <v>-7.0195550834400002</v>
      </c>
      <c r="E2348">
        <v>3</v>
      </c>
      <c r="F2348">
        <v>3</v>
      </c>
      <c r="G2348">
        <v>3</v>
      </c>
      <c r="J2348" t="s">
        <v>15</v>
      </c>
      <c r="K2348">
        <v>3</v>
      </c>
      <c r="L2348">
        <v>2.7730000000000001</v>
      </c>
      <c r="M2348">
        <v>0</v>
      </c>
      <c r="N2348" t="s">
        <v>10019</v>
      </c>
      <c r="O2348" t="str">
        <f>HYPERLINK("3\0\marker_763_949300.png", "Ver Imagen")</f>
        <v>Ver Imagen</v>
      </c>
      <c r="P2348" t="str">
        <f>HYPERLINK("SE\A-5050\A-5050__36.png", "Ver Imagen")</f>
        <v>Ver Imagen</v>
      </c>
    </row>
    <row r="2349" spans="1:16" x14ac:dyDescent="0.25">
      <c r="A2349">
        <v>1821</v>
      </c>
      <c r="B2349" t="s">
        <v>3655</v>
      </c>
      <c r="C2349">
        <v>37.206088239499998</v>
      </c>
      <c r="D2349">
        <v>-7.0201988133800004</v>
      </c>
      <c r="E2349">
        <v>3</v>
      </c>
      <c r="F2349">
        <v>3</v>
      </c>
      <c r="G2349">
        <v>3</v>
      </c>
      <c r="J2349" t="s">
        <v>15</v>
      </c>
      <c r="K2349">
        <v>3</v>
      </c>
      <c r="L2349">
        <v>3.1150000000000002</v>
      </c>
      <c r="M2349">
        <v>0</v>
      </c>
      <c r="N2349" t="s">
        <v>10019</v>
      </c>
      <c r="O2349" t="str">
        <f>HYPERLINK("3\0\marker_399_949332.png", "Ver Imagen")</f>
        <v>Ver Imagen</v>
      </c>
      <c r="P2349" t="str">
        <f>HYPERLINK("SE\A-5050\A-5050__33.png", "Ver Imagen")</f>
        <v>Ver Imagen</v>
      </c>
    </row>
    <row r="2350" spans="1:16" x14ac:dyDescent="0.25">
      <c r="A2350">
        <v>1822</v>
      </c>
      <c r="B2350" t="s">
        <v>3657</v>
      </c>
      <c r="C2350">
        <v>37.206201240200002</v>
      </c>
      <c r="D2350">
        <v>-7.0204035091100003</v>
      </c>
      <c r="E2350">
        <v>3</v>
      </c>
      <c r="F2350">
        <v>3</v>
      </c>
      <c r="G2350">
        <v>3</v>
      </c>
      <c r="J2350" t="s">
        <v>15</v>
      </c>
      <c r="K2350">
        <v>3</v>
      </c>
      <c r="L2350">
        <v>2.8130000000000002</v>
      </c>
      <c r="M2350">
        <v>0</v>
      </c>
      <c r="N2350" t="s">
        <v>10019</v>
      </c>
      <c r="O2350" t="str">
        <f>HYPERLINK("3\0\marker_226_949341.png", "Ver Imagen")</f>
        <v>Ver Imagen</v>
      </c>
      <c r="P2350" t="str">
        <f>HYPERLINK("SE\A-5050\A-5050__32.png", "Ver Imagen")</f>
        <v>Ver Imagen</v>
      </c>
    </row>
    <row r="2351" spans="1:16" x14ac:dyDescent="0.25">
      <c r="A2351">
        <v>1823</v>
      </c>
      <c r="B2351" t="s">
        <v>3659</v>
      </c>
      <c r="C2351">
        <v>37.206959974</v>
      </c>
      <c r="D2351">
        <v>-7.0215584396499997</v>
      </c>
      <c r="E2351">
        <v>3</v>
      </c>
      <c r="F2351">
        <v>3</v>
      </c>
      <c r="G2351">
        <v>3</v>
      </c>
      <c r="J2351" t="s">
        <v>15</v>
      </c>
      <c r="K2351">
        <v>3</v>
      </c>
      <c r="L2351">
        <v>3.242</v>
      </c>
      <c r="M2351">
        <v>0</v>
      </c>
      <c r="N2351" t="s">
        <v>10019</v>
      </c>
      <c r="O2351" t="str">
        <f>HYPERLINK("3\0\marker_956_949397.png", "Ver Imagen")</f>
        <v>Ver Imagen</v>
      </c>
      <c r="P2351" t="str">
        <f>HYPERLINK("SE\A-5050\A-5050__26.png", "Ver Imagen")</f>
        <v>Ver Imagen</v>
      </c>
    </row>
    <row r="2352" spans="1:16" x14ac:dyDescent="0.25">
      <c r="A2352">
        <v>1824</v>
      </c>
      <c r="B2352" t="s">
        <v>3661</v>
      </c>
      <c r="C2352">
        <v>37.208265898400001</v>
      </c>
      <c r="D2352">
        <v>-7.0239720881299998</v>
      </c>
      <c r="E2352">
        <v>3</v>
      </c>
      <c r="F2352">
        <v>3</v>
      </c>
      <c r="G2352">
        <v>3</v>
      </c>
      <c r="J2352" t="s">
        <v>15</v>
      </c>
      <c r="K2352">
        <v>3</v>
      </c>
      <c r="L2352">
        <v>2.528</v>
      </c>
      <c r="M2352">
        <v>0</v>
      </c>
      <c r="N2352" t="s">
        <v>10019</v>
      </c>
      <c r="O2352" t="str">
        <f>HYPERLINK("3\0\marker_600_949554.png", "Ver Imagen")</f>
        <v>Ver Imagen</v>
      </c>
      <c r="P2352" t="str">
        <f>HYPERLINK("SE\A-5050\A-5050__14.png", "Ver Imagen")</f>
        <v>Ver Imagen</v>
      </c>
    </row>
    <row r="2353" spans="1:16" x14ac:dyDescent="0.25">
      <c r="A2353">
        <v>1826</v>
      </c>
      <c r="B2353" t="s">
        <v>3665</v>
      </c>
      <c r="C2353">
        <v>37.208416011200001</v>
      </c>
      <c r="D2353">
        <v>-7.0249713042200002</v>
      </c>
      <c r="E2353">
        <v>3</v>
      </c>
      <c r="F2353">
        <v>3</v>
      </c>
      <c r="G2353">
        <v>3</v>
      </c>
      <c r="J2353" t="s">
        <v>15</v>
      </c>
      <c r="K2353">
        <v>3</v>
      </c>
      <c r="L2353">
        <v>2.7330000000000001</v>
      </c>
      <c r="M2353">
        <v>0</v>
      </c>
      <c r="N2353" t="s">
        <v>10019</v>
      </c>
      <c r="O2353" t="str">
        <f>HYPERLINK("3\0\marker_698_949608.png", "Ver Imagen")</f>
        <v>Ver Imagen</v>
      </c>
      <c r="P2353" t="str">
        <f>HYPERLINK("SE\A-5050\A-5050__10.png", "Ver Imagen")</f>
        <v>Ver Imagen</v>
      </c>
    </row>
    <row r="2354" spans="1:16" x14ac:dyDescent="0.25">
      <c r="A2354">
        <v>1827</v>
      </c>
      <c r="B2354" t="s">
        <v>3667</v>
      </c>
      <c r="C2354">
        <v>37.208833979200001</v>
      </c>
      <c r="D2354">
        <v>-7.0266340084500003</v>
      </c>
      <c r="E2354">
        <v>3</v>
      </c>
      <c r="F2354">
        <v>3</v>
      </c>
      <c r="G2354">
        <v>3</v>
      </c>
      <c r="J2354" t="s">
        <v>15</v>
      </c>
      <c r="K2354">
        <v>3</v>
      </c>
      <c r="L2354">
        <v>2.9710000000000001</v>
      </c>
      <c r="M2354">
        <v>0</v>
      </c>
      <c r="N2354" t="s">
        <v>10019</v>
      </c>
      <c r="O2354" t="str">
        <f>HYPERLINK("3\0\marker_490_949681.png", "Ver Imagen")</f>
        <v>Ver Imagen</v>
      </c>
      <c r="P2354" t="str">
        <f>HYPERLINK("SE\A-5050\A-5050__3.png", "Ver Imagen")</f>
        <v>Ver Imagen</v>
      </c>
    </row>
    <row r="2355" spans="1:16" x14ac:dyDescent="0.25">
      <c r="A2355">
        <v>1828</v>
      </c>
      <c r="B2355" t="s">
        <v>3669</v>
      </c>
      <c r="C2355">
        <v>37.218499817400001</v>
      </c>
      <c r="D2355">
        <v>-7.1251797699599999</v>
      </c>
      <c r="E2355">
        <v>3</v>
      </c>
      <c r="F2355">
        <v>3</v>
      </c>
      <c r="G2355">
        <v>3</v>
      </c>
      <c r="J2355" t="s">
        <v>15</v>
      </c>
      <c r="K2355">
        <v>3</v>
      </c>
      <c r="L2355">
        <v>2.88</v>
      </c>
      <c r="M2355">
        <v>0</v>
      </c>
      <c r="N2355" t="s">
        <v>10019</v>
      </c>
      <c r="O2355" t="str">
        <f>HYPERLINK("3\0\marker_793_949891.png", "Ver Imagen")</f>
        <v>Ver Imagen</v>
      </c>
      <c r="P2355" t="str">
        <f>HYPERLINK("SO\A-5052\A-5052__3.png", "Ver Imagen")</f>
        <v>Ver Imagen</v>
      </c>
    </row>
    <row r="2356" spans="1:16" x14ac:dyDescent="0.25">
      <c r="A2356">
        <v>1829</v>
      </c>
      <c r="B2356" t="s">
        <v>3671</v>
      </c>
      <c r="C2356">
        <v>37.218317697499998</v>
      </c>
      <c r="D2356">
        <v>-7.1234584489100001</v>
      </c>
      <c r="E2356">
        <v>3</v>
      </c>
      <c r="F2356">
        <v>3</v>
      </c>
      <c r="G2356">
        <v>3</v>
      </c>
      <c r="J2356" t="s">
        <v>15</v>
      </c>
      <c r="K2356">
        <v>3</v>
      </c>
      <c r="L2356">
        <v>3.0089999999999999</v>
      </c>
      <c r="M2356">
        <v>0</v>
      </c>
      <c r="N2356" t="s">
        <v>10019</v>
      </c>
      <c r="O2356" t="str">
        <f>HYPERLINK("3\0\marker_977_950021.png", "Ver Imagen")</f>
        <v>Ver Imagen</v>
      </c>
      <c r="P2356" t="str">
        <f>HYPERLINK("SO\A-5052\A-5052__10.png", "Ver Imagen")</f>
        <v>Ver Imagen</v>
      </c>
    </row>
    <row r="2357" spans="1:16" x14ac:dyDescent="0.25">
      <c r="A2357">
        <v>1830</v>
      </c>
      <c r="B2357" t="s">
        <v>3673</v>
      </c>
      <c r="C2357">
        <v>37.217536696000003</v>
      </c>
      <c r="D2357">
        <v>-7.1127330686599999</v>
      </c>
      <c r="E2357">
        <v>3</v>
      </c>
      <c r="F2357">
        <v>3</v>
      </c>
      <c r="G2357">
        <v>3</v>
      </c>
      <c r="J2357" t="s">
        <v>15</v>
      </c>
      <c r="K2357">
        <v>3</v>
      </c>
      <c r="L2357">
        <v>2.95</v>
      </c>
      <c r="M2357">
        <v>0</v>
      </c>
      <c r="N2357" t="s">
        <v>10019</v>
      </c>
      <c r="O2357" t="str">
        <f>HYPERLINK("3\0\marker_710_956957.png", "Ver Imagen")</f>
        <v>Ver Imagen</v>
      </c>
      <c r="P2357" t="str">
        <f>HYPERLINK("SO\A-5052\A-5052__53.png", "Ver Imagen")</f>
        <v>Ver Imagen</v>
      </c>
    </row>
    <row r="2358" spans="1:16" x14ac:dyDescent="0.25">
      <c r="A2358">
        <v>1831</v>
      </c>
      <c r="B2358" t="s">
        <v>3675</v>
      </c>
      <c r="C2358">
        <v>37.2175603767</v>
      </c>
      <c r="D2358">
        <v>-7.1122366692499996</v>
      </c>
      <c r="E2358">
        <v>3</v>
      </c>
      <c r="F2358">
        <v>3</v>
      </c>
      <c r="G2358">
        <v>3</v>
      </c>
      <c r="J2358" t="s">
        <v>15</v>
      </c>
      <c r="K2358">
        <v>3</v>
      </c>
      <c r="L2358">
        <v>3.0310000000000001</v>
      </c>
      <c r="M2358">
        <v>0</v>
      </c>
      <c r="N2358" t="s">
        <v>10019</v>
      </c>
      <c r="O2358" t="str">
        <f>HYPERLINK("3\0\marker_352_956980.png", "Ver Imagen")</f>
        <v>Ver Imagen</v>
      </c>
      <c r="P2358" t="str">
        <f>HYPERLINK("SO\A-5052\A-5052__55.png", "Ver Imagen")</f>
        <v>Ver Imagen</v>
      </c>
    </row>
    <row r="2359" spans="1:16" x14ac:dyDescent="0.25">
      <c r="A2359">
        <v>1832</v>
      </c>
      <c r="B2359" t="s">
        <v>3677</v>
      </c>
      <c r="C2359">
        <v>37.217018068000002</v>
      </c>
      <c r="D2359">
        <v>-7.1001983382800002</v>
      </c>
      <c r="E2359">
        <v>3</v>
      </c>
      <c r="F2359">
        <v>3</v>
      </c>
      <c r="G2359">
        <v>3</v>
      </c>
      <c r="J2359" t="s">
        <v>15</v>
      </c>
      <c r="K2359">
        <v>3</v>
      </c>
      <c r="L2359">
        <v>2.6930000000000001</v>
      </c>
      <c r="M2359">
        <v>0</v>
      </c>
      <c r="N2359" t="s">
        <v>10019</v>
      </c>
      <c r="O2359" t="str">
        <f>HYPERLINK("3\0\marker_893_957711.png", "Ver Imagen")</f>
        <v>Ver Imagen</v>
      </c>
      <c r="P2359" t="str">
        <f>HYPERLINK("SE\A-5052\A-5052__103.png", "Ver Imagen")</f>
        <v>Ver Imagen</v>
      </c>
    </row>
    <row r="2360" spans="1:16" x14ac:dyDescent="0.25">
      <c r="A2360">
        <v>1832</v>
      </c>
      <c r="B2360" t="s">
        <v>3677</v>
      </c>
      <c r="C2360">
        <v>37.217018068000002</v>
      </c>
      <c r="D2360">
        <v>-7.1001983382800002</v>
      </c>
      <c r="E2360">
        <v>3</v>
      </c>
      <c r="F2360">
        <v>3</v>
      </c>
      <c r="G2360">
        <v>3</v>
      </c>
      <c r="J2360" t="s">
        <v>15</v>
      </c>
      <c r="K2360">
        <v>3</v>
      </c>
      <c r="L2360">
        <v>2.903</v>
      </c>
      <c r="M2360">
        <v>0</v>
      </c>
      <c r="N2360" t="s">
        <v>10019</v>
      </c>
      <c r="O2360" t="str">
        <f>HYPERLINK("3\0\marker_893_957711.png", "Ver Imagen")</f>
        <v>Ver Imagen</v>
      </c>
      <c r="P2360" t="str">
        <f>HYPERLINK("SO\A-5052\A-5052__103.png", "Ver Imagen")</f>
        <v>Ver Imagen</v>
      </c>
    </row>
    <row r="2361" spans="1:16" x14ac:dyDescent="0.25">
      <c r="A2361">
        <v>1833</v>
      </c>
      <c r="B2361" t="s">
        <v>3679</v>
      </c>
      <c r="C2361">
        <v>37.213805142299996</v>
      </c>
      <c r="D2361">
        <v>-7.0728822823600002</v>
      </c>
      <c r="E2361">
        <v>3</v>
      </c>
      <c r="F2361">
        <v>3</v>
      </c>
      <c r="G2361">
        <v>3</v>
      </c>
      <c r="J2361" t="s">
        <v>15</v>
      </c>
      <c r="K2361">
        <v>3</v>
      </c>
      <c r="L2361">
        <v>2.84</v>
      </c>
      <c r="M2361">
        <v>0</v>
      </c>
      <c r="N2361" t="s">
        <v>10019</v>
      </c>
      <c r="O2361" t="str">
        <f>HYPERLINK("3\0\marker_344_959623.png", "Ver Imagen")</f>
        <v>Ver Imagen</v>
      </c>
      <c r="P2361" t="str">
        <f>HYPERLINK("SE\A-5052\A-5052__213.png", "Ver Imagen")</f>
        <v>Ver Imagen</v>
      </c>
    </row>
    <row r="2362" spans="1:16" x14ac:dyDescent="0.25">
      <c r="A2362">
        <v>1833</v>
      </c>
      <c r="B2362" t="s">
        <v>3679</v>
      </c>
      <c r="C2362">
        <v>37.213805142299996</v>
      </c>
      <c r="D2362">
        <v>-7.0728822823600002</v>
      </c>
      <c r="E2362">
        <v>3</v>
      </c>
      <c r="F2362">
        <v>3</v>
      </c>
      <c r="G2362">
        <v>3</v>
      </c>
      <c r="J2362" t="s">
        <v>15</v>
      </c>
      <c r="K2362">
        <v>3</v>
      </c>
      <c r="L2362">
        <v>2.823</v>
      </c>
      <c r="M2362">
        <v>0</v>
      </c>
      <c r="N2362" t="s">
        <v>10019</v>
      </c>
      <c r="O2362" t="str">
        <f>HYPERLINK("3\0\marker_344_959623.png", "Ver Imagen")</f>
        <v>Ver Imagen</v>
      </c>
      <c r="P2362" t="str">
        <f>HYPERLINK("SO\A-5052\A-5052__213.png", "Ver Imagen")</f>
        <v>Ver Imagen</v>
      </c>
    </row>
    <row r="2363" spans="1:16" x14ac:dyDescent="0.25">
      <c r="A2363">
        <v>1834</v>
      </c>
      <c r="B2363" t="s">
        <v>3681</v>
      </c>
      <c r="C2363">
        <v>37.213228773799997</v>
      </c>
      <c r="D2363">
        <v>-7.0634101505800002</v>
      </c>
      <c r="E2363">
        <v>3</v>
      </c>
      <c r="F2363">
        <v>3</v>
      </c>
      <c r="G2363">
        <v>3</v>
      </c>
      <c r="J2363" t="s">
        <v>15</v>
      </c>
      <c r="K2363">
        <v>3</v>
      </c>
      <c r="L2363">
        <v>2.7770000000000001</v>
      </c>
      <c r="M2363">
        <v>0</v>
      </c>
      <c r="N2363" t="s">
        <v>10019</v>
      </c>
      <c r="O2363" t="str">
        <f>HYPERLINK("3\0\marker_853_960103.png", "Ver Imagen")</f>
        <v>Ver Imagen</v>
      </c>
      <c r="P2363" t="str">
        <f>HYPERLINK("SE\A-5052\A-5052__251.png", "Ver Imagen")</f>
        <v>Ver Imagen</v>
      </c>
    </row>
    <row r="2364" spans="1:16" x14ac:dyDescent="0.25">
      <c r="A2364">
        <v>1835</v>
      </c>
      <c r="B2364" t="s">
        <v>3683</v>
      </c>
      <c r="C2364">
        <v>37.213220245400002</v>
      </c>
      <c r="D2364">
        <v>-7.0631826395199999</v>
      </c>
      <c r="E2364">
        <v>3</v>
      </c>
      <c r="F2364">
        <v>3</v>
      </c>
      <c r="G2364">
        <v>3</v>
      </c>
      <c r="J2364" t="s">
        <v>15</v>
      </c>
      <c r="K2364">
        <v>3</v>
      </c>
      <c r="L2364">
        <v>3.0640000000000001</v>
      </c>
      <c r="M2364">
        <v>0</v>
      </c>
      <c r="N2364" t="s">
        <v>10019</v>
      </c>
      <c r="O2364" t="str">
        <f>HYPERLINK("3\0\marker_547_960114.png", "Ver Imagen")</f>
        <v>Ver Imagen</v>
      </c>
      <c r="P2364" t="str">
        <f>HYPERLINK("SE\A-5052\A-5052__252.png", "Ver Imagen")</f>
        <v>Ver Imagen</v>
      </c>
    </row>
    <row r="2365" spans="1:16" x14ac:dyDescent="0.25">
      <c r="A2365">
        <v>1836</v>
      </c>
      <c r="B2365" t="s">
        <v>3685</v>
      </c>
      <c r="C2365">
        <v>37.212560779299999</v>
      </c>
      <c r="D2365">
        <v>-7.0605531189399997</v>
      </c>
      <c r="E2365">
        <v>3</v>
      </c>
      <c r="F2365">
        <v>3</v>
      </c>
      <c r="G2365">
        <v>3</v>
      </c>
      <c r="J2365" t="s">
        <v>15</v>
      </c>
      <c r="K2365">
        <v>3</v>
      </c>
      <c r="L2365">
        <v>3.0150000000000001</v>
      </c>
      <c r="M2365">
        <v>0</v>
      </c>
      <c r="N2365" t="s">
        <v>10019</v>
      </c>
      <c r="O2365" t="str">
        <f>HYPERLINK("3\0\marker_149_960234.png", "Ver Imagen")</f>
        <v>Ver Imagen</v>
      </c>
      <c r="P2365" t="str">
        <f>HYPERLINK("SE\A-5052\A-5052__263.png", "Ver Imagen")</f>
        <v>Ver Imagen</v>
      </c>
    </row>
    <row r="2366" spans="1:16" x14ac:dyDescent="0.25">
      <c r="A2366">
        <v>1837</v>
      </c>
      <c r="B2366" t="s">
        <v>3687</v>
      </c>
      <c r="C2366">
        <v>37.211539369800001</v>
      </c>
      <c r="D2366">
        <v>-7.0577536627499997</v>
      </c>
      <c r="E2366">
        <v>3</v>
      </c>
      <c r="F2366">
        <v>3</v>
      </c>
      <c r="G2366">
        <v>3</v>
      </c>
      <c r="J2366" t="s">
        <v>15</v>
      </c>
      <c r="K2366">
        <v>3</v>
      </c>
      <c r="L2366">
        <v>3.4380000000000002</v>
      </c>
      <c r="M2366">
        <v>0</v>
      </c>
      <c r="N2366" t="s">
        <v>10019</v>
      </c>
      <c r="O2366" t="str">
        <f>HYPERLINK("3\0\marker_826_960378.png", "Ver Imagen")</f>
        <v>Ver Imagen</v>
      </c>
      <c r="P2366" t="str">
        <f>HYPERLINK("SE\A-5052\A-5052__275.png", "Ver Imagen")</f>
        <v>Ver Imagen</v>
      </c>
    </row>
    <row r="2367" spans="1:16" x14ac:dyDescent="0.25">
      <c r="A2367">
        <v>1838</v>
      </c>
      <c r="B2367" t="s">
        <v>3689</v>
      </c>
      <c r="C2367">
        <v>37.211409554900001</v>
      </c>
      <c r="D2367">
        <v>-7.0572670144599998</v>
      </c>
      <c r="E2367">
        <v>3</v>
      </c>
      <c r="F2367">
        <v>3</v>
      </c>
      <c r="G2367">
        <v>3</v>
      </c>
      <c r="J2367" t="s">
        <v>15</v>
      </c>
      <c r="K2367">
        <v>3</v>
      </c>
      <c r="L2367">
        <v>2.9340000000000002</v>
      </c>
      <c r="M2367">
        <v>0</v>
      </c>
      <c r="N2367" t="s">
        <v>10019</v>
      </c>
      <c r="O2367" t="str">
        <f>HYPERLINK("3\0\marker_931_960477.png", "Ver Imagen")</f>
        <v>Ver Imagen</v>
      </c>
      <c r="P2367" t="str">
        <f>HYPERLINK("SE\A-5052\A-5052__277.png", "Ver Imagen")</f>
        <v>Ver Imagen</v>
      </c>
    </row>
    <row r="2368" spans="1:16" x14ac:dyDescent="0.25">
      <c r="A2368">
        <v>1839</v>
      </c>
      <c r="B2368" t="s">
        <v>3691</v>
      </c>
      <c r="C2368">
        <v>37.211685868700002</v>
      </c>
      <c r="D2368">
        <v>-7.0582001187200003</v>
      </c>
      <c r="E2368">
        <v>3</v>
      </c>
      <c r="F2368">
        <v>3</v>
      </c>
      <c r="G2368">
        <v>3</v>
      </c>
      <c r="J2368" t="s">
        <v>15</v>
      </c>
      <c r="K2368">
        <v>3</v>
      </c>
      <c r="L2368">
        <v>2.8050000000000002</v>
      </c>
      <c r="M2368">
        <v>0</v>
      </c>
      <c r="N2368" t="s">
        <v>10017</v>
      </c>
      <c r="O2368" t="str">
        <f>HYPERLINK("3\0\marker_287_960359.png", "Ver Imagen")</f>
        <v>Ver Imagen</v>
      </c>
      <c r="P2368" t="str">
        <f>HYPERLINK("SE\A-5052\A-5052__273.png", "Ver Imagen")</f>
        <v>Ver Imagen</v>
      </c>
    </row>
    <row r="2369" spans="1:16" x14ac:dyDescent="0.25">
      <c r="A2369">
        <v>1840</v>
      </c>
      <c r="B2369" t="s">
        <v>3693</v>
      </c>
      <c r="C2369">
        <v>37.210792564800002</v>
      </c>
      <c r="D2369">
        <v>-7.0523099199099999</v>
      </c>
      <c r="E2369">
        <v>3</v>
      </c>
      <c r="F2369">
        <v>3</v>
      </c>
      <c r="G2369">
        <v>3</v>
      </c>
      <c r="J2369" t="s">
        <v>15</v>
      </c>
      <c r="K2369">
        <v>3</v>
      </c>
      <c r="L2369">
        <v>3.105</v>
      </c>
      <c r="M2369">
        <v>0</v>
      </c>
      <c r="N2369" t="s">
        <v>10018</v>
      </c>
      <c r="O2369" t="str">
        <f>HYPERLINK("3\0\marker_885_960865.png", "Ver Imagen")</f>
        <v>Ver Imagen</v>
      </c>
      <c r="P2369" t="str">
        <f>HYPERLINK("SE\A-5052\A-5052__297.png", "Ver Imagen")</f>
        <v>Ver Imagen</v>
      </c>
    </row>
    <row r="2370" spans="1:16" x14ac:dyDescent="0.25">
      <c r="A2370">
        <v>1841</v>
      </c>
      <c r="B2370" t="s">
        <v>3695</v>
      </c>
      <c r="C2370">
        <v>37.210625615700003</v>
      </c>
      <c r="D2370">
        <v>-7.0434232331400004</v>
      </c>
      <c r="E2370">
        <v>3</v>
      </c>
      <c r="F2370">
        <v>3</v>
      </c>
      <c r="G2370">
        <v>3</v>
      </c>
      <c r="J2370" t="s">
        <v>15</v>
      </c>
      <c r="K2370">
        <v>3</v>
      </c>
      <c r="L2370">
        <v>2.8929999999999998</v>
      </c>
      <c r="M2370">
        <v>0</v>
      </c>
      <c r="N2370" t="s">
        <v>10019</v>
      </c>
      <c r="O2370" t="str">
        <f>HYPERLINK("3\0\marker_899_961550.png", "Ver Imagen")</f>
        <v>Ver Imagen</v>
      </c>
      <c r="P2370" t="str">
        <f>HYPERLINK("SE\A-5052\A-5052__334.png", "Ver Imagen")</f>
        <v>Ver Imagen</v>
      </c>
    </row>
    <row r="2371" spans="1:16" x14ac:dyDescent="0.25">
      <c r="A2371">
        <v>1842</v>
      </c>
      <c r="B2371" t="s">
        <v>3697</v>
      </c>
      <c r="C2371">
        <v>37.210518975699998</v>
      </c>
      <c r="D2371">
        <v>-7.0431366350199998</v>
      </c>
      <c r="E2371">
        <v>3</v>
      </c>
      <c r="F2371">
        <v>3</v>
      </c>
      <c r="G2371">
        <v>3</v>
      </c>
      <c r="J2371" t="s">
        <v>15</v>
      </c>
      <c r="K2371">
        <v>3</v>
      </c>
      <c r="L2371">
        <v>2.6440000000000001</v>
      </c>
      <c r="M2371">
        <v>0</v>
      </c>
      <c r="N2371" t="s">
        <v>10019</v>
      </c>
      <c r="O2371" t="str">
        <f>HYPERLINK("3\0\marker_502_961560.png", "Ver Imagen")</f>
        <v>Ver Imagen</v>
      </c>
      <c r="P2371" t="str">
        <f>HYPERLINK("SE\A-5052\A-5052__335.png", "Ver Imagen")</f>
        <v>Ver Imagen</v>
      </c>
    </row>
    <row r="2372" spans="1:16" x14ac:dyDescent="0.25">
      <c r="A2372">
        <v>1843</v>
      </c>
      <c r="B2372" t="s">
        <v>3699</v>
      </c>
      <c r="C2372">
        <v>37.210284907499997</v>
      </c>
      <c r="D2372">
        <v>-7.0425114143699998</v>
      </c>
      <c r="E2372">
        <v>3</v>
      </c>
      <c r="F2372">
        <v>3</v>
      </c>
      <c r="G2372">
        <v>3</v>
      </c>
      <c r="J2372" t="s">
        <v>15</v>
      </c>
      <c r="K2372">
        <v>3</v>
      </c>
      <c r="L2372">
        <v>3.0270000000000001</v>
      </c>
      <c r="M2372">
        <v>0</v>
      </c>
      <c r="N2372" t="s">
        <v>10019</v>
      </c>
      <c r="O2372" t="str">
        <f>HYPERLINK("3\0\marker_106_961589.png", "Ver Imagen")</f>
        <v>Ver Imagen</v>
      </c>
      <c r="P2372" t="str">
        <f>HYPERLINK("SE\A-5052\A-5052__338.png", "Ver Imagen")</f>
        <v>Ver Imagen</v>
      </c>
    </row>
    <row r="2373" spans="1:16" x14ac:dyDescent="0.25">
      <c r="A2373">
        <v>1844</v>
      </c>
      <c r="B2373" t="s">
        <v>3701</v>
      </c>
      <c r="C2373">
        <v>37.209420643400001</v>
      </c>
      <c r="D2373">
        <v>-7.0401953233099999</v>
      </c>
      <c r="E2373">
        <v>3</v>
      </c>
      <c r="F2373">
        <v>3</v>
      </c>
      <c r="G2373">
        <v>3</v>
      </c>
      <c r="J2373" t="s">
        <v>15</v>
      </c>
      <c r="K2373">
        <v>3</v>
      </c>
      <c r="L2373">
        <v>3.0489999999999999</v>
      </c>
      <c r="M2373">
        <v>0</v>
      </c>
      <c r="N2373" t="s">
        <v>10019</v>
      </c>
      <c r="O2373" t="str">
        <f>HYPERLINK("3\0\marker_391_961723.png", "Ver Imagen")</f>
        <v>Ver Imagen</v>
      </c>
      <c r="P2373" t="str">
        <f>HYPERLINK("SE\A-5052\A-5052__348.png", "Ver Imagen")</f>
        <v>Ver Imagen</v>
      </c>
    </row>
    <row r="2374" spans="1:16" x14ac:dyDescent="0.25">
      <c r="A2374">
        <v>1845</v>
      </c>
      <c r="B2374" t="s">
        <v>3703</v>
      </c>
      <c r="C2374">
        <v>37.208699203400002</v>
      </c>
      <c r="D2374">
        <v>-7.03833994873</v>
      </c>
      <c r="E2374">
        <v>3</v>
      </c>
      <c r="F2374">
        <v>3</v>
      </c>
      <c r="G2374">
        <v>3</v>
      </c>
      <c r="J2374" t="s">
        <v>15</v>
      </c>
      <c r="K2374">
        <v>3</v>
      </c>
      <c r="L2374">
        <v>2.9529999999999998</v>
      </c>
      <c r="M2374">
        <v>0</v>
      </c>
      <c r="N2374" t="s">
        <v>10019</v>
      </c>
      <c r="O2374" t="str">
        <f>HYPERLINK("3\0\marker_810_961820.png", "Ver Imagen")</f>
        <v>Ver Imagen</v>
      </c>
      <c r="P2374" t="str">
        <f>HYPERLINK("SE\A-5052\A-5052__356.png", "Ver Imagen")</f>
        <v>Ver Imagen</v>
      </c>
    </row>
    <row r="2375" spans="1:16" x14ac:dyDescent="0.25">
      <c r="A2375">
        <v>1846</v>
      </c>
      <c r="B2375" t="s">
        <v>3705</v>
      </c>
      <c r="C2375">
        <v>37.208603584099997</v>
      </c>
      <c r="D2375">
        <v>-7.0380945510000004</v>
      </c>
      <c r="E2375">
        <v>3</v>
      </c>
      <c r="F2375">
        <v>3</v>
      </c>
      <c r="G2375">
        <v>3</v>
      </c>
      <c r="J2375" t="s">
        <v>15</v>
      </c>
      <c r="K2375">
        <v>3</v>
      </c>
      <c r="L2375">
        <v>2.94</v>
      </c>
      <c r="M2375">
        <v>0</v>
      </c>
      <c r="N2375" t="s">
        <v>10017</v>
      </c>
      <c r="O2375" t="str">
        <f>HYPERLINK("3\0\marker_246_961829.png", "Ver Imagen")</f>
        <v>Ver Imagen</v>
      </c>
      <c r="P2375" t="str">
        <f>HYPERLINK("SE\A-5052\A-5052__357.png", "Ver Imagen")</f>
        <v>Ver Imagen</v>
      </c>
    </row>
    <row r="2376" spans="1:16" x14ac:dyDescent="0.25">
      <c r="A2376">
        <v>1847</v>
      </c>
      <c r="B2376" t="s">
        <v>3707</v>
      </c>
      <c r="C2376">
        <v>37.208520395999997</v>
      </c>
      <c r="D2376">
        <v>-7.0378809820099999</v>
      </c>
      <c r="E2376">
        <v>3</v>
      </c>
      <c r="F2376">
        <v>3</v>
      </c>
      <c r="G2376">
        <v>3</v>
      </c>
      <c r="J2376" t="s">
        <v>15</v>
      </c>
      <c r="K2376">
        <v>3</v>
      </c>
      <c r="L2376">
        <v>2.806</v>
      </c>
      <c r="M2376">
        <v>0</v>
      </c>
      <c r="N2376" t="s">
        <v>10018</v>
      </c>
      <c r="O2376" t="str">
        <f>HYPERLINK("3\0\marker_686_961840.png", "Ver Imagen")</f>
        <v>Ver Imagen</v>
      </c>
      <c r="P2376" t="str">
        <f>HYPERLINK("SE\A-5052\A-5052__358.png", "Ver Imagen")</f>
        <v>Ver Imagen</v>
      </c>
    </row>
    <row r="2377" spans="1:16" x14ac:dyDescent="0.25">
      <c r="A2377">
        <v>1848</v>
      </c>
      <c r="B2377" t="s">
        <v>3709</v>
      </c>
      <c r="C2377">
        <v>37.2084551361</v>
      </c>
      <c r="D2377">
        <v>-7.0377109941200002</v>
      </c>
      <c r="E2377">
        <v>3</v>
      </c>
      <c r="F2377">
        <v>3</v>
      </c>
      <c r="G2377">
        <v>3</v>
      </c>
      <c r="J2377" t="s">
        <v>15</v>
      </c>
      <c r="K2377">
        <v>3</v>
      </c>
      <c r="L2377">
        <v>3.1539999999999999</v>
      </c>
      <c r="M2377">
        <v>0</v>
      </c>
      <c r="N2377" t="s">
        <v>10019</v>
      </c>
      <c r="O2377" t="str">
        <f>HYPERLINK("3\0\marker_488_961849.png", "Ver Imagen")</f>
        <v>Ver Imagen</v>
      </c>
      <c r="P2377" t="str">
        <f>HYPERLINK("SE\A-5052\A-5052__359.png", "Ver Imagen")</f>
        <v>Ver Imagen</v>
      </c>
    </row>
    <row r="2378" spans="1:16" x14ac:dyDescent="0.25">
      <c r="A2378">
        <v>1849</v>
      </c>
      <c r="B2378" t="s">
        <v>3711</v>
      </c>
      <c r="C2378">
        <v>37.207477679299998</v>
      </c>
      <c r="D2378">
        <v>-7.0351751927999997</v>
      </c>
      <c r="E2378">
        <v>3</v>
      </c>
      <c r="F2378">
        <v>3</v>
      </c>
      <c r="G2378">
        <v>3</v>
      </c>
      <c r="J2378" t="s">
        <v>15</v>
      </c>
      <c r="K2378">
        <v>3</v>
      </c>
      <c r="L2378">
        <v>3.0270000000000001</v>
      </c>
      <c r="M2378">
        <v>0</v>
      </c>
      <c r="N2378" t="s">
        <v>10019</v>
      </c>
      <c r="O2378" t="str">
        <f>HYPERLINK("3\0\marker_501_962294.png", "Ver Imagen")</f>
        <v>Ver Imagen</v>
      </c>
      <c r="P2378" t="str">
        <f>HYPERLINK("SE\A-5052\A-5052__370.png", "Ver Imagen")</f>
        <v>Ver Imagen</v>
      </c>
    </row>
    <row r="2379" spans="1:16" x14ac:dyDescent="0.25">
      <c r="A2379">
        <v>1850</v>
      </c>
      <c r="B2379" t="s">
        <v>3713</v>
      </c>
      <c r="C2379">
        <v>37.206515330000002</v>
      </c>
      <c r="D2379">
        <v>-7.0326769420300002</v>
      </c>
      <c r="E2379">
        <v>3</v>
      </c>
      <c r="F2379">
        <v>3</v>
      </c>
      <c r="G2379">
        <v>3</v>
      </c>
      <c r="J2379" t="s">
        <v>15</v>
      </c>
      <c r="K2379">
        <v>3</v>
      </c>
      <c r="L2379">
        <v>2.9990000000000001</v>
      </c>
      <c r="M2379">
        <v>0</v>
      </c>
      <c r="N2379" t="s">
        <v>10019</v>
      </c>
      <c r="O2379" t="str">
        <f>HYPERLINK("3\0\marker_125_962486.png", "Ver Imagen")</f>
        <v>Ver Imagen</v>
      </c>
      <c r="P2379" t="str">
        <f>HYPERLINK("SE\A-5052\A-5052__381.png", "Ver Imagen")</f>
        <v>Ver Imagen</v>
      </c>
    </row>
    <row r="2380" spans="1:16" x14ac:dyDescent="0.25">
      <c r="A2380">
        <v>1851</v>
      </c>
      <c r="B2380" t="s">
        <v>3715</v>
      </c>
      <c r="C2380">
        <v>37.206250733300003</v>
      </c>
      <c r="D2380">
        <v>-7.0319987419399999</v>
      </c>
      <c r="E2380">
        <v>3</v>
      </c>
      <c r="F2380">
        <v>3</v>
      </c>
      <c r="G2380">
        <v>3</v>
      </c>
      <c r="J2380" t="s">
        <v>15</v>
      </c>
      <c r="K2380">
        <v>3</v>
      </c>
      <c r="L2380">
        <v>3.14</v>
      </c>
      <c r="M2380">
        <v>0</v>
      </c>
      <c r="N2380" t="s">
        <v>10019</v>
      </c>
      <c r="O2380" t="str">
        <f>HYPERLINK("3\0\marker_857_962520.png", "Ver Imagen")</f>
        <v>Ver Imagen</v>
      </c>
      <c r="P2380" t="str">
        <f>HYPERLINK("SE\A-5052\A-5052__384.png", "Ver Imagen")</f>
        <v>Ver Imagen</v>
      </c>
    </row>
    <row r="2381" spans="1:16" x14ac:dyDescent="0.25">
      <c r="A2381">
        <v>1852</v>
      </c>
      <c r="B2381" t="s">
        <v>3717</v>
      </c>
      <c r="C2381">
        <v>37.205629258599998</v>
      </c>
      <c r="D2381">
        <v>-7.0303817123199996</v>
      </c>
      <c r="E2381">
        <v>3</v>
      </c>
      <c r="F2381">
        <v>3</v>
      </c>
      <c r="G2381">
        <v>3</v>
      </c>
      <c r="J2381" t="s">
        <v>15</v>
      </c>
      <c r="K2381">
        <v>3</v>
      </c>
      <c r="L2381">
        <v>2.86</v>
      </c>
      <c r="M2381">
        <v>0</v>
      </c>
      <c r="N2381" t="s">
        <v>10019</v>
      </c>
      <c r="O2381" t="str">
        <f>HYPERLINK("3\0\marker_384_962587.png", "Ver Imagen")</f>
        <v>Ver Imagen</v>
      </c>
      <c r="P2381" t="str">
        <f>HYPERLINK("SE\A-5052\A-5052__391.png", "Ver Imagen")</f>
        <v>Ver Imagen</v>
      </c>
    </row>
    <row r="2382" spans="1:16" x14ac:dyDescent="0.25">
      <c r="A2382">
        <v>1853</v>
      </c>
      <c r="B2382" t="s">
        <v>3719</v>
      </c>
      <c r="C2382">
        <v>37.205287534199996</v>
      </c>
      <c r="D2382">
        <v>-7.0294775778299998</v>
      </c>
      <c r="E2382">
        <v>3</v>
      </c>
      <c r="F2382">
        <v>3</v>
      </c>
      <c r="G2382">
        <v>3</v>
      </c>
      <c r="J2382" t="s">
        <v>15</v>
      </c>
      <c r="K2382">
        <v>3</v>
      </c>
      <c r="L2382">
        <v>2.7469999999999999</v>
      </c>
      <c r="M2382">
        <v>0</v>
      </c>
      <c r="N2382" t="s">
        <v>10019</v>
      </c>
      <c r="O2382" t="str">
        <f>HYPERLINK("3\0\marker_261_962621.png", "Ver Imagen")</f>
        <v>Ver Imagen</v>
      </c>
      <c r="P2382" t="str">
        <f>HYPERLINK("SE\A-5052\A-5052__395.png", "Ver Imagen")</f>
        <v>Ver Imagen</v>
      </c>
    </row>
    <row r="2383" spans="1:16" x14ac:dyDescent="0.25">
      <c r="A2383">
        <v>1854</v>
      </c>
      <c r="B2383" t="s">
        <v>3721</v>
      </c>
      <c r="C2383">
        <v>37.205031251400001</v>
      </c>
      <c r="D2383">
        <v>-7.0288209905999999</v>
      </c>
      <c r="E2383">
        <v>3</v>
      </c>
      <c r="F2383">
        <v>3</v>
      </c>
      <c r="G2383">
        <v>3</v>
      </c>
      <c r="J2383" t="s">
        <v>15</v>
      </c>
      <c r="K2383">
        <v>3</v>
      </c>
      <c r="L2383">
        <v>2.8780000000000001</v>
      </c>
      <c r="M2383">
        <v>0</v>
      </c>
      <c r="N2383" t="s">
        <v>10019</v>
      </c>
      <c r="O2383" t="str">
        <f>HYPERLINK("3\0\marker_841_962647.png", "Ver Imagen")</f>
        <v>Ver Imagen</v>
      </c>
      <c r="P2383" t="str">
        <f>HYPERLINK("SE\A-5052\A-5052__398.png", "Ver Imagen")</f>
        <v>Ver Imagen</v>
      </c>
    </row>
    <row r="2384" spans="1:16" x14ac:dyDescent="0.25">
      <c r="A2384">
        <v>1855</v>
      </c>
      <c r="B2384" t="s">
        <v>3723</v>
      </c>
      <c r="C2384">
        <v>37.204926744399998</v>
      </c>
      <c r="D2384">
        <v>-7.0285868060599999</v>
      </c>
      <c r="E2384">
        <v>3</v>
      </c>
      <c r="F2384">
        <v>3</v>
      </c>
      <c r="G2384">
        <v>3</v>
      </c>
      <c r="J2384" t="s">
        <v>15</v>
      </c>
      <c r="K2384">
        <v>3</v>
      </c>
      <c r="L2384">
        <v>3.1459999999999999</v>
      </c>
      <c r="M2384">
        <v>0</v>
      </c>
      <c r="N2384" t="s">
        <v>10019</v>
      </c>
      <c r="O2384" t="str">
        <f>HYPERLINK("3\0\marker_424_962656.png", "Ver Imagen")</f>
        <v>Ver Imagen</v>
      </c>
      <c r="P2384" t="str">
        <f>HYPERLINK("SE\A-5052\A-5052__399.png", "Ver Imagen")</f>
        <v>Ver Imagen</v>
      </c>
    </row>
    <row r="2385" spans="1:16" x14ac:dyDescent="0.25">
      <c r="A2385">
        <v>1856</v>
      </c>
      <c r="B2385" t="s">
        <v>3725</v>
      </c>
      <c r="C2385">
        <v>37.204314715499997</v>
      </c>
      <c r="D2385">
        <v>-7.0272675982299999</v>
      </c>
      <c r="E2385">
        <v>3</v>
      </c>
      <c r="F2385">
        <v>3</v>
      </c>
      <c r="G2385">
        <v>3</v>
      </c>
      <c r="J2385" t="s">
        <v>15</v>
      </c>
      <c r="K2385">
        <v>3</v>
      </c>
      <c r="L2385">
        <v>2.7360000000000002</v>
      </c>
      <c r="M2385">
        <v>0</v>
      </c>
      <c r="N2385" t="s">
        <v>10019</v>
      </c>
      <c r="O2385" t="str">
        <f>HYPERLINK("3\0\marker_309_962720.png", "Ver Imagen")</f>
        <v>Ver Imagen</v>
      </c>
      <c r="P2385" t="str">
        <f>HYPERLINK("SE\A-5052\A-5052__405.png", "Ver Imagen")</f>
        <v>Ver Imagen</v>
      </c>
    </row>
    <row r="2386" spans="1:16" x14ac:dyDescent="0.25">
      <c r="A2386">
        <v>1857</v>
      </c>
      <c r="B2386" t="s">
        <v>3727</v>
      </c>
      <c r="C2386">
        <v>37.204268064600001</v>
      </c>
      <c r="D2386">
        <v>-7.0270488588999998</v>
      </c>
      <c r="E2386">
        <v>3</v>
      </c>
      <c r="F2386">
        <v>3</v>
      </c>
      <c r="G2386">
        <v>3</v>
      </c>
      <c r="J2386" t="s">
        <v>15</v>
      </c>
      <c r="K2386">
        <v>3</v>
      </c>
      <c r="L2386">
        <v>2.7679999999999998</v>
      </c>
      <c r="M2386">
        <v>0</v>
      </c>
      <c r="N2386" t="s">
        <v>10019</v>
      </c>
      <c r="O2386" t="str">
        <f>HYPERLINK("3\0\marker_501_962729.png", "Ver Imagen")</f>
        <v>Ver Imagen</v>
      </c>
      <c r="P2386" t="str">
        <f>HYPERLINK("SE\A-5052\A-5052__406.png", "Ver Imagen")</f>
        <v>Ver Imagen</v>
      </c>
    </row>
    <row r="2387" spans="1:16" x14ac:dyDescent="0.25">
      <c r="A2387">
        <v>1858</v>
      </c>
      <c r="B2387" t="s">
        <v>3729</v>
      </c>
      <c r="C2387">
        <v>37.2796250257</v>
      </c>
      <c r="D2387">
        <v>-7.1451922426100003</v>
      </c>
      <c r="E2387">
        <v>3</v>
      </c>
      <c r="F2387">
        <v>3</v>
      </c>
      <c r="G2387">
        <v>3</v>
      </c>
      <c r="J2387" t="s">
        <v>15</v>
      </c>
      <c r="K2387">
        <v>3</v>
      </c>
      <c r="L2387">
        <v>3.367</v>
      </c>
      <c r="M2387">
        <v>0</v>
      </c>
      <c r="N2387" t="s">
        <v>10017</v>
      </c>
      <c r="O2387" t="str">
        <f>HYPERLINK("3\0\marker_855_964477.png", "Ver Imagen")</f>
        <v>Ver Imagen</v>
      </c>
      <c r="P2387" t="str">
        <f>HYPERLINK("SO\A-5053\A-5053__329.png", "Ver Imagen")</f>
        <v>Ver Imagen</v>
      </c>
    </row>
    <row r="2388" spans="1:16" x14ac:dyDescent="0.25">
      <c r="A2388">
        <v>1859</v>
      </c>
      <c r="B2388" t="s">
        <v>3731</v>
      </c>
      <c r="C2388">
        <v>37.279301102799998</v>
      </c>
      <c r="D2388">
        <v>-7.1448532373200004</v>
      </c>
      <c r="E2388">
        <v>3</v>
      </c>
      <c r="F2388">
        <v>3</v>
      </c>
      <c r="G2388">
        <v>3</v>
      </c>
      <c r="J2388" t="s">
        <v>15</v>
      </c>
      <c r="K2388">
        <v>3</v>
      </c>
      <c r="L2388">
        <v>2.903</v>
      </c>
      <c r="M2388">
        <v>0</v>
      </c>
      <c r="N2388" t="s">
        <v>10019</v>
      </c>
      <c r="O2388" t="str">
        <f>HYPERLINK("3\0\marker_754_964497.png", "Ver Imagen")</f>
        <v>Ver Imagen</v>
      </c>
      <c r="P2388" t="str">
        <f>HYPERLINK("SO\A-5053\A-5053__327.png", "Ver Imagen")</f>
        <v>Ver Imagen</v>
      </c>
    </row>
    <row r="2389" spans="1:16" x14ac:dyDescent="0.25">
      <c r="A2389">
        <v>1860</v>
      </c>
      <c r="B2389" t="s">
        <v>3733</v>
      </c>
      <c r="C2389">
        <v>37.279128983500001</v>
      </c>
      <c r="D2389">
        <v>-7.1447113795200003</v>
      </c>
      <c r="E2389">
        <v>3</v>
      </c>
      <c r="F2389">
        <v>3</v>
      </c>
      <c r="G2389">
        <v>3</v>
      </c>
      <c r="J2389" t="s">
        <v>15</v>
      </c>
      <c r="K2389">
        <v>3</v>
      </c>
      <c r="L2389">
        <v>3.032</v>
      </c>
      <c r="M2389">
        <v>0</v>
      </c>
      <c r="N2389" t="s">
        <v>10019</v>
      </c>
      <c r="O2389" t="str">
        <f>HYPERLINK("3\0\marker_798_964507.png", "Ver Imagen")</f>
        <v>Ver Imagen</v>
      </c>
      <c r="P2389" t="str">
        <f>HYPERLINK("SO\A-5053\A-5053__326.png", "Ver Imagen")</f>
        <v>Ver Imagen</v>
      </c>
    </row>
    <row r="2390" spans="1:16" x14ac:dyDescent="0.25">
      <c r="A2390">
        <v>1861</v>
      </c>
      <c r="B2390" t="s">
        <v>3735</v>
      </c>
      <c r="C2390">
        <v>37.277370772600001</v>
      </c>
      <c r="D2390">
        <v>-7.1434310851899996</v>
      </c>
      <c r="E2390">
        <v>3</v>
      </c>
      <c r="F2390">
        <v>3</v>
      </c>
      <c r="G2390">
        <v>3</v>
      </c>
      <c r="J2390" t="s">
        <v>15</v>
      </c>
      <c r="K2390">
        <v>3</v>
      </c>
      <c r="L2390">
        <v>2.69</v>
      </c>
      <c r="M2390">
        <v>0</v>
      </c>
      <c r="N2390" t="s">
        <v>10019</v>
      </c>
      <c r="O2390" t="str">
        <f>HYPERLINK("3\0\marker_471_964618.png", "Ver Imagen")</f>
        <v>Ver Imagen</v>
      </c>
      <c r="P2390" t="str">
        <f>HYPERLINK("SO\A-5053\A-5053__316.png", "Ver Imagen")</f>
        <v>Ver Imagen</v>
      </c>
    </row>
    <row r="2391" spans="1:16" x14ac:dyDescent="0.25">
      <c r="A2391">
        <v>1862</v>
      </c>
      <c r="B2391" t="s">
        <v>3737</v>
      </c>
      <c r="C2391">
        <v>37.274645709200001</v>
      </c>
      <c r="D2391">
        <v>-7.1425089849700001</v>
      </c>
      <c r="E2391">
        <v>3</v>
      </c>
      <c r="F2391">
        <v>3</v>
      </c>
      <c r="G2391">
        <v>3</v>
      </c>
      <c r="J2391" t="s">
        <v>15</v>
      </c>
      <c r="K2391">
        <v>3</v>
      </c>
      <c r="L2391">
        <v>2.7839999999999998</v>
      </c>
      <c r="M2391">
        <v>0</v>
      </c>
      <c r="N2391" t="s">
        <v>10019</v>
      </c>
      <c r="O2391" t="str">
        <f>HYPERLINK("3\0\marker_480_964752.png", "Ver Imagen")</f>
        <v>Ver Imagen</v>
      </c>
      <c r="P2391" t="str">
        <f>HYPERLINK("SO\A-5053\A-5053__302.png", "Ver Imagen")</f>
        <v>Ver Imagen</v>
      </c>
    </row>
    <row r="2392" spans="1:16" x14ac:dyDescent="0.25">
      <c r="A2392">
        <v>1863</v>
      </c>
      <c r="B2392" t="s">
        <v>3739</v>
      </c>
      <c r="C2392">
        <v>37.274089761299997</v>
      </c>
      <c r="D2392">
        <v>-7.1422622760200003</v>
      </c>
      <c r="E2392">
        <v>3</v>
      </c>
      <c r="F2392">
        <v>3</v>
      </c>
      <c r="G2392">
        <v>3</v>
      </c>
      <c r="J2392" t="s">
        <v>15</v>
      </c>
      <c r="K2392">
        <v>3</v>
      </c>
      <c r="L2392">
        <v>2.9289999999999998</v>
      </c>
      <c r="M2392">
        <v>0</v>
      </c>
      <c r="N2392" t="s">
        <v>10019</v>
      </c>
      <c r="O2392" t="str">
        <f>HYPERLINK("3\0\marker_317_964874.png", "Ver Imagen")</f>
        <v>Ver Imagen</v>
      </c>
      <c r="P2392" t="str">
        <f>HYPERLINK("SO\A-5053\A-5053__299.png", "Ver Imagen")</f>
        <v>Ver Imagen</v>
      </c>
    </row>
    <row r="2393" spans="1:16" x14ac:dyDescent="0.25">
      <c r="A2393">
        <v>1864</v>
      </c>
      <c r="B2393" t="s">
        <v>3741</v>
      </c>
      <c r="C2393">
        <v>37.273133466200001</v>
      </c>
      <c r="D2393">
        <v>-7.1418444651500002</v>
      </c>
      <c r="E2393">
        <v>3</v>
      </c>
      <c r="F2393">
        <v>3</v>
      </c>
      <c r="G2393">
        <v>3</v>
      </c>
      <c r="J2393" t="s">
        <v>15</v>
      </c>
      <c r="K2393">
        <v>3</v>
      </c>
      <c r="L2393">
        <v>3.0880000000000001</v>
      </c>
      <c r="M2393">
        <v>0</v>
      </c>
      <c r="N2393" t="s">
        <v>10019</v>
      </c>
      <c r="O2393" t="str">
        <f>HYPERLINK("3\0\marker_592_964922.png", "Ver Imagen")</f>
        <v>Ver Imagen</v>
      </c>
      <c r="P2393" t="str">
        <f>HYPERLINK("SO\A-5053\A-5053__294.png", "Ver Imagen")</f>
        <v>Ver Imagen</v>
      </c>
    </row>
    <row r="2394" spans="1:16" x14ac:dyDescent="0.25">
      <c r="A2394">
        <v>1865</v>
      </c>
      <c r="B2394" t="s">
        <v>3743</v>
      </c>
      <c r="C2394">
        <v>37.270696330900002</v>
      </c>
      <c r="D2394">
        <v>-7.1400740661900004</v>
      </c>
      <c r="E2394">
        <v>3</v>
      </c>
      <c r="F2394">
        <v>3</v>
      </c>
      <c r="G2394">
        <v>3</v>
      </c>
      <c r="J2394" t="s">
        <v>15</v>
      </c>
      <c r="K2394">
        <v>3</v>
      </c>
      <c r="L2394">
        <v>3.073</v>
      </c>
      <c r="M2394">
        <v>0</v>
      </c>
      <c r="N2394" t="s">
        <v>10019</v>
      </c>
      <c r="O2394" t="str">
        <f>HYPERLINK("3\0\marker_694_965060.png", "Ver Imagen")</f>
        <v>Ver Imagen</v>
      </c>
      <c r="P2394" t="str">
        <f>HYPERLINK("SO\A-5053\A-5053__280.png", "Ver Imagen")</f>
        <v>Ver Imagen</v>
      </c>
    </row>
    <row r="2395" spans="1:16" x14ac:dyDescent="0.25">
      <c r="A2395">
        <v>1867</v>
      </c>
      <c r="B2395" t="s">
        <v>3747</v>
      </c>
      <c r="C2395">
        <v>37.2690811489</v>
      </c>
      <c r="D2395">
        <v>-7.1385748445199999</v>
      </c>
      <c r="E2395">
        <v>3</v>
      </c>
      <c r="F2395">
        <v>3</v>
      </c>
      <c r="G2395">
        <v>3</v>
      </c>
      <c r="J2395" t="s">
        <v>15</v>
      </c>
      <c r="K2395">
        <v>3</v>
      </c>
      <c r="L2395">
        <v>3.14</v>
      </c>
      <c r="M2395">
        <v>0</v>
      </c>
      <c r="N2395" t="s">
        <v>10019</v>
      </c>
      <c r="O2395" t="str">
        <f>HYPERLINK("3\0\marker_567_965147.png", "Ver Imagen")</f>
        <v>Ver Imagen</v>
      </c>
      <c r="P2395" t="str">
        <f>HYPERLINK("SO\A-5053\A-5053__270.png", "Ver Imagen")</f>
        <v>Ver Imagen</v>
      </c>
    </row>
    <row r="2396" spans="1:16" x14ac:dyDescent="0.25">
      <c r="A2396">
        <v>1868</v>
      </c>
      <c r="B2396" t="s">
        <v>3749</v>
      </c>
      <c r="C2396">
        <v>37.268879803300003</v>
      </c>
      <c r="D2396">
        <v>-7.1381698307799999</v>
      </c>
      <c r="E2396">
        <v>3</v>
      </c>
      <c r="F2396">
        <v>3</v>
      </c>
      <c r="G2396">
        <v>3</v>
      </c>
      <c r="J2396" t="s">
        <v>15</v>
      </c>
      <c r="K2396">
        <v>3</v>
      </c>
      <c r="L2396">
        <v>2.8959999999999999</v>
      </c>
      <c r="M2396">
        <v>0</v>
      </c>
      <c r="N2396" t="s">
        <v>10019</v>
      </c>
      <c r="O2396" t="str">
        <f>HYPERLINK("3\0\marker_173_965164.png", "Ver Imagen")</f>
        <v>Ver Imagen</v>
      </c>
      <c r="P2396" t="str">
        <f>HYPERLINK("SO\A-5053\A-5053__268.png", "Ver Imagen")</f>
        <v>Ver Imagen</v>
      </c>
    </row>
    <row r="2397" spans="1:16" x14ac:dyDescent="0.25">
      <c r="A2397">
        <v>1869</v>
      </c>
      <c r="B2397" t="s">
        <v>3751</v>
      </c>
      <c r="C2397">
        <v>37.267462541999997</v>
      </c>
      <c r="D2397">
        <v>-7.1339993929499999</v>
      </c>
      <c r="E2397">
        <v>3</v>
      </c>
      <c r="F2397">
        <v>3</v>
      </c>
      <c r="G2397">
        <v>3</v>
      </c>
      <c r="J2397" t="s">
        <v>15</v>
      </c>
      <c r="K2397">
        <v>3</v>
      </c>
      <c r="L2397">
        <v>3.1640000000000001</v>
      </c>
      <c r="M2397">
        <v>0</v>
      </c>
      <c r="N2397" t="s">
        <v>10019</v>
      </c>
      <c r="O2397" t="str">
        <f>HYPERLINK("3\0\marker_390_965350.png", "Ver Imagen")</f>
        <v>Ver Imagen</v>
      </c>
      <c r="P2397" t="str">
        <f>HYPERLINK("SO\A-5053\A-5053__250.png", "Ver Imagen")</f>
        <v>Ver Imagen</v>
      </c>
    </row>
    <row r="2398" spans="1:16" x14ac:dyDescent="0.25">
      <c r="A2398">
        <v>1871</v>
      </c>
      <c r="B2398" t="s">
        <v>3755</v>
      </c>
      <c r="C2398">
        <v>37.266803640100001</v>
      </c>
      <c r="D2398">
        <v>-7.1333767577499998</v>
      </c>
      <c r="E2398">
        <v>3</v>
      </c>
      <c r="F2398">
        <v>3</v>
      </c>
      <c r="G2398">
        <v>3</v>
      </c>
      <c r="J2398" t="s">
        <v>15</v>
      </c>
      <c r="K2398">
        <v>3</v>
      </c>
      <c r="L2398">
        <v>3.09</v>
      </c>
      <c r="M2398">
        <v>0</v>
      </c>
      <c r="N2398" t="s">
        <v>10019</v>
      </c>
      <c r="O2398" t="str">
        <f>HYPERLINK("3\0\marker_199_965447.png", "Ver Imagen")</f>
        <v>Ver Imagen</v>
      </c>
      <c r="P2398" t="str">
        <f>HYPERLINK("SO\A-5053\A-5053__246.png", "Ver Imagen")</f>
        <v>Ver Imagen</v>
      </c>
    </row>
    <row r="2399" spans="1:16" x14ac:dyDescent="0.25">
      <c r="A2399">
        <v>1872</v>
      </c>
      <c r="B2399" t="s">
        <v>3757</v>
      </c>
      <c r="C2399">
        <v>37.266120987000001</v>
      </c>
      <c r="D2399">
        <v>-7.1329287527199998</v>
      </c>
      <c r="E2399">
        <v>3</v>
      </c>
      <c r="F2399">
        <v>3</v>
      </c>
      <c r="G2399">
        <v>3</v>
      </c>
      <c r="J2399" t="s">
        <v>15</v>
      </c>
      <c r="K2399">
        <v>3</v>
      </c>
      <c r="L2399">
        <v>2.7989999999999999</v>
      </c>
      <c r="M2399">
        <v>0</v>
      </c>
      <c r="N2399" t="s">
        <v>10019</v>
      </c>
      <c r="O2399" t="str">
        <f>HYPERLINK("3\0\marker_234_965481.png", "Ver Imagen")</f>
        <v>Ver Imagen</v>
      </c>
      <c r="P2399" t="str">
        <f>HYPERLINK("SO\A-5053\A-5053__242.png", "Ver Imagen")</f>
        <v>Ver Imagen</v>
      </c>
    </row>
    <row r="2400" spans="1:16" x14ac:dyDescent="0.25">
      <c r="A2400">
        <v>1873</v>
      </c>
      <c r="B2400" t="s">
        <v>3759</v>
      </c>
      <c r="C2400">
        <v>37.265186246600003</v>
      </c>
      <c r="D2400">
        <v>-7.1323377449300001</v>
      </c>
      <c r="E2400">
        <v>3</v>
      </c>
      <c r="F2400">
        <v>3</v>
      </c>
      <c r="G2400">
        <v>3</v>
      </c>
      <c r="J2400" t="s">
        <v>15</v>
      </c>
      <c r="K2400">
        <v>3</v>
      </c>
      <c r="L2400">
        <v>3.1190000000000002</v>
      </c>
      <c r="M2400">
        <v>0</v>
      </c>
      <c r="N2400" t="s">
        <v>10019</v>
      </c>
      <c r="O2400" t="str">
        <f>HYPERLINK("3\0\marker_227_965527.png", "Ver Imagen")</f>
        <v>Ver Imagen</v>
      </c>
      <c r="P2400" t="str">
        <f>HYPERLINK("SO\A-5053\A-5053__237.png", "Ver Imagen")</f>
        <v>Ver Imagen</v>
      </c>
    </row>
    <row r="2401" spans="1:16" x14ac:dyDescent="0.25">
      <c r="A2401">
        <v>1874</v>
      </c>
      <c r="B2401" t="s">
        <v>3761</v>
      </c>
      <c r="C2401">
        <v>37.265001174399998</v>
      </c>
      <c r="D2401">
        <v>-7.1322204549599997</v>
      </c>
      <c r="E2401">
        <v>3</v>
      </c>
      <c r="F2401">
        <v>3</v>
      </c>
      <c r="G2401">
        <v>3</v>
      </c>
      <c r="J2401" t="s">
        <v>15</v>
      </c>
      <c r="K2401">
        <v>3</v>
      </c>
      <c r="L2401">
        <v>2.8410000000000002</v>
      </c>
      <c r="M2401">
        <v>0</v>
      </c>
      <c r="N2401" t="s">
        <v>10019</v>
      </c>
      <c r="O2401" t="str">
        <f>HYPERLINK("3\0\marker_122_965537.png", "Ver Imagen")</f>
        <v>Ver Imagen</v>
      </c>
      <c r="P2401" t="str">
        <f>HYPERLINK("SO\A-5053\A-5053__236.png", "Ver Imagen")</f>
        <v>Ver Imagen</v>
      </c>
    </row>
    <row r="2402" spans="1:16" x14ac:dyDescent="0.25">
      <c r="A2402">
        <v>1875</v>
      </c>
      <c r="B2402" t="s">
        <v>3763</v>
      </c>
      <c r="C2402">
        <v>37.261434309599998</v>
      </c>
      <c r="D2402">
        <v>-7.1299361442700002</v>
      </c>
      <c r="E2402">
        <v>3</v>
      </c>
      <c r="F2402">
        <v>3</v>
      </c>
      <c r="G2402">
        <v>3</v>
      </c>
      <c r="J2402" t="s">
        <v>15</v>
      </c>
      <c r="K2402">
        <v>3</v>
      </c>
      <c r="L2402">
        <v>3.0609999999999999</v>
      </c>
      <c r="M2402">
        <v>0</v>
      </c>
      <c r="N2402" t="s">
        <v>10019</v>
      </c>
      <c r="O2402" t="str">
        <f>HYPERLINK("3\0\marker_627_965728.png", "Ver Imagen")</f>
        <v>Ver Imagen</v>
      </c>
      <c r="P2402" t="str">
        <f>HYPERLINK("SO\A-5053\A-5053__216.png", "Ver Imagen")</f>
        <v>Ver Imagen</v>
      </c>
    </row>
    <row r="2403" spans="1:16" x14ac:dyDescent="0.25">
      <c r="A2403">
        <v>1876</v>
      </c>
      <c r="B2403" t="s">
        <v>3765</v>
      </c>
      <c r="C2403">
        <v>37.260345860800001</v>
      </c>
      <c r="D2403">
        <v>-7.1292473031799997</v>
      </c>
      <c r="E2403">
        <v>3</v>
      </c>
      <c r="F2403">
        <v>3</v>
      </c>
      <c r="G2403">
        <v>3</v>
      </c>
      <c r="J2403" t="s">
        <v>15</v>
      </c>
      <c r="K2403">
        <v>3</v>
      </c>
      <c r="L2403">
        <v>2.9239999999999999</v>
      </c>
      <c r="M2403">
        <v>0</v>
      </c>
      <c r="N2403" t="s">
        <v>10019</v>
      </c>
      <c r="O2403" t="str">
        <f>HYPERLINK("3\0\marker_101_965789.png", "Ver Imagen")</f>
        <v>Ver Imagen</v>
      </c>
      <c r="P2403" t="str">
        <f>HYPERLINK("SO\A-5053\A-5053__210.png", "Ver Imagen")</f>
        <v>Ver Imagen</v>
      </c>
    </row>
    <row r="2404" spans="1:16" x14ac:dyDescent="0.25">
      <c r="A2404">
        <v>1878</v>
      </c>
      <c r="B2404" t="s">
        <v>3769</v>
      </c>
      <c r="C2404">
        <v>37.258330603499999</v>
      </c>
      <c r="D2404">
        <v>-7.1280296780199999</v>
      </c>
      <c r="E2404">
        <v>3</v>
      </c>
      <c r="F2404">
        <v>3</v>
      </c>
      <c r="G2404">
        <v>3</v>
      </c>
      <c r="J2404" t="s">
        <v>15</v>
      </c>
      <c r="K2404">
        <v>3</v>
      </c>
      <c r="L2404">
        <v>2.9039999999999999</v>
      </c>
      <c r="M2404">
        <v>0</v>
      </c>
      <c r="N2404" t="s">
        <v>10019</v>
      </c>
      <c r="O2404" t="str">
        <f>HYPERLINK("3\0\marker_732_965894.png", "Ver Imagen")</f>
        <v>Ver Imagen</v>
      </c>
      <c r="P2404" t="str">
        <f>HYPERLINK("SO\A-5053\A-5053__199.png", "Ver Imagen")</f>
        <v>Ver Imagen</v>
      </c>
    </row>
    <row r="2405" spans="1:16" x14ac:dyDescent="0.25">
      <c r="A2405">
        <v>1879</v>
      </c>
      <c r="B2405" t="s">
        <v>3771</v>
      </c>
      <c r="C2405">
        <v>37.249506001199997</v>
      </c>
      <c r="D2405">
        <v>-7.1273555785899996</v>
      </c>
      <c r="E2405">
        <v>3</v>
      </c>
      <c r="F2405">
        <v>3</v>
      </c>
      <c r="G2405">
        <v>3</v>
      </c>
      <c r="J2405" t="s">
        <v>15</v>
      </c>
      <c r="K2405">
        <v>3</v>
      </c>
      <c r="L2405">
        <v>2.8769999999999998</v>
      </c>
      <c r="M2405">
        <v>0</v>
      </c>
      <c r="N2405" t="s">
        <v>10019</v>
      </c>
      <c r="O2405" t="str">
        <f>HYPERLINK("3\0\marker_446_966350.png", "Ver Imagen")</f>
        <v>Ver Imagen</v>
      </c>
      <c r="P2405" t="str">
        <f>HYPERLINK("SO\A-5053\A-5053__154.png", "Ver Imagen")</f>
        <v>Ver Imagen</v>
      </c>
    </row>
    <row r="2406" spans="1:16" x14ac:dyDescent="0.25">
      <c r="A2406">
        <v>1880</v>
      </c>
      <c r="B2406" t="s">
        <v>3773</v>
      </c>
      <c r="C2406">
        <v>37.248316133700001</v>
      </c>
      <c r="D2406">
        <v>-7.1275323121599996</v>
      </c>
      <c r="E2406">
        <v>3</v>
      </c>
      <c r="F2406">
        <v>3</v>
      </c>
      <c r="G2406">
        <v>3</v>
      </c>
      <c r="J2406" t="s">
        <v>15</v>
      </c>
      <c r="K2406">
        <v>3</v>
      </c>
      <c r="L2406">
        <v>3.1469999999999998</v>
      </c>
      <c r="M2406">
        <v>0</v>
      </c>
      <c r="N2406" t="s">
        <v>10019</v>
      </c>
      <c r="O2406" t="str">
        <f>HYPERLINK("3\0\marker_851_966407.png", "Ver Imagen")</f>
        <v>Ver Imagen</v>
      </c>
      <c r="P2406" t="str">
        <f>HYPERLINK("SO\A-5053\A-5053__148.png", "Ver Imagen")</f>
        <v>Ver Imagen</v>
      </c>
    </row>
    <row r="2407" spans="1:16" x14ac:dyDescent="0.25">
      <c r="A2407">
        <v>1881</v>
      </c>
      <c r="B2407" t="s">
        <v>3775</v>
      </c>
      <c r="C2407">
        <v>37.248077977999998</v>
      </c>
      <c r="D2407">
        <v>-7.1275670058699996</v>
      </c>
      <c r="E2407">
        <v>3</v>
      </c>
      <c r="F2407">
        <v>3</v>
      </c>
      <c r="G2407">
        <v>3</v>
      </c>
      <c r="J2407" t="s">
        <v>15</v>
      </c>
      <c r="K2407">
        <v>3</v>
      </c>
      <c r="L2407">
        <v>2.7759999999999998</v>
      </c>
      <c r="M2407">
        <v>0</v>
      </c>
      <c r="N2407" t="s">
        <v>10019</v>
      </c>
      <c r="O2407" t="str">
        <f>HYPERLINK("3\0\marker_195_966422.png", "Ver Imagen")</f>
        <v>Ver Imagen</v>
      </c>
      <c r="P2407" t="str">
        <f>HYPERLINK("SO\A-5053\A-5053__147.png", "Ver Imagen")</f>
        <v>Ver Imagen</v>
      </c>
    </row>
    <row r="2408" spans="1:16" x14ac:dyDescent="0.25">
      <c r="A2408">
        <v>1882</v>
      </c>
      <c r="B2408" t="s">
        <v>3777</v>
      </c>
      <c r="C2408">
        <v>37.2479030947</v>
      </c>
      <c r="D2408">
        <v>-7.1275931691799999</v>
      </c>
      <c r="E2408">
        <v>3</v>
      </c>
      <c r="F2408">
        <v>3</v>
      </c>
      <c r="G2408">
        <v>3</v>
      </c>
      <c r="J2408" t="s">
        <v>15</v>
      </c>
      <c r="K2408">
        <v>3</v>
      </c>
      <c r="L2408">
        <v>2.8330000000000002</v>
      </c>
      <c r="M2408">
        <v>0</v>
      </c>
      <c r="N2408" t="s">
        <v>10019</v>
      </c>
      <c r="O2408" t="str">
        <f>HYPERLINK("3\0\marker_724_966430.png", "Ver Imagen")</f>
        <v>Ver Imagen</v>
      </c>
      <c r="P2408" t="str">
        <f>HYPERLINK("SO\A-5053\A-5053__146.png", "Ver Imagen")</f>
        <v>Ver Imagen</v>
      </c>
    </row>
    <row r="2409" spans="1:16" x14ac:dyDescent="0.25">
      <c r="A2409">
        <v>1883</v>
      </c>
      <c r="B2409" t="s">
        <v>3779</v>
      </c>
      <c r="C2409">
        <v>37.247697545100003</v>
      </c>
      <c r="D2409">
        <v>-7.12762437575</v>
      </c>
      <c r="E2409">
        <v>3</v>
      </c>
      <c r="F2409">
        <v>3</v>
      </c>
      <c r="G2409">
        <v>3</v>
      </c>
      <c r="J2409" t="s">
        <v>15</v>
      </c>
      <c r="K2409">
        <v>3</v>
      </c>
      <c r="L2409">
        <v>2.9449999999999998</v>
      </c>
      <c r="M2409">
        <v>0</v>
      </c>
      <c r="N2409" t="s">
        <v>10019</v>
      </c>
      <c r="O2409" t="str">
        <f>HYPERLINK("3\0\marker_420_966439.png", "Ver Imagen")</f>
        <v>Ver Imagen</v>
      </c>
      <c r="P2409" t="str">
        <f>HYPERLINK("SO\A-5053\A-5053__145.png", "Ver Imagen")</f>
        <v>Ver Imagen</v>
      </c>
    </row>
    <row r="2410" spans="1:16" x14ac:dyDescent="0.25">
      <c r="A2410">
        <v>1884</v>
      </c>
      <c r="B2410" t="s">
        <v>3781</v>
      </c>
      <c r="C2410">
        <v>37.247484554899998</v>
      </c>
      <c r="D2410">
        <v>-7.1276561890799996</v>
      </c>
      <c r="E2410">
        <v>3</v>
      </c>
      <c r="F2410">
        <v>3</v>
      </c>
      <c r="G2410">
        <v>3</v>
      </c>
      <c r="J2410" t="s">
        <v>15</v>
      </c>
      <c r="K2410">
        <v>3</v>
      </c>
      <c r="L2410">
        <v>2.552</v>
      </c>
      <c r="M2410">
        <v>0</v>
      </c>
      <c r="N2410" t="s">
        <v>10019</v>
      </c>
      <c r="O2410" t="str">
        <f>HYPERLINK("3\0\marker_990_966448.png", "Ver Imagen")</f>
        <v>Ver Imagen</v>
      </c>
      <c r="P2410" t="str">
        <f>HYPERLINK("SO\A-5053\A-5053__144.png", "Ver Imagen")</f>
        <v>Ver Imagen</v>
      </c>
    </row>
    <row r="2411" spans="1:16" x14ac:dyDescent="0.25">
      <c r="A2411">
        <v>1885</v>
      </c>
      <c r="B2411" t="s">
        <v>3783</v>
      </c>
      <c r="C2411">
        <v>37.247112113500002</v>
      </c>
      <c r="D2411">
        <v>-7.1277096802399997</v>
      </c>
      <c r="E2411">
        <v>3</v>
      </c>
      <c r="F2411">
        <v>3</v>
      </c>
      <c r="G2411">
        <v>3</v>
      </c>
      <c r="J2411" t="s">
        <v>15</v>
      </c>
      <c r="K2411">
        <v>3</v>
      </c>
      <c r="L2411">
        <v>2.8530000000000002</v>
      </c>
      <c r="M2411">
        <v>0</v>
      </c>
      <c r="N2411" t="s">
        <v>10019</v>
      </c>
      <c r="O2411" t="str">
        <f>HYPERLINK("3\0\marker_266_966464.png", "Ver Imagen")</f>
        <v>Ver Imagen</v>
      </c>
      <c r="P2411" t="str">
        <f>HYPERLINK("SO\A-5053\A-5053__142.png", "Ver Imagen")</f>
        <v>Ver Imagen</v>
      </c>
    </row>
    <row r="2412" spans="1:16" x14ac:dyDescent="0.25">
      <c r="A2412">
        <v>1886</v>
      </c>
      <c r="B2412" t="s">
        <v>3785</v>
      </c>
      <c r="C2412">
        <v>37.246908574300001</v>
      </c>
      <c r="D2412">
        <v>-7.1277392875199999</v>
      </c>
      <c r="E2412">
        <v>3</v>
      </c>
      <c r="F2412">
        <v>3</v>
      </c>
      <c r="G2412">
        <v>3</v>
      </c>
      <c r="J2412" t="s">
        <v>15</v>
      </c>
      <c r="K2412">
        <v>3</v>
      </c>
      <c r="L2412">
        <v>2.657</v>
      </c>
      <c r="M2412">
        <v>0</v>
      </c>
      <c r="N2412" t="s">
        <v>10019</v>
      </c>
      <c r="O2412" t="str">
        <f>HYPERLINK("3\0\marker_401_966476.png", "Ver Imagen")</f>
        <v>Ver Imagen</v>
      </c>
      <c r="P2412" t="str">
        <f>HYPERLINK("SO\A-5053\A-5053__141.png", "Ver Imagen")</f>
        <v>Ver Imagen</v>
      </c>
    </row>
    <row r="2413" spans="1:16" x14ac:dyDescent="0.25">
      <c r="A2413">
        <v>1887</v>
      </c>
      <c r="B2413" t="s">
        <v>3787</v>
      </c>
      <c r="C2413">
        <v>37.226688356499999</v>
      </c>
      <c r="D2413">
        <v>-7.1262869725</v>
      </c>
      <c r="E2413">
        <v>3</v>
      </c>
      <c r="F2413">
        <v>3</v>
      </c>
      <c r="G2413">
        <v>3</v>
      </c>
      <c r="J2413" t="s">
        <v>15</v>
      </c>
      <c r="K2413">
        <v>3</v>
      </c>
      <c r="L2413">
        <v>2.8239999999999998</v>
      </c>
      <c r="M2413">
        <v>0</v>
      </c>
      <c r="N2413" t="s">
        <v>10019</v>
      </c>
      <c r="O2413" t="str">
        <f>HYPERLINK("3\0\marker_107_021715.png", "Ver Imagen")</f>
        <v>Ver Imagen</v>
      </c>
      <c r="P2413" t="str">
        <f>HYPERLINK("SO\A-5053\A-5053__40.png", "Ver Imagen")</f>
        <v>Ver Imagen</v>
      </c>
    </row>
    <row r="2414" spans="1:16" x14ac:dyDescent="0.25">
      <c r="A2414">
        <v>1888</v>
      </c>
      <c r="B2414" t="s">
        <v>3789</v>
      </c>
      <c r="C2414">
        <v>37.226490378999998</v>
      </c>
      <c r="D2414">
        <v>-7.1262269053900003</v>
      </c>
      <c r="E2414">
        <v>3</v>
      </c>
      <c r="F2414">
        <v>3</v>
      </c>
      <c r="G2414">
        <v>3</v>
      </c>
      <c r="J2414" t="s">
        <v>15</v>
      </c>
      <c r="K2414">
        <v>3</v>
      </c>
      <c r="L2414">
        <v>2.9849999999999999</v>
      </c>
      <c r="M2414">
        <v>0</v>
      </c>
      <c r="N2414" t="s">
        <v>10019</v>
      </c>
      <c r="O2414" t="str">
        <f>HYPERLINK("3\0\marker_825_021725.png", "Ver Imagen")</f>
        <v>Ver Imagen</v>
      </c>
      <c r="P2414" t="str">
        <f>HYPERLINK("SO\A-5053\A-5053__39.png", "Ver Imagen")</f>
        <v>Ver Imagen</v>
      </c>
    </row>
    <row r="2415" spans="1:16" x14ac:dyDescent="0.25">
      <c r="A2415">
        <v>1890</v>
      </c>
      <c r="B2415" t="s">
        <v>3793</v>
      </c>
      <c r="C2415">
        <v>37.225304034399997</v>
      </c>
      <c r="D2415">
        <v>-7.1258718163800001</v>
      </c>
      <c r="E2415">
        <v>3</v>
      </c>
      <c r="F2415">
        <v>3</v>
      </c>
      <c r="G2415">
        <v>3</v>
      </c>
      <c r="J2415" t="s">
        <v>15</v>
      </c>
      <c r="K2415">
        <v>3</v>
      </c>
      <c r="L2415">
        <v>2.714</v>
      </c>
      <c r="M2415">
        <v>0</v>
      </c>
      <c r="N2415" t="s">
        <v>10019</v>
      </c>
      <c r="O2415" t="str">
        <f>HYPERLINK("3\0\marker_805_021780.png", "Ver Imagen")</f>
        <v>Ver Imagen</v>
      </c>
      <c r="P2415" t="str">
        <f>HYPERLINK("SO\A-5053\A-5053__33.png", "Ver Imagen")</f>
        <v>Ver Imagen</v>
      </c>
    </row>
    <row r="2416" spans="1:16" x14ac:dyDescent="0.25">
      <c r="A2416">
        <v>1891</v>
      </c>
      <c r="B2416" t="s">
        <v>3795</v>
      </c>
      <c r="C2416">
        <v>37.225102245899997</v>
      </c>
      <c r="D2416">
        <v>-7.1258050504500003</v>
      </c>
      <c r="E2416">
        <v>3</v>
      </c>
      <c r="F2416">
        <v>3</v>
      </c>
      <c r="G2416">
        <v>3</v>
      </c>
      <c r="J2416" t="s">
        <v>15</v>
      </c>
      <c r="K2416">
        <v>3</v>
      </c>
      <c r="L2416">
        <v>2.8010000000000002</v>
      </c>
      <c r="M2416">
        <v>0</v>
      </c>
      <c r="N2416" t="s">
        <v>10019</v>
      </c>
      <c r="O2416" t="str">
        <f>HYPERLINK("3\0\marker_458_021789.png", "Ver Imagen")</f>
        <v>Ver Imagen</v>
      </c>
      <c r="P2416" t="str">
        <f>HYPERLINK("SO\A-5053\A-5053__32.png", "Ver Imagen")</f>
        <v>Ver Imagen</v>
      </c>
    </row>
    <row r="2417" spans="1:16" x14ac:dyDescent="0.25">
      <c r="A2417">
        <v>1892</v>
      </c>
      <c r="B2417" t="s">
        <v>3797</v>
      </c>
      <c r="C2417">
        <v>37.224923690700003</v>
      </c>
      <c r="D2417">
        <v>-7.12573594787</v>
      </c>
      <c r="E2417">
        <v>3</v>
      </c>
      <c r="F2417">
        <v>3</v>
      </c>
      <c r="G2417">
        <v>3</v>
      </c>
      <c r="J2417" t="s">
        <v>15</v>
      </c>
      <c r="K2417">
        <v>3</v>
      </c>
      <c r="L2417">
        <v>3.05</v>
      </c>
      <c r="M2417">
        <v>0</v>
      </c>
      <c r="N2417" t="s">
        <v>10019</v>
      </c>
      <c r="O2417" t="str">
        <f>HYPERLINK("3\0\marker_745_021799.png", "Ver Imagen")</f>
        <v>Ver Imagen</v>
      </c>
      <c r="P2417" t="str">
        <f>HYPERLINK("SO\A-5053\A-5053__31.png", "Ver Imagen")</f>
        <v>Ver Imagen</v>
      </c>
    </row>
    <row r="2418" spans="1:16" x14ac:dyDescent="0.25">
      <c r="A2418">
        <v>1893</v>
      </c>
      <c r="B2418" t="s">
        <v>3799</v>
      </c>
      <c r="C2418">
        <v>37.2247440959</v>
      </c>
      <c r="D2418">
        <v>-7.1256552472200001</v>
      </c>
      <c r="E2418">
        <v>3</v>
      </c>
      <c r="F2418">
        <v>3</v>
      </c>
      <c r="G2418">
        <v>3</v>
      </c>
      <c r="J2418" t="s">
        <v>15</v>
      </c>
      <c r="K2418">
        <v>3</v>
      </c>
      <c r="L2418">
        <v>2.8330000000000002</v>
      </c>
      <c r="M2418">
        <v>0</v>
      </c>
      <c r="N2418" t="s">
        <v>10019</v>
      </c>
      <c r="O2418" t="str">
        <f>HYPERLINK("3\0\marker_548_021809.png", "Ver Imagen")</f>
        <v>Ver Imagen</v>
      </c>
      <c r="P2418" t="str">
        <f>HYPERLINK("SO\A-5053\A-5053__30.png", "Ver Imagen")</f>
        <v>Ver Imagen</v>
      </c>
    </row>
    <row r="2419" spans="1:16" x14ac:dyDescent="0.25">
      <c r="A2419">
        <v>1894</v>
      </c>
      <c r="B2419" t="s">
        <v>3801</v>
      </c>
      <c r="C2419">
        <v>37.224167031999997</v>
      </c>
      <c r="D2419">
        <v>-7.1253592902199996</v>
      </c>
      <c r="E2419">
        <v>3</v>
      </c>
      <c r="F2419">
        <v>3</v>
      </c>
      <c r="G2419">
        <v>3</v>
      </c>
      <c r="J2419" t="s">
        <v>15</v>
      </c>
      <c r="K2419">
        <v>3</v>
      </c>
      <c r="L2419">
        <v>2.778</v>
      </c>
      <c r="M2419">
        <v>0</v>
      </c>
      <c r="N2419" t="s">
        <v>10018</v>
      </c>
      <c r="O2419" t="str">
        <f>HYPERLINK("3\0\marker_194_022304.png", "Ver Imagen")</f>
        <v>Ver Imagen</v>
      </c>
      <c r="P2419" t="str">
        <f>HYPERLINK("SO\A-5053\A-5053__27.png", "Ver Imagen")</f>
        <v>Ver Imagen</v>
      </c>
    </row>
    <row r="2420" spans="1:16" x14ac:dyDescent="0.25">
      <c r="A2420">
        <v>1895</v>
      </c>
      <c r="B2420" t="s">
        <v>3803</v>
      </c>
      <c r="C2420">
        <v>37.223586388800001</v>
      </c>
      <c r="D2420">
        <v>-7.1251365058599996</v>
      </c>
      <c r="E2420">
        <v>3</v>
      </c>
      <c r="F2420">
        <v>3</v>
      </c>
      <c r="G2420">
        <v>3</v>
      </c>
      <c r="J2420" t="s">
        <v>15</v>
      </c>
      <c r="K2420">
        <v>3</v>
      </c>
      <c r="L2420">
        <v>2.8170000000000002</v>
      </c>
      <c r="M2420">
        <v>0</v>
      </c>
      <c r="N2420" t="s">
        <v>10019</v>
      </c>
      <c r="O2420" t="str">
        <f>HYPERLINK("3\0\marker_753_022846.png", "Ver Imagen")</f>
        <v>Ver Imagen</v>
      </c>
      <c r="P2420" t="str">
        <f>HYPERLINK("SO\A-5053\A-5053__24.png", "Ver Imagen")</f>
        <v>Ver Imagen</v>
      </c>
    </row>
    <row r="2421" spans="1:16" x14ac:dyDescent="0.25">
      <c r="A2421">
        <v>1896</v>
      </c>
      <c r="B2421" t="s">
        <v>3805</v>
      </c>
      <c r="C2421">
        <v>37.221438167099997</v>
      </c>
      <c r="D2421">
        <v>-7.1254542258900004</v>
      </c>
      <c r="E2421">
        <v>3</v>
      </c>
      <c r="F2421">
        <v>3</v>
      </c>
      <c r="G2421">
        <v>3</v>
      </c>
      <c r="J2421" t="s">
        <v>15</v>
      </c>
      <c r="K2421">
        <v>3</v>
      </c>
      <c r="L2421">
        <v>2.7879999999999998</v>
      </c>
      <c r="M2421">
        <v>0</v>
      </c>
      <c r="N2421" t="s">
        <v>10019</v>
      </c>
      <c r="O2421" t="str">
        <f>HYPERLINK("3\0\marker_634_025072.png", "Ver Imagen")</f>
        <v>Ver Imagen</v>
      </c>
      <c r="P2421" t="str">
        <f>HYPERLINK("SO\A-5053\A-5053__13.png", "Ver Imagen")</f>
        <v>Ver Imagen</v>
      </c>
    </row>
    <row r="2422" spans="1:16" x14ac:dyDescent="0.25">
      <c r="A2422">
        <v>1897</v>
      </c>
      <c r="B2422" t="s">
        <v>3807</v>
      </c>
      <c r="C2422">
        <v>37.220720313699999</v>
      </c>
      <c r="D2422">
        <v>-7.1257456999600004</v>
      </c>
      <c r="E2422">
        <v>3</v>
      </c>
      <c r="F2422">
        <v>3</v>
      </c>
      <c r="G2422">
        <v>3</v>
      </c>
      <c r="J2422" t="s">
        <v>15</v>
      </c>
      <c r="K2422">
        <v>3</v>
      </c>
      <c r="L2422">
        <v>2.6539999999999999</v>
      </c>
      <c r="M2422">
        <v>0</v>
      </c>
      <c r="N2422" t="s">
        <v>10018</v>
      </c>
      <c r="O2422" t="str">
        <f>HYPERLINK("3\0\marker_326_025120.png", "Ver Imagen")</f>
        <v>Ver Imagen</v>
      </c>
      <c r="P2422" t="str">
        <f>HYPERLINK("SO\A-5053\A-5053__9.png", "Ver Imagen")</f>
        <v>Ver Imagen</v>
      </c>
    </row>
    <row r="2423" spans="1:16" x14ac:dyDescent="0.25">
      <c r="A2423">
        <v>1899</v>
      </c>
      <c r="B2423" t="s">
        <v>3811</v>
      </c>
      <c r="C2423">
        <v>37.219346074699999</v>
      </c>
      <c r="D2423">
        <v>-7.1259213373900003</v>
      </c>
      <c r="E2423">
        <v>3</v>
      </c>
      <c r="F2423">
        <v>3</v>
      </c>
      <c r="G2423">
        <v>3</v>
      </c>
      <c r="J2423" t="s">
        <v>15</v>
      </c>
      <c r="K2423">
        <v>3</v>
      </c>
      <c r="L2423">
        <v>2.6349999999999998</v>
      </c>
      <c r="M2423">
        <v>0</v>
      </c>
      <c r="N2423" t="s">
        <v>10019</v>
      </c>
      <c r="O2423" t="str">
        <f>HYPERLINK("3\0\marker_704_025197.png", "Ver Imagen")</f>
        <v>Ver Imagen</v>
      </c>
      <c r="P2423" t="str">
        <f>HYPERLINK("SO\A-5053\A-5053__2.png", "Ver Imagen")</f>
        <v>Ver Imagen</v>
      </c>
    </row>
    <row r="2424" spans="1:16" x14ac:dyDescent="0.25">
      <c r="A2424">
        <v>1900</v>
      </c>
      <c r="B2424" t="s">
        <v>3813</v>
      </c>
      <c r="C2424">
        <v>37.219129479899998</v>
      </c>
      <c r="D2424">
        <v>-7.1259918719200002</v>
      </c>
      <c r="E2424">
        <v>3</v>
      </c>
      <c r="F2424">
        <v>3</v>
      </c>
      <c r="G2424">
        <v>3</v>
      </c>
      <c r="J2424" t="s">
        <v>15</v>
      </c>
      <c r="K2424">
        <v>3</v>
      </c>
      <c r="L2424">
        <v>3.1360000000000001</v>
      </c>
      <c r="M2424">
        <v>0</v>
      </c>
      <c r="N2424" t="s">
        <v>10019</v>
      </c>
      <c r="O2424" t="str">
        <f>HYPERLINK("3\0\marker_969_025210.png", "Ver Imagen")</f>
        <v>Ver Imagen</v>
      </c>
      <c r="P2424" t="str">
        <f>HYPERLINK("SO\A-5053\A-5053__1.png", "Ver Imagen")</f>
        <v>Ver Imagen</v>
      </c>
    </row>
    <row r="2425" spans="1:16" x14ac:dyDescent="0.25">
      <c r="A2425">
        <v>1901</v>
      </c>
      <c r="B2425" t="s">
        <v>3815</v>
      </c>
      <c r="C2425">
        <v>37.443516652600003</v>
      </c>
      <c r="D2425">
        <v>-7.0958017661600001</v>
      </c>
      <c r="E2425">
        <v>3</v>
      </c>
      <c r="F2425">
        <v>3</v>
      </c>
      <c r="G2425">
        <v>3</v>
      </c>
      <c r="J2425" t="s">
        <v>15</v>
      </c>
      <c r="K2425">
        <v>3</v>
      </c>
      <c r="L2425">
        <v>2.7770000000000001</v>
      </c>
      <c r="M2425">
        <v>0</v>
      </c>
      <c r="N2425" t="s">
        <v>10019</v>
      </c>
      <c r="O2425" t="str">
        <f>HYPERLINK("3\0\marker_973_381254.png", "Ver Imagen")</f>
        <v>Ver Imagen</v>
      </c>
      <c r="P2425" t="str">
        <f>HYPERLINK("NE\A-495\A-495__19.png", "Ver Imagen")</f>
        <v>Ver Imagen</v>
      </c>
    </row>
    <row r="2426" spans="1:16" x14ac:dyDescent="0.25">
      <c r="A2426">
        <v>1902</v>
      </c>
      <c r="B2426" t="s">
        <v>3817</v>
      </c>
      <c r="C2426">
        <v>37.442352016199997</v>
      </c>
      <c r="D2426">
        <v>-7.0927704182099998</v>
      </c>
      <c r="E2426">
        <v>3</v>
      </c>
      <c r="F2426">
        <v>3</v>
      </c>
      <c r="G2426">
        <v>3</v>
      </c>
      <c r="J2426" t="s">
        <v>15</v>
      </c>
      <c r="K2426">
        <v>3</v>
      </c>
      <c r="L2426">
        <v>2.5419999999999998</v>
      </c>
      <c r="M2426">
        <v>0</v>
      </c>
      <c r="N2426" t="s">
        <v>10017</v>
      </c>
      <c r="O2426" t="str">
        <f>HYPERLINK("3\0\marker_854_381413.png", "Ver Imagen")</f>
        <v>Ver Imagen</v>
      </c>
      <c r="P2426" t="str">
        <f>HYPERLINK("NE\A-495\A-495__32.png", "Ver Imagen")</f>
        <v>Ver Imagen</v>
      </c>
    </row>
    <row r="2427" spans="1:16" x14ac:dyDescent="0.25">
      <c r="A2427">
        <v>1903</v>
      </c>
      <c r="B2427" t="s">
        <v>3819</v>
      </c>
      <c r="C2427">
        <v>37.442090541299997</v>
      </c>
      <c r="D2427">
        <v>-7.09212730466</v>
      </c>
      <c r="E2427">
        <v>3</v>
      </c>
      <c r="F2427">
        <v>3</v>
      </c>
      <c r="G2427">
        <v>3</v>
      </c>
      <c r="J2427" t="s">
        <v>15</v>
      </c>
      <c r="K2427">
        <v>3</v>
      </c>
      <c r="L2427">
        <v>2.86</v>
      </c>
      <c r="M2427">
        <v>0</v>
      </c>
      <c r="N2427" t="s">
        <v>10019</v>
      </c>
      <c r="O2427" t="str">
        <f>HYPERLINK("3\0\marker_909_381454.png", "Ver Imagen")</f>
        <v>Ver Imagen</v>
      </c>
      <c r="P2427" t="str">
        <f>HYPERLINK("NE\A-495\A-495__35.png", "Ver Imagen")</f>
        <v>Ver Imagen</v>
      </c>
    </row>
    <row r="2428" spans="1:16" x14ac:dyDescent="0.25">
      <c r="A2428">
        <v>1904</v>
      </c>
      <c r="B2428" t="s">
        <v>3821</v>
      </c>
      <c r="C2428">
        <v>37.441981678499999</v>
      </c>
      <c r="D2428">
        <v>-7.0918680717000004</v>
      </c>
      <c r="E2428">
        <v>3</v>
      </c>
      <c r="F2428">
        <v>3</v>
      </c>
      <c r="G2428">
        <v>3</v>
      </c>
      <c r="J2428" t="s">
        <v>15</v>
      </c>
      <c r="K2428">
        <v>3</v>
      </c>
      <c r="L2428">
        <v>2.9870000000000001</v>
      </c>
      <c r="M2428">
        <v>0</v>
      </c>
      <c r="N2428" t="s">
        <v>10019</v>
      </c>
      <c r="O2428" t="str">
        <f>HYPERLINK("3\0\marker_132_381463.png", "Ver Imagen")</f>
        <v>Ver Imagen</v>
      </c>
      <c r="P2428" t="str">
        <f>HYPERLINK("NE\A-495\A-495__36.png", "Ver Imagen")</f>
        <v>Ver Imagen</v>
      </c>
    </row>
    <row r="2429" spans="1:16" x14ac:dyDescent="0.25">
      <c r="A2429">
        <v>1905</v>
      </c>
      <c r="B2429" t="s">
        <v>3823</v>
      </c>
      <c r="C2429">
        <v>37.441894586300002</v>
      </c>
      <c r="D2429">
        <v>-7.0916675123199999</v>
      </c>
      <c r="E2429">
        <v>3</v>
      </c>
      <c r="F2429">
        <v>3</v>
      </c>
      <c r="G2429">
        <v>3</v>
      </c>
      <c r="J2429" t="s">
        <v>15</v>
      </c>
      <c r="K2429">
        <v>3</v>
      </c>
      <c r="L2429">
        <v>3.0579999999999998</v>
      </c>
      <c r="M2429">
        <v>0</v>
      </c>
      <c r="N2429" t="s">
        <v>10019</v>
      </c>
      <c r="O2429" t="str">
        <f>HYPERLINK("3\0\marker_497_381484.png", "Ver Imagen")</f>
        <v>Ver Imagen</v>
      </c>
      <c r="P2429" t="str">
        <f>HYPERLINK("NE\A-495\A-495__37.png", "Ver Imagen")</f>
        <v>Ver Imagen</v>
      </c>
    </row>
    <row r="2430" spans="1:16" x14ac:dyDescent="0.25">
      <c r="A2430">
        <v>1906</v>
      </c>
      <c r="B2430" t="s">
        <v>3825</v>
      </c>
      <c r="C2430">
        <v>37.441788928699999</v>
      </c>
      <c r="D2430">
        <v>-7.0914333023099996</v>
      </c>
      <c r="E2430">
        <v>3</v>
      </c>
      <c r="F2430">
        <v>3</v>
      </c>
      <c r="G2430">
        <v>3</v>
      </c>
      <c r="J2430" t="s">
        <v>15</v>
      </c>
      <c r="K2430">
        <v>3</v>
      </c>
      <c r="L2430">
        <v>2.7050000000000001</v>
      </c>
      <c r="M2430">
        <v>0</v>
      </c>
      <c r="N2430" t="s">
        <v>10019</v>
      </c>
      <c r="O2430" t="str">
        <f>HYPERLINK("3\0\marker_749_381493.png", "Ver Imagen")</f>
        <v>Ver Imagen</v>
      </c>
      <c r="P2430" t="str">
        <f>HYPERLINK("NE\A-495\A-495__38.png", "Ver Imagen")</f>
        <v>Ver Imagen</v>
      </c>
    </row>
    <row r="2431" spans="1:16" x14ac:dyDescent="0.25">
      <c r="A2431">
        <v>1907</v>
      </c>
      <c r="B2431" t="s">
        <v>3827</v>
      </c>
      <c r="C2431">
        <v>37.441690887699998</v>
      </c>
      <c r="D2431">
        <v>-7.0912234622200003</v>
      </c>
      <c r="E2431">
        <v>3</v>
      </c>
      <c r="F2431">
        <v>3</v>
      </c>
      <c r="G2431">
        <v>3</v>
      </c>
      <c r="J2431" t="s">
        <v>15</v>
      </c>
      <c r="K2431">
        <v>3</v>
      </c>
      <c r="L2431">
        <v>3.202</v>
      </c>
      <c r="M2431">
        <v>0</v>
      </c>
      <c r="N2431" t="s">
        <v>10017</v>
      </c>
      <c r="O2431" t="str">
        <f>HYPERLINK("3\0\marker_906_381502.png", "Ver Imagen")</f>
        <v>Ver Imagen</v>
      </c>
      <c r="P2431" t="str">
        <f>HYPERLINK("NE\A-495\A-495__39.png", "Ver Imagen")</f>
        <v>Ver Imagen</v>
      </c>
    </row>
    <row r="2432" spans="1:16" x14ac:dyDescent="0.25">
      <c r="A2432">
        <v>1908</v>
      </c>
      <c r="B2432" t="s">
        <v>3829</v>
      </c>
      <c r="C2432">
        <v>37.441581163099997</v>
      </c>
      <c r="D2432">
        <v>-7.0909922865299997</v>
      </c>
      <c r="E2432">
        <v>3</v>
      </c>
      <c r="F2432">
        <v>3</v>
      </c>
      <c r="G2432">
        <v>3</v>
      </c>
      <c r="J2432" t="s">
        <v>15</v>
      </c>
      <c r="K2432">
        <v>3</v>
      </c>
      <c r="L2432">
        <v>3.4860000000000002</v>
      </c>
      <c r="M2432">
        <v>0</v>
      </c>
      <c r="N2432" t="s">
        <v>10019</v>
      </c>
      <c r="O2432" t="str">
        <f>HYPERLINK("3\0\marker_565_381512.png", "Ver Imagen")</f>
        <v>Ver Imagen</v>
      </c>
      <c r="P2432" t="str">
        <f>HYPERLINK("NE\A-495\A-495__40.png", "Ver Imagen")</f>
        <v>Ver Imagen</v>
      </c>
    </row>
    <row r="2433" spans="1:16" x14ac:dyDescent="0.25">
      <c r="A2433">
        <v>1909</v>
      </c>
      <c r="B2433" t="s">
        <v>3831</v>
      </c>
      <c r="C2433">
        <v>37.441480242700003</v>
      </c>
      <c r="D2433">
        <v>-7.0907761950800001</v>
      </c>
      <c r="E2433">
        <v>3</v>
      </c>
      <c r="F2433">
        <v>3</v>
      </c>
      <c r="G2433">
        <v>3</v>
      </c>
      <c r="J2433" t="s">
        <v>15</v>
      </c>
      <c r="K2433">
        <v>3</v>
      </c>
      <c r="L2433">
        <v>3.1629999999999998</v>
      </c>
      <c r="M2433">
        <v>0</v>
      </c>
      <c r="N2433" t="s">
        <v>10019</v>
      </c>
      <c r="O2433" t="str">
        <f>HYPERLINK("3\0\marker_793_381521.png", "Ver Imagen")</f>
        <v>Ver Imagen</v>
      </c>
      <c r="P2433" t="str">
        <f>HYPERLINK("NE\A-495\A-495__41.png", "Ver Imagen")</f>
        <v>Ver Imagen</v>
      </c>
    </row>
    <row r="2434" spans="1:16" x14ac:dyDescent="0.25">
      <c r="A2434">
        <v>1910</v>
      </c>
      <c r="B2434" t="s">
        <v>3833</v>
      </c>
      <c r="C2434">
        <v>37.441171232099997</v>
      </c>
      <c r="D2434">
        <v>-7.0901157882600003</v>
      </c>
      <c r="E2434">
        <v>3</v>
      </c>
      <c r="F2434">
        <v>3</v>
      </c>
      <c r="G2434">
        <v>3</v>
      </c>
      <c r="J2434" t="s">
        <v>15</v>
      </c>
      <c r="K2434">
        <v>3</v>
      </c>
      <c r="L2434">
        <v>2.8319999999999999</v>
      </c>
      <c r="M2434">
        <v>0</v>
      </c>
      <c r="N2434" t="s">
        <v>10019</v>
      </c>
      <c r="O2434" t="str">
        <f>HYPERLINK("3\0\marker_843_381554.png", "Ver Imagen")</f>
        <v>Ver Imagen</v>
      </c>
      <c r="P2434" t="str">
        <f>HYPERLINK("NE\A-495\A-495__44.png", "Ver Imagen")</f>
        <v>Ver Imagen</v>
      </c>
    </row>
    <row r="2435" spans="1:16" x14ac:dyDescent="0.25">
      <c r="A2435">
        <v>1911</v>
      </c>
      <c r="B2435" t="s">
        <v>3835</v>
      </c>
      <c r="C2435">
        <v>37.441058145699998</v>
      </c>
      <c r="D2435">
        <v>-7.0898776626400002</v>
      </c>
      <c r="E2435">
        <v>3</v>
      </c>
      <c r="F2435">
        <v>3</v>
      </c>
      <c r="G2435">
        <v>3</v>
      </c>
      <c r="J2435" t="s">
        <v>15</v>
      </c>
      <c r="K2435">
        <v>3</v>
      </c>
      <c r="L2435">
        <v>2.9940000000000002</v>
      </c>
      <c r="M2435">
        <v>0</v>
      </c>
      <c r="N2435" t="s">
        <v>10019</v>
      </c>
      <c r="O2435" t="str">
        <f>HYPERLINK("3\0\marker_877_381562.png", "Ver Imagen")</f>
        <v>Ver Imagen</v>
      </c>
      <c r="P2435" t="str">
        <f>HYPERLINK("NE\A-495\A-495__45.png", "Ver Imagen")</f>
        <v>Ver Imagen</v>
      </c>
    </row>
    <row r="2436" spans="1:16" x14ac:dyDescent="0.25">
      <c r="A2436">
        <v>1912</v>
      </c>
      <c r="B2436" t="s">
        <v>3837</v>
      </c>
      <c r="C2436">
        <v>37.440954112299998</v>
      </c>
      <c r="D2436">
        <v>-7.0896564210999999</v>
      </c>
      <c r="E2436">
        <v>3</v>
      </c>
      <c r="F2436">
        <v>3</v>
      </c>
      <c r="G2436">
        <v>3</v>
      </c>
      <c r="J2436" t="s">
        <v>15</v>
      </c>
      <c r="K2436">
        <v>3</v>
      </c>
      <c r="L2436">
        <v>2.9950000000000001</v>
      </c>
      <c r="M2436">
        <v>0</v>
      </c>
      <c r="N2436" t="s">
        <v>10019</v>
      </c>
      <c r="O2436" t="str">
        <f>HYPERLINK("3\0\marker_834_381571.png", "Ver Imagen")</f>
        <v>Ver Imagen</v>
      </c>
      <c r="P2436" t="str">
        <f>HYPERLINK("NE\A-495\A-495__46.png", "Ver Imagen")</f>
        <v>Ver Imagen</v>
      </c>
    </row>
    <row r="2437" spans="1:16" x14ac:dyDescent="0.25">
      <c r="A2437">
        <v>1913</v>
      </c>
      <c r="B2437" t="s">
        <v>3839</v>
      </c>
      <c r="C2437">
        <v>37.440864292299999</v>
      </c>
      <c r="D2437">
        <v>-7.0894610473600004</v>
      </c>
      <c r="E2437">
        <v>3</v>
      </c>
      <c r="F2437">
        <v>3</v>
      </c>
      <c r="G2437">
        <v>3</v>
      </c>
      <c r="J2437" t="s">
        <v>15</v>
      </c>
      <c r="K2437">
        <v>3</v>
      </c>
      <c r="L2437">
        <v>2.7639999999999998</v>
      </c>
      <c r="M2437">
        <v>0</v>
      </c>
      <c r="N2437" t="s">
        <v>10019</v>
      </c>
      <c r="O2437" t="str">
        <f>HYPERLINK("3\0\marker_127_381581.png", "Ver Imagen")</f>
        <v>Ver Imagen</v>
      </c>
      <c r="P2437" t="str">
        <f>HYPERLINK("NE\A-495\A-495__47.png", "Ver Imagen")</f>
        <v>Ver Imagen</v>
      </c>
    </row>
    <row r="2438" spans="1:16" x14ac:dyDescent="0.25">
      <c r="A2438">
        <v>1914</v>
      </c>
      <c r="B2438" t="s">
        <v>3841</v>
      </c>
      <c r="C2438">
        <v>37.440761815800002</v>
      </c>
      <c r="D2438">
        <v>-7.0892404666399997</v>
      </c>
      <c r="E2438">
        <v>3</v>
      </c>
      <c r="F2438">
        <v>3</v>
      </c>
      <c r="G2438">
        <v>3</v>
      </c>
      <c r="J2438" t="s">
        <v>15</v>
      </c>
      <c r="K2438">
        <v>3</v>
      </c>
      <c r="L2438">
        <v>2.8969999999999998</v>
      </c>
      <c r="M2438">
        <v>0</v>
      </c>
      <c r="N2438" t="s">
        <v>10019</v>
      </c>
      <c r="O2438" t="str">
        <f>HYPERLINK("3\0\marker_365_381591.png", "Ver Imagen")</f>
        <v>Ver Imagen</v>
      </c>
      <c r="P2438" t="str">
        <f>HYPERLINK("NE\A-495\A-495__48.png", "Ver Imagen")</f>
        <v>Ver Imagen</v>
      </c>
    </row>
    <row r="2439" spans="1:16" x14ac:dyDescent="0.25">
      <c r="A2439">
        <v>1915</v>
      </c>
      <c r="B2439" t="s">
        <v>3843</v>
      </c>
      <c r="C2439">
        <v>37.4405684615</v>
      </c>
      <c r="D2439">
        <v>-7.0888344975899997</v>
      </c>
      <c r="E2439">
        <v>3</v>
      </c>
      <c r="F2439">
        <v>3</v>
      </c>
      <c r="G2439">
        <v>3</v>
      </c>
      <c r="J2439" t="s">
        <v>15</v>
      </c>
      <c r="K2439">
        <v>3</v>
      </c>
      <c r="L2439">
        <v>2.8849999999999998</v>
      </c>
      <c r="M2439">
        <v>0</v>
      </c>
      <c r="N2439" t="s">
        <v>10019</v>
      </c>
      <c r="O2439" t="str">
        <f>HYPERLINK("3\0\marker_794_381612.png", "Ver Imagen")</f>
        <v>Ver Imagen</v>
      </c>
      <c r="P2439" t="str">
        <f>HYPERLINK("NE\A-495\A-495__50.png", "Ver Imagen")</f>
        <v>Ver Imagen</v>
      </c>
    </row>
    <row r="2440" spans="1:16" x14ac:dyDescent="0.25">
      <c r="A2440">
        <v>1917</v>
      </c>
      <c r="B2440" t="s">
        <v>3847</v>
      </c>
      <c r="C2440">
        <v>37.439522177400001</v>
      </c>
      <c r="D2440">
        <v>-7.0866505319900002</v>
      </c>
      <c r="E2440">
        <v>3</v>
      </c>
      <c r="F2440">
        <v>3</v>
      </c>
      <c r="G2440">
        <v>3</v>
      </c>
      <c r="J2440" t="s">
        <v>15</v>
      </c>
      <c r="K2440">
        <v>3</v>
      </c>
      <c r="L2440">
        <v>3.0960000000000001</v>
      </c>
      <c r="M2440">
        <v>0</v>
      </c>
      <c r="N2440" t="s">
        <v>10019</v>
      </c>
      <c r="O2440" t="str">
        <f>HYPERLINK("3\0\marker_824_381711.png", "Ver Imagen")</f>
        <v>Ver Imagen</v>
      </c>
      <c r="P2440" t="str">
        <f>HYPERLINK("NE\A-495\A-495__60.png", "Ver Imagen")</f>
        <v>Ver Imagen</v>
      </c>
    </row>
    <row r="2441" spans="1:16" x14ac:dyDescent="0.25">
      <c r="A2441">
        <v>1918</v>
      </c>
      <c r="B2441" t="s">
        <v>3849</v>
      </c>
      <c r="C2441">
        <v>37.438914690799997</v>
      </c>
      <c r="D2441">
        <v>-7.0853065706600002</v>
      </c>
      <c r="E2441">
        <v>3</v>
      </c>
      <c r="F2441">
        <v>3</v>
      </c>
      <c r="G2441">
        <v>3</v>
      </c>
      <c r="J2441" t="s">
        <v>15</v>
      </c>
      <c r="K2441">
        <v>3</v>
      </c>
      <c r="L2441">
        <v>2.8559999999999999</v>
      </c>
      <c r="M2441">
        <v>0</v>
      </c>
      <c r="N2441" t="s">
        <v>10019</v>
      </c>
      <c r="O2441" t="str">
        <f>HYPERLINK("3\0\marker_911_381776.png", "Ver Imagen")</f>
        <v>Ver Imagen</v>
      </c>
      <c r="P2441" t="str">
        <f>HYPERLINK("NE\A-495\A-495__66.png", "Ver Imagen")</f>
        <v>Ver Imagen</v>
      </c>
    </row>
    <row r="2442" spans="1:16" x14ac:dyDescent="0.25">
      <c r="A2442">
        <v>1919</v>
      </c>
      <c r="B2442" t="s">
        <v>3851</v>
      </c>
      <c r="C2442">
        <v>37.437860721600003</v>
      </c>
      <c r="D2442">
        <v>-7.0823105965700002</v>
      </c>
      <c r="E2442">
        <v>3</v>
      </c>
      <c r="F2442">
        <v>3</v>
      </c>
      <c r="G2442">
        <v>3</v>
      </c>
      <c r="J2442" t="s">
        <v>15</v>
      </c>
      <c r="K2442">
        <v>3</v>
      </c>
      <c r="L2442">
        <v>2.972</v>
      </c>
      <c r="M2442">
        <v>0</v>
      </c>
      <c r="N2442" t="s">
        <v>10019</v>
      </c>
      <c r="O2442" t="str">
        <f>HYPERLINK("3\0\marker_318_381921.png", "Ver Imagen")</f>
        <v>Ver Imagen</v>
      </c>
      <c r="P2442" t="str">
        <f>HYPERLINK("NE\A-495\A-495__79.png", "Ver Imagen")</f>
        <v>Ver Imagen</v>
      </c>
    </row>
    <row r="2443" spans="1:16" x14ac:dyDescent="0.25">
      <c r="A2443">
        <v>1921</v>
      </c>
      <c r="B2443" t="s">
        <v>3855</v>
      </c>
      <c r="C2443">
        <v>37.436769644500004</v>
      </c>
      <c r="D2443">
        <v>-7.0791986151600002</v>
      </c>
      <c r="E2443">
        <v>3</v>
      </c>
      <c r="F2443">
        <v>3</v>
      </c>
      <c r="G2443">
        <v>3</v>
      </c>
      <c r="J2443" t="s">
        <v>15</v>
      </c>
      <c r="K2443">
        <v>3</v>
      </c>
      <c r="L2443">
        <v>3.1230000000000002</v>
      </c>
      <c r="M2443">
        <v>0</v>
      </c>
      <c r="N2443" t="s">
        <v>10019</v>
      </c>
      <c r="O2443" t="str">
        <f>HYPERLINK("3\0\marker_900_382088.png", "Ver Imagen")</f>
        <v>Ver Imagen</v>
      </c>
      <c r="P2443" t="str">
        <f>HYPERLINK("NE\A-495\A-495__93.png", "Ver Imagen")</f>
        <v>Ver Imagen</v>
      </c>
    </row>
    <row r="2444" spans="1:16" x14ac:dyDescent="0.25">
      <c r="A2444">
        <v>1922</v>
      </c>
      <c r="B2444" t="s">
        <v>3857</v>
      </c>
      <c r="C2444">
        <v>37.436030851699996</v>
      </c>
      <c r="D2444">
        <v>-7.077123705</v>
      </c>
      <c r="E2444">
        <v>3</v>
      </c>
      <c r="F2444">
        <v>3</v>
      </c>
      <c r="G2444">
        <v>3</v>
      </c>
      <c r="J2444" t="s">
        <v>15</v>
      </c>
      <c r="K2444">
        <v>3</v>
      </c>
      <c r="L2444">
        <v>3.2330000000000001</v>
      </c>
      <c r="M2444">
        <v>0</v>
      </c>
      <c r="N2444" t="s">
        <v>10017</v>
      </c>
      <c r="O2444" t="str">
        <f>HYPERLINK("3\0\marker_208_382173.png", "Ver Imagen")</f>
        <v>Ver Imagen</v>
      </c>
      <c r="P2444" t="str">
        <f>HYPERLINK("NE\A-495\A-495__102.png", "Ver Imagen")</f>
        <v>Ver Imagen</v>
      </c>
    </row>
    <row r="2445" spans="1:16" x14ac:dyDescent="0.25">
      <c r="A2445">
        <v>1923</v>
      </c>
      <c r="B2445" t="s">
        <v>3859</v>
      </c>
      <c r="C2445">
        <v>37.435395258699998</v>
      </c>
      <c r="D2445">
        <v>-7.0765219461899997</v>
      </c>
      <c r="E2445">
        <v>3</v>
      </c>
      <c r="F2445">
        <v>3</v>
      </c>
      <c r="G2445">
        <v>3</v>
      </c>
      <c r="J2445" t="s">
        <v>15</v>
      </c>
      <c r="K2445">
        <v>3</v>
      </c>
      <c r="L2445">
        <v>2.6869999999999998</v>
      </c>
      <c r="M2445">
        <v>0</v>
      </c>
      <c r="N2445" t="s">
        <v>10019</v>
      </c>
      <c r="O2445" t="str">
        <f>HYPERLINK("3\0\marker_482_382224.png", "Ver Imagen")</f>
        <v>Ver Imagen</v>
      </c>
      <c r="P2445" t="str">
        <f>HYPERLINK("NE\A-495\A-495__106.png", "Ver Imagen")</f>
        <v>Ver Imagen</v>
      </c>
    </row>
    <row r="2446" spans="1:16" x14ac:dyDescent="0.25">
      <c r="A2446">
        <v>1924</v>
      </c>
      <c r="B2446" t="s">
        <v>3861</v>
      </c>
      <c r="C2446">
        <v>37.221358073799998</v>
      </c>
      <c r="D2446">
        <v>-7.0540878887499998</v>
      </c>
      <c r="E2446">
        <v>3</v>
      </c>
      <c r="F2446">
        <v>3</v>
      </c>
      <c r="G2446">
        <v>3</v>
      </c>
      <c r="J2446" t="s">
        <v>15</v>
      </c>
      <c r="K2446">
        <v>3</v>
      </c>
      <c r="L2446">
        <v>3.0739999999999998</v>
      </c>
      <c r="M2446">
        <v>0</v>
      </c>
      <c r="N2446" t="s">
        <v>10018</v>
      </c>
      <c r="O2446" t="str">
        <f>HYPERLINK("3\0\marker_433_378727.png", "Ver Imagen")</f>
        <v>Ver Imagen</v>
      </c>
      <c r="P2446" t="str">
        <f>HYPERLINK("SE\A-5059\A-5059__81.png", "Ver Imagen")</f>
        <v>Ver Imagen</v>
      </c>
    </row>
    <row r="2447" spans="1:16" x14ac:dyDescent="0.25">
      <c r="A2447">
        <v>1925</v>
      </c>
      <c r="B2447" t="s">
        <v>3863</v>
      </c>
      <c r="C2447">
        <v>37.223401336899997</v>
      </c>
      <c r="D2447">
        <v>-7.0559805666999997</v>
      </c>
      <c r="E2447">
        <v>3</v>
      </c>
      <c r="F2447">
        <v>3</v>
      </c>
      <c r="G2447">
        <v>3</v>
      </c>
      <c r="J2447" t="s">
        <v>15</v>
      </c>
      <c r="K2447">
        <v>3</v>
      </c>
      <c r="L2447">
        <v>2.8090000000000002</v>
      </c>
      <c r="M2447">
        <v>0</v>
      </c>
      <c r="N2447" t="s">
        <v>10019</v>
      </c>
      <c r="O2447" t="str">
        <f>HYPERLINK("3\0\marker_719_378865.png", "Ver Imagen")</f>
        <v>Ver Imagen</v>
      </c>
      <c r="P2447" t="str">
        <f>HYPERLINK("SE\A-5059\A-5059__68.png", "Ver Imagen")</f>
        <v>Ver Imagen</v>
      </c>
    </row>
    <row r="2448" spans="1:16" x14ac:dyDescent="0.25">
      <c r="A2448">
        <v>1926</v>
      </c>
      <c r="B2448" t="s">
        <v>3865</v>
      </c>
      <c r="C2448">
        <v>37.224104197000003</v>
      </c>
      <c r="D2448">
        <v>-7.0563825033100001</v>
      </c>
      <c r="E2448">
        <v>3</v>
      </c>
      <c r="F2448">
        <v>3</v>
      </c>
      <c r="G2448">
        <v>3</v>
      </c>
      <c r="J2448" t="s">
        <v>15</v>
      </c>
      <c r="K2448">
        <v>3</v>
      </c>
      <c r="L2448">
        <v>3.105</v>
      </c>
      <c r="M2448">
        <v>0</v>
      </c>
      <c r="N2448" t="s">
        <v>10019</v>
      </c>
      <c r="O2448" t="str">
        <f>HYPERLINK("3\0\marker_897_378904.png", "Ver Imagen")</f>
        <v>Ver Imagen</v>
      </c>
      <c r="P2448" t="str">
        <f>HYPERLINK("SE\A-5059\A-5059__64.png", "Ver Imagen")</f>
        <v>Ver Imagen</v>
      </c>
    </row>
    <row r="2449" spans="1:16" x14ac:dyDescent="0.25">
      <c r="A2449">
        <v>1927</v>
      </c>
      <c r="B2449" t="s">
        <v>3867</v>
      </c>
      <c r="C2449">
        <v>37.224291280499997</v>
      </c>
      <c r="D2449">
        <v>-7.0565774372899996</v>
      </c>
      <c r="E2449">
        <v>3</v>
      </c>
      <c r="F2449">
        <v>3</v>
      </c>
      <c r="G2449">
        <v>3</v>
      </c>
      <c r="J2449" t="s">
        <v>15</v>
      </c>
      <c r="K2449">
        <v>3</v>
      </c>
      <c r="L2449">
        <v>2.8479999999999999</v>
      </c>
      <c r="M2449">
        <v>0</v>
      </c>
      <c r="N2449" t="s">
        <v>10019</v>
      </c>
      <c r="O2449" t="str">
        <f>HYPERLINK("3\0\marker_665_378915.png", "Ver Imagen")</f>
        <v>Ver Imagen</v>
      </c>
      <c r="P2449" t="str">
        <f>HYPERLINK("SE\A-5059\A-5059__63.png", "Ver Imagen")</f>
        <v>Ver Imagen</v>
      </c>
    </row>
    <row r="2450" spans="1:16" x14ac:dyDescent="0.25">
      <c r="A2450">
        <v>1928</v>
      </c>
      <c r="B2450" t="s">
        <v>3869</v>
      </c>
      <c r="C2450">
        <v>37.435134329599997</v>
      </c>
      <c r="D2450">
        <v>-7.0705233491900001</v>
      </c>
      <c r="E2450">
        <v>3</v>
      </c>
      <c r="F2450">
        <v>3</v>
      </c>
      <c r="G2450">
        <v>3</v>
      </c>
      <c r="J2450" t="s">
        <v>15</v>
      </c>
      <c r="K2450">
        <v>3</v>
      </c>
      <c r="L2450">
        <v>2.7250000000000001</v>
      </c>
      <c r="M2450">
        <v>0</v>
      </c>
      <c r="N2450" t="s">
        <v>10019</v>
      </c>
      <c r="O2450" t="str">
        <f>HYPERLINK("3\0\marker_732_382477.png", "Ver Imagen")</f>
        <v>Ver Imagen</v>
      </c>
      <c r="P2450" t="str">
        <f>HYPERLINK("NE\A-495\A-495__130.png", "Ver Imagen")</f>
        <v>Ver Imagen</v>
      </c>
    </row>
    <row r="2451" spans="1:16" x14ac:dyDescent="0.25">
      <c r="A2451">
        <v>1929</v>
      </c>
      <c r="B2451" t="s">
        <v>3871</v>
      </c>
      <c r="C2451">
        <v>37.227319365600003</v>
      </c>
      <c r="D2451">
        <v>-7.0608759962600001</v>
      </c>
      <c r="E2451">
        <v>3</v>
      </c>
      <c r="F2451">
        <v>3</v>
      </c>
      <c r="G2451">
        <v>3</v>
      </c>
      <c r="J2451" t="s">
        <v>15</v>
      </c>
      <c r="K2451">
        <v>3</v>
      </c>
      <c r="L2451">
        <v>2.9830000000000001</v>
      </c>
      <c r="M2451">
        <v>0</v>
      </c>
      <c r="N2451" t="s">
        <v>10019</v>
      </c>
      <c r="O2451" t="str">
        <f>HYPERLINK("3\0\marker_111_379295.png", "Ver Imagen")</f>
        <v>Ver Imagen</v>
      </c>
      <c r="P2451" t="str">
        <f>HYPERLINK("SE\A-5059\A-5059__40.png", "Ver Imagen")</f>
        <v>Ver Imagen</v>
      </c>
    </row>
    <row r="2452" spans="1:16" x14ac:dyDescent="0.25">
      <c r="A2452">
        <v>1930</v>
      </c>
      <c r="B2452" t="s">
        <v>3873</v>
      </c>
      <c r="C2452">
        <v>37.227690576199997</v>
      </c>
      <c r="D2452">
        <v>-7.06105400585</v>
      </c>
      <c r="E2452">
        <v>3</v>
      </c>
      <c r="F2452">
        <v>3</v>
      </c>
      <c r="G2452">
        <v>3</v>
      </c>
      <c r="J2452" t="s">
        <v>15</v>
      </c>
      <c r="K2452">
        <v>3</v>
      </c>
      <c r="L2452">
        <v>3.1190000000000002</v>
      </c>
      <c r="M2452">
        <v>0</v>
      </c>
      <c r="N2452" t="s">
        <v>10019</v>
      </c>
      <c r="O2452" t="str">
        <f>HYPERLINK("3\0\marker_531_379313.png", "Ver Imagen")</f>
        <v>Ver Imagen</v>
      </c>
      <c r="P2452" t="str">
        <f>HYPERLINK("SE\A-5059\A-5059__38.png", "Ver Imagen")</f>
        <v>Ver Imagen</v>
      </c>
    </row>
    <row r="2453" spans="1:16" x14ac:dyDescent="0.25">
      <c r="A2453">
        <v>1931</v>
      </c>
      <c r="B2453" t="s">
        <v>3875</v>
      </c>
      <c r="C2453">
        <v>37.228943576399999</v>
      </c>
      <c r="D2453">
        <v>-7.0623337164800004</v>
      </c>
      <c r="E2453">
        <v>3</v>
      </c>
      <c r="F2453">
        <v>3</v>
      </c>
      <c r="G2453">
        <v>3</v>
      </c>
      <c r="J2453" t="s">
        <v>15</v>
      </c>
      <c r="K2453">
        <v>3</v>
      </c>
      <c r="L2453">
        <v>3.044</v>
      </c>
      <c r="M2453">
        <v>0</v>
      </c>
      <c r="N2453" t="s">
        <v>10019</v>
      </c>
      <c r="O2453" t="str">
        <f>HYPERLINK("3\0\marker_591_379404.png", "Ver Imagen")</f>
        <v>Ver Imagen</v>
      </c>
      <c r="P2453" t="str">
        <f>HYPERLINK("SE\A-5059\A-5059__30.png", "Ver Imagen")</f>
        <v>Ver Imagen</v>
      </c>
    </row>
    <row r="2454" spans="1:16" x14ac:dyDescent="0.25">
      <c r="A2454">
        <v>1932</v>
      </c>
      <c r="B2454" t="s">
        <v>3877</v>
      </c>
      <c r="C2454">
        <v>37.229395754400002</v>
      </c>
      <c r="D2454">
        <v>-7.0628365230899997</v>
      </c>
      <c r="E2454">
        <v>3</v>
      </c>
      <c r="F2454">
        <v>3</v>
      </c>
      <c r="G2454">
        <v>3</v>
      </c>
      <c r="J2454" t="s">
        <v>15</v>
      </c>
      <c r="K2454">
        <v>3</v>
      </c>
      <c r="L2454">
        <v>2.6739999999999999</v>
      </c>
      <c r="M2454">
        <v>0</v>
      </c>
      <c r="N2454" t="s">
        <v>10017</v>
      </c>
      <c r="O2454" t="str">
        <f>HYPERLINK("3\0\marker_936_379430.png", "Ver Imagen")</f>
        <v>Ver Imagen</v>
      </c>
      <c r="P2454" t="str">
        <f>HYPERLINK("SE\A-5059\A-5059__27.png", "Ver Imagen")</f>
        <v>Ver Imagen</v>
      </c>
    </row>
    <row r="2455" spans="1:16" x14ac:dyDescent="0.25">
      <c r="A2455">
        <v>1933</v>
      </c>
      <c r="B2455" t="s">
        <v>3879</v>
      </c>
      <c r="C2455">
        <v>37.433920874099996</v>
      </c>
      <c r="D2455">
        <v>-7.0670320470199997</v>
      </c>
      <c r="E2455">
        <v>3</v>
      </c>
      <c r="F2455">
        <v>3</v>
      </c>
      <c r="G2455">
        <v>3</v>
      </c>
      <c r="J2455" t="s">
        <v>15</v>
      </c>
      <c r="K2455">
        <v>3</v>
      </c>
      <c r="L2455">
        <v>3.0219999999999998</v>
      </c>
      <c r="M2455">
        <v>0</v>
      </c>
      <c r="N2455" t="s">
        <v>10019</v>
      </c>
      <c r="O2455" t="str">
        <f>HYPERLINK("3\0\marker_157_382623.png", "Ver Imagen")</f>
        <v>Ver Imagen</v>
      </c>
      <c r="P2455" t="str">
        <f>HYPERLINK("NE\A-495\A-495__145.png", "Ver Imagen")</f>
        <v>Ver Imagen</v>
      </c>
    </row>
    <row r="2456" spans="1:16" x14ac:dyDescent="0.25">
      <c r="A2456">
        <v>1934</v>
      </c>
      <c r="B2456" t="s">
        <v>3881</v>
      </c>
      <c r="C2456">
        <v>37.229727327699997</v>
      </c>
      <c r="D2456">
        <v>-7.0631008531899999</v>
      </c>
      <c r="E2456">
        <v>3</v>
      </c>
      <c r="F2456">
        <v>3</v>
      </c>
      <c r="G2456">
        <v>3</v>
      </c>
      <c r="J2456" t="s">
        <v>15</v>
      </c>
      <c r="K2456">
        <v>3</v>
      </c>
      <c r="L2456">
        <v>3.0619999999999998</v>
      </c>
      <c r="M2456">
        <v>0</v>
      </c>
      <c r="N2456" t="s">
        <v>10019</v>
      </c>
      <c r="O2456" t="str">
        <f>HYPERLINK("3\0\marker_850_379448.png", "Ver Imagen")</f>
        <v>Ver Imagen</v>
      </c>
      <c r="P2456" t="str">
        <f>HYPERLINK("SE\A-5059\A-5059__25.png", "Ver Imagen")</f>
        <v>Ver Imagen</v>
      </c>
    </row>
    <row r="2457" spans="1:16" x14ac:dyDescent="0.25">
      <c r="A2457">
        <v>1935</v>
      </c>
      <c r="B2457" t="s">
        <v>3883</v>
      </c>
      <c r="C2457">
        <v>37.230506396700001</v>
      </c>
      <c r="D2457">
        <v>-7.0633673250299998</v>
      </c>
      <c r="E2457">
        <v>3</v>
      </c>
      <c r="F2457">
        <v>3</v>
      </c>
      <c r="G2457">
        <v>3</v>
      </c>
      <c r="J2457" t="s">
        <v>15</v>
      </c>
      <c r="K2457">
        <v>3</v>
      </c>
      <c r="L2457">
        <v>3.0459999999999998</v>
      </c>
      <c r="M2457">
        <v>0</v>
      </c>
      <c r="N2457" t="s">
        <v>10017</v>
      </c>
      <c r="O2457" t="str">
        <f>HYPERLINK("3\0\marker_405_379482.png", "Ver Imagen")</f>
        <v>Ver Imagen</v>
      </c>
      <c r="P2457" t="str">
        <f>HYPERLINK("SE\A-5059\A-5059__21.png", "Ver Imagen")</f>
        <v>Ver Imagen</v>
      </c>
    </row>
    <row r="2458" spans="1:16" x14ac:dyDescent="0.25">
      <c r="A2458">
        <v>1936</v>
      </c>
      <c r="B2458" t="s">
        <v>3885</v>
      </c>
      <c r="C2458">
        <v>37.230907637000001</v>
      </c>
      <c r="D2458">
        <v>-7.06343129462</v>
      </c>
      <c r="E2458">
        <v>3</v>
      </c>
      <c r="F2458">
        <v>3</v>
      </c>
      <c r="G2458">
        <v>3</v>
      </c>
      <c r="J2458" t="s">
        <v>15</v>
      </c>
      <c r="K2458">
        <v>3</v>
      </c>
      <c r="L2458">
        <v>2.851</v>
      </c>
      <c r="M2458">
        <v>0</v>
      </c>
      <c r="N2458" t="s">
        <v>10019</v>
      </c>
      <c r="O2458" t="str">
        <f>HYPERLINK("3\0\marker_862_379500.png", "Ver Imagen")</f>
        <v>Ver Imagen</v>
      </c>
      <c r="P2458" t="str">
        <f>HYPERLINK("SE\A-5059\A-5059__19.png", "Ver Imagen")</f>
        <v>Ver Imagen</v>
      </c>
    </row>
    <row r="2459" spans="1:16" x14ac:dyDescent="0.25">
      <c r="A2459">
        <v>1937</v>
      </c>
      <c r="B2459" t="s">
        <v>3887</v>
      </c>
      <c r="C2459">
        <v>37.2311021354</v>
      </c>
      <c r="D2459">
        <v>-7.0634837103199999</v>
      </c>
      <c r="E2459">
        <v>3</v>
      </c>
      <c r="F2459">
        <v>3</v>
      </c>
      <c r="G2459">
        <v>3</v>
      </c>
      <c r="J2459" t="s">
        <v>15</v>
      </c>
      <c r="K2459">
        <v>3</v>
      </c>
      <c r="L2459">
        <v>2.762</v>
      </c>
      <c r="M2459">
        <v>0</v>
      </c>
      <c r="N2459" t="s">
        <v>10019</v>
      </c>
      <c r="O2459" t="str">
        <f>HYPERLINK("3\0\marker_181_379509.png", "Ver Imagen")</f>
        <v>Ver Imagen</v>
      </c>
      <c r="P2459" t="str">
        <f>HYPERLINK("SE\A-5059\A-5059__18.png", "Ver Imagen")</f>
        <v>Ver Imagen</v>
      </c>
    </row>
    <row r="2460" spans="1:16" x14ac:dyDescent="0.25">
      <c r="A2460">
        <v>1939</v>
      </c>
      <c r="B2460" t="s">
        <v>3891</v>
      </c>
      <c r="C2460">
        <v>37.231973356399997</v>
      </c>
      <c r="D2460">
        <v>-7.0640982248300004</v>
      </c>
      <c r="E2460">
        <v>3</v>
      </c>
      <c r="F2460">
        <v>3</v>
      </c>
      <c r="G2460">
        <v>3</v>
      </c>
      <c r="J2460" t="s">
        <v>15</v>
      </c>
      <c r="K2460">
        <v>3</v>
      </c>
      <c r="L2460">
        <v>3.016</v>
      </c>
      <c r="M2460">
        <v>0</v>
      </c>
      <c r="N2460" t="s">
        <v>10019</v>
      </c>
      <c r="O2460" t="str">
        <f>HYPERLINK("3\0\marker_381_379554.png", "Ver Imagen")</f>
        <v>Ver Imagen</v>
      </c>
      <c r="P2460" t="str">
        <f>HYPERLINK("SE\A-5059\A-5059__13.png", "Ver Imagen")</f>
        <v>Ver Imagen</v>
      </c>
    </row>
    <row r="2461" spans="1:16" x14ac:dyDescent="0.25">
      <c r="A2461">
        <v>1940</v>
      </c>
      <c r="B2461" t="s">
        <v>3893</v>
      </c>
      <c r="C2461">
        <v>37.232771454599998</v>
      </c>
      <c r="D2461">
        <v>-7.0653009721400002</v>
      </c>
      <c r="E2461">
        <v>3</v>
      </c>
      <c r="F2461">
        <v>3</v>
      </c>
      <c r="G2461">
        <v>3</v>
      </c>
      <c r="J2461" t="s">
        <v>15</v>
      </c>
      <c r="K2461">
        <v>3</v>
      </c>
      <c r="L2461">
        <v>2.988</v>
      </c>
      <c r="M2461">
        <v>0</v>
      </c>
      <c r="N2461" t="s">
        <v>10019</v>
      </c>
      <c r="O2461" t="str">
        <f>HYPERLINK("3\0\marker_521_379608.png", "Ver Imagen")</f>
        <v>Ver Imagen</v>
      </c>
      <c r="P2461" t="str">
        <f>HYPERLINK("SE\A-5059\A-5059__7.png", "Ver Imagen")</f>
        <v>Ver Imagen</v>
      </c>
    </row>
    <row r="2462" spans="1:16" x14ac:dyDescent="0.25">
      <c r="A2462">
        <v>1941</v>
      </c>
      <c r="B2462" t="s">
        <v>3895</v>
      </c>
      <c r="C2462">
        <v>37.232865803099997</v>
      </c>
      <c r="D2462">
        <v>-7.0654634964599996</v>
      </c>
      <c r="E2462">
        <v>3</v>
      </c>
      <c r="F2462">
        <v>3</v>
      </c>
      <c r="G2462">
        <v>3</v>
      </c>
      <c r="J2462" t="s">
        <v>15</v>
      </c>
      <c r="K2462">
        <v>3</v>
      </c>
      <c r="L2462">
        <v>2.9510000000000001</v>
      </c>
      <c r="M2462">
        <v>0</v>
      </c>
      <c r="N2462" t="s">
        <v>10019</v>
      </c>
      <c r="O2462" t="str">
        <f>HYPERLINK("3\0\marker_959_379616.png", "Ver Imagen")</f>
        <v>Ver Imagen</v>
      </c>
      <c r="P2462" t="str">
        <f>HYPERLINK("SE\A-5059\A-5059__6.png", "Ver Imagen")</f>
        <v>Ver Imagen</v>
      </c>
    </row>
    <row r="2463" spans="1:16" x14ac:dyDescent="0.25">
      <c r="A2463">
        <v>1942</v>
      </c>
      <c r="B2463" t="s">
        <v>3897</v>
      </c>
      <c r="C2463">
        <v>37.233279525100002</v>
      </c>
      <c r="D2463">
        <v>-7.0660011768200004</v>
      </c>
      <c r="E2463">
        <v>3</v>
      </c>
      <c r="F2463">
        <v>3</v>
      </c>
      <c r="G2463">
        <v>3</v>
      </c>
      <c r="J2463" t="s">
        <v>15</v>
      </c>
      <c r="K2463">
        <v>3</v>
      </c>
      <c r="L2463">
        <v>2.887</v>
      </c>
      <c r="M2463">
        <v>0</v>
      </c>
      <c r="N2463" t="s">
        <v>10019</v>
      </c>
      <c r="O2463" t="str">
        <f>HYPERLINK("3\0\marker_833_379646.png", "Ver Imagen")</f>
        <v>Ver Imagen</v>
      </c>
      <c r="P2463" t="str">
        <f>HYPERLINK("SE\A-5059\A-5059__3.png", "Ver Imagen")</f>
        <v>Ver Imagen</v>
      </c>
    </row>
    <row r="2464" spans="1:16" x14ac:dyDescent="0.25">
      <c r="A2464">
        <v>1943</v>
      </c>
      <c r="B2464" t="s">
        <v>3899</v>
      </c>
      <c r="C2464">
        <v>37.432783676699998</v>
      </c>
      <c r="D2464">
        <v>-7.0645535522299996</v>
      </c>
      <c r="E2464">
        <v>3</v>
      </c>
      <c r="F2464">
        <v>3</v>
      </c>
      <c r="G2464">
        <v>3</v>
      </c>
      <c r="J2464" t="s">
        <v>15</v>
      </c>
      <c r="K2464">
        <v>3</v>
      </c>
      <c r="L2464">
        <v>2.9460000000000002</v>
      </c>
      <c r="M2464">
        <v>0</v>
      </c>
      <c r="N2464" t="s">
        <v>10019</v>
      </c>
      <c r="O2464" t="str">
        <f>HYPERLINK("3\0\marker_862_382752.png", "Ver Imagen")</f>
        <v>Ver Imagen</v>
      </c>
      <c r="P2464" t="str">
        <f>HYPERLINK("NE\A-495\A-495__156.png", "Ver Imagen")</f>
        <v>Ver Imagen</v>
      </c>
    </row>
    <row r="2465" spans="1:16" x14ac:dyDescent="0.25">
      <c r="A2465">
        <v>1944</v>
      </c>
      <c r="B2465" t="s">
        <v>3901</v>
      </c>
      <c r="C2465">
        <v>37.432719212800002</v>
      </c>
      <c r="D2465">
        <v>-7.0644133700599996</v>
      </c>
      <c r="E2465">
        <v>3</v>
      </c>
      <c r="F2465">
        <v>3</v>
      </c>
      <c r="G2465">
        <v>3</v>
      </c>
      <c r="J2465" t="s">
        <v>15</v>
      </c>
      <c r="K2465">
        <v>3</v>
      </c>
      <c r="L2465">
        <v>2.8740000000000001</v>
      </c>
      <c r="M2465">
        <v>0</v>
      </c>
      <c r="N2465" t="s">
        <v>10019</v>
      </c>
      <c r="O2465" t="str">
        <f>HYPERLINK("3\0\marker_706_382763.png", "Ver Imagen")</f>
        <v>Ver Imagen</v>
      </c>
      <c r="P2465" t="str">
        <f>HYPERLINK("NE\A-495\A-495__157.png", "Ver Imagen")</f>
        <v>Ver Imagen</v>
      </c>
    </row>
    <row r="2466" spans="1:16" x14ac:dyDescent="0.25">
      <c r="A2466">
        <v>1945</v>
      </c>
      <c r="B2466" t="s">
        <v>3903</v>
      </c>
      <c r="C2466">
        <v>37.225342224400002</v>
      </c>
      <c r="D2466">
        <v>-7.02954531501</v>
      </c>
      <c r="E2466">
        <v>3</v>
      </c>
      <c r="F2466">
        <v>3</v>
      </c>
      <c r="G2466">
        <v>3</v>
      </c>
      <c r="J2466" t="s">
        <v>15</v>
      </c>
      <c r="K2466">
        <v>3</v>
      </c>
      <c r="L2466">
        <v>2.9470000000000001</v>
      </c>
      <c r="M2466">
        <v>0</v>
      </c>
      <c r="N2466" t="s">
        <v>10019</v>
      </c>
      <c r="O2466" t="str">
        <f>HYPERLINK("3\0\marker_190_379899.png", "Ver Imagen")</f>
        <v>Ver Imagen</v>
      </c>
      <c r="P2466" t="str">
        <f>HYPERLINK("SE\A-5058\A-5058__9.png", "Ver Imagen")</f>
        <v>Ver Imagen</v>
      </c>
    </row>
    <row r="2467" spans="1:16" x14ac:dyDescent="0.25">
      <c r="A2467">
        <v>1946</v>
      </c>
      <c r="B2467" t="s">
        <v>3905</v>
      </c>
      <c r="C2467">
        <v>37.2253513223</v>
      </c>
      <c r="D2467">
        <v>-7.0300502040700001</v>
      </c>
      <c r="E2467">
        <v>3</v>
      </c>
      <c r="F2467">
        <v>3</v>
      </c>
      <c r="G2467">
        <v>3</v>
      </c>
      <c r="J2467" t="s">
        <v>15</v>
      </c>
      <c r="K2467">
        <v>3</v>
      </c>
      <c r="L2467">
        <v>2.569</v>
      </c>
      <c r="M2467">
        <v>0</v>
      </c>
      <c r="N2467" t="s">
        <v>10019</v>
      </c>
      <c r="O2467" t="str">
        <f>HYPERLINK("3\0\marker_523_379917.png", "Ver Imagen")</f>
        <v>Ver Imagen</v>
      </c>
      <c r="P2467" t="str">
        <f>HYPERLINK("SE\A-5058\A-5058__11.png", "Ver Imagen")</f>
        <v>Ver Imagen</v>
      </c>
    </row>
    <row r="2468" spans="1:16" x14ac:dyDescent="0.25">
      <c r="A2468">
        <v>1947</v>
      </c>
      <c r="B2468" t="s">
        <v>3907</v>
      </c>
      <c r="C2468">
        <v>37.225348266099999</v>
      </c>
      <c r="D2468">
        <v>-7.0302849456400001</v>
      </c>
      <c r="E2468">
        <v>3</v>
      </c>
      <c r="F2468">
        <v>3</v>
      </c>
      <c r="G2468">
        <v>3</v>
      </c>
      <c r="J2468" t="s">
        <v>15</v>
      </c>
      <c r="K2468">
        <v>3</v>
      </c>
      <c r="L2468">
        <v>2.98</v>
      </c>
      <c r="M2468">
        <v>0</v>
      </c>
      <c r="N2468" t="s">
        <v>10019</v>
      </c>
      <c r="O2468" t="str">
        <f>HYPERLINK("3\0\marker_518_379927.png", "Ver Imagen")</f>
        <v>Ver Imagen</v>
      </c>
      <c r="P2468" t="str">
        <f>HYPERLINK("SE\A-5058\A-5058__12.png", "Ver Imagen")</f>
        <v>Ver Imagen</v>
      </c>
    </row>
    <row r="2469" spans="1:16" x14ac:dyDescent="0.25">
      <c r="A2469">
        <v>1948</v>
      </c>
      <c r="B2469" t="s">
        <v>3909</v>
      </c>
      <c r="C2469">
        <v>37.225279046099999</v>
      </c>
      <c r="D2469">
        <v>-7.0313062224999996</v>
      </c>
      <c r="E2469">
        <v>3</v>
      </c>
      <c r="F2469">
        <v>3</v>
      </c>
      <c r="G2469">
        <v>3</v>
      </c>
      <c r="J2469" t="s">
        <v>15</v>
      </c>
      <c r="K2469">
        <v>3</v>
      </c>
      <c r="L2469">
        <v>2.8650000000000002</v>
      </c>
      <c r="M2469">
        <v>0</v>
      </c>
      <c r="N2469" t="s">
        <v>10019</v>
      </c>
      <c r="O2469" t="str">
        <f>HYPERLINK("3\0\marker_762_380001.png", "Ver Imagen")</f>
        <v>Ver Imagen</v>
      </c>
      <c r="P2469" t="str">
        <f>HYPERLINK("SE\A-5058\A-5058__16.png", "Ver Imagen")</f>
        <v>Ver Imagen</v>
      </c>
    </row>
    <row r="2470" spans="1:16" x14ac:dyDescent="0.25">
      <c r="A2470">
        <v>1949</v>
      </c>
      <c r="B2470" t="s">
        <v>3911</v>
      </c>
      <c r="C2470">
        <v>37.225212691400003</v>
      </c>
      <c r="D2470">
        <v>-7.0320697007300002</v>
      </c>
      <c r="E2470">
        <v>3</v>
      </c>
      <c r="F2470">
        <v>3</v>
      </c>
      <c r="G2470">
        <v>3</v>
      </c>
      <c r="J2470" t="s">
        <v>15</v>
      </c>
      <c r="K2470">
        <v>3</v>
      </c>
      <c r="L2470">
        <v>2.9710000000000001</v>
      </c>
      <c r="M2470">
        <v>0</v>
      </c>
      <c r="N2470" t="s">
        <v>10019</v>
      </c>
      <c r="O2470" t="str">
        <f>HYPERLINK("3\0\marker_576_380048.png", "Ver Imagen")</f>
        <v>Ver Imagen</v>
      </c>
      <c r="P2470" t="str">
        <f>HYPERLINK("SE\A-5058\A-5058__19.png", "Ver Imagen")</f>
        <v>Ver Imagen</v>
      </c>
    </row>
    <row r="2471" spans="1:16" x14ac:dyDescent="0.25">
      <c r="A2471">
        <v>1950</v>
      </c>
      <c r="B2471" t="s">
        <v>3913</v>
      </c>
      <c r="C2471">
        <v>37.225187366</v>
      </c>
      <c r="D2471">
        <v>-7.0323015306599999</v>
      </c>
      <c r="E2471">
        <v>3</v>
      </c>
      <c r="F2471">
        <v>3</v>
      </c>
      <c r="G2471">
        <v>3</v>
      </c>
      <c r="J2471" t="s">
        <v>15</v>
      </c>
      <c r="K2471">
        <v>3</v>
      </c>
      <c r="L2471">
        <v>2.9420000000000002</v>
      </c>
      <c r="M2471">
        <v>0</v>
      </c>
      <c r="N2471" t="s">
        <v>10019</v>
      </c>
      <c r="O2471" t="str">
        <f>HYPERLINK("3\0\marker_381_380056.png", "Ver Imagen")</f>
        <v>Ver Imagen</v>
      </c>
      <c r="P2471" t="str">
        <f>HYPERLINK("SE\A-5058\A-5058__20.png", "Ver Imagen")</f>
        <v>Ver Imagen</v>
      </c>
    </row>
    <row r="2472" spans="1:16" x14ac:dyDescent="0.25">
      <c r="A2472">
        <v>1951</v>
      </c>
      <c r="B2472" t="s">
        <v>3915</v>
      </c>
      <c r="C2472">
        <v>37.2251498117</v>
      </c>
      <c r="D2472">
        <v>-7.0325611403500004</v>
      </c>
      <c r="E2472">
        <v>3</v>
      </c>
      <c r="F2472">
        <v>3</v>
      </c>
      <c r="G2472">
        <v>3</v>
      </c>
      <c r="J2472" t="s">
        <v>15</v>
      </c>
      <c r="K2472">
        <v>3</v>
      </c>
      <c r="L2472">
        <v>2.66</v>
      </c>
      <c r="M2472">
        <v>0</v>
      </c>
      <c r="N2472" t="s">
        <v>10019</v>
      </c>
      <c r="O2472" t="str">
        <f>HYPERLINK("3\0\marker_207_380082.png", "Ver Imagen")</f>
        <v>Ver Imagen</v>
      </c>
      <c r="P2472" t="str">
        <f>HYPERLINK("SE\A-5058\A-5058__21.png", "Ver Imagen")</f>
        <v>Ver Imagen</v>
      </c>
    </row>
    <row r="2473" spans="1:16" x14ac:dyDescent="0.25">
      <c r="A2473">
        <v>1952</v>
      </c>
      <c r="B2473" t="s">
        <v>3917</v>
      </c>
      <c r="C2473">
        <v>37.225037896000003</v>
      </c>
      <c r="D2473">
        <v>-7.0330693349800004</v>
      </c>
      <c r="E2473">
        <v>3</v>
      </c>
      <c r="F2473">
        <v>3</v>
      </c>
      <c r="G2473">
        <v>3</v>
      </c>
      <c r="J2473" t="s">
        <v>15</v>
      </c>
      <c r="K2473">
        <v>3</v>
      </c>
      <c r="L2473">
        <v>3.1280000000000001</v>
      </c>
      <c r="M2473">
        <v>0</v>
      </c>
      <c r="N2473" t="s">
        <v>10019</v>
      </c>
      <c r="O2473" t="str">
        <f>HYPERLINK("3\0\marker_268_380107.png", "Ver Imagen")</f>
        <v>Ver Imagen</v>
      </c>
      <c r="P2473" t="str">
        <f>HYPERLINK("SE\A-5058\A-5058__23.png", "Ver Imagen")</f>
        <v>Ver Imagen</v>
      </c>
    </row>
    <row r="2474" spans="1:16" x14ac:dyDescent="0.25">
      <c r="A2474">
        <v>1954</v>
      </c>
      <c r="B2474" t="s">
        <v>3921</v>
      </c>
      <c r="C2474">
        <v>37.224564157499998</v>
      </c>
      <c r="D2474">
        <v>-7.03468739787</v>
      </c>
      <c r="E2474">
        <v>3</v>
      </c>
      <c r="F2474">
        <v>3</v>
      </c>
      <c r="G2474">
        <v>3</v>
      </c>
      <c r="J2474" t="s">
        <v>15</v>
      </c>
      <c r="K2474">
        <v>3</v>
      </c>
      <c r="L2474">
        <v>2.798</v>
      </c>
      <c r="M2474">
        <v>0</v>
      </c>
      <c r="N2474" t="s">
        <v>10019</v>
      </c>
      <c r="O2474" t="str">
        <f>HYPERLINK("3\0\marker_916_380191.png", "Ver Imagen")</f>
        <v>Ver Imagen</v>
      </c>
      <c r="P2474" t="str">
        <f>HYPERLINK("SE\A-5058\A-5058__30.png", "Ver Imagen")</f>
        <v>Ver Imagen</v>
      </c>
    </row>
    <row r="2475" spans="1:16" x14ac:dyDescent="0.25">
      <c r="A2475">
        <v>1955</v>
      </c>
      <c r="B2475" t="s">
        <v>3923</v>
      </c>
      <c r="C2475">
        <v>37.431696626799997</v>
      </c>
      <c r="D2475">
        <v>-7.06219628807</v>
      </c>
      <c r="E2475">
        <v>3</v>
      </c>
      <c r="F2475">
        <v>3</v>
      </c>
      <c r="G2475">
        <v>3</v>
      </c>
      <c r="J2475" t="s">
        <v>15</v>
      </c>
      <c r="K2475">
        <v>3</v>
      </c>
      <c r="L2475">
        <v>3.2010000000000001</v>
      </c>
      <c r="M2475">
        <v>0</v>
      </c>
      <c r="N2475" t="s">
        <v>10019</v>
      </c>
      <c r="O2475" t="str">
        <f>HYPERLINK("3\0\marker_855_382883.png", "Ver Imagen")</f>
        <v>Ver Imagen</v>
      </c>
      <c r="P2475" t="str">
        <f>HYPERLINK("NE\A-495\A-495__167.png", "Ver Imagen")</f>
        <v>Ver Imagen</v>
      </c>
    </row>
    <row r="2476" spans="1:16" x14ac:dyDescent="0.25">
      <c r="A2476">
        <v>1956</v>
      </c>
      <c r="B2476" t="s">
        <v>3925</v>
      </c>
      <c r="C2476">
        <v>37.224558255700003</v>
      </c>
      <c r="D2476">
        <v>-7.0359662112499999</v>
      </c>
      <c r="E2476">
        <v>3</v>
      </c>
      <c r="F2476">
        <v>3</v>
      </c>
      <c r="G2476">
        <v>3</v>
      </c>
      <c r="J2476" t="s">
        <v>15</v>
      </c>
      <c r="K2476">
        <v>3</v>
      </c>
      <c r="L2476">
        <v>2.847</v>
      </c>
      <c r="M2476">
        <v>0</v>
      </c>
      <c r="N2476" t="s">
        <v>10019</v>
      </c>
      <c r="O2476" t="str">
        <f>HYPERLINK("3\0\marker_453_380254.png", "Ver Imagen")</f>
        <v>Ver Imagen</v>
      </c>
      <c r="P2476" t="str">
        <f>HYPERLINK("SE\A-5058\A-5058__36.png", "Ver Imagen")</f>
        <v>Ver Imagen</v>
      </c>
    </row>
    <row r="2477" spans="1:16" x14ac:dyDescent="0.25">
      <c r="A2477">
        <v>1957</v>
      </c>
      <c r="B2477" t="s">
        <v>3927</v>
      </c>
      <c r="C2477">
        <v>37.2246116763</v>
      </c>
      <c r="D2477">
        <v>-7.0372407290999996</v>
      </c>
      <c r="E2477">
        <v>3</v>
      </c>
      <c r="F2477">
        <v>3</v>
      </c>
      <c r="G2477">
        <v>3</v>
      </c>
      <c r="J2477" t="s">
        <v>15</v>
      </c>
      <c r="K2477">
        <v>3</v>
      </c>
      <c r="L2477">
        <v>3.0369999999999999</v>
      </c>
      <c r="M2477">
        <v>0</v>
      </c>
      <c r="N2477" t="s">
        <v>10019</v>
      </c>
      <c r="O2477" t="str">
        <f>HYPERLINK("3\0\marker_267_380312.png", "Ver Imagen")</f>
        <v>Ver Imagen</v>
      </c>
      <c r="P2477" t="str">
        <f>HYPERLINK("SE\A-5058\A-5058__41.png", "Ver Imagen")</f>
        <v>Ver Imagen</v>
      </c>
    </row>
    <row r="2478" spans="1:16" x14ac:dyDescent="0.25">
      <c r="A2478">
        <v>1959</v>
      </c>
      <c r="B2478" t="s">
        <v>3931</v>
      </c>
      <c r="C2478">
        <v>37.226933145700002</v>
      </c>
      <c r="D2478">
        <v>-7.0446464867699996</v>
      </c>
      <c r="E2478">
        <v>3</v>
      </c>
      <c r="F2478">
        <v>3</v>
      </c>
      <c r="G2478">
        <v>3</v>
      </c>
      <c r="J2478" t="s">
        <v>15</v>
      </c>
      <c r="K2478">
        <v>3</v>
      </c>
      <c r="L2478">
        <v>2.6179999999999999</v>
      </c>
      <c r="M2478">
        <v>0</v>
      </c>
      <c r="N2478" t="s">
        <v>10018</v>
      </c>
      <c r="O2478" t="str">
        <f>HYPERLINK("3\0\marker_447_380784.png", "Ver Imagen")</f>
        <v>Ver Imagen</v>
      </c>
      <c r="P2478" t="str">
        <f>HYPERLINK("SE\A-5058\A-5058__73.png", "Ver Imagen")</f>
        <v>Ver Imagen</v>
      </c>
    </row>
    <row r="2479" spans="1:16" x14ac:dyDescent="0.25">
      <c r="A2479">
        <v>1961</v>
      </c>
      <c r="B2479" t="s">
        <v>3935</v>
      </c>
      <c r="C2479">
        <v>37.228214913800002</v>
      </c>
      <c r="D2479">
        <v>-7.0459535247899998</v>
      </c>
      <c r="E2479">
        <v>3</v>
      </c>
      <c r="F2479">
        <v>3</v>
      </c>
      <c r="G2479">
        <v>3</v>
      </c>
      <c r="J2479" t="s">
        <v>15</v>
      </c>
      <c r="K2479">
        <v>3</v>
      </c>
      <c r="L2479">
        <v>2.9350000000000001</v>
      </c>
      <c r="M2479">
        <v>0</v>
      </c>
      <c r="N2479" t="s">
        <v>10019</v>
      </c>
      <c r="O2479" t="str">
        <f>HYPERLINK("3\0\marker_320_380872.png", "Ver Imagen")</f>
        <v>Ver Imagen</v>
      </c>
      <c r="P2479" t="str">
        <f>HYPERLINK("SE\A-5058\A-5058__81.png", "Ver Imagen")</f>
        <v>Ver Imagen</v>
      </c>
    </row>
    <row r="2480" spans="1:16" x14ac:dyDescent="0.25">
      <c r="A2480">
        <v>1962</v>
      </c>
      <c r="B2480" t="s">
        <v>3937</v>
      </c>
      <c r="C2480">
        <v>37.230823191100001</v>
      </c>
      <c r="D2480">
        <v>-7.0500988442099999</v>
      </c>
      <c r="E2480">
        <v>3</v>
      </c>
      <c r="F2480">
        <v>3</v>
      </c>
      <c r="G2480">
        <v>3</v>
      </c>
      <c r="J2480" t="s">
        <v>15</v>
      </c>
      <c r="K2480">
        <v>3</v>
      </c>
      <c r="L2480">
        <v>2.7730000000000001</v>
      </c>
      <c r="M2480">
        <v>0</v>
      </c>
      <c r="N2480" t="s">
        <v>10019</v>
      </c>
      <c r="O2480" t="str">
        <f>HYPERLINK("3\0\marker_302_381139.png", "Ver Imagen")</f>
        <v>Ver Imagen</v>
      </c>
      <c r="P2480" t="str">
        <f>HYPERLINK("SE\A-5058\A-5058__102.png", "Ver Imagen")</f>
        <v>Ver Imagen</v>
      </c>
    </row>
    <row r="2481" spans="1:16" x14ac:dyDescent="0.25">
      <c r="A2481">
        <v>1963</v>
      </c>
      <c r="B2481" t="s">
        <v>3939</v>
      </c>
      <c r="C2481">
        <v>37.230940162300001</v>
      </c>
      <c r="D2481">
        <v>-7.0503092403899998</v>
      </c>
      <c r="E2481">
        <v>3</v>
      </c>
      <c r="F2481">
        <v>3</v>
      </c>
      <c r="G2481">
        <v>3</v>
      </c>
      <c r="J2481" t="s">
        <v>15</v>
      </c>
      <c r="K2481">
        <v>3</v>
      </c>
      <c r="L2481">
        <v>2.7360000000000002</v>
      </c>
      <c r="M2481">
        <v>0</v>
      </c>
      <c r="N2481" t="s">
        <v>10019</v>
      </c>
      <c r="O2481" t="str">
        <f>HYPERLINK("3\0\marker_350_381152.png", "Ver Imagen")</f>
        <v>Ver Imagen</v>
      </c>
      <c r="P2481" t="str">
        <f>HYPERLINK("SE\A-5058\A-5058__103.png", "Ver Imagen")</f>
        <v>Ver Imagen</v>
      </c>
    </row>
    <row r="2482" spans="1:16" x14ac:dyDescent="0.25">
      <c r="A2482">
        <v>1964</v>
      </c>
      <c r="B2482" t="s">
        <v>3941</v>
      </c>
      <c r="C2482">
        <v>37.231845337499998</v>
      </c>
      <c r="D2482">
        <v>-7.0520066734600002</v>
      </c>
      <c r="E2482">
        <v>3</v>
      </c>
      <c r="F2482">
        <v>3</v>
      </c>
      <c r="G2482">
        <v>3</v>
      </c>
      <c r="J2482" t="s">
        <v>15</v>
      </c>
      <c r="K2482">
        <v>3</v>
      </c>
      <c r="L2482">
        <v>2.7519999999999998</v>
      </c>
      <c r="M2482">
        <v>0</v>
      </c>
      <c r="N2482" t="s">
        <v>10018</v>
      </c>
      <c r="O2482" t="str">
        <f>HYPERLINK("3\0\marker_686_381249.png", "Ver Imagen")</f>
        <v>Ver Imagen</v>
      </c>
      <c r="P2482" t="str">
        <f>HYPERLINK("SE\A-5058\A-5058__111.png", "Ver Imagen")</f>
        <v>Ver Imagen</v>
      </c>
    </row>
    <row r="2483" spans="1:16" x14ac:dyDescent="0.25">
      <c r="A2483">
        <v>1965</v>
      </c>
      <c r="B2483" t="s">
        <v>3943</v>
      </c>
      <c r="C2483">
        <v>37.2326332982</v>
      </c>
      <c r="D2483">
        <v>-7.0534854281600001</v>
      </c>
      <c r="E2483">
        <v>3</v>
      </c>
      <c r="F2483">
        <v>3</v>
      </c>
      <c r="G2483">
        <v>3</v>
      </c>
      <c r="J2483" t="s">
        <v>15</v>
      </c>
      <c r="K2483">
        <v>3</v>
      </c>
      <c r="L2483">
        <v>2.9260000000000002</v>
      </c>
      <c r="M2483">
        <v>0</v>
      </c>
      <c r="N2483" t="s">
        <v>10019</v>
      </c>
      <c r="O2483" t="str">
        <f>HYPERLINK("3\0\marker_937_381324.png", "Ver Imagen")</f>
        <v>Ver Imagen</v>
      </c>
      <c r="P2483" t="str">
        <f>HYPERLINK("SE\A-5058\A-5058__118.png", "Ver Imagen")</f>
        <v>Ver Imagen</v>
      </c>
    </row>
    <row r="2484" spans="1:16" x14ac:dyDescent="0.25">
      <c r="A2484">
        <v>1967</v>
      </c>
      <c r="B2484" t="s">
        <v>3947</v>
      </c>
      <c r="C2484">
        <v>37.2341199229</v>
      </c>
      <c r="D2484">
        <v>-7.0590098444600002</v>
      </c>
      <c r="E2484">
        <v>3</v>
      </c>
      <c r="F2484">
        <v>3</v>
      </c>
      <c r="G2484">
        <v>3</v>
      </c>
      <c r="J2484" t="s">
        <v>15</v>
      </c>
      <c r="K2484">
        <v>3</v>
      </c>
      <c r="L2484">
        <v>2.9660000000000002</v>
      </c>
      <c r="M2484">
        <v>0</v>
      </c>
      <c r="N2484" t="s">
        <v>10019</v>
      </c>
      <c r="O2484" t="str">
        <f>HYPERLINK("3\0\marker_490_381597.png", "Ver Imagen")</f>
        <v>Ver Imagen</v>
      </c>
      <c r="P2484" t="str">
        <f>HYPERLINK("SE\A-5058\A-5058__141.png", "Ver Imagen")</f>
        <v>Ver Imagen</v>
      </c>
    </row>
    <row r="2485" spans="1:16" x14ac:dyDescent="0.25">
      <c r="A2485">
        <v>1968</v>
      </c>
      <c r="B2485" t="s">
        <v>3949</v>
      </c>
      <c r="C2485">
        <v>37.234133830200001</v>
      </c>
      <c r="D2485">
        <v>-7.05999058037</v>
      </c>
      <c r="E2485">
        <v>3</v>
      </c>
      <c r="F2485">
        <v>3</v>
      </c>
      <c r="G2485">
        <v>3</v>
      </c>
      <c r="J2485" t="s">
        <v>15</v>
      </c>
      <c r="K2485">
        <v>3</v>
      </c>
      <c r="L2485">
        <v>2.9249999999999998</v>
      </c>
      <c r="M2485">
        <v>0</v>
      </c>
      <c r="N2485" t="s">
        <v>10019</v>
      </c>
      <c r="O2485" t="str">
        <f>HYPERLINK("3\0\marker_940_381641.png", "Ver Imagen")</f>
        <v>Ver Imagen</v>
      </c>
      <c r="P2485" t="str">
        <f>HYPERLINK("SE\A-5058\A-5058__145.png", "Ver Imagen")</f>
        <v>Ver Imagen</v>
      </c>
    </row>
    <row r="2486" spans="1:16" x14ac:dyDescent="0.25">
      <c r="A2486">
        <v>1969</v>
      </c>
      <c r="B2486" t="s">
        <v>3951</v>
      </c>
      <c r="C2486">
        <v>37.234119543600002</v>
      </c>
      <c r="D2486">
        <v>-7.0610476523600001</v>
      </c>
      <c r="E2486">
        <v>3</v>
      </c>
      <c r="F2486">
        <v>3</v>
      </c>
      <c r="G2486">
        <v>3</v>
      </c>
      <c r="J2486" t="s">
        <v>15</v>
      </c>
      <c r="K2486">
        <v>3</v>
      </c>
      <c r="L2486">
        <v>3.335</v>
      </c>
      <c r="M2486">
        <v>0</v>
      </c>
      <c r="N2486" t="s">
        <v>10019</v>
      </c>
      <c r="O2486" t="str">
        <f>HYPERLINK("3\0\marker_592_381691.png", "Ver Imagen")</f>
        <v>Ver Imagen</v>
      </c>
      <c r="P2486" t="str">
        <f>HYPERLINK("SE\A-5058\A-5058__149.png", "Ver Imagen")</f>
        <v>Ver Imagen</v>
      </c>
    </row>
    <row r="2487" spans="1:16" x14ac:dyDescent="0.25">
      <c r="A2487">
        <v>1970</v>
      </c>
      <c r="B2487" t="s">
        <v>3953</v>
      </c>
      <c r="C2487">
        <v>37.234108370999998</v>
      </c>
      <c r="D2487">
        <v>-7.0614946634400004</v>
      </c>
      <c r="E2487">
        <v>3</v>
      </c>
      <c r="F2487">
        <v>3</v>
      </c>
      <c r="G2487">
        <v>3</v>
      </c>
      <c r="J2487" t="s">
        <v>15</v>
      </c>
      <c r="K2487">
        <v>3</v>
      </c>
      <c r="L2487">
        <v>3.3650000000000002</v>
      </c>
      <c r="M2487">
        <v>0</v>
      </c>
      <c r="N2487" t="s">
        <v>10019</v>
      </c>
      <c r="O2487" t="str">
        <f>HYPERLINK("3\0\marker_984_381718.png", "Ver Imagen")</f>
        <v>Ver Imagen</v>
      </c>
      <c r="P2487" t="str">
        <f>HYPERLINK("SE\A-5058\A-5058__151.png", "Ver Imagen")</f>
        <v>Ver Imagen</v>
      </c>
    </row>
    <row r="2488" spans="1:16" x14ac:dyDescent="0.25">
      <c r="A2488">
        <v>1971</v>
      </c>
      <c r="B2488" t="s">
        <v>3955</v>
      </c>
      <c r="C2488">
        <v>37.234097765100003</v>
      </c>
      <c r="D2488">
        <v>-7.0617777145499998</v>
      </c>
      <c r="E2488">
        <v>3</v>
      </c>
      <c r="F2488">
        <v>3</v>
      </c>
      <c r="G2488">
        <v>3</v>
      </c>
      <c r="J2488" t="s">
        <v>15</v>
      </c>
      <c r="K2488">
        <v>3</v>
      </c>
      <c r="L2488">
        <v>3.09</v>
      </c>
      <c r="M2488">
        <v>0</v>
      </c>
      <c r="N2488" t="s">
        <v>10019</v>
      </c>
      <c r="O2488" t="str">
        <f>HYPERLINK("3\0\marker_515_381731.png", "Ver Imagen")</f>
        <v>Ver Imagen</v>
      </c>
      <c r="P2488" t="str">
        <f>HYPERLINK("SE\A-5058\A-5058__152.png", "Ver Imagen")</f>
        <v>Ver Imagen</v>
      </c>
    </row>
    <row r="2489" spans="1:16" x14ac:dyDescent="0.25">
      <c r="A2489">
        <v>1972</v>
      </c>
      <c r="B2489" t="s">
        <v>3957</v>
      </c>
      <c r="C2489">
        <v>37.234081943100001</v>
      </c>
      <c r="D2489">
        <v>-7.0622753862799996</v>
      </c>
      <c r="E2489">
        <v>3</v>
      </c>
      <c r="F2489">
        <v>3</v>
      </c>
      <c r="G2489">
        <v>3</v>
      </c>
      <c r="J2489" t="s">
        <v>15</v>
      </c>
      <c r="K2489">
        <v>3</v>
      </c>
      <c r="L2489">
        <v>2.8149999999999999</v>
      </c>
      <c r="M2489">
        <v>0</v>
      </c>
      <c r="N2489" t="s">
        <v>10019</v>
      </c>
      <c r="O2489" t="str">
        <f>HYPERLINK("3\0\marker_753_381750.png", "Ver Imagen")</f>
        <v>Ver Imagen</v>
      </c>
      <c r="P2489" t="str">
        <f>HYPERLINK("SE\A-5058\A-5058__154.png", "Ver Imagen")</f>
        <v>Ver Imagen</v>
      </c>
    </row>
    <row r="2490" spans="1:16" x14ac:dyDescent="0.25">
      <c r="A2490">
        <v>1973</v>
      </c>
      <c r="B2490" t="s">
        <v>3959</v>
      </c>
      <c r="C2490">
        <v>37.2340616137</v>
      </c>
      <c r="D2490">
        <v>-7.0630453686700001</v>
      </c>
      <c r="E2490">
        <v>3</v>
      </c>
      <c r="F2490">
        <v>3</v>
      </c>
      <c r="G2490">
        <v>3</v>
      </c>
      <c r="J2490" t="s">
        <v>15</v>
      </c>
      <c r="K2490">
        <v>3</v>
      </c>
      <c r="L2490">
        <v>2.919</v>
      </c>
      <c r="M2490">
        <v>0</v>
      </c>
      <c r="N2490" t="s">
        <v>10019</v>
      </c>
      <c r="O2490" t="str">
        <f>HYPERLINK("3\0\marker_896_381776.png", "Ver Imagen")</f>
        <v>Ver Imagen</v>
      </c>
      <c r="P2490" t="str">
        <f>HYPERLINK("SE\A-5058\A-5058__157.png", "Ver Imagen")</f>
        <v>Ver Imagen</v>
      </c>
    </row>
    <row r="2491" spans="1:16" x14ac:dyDescent="0.25">
      <c r="A2491">
        <v>1974</v>
      </c>
      <c r="B2491" t="s">
        <v>3961</v>
      </c>
      <c r="C2491">
        <v>37.234053375000002</v>
      </c>
      <c r="D2491">
        <v>-7.0633048005600001</v>
      </c>
      <c r="E2491">
        <v>3</v>
      </c>
      <c r="F2491">
        <v>3</v>
      </c>
      <c r="G2491">
        <v>3</v>
      </c>
      <c r="J2491" t="s">
        <v>15</v>
      </c>
      <c r="K2491">
        <v>3</v>
      </c>
      <c r="L2491">
        <v>3.1150000000000002</v>
      </c>
      <c r="M2491">
        <v>0</v>
      </c>
      <c r="N2491" t="s">
        <v>10019</v>
      </c>
      <c r="O2491" t="str">
        <f>HYPERLINK("3\0\marker_858_381802.png", "Ver Imagen")</f>
        <v>Ver Imagen</v>
      </c>
      <c r="P2491" t="str">
        <f>HYPERLINK("SE\A-5058\A-5058__158.png", "Ver Imagen")</f>
        <v>Ver Imagen</v>
      </c>
    </row>
    <row r="2492" spans="1:16" x14ac:dyDescent="0.25">
      <c r="A2492">
        <v>1975</v>
      </c>
      <c r="B2492" t="s">
        <v>3963</v>
      </c>
      <c r="C2492">
        <v>37.234045641199998</v>
      </c>
      <c r="D2492">
        <v>-7.0635552318999997</v>
      </c>
      <c r="E2492">
        <v>3</v>
      </c>
      <c r="F2492">
        <v>3</v>
      </c>
      <c r="G2492">
        <v>3</v>
      </c>
      <c r="J2492" t="s">
        <v>15</v>
      </c>
      <c r="K2492">
        <v>3</v>
      </c>
      <c r="L2492">
        <v>3.1739999999999999</v>
      </c>
      <c r="M2492">
        <v>0</v>
      </c>
      <c r="N2492" t="s">
        <v>10019</v>
      </c>
      <c r="O2492" t="str">
        <f>HYPERLINK("3\0\marker_888_381815.png", "Ver Imagen")</f>
        <v>Ver Imagen</v>
      </c>
      <c r="P2492" t="str">
        <f>HYPERLINK("SE\A-5058\A-5058__159.png", "Ver Imagen")</f>
        <v>Ver Imagen</v>
      </c>
    </row>
    <row r="2493" spans="1:16" x14ac:dyDescent="0.25">
      <c r="A2493">
        <v>1976</v>
      </c>
      <c r="B2493" t="s">
        <v>3965</v>
      </c>
      <c r="C2493">
        <v>37.234029525399997</v>
      </c>
      <c r="D2493">
        <v>-7.0640533653700004</v>
      </c>
      <c r="E2493">
        <v>3</v>
      </c>
      <c r="F2493">
        <v>3</v>
      </c>
      <c r="G2493">
        <v>3</v>
      </c>
      <c r="J2493" t="s">
        <v>15</v>
      </c>
      <c r="K2493">
        <v>3</v>
      </c>
      <c r="L2493">
        <v>2.6419999999999999</v>
      </c>
      <c r="M2493">
        <v>0</v>
      </c>
      <c r="N2493" t="s">
        <v>10019</v>
      </c>
      <c r="O2493" t="str">
        <f>HYPERLINK("3\0\marker_277_381834.png", "Ver Imagen")</f>
        <v>Ver Imagen</v>
      </c>
      <c r="P2493" t="str">
        <f>HYPERLINK("SE\A-5058\A-5058__161.png", "Ver Imagen")</f>
        <v>Ver Imagen</v>
      </c>
    </row>
    <row r="2494" spans="1:16" x14ac:dyDescent="0.25">
      <c r="A2494">
        <v>1977</v>
      </c>
      <c r="B2494" t="s">
        <v>3967</v>
      </c>
      <c r="C2494">
        <v>37.234019043099998</v>
      </c>
      <c r="D2494">
        <v>-7.0643162421000003</v>
      </c>
      <c r="E2494">
        <v>3</v>
      </c>
      <c r="F2494">
        <v>3</v>
      </c>
      <c r="G2494">
        <v>3</v>
      </c>
      <c r="J2494" t="s">
        <v>15</v>
      </c>
      <c r="K2494">
        <v>3</v>
      </c>
      <c r="L2494">
        <v>3.0310000000000001</v>
      </c>
      <c r="M2494">
        <v>0</v>
      </c>
      <c r="N2494" t="s">
        <v>10019</v>
      </c>
      <c r="O2494" t="str">
        <f>HYPERLINK("3\0\marker_395_381843.png", "Ver Imagen")</f>
        <v>Ver Imagen</v>
      </c>
      <c r="P2494" t="str">
        <f>HYPERLINK("SE\A-5058\A-5058__162.png", "Ver Imagen")</f>
        <v>Ver Imagen</v>
      </c>
    </row>
    <row r="2495" spans="1:16" x14ac:dyDescent="0.25">
      <c r="A2495">
        <v>1978</v>
      </c>
      <c r="B2495" t="s">
        <v>3969</v>
      </c>
      <c r="C2495">
        <v>37.2339871219</v>
      </c>
      <c r="D2495">
        <v>-7.0648170330999998</v>
      </c>
      <c r="E2495">
        <v>3</v>
      </c>
      <c r="F2495">
        <v>3</v>
      </c>
      <c r="G2495">
        <v>3</v>
      </c>
      <c r="J2495" t="s">
        <v>15</v>
      </c>
      <c r="K2495">
        <v>3</v>
      </c>
      <c r="L2495">
        <v>3.218</v>
      </c>
      <c r="M2495">
        <v>0</v>
      </c>
      <c r="N2495" t="s">
        <v>10019</v>
      </c>
      <c r="O2495" t="str">
        <f>HYPERLINK("3\0\marker_201_381865.png", "Ver Imagen")</f>
        <v>Ver Imagen</v>
      </c>
      <c r="P2495" t="str">
        <f>HYPERLINK("SE\A-5058\A-5058__164.png", "Ver Imagen")</f>
        <v>Ver Imagen</v>
      </c>
    </row>
    <row r="2496" spans="1:16" x14ac:dyDescent="0.25">
      <c r="A2496">
        <v>1979</v>
      </c>
      <c r="B2496" t="s">
        <v>3971</v>
      </c>
      <c r="C2496">
        <v>37.233908310300002</v>
      </c>
      <c r="D2496">
        <v>-7.0655478998000003</v>
      </c>
      <c r="E2496">
        <v>3</v>
      </c>
      <c r="F2496">
        <v>3</v>
      </c>
      <c r="G2496">
        <v>3</v>
      </c>
      <c r="J2496" t="s">
        <v>15</v>
      </c>
      <c r="K2496">
        <v>3</v>
      </c>
      <c r="L2496">
        <v>3.1459999999999999</v>
      </c>
      <c r="M2496">
        <v>0</v>
      </c>
      <c r="N2496" t="s">
        <v>10019</v>
      </c>
      <c r="O2496" t="str">
        <f>HYPERLINK("3\0\marker_844_382002.png", "Ver Imagen")</f>
        <v>Ver Imagen</v>
      </c>
      <c r="P2496" t="str">
        <f>HYPERLINK("SE\A-5058\A-5058__167.png", "Ver Imagen")</f>
        <v>Ver Imagen</v>
      </c>
    </row>
    <row r="2497" spans="1:16" x14ac:dyDescent="0.25">
      <c r="A2497">
        <v>1980</v>
      </c>
      <c r="B2497" t="s">
        <v>3973</v>
      </c>
      <c r="C2497">
        <v>37.233722463500001</v>
      </c>
      <c r="D2497">
        <v>-7.0668830069600004</v>
      </c>
      <c r="E2497">
        <v>3</v>
      </c>
      <c r="F2497">
        <v>3</v>
      </c>
      <c r="G2497">
        <v>3</v>
      </c>
      <c r="J2497" t="s">
        <v>15</v>
      </c>
      <c r="K2497">
        <v>3</v>
      </c>
      <c r="L2497">
        <v>3.0529999999999999</v>
      </c>
      <c r="M2497">
        <v>0</v>
      </c>
      <c r="N2497" t="s">
        <v>10019</v>
      </c>
      <c r="O2497" t="str">
        <f>HYPERLINK("3\0\marker_833_382428.png", "Ver Imagen")</f>
        <v>Ver Imagen</v>
      </c>
      <c r="P2497" t="str">
        <f>HYPERLINK("SE\A-5058\A-5058__173.png", "Ver Imagen")</f>
        <v>Ver Imagen</v>
      </c>
    </row>
    <row r="2498" spans="1:16" x14ac:dyDescent="0.25">
      <c r="A2498">
        <v>1981</v>
      </c>
      <c r="B2498" t="s">
        <v>3975</v>
      </c>
      <c r="C2498">
        <v>37.233602126900003</v>
      </c>
      <c r="D2498">
        <v>-7.0674219927799999</v>
      </c>
      <c r="E2498">
        <v>3</v>
      </c>
      <c r="F2498">
        <v>3</v>
      </c>
      <c r="G2498">
        <v>3</v>
      </c>
      <c r="J2498" t="s">
        <v>15</v>
      </c>
      <c r="K2498">
        <v>3</v>
      </c>
      <c r="L2498">
        <v>2.8490000000000002</v>
      </c>
      <c r="M2498">
        <v>0</v>
      </c>
      <c r="N2498" t="s">
        <v>10017</v>
      </c>
      <c r="O2498" t="str">
        <f>HYPERLINK("3\0\marker_993_382465.png", "Ver Imagen")</f>
        <v>Ver Imagen</v>
      </c>
      <c r="P2498" t="str">
        <f>HYPERLINK("SE\A-5058\A-5058__175.png", "Ver Imagen")</f>
        <v>Ver Imagen</v>
      </c>
    </row>
    <row r="2499" spans="1:16" x14ac:dyDescent="0.25">
      <c r="A2499">
        <v>1982</v>
      </c>
      <c r="B2499" t="s">
        <v>3977</v>
      </c>
      <c r="C2499">
        <v>37.233574233699997</v>
      </c>
      <c r="D2499">
        <v>-7.0678808849200001</v>
      </c>
      <c r="E2499">
        <v>3</v>
      </c>
      <c r="F2499">
        <v>3</v>
      </c>
      <c r="G2499">
        <v>3</v>
      </c>
      <c r="J2499" t="s">
        <v>15</v>
      </c>
      <c r="K2499">
        <v>3</v>
      </c>
      <c r="L2499">
        <v>3.1680000000000001</v>
      </c>
      <c r="M2499">
        <v>0</v>
      </c>
      <c r="N2499" t="s">
        <v>10019</v>
      </c>
      <c r="O2499" t="str">
        <f>HYPERLINK("3\0\marker_800_382486.png", "Ver Imagen")</f>
        <v>Ver Imagen</v>
      </c>
      <c r="P2499" t="str">
        <f>HYPERLINK("SE\A-5058\A-5058__177.png", "Ver Imagen")</f>
        <v>Ver Imagen</v>
      </c>
    </row>
    <row r="2500" spans="1:16" x14ac:dyDescent="0.25">
      <c r="A2500">
        <v>1983</v>
      </c>
      <c r="B2500" t="s">
        <v>3979</v>
      </c>
      <c r="C2500">
        <v>37.233766961100002</v>
      </c>
      <c r="D2500">
        <v>-7.0688447028499999</v>
      </c>
      <c r="E2500">
        <v>3</v>
      </c>
      <c r="F2500">
        <v>3</v>
      </c>
      <c r="G2500">
        <v>3</v>
      </c>
      <c r="J2500" t="s">
        <v>15</v>
      </c>
      <c r="K2500">
        <v>3</v>
      </c>
      <c r="L2500">
        <v>3.194</v>
      </c>
      <c r="M2500">
        <v>0</v>
      </c>
      <c r="N2500" t="s">
        <v>10019</v>
      </c>
      <c r="O2500" t="str">
        <f>HYPERLINK("3\0\marker_427_382671.png", "Ver Imagen")</f>
        <v>Ver Imagen</v>
      </c>
      <c r="P2500" t="str">
        <f>HYPERLINK("SE\A-5058\A-5058__181.png", "Ver Imagen")</f>
        <v>Ver Imagen</v>
      </c>
    </row>
    <row r="2501" spans="1:16" x14ac:dyDescent="0.25">
      <c r="A2501">
        <v>1984</v>
      </c>
      <c r="B2501" t="s">
        <v>3981</v>
      </c>
      <c r="C2501">
        <v>37.234504870999999</v>
      </c>
      <c r="D2501">
        <v>-7.0714758291799997</v>
      </c>
      <c r="E2501">
        <v>3</v>
      </c>
      <c r="F2501">
        <v>3</v>
      </c>
      <c r="G2501">
        <v>3</v>
      </c>
      <c r="J2501" t="s">
        <v>15</v>
      </c>
      <c r="K2501">
        <v>3</v>
      </c>
      <c r="L2501">
        <v>3.0659999999999998</v>
      </c>
      <c r="M2501">
        <v>0</v>
      </c>
      <c r="N2501" t="s">
        <v>10019</v>
      </c>
      <c r="O2501" t="str">
        <f>HYPERLINK("3\0\marker_747_382803.png", "Ver Imagen")</f>
        <v>Ver Imagen</v>
      </c>
      <c r="P2501" t="str">
        <f>HYPERLINK("SE\A-5058\A-5058__192.png", "Ver Imagen")</f>
        <v>Ver Imagen</v>
      </c>
    </row>
    <row r="2502" spans="1:16" x14ac:dyDescent="0.25">
      <c r="A2502">
        <v>1985</v>
      </c>
      <c r="B2502" t="s">
        <v>3983</v>
      </c>
      <c r="C2502">
        <v>37.235402503899998</v>
      </c>
      <c r="D2502">
        <v>-7.0737413254200003</v>
      </c>
      <c r="E2502">
        <v>3</v>
      </c>
      <c r="F2502">
        <v>3</v>
      </c>
      <c r="G2502">
        <v>3</v>
      </c>
      <c r="J2502" t="s">
        <v>15</v>
      </c>
      <c r="K2502">
        <v>3</v>
      </c>
      <c r="L2502">
        <v>2.694</v>
      </c>
      <c r="M2502">
        <v>0</v>
      </c>
      <c r="N2502" t="s">
        <v>10019</v>
      </c>
      <c r="O2502" t="str">
        <f>HYPERLINK("3\0\marker_318_382911.png", "Ver Imagen")</f>
        <v>Ver Imagen</v>
      </c>
      <c r="P2502" t="str">
        <f>HYPERLINK("SE\A-5058\A-5058__202.png", "Ver Imagen")</f>
        <v>Ver Imagen</v>
      </c>
    </row>
    <row r="2503" spans="1:16" x14ac:dyDescent="0.25">
      <c r="A2503">
        <v>1985</v>
      </c>
      <c r="B2503" t="s">
        <v>3983</v>
      </c>
      <c r="C2503">
        <v>37.235402503899998</v>
      </c>
      <c r="D2503">
        <v>-7.0737413254200003</v>
      </c>
      <c r="E2503">
        <v>3</v>
      </c>
      <c r="F2503">
        <v>3</v>
      </c>
      <c r="G2503">
        <v>3</v>
      </c>
      <c r="J2503" t="s">
        <v>15</v>
      </c>
      <c r="K2503">
        <v>3</v>
      </c>
      <c r="L2503">
        <v>2.931</v>
      </c>
      <c r="M2503">
        <v>0</v>
      </c>
      <c r="N2503" t="s">
        <v>10019</v>
      </c>
      <c r="O2503" t="str">
        <f>HYPERLINK("3\0\marker_318_382911.png", "Ver Imagen")</f>
        <v>Ver Imagen</v>
      </c>
      <c r="P2503" t="str">
        <f>HYPERLINK("SO\A-5058\A-5058__202.png", "Ver Imagen")</f>
        <v>Ver Imagen</v>
      </c>
    </row>
    <row r="2504" spans="1:16" x14ac:dyDescent="0.25">
      <c r="A2504">
        <v>1986</v>
      </c>
      <c r="B2504" t="s">
        <v>3985</v>
      </c>
      <c r="C2504">
        <v>37.238075820399999</v>
      </c>
      <c r="D2504">
        <v>-7.0784746456600001</v>
      </c>
      <c r="E2504">
        <v>3</v>
      </c>
      <c r="F2504">
        <v>3</v>
      </c>
      <c r="G2504">
        <v>3</v>
      </c>
      <c r="J2504" t="s">
        <v>15</v>
      </c>
      <c r="K2504">
        <v>3</v>
      </c>
      <c r="L2504">
        <v>2.9420000000000002</v>
      </c>
      <c r="M2504">
        <v>0</v>
      </c>
      <c r="N2504" t="s">
        <v>10019</v>
      </c>
      <c r="O2504" t="str">
        <f>HYPERLINK("3\0\marker_972_383191.png", "Ver Imagen")</f>
        <v>Ver Imagen</v>
      </c>
      <c r="P2504" t="str">
        <f>HYPERLINK("SE\A-5058\A-5058__225.png", "Ver Imagen")</f>
        <v>Ver Imagen</v>
      </c>
    </row>
    <row r="2505" spans="1:16" x14ac:dyDescent="0.25">
      <c r="A2505">
        <v>1986</v>
      </c>
      <c r="B2505" t="s">
        <v>3985</v>
      </c>
      <c r="C2505">
        <v>37.238075820399999</v>
      </c>
      <c r="D2505">
        <v>-7.0784746456600001</v>
      </c>
      <c r="E2505">
        <v>3</v>
      </c>
      <c r="F2505">
        <v>3</v>
      </c>
      <c r="G2505">
        <v>3</v>
      </c>
      <c r="J2505" t="s">
        <v>15</v>
      </c>
      <c r="K2505">
        <v>3</v>
      </c>
      <c r="L2505">
        <v>3.036</v>
      </c>
      <c r="M2505">
        <v>0</v>
      </c>
      <c r="N2505" t="s">
        <v>10019</v>
      </c>
      <c r="O2505" t="str">
        <f>HYPERLINK("3\0\marker_972_383191.png", "Ver Imagen")</f>
        <v>Ver Imagen</v>
      </c>
      <c r="P2505" t="str">
        <f>HYPERLINK("SO\A-5058\A-5058__225.png", "Ver Imagen")</f>
        <v>Ver Imagen</v>
      </c>
    </row>
    <row r="2506" spans="1:16" x14ac:dyDescent="0.25">
      <c r="A2506">
        <v>1987</v>
      </c>
      <c r="B2506" t="s">
        <v>3987</v>
      </c>
      <c r="C2506">
        <v>37.238728792499998</v>
      </c>
      <c r="D2506">
        <v>-7.0794756017199996</v>
      </c>
      <c r="E2506">
        <v>3</v>
      </c>
      <c r="F2506">
        <v>3</v>
      </c>
      <c r="G2506">
        <v>3</v>
      </c>
      <c r="J2506" t="s">
        <v>15</v>
      </c>
      <c r="K2506">
        <v>3</v>
      </c>
      <c r="L2506">
        <v>3.2839999999999998</v>
      </c>
      <c r="M2506">
        <v>0</v>
      </c>
      <c r="N2506" t="s">
        <v>10017</v>
      </c>
      <c r="O2506" t="str">
        <f>HYPERLINK("3\0\marker_987_383249.png", "Ver Imagen")</f>
        <v>Ver Imagen</v>
      </c>
      <c r="P2506" t="str">
        <f>HYPERLINK("SE\A-5058\A-5058__230.png", "Ver Imagen")</f>
        <v>Ver Imagen</v>
      </c>
    </row>
    <row r="2507" spans="1:16" x14ac:dyDescent="0.25">
      <c r="A2507">
        <v>1988</v>
      </c>
      <c r="B2507" t="s">
        <v>3989</v>
      </c>
      <c r="C2507">
        <v>37.239098804599998</v>
      </c>
      <c r="D2507">
        <v>-7.0800288133500002</v>
      </c>
      <c r="E2507">
        <v>3</v>
      </c>
      <c r="F2507">
        <v>3</v>
      </c>
      <c r="G2507">
        <v>3</v>
      </c>
      <c r="J2507" t="s">
        <v>15</v>
      </c>
      <c r="K2507">
        <v>3</v>
      </c>
      <c r="L2507">
        <v>2.9350000000000001</v>
      </c>
      <c r="M2507">
        <v>0</v>
      </c>
      <c r="N2507" t="s">
        <v>10017</v>
      </c>
      <c r="O2507" t="str">
        <f>HYPERLINK("3\0\marker_508_383292.png", "Ver Imagen")</f>
        <v>Ver Imagen</v>
      </c>
      <c r="P2507" t="str">
        <f>HYPERLINK("SE\A-5058\A-5058__233.png", "Ver Imagen")</f>
        <v>Ver Imagen</v>
      </c>
    </row>
    <row r="2508" spans="1:16" x14ac:dyDescent="0.25">
      <c r="A2508">
        <v>1988</v>
      </c>
      <c r="B2508" t="s">
        <v>3989</v>
      </c>
      <c r="C2508">
        <v>37.239098804599998</v>
      </c>
      <c r="D2508">
        <v>-7.0800288133500002</v>
      </c>
      <c r="E2508">
        <v>3</v>
      </c>
      <c r="F2508">
        <v>3</v>
      </c>
      <c r="G2508">
        <v>3</v>
      </c>
      <c r="J2508" t="s">
        <v>15</v>
      </c>
      <c r="K2508">
        <v>3</v>
      </c>
      <c r="L2508">
        <v>2.9529999999999998</v>
      </c>
      <c r="M2508">
        <v>0</v>
      </c>
      <c r="N2508" t="s">
        <v>10017</v>
      </c>
      <c r="O2508" t="str">
        <f>HYPERLINK("3\0\marker_508_383292.png", "Ver Imagen")</f>
        <v>Ver Imagen</v>
      </c>
      <c r="P2508" t="str">
        <f>HYPERLINK("SO\A-5058\A-5058__233.png", "Ver Imagen")</f>
        <v>Ver Imagen</v>
      </c>
    </row>
    <row r="2509" spans="1:16" x14ac:dyDescent="0.25">
      <c r="A2509">
        <v>1989</v>
      </c>
      <c r="B2509" t="s">
        <v>3991</v>
      </c>
      <c r="C2509">
        <v>37.239242806999997</v>
      </c>
      <c r="D2509">
        <v>-7.0802481836500002</v>
      </c>
      <c r="E2509">
        <v>3</v>
      </c>
      <c r="F2509">
        <v>3</v>
      </c>
      <c r="G2509">
        <v>3</v>
      </c>
      <c r="J2509" t="s">
        <v>15</v>
      </c>
      <c r="K2509">
        <v>3</v>
      </c>
      <c r="L2509">
        <v>2.9460000000000002</v>
      </c>
      <c r="M2509">
        <v>0</v>
      </c>
      <c r="N2509" t="s">
        <v>10018</v>
      </c>
      <c r="O2509" t="str">
        <f>HYPERLINK("3\0\marker_710_383301.png", "Ver Imagen")</f>
        <v>Ver Imagen</v>
      </c>
      <c r="P2509" t="str">
        <f>HYPERLINK("SE\A-5058\A-5058__234.png", "Ver Imagen")</f>
        <v>Ver Imagen</v>
      </c>
    </row>
    <row r="2510" spans="1:16" x14ac:dyDescent="0.25">
      <c r="A2510">
        <v>1989</v>
      </c>
      <c r="B2510" t="s">
        <v>3991</v>
      </c>
      <c r="C2510">
        <v>37.239242806999997</v>
      </c>
      <c r="D2510">
        <v>-7.0802481836500002</v>
      </c>
      <c r="E2510">
        <v>3</v>
      </c>
      <c r="F2510">
        <v>3</v>
      </c>
      <c r="G2510">
        <v>3</v>
      </c>
      <c r="J2510" t="s">
        <v>15</v>
      </c>
      <c r="K2510">
        <v>3</v>
      </c>
      <c r="L2510">
        <v>3.0710000000000002</v>
      </c>
      <c r="M2510">
        <v>0</v>
      </c>
      <c r="N2510" t="s">
        <v>10018</v>
      </c>
      <c r="O2510" t="str">
        <f>HYPERLINK("3\0\marker_710_383301.png", "Ver Imagen")</f>
        <v>Ver Imagen</v>
      </c>
      <c r="P2510" t="str">
        <f>HYPERLINK("SO\A-5058\A-5058__234.png", "Ver Imagen")</f>
        <v>Ver Imagen</v>
      </c>
    </row>
    <row r="2511" spans="1:16" x14ac:dyDescent="0.25">
      <c r="A2511">
        <v>1990</v>
      </c>
      <c r="B2511" t="s">
        <v>3993</v>
      </c>
      <c r="C2511">
        <v>37.2393683325</v>
      </c>
      <c r="D2511">
        <v>-7.0804411585200002</v>
      </c>
      <c r="E2511">
        <v>3</v>
      </c>
      <c r="F2511">
        <v>3</v>
      </c>
      <c r="G2511">
        <v>3</v>
      </c>
      <c r="J2511" t="s">
        <v>15</v>
      </c>
      <c r="K2511">
        <v>3</v>
      </c>
      <c r="L2511">
        <v>3.028</v>
      </c>
      <c r="M2511">
        <v>0</v>
      </c>
      <c r="N2511" t="s">
        <v>10019</v>
      </c>
      <c r="O2511" t="str">
        <f>HYPERLINK("3\0\marker_551_383311.png", "Ver Imagen")</f>
        <v>Ver Imagen</v>
      </c>
      <c r="P2511" t="str">
        <f>HYPERLINK("SE\A-5058\A-5058__235.png", "Ver Imagen")</f>
        <v>Ver Imagen</v>
      </c>
    </row>
    <row r="2512" spans="1:16" x14ac:dyDescent="0.25">
      <c r="A2512">
        <v>1990</v>
      </c>
      <c r="B2512" t="s">
        <v>3993</v>
      </c>
      <c r="C2512">
        <v>37.2393683325</v>
      </c>
      <c r="D2512">
        <v>-7.0804411585200002</v>
      </c>
      <c r="E2512">
        <v>3</v>
      </c>
      <c r="F2512">
        <v>3</v>
      </c>
      <c r="G2512">
        <v>3</v>
      </c>
      <c r="J2512" t="s">
        <v>15</v>
      </c>
      <c r="K2512">
        <v>3</v>
      </c>
      <c r="L2512">
        <v>3.0169999999999999</v>
      </c>
      <c r="M2512">
        <v>0</v>
      </c>
      <c r="N2512" t="s">
        <v>10019</v>
      </c>
      <c r="O2512" t="str">
        <f>HYPERLINK("3\0\marker_551_383311.png", "Ver Imagen")</f>
        <v>Ver Imagen</v>
      </c>
      <c r="P2512" t="str">
        <f>HYPERLINK("SO\A-5058\A-5058__235.png", "Ver Imagen")</f>
        <v>Ver Imagen</v>
      </c>
    </row>
    <row r="2513" spans="1:16" x14ac:dyDescent="0.25">
      <c r="A2513">
        <v>1991</v>
      </c>
      <c r="B2513" t="s">
        <v>3995</v>
      </c>
      <c r="C2513">
        <v>37.242570236100001</v>
      </c>
      <c r="D2513">
        <v>-7.0862463040600003</v>
      </c>
      <c r="E2513">
        <v>3</v>
      </c>
      <c r="F2513">
        <v>3</v>
      </c>
      <c r="G2513">
        <v>3</v>
      </c>
      <c r="J2513" t="s">
        <v>15</v>
      </c>
      <c r="K2513">
        <v>3</v>
      </c>
      <c r="L2513">
        <v>2.8719999999999999</v>
      </c>
      <c r="M2513">
        <v>0</v>
      </c>
      <c r="N2513" t="s">
        <v>10019</v>
      </c>
      <c r="O2513" t="str">
        <f>HYPERLINK("3\0\marker_105_383712.png", "Ver Imagen")</f>
        <v>Ver Imagen</v>
      </c>
      <c r="P2513" t="str">
        <f>HYPERLINK("SE\A-5058\A-5058__263.png", "Ver Imagen")</f>
        <v>Ver Imagen</v>
      </c>
    </row>
    <row r="2514" spans="1:16" x14ac:dyDescent="0.25">
      <c r="A2514">
        <v>1991</v>
      </c>
      <c r="B2514" t="s">
        <v>3995</v>
      </c>
      <c r="C2514">
        <v>37.242570236100001</v>
      </c>
      <c r="D2514">
        <v>-7.0862463040600003</v>
      </c>
      <c r="E2514">
        <v>3</v>
      </c>
      <c r="F2514">
        <v>3</v>
      </c>
      <c r="G2514">
        <v>3</v>
      </c>
      <c r="J2514" t="s">
        <v>15</v>
      </c>
      <c r="K2514">
        <v>3</v>
      </c>
      <c r="L2514">
        <v>3.121</v>
      </c>
      <c r="M2514">
        <v>0</v>
      </c>
      <c r="N2514" t="s">
        <v>10019</v>
      </c>
      <c r="O2514" t="str">
        <f>HYPERLINK("3\0\marker_105_383712.png", "Ver Imagen")</f>
        <v>Ver Imagen</v>
      </c>
      <c r="P2514" t="str">
        <f>HYPERLINK("SO\A-5058\A-5058__263.png", "Ver Imagen")</f>
        <v>Ver Imagen</v>
      </c>
    </row>
    <row r="2515" spans="1:16" x14ac:dyDescent="0.25">
      <c r="A2515">
        <v>1992</v>
      </c>
      <c r="B2515" t="s">
        <v>3997</v>
      </c>
      <c r="C2515">
        <v>37.243030636199997</v>
      </c>
      <c r="D2515">
        <v>-7.0878837572200002</v>
      </c>
      <c r="E2515">
        <v>3</v>
      </c>
      <c r="F2515">
        <v>3</v>
      </c>
      <c r="G2515">
        <v>3</v>
      </c>
      <c r="J2515" t="s">
        <v>15</v>
      </c>
      <c r="K2515">
        <v>3</v>
      </c>
      <c r="L2515">
        <v>3.105</v>
      </c>
      <c r="M2515">
        <v>0</v>
      </c>
      <c r="N2515" t="s">
        <v>10019</v>
      </c>
      <c r="O2515" t="str">
        <f>HYPERLINK("3\0\marker_347_383919.png", "Ver Imagen")</f>
        <v>Ver Imagen</v>
      </c>
      <c r="P2515" t="str">
        <f>HYPERLINK("SE\A-5058\A-5058__270.png", "Ver Imagen")</f>
        <v>Ver Imagen</v>
      </c>
    </row>
    <row r="2516" spans="1:16" x14ac:dyDescent="0.25">
      <c r="A2516">
        <v>1992</v>
      </c>
      <c r="B2516" t="s">
        <v>3997</v>
      </c>
      <c r="C2516">
        <v>37.243030636199997</v>
      </c>
      <c r="D2516">
        <v>-7.0878837572200002</v>
      </c>
      <c r="E2516">
        <v>3</v>
      </c>
      <c r="F2516">
        <v>3</v>
      </c>
      <c r="G2516">
        <v>3</v>
      </c>
      <c r="J2516" t="s">
        <v>15</v>
      </c>
      <c r="K2516">
        <v>3</v>
      </c>
      <c r="L2516">
        <v>3.121</v>
      </c>
      <c r="M2516">
        <v>0</v>
      </c>
      <c r="N2516" t="s">
        <v>10019</v>
      </c>
      <c r="O2516" t="str">
        <f>HYPERLINK("3\0\marker_347_383919.png", "Ver Imagen")</f>
        <v>Ver Imagen</v>
      </c>
      <c r="P2516" t="str">
        <f>HYPERLINK("SO\A-5058\A-5058__270.png", "Ver Imagen")</f>
        <v>Ver Imagen</v>
      </c>
    </row>
    <row r="2517" spans="1:16" x14ac:dyDescent="0.25">
      <c r="A2517">
        <v>1993</v>
      </c>
      <c r="B2517" t="s">
        <v>3999</v>
      </c>
      <c r="C2517">
        <v>37.243115351199997</v>
      </c>
      <c r="D2517">
        <v>-7.0881177097799997</v>
      </c>
      <c r="E2517">
        <v>3</v>
      </c>
      <c r="F2517">
        <v>3</v>
      </c>
      <c r="G2517">
        <v>3</v>
      </c>
      <c r="J2517" t="s">
        <v>15</v>
      </c>
      <c r="K2517">
        <v>3</v>
      </c>
      <c r="L2517">
        <v>3.129</v>
      </c>
      <c r="M2517">
        <v>0</v>
      </c>
      <c r="N2517" t="s">
        <v>10019</v>
      </c>
      <c r="O2517" t="str">
        <f>HYPERLINK("3\0\marker_983_383928.png", "Ver Imagen")</f>
        <v>Ver Imagen</v>
      </c>
      <c r="P2517" t="str">
        <f>HYPERLINK("SE\A-5058\A-5058__271.png", "Ver Imagen")</f>
        <v>Ver Imagen</v>
      </c>
    </row>
    <row r="2518" spans="1:16" x14ac:dyDescent="0.25">
      <c r="A2518">
        <v>1993</v>
      </c>
      <c r="B2518" t="s">
        <v>3999</v>
      </c>
      <c r="C2518">
        <v>37.243115351199997</v>
      </c>
      <c r="D2518">
        <v>-7.0881177097799997</v>
      </c>
      <c r="E2518">
        <v>3</v>
      </c>
      <c r="F2518">
        <v>3</v>
      </c>
      <c r="G2518">
        <v>3</v>
      </c>
      <c r="J2518" t="s">
        <v>15</v>
      </c>
      <c r="K2518">
        <v>3</v>
      </c>
      <c r="L2518">
        <v>3.0150000000000001</v>
      </c>
      <c r="M2518">
        <v>0</v>
      </c>
      <c r="N2518" t="s">
        <v>10019</v>
      </c>
      <c r="O2518" t="str">
        <f>HYPERLINK("3\0\marker_983_383928.png", "Ver Imagen")</f>
        <v>Ver Imagen</v>
      </c>
      <c r="P2518" t="str">
        <f>HYPERLINK("SO\A-5058\A-5058__271.png", "Ver Imagen")</f>
        <v>Ver Imagen</v>
      </c>
    </row>
    <row r="2519" spans="1:16" x14ac:dyDescent="0.25">
      <c r="A2519">
        <v>1994</v>
      </c>
      <c r="B2519" t="s">
        <v>4001</v>
      </c>
      <c r="C2519">
        <v>37.243218845800001</v>
      </c>
      <c r="D2519">
        <v>-7.0883738996199996</v>
      </c>
      <c r="E2519">
        <v>3</v>
      </c>
      <c r="F2519">
        <v>3</v>
      </c>
      <c r="G2519">
        <v>3</v>
      </c>
      <c r="J2519" t="s">
        <v>15</v>
      </c>
      <c r="K2519">
        <v>3</v>
      </c>
      <c r="L2519">
        <v>3.1589999999999998</v>
      </c>
      <c r="M2519">
        <v>0</v>
      </c>
      <c r="N2519" t="s">
        <v>10019</v>
      </c>
      <c r="O2519" t="str">
        <f>HYPERLINK("3\0\marker_856_383943.png", "Ver Imagen")</f>
        <v>Ver Imagen</v>
      </c>
      <c r="P2519" t="str">
        <f>HYPERLINK("SE\A-5058\A-5058__272.png", "Ver Imagen")</f>
        <v>Ver Imagen</v>
      </c>
    </row>
    <row r="2520" spans="1:16" x14ac:dyDescent="0.25">
      <c r="A2520">
        <v>1994</v>
      </c>
      <c r="B2520" t="s">
        <v>4001</v>
      </c>
      <c r="C2520">
        <v>37.243218845800001</v>
      </c>
      <c r="D2520">
        <v>-7.0883738996199996</v>
      </c>
      <c r="E2520">
        <v>3</v>
      </c>
      <c r="F2520">
        <v>3</v>
      </c>
      <c r="G2520">
        <v>3</v>
      </c>
      <c r="J2520" t="s">
        <v>15</v>
      </c>
      <c r="K2520">
        <v>3</v>
      </c>
      <c r="L2520">
        <v>2.927</v>
      </c>
      <c r="M2520">
        <v>0</v>
      </c>
      <c r="N2520" t="s">
        <v>10019</v>
      </c>
      <c r="O2520" t="str">
        <f>HYPERLINK("3\0\marker_856_383943.png", "Ver Imagen")</f>
        <v>Ver Imagen</v>
      </c>
      <c r="P2520" t="str">
        <f>HYPERLINK("SO\A-5058\A-5058__272.png", "Ver Imagen")</f>
        <v>Ver Imagen</v>
      </c>
    </row>
    <row r="2521" spans="1:16" x14ac:dyDescent="0.25">
      <c r="A2521">
        <v>1995</v>
      </c>
      <c r="B2521" t="s">
        <v>4003</v>
      </c>
      <c r="C2521">
        <v>37.2435117996</v>
      </c>
      <c r="D2521">
        <v>-7.0889983275999997</v>
      </c>
      <c r="E2521">
        <v>3</v>
      </c>
      <c r="F2521">
        <v>3</v>
      </c>
      <c r="G2521">
        <v>3</v>
      </c>
      <c r="J2521" t="s">
        <v>15</v>
      </c>
      <c r="K2521">
        <v>3</v>
      </c>
      <c r="L2521">
        <v>3.02</v>
      </c>
      <c r="M2521">
        <v>0</v>
      </c>
      <c r="N2521" t="s">
        <v>10017</v>
      </c>
      <c r="O2521" t="str">
        <f>HYPERLINK("3\0\marker_426_383976.png", "Ver Imagen")</f>
        <v>Ver Imagen</v>
      </c>
      <c r="P2521" t="str">
        <f>HYPERLINK("SE\A-5058\A-5058__275.png", "Ver Imagen")</f>
        <v>Ver Imagen</v>
      </c>
    </row>
    <row r="2522" spans="1:16" x14ac:dyDescent="0.25">
      <c r="A2522">
        <v>1995</v>
      </c>
      <c r="B2522" t="s">
        <v>4003</v>
      </c>
      <c r="C2522">
        <v>37.2435117996</v>
      </c>
      <c r="D2522">
        <v>-7.0889983275999997</v>
      </c>
      <c r="E2522">
        <v>3</v>
      </c>
      <c r="F2522">
        <v>3</v>
      </c>
      <c r="G2522">
        <v>3</v>
      </c>
      <c r="J2522" t="s">
        <v>15</v>
      </c>
      <c r="K2522">
        <v>3</v>
      </c>
      <c r="L2522">
        <v>3.1760000000000002</v>
      </c>
      <c r="M2522">
        <v>0</v>
      </c>
      <c r="N2522" t="s">
        <v>10017</v>
      </c>
      <c r="O2522" t="str">
        <f>HYPERLINK("3\0\marker_426_383976.png", "Ver Imagen")</f>
        <v>Ver Imagen</v>
      </c>
      <c r="P2522" t="str">
        <f>HYPERLINK("SO\A-5058\A-5058__275.png", "Ver Imagen")</f>
        <v>Ver Imagen</v>
      </c>
    </row>
    <row r="2523" spans="1:16" x14ac:dyDescent="0.25">
      <c r="A2523">
        <v>1996</v>
      </c>
      <c r="B2523" t="s">
        <v>4005</v>
      </c>
      <c r="C2523">
        <v>37.2437262045</v>
      </c>
      <c r="D2523">
        <v>-7.0894227484799996</v>
      </c>
      <c r="E2523">
        <v>3</v>
      </c>
      <c r="F2523">
        <v>3</v>
      </c>
      <c r="G2523">
        <v>3</v>
      </c>
      <c r="J2523" t="s">
        <v>15</v>
      </c>
      <c r="K2523">
        <v>3</v>
      </c>
      <c r="L2523">
        <v>3.2719999999999998</v>
      </c>
      <c r="M2523">
        <v>0</v>
      </c>
      <c r="N2523" t="s">
        <v>10019</v>
      </c>
      <c r="O2523" t="str">
        <f>HYPERLINK("3\0\marker_840_383999.png", "Ver Imagen")</f>
        <v>Ver Imagen</v>
      </c>
      <c r="P2523" t="str">
        <f>HYPERLINK("SE\A-5058\A-5058__277.png", "Ver Imagen")</f>
        <v>Ver Imagen</v>
      </c>
    </row>
    <row r="2524" spans="1:16" x14ac:dyDescent="0.25">
      <c r="A2524">
        <v>1996</v>
      </c>
      <c r="B2524" t="s">
        <v>4005</v>
      </c>
      <c r="C2524">
        <v>37.2437262045</v>
      </c>
      <c r="D2524">
        <v>-7.0894227484799996</v>
      </c>
      <c r="E2524">
        <v>3</v>
      </c>
      <c r="F2524">
        <v>3</v>
      </c>
      <c r="G2524">
        <v>3</v>
      </c>
      <c r="J2524" t="s">
        <v>15</v>
      </c>
      <c r="K2524">
        <v>3</v>
      </c>
      <c r="L2524">
        <v>3.1970000000000001</v>
      </c>
      <c r="M2524">
        <v>0</v>
      </c>
      <c r="N2524" t="s">
        <v>10019</v>
      </c>
      <c r="O2524" t="str">
        <f>HYPERLINK("3\0\marker_840_383999.png", "Ver Imagen")</f>
        <v>Ver Imagen</v>
      </c>
      <c r="P2524" t="str">
        <f>HYPERLINK("SO\A-5058\A-5058__277.png", "Ver Imagen")</f>
        <v>Ver Imagen</v>
      </c>
    </row>
    <row r="2525" spans="1:16" x14ac:dyDescent="0.25">
      <c r="A2525">
        <v>1997</v>
      </c>
      <c r="B2525" t="s">
        <v>4007</v>
      </c>
      <c r="C2525">
        <v>37.245103442999998</v>
      </c>
      <c r="D2525">
        <v>-7.0922347800100001</v>
      </c>
      <c r="E2525">
        <v>3</v>
      </c>
      <c r="F2525">
        <v>3</v>
      </c>
      <c r="G2525">
        <v>3</v>
      </c>
      <c r="J2525" t="s">
        <v>15</v>
      </c>
      <c r="K2525">
        <v>3</v>
      </c>
      <c r="L2525">
        <v>2.8140000000000001</v>
      </c>
      <c r="M2525">
        <v>0</v>
      </c>
      <c r="N2525" t="s">
        <v>10019</v>
      </c>
      <c r="O2525" t="str">
        <f>HYPERLINK("3\0\marker_326_384145.png", "Ver Imagen")</f>
        <v>Ver Imagen</v>
      </c>
      <c r="P2525" t="str">
        <f>HYPERLINK("SE\A-5058\A-5058__290.png", "Ver Imagen")</f>
        <v>Ver Imagen</v>
      </c>
    </row>
    <row r="2526" spans="1:16" x14ac:dyDescent="0.25">
      <c r="A2526">
        <v>1997</v>
      </c>
      <c r="B2526" t="s">
        <v>4007</v>
      </c>
      <c r="C2526">
        <v>37.245103442999998</v>
      </c>
      <c r="D2526">
        <v>-7.0922347800100001</v>
      </c>
      <c r="E2526">
        <v>3</v>
      </c>
      <c r="F2526">
        <v>3</v>
      </c>
      <c r="G2526">
        <v>3</v>
      </c>
      <c r="J2526" t="s">
        <v>15</v>
      </c>
      <c r="K2526">
        <v>3</v>
      </c>
      <c r="L2526">
        <v>2.7829999999999999</v>
      </c>
      <c r="M2526">
        <v>0</v>
      </c>
      <c r="N2526" t="s">
        <v>10019</v>
      </c>
      <c r="O2526" t="str">
        <f>HYPERLINK("3\0\marker_326_384145.png", "Ver Imagen")</f>
        <v>Ver Imagen</v>
      </c>
      <c r="P2526" t="str">
        <f>HYPERLINK("SO\A-5058\A-5058__290.png", "Ver Imagen")</f>
        <v>Ver Imagen</v>
      </c>
    </row>
    <row r="2527" spans="1:16" x14ac:dyDescent="0.25">
      <c r="A2527">
        <v>1999</v>
      </c>
      <c r="B2527" t="s">
        <v>4011</v>
      </c>
      <c r="C2527">
        <v>37.245567666100001</v>
      </c>
      <c r="D2527">
        <v>-7.0957356897499997</v>
      </c>
      <c r="E2527">
        <v>3</v>
      </c>
      <c r="F2527">
        <v>3</v>
      </c>
      <c r="G2527">
        <v>3</v>
      </c>
      <c r="J2527" t="s">
        <v>15</v>
      </c>
      <c r="K2527">
        <v>3</v>
      </c>
      <c r="L2527">
        <v>2.782</v>
      </c>
      <c r="M2527">
        <v>0</v>
      </c>
      <c r="N2527" t="s">
        <v>10017</v>
      </c>
      <c r="O2527" t="str">
        <f>HYPERLINK("3\0\marker_577_384321.png", "Ver Imagen")</f>
        <v>Ver Imagen</v>
      </c>
      <c r="P2527" t="str">
        <f>HYPERLINK("SE\A-5058\A-5058__304.png", "Ver Imagen")</f>
        <v>Ver Imagen</v>
      </c>
    </row>
    <row r="2528" spans="1:16" x14ac:dyDescent="0.25">
      <c r="A2528">
        <v>1999</v>
      </c>
      <c r="B2528" t="s">
        <v>4011</v>
      </c>
      <c r="C2528">
        <v>37.245567666100001</v>
      </c>
      <c r="D2528">
        <v>-7.0957356897499997</v>
      </c>
      <c r="E2528">
        <v>3</v>
      </c>
      <c r="F2528">
        <v>3</v>
      </c>
      <c r="G2528">
        <v>3</v>
      </c>
      <c r="J2528" t="s">
        <v>15</v>
      </c>
      <c r="K2528">
        <v>3</v>
      </c>
      <c r="L2528">
        <v>2.9340000000000002</v>
      </c>
      <c r="M2528">
        <v>0</v>
      </c>
      <c r="N2528" t="s">
        <v>10017</v>
      </c>
      <c r="O2528" t="str">
        <f>HYPERLINK("3\0\marker_577_384321.png", "Ver Imagen")</f>
        <v>Ver Imagen</v>
      </c>
      <c r="P2528" t="str">
        <f>HYPERLINK("SO\A-5058\A-5058__304.png", "Ver Imagen")</f>
        <v>Ver Imagen</v>
      </c>
    </row>
    <row r="2529" spans="1:16" x14ac:dyDescent="0.25">
      <c r="A2529">
        <v>2000</v>
      </c>
      <c r="B2529" t="s">
        <v>4013</v>
      </c>
      <c r="C2529">
        <v>37.245586709800001</v>
      </c>
      <c r="D2529">
        <v>-7.09599498542</v>
      </c>
      <c r="E2529">
        <v>3</v>
      </c>
      <c r="F2529">
        <v>3</v>
      </c>
      <c r="G2529">
        <v>3</v>
      </c>
      <c r="J2529" t="s">
        <v>15</v>
      </c>
      <c r="K2529">
        <v>3</v>
      </c>
      <c r="L2529">
        <v>2.9649999999999999</v>
      </c>
      <c r="M2529">
        <v>0</v>
      </c>
      <c r="N2529" t="s">
        <v>10019</v>
      </c>
      <c r="O2529" t="str">
        <f>HYPERLINK("3\0\marker_911_384333.png", "Ver Imagen")</f>
        <v>Ver Imagen</v>
      </c>
      <c r="P2529" t="str">
        <f>HYPERLINK("SE\A-5058\A-5058__305.png", "Ver Imagen")</f>
        <v>Ver Imagen</v>
      </c>
    </row>
    <row r="2530" spans="1:16" x14ac:dyDescent="0.25">
      <c r="A2530">
        <v>2000</v>
      </c>
      <c r="B2530" t="s">
        <v>4013</v>
      </c>
      <c r="C2530">
        <v>37.245586709800001</v>
      </c>
      <c r="D2530">
        <v>-7.09599498542</v>
      </c>
      <c r="E2530">
        <v>3</v>
      </c>
      <c r="F2530">
        <v>3</v>
      </c>
      <c r="G2530">
        <v>3</v>
      </c>
      <c r="J2530" t="s">
        <v>15</v>
      </c>
      <c r="K2530">
        <v>3</v>
      </c>
      <c r="L2530">
        <v>3.1429999999999998</v>
      </c>
      <c r="M2530">
        <v>0</v>
      </c>
      <c r="N2530" t="s">
        <v>10019</v>
      </c>
      <c r="O2530" t="str">
        <f>HYPERLINK("3\0\marker_911_384333.png", "Ver Imagen")</f>
        <v>Ver Imagen</v>
      </c>
      <c r="P2530" t="str">
        <f>HYPERLINK("SO\A-5058\A-5058__305.png", "Ver Imagen")</f>
        <v>Ver Imagen</v>
      </c>
    </row>
    <row r="2531" spans="1:16" x14ac:dyDescent="0.25">
      <c r="A2531">
        <v>2001</v>
      </c>
      <c r="B2531" t="s">
        <v>4015</v>
      </c>
      <c r="C2531">
        <v>37.245649157999999</v>
      </c>
      <c r="D2531">
        <v>-7.0967415411400001</v>
      </c>
      <c r="E2531">
        <v>3</v>
      </c>
      <c r="F2531">
        <v>3</v>
      </c>
      <c r="G2531">
        <v>3</v>
      </c>
      <c r="J2531" t="s">
        <v>15</v>
      </c>
      <c r="K2531">
        <v>3</v>
      </c>
      <c r="L2531">
        <v>2.9750000000000001</v>
      </c>
      <c r="M2531">
        <v>0</v>
      </c>
      <c r="N2531" t="s">
        <v>10019</v>
      </c>
      <c r="O2531" t="str">
        <f>HYPERLINK("3\0\marker_895_384375.png", "Ver Imagen")</f>
        <v>Ver Imagen</v>
      </c>
      <c r="P2531" t="str">
        <f>HYPERLINK("SE\A-5058\A-5058__308.png", "Ver Imagen")</f>
        <v>Ver Imagen</v>
      </c>
    </row>
    <row r="2532" spans="1:16" x14ac:dyDescent="0.25">
      <c r="A2532">
        <v>2001</v>
      </c>
      <c r="B2532" t="s">
        <v>4015</v>
      </c>
      <c r="C2532">
        <v>37.245649157999999</v>
      </c>
      <c r="D2532">
        <v>-7.0967415411400001</v>
      </c>
      <c r="E2532">
        <v>3</v>
      </c>
      <c r="F2532">
        <v>3</v>
      </c>
      <c r="G2532">
        <v>3</v>
      </c>
      <c r="J2532" t="s">
        <v>15</v>
      </c>
      <c r="K2532">
        <v>3</v>
      </c>
      <c r="L2532">
        <v>3.1739999999999999</v>
      </c>
      <c r="M2532">
        <v>0</v>
      </c>
      <c r="N2532" t="s">
        <v>10019</v>
      </c>
      <c r="O2532" t="str">
        <f>HYPERLINK("3\0\marker_895_384375.png", "Ver Imagen")</f>
        <v>Ver Imagen</v>
      </c>
      <c r="P2532" t="str">
        <f>HYPERLINK("SO\A-5058\A-5058__308.png", "Ver Imagen")</f>
        <v>Ver Imagen</v>
      </c>
    </row>
    <row r="2533" spans="1:16" x14ac:dyDescent="0.25">
      <c r="A2533">
        <v>2002</v>
      </c>
      <c r="B2533" t="s">
        <v>4017</v>
      </c>
      <c r="C2533">
        <v>37.245678083199998</v>
      </c>
      <c r="D2533">
        <v>-7.0969960725699996</v>
      </c>
      <c r="E2533">
        <v>3</v>
      </c>
      <c r="F2533">
        <v>3</v>
      </c>
      <c r="G2533">
        <v>3</v>
      </c>
      <c r="J2533" t="s">
        <v>15</v>
      </c>
      <c r="K2533">
        <v>3</v>
      </c>
      <c r="L2533">
        <v>3.153</v>
      </c>
      <c r="M2533">
        <v>0</v>
      </c>
      <c r="N2533" t="s">
        <v>10019</v>
      </c>
      <c r="O2533" t="str">
        <f>HYPERLINK("3\0\marker_603_384385.png", "Ver Imagen")</f>
        <v>Ver Imagen</v>
      </c>
      <c r="P2533" t="str">
        <f>HYPERLINK("SE\A-5058\A-5058__309.png", "Ver Imagen")</f>
        <v>Ver Imagen</v>
      </c>
    </row>
    <row r="2534" spans="1:16" x14ac:dyDescent="0.25">
      <c r="A2534">
        <v>2002</v>
      </c>
      <c r="B2534" t="s">
        <v>4017</v>
      </c>
      <c r="C2534">
        <v>37.245678083199998</v>
      </c>
      <c r="D2534">
        <v>-7.0969960725699996</v>
      </c>
      <c r="E2534">
        <v>3</v>
      </c>
      <c r="F2534">
        <v>3</v>
      </c>
      <c r="G2534">
        <v>3</v>
      </c>
      <c r="J2534" t="s">
        <v>15</v>
      </c>
      <c r="K2534">
        <v>3</v>
      </c>
      <c r="L2534">
        <v>3.262</v>
      </c>
      <c r="M2534">
        <v>0</v>
      </c>
      <c r="N2534" t="s">
        <v>10019</v>
      </c>
      <c r="O2534" t="str">
        <f>HYPERLINK("3\0\marker_603_384385.png", "Ver Imagen")</f>
        <v>Ver Imagen</v>
      </c>
      <c r="P2534" t="str">
        <f>HYPERLINK("SO\A-5058\A-5058__309.png", "Ver Imagen")</f>
        <v>Ver Imagen</v>
      </c>
    </row>
    <row r="2535" spans="1:16" x14ac:dyDescent="0.25">
      <c r="A2535">
        <v>2003</v>
      </c>
      <c r="B2535" t="s">
        <v>4019</v>
      </c>
      <c r="C2535">
        <v>37.245753376499998</v>
      </c>
      <c r="D2535">
        <v>-7.0974832353400004</v>
      </c>
      <c r="E2535">
        <v>3</v>
      </c>
      <c r="F2535">
        <v>3</v>
      </c>
      <c r="G2535">
        <v>3</v>
      </c>
      <c r="J2535" t="s">
        <v>15</v>
      </c>
      <c r="K2535">
        <v>3</v>
      </c>
      <c r="L2535">
        <v>2.7749999999999999</v>
      </c>
      <c r="M2535">
        <v>0</v>
      </c>
      <c r="N2535" t="s">
        <v>10017</v>
      </c>
      <c r="O2535" t="str">
        <f>HYPERLINK("3\0\marker_252_384402.png", "Ver Imagen")</f>
        <v>Ver Imagen</v>
      </c>
      <c r="P2535" t="str">
        <f>HYPERLINK("SE\A-5058\A-5058__311.png", "Ver Imagen")</f>
        <v>Ver Imagen</v>
      </c>
    </row>
    <row r="2536" spans="1:16" x14ac:dyDescent="0.25">
      <c r="A2536">
        <v>2003</v>
      </c>
      <c r="B2536" t="s">
        <v>4019</v>
      </c>
      <c r="C2536">
        <v>37.245753376499998</v>
      </c>
      <c r="D2536">
        <v>-7.0974832353400004</v>
      </c>
      <c r="E2536">
        <v>3</v>
      </c>
      <c r="F2536">
        <v>3</v>
      </c>
      <c r="G2536">
        <v>3</v>
      </c>
      <c r="J2536" t="s">
        <v>15</v>
      </c>
      <c r="K2536">
        <v>3</v>
      </c>
      <c r="L2536">
        <v>2.8239999999999998</v>
      </c>
      <c r="M2536">
        <v>0</v>
      </c>
      <c r="N2536" t="s">
        <v>10017</v>
      </c>
      <c r="O2536" t="str">
        <f>HYPERLINK("3\0\marker_252_384402.png", "Ver Imagen")</f>
        <v>Ver Imagen</v>
      </c>
      <c r="P2536" t="str">
        <f>HYPERLINK("SO\A-5058\A-5058__311.png", "Ver Imagen")</f>
        <v>Ver Imagen</v>
      </c>
    </row>
    <row r="2537" spans="1:16" x14ac:dyDescent="0.25">
      <c r="A2537">
        <v>2004</v>
      </c>
      <c r="B2537" t="s">
        <v>4021</v>
      </c>
      <c r="C2537">
        <v>37.247562739499998</v>
      </c>
      <c r="D2537">
        <v>-7.1007951898300004</v>
      </c>
      <c r="E2537">
        <v>3</v>
      </c>
      <c r="F2537">
        <v>3</v>
      </c>
      <c r="G2537">
        <v>3</v>
      </c>
      <c r="J2537" t="s">
        <v>15</v>
      </c>
      <c r="K2537">
        <v>3</v>
      </c>
      <c r="L2537">
        <v>3.0489999999999999</v>
      </c>
      <c r="M2537">
        <v>0</v>
      </c>
      <c r="N2537" t="s">
        <v>10019</v>
      </c>
      <c r="O2537" t="str">
        <f>HYPERLINK("3\0\marker_870_384583.png", "Ver Imagen")</f>
        <v>Ver Imagen</v>
      </c>
      <c r="P2537" t="str">
        <f>HYPERLINK("SE\A-5058\A-5058__327.png", "Ver Imagen")</f>
        <v>Ver Imagen</v>
      </c>
    </row>
    <row r="2538" spans="1:16" x14ac:dyDescent="0.25">
      <c r="A2538">
        <v>2004</v>
      </c>
      <c r="B2538" t="s">
        <v>4021</v>
      </c>
      <c r="C2538">
        <v>37.247562739499998</v>
      </c>
      <c r="D2538">
        <v>-7.1007951898300004</v>
      </c>
      <c r="E2538">
        <v>3</v>
      </c>
      <c r="F2538">
        <v>3</v>
      </c>
      <c r="G2538">
        <v>3</v>
      </c>
      <c r="J2538" t="s">
        <v>15</v>
      </c>
      <c r="K2538">
        <v>3</v>
      </c>
      <c r="L2538">
        <v>2.9009999999999998</v>
      </c>
      <c r="M2538">
        <v>0</v>
      </c>
      <c r="N2538" t="s">
        <v>10019</v>
      </c>
      <c r="O2538" t="str">
        <f>HYPERLINK("3\0\marker_870_384583.png", "Ver Imagen")</f>
        <v>Ver Imagen</v>
      </c>
      <c r="P2538" t="str">
        <f>HYPERLINK("SO\A-5058\A-5058__327.png", "Ver Imagen")</f>
        <v>Ver Imagen</v>
      </c>
    </row>
    <row r="2539" spans="1:16" x14ac:dyDescent="0.25">
      <c r="A2539">
        <v>2005</v>
      </c>
      <c r="B2539" t="s">
        <v>4023</v>
      </c>
      <c r="C2539">
        <v>37.2482443727</v>
      </c>
      <c r="D2539">
        <v>-7.1017225230600003</v>
      </c>
      <c r="E2539">
        <v>3</v>
      </c>
      <c r="F2539">
        <v>3</v>
      </c>
      <c r="G2539">
        <v>3</v>
      </c>
      <c r="J2539" t="s">
        <v>15</v>
      </c>
      <c r="K2539">
        <v>3</v>
      </c>
      <c r="L2539">
        <v>2.9670000000000001</v>
      </c>
      <c r="M2539">
        <v>0</v>
      </c>
      <c r="N2539" t="s">
        <v>10019</v>
      </c>
      <c r="O2539" t="str">
        <f>HYPERLINK("3\0\marker_449_384655.png", "Ver Imagen")</f>
        <v>Ver Imagen</v>
      </c>
      <c r="P2539" t="str">
        <f>HYPERLINK("SE\A-5058\A-5058__332.png", "Ver Imagen")</f>
        <v>Ver Imagen</v>
      </c>
    </row>
    <row r="2540" spans="1:16" x14ac:dyDescent="0.25">
      <c r="A2540">
        <v>2005</v>
      </c>
      <c r="B2540" t="s">
        <v>4023</v>
      </c>
      <c r="C2540">
        <v>37.2482443727</v>
      </c>
      <c r="D2540">
        <v>-7.1017225230600003</v>
      </c>
      <c r="E2540">
        <v>3</v>
      </c>
      <c r="F2540">
        <v>3</v>
      </c>
      <c r="G2540">
        <v>3</v>
      </c>
      <c r="J2540" t="s">
        <v>15</v>
      </c>
      <c r="K2540">
        <v>3</v>
      </c>
      <c r="L2540">
        <v>3.2210000000000001</v>
      </c>
      <c r="M2540">
        <v>0</v>
      </c>
      <c r="N2540" t="s">
        <v>10019</v>
      </c>
      <c r="O2540" t="str">
        <f>HYPERLINK("3\0\marker_449_384655.png", "Ver Imagen")</f>
        <v>Ver Imagen</v>
      </c>
      <c r="P2540" t="str">
        <f>HYPERLINK("SO\A-5058\A-5058__332.png", "Ver Imagen")</f>
        <v>Ver Imagen</v>
      </c>
    </row>
    <row r="2541" spans="1:16" x14ac:dyDescent="0.25">
      <c r="A2541">
        <v>2006</v>
      </c>
      <c r="B2541" t="s">
        <v>4025</v>
      </c>
      <c r="C2541">
        <v>37.249133442000002</v>
      </c>
      <c r="D2541">
        <v>-7.1023310028399997</v>
      </c>
      <c r="E2541">
        <v>3</v>
      </c>
      <c r="F2541">
        <v>3</v>
      </c>
      <c r="G2541">
        <v>3</v>
      </c>
      <c r="J2541" t="s">
        <v>15</v>
      </c>
      <c r="K2541">
        <v>3</v>
      </c>
      <c r="L2541">
        <v>3.363</v>
      </c>
      <c r="M2541">
        <v>0</v>
      </c>
      <c r="N2541" t="s">
        <v>10019</v>
      </c>
      <c r="O2541" t="str">
        <f>HYPERLINK("3\0\marker_331_384722.png", "Ver Imagen")</f>
        <v>Ver Imagen</v>
      </c>
      <c r="P2541" t="str">
        <f>HYPERLINK("SE\A-5058\A-5058__337.png", "Ver Imagen")</f>
        <v>Ver Imagen</v>
      </c>
    </row>
    <row r="2542" spans="1:16" x14ac:dyDescent="0.25">
      <c r="A2542">
        <v>2007</v>
      </c>
      <c r="B2542" t="s">
        <v>4027</v>
      </c>
      <c r="C2542">
        <v>37.250033812700003</v>
      </c>
      <c r="D2542">
        <v>-7.1028524949599996</v>
      </c>
      <c r="E2542">
        <v>3</v>
      </c>
      <c r="F2542">
        <v>3</v>
      </c>
      <c r="G2542">
        <v>3</v>
      </c>
      <c r="J2542" t="s">
        <v>15</v>
      </c>
      <c r="K2542">
        <v>3</v>
      </c>
      <c r="L2542">
        <v>3.1480000000000001</v>
      </c>
      <c r="M2542">
        <v>0</v>
      </c>
      <c r="N2542" t="s">
        <v>10019</v>
      </c>
      <c r="O2542" t="str">
        <f>HYPERLINK("3\0\marker_962_384785.png", "Ver Imagen")</f>
        <v>Ver Imagen</v>
      </c>
      <c r="P2542" t="str">
        <f>HYPERLINK("SE\A-5058\A-5058__342.png", "Ver Imagen")</f>
        <v>Ver Imagen</v>
      </c>
    </row>
    <row r="2543" spans="1:16" x14ac:dyDescent="0.25">
      <c r="A2543">
        <v>2007</v>
      </c>
      <c r="B2543" t="s">
        <v>4027</v>
      </c>
      <c r="C2543">
        <v>37.250033812700003</v>
      </c>
      <c r="D2543">
        <v>-7.1028524949599996</v>
      </c>
      <c r="E2543">
        <v>3</v>
      </c>
      <c r="F2543">
        <v>3</v>
      </c>
      <c r="G2543">
        <v>3</v>
      </c>
      <c r="J2543" t="s">
        <v>15</v>
      </c>
      <c r="K2543">
        <v>3</v>
      </c>
      <c r="L2543">
        <v>2.948</v>
      </c>
      <c r="M2543">
        <v>0</v>
      </c>
      <c r="N2543" t="s">
        <v>10019</v>
      </c>
      <c r="O2543" t="str">
        <f>HYPERLINK("3\0\marker_962_384785.png", "Ver Imagen")</f>
        <v>Ver Imagen</v>
      </c>
      <c r="P2543" t="str">
        <f>HYPERLINK("SO\A-5058\A-5058__342.png", "Ver Imagen")</f>
        <v>Ver Imagen</v>
      </c>
    </row>
    <row r="2544" spans="1:16" x14ac:dyDescent="0.25">
      <c r="A2544">
        <v>2009</v>
      </c>
      <c r="B2544" t="s">
        <v>4031</v>
      </c>
      <c r="C2544">
        <v>37.255313086400001</v>
      </c>
      <c r="D2544">
        <v>-7.1101730571499999</v>
      </c>
      <c r="E2544">
        <v>3</v>
      </c>
      <c r="F2544">
        <v>3</v>
      </c>
      <c r="G2544">
        <v>3</v>
      </c>
      <c r="J2544" t="s">
        <v>15</v>
      </c>
      <c r="K2544">
        <v>3</v>
      </c>
      <c r="L2544">
        <v>2.9359999999999999</v>
      </c>
      <c r="M2544">
        <v>0</v>
      </c>
      <c r="N2544" t="s">
        <v>10019</v>
      </c>
      <c r="O2544" t="str">
        <f>HYPERLINK("3\0\marker_160_385241.png", "Ver Imagen")</f>
        <v>Ver Imagen</v>
      </c>
      <c r="P2544" t="str">
        <f>HYPERLINK("SO\A-5058\A-5058__383.png", "Ver Imagen")</f>
        <v>Ver Imagen</v>
      </c>
    </row>
    <row r="2545" spans="1:16" x14ac:dyDescent="0.25">
      <c r="A2545">
        <v>2010</v>
      </c>
      <c r="B2545" t="s">
        <v>4033</v>
      </c>
      <c r="C2545">
        <v>37.255276594100003</v>
      </c>
      <c r="D2545">
        <v>-7.1119392470999996</v>
      </c>
      <c r="E2545">
        <v>3</v>
      </c>
      <c r="F2545">
        <v>3</v>
      </c>
      <c r="G2545">
        <v>3</v>
      </c>
      <c r="J2545" t="s">
        <v>15</v>
      </c>
      <c r="K2545">
        <v>3</v>
      </c>
      <c r="L2545">
        <v>2.7770000000000001</v>
      </c>
      <c r="M2545">
        <v>0</v>
      </c>
      <c r="N2545" t="s">
        <v>10019</v>
      </c>
      <c r="O2545" t="str">
        <f>HYPERLINK("3\0\marker_400_385305.png", "Ver Imagen")</f>
        <v>Ver Imagen</v>
      </c>
      <c r="P2545" t="str">
        <f>HYPERLINK("SO\A-5058\A-5058__390.png", "Ver Imagen")</f>
        <v>Ver Imagen</v>
      </c>
    </row>
    <row r="2546" spans="1:16" x14ac:dyDescent="0.25">
      <c r="A2546">
        <v>2011</v>
      </c>
      <c r="B2546" t="s">
        <v>4035</v>
      </c>
      <c r="C2546">
        <v>37.255123707800003</v>
      </c>
      <c r="D2546">
        <v>-7.1126366360500004</v>
      </c>
      <c r="E2546">
        <v>3</v>
      </c>
      <c r="F2546">
        <v>3</v>
      </c>
      <c r="G2546">
        <v>3</v>
      </c>
      <c r="J2546" t="s">
        <v>15</v>
      </c>
      <c r="K2546">
        <v>3</v>
      </c>
      <c r="L2546">
        <v>2.8759999999999999</v>
      </c>
      <c r="M2546">
        <v>0</v>
      </c>
      <c r="N2546" t="s">
        <v>10019</v>
      </c>
      <c r="O2546" t="str">
        <f>HYPERLINK("3\0\marker_252_385332.png", "Ver Imagen")</f>
        <v>Ver Imagen</v>
      </c>
      <c r="P2546" t="str">
        <f>HYPERLINK("SO\A-5058\A-5058__393.png", "Ver Imagen")</f>
        <v>Ver Imagen</v>
      </c>
    </row>
    <row r="2547" spans="1:16" x14ac:dyDescent="0.25">
      <c r="A2547">
        <v>2013</v>
      </c>
      <c r="B2547" t="s">
        <v>4039</v>
      </c>
      <c r="C2547">
        <v>37.254698419299999</v>
      </c>
      <c r="D2547">
        <v>-7.1143683968699998</v>
      </c>
      <c r="E2547">
        <v>3</v>
      </c>
      <c r="F2547">
        <v>3</v>
      </c>
      <c r="G2547">
        <v>3</v>
      </c>
      <c r="J2547" t="s">
        <v>15</v>
      </c>
      <c r="K2547">
        <v>3</v>
      </c>
      <c r="L2547">
        <v>2.778</v>
      </c>
      <c r="M2547">
        <v>0</v>
      </c>
      <c r="N2547" t="s">
        <v>10019</v>
      </c>
      <c r="O2547" t="str">
        <f>HYPERLINK("3\0\marker_855_388064.png", "Ver Imagen")</f>
        <v>Ver Imagen</v>
      </c>
      <c r="P2547" t="str">
        <f>HYPERLINK("SO\A-5058\A-5058__400.png", "Ver Imagen")</f>
        <v>Ver Imagen</v>
      </c>
    </row>
    <row r="2548" spans="1:16" x14ac:dyDescent="0.25">
      <c r="A2548">
        <v>2014</v>
      </c>
      <c r="B2548" t="s">
        <v>4041</v>
      </c>
      <c r="C2548">
        <v>37.2546221626</v>
      </c>
      <c r="D2548">
        <v>-7.1160974057199997</v>
      </c>
      <c r="E2548">
        <v>3</v>
      </c>
      <c r="F2548">
        <v>3</v>
      </c>
      <c r="G2548">
        <v>3</v>
      </c>
      <c r="J2548" t="s">
        <v>15</v>
      </c>
      <c r="K2548">
        <v>3</v>
      </c>
      <c r="L2548">
        <v>2.8479999999999999</v>
      </c>
      <c r="M2548">
        <v>0</v>
      </c>
      <c r="N2548" t="s">
        <v>10019</v>
      </c>
      <c r="O2548" t="str">
        <f>HYPERLINK("3\0\marker_992_388618.png", "Ver Imagen")</f>
        <v>Ver Imagen</v>
      </c>
      <c r="P2548" t="str">
        <f>HYPERLINK("SO\A-5058\A-5058__407.png", "Ver Imagen")</f>
        <v>Ver Imagen</v>
      </c>
    </row>
    <row r="2549" spans="1:16" x14ac:dyDescent="0.25">
      <c r="A2549">
        <v>2015</v>
      </c>
      <c r="B2549" t="s">
        <v>4043</v>
      </c>
      <c r="C2549">
        <v>37.2546666239</v>
      </c>
      <c r="D2549">
        <v>-7.1163259299100003</v>
      </c>
      <c r="E2549">
        <v>3</v>
      </c>
      <c r="F2549">
        <v>3</v>
      </c>
      <c r="G2549">
        <v>3</v>
      </c>
      <c r="J2549" t="s">
        <v>15</v>
      </c>
      <c r="K2549">
        <v>3</v>
      </c>
      <c r="L2549">
        <v>2.9649999999999999</v>
      </c>
      <c r="M2549">
        <v>0</v>
      </c>
      <c r="N2549" t="s">
        <v>10019</v>
      </c>
      <c r="O2549" t="str">
        <f>HYPERLINK("3\0\marker_419_388627.png", "Ver Imagen")</f>
        <v>Ver Imagen</v>
      </c>
      <c r="P2549" t="str">
        <f>HYPERLINK("SO\A-5058\A-5058__408.png", "Ver Imagen")</f>
        <v>Ver Imagen</v>
      </c>
    </row>
    <row r="2550" spans="1:16" x14ac:dyDescent="0.25">
      <c r="A2550">
        <v>2016</v>
      </c>
      <c r="B2550" t="s">
        <v>4045</v>
      </c>
      <c r="C2550">
        <v>37.258481018399998</v>
      </c>
      <c r="D2550">
        <v>-7.1205362335600002</v>
      </c>
      <c r="E2550">
        <v>3</v>
      </c>
      <c r="F2550">
        <v>3</v>
      </c>
      <c r="G2550">
        <v>3</v>
      </c>
      <c r="J2550" t="s">
        <v>15</v>
      </c>
      <c r="K2550">
        <v>3</v>
      </c>
      <c r="L2550">
        <v>2.984</v>
      </c>
      <c r="M2550">
        <v>0</v>
      </c>
      <c r="N2550" t="s">
        <v>10019</v>
      </c>
      <c r="O2550" t="str">
        <f>HYPERLINK("3\0\marker_967_388901.png", "Ver Imagen")</f>
        <v>Ver Imagen</v>
      </c>
      <c r="P2550" t="str">
        <f>HYPERLINK("SO\A-5058\A-5058__434.png", "Ver Imagen")</f>
        <v>Ver Imagen</v>
      </c>
    </row>
    <row r="2551" spans="1:16" x14ac:dyDescent="0.25">
      <c r="A2551">
        <v>2017</v>
      </c>
      <c r="B2551" t="s">
        <v>4047</v>
      </c>
      <c r="C2551">
        <v>37.258833979199999</v>
      </c>
      <c r="D2551">
        <v>-7.1227858199399998</v>
      </c>
      <c r="E2551">
        <v>3</v>
      </c>
      <c r="F2551">
        <v>3</v>
      </c>
      <c r="G2551">
        <v>3</v>
      </c>
      <c r="J2551" t="s">
        <v>15</v>
      </c>
      <c r="K2551">
        <v>3</v>
      </c>
      <c r="L2551">
        <v>3.2010000000000001</v>
      </c>
      <c r="M2551">
        <v>0</v>
      </c>
      <c r="N2551" t="s">
        <v>10019</v>
      </c>
      <c r="O2551" t="str">
        <f>HYPERLINK("3\0\marker_930_389011.png", "Ver Imagen")</f>
        <v>Ver Imagen</v>
      </c>
      <c r="P2551" t="str">
        <f>HYPERLINK("SO\A-5058\A-5058__443.png", "Ver Imagen")</f>
        <v>Ver Imagen</v>
      </c>
    </row>
    <row r="2552" spans="1:16" x14ac:dyDescent="0.25">
      <c r="A2552">
        <v>2018</v>
      </c>
      <c r="B2552" t="s">
        <v>4049</v>
      </c>
      <c r="C2552">
        <v>37.258877519800002</v>
      </c>
      <c r="D2552">
        <v>-7.1233166486400004</v>
      </c>
      <c r="E2552">
        <v>3</v>
      </c>
      <c r="F2552">
        <v>3</v>
      </c>
      <c r="G2552">
        <v>3</v>
      </c>
      <c r="J2552" t="s">
        <v>15</v>
      </c>
      <c r="K2552">
        <v>3</v>
      </c>
      <c r="L2552">
        <v>3.278</v>
      </c>
      <c r="M2552">
        <v>0</v>
      </c>
      <c r="N2552" t="s">
        <v>10019</v>
      </c>
      <c r="O2552" t="str">
        <f>HYPERLINK("3\0\marker_417_389029.png", "Ver Imagen")</f>
        <v>Ver Imagen</v>
      </c>
      <c r="P2552" t="str">
        <f>HYPERLINK("SO\A-5058\A-5058__445.png", "Ver Imagen")</f>
        <v>Ver Imagen</v>
      </c>
    </row>
    <row r="2553" spans="1:16" x14ac:dyDescent="0.25">
      <c r="A2553">
        <v>2019</v>
      </c>
      <c r="B2553" t="s">
        <v>4051</v>
      </c>
      <c r="C2553">
        <v>37.2591451256</v>
      </c>
      <c r="D2553">
        <v>-7.1252886536300002</v>
      </c>
      <c r="E2553">
        <v>3</v>
      </c>
      <c r="F2553">
        <v>3</v>
      </c>
      <c r="G2553">
        <v>3</v>
      </c>
      <c r="J2553" t="s">
        <v>15</v>
      </c>
      <c r="K2553">
        <v>3</v>
      </c>
      <c r="L2553">
        <v>3.1659999999999999</v>
      </c>
      <c r="M2553">
        <v>0</v>
      </c>
      <c r="N2553" t="s">
        <v>10019</v>
      </c>
      <c r="O2553" t="str">
        <f>HYPERLINK("3\0\marker_629_389121.png", "Ver Imagen")</f>
        <v>Ver Imagen</v>
      </c>
      <c r="P2553" t="str">
        <f>HYPERLINK("SO\A-5058\A-5058__453.png", "Ver Imagen")</f>
        <v>Ver Imagen</v>
      </c>
    </row>
    <row r="2554" spans="1:16" x14ac:dyDescent="0.25">
      <c r="A2554">
        <v>2020</v>
      </c>
      <c r="B2554" t="s">
        <v>4053</v>
      </c>
      <c r="C2554">
        <v>37.444003557800002</v>
      </c>
      <c r="D2554">
        <v>-7.0984422947899999</v>
      </c>
      <c r="E2554">
        <v>3</v>
      </c>
      <c r="F2554">
        <v>3</v>
      </c>
      <c r="G2554">
        <v>3</v>
      </c>
      <c r="J2554" t="s">
        <v>15</v>
      </c>
      <c r="K2554">
        <v>3</v>
      </c>
      <c r="L2554">
        <v>3.0419999999999998</v>
      </c>
      <c r="M2554">
        <v>0</v>
      </c>
      <c r="N2554" t="s">
        <v>10019</v>
      </c>
      <c r="O2554" t="str">
        <f>HYPERLINK("3\0\marker_990_381057.png", "Ver Imagen")</f>
        <v>Ver Imagen</v>
      </c>
      <c r="P2554" t="str">
        <f>HYPERLINK("NE\A-495\A-495__8.png", "Ver Imagen")</f>
        <v>Ver Imagen</v>
      </c>
    </row>
    <row r="2555" spans="1:16" x14ac:dyDescent="0.25">
      <c r="A2555">
        <v>2021</v>
      </c>
      <c r="B2555" t="s">
        <v>4055</v>
      </c>
      <c r="C2555">
        <v>37.443994017500003</v>
      </c>
      <c r="D2555">
        <v>-7.0982272429600002</v>
      </c>
      <c r="E2555">
        <v>3</v>
      </c>
      <c r="F2555">
        <v>3</v>
      </c>
      <c r="G2555">
        <v>3</v>
      </c>
      <c r="J2555" t="s">
        <v>15</v>
      </c>
      <c r="K2555">
        <v>3</v>
      </c>
      <c r="L2555">
        <v>2.6240000000000001</v>
      </c>
      <c r="M2555">
        <v>0</v>
      </c>
      <c r="N2555" t="s">
        <v>10019</v>
      </c>
      <c r="O2555" t="str">
        <f>HYPERLINK("3\0\marker_931_381150.png", "Ver Imagen")</f>
        <v>Ver Imagen</v>
      </c>
      <c r="P2555" t="str">
        <f>HYPERLINK("NE\A-495\A-495__9.png", "Ver Imagen")</f>
        <v>Ver Imagen</v>
      </c>
    </row>
    <row r="2556" spans="1:16" x14ac:dyDescent="0.25">
      <c r="A2556">
        <v>2022</v>
      </c>
      <c r="B2556" t="s">
        <v>4057</v>
      </c>
      <c r="C2556">
        <v>37.484434284599999</v>
      </c>
      <c r="D2556">
        <v>-7.13029926944</v>
      </c>
      <c r="E2556">
        <v>3</v>
      </c>
      <c r="F2556">
        <v>3</v>
      </c>
      <c r="G2556">
        <v>3</v>
      </c>
      <c r="J2556" t="s">
        <v>15</v>
      </c>
      <c r="K2556">
        <v>3</v>
      </c>
      <c r="L2556">
        <v>2.87</v>
      </c>
      <c r="M2556">
        <v>0</v>
      </c>
      <c r="N2556" t="s">
        <v>10018</v>
      </c>
      <c r="O2556" t="str">
        <f>HYPERLINK("3\0\marker_950_383702.png", "Ver Imagen")</f>
        <v>Ver Imagen</v>
      </c>
      <c r="P2556" t="str">
        <f>HYPERLINK("NE\A-495_1\A-495_1__193.png", "Ver Imagen")</f>
        <v>Ver Imagen</v>
      </c>
    </row>
    <row r="2557" spans="1:16" x14ac:dyDescent="0.25">
      <c r="A2557">
        <v>2025</v>
      </c>
      <c r="B2557" t="s">
        <v>4063</v>
      </c>
      <c r="C2557">
        <v>37.474574664400002</v>
      </c>
      <c r="D2557">
        <v>-7.1260974740599998</v>
      </c>
      <c r="E2557">
        <v>3</v>
      </c>
      <c r="F2557">
        <v>3</v>
      </c>
      <c r="G2557">
        <v>3</v>
      </c>
      <c r="J2557" t="s">
        <v>15</v>
      </c>
      <c r="K2557">
        <v>3</v>
      </c>
      <c r="L2557">
        <v>2.7480000000000002</v>
      </c>
      <c r="M2557">
        <v>0</v>
      </c>
      <c r="N2557" t="s">
        <v>10019</v>
      </c>
      <c r="O2557" t="str">
        <f>HYPERLINK("3\0\marker_630_384391.png", "Ver Imagen")</f>
        <v>Ver Imagen</v>
      </c>
      <c r="P2557" t="str">
        <f>HYPERLINK("NE\A-495_1\A-495_1__138.png", "Ver Imagen")</f>
        <v>Ver Imagen</v>
      </c>
    </row>
    <row r="2558" spans="1:16" x14ac:dyDescent="0.25">
      <c r="A2558">
        <v>2026</v>
      </c>
      <c r="B2558" t="s">
        <v>4065</v>
      </c>
      <c r="C2558">
        <v>37.469547194199997</v>
      </c>
      <c r="D2558">
        <v>-7.1243166669100004</v>
      </c>
      <c r="E2558">
        <v>3</v>
      </c>
      <c r="F2558">
        <v>3</v>
      </c>
      <c r="G2558">
        <v>3</v>
      </c>
      <c r="J2558" t="s">
        <v>15</v>
      </c>
      <c r="K2558">
        <v>3</v>
      </c>
      <c r="L2558">
        <v>3.0510000000000002</v>
      </c>
      <c r="M2558">
        <v>0</v>
      </c>
      <c r="N2558" t="s">
        <v>10019</v>
      </c>
      <c r="O2558" t="str">
        <f>HYPERLINK("3\0\marker_519_384711.png", "Ver Imagen")</f>
        <v>Ver Imagen</v>
      </c>
      <c r="P2558" t="str">
        <f>HYPERLINK("NE\A-495_1\A-495_1__111.png", "Ver Imagen")</f>
        <v>Ver Imagen</v>
      </c>
    </row>
    <row r="2559" spans="1:16" x14ac:dyDescent="0.25">
      <c r="A2559">
        <v>2029</v>
      </c>
      <c r="B2559" t="s">
        <v>4071</v>
      </c>
      <c r="C2559">
        <v>37.450783152</v>
      </c>
      <c r="D2559">
        <v>-7.12739237137</v>
      </c>
      <c r="E2559">
        <v>3</v>
      </c>
      <c r="F2559">
        <v>3</v>
      </c>
      <c r="G2559">
        <v>3</v>
      </c>
      <c r="J2559" t="s">
        <v>15</v>
      </c>
      <c r="K2559">
        <v>3</v>
      </c>
      <c r="L2559">
        <v>3.2410000000000001</v>
      </c>
      <c r="M2559">
        <v>0</v>
      </c>
      <c r="N2559" t="s">
        <v>10019</v>
      </c>
      <c r="O2559" t="str">
        <f>HYPERLINK("3\0\marker_526_386187.png", "Ver Imagen")</f>
        <v>Ver Imagen</v>
      </c>
      <c r="P2559" t="str">
        <f>HYPERLINK("NE\A-495_1\A-495_1__14.png", "Ver Imagen")</f>
        <v>Ver Imagen</v>
      </c>
    </row>
    <row r="2560" spans="1:16" x14ac:dyDescent="0.25">
      <c r="A2560">
        <v>2030</v>
      </c>
      <c r="B2560" t="s">
        <v>4073</v>
      </c>
      <c r="C2560">
        <v>37.449206902100002</v>
      </c>
      <c r="D2560">
        <v>-7.1270001805899996</v>
      </c>
      <c r="E2560">
        <v>3</v>
      </c>
      <c r="F2560">
        <v>3</v>
      </c>
      <c r="G2560">
        <v>3</v>
      </c>
      <c r="J2560" t="s">
        <v>15</v>
      </c>
      <c r="K2560">
        <v>3</v>
      </c>
      <c r="L2560">
        <v>2.87</v>
      </c>
      <c r="M2560">
        <v>0</v>
      </c>
      <c r="N2560" t="s">
        <v>10019</v>
      </c>
      <c r="O2560" t="str">
        <f>HYPERLINK("3\0\marker_498_386264.png", "Ver Imagen")</f>
        <v>Ver Imagen</v>
      </c>
      <c r="P2560" t="str">
        <f>HYPERLINK("NE\A-495_1\A-495_1__6.png", "Ver Imagen")</f>
        <v>Ver Imagen</v>
      </c>
    </row>
    <row r="2561" spans="1:16" x14ac:dyDescent="0.25">
      <c r="A2561">
        <v>2031</v>
      </c>
      <c r="B2561" t="s">
        <v>4075</v>
      </c>
      <c r="C2561">
        <v>37.4953413697</v>
      </c>
      <c r="D2561">
        <v>-7.27153364629</v>
      </c>
      <c r="E2561">
        <v>3</v>
      </c>
      <c r="F2561">
        <v>3</v>
      </c>
      <c r="G2561">
        <v>3</v>
      </c>
      <c r="J2561" t="s">
        <v>15</v>
      </c>
      <c r="K2561">
        <v>3</v>
      </c>
      <c r="L2561">
        <v>2.9369999999999998</v>
      </c>
      <c r="M2561">
        <v>0</v>
      </c>
      <c r="N2561" t="s">
        <v>10019</v>
      </c>
      <c r="O2561" t="str">
        <f>HYPERLINK("3\0\marker_842_535124.png", "Ver Imagen")</f>
        <v>Ver Imagen</v>
      </c>
      <c r="P2561" t="str">
        <f>HYPERLINK("NO\A-499\A-499__65.png", "Ver Imagen")</f>
        <v>Ver Imagen</v>
      </c>
    </row>
    <row r="2562" spans="1:16" x14ac:dyDescent="0.25">
      <c r="A2562">
        <v>2032</v>
      </c>
      <c r="B2562" t="s">
        <v>4077</v>
      </c>
      <c r="C2562">
        <v>37.497037644800002</v>
      </c>
      <c r="D2562">
        <v>-7.2681095687399999</v>
      </c>
      <c r="E2562">
        <v>3</v>
      </c>
      <c r="F2562">
        <v>3</v>
      </c>
      <c r="G2562">
        <v>3</v>
      </c>
      <c r="J2562" t="s">
        <v>15</v>
      </c>
      <c r="K2562">
        <v>3</v>
      </c>
      <c r="L2562">
        <v>2.9249999999999998</v>
      </c>
      <c r="M2562">
        <v>0</v>
      </c>
      <c r="N2562" t="s">
        <v>10019</v>
      </c>
      <c r="O2562" t="str">
        <f>HYPERLINK("3\0\marker_122_790026.png", "Ver Imagen")</f>
        <v>Ver Imagen</v>
      </c>
      <c r="P2562" t="str">
        <f>HYPERLINK("NO\A-499\A-499__91.png", "Ver Imagen")</f>
        <v>Ver Imagen</v>
      </c>
    </row>
    <row r="2563" spans="1:16" x14ac:dyDescent="0.25">
      <c r="A2563">
        <v>2033</v>
      </c>
      <c r="B2563" t="s">
        <v>4079</v>
      </c>
      <c r="C2563">
        <v>37.198884874999997</v>
      </c>
      <c r="D2563">
        <v>-6.9825412008200001</v>
      </c>
      <c r="E2563">
        <v>3</v>
      </c>
      <c r="F2563">
        <v>3</v>
      </c>
      <c r="G2563">
        <v>3</v>
      </c>
      <c r="J2563" t="s">
        <v>15</v>
      </c>
      <c r="K2563">
        <v>3</v>
      </c>
      <c r="L2563">
        <v>3.16</v>
      </c>
      <c r="M2563">
        <v>0</v>
      </c>
      <c r="N2563" t="s">
        <v>10019</v>
      </c>
      <c r="O2563" t="str">
        <f>HYPERLINK("3\0\marker_245_367597.png", "Ver Imagen")</f>
        <v>Ver Imagen</v>
      </c>
      <c r="P2563" t="str">
        <f>HYPERLINK("SE\A-497\A-497__835.png", "Ver Imagen")</f>
        <v>Ver Imagen</v>
      </c>
    </row>
    <row r="2564" spans="1:16" x14ac:dyDescent="0.25">
      <c r="A2564">
        <v>2034</v>
      </c>
      <c r="B2564" t="s">
        <v>4081</v>
      </c>
      <c r="C2564">
        <v>37.198716752700001</v>
      </c>
      <c r="D2564">
        <v>-6.9821208460099999</v>
      </c>
      <c r="E2564">
        <v>3</v>
      </c>
      <c r="F2564">
        <v>3</v>
      </c>
      <c r="G2564">
        <v>3</v>
      </c>
      <c r="J2564" t="s">
        <v>15</v>
      </c>
      <c r="K2564">
        <v>3</v>
      </c>
      <c r="L2564">
        <v>2.9409999999999998</v>
      </c>
      <c r="M2564">
        <v>0</v>
      </c>
      <c r="N2564" t="s">
        <v>10019</v>
      </c>
      <c r="O2564" t="str">
        <f>HYPERLINK("3\0\marker_226_367617.png", "Ver Imagen")</f>
        <v>Ver Imagen</v>
      </c>
      <c r="P2564" t="str">
        <f>HYPERLINK("SE\A-497\A-497__833.png", "Ver Imagen")</f>
        <v>Ver Imagen</v>
      </c>
    </row>
    <row r="2565" spans="1:16" x14ac:dyDescent="0.25">
      <c r="A2565">
        <v>2036</v>
      </c>
      <c r="B2565" t="s">
        <v>4085</v>
      </c>
      <c r="C2565">
        <v>37.198292772800002</v>
      </c>
      <c r="D2565">
        <v>-6.9812215808099998</v>
      </c>
      <c r="E2565">
        <v>3</v>
      </c>
      <c r="F2565">
        <v>3</v>
      </c>
      <c r="G2565">
        <v>3</v>
      </c>
      <c r="J2565" t="s">
        <v>15</v>
      </c>
      <c r="K2565">
        <v>3</v>
      </c>
      <c r="L2565">
        <v>3.4049999999999998</v>
      </c>
      <c r="M2565">
        <v>0</v>
      </c>
      <c r="N2565" t="s">
        <v>10019</v>
      </c>
      <c r="O2565" t="str">
        <f>HYPERLINK("3\0\marker_715_367657.png", "Ver Imagen")</f>
        <v>Ver Imagen</v>
      </c>
      <c r="P2565" t="str">
        <f>HYPERLINK("SE\A-497\A-497__829.png", "Ver Imagen")</f>
        <v>Ver Imagen</v>
      </c>
    </row>
    <row r="2566" spans="1:16" x14ac:dyDescent="0.25">
      <c r="A2566">
        <v>2037</v>
      </c>
      <c r="B2566" t="s">
        <v>4087</v>
      </c>
      <c r="C2566">
        <v>37.198071333800002</v>
      </c>
      <c r="D2566">
        <v>-6.9808314025299998</v>
      </c>
      <c r="E2566">
        <v>3</v>
      </c>
      <c r="F2566">
        <v>3</v>
      </c>
      <c r="G2566">
        <v>3</v>
      </c>
      <c r="J2566" t="s">
        <v>15</v>
      </c>
      <c r="K2566">
        <v>3</v>
      </c>
      <c r="L2566">
        <v>2.899</v>
      </c>
      <c r="M2566">
        <v>0</v>
      </c>
      <c r="N2566" t="s">
        <v>10017</v>
      </c>
      <c r="O2566" t="str">
        <f>HYPERLINK("3\0\marker_557_367675.png", "Ver Imagen")</f>
        <v>Ver Imagen</v>
      </c>
      <c r="P2566" t="str">
        <f>HYPERLINK("SE\A-497\A-497__827.png", "Ver Imagen")</f>
        <v>Ver Imagen</v>
      </c>
    </row>
    <row r="2567" spans="1:16" x14ac:dyDescent="0.25">
      <c r="A2567">
        <v>2039</v>
      </c>
      <c r="B2567" t="s">
        <v>4091</v>
      </c>
      <c r="C2567">
        <v>37.197224641799998</v>
      </c>
      <c r="D2567">
        <v>-6.97969609031</v>
      </c>
      <c r="E2567">
        <v>3</v>
      </c>
      <c r="F2567">
        <v>3</v>
      </c>
      <c r="G2567">
        <v>3</v>
      </c>
      <c r="J2567" t="s">
        <v>15</v>
      </c>
      <c r="K2567">
        <v>3</v>
      </c>
      <c r="L2567">
        <v>2.9089999999999998</v>
      </c>
      <c r="M2567">
        <v>0</v>
      </c>
      <c r="N2567" t="s">
        <v>10019</v>
      </c>
      <c r="O2567" t="str">
        <f>HYPERLINK("3\0\marker_140_367744.png", "Ver Imagen")</f>
        <v>Ver Imagen</v>
      </c>
      <c r="P2567" t="str">
        <f>HYPERLINK("SE\A-497\A-497__821.png", "Ver Imagen")</f>
        <v>Ver Imagen</v>
      </c>
    </row>
    <row r="2568" spans="1:16" x14ac:dyDescent="0.25">
      <c r="A2568">
        <v>2040</v>
      </c>
      <c r="B2568" t="s">
        <v>4093</v>
      </c>
      <c r="C2568">
        <v>37.197089691000002</v>
      </c>
      <c r="D2568">
        <v>-6.9795507025900001</v>
      </c>
      <c r="E2568">
        <v>3</v>
      </c>
      <c r="F2568">
        <v>3</v>
      </c>
      <c r="G2568">
        <v>3</v>
      </c>
      <c r="J2568" t="s">
        <v>15</v>
      </c>
      <c r="K2568">
        <v>3</v>
      </c>
      <c r="L2568">
        <v>3.0630000000000002</v>
      </c>
      <c r="M2568">
        <v>0</v>
      </c>
      <c r="N2568" t="s">
        <v>10019</v>
      </c>
      <c r="O2568" t="str">
        <f>HYPERLINK("3\0\marker_171_367754.png", "Ver Imagen")</f>
        <v>Ver Imagen</v>
      </c>
      <c r="P2568" t="str">
        <f>HYPERLINK("SE\A-497\A-497__820.png", "Ver Imagen")</f>
        <v>Ver Imagen</v>
      </c>
    </row>
    <row r="2569" spans="1:16" x14ac:dyDescent="0.25">
      <c r="A2569">
        <v>2041</v>
      </c>
      <c r="B2569" t="s">
        <v>4095</v>
      </c>
      <c r="C2569">
        <v>37.196941987899997</v>
      </c>
      <c r="D2569">
        <v>-6.9794002616700004</v>
      </c>
      <c r="E2569">
        <v>3</v>
      </c>
      <c r="F2569">
        <v>3</v>
      </c>
      <c r="G2569">
        <v>3</v>
      </c>
      <c r="J2569" t="s">
        <v>15</v>
      </c>
      <c r="K2569">
        <v>3</v>
      </c>
      <c r="L2569">
        <v>2.923</v>
      </c>
      <c r="M2569">
        <v>0</v>
      </c>
      <c r="N2569" t="s">
        <v>10018</v>
      </c>
      <c r="O2569" t="str">
        <f>HYPERLINK("3\0\marker_477_367765.png", "Ver Imagen")</f>
        <v>Ver Imagen</v>
      </c>
      <c r="P2569" t="str">
        <f>HYPERLINK("SE\A-497\A-497__819.png", "Ver Imagen")</f>
        <v>Ver Imagen</v>
      </c>
    </row>
    <row r="2570" spans="1:16" x14ac:dyDescent="0.25">
      <c r="A2570">
        <v>2042</v>
      </c>
      <c r="B2570" t="s">
        <v>4097</v>
      </c>
      <c r="C2570">
        <v>37.196625771800001</v>
      </c>
      <c r="D2570">
        <v>-6.9791057436199999</v>
      </c>
      <c r="E2570">
        <v>3</v>
      </c>
      <c r="F2570">
        <v>3</v>
      </c>
      <c r="G2570">
        <v>3</v>
      </c>
      <c r="J2570" t="s">
        <v>15</v>
      </c>
      <c r="K2570">
        <v>3</v>
      </c>
      <c r="L2570">
        <v>3.0430000000000001</v>
      </c>
      <c r="M2570">
        <v>0</v>
      </c>
      <c r="N2570" t="s">
        <v>10019</v>
      </c>
      <c r="O2570" t="str">
        <f>HYPERLINK("3\0\marker_363_367783.png", "Ver Imagen")</f>
        <v>Ver Imagen</v>
      </c>
      <c r="P2570" t="str">
        <f>HYPERLINK("SE\A-497\A-497__817.png", "Ver Imagen")</f>
        <v>Ver Imagen</v>
      </c>
    </row>
    <row r="2571" spans="1:16" x14ac:dyDescent="0.25">
      <c r="A2571">
        <v>2043</v>
      </c>
      <c r="B2571" t="s">
        <v>4099</v>
      </c>
      <c r="C2571">
        <v>37.194622132200003</v>
      </c>
      <c r="D2571">
        <v>-6.97792953091</v>
      </c>
      <c r="E2571">
        <v>3</v>
      </c>
      <c r="F2571">
        <v>3</v>
      </c>
      <c r="G2571">
        <v>3</v>
      </c>
      <c r="J2571" t="s">
        <v>15</v>
      </c>
      <c r="K2571">
        <v>3</v>
      </c>
      <c r="L2571">
        <v>3.008</v>
      </c>
      <c r="M2571">
        <v>0</v>
      </c>
      <c r="N2571" t="s">
        <v>10019</v>
      </c>
      <c r="O2571" t="str">
        <f>HYPERLINK("3\0\marker_285_367891.png", "Ver Imagen")</f>
        <v>Ver Imagen</v>
      </c>
      <c r="P2571" t="str">
        <f>HYPERLINK("SE\A-497\A-497__806.png", "Ver Imagen")</f>
        <v>Ver Imagen</v>
      </c>
    </row>
    <row r="2572" spans="1:16" x14ac:dyDescent="0.25">
      <c r="A2572">
        <v>2044</v>
      </c>
      <c r="B2572" t="s">
        <v>4101</v>
      </c>
      <c r="C2572">
        <v>37.189773740699998</v>
      </c>
      <c r="D2572">
        <v>-6.9782003067999998</v>
      </c>
      <c r="E2572">
        <v>3</v>
      </c>
      <c r="F2572">
        <v>3</v>
      </c>
      <c r="G2572">
        <v>3</v>
      </c>
      <c r="J2572" t="s">
        <v>15</v>
      </c>
      <c r="K2572">
        <v>3</v>
      </c>
      <c r="L2572">
        <v>3.0659999999999998</v>
      </c>
      <c r="M2572">
        <v>0</v>
      </c>
      <c r="N2572" t="s">
        <v>10019</v>
      </c>
      <c r="O2572" t="str">
        <f>HYPERLINK("3\0\marker_229_368142.png", "Ver Imagen")</f>
        <v>Ver Imagen</v>
      </c>
      <c r="P2572" t="str">
        <f>HYPERLINK("SE\A-497\A-497__782.png", "Ver Imagen")</f>
        <v>Ver Imagen</v>
      </c>
    </row>
    <row r="2573" spans="1:16" x14ac:dyDescent="0.25">
      <c r="A2573">
        <v>2045</v>
      </c>
      <c r="B2573" t="s">
        <v>4103</v>
      </c>
      <c r="C2573">
        <v>37.189414120499997</v>
      </c>
      <c r="D2573">
        <v>-6.9783053052200001</v>
      </c>
      <c r="E2573">
        <v>3</v>
      </c>
      <c r="F2573">
        <v>3</v>
      </c>
      <c r="G2573">
        <v>3</v>
      </c>
      <c r="J2573" t="s">
        <v>15</v>
      </c>
      <c r="K2573">
        <v>3</v>
      </c>
      <c r="L2573">
        <v>2.9750000000000001</v>
      </c>
      <c r="M2573">
        <v>0</v>
      </c>
      <c r="N2573" t="s">
        <v>10019</v>
      </c>
      <c r="O2573" t="str">
        <f>HYPERLINK("3\0\marker_688_368161.png", "Ver Imagen")</f>
        <v>Ver Imagen</v>
      </c>
      <c r="P2573" t="str">
        <f>HYPERLINK("SE\A-497\A-497__780.png", "Ver Imagen")</f>
        <v>Ver Imagen</v>
      </c>
    </row>
    <row r="2574" spans="1:16" x14ac:dyDescent="0.25">
      <c r="A2574">
        <v>2046</v>
      </c>
      <c r="B2574" t="s">
        <v>4105</v>
      </c>
      <c r="C2574">
        <v>37.1886501432</v>
      </c>
      <c r="D2574">
        <v>-6.9785267420199997</v>
      </c>
      <c r="E2574">
        <v>3</v>
      </c>
      <c r="F2574">
        <v>3</v>
      </c>
      <c r="G2574">
        <v>3</v>
      </c>
      <c r="J2574" t="s">
        <v>15</v>
      </c>
      <c r="K2574">
        <v>3</v>
      </c>
      <c r="L2574">
        <v>2.762</v>
      </c>
      <c r="M2574">
        <v>0</v>
      </c>
      <c r="N2574" t="s">
        <v>10019</v>
      </c>
      <c r="O2574" t="str">
        <f>HYPERLINK("3\0\marker_930_368220.png", "Ver Imagen")</f>
        <v>Ver Imagen</v>
      </c>
      <c r="P2574" t="str">
        <f>HYPERLINK("SE\A-497\A-497__776.png", "Ver Imagen")</f>
        <v>Ver Imagen</v>
      </c>
    </row>
    <row r="2575" spans="1:16" x14ac:dyDescent="0.25">
      <c r="A2575">
        <v>2047</v>
      </c>
      <c r="B2575" t="s">
        <v>4107</v>
      </c>
      <c r="C2575">
        <v>37.188454724800003</v>
      </c>
      <c r="D2575">
        <v>-6.9786052222999997</v>
      </c>
      <c r="E2575">
        <v>3</v>
      </c>
      <c r="F2575">
        <v>3</v>
      </c>
      <c r="G2575">
        <v>3</v>
      </c>
      <c r="J2575" t="s">
        <v>15</v>
      </c>
      <c r="K2575">
        <v>3</v>
      </c>
      <c r="L2575">
        <v>3.2090000000000001</v>
      </c>
      <c r="M2575">
        <v>0</v>
      </c>
      <c r="N2575" t="s">
        <v>10017</v>
      </c>
      <c r="O2575" t="str">
        <f>HYPERLINK("3\0\marker_973_368232.png", "Ver Imagen")</f>
        <v>Ver Imagen</v>
      </c>
      <c r="P2575" t="str">
        <f>HYPERLINK("SE\A-497\A-497__775.png", "Ver Imagen")</f>
        <v>Ver Imagen</v>
      </c>
    </row>
    <row r="2576" spans="1:16" x14ac:dyDescent="0.25">
      <c r="A2576">
        <v>2048</v>
      </c>
      <c r="B2576" t="s">
        <v>4109</v>
      </c>
      <c r="C2576">
        <v>37.1877733671</v>
      </c>
      <c r="D2576">
        <v>-6.9790872115999996</v>
      </c>
      <c r="E2576">
        <v>3</v>
      </c>
      <c r="F2576">
        <v>3</v>
      </c>
      <c r="G2576">
        <v>3</v>
      </c>
      <c r="J2576" t="s">
        <v>15</v>
      </c>
      <c r="K2576">
        <v>3</v>
      </c>
      <c r="L2576">
        <v>2.72</v>
      </c>
      <c r="M2576">
        <v>0</v>
      </c>
      <c r="N2576" t="s">
        <v>10018</v>
      </c>
      <c r="O2576" t="str">
        <f>HYPERLINK("3\0\marker_747_368290.png", "Ver Imagen")</f>
        <v>Ver Imagen</v>
      </c>
      <c r="P2576" t="str">
        <f>HYPERLINK("SE\A-497\A-497__771.png", "Ver Imagen")</f>
        <v>Ver Imagen</v>
      </c>
    </row>
    <row r="2577" spans="1:16" x14ac:dyDescent="0.25">
      <c r="A2577">
        <v>2049</v>
      </c>
      <c r="B2577" t="s">
        <v>4111</v>
      </c>
      <c r="C2577">
        <v>37.2675150747</v>
      </c>
      <c r="D2577">
        <v>-6.9575089750199997</v>
      </c>
      <c r="E2577">
        <v>3</v>
      </c>
      <c r="F2577">
        <v>3</v>
      </c>
      <c r="G2577">
        <v>3</v>
      </c>
      <c r="J2577" t="s">
        <v>15</v>
      </c>
      <c r="K2577">
        <v>3</v>
      </c>
      <c r="L2577">
        <v>2.6880000000000002</v>
      </c>
      <c r="M2577">
        <v>0</v>
      </c>
      <c r="N2577" t="s">
        <v>10019</v>
      </c>
      <c r="O2577" t="str">
        <f>HYPERLINK("3\0\marker_869_653737.png", "Ver Imagen")</f>
        <v>Ver Imagen</v>
      </c>
      <c r="P2577" t="str">
        <f>HYPERLINK("SE\A-497_2C\A-497_2C__2.png", "Ver Imagen")</f>
        <v>Ver Imagen</v>
      </c>
    </row>
    <row r="2578" spans="1:16" x14ac:dyDescent="0.25">
      <c r="A2578">
        <v>2050</v>
      </c>
      <c r="B2578" t="s">
        <v>4113</v>
      </c>
      <c r="C2578">
        <v>37.267441155299998</v>
      </c>
      <c r="D2578">
        <v>-6.9577308371899997</v>
      </c>
      <c r="E2578">
        <v>3</v>
      </c>
      <c r="F2578">
        <v>3</v>
      </c>
      <c r="G2578">
        <v>3</v>
      </c>
      <c r="J2578" t="s">
        <v>15</v>
      </c>
      <c r="K2578">
        <v>3</v>
      </c>
      <c r="L2578">
        <v>2.9990000000000001</v>
      </c>
      <c r="M2578">
        <v>0</v>
      </c>
      <c r="N2578" t="s">
        <v>10019</v>
      </c>
      <c r="O2578" t="str">
        <f>HYPERLINK("3\0\marker_310_653748.png", "Ver Imagen")</f>
        <v>Ver Imagen</v>
      </c>
      <c r="P2578" t="str">
        <f>HYPERLINK("SE\A-497_2C\A-497_2C__3.png", "Ver Imagen")</f>
        <v>Ver Imagen</v>
      </c>
    </row>
    <row r="2579" spans="1:16" x14ac:dyDescent="0.25">
      <c r="A2579">
        <v>2051</v>
      </c>
      <c r="B2579" t="s">
        <v>4115</v>
      </c>
      <c r="C2579">
        <v>37.2676135257</v>
      </c>
      <c r="D2579">
        <v>-6.9627819224299996</v>
      </c>
      <c r="E2579">
        <v>3</v>
      </c>
      <c r="F2579">
        <v>3</v>
      </c>
      <c r="G2579">
        <v>3</v>
      </c>
      <c r="J2579" t="s">
        <v>15</v>
      </c>
      <c r="K2579">
        <v>3</v>
      </c>
      <c r="L2579">
        <v>2.948</v>
      </c>
      <c r="M2579">
        <v>0</v>
      </c>
      <c r="N2579" t="s">
        <v>10019</v>
      </c>
      <c r="O2579" t="str">
        <f>HYPERLINK("3\0\marker_148_654416.png", "Ver Imagen")</f>
        <v>Ver Imagen</v>
      </c>
      <c r="P2579" t="str">
        <f>HYPERLINK("SE\A-497_2C\A-497_2C__23.png", "Ver Imagen")</f>
        <v>Ver Imagen</v>
      </c>
    </row>
    <row r="2580" spans="1:16" x14ac:dyDescent="0.25">
      <c r="A2580">
        <v>2052</v>
      </c>
      <c r="B2580" t="s">
        <v>4117</v>
      </c>
      <c r="C2580">
        <v>37.267637176699999</v>
      </c>
      <c r="D2580">
        <v>-6.9635710691000003</v>
      </c>
      <c r="E2580">
        <v>3</v>
      </c>
      <c r="F2580">
        <v>3</v>
      </c>
      <c r="G2580">
        <v>3</v>
      </c>
      <c r="J2580" t="s">
        <v>15</v>
      </c>
      <c r="K2580">
        <v>3</v>
      </c>
      <c r="L2580">
        <v>2.8929999999999998</v>
      </c>
      <c r="M2580">
        <v>0</v>
      </c>
      <c r="N2580" t="s">
        <v>10017</v>
      </c>
      <c r="O2580" t="str">
        <f>HYPERLINK("3\0\marker_861_654443.png", "Ver Imagen")</f>
        <v>Ver Imagen</v>
      </c>
      <c r="P2580" t="str">
        <f>HYPERLINK("SE\A-497_2C\A-497_2C__26.png", "Ver Imagen")</f>
        <v>Ver Imagen</v>
      </c>
    </row>
    <row r="2581" spans="1:16" x14ac:dyDescent="0.25">
      <c r="A2581">
        <v>2053</v>
      </c>
      <c r="B2581" t="s">
        <v>4119</v>
      </c>
      <c r="C2581">
        <v>37.268210750000001</v>
      </c>
      <c r="D2581">
        <v>-6.9713893162999998</v>
      </c>
      <c r="E2581">
        <v>3</v>
      </c>
      <c r="F2581">
        <v>3</v>
      </c>
      <c r="G2581">
        <v>3</v>
      </c>
      <c r="J2581" t="s">
        <v>15</v>
      </c>
      <c r="K2581">
        <v>3</v>
      </c>
      <c r="L2581">
        <v>3.1269999999999998</v>
      </c>
      <c r="M2581">
        <v>0</v>
      </c>
      <c r="N2581" t="s">
        <v>10019</v>
      </c>
      <c r="O2581" t="str">
        <f>HYPERLINK("3\0\marker_835_654821.png", "Ver Imagen")</f>
        <v>Ver Imagen</v>
      </c>
      <c r="P2581" t="str">
        <f>HYPERLINK("SE\A-497_2C\A-497_2C__57.png", "Ver Imagen")</f>
        <v>Ver Imagen</v>
      </c>
    </row>
    <row r="2582" spans="1:16" x14ac:dyDescent="0.25">
      <c r="A2582">
        <v>2054</v>
      </c>
      <c r="B2582" t="s">
        <v>4121</v>
      </c>
      <c r="C2582">
        <v>37.268708795199998</v>
      </c>
      <c r="D2582">
        <v>-6.9741246954999996</v>
      </c>
      <c r="E2582">
        <v>3</v>
      </c>
      <c r="F2582">
        <v>3</v>
      </c>
      <c r="G2582">
        <v>3</v>
      </c>
      <c r="J2582" t="s">
        <v>15</v>
      </c>
      <c r="K2582">
        <v>3</v>
      </c>
      <c r="L2582">
        <v>3.0990000000000002</v>
      </c>
      <c r="M2582">
        <v>0</v>
      </c>
      <c r="N2582" t="s">
        <v>10019</v>
      </c>
      <c r="O2582" t="str">
        <f>HYPERLINK("3\0\marker_980_654946.png", "Ver Imagen")</f>
        <v>Ver Imagen</v>
      </c>
      <c r="P2582" t="str">
        <f>HYPERLINK("SE\A-497_2C\A-497_2C__68.png", "Ver Imagen")</f>
        <v>Ver Imagen</v>
      </c>
    </row>
    <row r="2583" spans="1:16" x14ac:dyDescent="0.25">
      <c r="A2583">
        <v>2055</v>
      </c>
      <c r="B2583" t="s">
        <v>4123</v>
      </c>
      <c r="C2583">
        <v>37.268806858600001</v>
      </c>
      <c r="D2583">
        <v>-6.9745771340499996</v>
      </c>
      <c r="E2583">
        <v>3</v>
      </c>
      <c r="F2583">
        <v>3</v>
      </c>
      <c r="G2583">
        <v>3</v>
      </c>
      <c r="J2583" t="s">
        <v>15</v>
      </c>
      <c r="K2583">
        <v>3</v>
      </c>
      <c r="L2583">
        <v>3.1560000000000001</v>
      </c>
      <c r="M2583">
        <v>0</v>
      </c>
      <c r="N2583" t="s">
        <v>10019</v>
      </c>
      <c r="O2583" t="str">
        <f>HYPERLINK("3\0\marker_251_655038.png", "Ver Imagen")</f>
        <v>Ver Imagen</v>
      </c>
      <c r="P2583" t="str">
        <f>HYPERLINK("SE\A-497_2C\A-497_2C__70.png", "Ver Imagen")</f>
        <v>Ver Imagen</v>
      </c>
    </row>
    <row r="2584" spans="1:16" x14ac:dyDescent="0.25">
      <c r="A2584">
        <v>2056</v>
      </c>
      <c r="B2584" t="s">
        <v>4125</v>
      </c>
      <c r="C2584">
        <v>37.268917534800003</v>
      </c>
      <c r="D2584">
        <v>-6.9750649359599999</v>
      </c>
      <c r="E2584">
        <v>3</v>
      </c>
      <c r="F2584">
        <v>3</v>
      </c>
      <c r="G2584">
        <v>3</v>
      </c>
      <c r="J2584" t="s">
        <v>15</v>
      </c>
      <c r="K2584">
        <v>3</v>
      </c>
      <c r="L2584">
        <v>2.927</v>
      </c>
      <c r="M2584">
        <v>0</v>
      </c>
      <c r="N2584" t="s">
        <v>10019</v>
      </c>
      <c r="O2584" t="str">
        <f>HYPERLINK("3\0\marker_876_655056.png", "Ver Imagen")</f>
        <v>Ver Imagen</v>
      </c>
      <c r="P2584" t="str">
        <f>HYPERLINK("SE\A-497_2C\A-497_2C__72.png", "Ver Imagen")</f>
        <v>Ver Imagen</v>
      </c>
    </row>
    <row r="2585" spans="1:16" x14ac:dyDescent="0.25">
      <c r="A2585">
        <v>2057</v>
      </c>
      <c r="B2585" t="s">
        <v>4127</v>
      </c>
      <c r="C2585">
        <v>37.269036531899999</v>
      </c>
      <c r="D2585">
        <v>-6.9755661413499999</v>
      </c>
      <c r="E2585">
        <v>3</v>
      </c>
      <c r="F2585">
        <v>3</v>
      </c>
      <c r="G2585">
        <v>3</v>
      </c>
      <c r="J2585" t="s">
        <v>15</v>
      </c>
      <c r="K2585">
        <v>3</v>
      </c>
      <c r="L2585">
        <v>3.1309999999999998</v>
      </c>
      <c r="M2585">
        <v>0</v>
      </c>
      <c r="N2585" t="s">
        <v>10019</v>
      </c>
      <c r="O2585" t="str">
        <f>HYPERLINK("3\0\marker_530_655073.png", "Ver Imagen")</f>
        <v>Ver Imagen</v>
      </c>
      <c r="P2585" t="str">
        <f>HYPERLINK("SE\A-497_2C\A-497_2C__74.png", "Ver Imagen")</f>
        <v>Ver Imagen</v>
      </c>
    </row>
    <row r="2586" spans="1:16" x14ac:dyDescent="0.25">
      <c r="A2586">
        <v>2058</v>
      </c>
      <c r="B2586" t="s">
        <v>4129</v>
      </c>
      <c r="C2586">
        <v>37.269546961899998</v>
      </c>
      <c r="D2586">
        <v>-6.9774575306799997</v>
      </c>
      <c r="E2586">
        <v>3</v>
      </c>
      <c r="F2586">
        <v>3</v>
      </c>
      <c r="G2586">
        <v>3</v>
      </c>
      <c r="J2586" t="s">
        <v>15</v>
      </c>
      <c r="K2586">
        <v>3</v>
      </c>
      <c r="L2586">
        <v>2.9860000000000002</v>
      </c>
      <c r="M2586">
        <v>0</v>
      </c>
      <c r="N2586" t="s">
        <v>10019</v>
      </c>
      <c r="O2586" t="str">
        <f>HYPERLINK("3\0\marker_383_655169.png", "Ver Imagen")</f>
        <v>Ver Imagen</v>
      </c>
      <c r="P2586" t="str">
        <f>HYPERLINK("SE\A-497_2C\A-497_2C__82.png", "Ver Imagen")</f>
        <v>Ver Imagen</v>
      </c>
    </row>
    <row r="2587" spans="1:16" x14ac:dyDescent="0.25">
      <c r="A2587">
        <v>2059</v>
      </c>
      <c r="B2587" t="s">
        <v>4131</v>
      </c>
      <c r="C2587">
        <v>37.2696147817</v>
      </c>
      <c r="D2587">
        <v>-6.9776941725199997</v>
      </c>
      <c r="E2587">
        <v>3</v>
      </c>
      <c r="F2587">
        <v>3</v>
      </c>
      <c r="G2587">
        <v>3</v>
      </c>
      <c r="J2587" t="s">
        <v>15</v>
      </c>
      <c r="K2587">
        <v>3</v>
      </c>
      <c r="L2587">
        <v>2.8839999999999999</v>
      </c>
      <c r="M2587">
        <v>0</v>
      </c>
      <c r="N2587" t="s">
        <v>10019</v>
      </c>
      <c r="O2587" t="str">
        <f>HYPERLINK("3\0\marker_917_655178.png", "Ver Imagen")</f>
        <v>Ver Imagen</v>
      </c>
      <c r="P2587" t="str">
        <f>HYPERLINK("SE\A-497_2C\A-497_2C__83.png", "Ver Imagen")</f>
        <v>Ver Imagen</v>
      </c>
    </row>
    <row r="2588" spans="1:16" x14ac:dyDescent="0.25">
      <c r="A2588">
        <v>2060</v>
      </c>
      <c r="B2588" t="s">
        <v>4133</v>
      </c>
      <c r="C2588">
        <v>37.269762033399999</v>
      </c>
      <c r="D2588">
        <v>-6.9782084407399996</v>
      </c>
      <c r="E2588">
        <v>3</v>
      </c>
      <c r="F2588">
        <v>3</v>
      </c>
      <c r="G2588">
        <v>3</v>
      </c>
      <c r="J2588" t="s">
        <v>15</v>
      </c>
      <c r="K2588">
        <v>3</v>
      </c>
      <c r="L2588">
        <v>3.306</v>
      </c>
      <c r="M2588">
        <v>0</v>
      </c>
      <c r="N2588" t="s">
        <v>10019</v>
      </c>
      <c r="O2588" t="str">
        <f>HYPERLINK("3\0\marker_104_655212.png", "Ver Imagen")</f>
        <v>Ver Imagen</v>
      </c>
      <c r="P2588" t="str">
        <f>HYPERLINK("SE\A-497_2C\A-497_2C__85.png", "Ver Imagen")</f>
        <v>Ver Imagen</v>
      </c>
    </row>
    <row r="2589" spans="1:16" x14ac:dyDescent="0.25">
      <c r="A2589">
        <v>2061</v>
      </c>
      <c r="B2589" t="s">
        <v>4135</v>
      </c>
      <c r="C2589">
        <v>37.269824792800001</v>
      </c>
      <c r="D2589">
        <v>-6.9784308105999999</v>
      </c>
      <c r="E2589">
        <v>3</v>
      </c>
      <c r="F2589">
        <v>3</v>
      </c>
      <c r="G2589">
        <v>3</v>
      </c>
      <c r="J2589" t="s">
        <v>15</v>
      </c>
      <c r="K2589">
        <v>3</v>
      </c>
      <c r="L2589">
        <v>2.8370000000000002</v>
      </c>
      <c r="M2589">
        <v>0</v>
      </c>
      <c r="N2589" t="s">
        <v>10019</v>
      </c>
      <c r="O2589" t="str">
        <f>HYPERLINK("3\0\marker_160_655224.png", "Ver Imagen")</f>
        <v>Ver Imagen</v>
      </c>
      <c r="P2589" t="str">
        <f>HYPERLINK("SE\A-497_2C\A-497_2C__86.png", "Ver Imagen")</f>
        <v>Ver Imagen</v>
      </c>
    </row>
    <row r="2590" spans="1:16" x14ac:dyDescent="0.25">
      <c r="A2590">
        <v>2062</v>
      </c>
      <c r="B2590" t="s">
        <v>4137</v>
      </c>
      <c r="C2590">
        <v>37.270514451499999</v>
      </c>
      <c r="D2590">
        <v>-6.9808274703400004</v>
      </c>
      <c r="E2590">
        <v>3</v>
      </c>
      <c r="F2590">
        <v>3</v>
      </c>
      <c r="G2590">
        <v>3</v>
      </c>
      <c r="J2590" t="s">
        <v>15</v>
      </c>
      <c r="K2590">
        <v>3</v>
      </c>
      <c r="L2590">
        <v>3.1819999999999999</v>
      </c>
      <c r="M2590">
        <v>0</v>
      </c>
      <c r="N2590" t="s">
        <v>10019</v>
      </c>
      <c r="O2590" t="str">
        <f>HYPERLINK("3\0\marker_953_655367.png", "Ver Imagen")</f>
        <v>Ver Imagen</v>
      </c>
      <c r="P2590" t="str">
        <f>HYPERLINK("SE\A-497_2C\A-497_2C__96.png", "Ver Imagen")</f>
        <v>Ver Imagen</v>
      </c>
    </row>
    <row r="2591" spans="1:16" x14ac:dyDescent="0.25">
      <c r="A2591">
        <v>2063</v>
      </c>
      <c r="B2591" t="s">
        <v>4139</v>
      </c>
      <c r="C2591">
        <v>37.270576768200002</v>
      </c>
      <c r="D2591">
        <v>-6.9810456753599999</v>
      </c>
      <c r="E2591">
        <v>3</v>
      </c>
      <c r="F2591">
        <v>3</v>
      </c>
      <c r="G2591">
        <v>3</v>
      </c>
      <c r="J2591" t="s">
        <v>15</v>
      </c>
      <c r="K2591">
        <v>3</v>
      </c>
      <c r="L2591">
        <v>2.964</v>
      </c>
      <c r="M2591">
        <v>0</v>
      </c>
      <c r="N2591" t="s">
        <v>10019</v>
      </c>
      <c r="O2591" t="str">
        <f>HYPERLINK("3\0\marker_294_655376.png", "Ver Imagen")</f>
        <v>Ver Imagen</v>
      </c>
      <c r="P2591" t="str">
        <f>HYPERLINK("SE\A-497_2C\A-497_2C__97.png", "Ver Imagen")</f>
        <v>Ver Imagen</v>
      </c>
    </row>
    <row r="2592" spans="1:16" x14ac:dyDescent="0.25">
      <c r="A2592">
        <v>2064</v>
      </c>
      <c r="B2592" t="s">
        <v>4141</v>
      </c>
      <c r="C2592">
        <v>37.270783987900003</v>
      </c>
      <c r="D2592">
        <v>-6.9817709373400003</v>
      </c>
      <c r="E2592">
        <v>3</v>
      </c>
      <c r="F2592">
        <v>3</v>
      </c>
      <c r="G2592">
        <v>3</v>
      </c>
      <c r="J2592" t="s">
        <v>15</v>
      </c>
      <c r="K2592">
        <v>3</v>
      </c>
      <c r="L2592">
        <v>2.77</v>
      </c>
      <c r="M2592">
        <v>0</v>
      </c>
      <c r="N2592" t="s">
        <v>10019</v>
      </c>
      <c r="O2592" t="str">
        <f>HYPERLINK("3\0\marker_258_655441.png", "Ver Imagen")</f>
        <v>Ver Imagen</v>
      </c>
      <c r="P2592" t="str">
        <f>HYPERLINK("SE\A-497_2C\A-497_2C__100.png", "Ver Imagen")</f>
        <v>Ver Imagen</v>
      </c>
    </row>
    <row r="2593" spans="1:16" x14ac:dyDescent="0.25">
      <c r="A2593">
        <v>2065</v>
      </c>
      <c r="B2593" t="s">
        <v>4143</v>
      </c>
      <c r="C2593">
        <v>37.270990786600002</v>
      </c>
      <c r="D2593">
        <v>-6.9824837400400002</v>
      </c>
      <c r="E2593">
        <v>3</v>
      </c>
      <c r="F2593">
        <v>3</v>
      </c>
      <c r="G2593">
        <v>3</v>
      </c>
      <c r="J2593" t="s">
        <v>15</v>
      </c>
      <c r="K2593">
        <v>3</v>
      </c>
      <c r="L2593">
        <v>2.9060000000000001</v>
      </c>
      <c r="M2593">
        <v>0</v>
      </c>
      <c r="N2593" t="s">
        <v>10019</v>
      </c>
      <c r="O2593" t="str">
        <f>HYPERLINK("3\0\marker_440_655469.png", "Ver Imagen")</f>
        <v>Ver Imagen</v>
      </c>
      <c r="P2593" t="str">
        <f>HYPERLINK("SE\A-497_2C\A-497_2C__103.png", "Ver Imagen")</f>
        <v>Ver Imagen</v>
      </c>
    </row>
    <row r="2594" spans="1:16" x14ac:dyDescent="0.25">
      <c r="A2594">
        <v>2066</v>
      </c>
      <c r="B2594" t="s">
        <v>4145</v>
      </c>
      <c r="C2594">
        <v>37.271199524499998</v>
      </c>
      <c r="D2594">
        <v>-6.9832059489700002</v>
      </c>
      <c r="E2594">
        <v>3</v>
      </c>
      <c r="F2594">
        <v>3</v>
      </c>
      <c r="G2594">
        <v>3</v>
      </c>
      <c r="J2594" t="s">
        <v>15</v>
      </c>
      <c r="K2594">
        <v>3</v>
      </c>
      <c r="L2594">
        <v>3.1150000000000002</v>
      </c>
      <c r="M2594">
        <v>0</v>
      </c>
      <c r="N2594" t="s">
        <v>10019</v>
      </c>
      <c r="O2594" t="str">
        <f>HYPERLINK("3\0\marker_945_655497.png", "Ver Imagen")</f>
        <v>Ver Imagen</v>
      </c>
      <c r="P2594" t="str">
        <f>HYPERLINK("SE\A-497_2C\A-497_2C__106.png", "Ver Imagen")</f>
        <v>Ver Imagen</v>
      </c>
    </row>
    <row r="2595" spans="1:16" x14ac:dyDescent="0.25">
      <c r="A2595">
        <v>2067</v>
      </c>
      <c r="B2595" t="s">
        <v>4147</v>
      </c>
      <c r="C2595">
        <v>37.271829160499998</v>
      </c>
      <c r="D2595">
        <v>-6.9868929944099998</v>
      </c>
      <c r="E2595">
        <v>3</v>
      </c>
      <c r="F2595">
        <v>3</v>
      </c>
      <c r="G2595">
        <v>3</v>
      </c>
      <c r="J2595" t="s">
        <v>15</v>
      </c>
      <c r="K2595">
        <v>3</v>
      </c>
      <c r="L2595">
        <v>3.1</v>
      </c>
      <c r="M2595">
        <v>0</v>
      </c>
      <c r="N2595" t="s">
        <v>10019</v>
      </c>
      <c r="O2595" t="str">
        <f>HYPERLINK("3\0\marker_388_655690.png", "Ver Imagen")</f>
        <v>Ver Imagen</v>
      </c>
      <c r="P2595" t="str">
        <f>HYPERLINK("SE\A-497_2C\A-497_2C__121.png", "Ver Imagen")</f>
        <v>Ver Imagen</v>
      </c>
    </row>
    <row r="2596" spans="1:16" x14ac:dyDescent="0.25">
      <c r="A2596">
        <v>2068</v>
      </c>
      <c r="B2596" t="s">
        <v>4149</v>
      </c>
      <c r="C2596">
        <v>37.271798527599998</v>
      </c>
      <c r="D2596">
        <v>-6.9871236614000001</v>
      </c>
      <c r="E2596">
        <v>3</v>
      </c>
      <c r="F2596">
        <v>3</v>
      </c>
      <c r="G2596">
        <v>3</v>
      </c>
      <c r="J2596" t="s">
        <v>15</v>
      </c>
      <c r="K2596">
        <v>3</v>
      </c>
      <c r="L2596">
        <v>2.8730000000000002</v>
      </c>
      <c r="M2596">
        <v>0</v>
      </c>
      <c r="N2596" t="s">
        <v>10019</v>
      </c>
      <c r="O2596" t="str">
        <f>HYPERLINK("3\0\marker_377_655698.png", "Ver Imagen")</f>
        <v>Ver Imagen</v>
      </c>
      <c r="P2596" t="str">
        <f>HYPERLINK("SE\A-497_2C\A-497_2C__122.png", "Ver Imagen")</f>
        <v>Ver Imagen</v>
      </c>
    </row>
    <row r="2597" spans="1:16" x14ac:dyDescent="0.25">
      <c r="A2597">
        <v>2069</v>
      </c>
      <c r="B2597" t="s">
        <v>4151</v>
      </c>
      <c r="C2597">
        <v>37.269592789900003</v>
      </c>
      <c r="D2597">
        <v>-6.9899307003400004</v>
      </c>
      <c r="E2597">
        <v>3</v>
      </c>
      <c r="F2597">
        <v>3</v>
      </c>
      <c r="G2597">
        <v>3</v>
      </c>
      <c r="J2597" t="s">
        <v>15</v>
      </c>
      <c r="K2597">
        <v>3</v>
      </c>
      <c r="L2597">
        <v>2.988</v>
      </c>
      <c r="M2597">
        <v>0</v>
      </c>
      <c r="N2597" t="s">
        <v>10019</v>
      </c>
      <c r="O2597" t="str">
        <f>HYPERLINK("3\0\marker_787_655856.png", "Ver Imagen")</f>
        <v>Ver Imagen</v>
      </c>
      <c r="P2597" t="str">
        <f>HYPERLINK("SE\A-497_2C\A-497_2C__138.png", "Ver Imagen")</f>
        <v>Ver Imagen</v>
      </c>
    </row>
    <row r="2598" spans="1:16" x14ac:dyDescent="0.25">
      <c r="A2598">
        <v>2070</v>
      </c>
      <c r="B2598" t="s">
        <v>4153</v>
      </c>
      <c r="C2598">
        <v>37.269239253099997</v>
      </c>
      <c r="D2598">
        <v>-6.9901820186499997</v>
      </c>
      <c r="E2598">
        <v>3</v>
      </c>
      <c r="F2598">
        <v>3</v>
      </c>
      <c r="G2598">
        <v>3</v>
      </c>
      <c r="J2598" t="s">
        <v>15</v>
      </c>
      <c r="K2598">
        <v>3</v>
      </c>
      <c r="L2598">
        <v>2.8010000000000002</v>
      </c>
      <c r="M2598">
        <v>0</v>
      </c>
      <c r="N2598" t="s">
        <v>10019</v>
      </c>
      <c r="O2598" t="str">
        <f>HYPERLINK("3\0\marker_232_655872.png", "Ver Imagen")</f>
        <v>Ver Imagen</v>
      </c>
      <c r="P2598" t="str">
        <f>HYPERLINK("SE\A-497_2C\A-497_2C__140.png", "Ver Imagen")</f>
        <v>Ver Imagen</v>
      </c>
    </row>
    <row r="2599" spans="1:16" x14ac:dyDescent="0.25">
      <c r="A2599">
        <v>2071</v>
      </c>
      <c r="B2599" t="s">
        <v>4155</v>
      </c>
      <c r="C2599">
        <v>37.268883852199998</v>
      </c>
      <c r="D2599">
        <v>-6.9904341047800003</v>
      </c>
      <c r="E2599">
        <v>3</v>
      </c>
      <c r="F2599">
        <v>3</v>
      </c>
      <c r="G2599">
        <v>3</v>
      </c>
      <c r="J2599" t="s">
        <v>15</v>
      </c>
      <c r="K2599">
        <v>3</v>
      </c>
      <c r="L2599">
        <v>3.0840000000000001</v>
      </c>
      <c r="M2599">
        <v>0</v>
      </c>
      <c r="N2599" t="s">
        <v>10019</v>
      </c>
      <c r="O2599" t="str">
        <f>HYPERLINK("3\0\marker_251_655889.png", "Ver Imagen")</f>
        <v>Ver Imagen</v>
      </c>
      <c r="P2599" t="str">
        <f>HYPERLINK("SE\A-497_2C\A-497_2C__142.png", "Ver Imagen")</f>
        <v>Ver Imagen</v>
      </c>
    </row>
    <row r="2600" spans="1:16" x14ac:dyDescent="0.25">
      <c r="A2600">
        <v>2072</v>
      </c>
      <c r="B2600" t="s">
        <v>4157</v>
      </c>
      <c r="C2600">
        <v>37.267666130599999</v>
      </c>
      <c r="D2600">
        <v>-6.9912987465500001</v>
      </c>
      <c r="E2600">
        <v>3</v>
      </c>
      <c r="F2600">
        <v>3</v>
      </c>
      <c r="G2600">
        <v>3</v>
      </c>
      <c r="J2600" t="s">
        <v>15</v>
      </c>
      <c r="K2600">
        <v>3</v>
      </c>
      <c r="L2600">
        <v>3.234</v>
      </c>
      <c r="M2600">
        <v>0</v>
      </c>
      <c r="N2600" t="s">
        <v>10019</v>
      </c>
      <c r="O2600" t="str">
        <f>HYPERLINK("3\0\marker_158_655968.png", "Ver Imagen")</f>
        <v>Ver Imagen</v>
      </c>
      <c r="P2600" t="str">
        <f>HYPERLINK("SE\A-497_2C\A-497_2C__149.png", "Ver Imagen")</f>
        <v>Ver Imagen</v>
      </c>
    </row>
    <row r="2601" spans="1:16" x14ac:dyDescent="0.25">
      <c r="A2601">
        <v>2073</v>
      </c>
      <c r="B2601" t="s">
        <v>4159</v>
      </c>
      <c r="C2601">
        <v>37.187621751999998</v>
      </c>
      <c r="D2601">
        <v>-6.9784514465200003</v>
      </c>
      <c r="E2601">
        <v>3</v>
      </c>
      <c r="F2601">
        <v>3</v>
      </c>
      <c r="G2601">
        <v>3</v>
      </c>
      <c r="J2601" t="s">
        <v>15</v>
      </c>
      <c r="K2601">
        <v>3</v>
      </c>
      <c r="L2601">
        <v>3.165</v>
      </c>
      <c r="M2601">
        <v>0</v>
      </c>
      <c r="N2601" t="s">
        <v>10019</v>
      </c>
      <c r="O2601" t="str">
        <f>HYPERLINK("3\0\marker_865_368735.png", "Ver Imagen")</f>
        <v>Ver Imagen</v>
      </c>
      <c r="P2601" t="str">
        <f>HYPERLINK("SE\A-497\A-497__747.png", "Ver Imagen")</f>
        <v>Ver Imagen</v>
      </c>
    </row>
    <row r="2602" spans="1:16" x14ac:dyDescent="0.25">
      <c r="A2602">
        <v>2074</v>
      </c>
      <c r="B2602" t="s">
        <v>4161</v>
      </c>
      <c r="C2602">
        <v>37.187782004299997</v>
      </c>
      <c r="D2602">
        <v>-6.9782981055900004</v>
      </c>
      <c r="E2602">
        <v>3</v>
      </c>
      <c r="F2602">
        <v>3</v>
      </c>
      <c r="G2602">
        <v>3</v>
      </c>
      <c r="J2602" t="s">
        <v>15</v>
      </c>
      <c r="K2602">
        <v>3</v>
      </c>
      <c r="L2602">
        <v>3.02</v>
      </c>
      <c r="M2602">
        <v>0</v>
      </c>
      <c r="N2602" t="s">
        <v>10019</v>
      </c>
      <c r="O2602" t="str">
        <f>HYPERLINK("3\0\marker_504_368746.png", "Ver Imagen")</f>
        <v>Ver Imagen</v>
      </c>
      <c r="P2602" t="str">
        <f>HYPERLINK("SE\A-497\A-497__746.png", "Ver Imagen")</f>
        <v>Ver Imagen</v>
      </c>
    </row>
    <row r="2603" spans="1:16" x14ac:dyDescent="0.25">
      <c r="A2603">
        <v>2075</v>
      </c>
      <c r="B2603" t="s">
        <v>4163</v>
      </c>
      <c r="C2603">
        <v>37.267004590799999</v>
      </c>
      <c r="D2603">
        <v>-6.9919110184699997</v>
      </c>
      <c r="E2603">
        <v>3</v>
      </c>
      <c r="F2603">
        <v>3</v>
      </c>
      <c r="G2603">
        <v>3</v>
      </c>
      <c r="J2603" t="s">
        <v>15</v>
      </c>
      <c r="K2603">
        <v>3</v>
      </c>
      <c r="L2603">
        <v>3.2309999999999999</v>
      </c>
      <c r="M2603">
        <v>0</v>
      </c>
      <c r="N2603" t="s">
        <v>10019</v>
      </c>
      <c r="O2603" t="str">
        <f>HYPERLINK("3\0\marker_609_656033.png", "Ver Imagen")</f>
        <v>Ver Imagen</v>
      </c>
      <c r="P2603" t="str">
        <f>HYPERLINK("SE\A-497_2C\A-497_2C__153.png", "Ver Imagen")</f>
        <v>Ver Imagen</v>
      </c>
    </row>
    <row r="2604" spans="1:16" x14ac:dyDescent="0.25">
      <c r="A2604">
        <v>2076</v>
      </c>
      <c r="B2604" t="s">
        <v>4165</v>
      </c>
      <c r="C2604">
        <v>37.265847048700003</v>
      </c>
      <c r="D2604">
        <v>-6.9942389048900004</v>
      </c>
      <c r="E2604">
        <v>3</v>
      </c>
      <c r="F2604">
        <v>3</v>
      </c>
      <c r="G2604">
        <v>3</v>
      </c>
      <c r="J2604" t="s">
        <v>15</v>
      </c>
      <c r="K2604">
        <v>3</v>
      </c>
      <c r="L2604">
        <v>2.6840000000000002</v>
      </c>
      <c r="M2604">
        <v>0</v>
      </c>
      <c r="N2604" t="s">
        <v>10017</v>
      </c>
      <c r="O2604" t="str">
        <f>HYPERLINK("3\0\marker_379_656138.png", "Ver Imagen")</f>
        <v>Ver Imagen</v>
      </c>
      <c r="P2604" t="str">
        <f>HYPERLINK("SE\A-497_2C\A-497_2C__164.png", "Ver Imagen")</f>
        <v>Ver Imagen</v>
      </c>
    </row>
    <row r="2605" spans="1:16" x14ac:dyDescent="0.25">
      <c r="A2605">
        <v>2077</v>
      </c>
      <c r="B2605" t="s">
        <v>4167</v>
      </c>
      <c r="C2605">
        <v>37.191948123099998</v>
      </c>
      <c r="D2605">
        <v>-6.9775376499700004</v>
      </c>
      <c r="E2605">
        <v>3</v>
      </c>
      <c r="F2605">
        <v>3</v>
      </c>
      <c r="G2605">
        <v>3</v>
      </c>
      <c r="J2605" t="s">
        <v>15</v>
      </c>
      <c r="K2605">
        <v>3</v>
      </c>
      <c r="L2605">
        <v>2.8780000000000001</v>
      </c>
      <c r="M2605">
        <v>0</v>
      </c>
      <c r="N2605" t="s">
        <v>10019</v>
      </c>
      <c r="O2605" t="str">
        <f>HYPERLINK("3\0\marker_138_369012.png", "Ver Imagen")</f>
        <v>Ver Imagen</v>
      </c>
      <c r="P2605" t="str">
        <f>HYPERLINK("SE\A-497\A-497__725.png", "Ver Imagen")</f>
        <v>Ver Imagen</v>
      </c>
    </row>
    <row r="2606" spans="1:16" x14ac:dyDescent="0.25">
      <c r="A2606">
        <v>2078</v>
      </c>
      <c r="B2606" t="s">
        <v>4169</v>
      </c>
      <c r="C2606">
        <v>37.192223219500001</v>
      </c>
      <c r="D2606">
        <v>-6.9775068578799999</v>
      </c>
      <c r="E2606">
        <v>3</v>
      </c>
      <c r="F2606">
        <v>3</v>
      </c>
      <c r="G2606">
        <v>3</v>
      </c>
      <c r="J2606" t="s">
        <v>15</v>
      </c>
      <c r="K2606">
        <v>3</v>
      </c>
      <c r="L2606">
        <v>3.0259999999999998</v>
      </c>
      <c r="M2606">
        <v>0</v>
      </c>
      <c r="N2606" t="s">
        <v>10019</v>
      </c>
      <c r="O2606" t="str">
        <f>HYPERLINK("3\0\marker_788_369022.png", "Ver Imagen")</f>
        <v>Ver Imagen</v>
      </c>
      <c r="P2606" t="str">
        <f>HYPERLINK("SE\A-497\A-497__724.png", "Ver Imagen")</f>
        <v>Ver Imagen</v>
      </c>
    </row>
    <row r="2607" spans="1:16" x14ac:dyDescent="0.25">
      <c r="A2607">
        <v>2079</v>
      </c>
      <c r="B2607" t="s">
        <v>4171</v>
      </c>
      <c r="C2607">
        <v>37.265795113199999</v>
      </c>
      <c r="D2607">
        <v>-6.9944653973299999</v>
      </c>
      <c r="E2607">
        <v>3</v>
      </c>
      <c r="F2607">
        <v>3</v>
      </c>
      <c r="G2607">
        <v>3</v>
      </c>
      <c r="J2607" t="s">
        <v>15</v>
      </c>
      <c r="K2607">
        <v>3</v>
      </c>
      <c r="L2607">
        <v>2.8130000000000002</v>
      </c>
      <c r="M2607">
        <v>0</v>
      </c>
      <c r="N2607" t="s">
        <v>10019</v>
      </c>
      <c r="O2607" t="str">
        <f>HYPERLINK("3\0\marker_269_656147.png", "Ver Imagen")</f>
        <v>Ver Imagen</v>
      </c>
      <c r="P2607" t="str">
        <f>HYPERLINK("SE\A-497_2C\A-497_2C__165.png", "Ver Imagen")</f>
        <v>Ver Imagen</v>
      </c>
    </row>
    <row r="2608" spans="1:16" x14ac:dyDescent="0.25">
      <c r="A2608">
        <v>2080</v>
      </c>
      <c r="B2608" t="s">
        <v>4173</v>
      </c>
      <c r="C2608">
        <v>37.193392204699997</v>
      </c>
      <c r="D2608">
        <v>-6.97749305445</v>
      </c>
      <c r="E2608">
        <v>3</v>
      </c>
      <c r="F2608">
        <v>3</v>
      </c>
      <c r="G2608">
        <v>3</v>
      </c>
      <c r="J2608" t="s">
        <v>15</v>
      </c>
      <c r="K2608">
        <v>3</v>
      </c>
      <c r="L2608">
        <v>3.081</v>
      </c>
      <c r="M2608">
        <v>0</v>
      </c>
      <c r="N2608" t="s">
        <v>10019</v>
      </c>
      <c r="O2608" t="str">
        <f>HYPERLINK("3\0\marker_818_369080.png", "Ver Imagen")</f>
        <v>Ver Imagen</v>
      </c>
      <c r="P2608" t="str">
        <f>HYPERLINK("SE\A-497\A-497__718.png", "Ver Imagen")</f>
        <v>Ver Imagen</v>
      </c>
    </row>
    <row r="2609" spans="1:16" x14ac:dyDescent="0.25">
      <c r="A2609">
        <v>2081</v>
      </c>
      <c r="B2609" t="s">
        <v>4175</v>
      </c>
      <c r="C2609">
        <v>37.193559108300001</v>
      </c>
      <c r="D2609">
        <v>-6.9775090411400003</v>
      </c>
      <c r="E2609">
        <v>3</v>
      </c>
      <c r="F2609">
        <v>3</v>
      </c>
      <c r="G2609">
        <v>3</v>
      </c>
      <c r="J2609" t="s">
        <v>15</v>
      </c>
      <c r="K2609">
        <v>3</v>
      </c>
      <c r="L2609">
        <v>2.887</v>
      </c>
      <c r="M2609">
        <v>0</v>
      </c>
      <c r="N2609" t="s">
        <v>10019</v>
      </c>
      <c r="O2609" t="str">
        <f>HYPERLINK("3\0\marker_552_369090.png", "Ver Imagen")</f>
        <v>Ver Imagen</v>
      </c>
      <c r="P2609" t="str">
        <f>HYPERLINK("SE\A-497\A-497__717.png", "Ver Imagen")</f>
        <v>Ver Imagen</v>
      </c>
    </row>
    <row r="2610" spans="1:16" x14ac:dyDescent="0.25">
      <c r="A2610">
        <v>2082</v>
      </c>
      <c r="B2610" t="s">
        <v>4177</v>
      </c>
      <c r="C2610">
        <v>37.193763249200003</v>
      </c>
      <c r="D2610">
        <v>-6.9775368491399998</v>
      </c>
      <c r="E2610">
        <v>3</v>
      </c>
      <c r="F2610">
        <v>3</v>
      </c>
      <c r="G2610">
        <v>3</v>
      </c>
      <c r="J2610" t="s">
        <v>15</v>
      </c>
      <c r="K2610">
        <v>3</v>
      </c>
      <c r="L2610">
        <v>2.5099999999999998</v>
      </c>
      <c r="M2610">
        <v>0</v>
      </c>
      <c r="N2610" t="s">
        <v>10017</v>
      </c>
      <c r="O2610" t="str">
        <f>HYPERLINK("3\0\marker_840_369100.png", "Ver Imagen")</f>
        <v>Ver Imagen</v>
      </c>
      <c r="P2610" t="str">
        <f>HYPERLINK("SE\A-497\A-497__716.png", "Ver Imagen")</f>
        <v>Ver Imagen</v>
      </c>
    </row>
    <row r="2611" spans="1:16" x14ac:dyDescent="0.25">
      <c r="A2611">
        <v>2083</v>
      </c>
      <c r="B2611" t="s">
        <v>4179</v>
      </c>
      <c r="C2611">
        <v>37.2652812344</v>
      </c>
      <c r="D2611">
        <v>-6.9971865829100004</v>
      </c>
      <c r="E2611">
        <v>3</v>
      </c>
      <c r="F2611">
        <v>3</v>
      </c>
      <c r="G2611">
        <v>3</v>
      </c>
      <c r="J2611" t="s">
        <v>15</v>
      </c>
      <c r="K2611">
        <v>3</v>
      </c>
      <c r="L2611">
        <v>2.7229999999999999</v>
      </c>
      <c r="M2611">
        <v>0</v>
      </c>
      <c r="N2611" t="s">
        <v>10019</v>
      </c>
      <c r="O2611" t="str">
        <f>HYPERLINK("3\0\marker_909_656258.png", "Ver Imagen")</f>
        <v>Ver Imagen</v>
      </c>
      <c r="P2611" t="str">
        <f>HYPERLINK("SE\A-497_2C\A-497_2C__176.png", "Ver Imagen")</f>
        <v>Ver Imagen</v>
      </c>
    </row>
    <row r="2612" spans="1:16" x14ac:dyDescent="0.25">
      <c r="A2612">
        <v>2084</v>
      </c>
      <c r="B2612" t="s">
        <v>4181</v>
      </c>
      <c r="C2612">
        <v>37.265236129000002</v>
      </c>
      <c r="D2612">
        <v>-6.9974298593200004</v>
      </c>
      <c r="E2612">
        <v>3</v>
      </c>
      <c r="F2612">
        <v>3</v>
      </c>
      <c r="G2612">
        <v>3</v>
      </c>
      <c r="J2612" t="s">
        <v>15</v>
      </c>
      <c r="K2612">
        <v>3</v>
      </c>
      <c r="L2612">
        <v>2.8079999999999998</v>
      </c>
      <c r="M2612">
        <v>0</v>
      </c>
      <c r="N2612" t="s">
        <v>10019</v>
      </c>
      <c r="O2612" t="str">
        <f>HYPERLINK("3\0\marker_881_656267.png", "Ver Imagen")</f>
        <v>Ver Imagen</v>
      </c>
      <c r="P2612" t="str">
        <f>HYPERLINK("SE\A-497_2C\A-497_2C__177.png", "Ver Imagen")</f>
        <v>Ver Imagen</v>
      </c>
    </row>
    <row r="2613" spans="1:16" x14ac:dyDescent="0.25">
      <c r="A2613">
        <v>2086</v>
      </c>
      <c r="B2613" t="s">
        <v>4185</v>
      </c>
      <c r="C2613">
        <v>37.265100448699997</v>
      </c>
      <c r="D2613">
        <v>-6.9981916488999998</v>
      </c>
      <c r="E2613">
        <v>3</v>
      </c>
      <c r="F2613">
        <v>3</v>
      </c>
      <c r="G2613">
        <v>3</v>
      </c>
      <c r="J2613" t="s">
        <v>15</v>
      </c>
      <c r="K2613">
        <v>3</v>
      </c>
      <c r="L2613">
        <v>3.07</v>
      </c>
      <c r="M2613">
        <v>0</v>
      </c>
      <c r="N2613" t="s">
        <v>10019</v>
      </c>
      <c r="O2613" t="str">
        <f>HYPERLINK("3\0\marker_742_656329.png", "Ver Imagen")</f>
        <v>Ver Imagen</v>
      </c>
      <c r="P2613" t="str">
        <f>HYPERLINK("SE\A-497_2C\A-497_2C__180.png", "Ver Imagen")</f>
        <v>Ver Imagen</v>
      </c>
    </row>
    <row r="2614" spans="1:16" x14ac:dyDescent="0.25">
      <c r="A2614">
        <v>2087</v>
      </c>
      <c r="B2614" t="s">
        <v>4187</v>
      </c>
      <c r="C2614">
        <v>37.1943933433</v>
      </c>
      <c r="D2614">
        <v>-6.9776828949800001</v>
      </c>
      <c r="E2614">
        <v>3</v>
      </c>
      <c r="F2614">
        <v>3</v>
      </c>
      <c r="G2614">
        <v>3</v>
      </c>
      <c r="J2614" t="s">
        <v>15</v>
      </c>
      <c r="K2614">
        <v>3</v>
      </c>
      <c r="L2614">
        <v>3.415</v>
      </c>
      <c r="M2614">
        <v>0</v>
      </c>
      <c r="N2614" t="s">
        <v>10018</v>
      </c>
      <c r="O2614" t="str">
        <f>HYPERLINK("3\0\marker_198_369141.png", "Ver Imagen")</f>
        <v>Ver Imagen</v>
      </c>
      <c r="P2614" t="str">
        <f>HYPERLINK("SE\A-497\A-497__713.png", "Ver Imagen")</f>
        <v>Ver Imagen</v>
      </c>
    </row>
    <row r="2615" spans="1:16" x14ac:dyDescent="0.25">
      <c r="A2615">
        <v>2088</v>
      </c>
      <c r="B2615" t="s">
        <v>4189</v>
      </c>
      <c r="C2615">
        <v>37.265065251800003</v>
      </c>
      <c r="D2615">
        <v>-6.9984115554599997</v>
      </c>
      <c r="E2615">
        <v>3</v>
      </c>
      <c r="F2615">
        <v>3</v>
      </c>
      <c r="G2615">
        <v>3</v>
      </c>
      <c r="J2615" t="s">
        <v>15</v>
      </c>
      <c r="K2615">
        <v>3</v>
      </c>
      <c r="L2615">
        <v>2.9340000000000002</v>
      </c>
      <c r="M2615">
        <v>0</v>
      </c>
      <c r="N2615" t="s">
        <v>10019</v>
      </c>
      <c r="O2615" t="str">
        <f>HYPERLINK("3\0\marker_792_656338.png", "Ver Imagen")</f>
        <v>Ver Imagen</v>
      </c>
      <c r="P2615" t="str">
        <f>HYPERLINK("SE\A-497_2C\A-497_2C__181.png", "Ver Imagen")</f>
        <v>Ver Imagen</v>
      </c>
    </row>
    <row r="2616" spans="1:16" x14ac:dyDescent="0.25">
      <c r="A2616">
        <v>2089</v>
      </c>
      <c r="B2616" t="s">
        <v>4191</v>
      </c>
      <c r="C2616">
        <v>37.265026646300001</v>
      </c>
      <c r="D2616">
        <v>-6.9986693715900001</v>
      </c>
      <c r="E2616">
        <v>3</v>
      </c>
      <c r="F2616">
        <v>3</v>
      </c>
      <c r="G2616">
        <v>3</v>
      </c>
      <c r="J2616" t="s">
        <v>15</v>
      </c>
      <c r="K2616">
        <v>3</v>
      </c>
      <c r="L2616">
        <v>3.2080000000000002</v>
      </c>
      <c r="M2616">
        <v>0</v>
      </c>
      <c r="N2616" t="s">
        <v>10017</v>
      </c>
      <c r="O2616" t="str">
        <f>HYPERLINK("3\0\marker_392_656346.png", "Ver Imagen")</f>
        <v>Ver Imagen</v>
      </c>
      <c r="P2616" t="str">
        <f>HYPERLINK("SE\A-497_2C\A-497_2C__182.png", "Ver Imagen")</f>
        <v>Ver Imagen</v>
      </c>
    </row>
    <row r="2617" spans="1:16" x14ac:dyDescent="0.25">
      <c r="A2617">
        <v>2090</v>
      </c>
      <c r="B2617" t="s">
        <v>4193</v>
      </c>
      <c r="C2617">
        <v>37.194792696900002</v>
      </c>
      <c r="D2617">
        <v>-6.9778128042700001</v>
      </c>
      <c r="E2617">
        <v>3</v>
      </c>
      <c r="F2617">
        <v>3</v>
      </c>
      <c r="G2617">
        <v>3</v>
      </c>
      <c r="J2617" t="s">
        <v>15</v>
      </c>
      <c r="K2617">
        <v>3</v>
      </c>
      <c r="L2617">
        <v>2.8879999999999999</v>
      </c>
      <c r="M2617">
        <v>0</v>
      </c>
      <c r="N2617" t="s">
        <v>10019</v>
      </c>
      <c r="O2617" t="str">
        <f>HYPERLINK("3\0\marker_159_369166.png", "Ver Imagen")</f>
        <v>Ver Imagen</v>
      </c>
      <c r="P2617" t="str">
        <f>HYPERLINK("SE\A-497\A-497__711.png", "Ver Imagen")</f>
        <v>Ver Imagen</v>
      </c>
    </row>
    <row r="2618" spans="1:16" x14ac:dyDescent="0.25">
      <c r="A2618">
        <v>2091</v>
      </c>
      <c r="B2618" t="s">
        <v>4195</v>
      </c>
      <c r="C2618">
        <v>37.264991880499998</v>
      </c>
      <c r="D2618">
        <v>-6.9989033012600004</v>
      </c>
      <c r="E2618">
        <v>3</v>
      </c>
      <c r="F2618">
        <v>3</v>
      </c>
      <c r="G2618">
        <v>3</v>
      </c>
      <c r="J2618" t="s">
        <v>15</v>
      </c>
      <c r="K2618">
        <v>3</v>
      </c>
      <c r="L2618">
        <v>2.9329999999999998</v>
      </c>
      <c r="M2618">
        <v>0</v>
      </c>
      <c r="N2618" t="s">
        <v>10019</v>
      </c>
      <c r="O2618" t="str">
        <f>HYPERLINK("3\0\marker_119_656355.png", "Ver Imagen")</f>
        <v>Ver Imagen</v>
      </c>
      <c r="P2618" t="str">
        <f>HYPERLINK("SE\A-497_2C\A-497_2C__183.png", "Ver Imagen")</f>
        <v>Ver Imagen</v>
      </c>
    </row>
    <row r="2619" spans="1:16" x14ac:dyDescent="0.25">
      <c r="A2619">
        <v>2092</v>
      </c>
      <c r="B2619" t="s">
        <v>4197</v>
      </c>
      <c r="C2619">
        <v>37.195553473899999</v>
      </c>
      <c r="D2619">
        <v>-6.9781516462999997</v>
      </c>
      <c r="E2619">
        <v>3</v>
      </c>
      <c r="F2619">
        <v>3</v>
      </c>
      <c r="G2619">
        <v>3</v>
      </c>
      <c r="J2619" t="s">
        <v>15</v>
      </c>
      <c r="K2619">
        <v>3</v>
      </c>
      <c r="L2619">
        <v>3.1869999999999998</v>
      </c>
      <c r="M2619">
        <v>0</v>
      </c>
      <c r="N2619" t="s">
        <v>10019</v>
      </c>
      <c r="O2619" t="str">
        <f>HYPERLINK("3\0\marker_862_370307.png", "Ver Imagen")</f>
        <v>Ver Imagen</v>
      </c>
      <c r="P2619" t="str">
        <f>HYPERLINK("SE\A-497\A-497__707.png", "Ver Imagen")</f>
        <v>Ver Imagen</v>
      </c>
    </row>
    <row r="2620" spans="1:16" x14ac:dyDescent="0.25">
      <c r="A2620">
        <v>2093</v>
      </c>
      <c r="B2620" t="s">
        <v>4199</v>
      </c>
      <c r="C2620">
        <v>37.2647739648</v>
      </c>
      <c r="D2620">
        <v>-7.0001840237900002</v>
      </c>
      <c r="E2620">
        <v>3</v>
      </c>
      <c r="F2620">
        <v>3</v>
      </c>
      <c r="G2620">
        <v>3</v>
      </c>
      <c r="J2620" t="s">
        <v>15</v>
      </c>
      <c r="K2620">
        <v>3</v>
      </c>
      <c r="L2620">
        <v>2.94</v>
      </c>
      <c r="M2620">
        <v>0</v>
      </c>
      <c r="N2620" t="s">
        <v>10019</v>
      </c>
      <c r="O2620" t="str">
        <f>HYPERLINK("3\0\marker_949_656401.png", "Ver Imagen")</f>
        <v>Ver Imagen</v>
      </c>
      <c r="P2620" t="str">
        <f>HYPERLINK("SE\A-497_2C\A-497_2C__188.png", "Ver Imagen")</f>
        <v>Ver Imagen</v>
      </c>
    </row>
    <row r="2621" spans="1:16" x14ac:dyDescent="0.25">
      <c r="A2621">
        <v>2094</v>
      </c>
      <c r="B2621" t="s">
        <v>4201</v>
      </c>
      <c r="C2621">
        <v>37.264687480900001</v>
      </c>
      <c r="D2621">
        <v>-7.00067744524</v>
      </c>
      <c r="E2621">
        <v>3</v>
      </c>
      <c r="F2621">
        <v>3</v>
      </c>
      <c r="G2621">
        <v>3</v>
      </c>
      <c r="J2621" t="s">
        <v>15</v>
      </c>
      <c r="K2621">
        <v>3</v>
      </c>
      <c r="L2621">
        <v>3.044</v>
      </c>
      <c r="M2621">
        <v>0</v>
      </c>
      <c r="N2621" t="s">
        <v>10019</v>
      </c>
      <c r="O2621" t="str">
        <f>HYPERLINK("3\0\marker_338_656422.png", "Ver Imagen")</f>
        <v>Ver Imagen</v>
      </c>
      <c r="P2621" t="str">
        <f>HYPERLINK("SE\A-497_2C\A-497_2C__190.png", "Ver Imagen")</f>
        <v>Ver Imagen</v>
      </c>
    </row>
    <row r="2622" spans="1:16" x14ac:dyDescent="0.25">
      <c r="A2622">
        <v>2096</v>
      </c>
      <c r="B2622" t="s">
        <v>4205</v>
      </c>
      <c r="C2622">
        <v>37.196783099299999</v>
      </c>
      <c r="D2622">
        <v>-6.9790231669300002</v>
      </c>
      <c r="E2622">
        <v>3</v>
      </c>
      <c r="F2622">
        <v>3</v>
      </c>
      <c r="G2622">
        <v>3</v>
      </c>
      <c r="J2622" t="s">
        <v>15</v>
      </c>
      <c r="K2622">
        <v>3</v>
      </c>
      <c r="L2622">
        <v>3.4740000000000002</v>
      </c>
      <c r="M2622">
        <v>0</v>
      </c>
      <c r="N2622" t="s">
        <v>10018</v>
      </c>
      <c r="O2622" t="str">
        <f>HYPERLINK("3\0\marker_671_370377.png", "Ver Imagen")</f>
        <v>Ver Imagen</v>
      </c>
      <c r="P2622" t="str">
        <f>HYPERLINK("SE\A-497\A-497__700.png", "Ver Imagen")</f>
        <v>Ver Imagen</v>
      </c>
    </row>
    <row r="2623" spans="1:16" x14ac:dyDescent="0.25">
      <c r="A2623">
        <v>2097</v>
      </c>
      <c r="B2623" t="s">
        <v>4207</v>
      </c>
      <c r="C2623">
        <v>37.263584660500001</v>
      </c>
      <c r="D2623">
        <v>-7.0068513643100001</v>
      </c>
      <c r="E2623">
        <v>3</v>
      </c>
      <c r="F2623">
        <v>3</v>
      </c>
      <c r="G2623">
        <v>3</v>
      </c>
      <c r="J2623" t="s">
        <v>15</v>
      </c>
      <c r="K2623">
        <v>3</v>
      </c>
      <c r="L2623">
        <v>2.5710000000000002</v>
      </c>
      <c r="M2623">
        <v>0</v>
      </c>
      <c r="N2623" t="s">
        <v>10018</v>
      </c>
      <c r="O2623" t="str">
        <f>HYPERLINK("3\0\marker_319_656702.png", "Ver Imagen")</f>
        <v>Ver Imagen</v>
      </c>
      <c r="P2623" t="str">
        <f>HYPERLINK("SE\A-497_2C\A-497_2C__215.png", "Ver Imagen")</f>
        <v>Ver Imagen</v>
      </c>
    </row>
    <row r="2624" spans="1:16" x14ac:dyDescent="0.25">
      <c r="A2624">
        <v>2098</v>
      </c>
      <c r="B2624" t="s">
        <v>4209</v>
      </c>
      <c r="C2624">
        <v>37.263544907099998</v>
      </c>
      <c r="D2624">
        <v>-7.0070555931999996</v>
      </c>
      <c r="E2624">
        <v>3</v>
      </c>
      <c r="F2624">
        <v>3</v>
      </c>
      <c r="G2624">
        <v>3</v>
      </c>
      <c r="J2624" t="s">
        <v>15</v>
      </c>
      <c r="K2624">
        <v>3</v>
      </c>
      <c r="L2624">
        <v>2.9159999999999999</v>
      </c>
      <c r="M2624">
        <v>0</v>
      </c>
      <c r="N2624" t="s">
        <v>10019</v>
      </c>
      <c r="O2624" t="str">
        <f>HYPERLINK("3\0\marker_658_656711.png", "Ver Imagen")</f>
        <v>Ver Imagen</v>
      </c>
      <c r="P2624" t="str">
        <f>HYPERLINK("SE\A-497_2C\A-497_2C__216.png", "Ver Imagen")</f>
        <v>Ver Imagen</v>
      </c>
    </row>
    <row r="2625" spans="1:16" x14ac:dyDescent="0.25">
      <c r="A2625">
        <v>2099</v>
      </c>
      <c r="B2625" t="s">
        <v>4211</v>
      </c>
      <c r="C2625">
        <v>37.198461440999999</v>
      </c>
      <c r="D2625">
        <v>-6.9812035351799997</v>
      </c>
      <c r="E2625">
        <v>3</v>
      </c>
      <c r="F2625">
        <v>3</v>
      </c>
      <c r="G2625">
        <v>3</v>
      </c>
      <c r="J2625" t="s">
        <v>15</v>
      </c>
      <c r="K2625">
        <v>3</v>
      </c>
      <c r="L2625">
        <v>2.8159999999999998</v>
      </c>
      <c r="M2625">
        <v>0</v>
      </c>
      <c r="N2625" t="s">
        <v>10019</v>
      </c>
      <c r="O2625" t="str">
        <f>HYPERLINK("3\0\marker_125_370494.png", "Ver Imagen")</f>
        <v>Ver Imagen</v>
      </c>
      <c r="P2625" t="str">
        <f>HYPERLINK("SE\A-497\A-497__688.png", "Ver Imagen")</f>
        <v>Ver Imagen</v>
      </c>
    </row>
    <row r="2626" spans="1:16" x14ac:dyDescent="0.25">
      <c r="A2626">
        <v>2100</v>
      </c>
      <c r="B2626" t="s">
        <v>4213</v>
      </c>
      <c r="C2626">
        <v>37.198658931499999</v>
      </c>
      <c r="D2626">
        <v>-6.9815939137600003</v>
      </c>
      <c r="E2626">
        <v>3</v>
      </c>
      <c r="F2626">
        <v>3</v>
      </c>
      <c r="G2626">
        <v>3</v>
      </c>
      <c r="J2626" t="s">
        <v>15</v>
      </c>
      <c r="K2626">
        <v>3</v>
      </c>
      <c r="L2626">
        <v>2.7570000000000001</v>
      </c>
      <c r="M2626">
        <v>0</v>
      </c>
      <c r="N2626" t="s">
        <v>10019</v>
      </c>
      <c r="O2626" t="str">
        <f>HYPERLINK("3\0\marker_969_370512.png", "Ver Imagen")</f>
        <v>Ver Imagen</v>
      </c>
      <c r="P2626" t="str">
        <f>HYPERLINK("SE\A-497\A-497__686.png", "Ver Imagen")</f>
        <v>Ver Imagen</v>
      </c>
    </row>
    <row r="2627" spans="1:16" x14ac:dyDescent="0.25">
      <c r="A2627">
        <v>2101</v>
      </c>
      <c r="B2627" t="s">
        <v>4215</v>
      </c>
      <c r="C2627">
        <v>37.262686798099999</v>
      </c>
      <c r="D2627">
        <v>-7.0093827394800003</v>
      </c>
      <c r="E2627">
        <v>3</v>
      </c>
      <c r="F2627">
        <v>3</v>
      </c>
      <c r="G2627">
        <v>3</v>
      </c>
      <c r="J2627" t="s">
        <v>15</v>
      </c>
      <c r="K2627">
        <v>3</v>
      </c>
      <c r="L2627">
        <v>2.87</v>
      </c>
      <c r="M2627">
        <v>0</v>
      </c>
      <c r="N2627" t="s">
        <v>10019</v>
      </c>
      <c r="O2627" t="str">
        <f>HYPERLINK("3\0\marker_668_656848.png", "Ver Imagen")</f>
        <v>Ver Imagen</v>
      </c>
      <c r="P2627" t="str">
        <f>HYPERLINK("SE\A-497_2C\A-497_2C__226.png", "Ver Imagen")</f>
        <v>Ver Imagen</v>
      </c>
    </row>
    <row r="2628" spans="1:16" x14ac:dyDescent="0.25">
      <c r="A2628">
        <v>2102</v>
      </c>
      <c r="B2628" t="s">
        <v>4217</v>
      </c>
      <c r="C2628">
        <v>37.262438872899999</v>
      </c>
      <c r="D2628">
        <v>-7.0097517793500002</v>
      </c>
      <c r="E2628">
        <v>3</v>
      </c>
      <c r="F2628">
        <v>3</v>
      </c>
      <c r="G2628">
        <v>3</v>
      </c>
      <c r="J2628" t="s">
        <v>15</v>
      </c>
      <c r="K2628">
        <v>3</v>
      </c>
      <c r="L2628">
        <v>2.7930000000000001</v>
      </c>
      <c r="M2628">
        <v>0</v>
      </c>
      <c r="N2628" t="s">
        <v>10019</v>
      </c>
      <c r="O2628" t="str">
        <f>HYPERLINK("3\0\marker_619_656865.png", "Ver Imagen")</f>
        <v>Ver Imagen</v>
      </c>
      <c r="P2628" t="str">
        <f>HYPERLINK("SE\A-497_2C\A-497_2C__228.png", "Ver Imagen")</f>
        <v>Ver Imagen</v>
      </c>
    </row>
    <row r="2629" spans="1:16" x14ac:dyDescent="0.25">
      <c r="A2629">
        <v>2103</v>
      </c>
      <c r="B2629" t="s">
        <v>4219</v>
      </c>
      <c r="C2629">
        <v>37.262318965299997</v>
      </c>
      <c r="D2629">
        <v>-7.0099075431699998</v>
      </c>
      <c r="E2629">
        <v>3</v>
      </c>
      <c r="F2629">
        <v>3</v>
      </c>
      <c r="G2629">
        <v>3</v>
      </c>
      <c r="J2629" t="s">
        <v>15</v>
      </c>
      <c r="K2629">
        <v>3</v>
      </c>
      <c r="L2629">
        <v>2.7679999999999998</v>
      </c>
      <c r="M2629">
        <v>0</v>
      </c>
      <c r="N2629" t="s">
        <v>10019</v>
      </c>
      <c r="O2629" t="str">
        <f>HYPERLINK("3\0\marker_198_656873.png", "Ver Imagen")</f>
        <v>Ver Imagen</v>
      </c>
      <c r="P2629" t="str">
        <f>HYPERLINK("SE\A-497_2C\A-497_2C__229.png", "Ver Imagen")</f>
        <v>Ver Imagen</v>
      </c>
    </row>
    <row r="2630" spans="1:16" x14ac:dyDescent="0.25">
      <c r="A2630">
        <v>2104</v>
      </c>
      <c r="B2630" t="s">
        <v>4221</v>
      </c>
      <c r="C2630">
        <v>37.262167680899999</v>
      </c>
      <c r="D2630">
        <v>-7.0100866581699997</v>
      </c>
      <c r="E2630">
        <v>3</v>
      </c>
      <c r="F2630">
        <v>3</v>
      </c>
      <c r="G2630">
        <v>3</v>
      </c>
      <c r="J2630" t="s">
        <v>15</v>
      </c>
      <c r="K2630">
        <v>3</v>
      </c>
      <c r="L2630">
        <v>2.9129999999999998</v>
      </c>
      <c r="M2630">
        <v>0</v>
      </c>
      <c r="N2630" t="s">
        <v>10019</v>
      </c>
      <c r="O2630" t="str">
        <f>HYPERLINK("3\0\marker_967_656882.png", "Ver Imagen")</f>
        <v>Ver Imagen</v>
      </c>
      <c r="P2630" t="str">
        <f>HYPERLINK("SE\A-497_2C\A-497_2C__230.png", "Ver Imagen")</f>
        <v>Ver Imagen</v>
      </c>
    </row>
    <row r="2631" spans="1:16" x14ac:dyDescent="0.25">
      <c r="A2631">
        <v>2105</v>
      </c>
      <c r="B2631" t="s">
        <v>4223</v>
      </c>
      <c r="C2631">
        <v>37.258618697400003</v>
      </c>
      <c r="D2631">
        <v>-7.0125866599400002</v>
      </c>
      <c r="E2631">
        <v>3</v>
      </c>
      <c r="F2631">
        <v>3</v>
      </c>
      <c r="G2631">
        <v>3</v>
      </c>
      <c r="J2631" t="s">
        <v>15</v>
      </c>
      <c r="K2631">
        <v>3</v>
      </c>
      <c r="L2631">
        <v>3.206</v>
      </c>
      <c r="M2631">
        <v>0</v>
      </c>
      <c r="N2631" t="s">
        <v>10019</v>
      </c>
      <c r="O2631" t="str">
        <f>HYPERLINK("3\0\marker_381_319401.png", "Ver Imagen")</f>
        <v>Ver Imagen</v>
      </c>
      <c r="P2631" t="str">
        <f>HYPERLINK("SE\A-497_2C\A-497_2C__250.png", "Ver Imagen")</f>
        <v>Ver Imagen</v>
      </c>
    </row>
    <row r="2632" spans="1:16" x14ac:dyDescent="0.25">
      <c r="A2632">
        <v>2106</v>
      </c>
      <c r="B2632" t="s">
        <v>4225</v>
      </c>
      <c r="C2632">
        <v>37.257853022100001</v>
      </c>
      <c r="D2632">
        <v>-7.0130725756799999</v>
      </c>
      <c r="E2632">
        <v>3</v>
      </c>
      <c r="F2632">
        <v>3</v>
      </c>
      <c r="G2632">
        <v>3</v>
      </c>
      <c r="J2632" t="s">
        <v>15</v>
      </c>
      <c r="K2632">
        <v>3</v>
      </c>
      <c r="L2632">
        <v>2.758</v>
      </c>
      <c r="M2632">
        <v>0</v>
      </c>
      <c r="N2632" t="s">
        <v>10019</v>
      </c>
      <c r="O2632" t="str">
        <f>HYPERLINK("3\0\marker_530_319441.png", "Ver Imagen")</f>
        <v>Ver Imagen</v>
      </c>
      <c r="P2632" t="str">
        <f>HYPERLINK("SE\A-497_2C\A-497_2C__254.png", "Ver Imagen")</f>
        <v>Ver Imagen</v>
      </c>
    </row>
    <row r="2633" spans="1:16" x14ac:dyDescent="0.25">
      <c r="A2633">
        <v>2107</v>
      </c>
      <c r="B2633" t="s">
        <v>4227</v>
      </c>
      <c r="C2633">
        <v>37.257703934600002</v>
      </c>
      <c r="D2633">
        <v>-7.0131653477700002</v>
      </c>
      <c r="E2633">
        <v>3</v>
      </c>
      <c r="F2633">
        <v>3</v>
      </c>
      <c r="G2633">
        <v>3</v>
      </c>
      <c r="J2633" t="s">
        <v>15</v>
      </c>
      <c r="K2633">
        <v>3</v>
      </c>
      <c r="L2633">
        <v>2.8090000000000002</v>
      </c>
      <c r="M2633">
        <v>0</v>
      </c>
      <c r="N2633" t="s">
        <v>10019</v>
      </c>
      <c r="O2633" t="str">
        <f>HYPERLINK("3\0\marker_961_319523.png", "Ver Imagen")</f>
        <v>Ver Imagen</v>
      </c>
      <c r="P2633" t="str">
        <f>HYPERLINK("SE\A-497_2C\A-497_2C__255.png", "Ver Imagen")</f>
        <v>Ver Imagen</v>
      </c>
    </row>
    <row r="2634" spans="1:16" x14ac:dyDescent="0.25">
      <c r="A2634">
        <v>2108</v>
      </c>
      <c r="B2634" t="s">
        <v>4229</v>
      </c>
      <c r="C2634">
        <v>37.256790958899998</v>
      </c>
      <c r="D2634">
        <v>-7.0137464133799998</v>
      </c>
      <c r="E2634">
        <v>3</v>
      </c>
      <c r="F2634">
        <v>3</v>
      </c>
      <c r="G2634">
        <v>3</v>
      </c>
      <c r="J2634" t="s">
        <v>15</v>
      </c>
      <c r="K2634">
        <v>3</v>
      </c>
      <c r="L2634">
        <v>2.8769999999999998</v>
      </c>
      <c r="M2634">
        <v>0</v>
      </c>
      <c r="N2634" t="s">
        <v>10019</v>
      </c>
      <c r="O2634" t="str">
        <f>HYPERLINK("3\0\marker_797_319590.png", "Ver Imagen")</f>
        <v>Ver Imagen</v>
      </c>
      <c r="P2634" t="str">
        <f>HYPERLINK("SE\A-497_2C\A-497_2C__260.png", "Ver Imagen")</f>
        <v>Ver Imagen</v>
      </c>
    </row>
    <row r="2635" spans="1:16" x14ac:dyDescent="0.25">
      <c r="A2635">
        <v>2109</v>
      </c>
      <c r="B2635" t="s">
        <v>4231</v>
      </c>
      <c r="C2635">
        <v>37.256627947799998</v>
      </c>
      <c r="D2635">
        <v>-7.0138502629800001</v>
      </c>
      <c r="E2635">
        <v>3</v>
      </c>
      <c r="F2635">
        <v>3</v>
      </c>
      <c r="G2635">
        <v>3</v>
      </c>
      <c r="J2635" t="s">
        <v>15</v>
      </c>
      <c r="K2635">
        <v>3</v>
      </c>
      <c r="L2635">
        <v>2.585</v>
      </c>
      <c r="M2635">
        <v>0</v>
      </c>
      <c r="N2635" t="s">
        <v>10019</v>
      </c>
      <c r="O2635" t="str">
        <f>HYPERLINK("3\0\marker_954_319599.png", "Ver Imagen")</f>
        <v>Ver Imagen</v>
      </c>
      <c r="P2635" t="str">
        <f>HYPERLINK("SE\A-497_2C\A-497_2C__261.png", "Ver Imagen")</f>
        <v>Ver Imagen</v>
      </c>
    </row>
    <row r="2636" spans="1:16" x14ac:dyDescent="0.25">
      <c r="A2636">
        <v>2110</v>
      </c>
      <c r="B2636" t="s">
        <v>4233</v>
      </c>
      <c r="C2636">
        <v>37.201631905600003</v>
      </c>
      <c r="D2636">
        <v>-6.9934197868399997</v>
      </c>
      <c r="E2636">
        <v>3</v>
      </c>
      <c r="F2636">
        <v>3</v>
      </c>
      <c r="G2636">
        <v>3</v>
      </c>
      <c r="J2636" t="s">
        <v>15</v>
      </c>
      <c r="K2636">
        <v>3</v>
      </c>
      <c r="L2636">
        <v>2.9510000000000001</v>
      </c>
      <c r="M2636">
        <v>0</v>
      </c>
      <c r="N2636" t="s">
        <v>10019</v>
      </c>
      <c r="O2636" t="str">
        <f>HYPERLINK("3\0\marker_454_371362.png", "Ver Imagen")</f>
        <v>Ver Imagen</v>
      </c>
      <c r="P2636" t="str">
        <f>HYPERLINK("SE\A-497\A-497__637.png", "Ver Imagen")</f>
        <v>Ver Imagen</v>
      </c>
    </row>
    <row r="2637" spans="1:16" x14ac:dyDescent="0.25">
      <c r="A2637">
        <v>2111</v>
      </c>
      <c r="B2637" t="s">
        <v>4235</v>
      </c>
      <c r="C2637">
        <v>37.202148417499998</v>
      </c>
      <c r="D2637">
        <v>-6.9964150927900004</v>
      </c>
      <c r="E2637">
        <v>3</v>
      </c>
      <c r="F2637">
        <v>3</v>
      </c>
      <c r="G2637">
        <v>3</v>
      </c>
      <c r="J2637" t="s">
        <v>15</v>
      </c>
      <c r="K2637">
        <v>3</v>
      </c>
      <c r="L2637">
        <v>3.0150000000000001</v>
      </c>
      <c r="M2637">
        <v>0</v>
      </c>
      <c r="N2637" t="s">
        <v>10019</v>
      </c>
      <c r="O2637" t="str">
        <f>HYPERLINK("3\0\marker_115_371475.png", "Ver Imagen")</f>
        <v>Ver Imagen</v>
      </c>
      <c r="P2637" t="str">
        <f>HYPERLINK("SE\A-497\A-497__625.png", "Ver Imagen")</f>
        <v>Ver Imagen</v>
      </c>
    </row>
    <row r="2638" spans="1:16" x14ac:dyDescent="0.25">
      <c r="A2638">
        <v>2112</v>
      </c>
      <c r="B2638" t="s">
        <v>4237</v>
      </c>
      <c r="C2638">
        <v>37.202185134899999</v>
      </c>
      <c r="D2638">
        <v>-6.9966480706800001</v>
      </c>
      <c r="E2638">
        <v>3</v>
      </c>
      <c r="F2638">
        <v>3</v>
      </c>
      <c r="G2638">
        <v>3</v>
      </c>
      <c r="J2638" t="s">
        <v>15</v>
      </c>
      <c r="K2638">
        <v>3</v>
      </c>
      <c r="L2638">
        <v>2.6640000000000001</v>
      </c>
      <c r="M2638">
        <v>0</v>
      </c>
      <c r="N2638" t="s">
        <v>10017</v>
      </c>
      <c r="O2638" t="str">
        <f>HYPERLINK("3\0\marker_527_371484.png", "Ver Imagen")</f>
        <v>Ver Imagen</v>
      </c>
      <c r="P2638" t="str">
        <f>HYPERLINK("SE\A-497\A-497__624.png", "Ver Imagen")</f>
        <v>Ver Imagen</v>
      </c>
    </row>
    <row r="2639" spans="1:16" x14ac:dyDescent="0.25">
      <c r="A2639">
        <v>2113</v>
      </c>
      <c r="B2639" t="s">
        <v>4239</v>
      </c>
      <c r="C2639">
        <v>37.2022186353</v>
      </c>
      <c r="D2639">
        <v>-6.9968611326100003</v>
      </c>
      <c r="E2639">
        <v>3</v>
      </c>
      <c r="F2639">
        <v>3</v>
      </c>
      <c r="G2639">
        <v>3</v>
      </c>
      <c r="J2639" t="s">
        <v>15</v>
      </c>
      <c r="K2639">
        <v>3</v>
      </c>
      <c r="L2639">
        <v>2.5739999999999998</v>
      </c>
      <c r="M2639">
        <v>0</v>
      </c>
      <c r="N2639" t="s">
        <v>10019</v>
      </c>
      <c r="O2639" t="str">
        <f>HYPERLINK("3\0\marker_183_371499.png", "Ver Imagen")</f>
        <v>Ver Imagen</v>
      </c>
      <c r="P2639" t="str">
        <f>HYPERLINK("SE\A-497\A-497__623.png", "Ver Imagen")</f>
        <v>Ver Imagen</v>
      </c>
    </row>
    <row r="2640" spans="1:16" x14ac:dyDescent="0.25">
      <c r="A2640">
        <v>2114</v>
      </c>
      <c r="B2640" t="s">
        <v>4241</v>
      </c>
      <c r="C2640">
        <v>37.202966473700002</v>
      </c>
      <c r="D2640">
        <v>-7.0026308358499998</v>
      </c>
      <c r="E2640">
        <v>3</v>
      </c>
      <c r="F2640">
        <v>3</v>
      </c>
      <c r="G2640">
        <v>3</v>
      </c>
      <c r="J2640" t="s">
        <v>15</v>
      </c>
      <c r="K2640">
        <v>3</v>
      </c>
      <c r="L2640">
        <v>3.355</v>
      </c>
      <c r="M2640">
        <v>0</v>
      </c>
      <c r="N2640" t="s">
        <v>10018</v>
      </c>
      <c r="O2640" t="str">
        <f>HYPERLINK("3\0\marker_398_371712.png", "Ver Imagen")</f>
        <v>Ver Imagen</v>
      </c>
      <c r="P2640" t="str">
        <f>HYPERLINK("SE\A-497\A-497__600.png", "Ver Imagen")</f>
        <v>Ver Imagen</v>
      </c>
    </row>
    <row r="2641" spans="1:16" x14ac:dyDescent="0.25">
      <c r="A2641">
        <v>2115</v>
      </c>
      <c r="B2641" t="s">
        <v>4243</v>
      </c>
      <c r="C2641">
        <v>37.203018248600003</v>
      </c>
      <c r="D2641">
        <v>-7.0031282886200001</v>
      </c>
      <c r="E2641">
        <v>3</v>
      </c>
      <c r="F2641">
        <v>3</v>
      </c>
      <c r="G2641">
        <v>3</v>
      </c>
      <c r="J2641" t="s">
        <v>15</v>
      </c>
      <c r="K2641">
        <v>3</v>
      </c>
      <c r="L2641">
        <v>2.9580000000000002</v>
      </c>
      <c r="M2641">
        <v>0</v>
      </c>
      <c r="N2641" t="s">
        <v>10019</v>
      </c>
      <c r="O2641" t="str">
        <f>HYPERLINK("3\0\marker_935_371731.png", "Ver Imagen")</f>
        <v>Ver Imagen</v>
      </c>
      <c r="P2641" t="str">
        <f>HYPERLINK("SE\A-497\A-497__598.png", "Ver Imagen")</f>
        <v>Ver Imagen</v>
      </c>
    </row>
    <row r="2642" spans="1:16" x14ac:dyDescent="0.25">
      <c r="A2642">
        <v>2117</v>
      </c>
      <c r="B2642" t="s">
        <v>4247</v>
      </c>
      <c r="C2642">
        <v>37.2549941065</v>
      </c>
      <c r="D2642">
        <v>-7.0148966050899997</v>
      </c>
      <c r="E2642">
        <v>3</v>
      </c>
      <c r="F2642">
        <v>3</v>
      </c>
      <c r="G2642">
        <v>3</v>
      </c>
      <c r="J2642" t="s">
        <v>15</v>
      </c>
      <c r="K2642">
        <v>3</v>
      </c>
      <c r="L2642">
        <v>3.4089999999999998</v>
      </c>
      <c r="M2642">
        <v>0</v>
      </c>
      <c r="N2642" t="s">
        <v>10019</v>
      </c>
      <c r="O2642" t="str">
        <f>HYPERLINK("3\0\marker_647_319744.png", "Ver Imagen")</f>
        <v>Ver Imagen</v>
      </c>
      <c r="P2642" t="str">
        <f>HYPERLINK("SE\A-497_2C\A-497_2C__270.png", "Ver Imagen")</f>
        <v>Ver Imagen</v>
      </c>
    </row>
    <row r="2643" spans="1:16" x14ac:dyDescent="0.25">
      <c r="A2643">
        <v>2118</v>
      </c>
      <c r="B2643" t="s">
        <v>4249</v>
      </c>
      <c r="C2643">
        <v>37.253735968800001</v>
      </c>
      <c r="D2643">
        <v>-7.0157038714800004</v>
      </c>
      <c r="E2643">
        <v>3</v>
      </c>
      <c r="F2643">
        <v>3</v>
      </c>
      <c r="G2643">
        <v>3</v>
      </c>
      <c r="J2643" t="s">
        <v>15</v>
      </c>
      <c r="K2643">
        <v>3</v>
      </c>
      <c r="L2643">
        <v>2.6520000000000001</v>
      </c>
      <c r="M2643">
        <v>0</v>
      </c>
      <c r="N2643" t="s">
        <v>10019</v>
      </c>
      <c r="O2643" t="str">
        <f>HYPERLINK("3\0\marker_525_319836.png", "Ver Imagen")</f>
        <v>Ver Imagen</v>
      </c>
      <c r="P2643" t="str">
        <f>HYPERLINK("SE\A-497_2C\A-497_2C__277.png", "Ver Imagen")</f>
        <v>Ver Imagen</v>
      </c>
    </row>
    <row r="2644" spans="1:16" x14ac:dyDescent="0.25">
      <c r="A2644">
        <v>2119</v>
      </c>
      <c r="B2644" t="s">
        <v>4251</v>
      </c>
      <c r="C2644">
        <v>37.253572087499997</v>
      </c>
      <c r="D2644">
        <v>-7.0158097595599997</v>
      </c>
      <c r="E2644">
        <v>3</v>
      </c>
      <c r="F2644">
        <v>3</v>
      </c>
      <c r="G2644">
        <v>3</v>
      </c>
      <c r="J2644" t="s">
        <v>15</v>
      </c>
      <c r="K2644">
        <v>3</v>
      </c>
      <c r="L2644">
        <v>3.161</v>
      </c>
      <c r="M2644">
        <v>0</v>
      </c>
      <c r="N2644" t="s">
        <v>10019</v>
      </c>
      <c r="O2644" t="str">
        <f>HYPERLINK("3\0\marker_381_319861.png", "Ver Imagen")</f>
        <v>Ver Imagen</v>
      </c>
      <c r="P2644" t="str">
        <f>HYPERLINK("SE\A-497_2C\A-497_2C__278.png", "Ver Imagen")</f>
        <v>Ver Imagen</v>
      </c>
    </row>
    <row r="2645" spans="1:16" x14ac:dyDescent="0.25">
      <c r="A2645">
        <v>2120</v>
      </c>
      <c r="B2645" t="s">
        <v>4253</v>
      </c>
      <c r="C2645">
        <v>37.253384629400003</v>
      </c>
      <c r="D2645">
        <v>-7.0159301549000004</v>
      </c>
      <c r="E2645">
        <v>3</v>
      </c>
      <c r="F2645">
        <v>3</v>
      </c>
      <c r="G2645">
        <v>3</v>
      </c>
      <c r="J2645" t="s">
        <v>15</v>
      </c>
      <c r="K2645">
        <v>3</v>
      </c>
      <c r="L2645">
        <v>3.3690000000000002</v>
      </c>
      <c r="M2645">
        <v>0</v>
      </c>
      <c r="N2645" t="s">
        <v>10017</v>
      </c>
      <c r="O2645" t="str">
        <f>HYPERLINK("3\0\marker_417_319872.png", "Ver Imagen")</f>
        <v>Ver Imagen</v>
      </c>
      <c r="P2645" t="str">
        <f>HYPERLINK("SE\A-497_2C\A-497_2C__279.png", "Ver Imagen")</f>
        <v>Ver Imagen</v>
      </c>
    </row>
    <row r="2646" spans="1:16" x14ac:dyDescent="0.25">
      <c r="A2646">
        <v>2121</v>
      </c>
      <c r="B2646" t="s">
        <v>4255</v>
      </c>
      <c r="C2646">
        <v>37.253183033100001</v>
      </c>
      <c r="D2646">
        <v>-7.0160589596999996</v>
      </c>
      <c r="E2646">
        <v>3</v>
      </c>
      <c r="F2646">
        <v>3</v>
      </c>
      <c r="G2646">
        <v>3</v>
      </c>
      <c r="J2646" t="s">
        <v>15</v>
      </c>
      <c r="K2646">
        <v>3</v>
      </c>
      <c r="L2646">
        <v>3.198</v>
      </c>
      <c r="M2646">
        <v>0</v>
      </c>
      <c r="N2646" t="s">
        <v>10019</v>
      </c>
      <c r="O2646" t="str">
        <f>HYPERLINK("3\0\marker_878_319891.png", "Ver Imagen")</f>
        <v>Ver Imagen</v>
      </c>
      <c r="P2646" t="str">
        <f>HYPERLINK("SE\A-497_2C\A-497_2C__280.png", "Ver Imagen")</f>
        <v>Ver Imagen</v>
      </c>
    </row>
    <row r="2647" spans="1:16" x14ac:dyDescent="0.25">
      <c r="A2647">
        <v>2122</v>
      </c>
      <c r="B2647" t="s">
        <v>4257</v>
      </c>
      <c r="C2647">
        <v>37.2530235093</v>
      </c>
      <c r="D2647">
        <v>-7.0161607570499998</v>
      </c>
      <c r="E2647">
        <v>3</v>
      </c>
      <c r="F2647">
        <v>3</v>
      </c>
      <c r="G2647">
        <v>3</v>
      </c>
      <c r="J2647" t="s">
        <v>15</v>
      </c>
      <c r="K2647">
        <v>3</v>
      </c>
      <c r="L2647">
        <v>3.1070000000000002</v>
      </c>
      <c r="M2647">
        <v>0</v>
      </c>
      <c r="N2647" t="s">
        <v>10019</v>
      </c>
      <c r="O2647" t="str">
        <f>HYPERLINK("3\0\marker_449_319900.png", "Ver Imagen")</f>
        <v>Ver Imagen</v>
      </c>
      <c r="P2647" t="str">
        <f>HYPERLINK("SE\A-497_2C\A-497_2C__281.png", "Ver Imagen")</f>
        <v>Ver Imagen</v>
      </c>
    </row>
    <row r="2648" spans="1:16" x14ac:dyDescent="0.25">
      <c r="A2648">
        <v>2123</v>
      </c>
      <c r="B2648" t="s">
        <v>4259</v>
      </c>
      <c r="C2648">
        <v>37.252284152000001</v>
      </c>
      <c r="D2648">
        <v>-7.0166340913300003</v>
      </c>
      <c r="E2648">
        <v>3</v>
      </c>
      <c r="F2648">
        <v>3</v>
      </c>
      <c r="G2648">
        <v>3</v>
      </c>
      <c r="J2648" t="s">
        <v>15</v>
      </c>
      <c r="K2648">
        <v>3</v>
      </c>
      <c r="L2648">
        <v>3.0339999999999998</v>
      </c>
      <c r="M2648">
        <v>0</v>
      </c>
      <c r="N2648" t="s">
        <v>10019</v>
      </c>
      <c r="O2648" t="str">
        <f>HYPERLINK("3\0\marker_840_319957.png", "Ver Imagen")</f>
        <v>Ver Imagen</v>
      </c>
      <c r="P2648" t="str">
        <f>HYPERLINK("SE\A-497_2C\A-497_2C__285.png", "Ver Imagen")</f>
        <v>Ver Imagen</v>
      </c>
    </row>
    <row r="2649" spans="1:16" x14ac:dyDescent="0.25">
      <c r="A2649">
        <v>2124</v>
      </c>
      <c r="B2649" t="s">
        <v>4261</v>
      </c>
      <c r="C2649">
        <v>37.251919013299997</v>
      </c>
      <c r="D2649">
        <v>-7.0168664402800003</v>
      </c>
      <c r="E2649">
        <v>3</v>
      </c>
      <c r="F2649">
        <v>3</v>
      </c>
      <c r="G2649">
        <v>3</v>
      </c>
      <c r="J2649" t="s">
        <v>15</v>
      </c>
      <c r="K2649">
        <v>3</v>
      </c>
      <c r="L2649">
        <v>2.85</v>
      </c>
      <c r="M2649">
        <v>0</v>
      </c>
      <c r="N2649" t="s">
        <v>10019</v>
      </c>
      <c r="O2649" t="str">
        <f>HYPERLINK("3\0\marker_454_320040.png", "Ver Imagen")</f>
        <v>Ver Imagen</v>
      </c>
      <c r="P2649" t="str">
        <f>HYPERLINK("SE\A-497_2C\A-497_2C__287.png", "Ver Imagen")</f>
        <v>Ver Imagen</v>
      </c>
    </row>
    <row r="2650" spans="1:16" x14ac:dyDescent="0.25">
      <c r="A2650">
        <v>2125</v>
      </c>
      <c r="B2650" t="s">
        <v>4263</v>
      </c>
      <c r="C2650">
        <v>37.251755666199998</v>
      </c>
      <c r="D2650">
        <v>-7.0169714608399998</v>
      </c>
      <c r="E2650">
        <v>3</v>
      </c>
      <c r="F2650">
        <v>3</v>
      </c>
      <c r="G2650">
        <v>3</v>
      </c>
      <c r="J2650" t="s">
        <v>15</v>
      </c>
      <c r="K2650">
        <v>3</v>
      </c>
      <c r="L2650">
        <v>3.1720000000000002</v>
      </c>
      <c r="M2650">
        <v>0</v>
      </c>
      <c r="N2650" t="s">
        <v>10019</v>
      </c>
      <c r="O2650" t="str">
        <f>HYPERLINK("3\0\marker_466_320050.png", "Ver Imagen")</f>
        <v>Ver Imagen</v>
      </c>
      <c r="P2650" t="str">
        <f>HYPERLINK("SE\A-497_2C\A-497_2C__288.png", "Ver Imagen")</f>
        <v>Ver Imagen</v>
      </c>
    </row>
    <row r="2651" spans="1:16" x14ac:dyDescent="0.25">
      <c r="A2651">
        <v>2126</v>
      </c>
      <c r="B2651" t="s">
        <v>4265</v>
      </c>
      <c r="C2651">
        <v>37.203857371700003</v>
      </c>
      <c r="D2651">
        <v>-7.0093635334600002</v>
      </c>
      <c r="E2651">
        <v>3</v>
      </c>
      <c r="F2651">
        <v>3</v>
      </c>
      <c r="G2651">
        <v>3</v>
      </c>
      <c r="J2651" t="s">
        <v>15</v>
      </c>
      <c r="K2651">
        <v>3</v>
      </c>
      <c r="L2651">
        <v>2.9079999999999999</v>
      </c>
      <c r="M2651">
        <v>0</v>
      </c>
      <c r="N2651" t="s">
        <v>10019</v>
      </c>
      <c r="O2651" t="str">
        <f>HYPERLINK("3\0\marker_502_371992.png", "Ver Imagen")</f>
        <v>Ver Imagen</v>
      </c>
      <c r="P2651" t="str">
        <f>HYPERLINK("SE\A-497\A-497__573.png", "Ver Imagen")</f>
        <v>Ver Imagen</v>
      </c>
    </row>
    <row r="2652" spans="1:16" x14ac:dyDescent="0.25">
      <c r="A2652">
        <v>2128</v>
      </c>
      <c r="B2652" t="s">
        <v>4269</v>
      </c>
      <c r="C2652">
        <v>37.204410751399998</v>
      </c>
      <c r="D2652">
        <v>-7.0126141648100004</v>
      </c>
      <c r="E2652">
        <v>3</v>
      </c>
      <c r="F2652">
        <v>3</v>
      </c>
      <c r="G2652">
        <v>3</v>
      </c>
      <c r="J2652" t="s">
        <v>15</v>
      </c>
      <c r="K2652">
        <v>3</v>
      </c>
      <c r="L2652">
        <v>2.9590000000000001</v>
      </c>
      <c r="M2652">
        <v>0</v>
      </c>
      <c r="N2652" t="s">
        <v>10019</v>
      </c>
      <c r="O2652" t="str">
        <f>HYPERLINK("3\0\marker_642_372144.png", "Ver Imagen")</f>
        <v>Ver Imagen</v>
      </c>
      <c r="P2652" t="str">
        <f>HYPERLINK("SE\A-497\A-497__560.png", "Ver Imagen")</f>
        <v>Ver Imagen</v>
      </c>
    </row>
    <row r="2653" spans="1:16" x14ac:dyDescent="0.25">
      <c r="A2653">
        <v>2129</v>
      </c>
      <c r="B2653" t="s">
        <v>4271</v>
      </c>
      <c r="C2653">
        <v>37.246524761300002</v>
      </c>
      <c r="D2653">
        <v>-7.0184327445900001</v>
      </c>
      <c r="E2653">
        <v>3</v>
      </c>
      <c r="F2653">
        <v>3</v>
      </c>
      <c r="G2653">
        <v>3</v>
      </c>
      <c r="J2653" t="s">
        <v>15</v>
      </c>
      <c r="K2653">
        <v>3</v>
      </c>
      <c r="L2653">
        <v>3.274</v>
      </c>
      <c r="M2653">
        <v>0</v>
      </c>
      <c r="N2653" t="s">
        <v>10019</v>
      </c>
      <c r="O2653" t="str">
        <f>HYPERLINK("3\0\marker_676_361879.png", "Ver Imagen")</f>
        <v>Ver Imagen</v>
      </c>
      <c r="P2653" t="str">
        <f>HYPERLINK("SE\A-497_2C\A-497_2C__315.png", "Ver Imagen")</f>
        <v>Ver Imagen</v>
      </c>
    </row>
    <row r="2654" spans="1:16" x14ac:dyDescent="0.25">
      <c r="A2654">
        <v>2130</v>
      </c>
      <c r="B2654" t="s">
        <v>4273</v>
      </c>
      <c r="C2654">
        <v>37.245903357499998</v>
      </c>
      <c r="D2654">
        <v>-7.01845487784</v>
      </c>
      <c r="E2654">
        <v>3</v>
      </c>
      <c r="F2654">
        <v>3</v>
      </c>
      <c r="G2654">
        <v>3</v>
      </c>
      <c r="J2654" t="s">
        <v>15</v>
      </c>
      <c r="K2654">
        <v>3</v>
      </c>
      <c r="L2654">
        <v>3.1059999999999999</v>
      </c>
      <c r="M2654">
        <v>0</v>
      </c>
      <c r="N2654" t="s">
        <v>10019</v>
      </c>
      <c r="O2654" t="str">
        <f>HYPERLINK("3\0\marker_566_361910.png", "Ver Imagen")</f>
        <v>Ver Imagen</v>
      </c>
      <c r="P2654" t="str">
        <f>HYPERLINK("SE\A-497_2C\A-497_2C__318.png", "Ver Imagen")</f>
        <v>Ver Imagen</v>
      </c>
    </row>
    <row r="2655" spans="1:16" x14ac:dyDescent="0.25">
      <c r="A2655">
        <v>2131</v>
      </c>
      <c r="B2655" t="s">
        <v>4275</v>
      </c>
      <c r="C2655">
        <v>37.245502926900002</v>
      </c>
      <c r="D2655">
        <v>-7.0184681893500001</v>
      </c>
      <c r="E2655">
        <v>3</v>
      </c>
      <c r="F2655">
        <v>3</v>
      </c>
      <c r="G2655">
        <v>3</v>
      </c>
      <c r="J2655" t="s">
        <v>15</v>
      </c>
      <c r="K2655">
        <v>3</v>
      </c>
      <c r="L2655">
        <v>2.8620000000000001</v>
      </c>
      <c r="M2655">
        <v>0</v>
      </c>
      <c r="N2655" t="s">
        <v>10019</v>
      </c>
      <c r="O2655" t="str">
        <f>HYPERLINK("3\0\marker_245_361930.png", "Ver Imagen")</f>
        <v>Ver Imagen</v>
      </c>
      <c r="P2655" t="str">
        <f>HYPERLINK("SE\A-497_2C\A-497_2C__320.png", "Ver Imagen")</f>
        <v>Ver Imagen</v>
      </c>
    </row>
    <row r="2656" spans="1:16" x14ac:dyDescent="0.25">
      <c r="A2656">
        <v>2132</v>
      </c>
      <c r="B2656" t="s">
        <v>4277</v>
      </c>
      <c r="C2656">
        <v>37.244865363499997</v>
      </c>
      <c r="D2656">
        <v>-7.0184893955099996</v>
      </c>
      <c r="E2656">
        <v>3</v>
      </c>
      <c r="F2656">
        <v>3</v>
      </c>
      <c r="G2656">
        <v>3</v>
      </c>
      <c r="J2656" t="s">
        <v>15</v>
      </c>
      <c r="K2656">
        <v>3</v>
      </c>
      <c r="L2656">
        <v>3.4049999999999998</v>
      </c>
      <c r="M2656">
        <v>0</v>
      </c>
      <c r="N2656" t="s">
        <v>10019</v>
      </c>
      <c r="O2656" t="str">
        <f>HYPERLINK("3\0\marker_525_361957.png", "Ver Imagen")</f>
        <v>Ver Imagen</v>
      </c>
      <c r="P2656" t="str">
        <f>HYPERLINK("SE\A-497_2C\A-497_2C__323.png", "Ver Imagen")</f>
        <v>Ver Imagen</v>
      </c>
    </row>
    <row r="2657" spans="1:16" x14ac:dyDescent="0.25">
      <c r="A2657">
        <v>2133</v>
      </c>
      <c r="B2657" t="s">
        <v>4279</v>
      </c>
      <c r="C2657">
        <v>37.243877327</v>
      </c>
      <c r="D2657">
        <v>-7.0185307432000004</v>
      </c>
      <c r="E2657">
        <v>3</v>
      </c>
      <c r="F2657">
        <v>3</v>
      </c>
      <c r="G2657">
        <v>3</v>
      </c>
      <c r="J2657" t="s">
        <v>15</v>
      </c>
      <c r="K2657">
        <v>3</v>
      </c>
      <c r="L2657">
        <v>3.4649999999999999</v>
      </c>
      <c r="M2657">
        <v>0</v>
      </c>
      <c r="N2657" t="s">
        <v>10017</v>
      </c>
      <c r="O2657" t="str">
        <f>HYPERLINK("3\0\marker_262_361999.png", "Ver Imagen")</f>
        <v>Ver Imagen</v>
      </c>
      <c r="P2657" t="str">
        <f>HYPERLINK("SE\A-497_2C\A-497_2C__328.png", "Ver Imagen")</f>
        <v>Ver Imagen</v>
      </c>
    </row>
    <row r="2658" spans="1:16" x14ac:dyDescent="0.25">
      <c r="A2658">
        <v>2134</v>
      </c>
      <c r="B2658" t="s">
        <v>4281</v>
      </c>
      <c r="C2658">
        <v>37.242618589499997</v>
      </c>
      <c r="D2658">
        <v>-7.0185776797599999</v>
      </c>
      <c r="E2658">
        <v>3</v>
      </c>
      <c r="F2658">
        <v>3</v>
      </c>
      <c r="G2658">
        <v>3</v>
      </c>
      <c r="J2658" t="s">
        <v>15</v>
      </c>
      <c r="K2658">
        <v>3</v>
      </c>
      <c r="L2658">
        <v>3.2949999999999999</v>
      </c>
      <c r="M2658">
        <v>0</v>
      </c>
      <c r="N2658" t="s">
        <v>10018</v>
      </c>
      <c r="O2658" t="str">
        <f>HYPERLINK("3\0\marker_319_362055.png", "Ver Imagen")</f>
        <v>Ver Imagen</v>
      </c>
      <c r="P2658" t="str">
        <f>HYPERLINK("SE\A-497_2C\A-497_2C__334.png", "Ver Imagen")</f>
        <v>Ver Imagen</v>
      </c>
    </row>
    <row r="2659" spans="1:16" x14ac:dyDescent="0.25">
      <c r="A2659">
        <v>2135</v>
      </c>
      <c r="B2659" t="s">
        <v>4283</v>
      </c>
      <c r="C2659">
        <v>37.2416203115</v>
      </c>
      <c r="D2659">
        <v>-7.0186106450599999</v>
      </c>
      <c r="E2659">
        <v>3</v>
      </c>
      <c r="F2659">
        <v>3</v>
      </c>
      <c r="G2659">
        <v>3</v>
      </c>
      <c r="J2659" t="s">
        <v>15</v>
      </c>
      <c r="K2659">
        <v>3</v>
      </c>
      <c r="L2659">
        <v>3.1429999999999998</v>
      </c>
      <c r="M2659">
        <v>0</v>
      </c>
      <c r="N2659" t="s">
        <v>10019</v>
      </c>
      <c r="O2659" t="str">
        <f>HYPERLINK("3\0\marker_713_362118.png", "Ver Imagen")</f>
        <v>Ver Imagen</v>
      </c>
      <c r="P2659" t="str">
        <f>HYPERLINK("SE\A-497_2C\A-497_2C__339.png", "Ver Imagen")</f>
        <v>Ver Imagen</v>
      </c>
    </row>
    <row r="2660" spans="1:16" x14ac:dyDescent="0.25">
      <c r="A2660">
        <v>2136</v>
      </c>
      <c r="B2660" t="s">
        <v>4285</v>
      </c>
      <c r="C2660">
        <v>37.241225414500001</v>
      </c>
      <c r="D2660">
        <v>-7.0186281922899996</v>
      </c>
      <c r="E2660">
        <v>3</v>
      </c>
      <c r="F2660">
        <v>3</v>
      </c>
      <c r="G2660">
        <v>3</v>
      </c>
      <c r="J2660" t="s">
        <v>15</v>
      </c>
      <c r="K2660">
        <v>3</v>
      </c>
      <c r="L2660">
        <v>2.8159999999999998</v>
      </c>
      <c r="M2660">
        <v>0</v>
      </c>
      <c r="N2660" t="s">
        <v>10018</v>
      </c>
      <c r="O2660" t="str">
        <f>HYPERLINK("3\0\marker_461_362137.png", "Ver Imagen")</f>
        <v>Ver Imagen</v>
      </c>
      <c r="P2660" t="str">
        <f>HYPERLINK("SE\A-497_2C\A-497_2C__341.png", "Ver Imagen")</f>
        <v>Ver Imagen</v>
      </c>
    </row>
    <row r="2661" spans="1:16" x14ac:dyDescent="0.25">
      <c r="A2661">
        <v>2137</v>
      </c>
      <c r="B2661" t="s">
        <v>4287</v>
      </c>
      <c r="C2661">
        <v>37.241026811200001</v>
      </c>
      <c r="D2661">
        <v>-7.0186365090300002</v>
      </c>
      <c r="E2661">
        <v>3</v>
      </c>
      <c r="F2661">
        <v>3</v>
      </c>
      <c r="G2661">
        <v>3</v>
      </c>
      <c r="J2661" t="s">
        <v>15</v>
      </c>
      <c r="K2661">
        <v>3</v>
      </c>
      <c r="L2661">
        <v>2.8809999999999998</v>
      </c>
      <c r="M2661">
        <v>0</v>
      </c>
      <c r="N2661" t="s">
        <v>10018</v>
      </c>
      <c r="O2661" t="str">
        <f>HYPERLINK("3\0\marker_753_362147.png", "Ver Imagen")</f>
        <v>Ver Imagen</v>
      </c>
      <c r="P2661" t="str">
        <f>HYPERLINK("SE\A-497_2C\A-497_2C__342.png", "Ver Imagen")</f>
        <v>Ver Imagen</v>
      </c>
    </row>
    <row r="2662" spans="1:16" x14ac:dyDescent="0.25">
      <c r="A2662">
        <v>2138</v>
      </c>
      <c r="B2662" t="s">
        <v>4289</v>
      </c>
      <c r="C2662">
        <v>37.240234858500003</v>
      </c>
      <c r="D2662">
        <v>-7.0186673332299998</v>
      </c>
      <c r="E2662">
        <v>3</v>
      </c>
      <c r="F2662">
        <v>3</v>
      </c>
      <c r="G2662">
        <v>3</v>
      </c>
      <c r="J2662" t="s">
        <v>15</v>
      </c>
      <c r="K2662">
        <v>3</v>
      </c>
      <c r="L2662">
        <v>3.0059999999999998</v>
      </c>
      <c r="M2662">
        <v>0</v>
      </c>
      <c r="N2662" t="s">
        <v>10019</v>
      </c>
      <c r="O2662" t="str">
        <f>HYPERLINK("3\0\marker_182_362184.png", "Ver Imagen")</f>
        <v>Ver Imagen</v>
      </c>
      <c r="P2662" t="str">
        <f>HYPERLINK("SE\A-497_2C\A-497_2C__346.png", "Ver Imagen")</f>
        <v>Ver Imagen</v>
      </c>
    </row>
    <row r="2663" spans="1:16" x14ac:dyDescent="0.25">
      <c r="A2663">
        <v>2139</v>
      </c>
      <c r="B2663" t="s">
        <v>4291</v>
      </c>
      <c r="C2663">
        <v>37.206152442700002</v>
      </c>
      <c r="D2663">
        <v>-7.0196151568599996</v>
      </c>
      <c r="E2663">
        <v>3</v>
      </c>
      <c r="F2663">
        <v>3</v>
      </c>
      <c r="G2663">
        <v>3</v>
      </c>
      <c r="J2663" t="s">
        <v>15</v>
      </c>
      <c r="K2663">
        <v>3</v>
      </c>
      <c r="L2663">
        <v>3.1709999999999998</v>
      </c>
      <c r="M2663">
        <v>0</v>
      </c>
      <c r="N2663" t="s">
        <v>10019</v>
      </c>
      <c r="O2663" t="str">
        <f>HYPERLINK("3\0\marker_895_372493.png", "Ver Imagen")</f>
        <v>Ver Imagen</v>
      </c>
      <c r="P2663" t="str">
        <f>HYPERLINK("SE\A-497\A-497__531.png", "Ver Imagen")</f>
        <v>Ver Imagen</v>
      </c>
    </row>
    <row r="2664" spans="1:16" x14ac:dyDescent="0.25">
      <c r="A2664">
        <v>2140</v>
      </c>
      <c r="B2664" t="s">
        <v>4293</v>
      </c>
      <c r="C2664">
        <v>37.239196054300002</v>
      </c>
      <c r="D2664">
        <v>-7.0187103655599996</v>
      </c>
      <c r="E2664">
        <v>3</v>
      </c>
      <c r="F2664">
        <v>3</v>
      </c>
      <c r="G2664">
        <v>3</v>
      </c>
      <c r="J2664" t="s">
        <v>15</v>
      </c>
      <c r="K2664">
        <v>3</v>
      </c>
      <c r="L2664">
        <v>3.03</v>
      </c>
      <c r="M2664">
        <v>0</v>
      </c>
      <c r="N2664" t="s">
        <v>10019</v>
      </c>
      <c r="O2664" t="str">
        <f>HYPERLINK("3\0\marker_881_362240.png", "Ver Imagen")</f>
        <v>Ver Imagen</v>
      </c>
      <c r="P2664" t="str">
        <f>HYPERLINK("SE\A-497_2C\A-497_2C__351.png", "Ver Imagen")</f>
        <v>Ver Imagen</v>
      </c>
    </row>
    <row r="2665" spans="1:16" x14ac:dyDescent="0.25">
      <c r="A2665">
        <v>2141</v>
      </c>
      <c r="B2665" t="s">
        <v>4295</v>
      </c>
      <c r="C2665">
        <v>37.238825897300003</v>
      </c>
      <c r="D2665">
        <v>-7.0187266534899999</v>
      </c>
      <c r="E2665">
        <v>3</v>
      </c>
      <c r="F2665">
        <v>3</v>
      </c>
      <c r="G2665">
        <v>3</v>
      </c>
      <c r="J2665" t="s">
        <v>15</v>
      </c>
      <c r="K2665">
        <v>3</v>
      </c>
      <c r="L2665">
        <v>3.302</v>
      </c>
      <c r="M2665">
        <v>0</v>
      </c>
      <c r="N2665" t="s">
        <v>10019</v>
      </c>
      <c r="O2665" t="str">
        <f>HYPERLINK("3\0\marker_559_362258.png", "Ver Imagen")</f>
        <v>Ver Imagen</v>
      </c>
      <c r="P2665" t="str">
        <f>HYPERLINK("SE\A-497_2C\A-497_2C__353.png", "Ver Imagen")</f>
        <v>Ver Imagen</v>
      </c>
    </row>
    <row r="2666" spans="1:16" x14ac:dyDescent="0.25">
      <c r="A2666">
        <v>2145</v>
      </c>
      <c r="B2666" t="s">
        <v>4303</v>
      </c>
      <c r="C2666">
        <v>37.237784982999997</v>
      </c>
      <c r="D2666">
        <v>-7.0187577317400001</v>
      </c>
      <c r="E2666">
        <v>3</v>
      </c>
      <c r="F2666">
        <v>3</v>
      </c>
      <c r="G2666">
        <v>3</v>
      </c>
      <c r="J2666" t="s">
        <v>15</v>
      </c>
      <c r="K2666">
        <v>3</v>
      </c>
      <c r="L2666">
        <v>3.14</v>
      </c>
      <c r="M2666">
        <v>0</v>
      </c>
      <c r="N2666" t="s">
        <v>10019</v>
      </c>
      <c r="O2666" t="str">
        <f>HYPERLINK("3\0\marker_885_362310.png", "Ver Imagen")</f>
        <v>Ver Imagen</v>
      </c>
      <c r="P2666" t="str">
        <f>HYPERLINK("SE\A-497_2C\A-497_2C__358.png", "Ver Imagen")</f>
        <v>Ver Imagen</v>
      </c>
    </row>
    <row r="2667" spans="1:16" x14ac:dyDescent="0.25">
      <c r="A2667">
        <v>2146</v>
      </c>
      <c r="B2667" t="s">
        <v>4305</v>
      </c>
      <c r="C2667">
        <v>37.207210178799997</v>
      </c>
      <c r="D2667">
        <v>-7.0214054900000002</v>
      </c>
      <c r="E2667">
        <v>3</v>
      </c>
      <c r="F2667">
        <v>3</v>
      </c>
      <c r="G2667">
        <v>3</v>
      </c>
      <c r="J2667" t="s">
        <v>15</v>
      </c>
      <c r="K2667">
        <v>3</v>
      </c>
      <c r="L2667">
        <v>2.9689999999999999</v>
      </c>
      <c r="M2667">
        <v>0</v>
      </c>
      <c r="N2667" t="s">
        <v>10019</v>
      </c>
      <c r="O2667" t="str">
        <f>HYPERLINK("3\0\marker_716_372576.png", "Ver Imagen")</f>
        <v>Ver Imagen</v>
      </c>
      <c r="P2667" t="str">
        <f>HYPERLINK("SE\A-497\A-497__522.png", "Ver Imagen")</f>
        <v>Ver Imagen</v>
      </c>
    </row>
    <row r="2668" spans="1:16" x14ac:dyDescent="0.25">
      <c r="A2668">
        <v>2147</v>
      </c>
      <c r="B2668" t="s">
        <v>4307</v>
      </c>
      <c r="C2668">
        <v>37.208155274100001</v>
      </c>
      <c r="D2668">
        <v>-7.0223995479800001</v>
      </c>
      <c r="E2668">
        <v>3</v>
      </c>
      <c r="F2668">
        <v>3</v>
      </c>
      <c r="G2668">
        <v>3</v>
      </c>
      <c r="J2668" t="s">
        <v>15</v>
      </c>
      <c r="K2668">
        <v>3</v>
      </c>
      <c r="L2668">
        <v>3.028</v>
      </c>
      <c r="M2668">
        <v>0</v>
      </c>
      <c r="N2668" t="s">
        <v>10019</v>
      </c>
      <c r="O2668" t="str">
        <f>HYPERLINK("3\0\marker_841_372634.png", "Ver Imagen")</f>
        <v>Ver Imagen</v>
      </c>
      <c r="P2668" t="str">
        <f>HYPERLINK("SE\A-497\A-497__516.png", "Ver Imagen")</f>
        <v>Ver Imagen</v>
      </c>
    </row>
    <row r="2669" spans="1:16" x14ac:dyDescent="0.25">
      <c r="A2669">
        <v>2148</v>
      </c>
      <c r="B2669" t="s">
        <v>4309</v>
      </c>
      <c r="C2669">
        <v>37.232780898800002</v>
      </c>
      <c r="D2669">
        <v>-7.0184688416299998</v>
      </c>
      <c r="E2669">
        <v>3</v>
      </c>
      <c r="F2669">
        <v>3</v>
      </c>
      <c r="G2669">
        <v>3</v>
      </c>
      <c r="J2669" t="s">
        <v>15</v>
      </c>
      <c r="K2669">
        <v>3</v>
      </c>
      <c r="L2669">
        <v>3.0830000000000002</v>
      </c>
      <c r="M2669">
        <v>0</v>
      </c>
      <c r="N2669" t="s">
        <v>10019</v>
      </c>
      <c r="O2669" t="str">
        <f>HYPERLINK("3\0\marker_980_362730.png", "Ver Imagen")</f>
        <v>Ver Imagen</v>
      </c>
      <c r="P2669" t="str">
        <f>HYPERLINK("SE\A-497_2C\A-497_2C__383.png", "Ver Imagen")</f>
        <v>Ver Imagen</v>
      </c>
    </row>
    <row r="2670" spans="1:16" x14ac:dyDescent="0.25">
      <c r="A2670">
        <v>2150</v>
      </c>
      <c r="B2670" t="s">
        <v>4313</v>
      </c>
      <c r="C2670">
        <v>37.232416684699999</v>
      </c>
      <c r="D2670">
        <v>-7.0186666492500001</v>
      </c>
      <c r="E2670">
        <v>3</v>
      </c>
      <c r="F2670">
        <v>3</v>
      </c>
      <c r="G2670">
        <v>3</v>
      </c>
      <c r="J2670" t="s">
        <v>15</v>
      </c>
      <c r="K2670">
        <v>3</v>
      </c>
      <c r="L2670">
        <v>3.1</v>
      </c>
      <c r="M2670">
        <v>0</v>
      </c>
      <c r="N2670" t="s">
        <v>10019</v>
      </c>
      <c r="O2670" t="str">
        <f>HYPERLINK("3\0\marker_619_362749.png", "Ver Imagen")</f>
        <v>Ver Imagen</v>
      </c>
      <c r="P2670" t="str">
        <f>HYPERLINK("SE\A-497_2C\A-497_2C__385.png", "Ver Imagen")</f>
        <v>Ver Imagen</v>
      </c>
    </row>
    <row r="2671" spans="1:16" x14ac:dyDescent="0.25">
      <c r="A2671">
        <v>2151</v>
      </c>
      <c r="B2671" t="s">
        <v>4315</v>
      </c>
      <c r="C2671">
        <v>37.232243329699998</v>
      </c>
      <c r="D2671">
        <v>-7.0187778495900002</v>
      </c>
      <c r="E2671">
        <v>3</v>
      </c>
      <c r="F2671">
        <v>3</v>
      </c>
      <c r="G2671">
        <v>3</v>
      </c>
      <c r="J2671" t="s">
        <v>15</v>
      </c>
      <c r="K2671">
        <v>3</v>
      </c>
      <c r="L2671">
        <v>3.1040000000000001</v>
      </c>
      <c r="M2671">
        <v>0</v>
      </c>
      <c r="N2671" t="s">
        <v>10019</v>
      </c>
      <c r="O2671" t="str">
        <f>HYPERLINK("3\0\marker_934_362758.png", "Ver Imagen")</f>
        <v>Ver Imagen</v>
      </c>
      <c r="P2671" t="str">
        <f>HYPERLINK("SE\A-497_2C\A-497_2C__386.png", "Ver Imagen")</f>
        <v>Ver Imagen</v>
      </c>
    </row>
    <row r="2672" spans="1:16" x14ac:dyDescent="0.25">
      <c r="A2672">
        <v>2152</v>
      </c>
      <c r="B2672" t="s">
        <v>4317</v>
      </c>
      <c r="C2672">
        <v>37.232081883900001</v>
      </c>
      <c r="D2672">
        <v>-7.0188891631099999</v>
      </c>
      <c r="E2672">
        <v>3</v>
      </c>
      <c r="F2672">
        <v>3</v>
      </c>
      <c r="G2672">
        <v>3</v>
      </c>
      <c r="J2672" t="s">
        <v>15</v>
      </c>
      <c r="K2672">
        <v>3</v>
      </c>
      <c r="L2672">
        <v>2.8340000000000001</v>
      </c>
      <c r="M2672">
        <v>0</v>
      </c>
      <c r="N2672" t="s">
        <v>10017</v>
      </c>
      <c r="O2672" t="str">
        <f>HYPERLINK("3\0\marker_528_362770.png", "Ver Imagen")</f>
        <v>Ver Imagen</v>
      </c>
      <c r="P2672" t="str">
        <f>HYPERLINK("SE\A-497_2C\A-497_2C__387.png", "Ver Imagen")</f>
        <v>Ver Imagen</v>
      </c>
    </row>
    <row r="2673" spans="1:16" x14ac:dyDescent="0.25">
      <c r="A2673">
        <v>2153</v>
      </c>
      <c r="B2673" t="s">
        <v>4319</v>
      </c>
      <c r="C2673">
        <v>37.231912000800001</v>
      </c>
      <c r="D2673">
        <v>-7.0190114907099996</v>
      </c>
      <c r="E2673">
        <v>3</v>
      </c>
      <c r="F2673">
        <v>3</v>
      </c>
      <c r="G2673">
        <v>3</v>
      </c>
      <c r="J2673" t="s">
        <v>15</v>
      </c>
      <c r="K2673">
        <v>3</v>
      </c>
      <c r="L2673">
        <v>3.177</v>
      </c>
      <c r="M2673">
        <v>0</v>
      </c>
      <c r="N2673" t="s">
        <v>10019</v>
      </c>
      <c r="O2673" t="str">
        <f>HYPERLINK("3\0\marker_708_362781.png", "Ver Imagen")</f>
        <v>Ver Imagen</v>
      </c>
      <c r="P2673" t="str">
        <f>HYPERLINK("SE\A-497_2C\A-497_2C__388.png", "Ver Imagen")</f>
        <v>Ver Imagen</v>
      </c>
    </row>
    <row r="2674" spans="1:16" x14ac:dyDescent="0.25">
      <c r="A2674">
        <v>2154</v>
      </c>
      <c r="B2674" t="s">
        <v>4321</v>
      </c>
      <c r="C2674">
        <v>37.231521525799998</v>
      </c>
      <c r="D2674">
        <v>-7.0193017726800004</v>
      </c>
      <c r="E2674">
        <v>3</v>
      </c>
      <c r="F2674">
        <v>3</v>
      </c>
      <c r="G2674">
        <v>3</v>
      </c>
      <c r="J2674" t="s">
        <v>15</v>
      </c>
      <c r="K2674">
        <v>3</v>
      </c>
      <c r="L2674">
        <v>2.8010000000000002</v>
      </c>
      <c r="M2674">
        <v>0</v>
      </c>
      <c r="N2674" t="s">
        <v>10019</v>
      </c>
      <c r="O2674" t="str">
        <f>HYPERLINK("3\0\marker_987_362808.png", "Ver Imagen")</f>
        <v>Ver Imagen</v>
      </c>
      <c r="P2674" t="str">
        <f>HYPERLINK("SE\A-497_2C\A-497_2C__390.png", "Ver Imagen")</f>
        <v>Ver Imagen</v>
      </c>
    </row>
    <row r="2675" spans="1:16" x14ac:dyDescent="0.25">
      <c r="A2675">
        <v>2155</v>
      </c>
      <c r="B2675" t="s">
        <v>4323</v>
      </c>
      <c r="C2675">
        <v>37.231363537599997</v>
      </c>
      <c r="D2675">
        <v>-7.0194221262700003</v>
      </c>
      <c r="E2675">
        <v>3</v>
      </c>
      <c r="F2675">
        <v>3</v>
      </c>
      <c r="G2675">
        <v>3</v>
      </c>
      <c r="J2675" t="s">
        <v>15</v>
      </c>
      <c r="K2675">
        <v>3</v>
      </c>
      <c r="L2675">
        <v>3.2370000000000001</v>
      </c>
      <c r="M2675">
        <v>0</v>
      </c>
      <c r="N2675" t="s">
        <v>10019</v>
      </c>
      <c r="O2675" t="str">
        <f>HYPERLINK("3\0\marker_959_362817.png", "Ver Imagen")</f>
        <v>Ver Imagen</v>
      </c>
      <c r="P2675" t="str">
        <f>HYPERLINK("SE\A-497_2C\A-497_2C__391.png", "Ver Imagen")</f>
        <v>Ver Imagen</v>
      </c>
    </row>
    <row r="2676" spans="1:16" x14ac:dyDescent="0.25">
      <c r="A2676">
        <v>2156</v>
      </c>
      <c r="B2676" t="s">
        <v>4325</v>
      </c>
      <c r="C2676">
        <v>37.209554830199998</v>
      </c>
      <c r="D2676">
        <v>-7.0233207871200003</v>
      </c>
      <c r="E2676">
        <v>3</v>
      </c>
      <c r="F2676">
        <v>3</v>
      </c>
      <c r="G2676">
        <v>3</v>
      </c>
      <c r="J2676" t="s">
        <v>15</v>
      </c>
      <c r="K2676">
        <v>3</v>
      </c>
      <c r="L2676">
        <v>2.992</v>
      </c>
      <c r="M2676">
        <v>0</v>
      </c>
      <c r="N2676" t="s">
        <v>10019</v>
      </c>
      <c r="O2676" t="str">
        <f>HYPERLINK("3\0\marker_802_372712.png", "Ver Imagen")</f>
        <v>Ver Imagen</v>
      </c>
      <c r="P2676" t="str">
        <f>HYPERLINK("SE\A-497\A-497__508.png", "Ver Imagen")</f>
        <v>Ver Imagen</v>
      </c>
    </row>
    <row r="2677" spans="1:16" x14ac:dyDescent="0.25">
      <c r="A2677">
        <v>2157</v>
      </c>
      <c r="B2677" t="s">
        <v>4327</v>
      </c>
      <c r="C2677">
        <v>37.2103478051</v>
      </c>
      <c r="D2677">
        <v>-7.0236290170900002</v>
      </c>
      <c r="E2677">
        <v>3</v>
      </c>
      <c r="F2677">
        <v>3</v>
      </c>
      <c r="G2677">
        <v>3</v>
      </c>
      <c r="J2677" t="s">
        <v>15</v>
      </c>
      <c r="K2677">
        <v>3</v>
      </c>
      <c r="L2677">
        <v>2.794</v>
      </c>
      <c r="M2677">
        <v>0</v>
      </c>
      <c r="N2677" t="s">
        <v>10017</v>
      </c>
      <c r="O2677" t="str">
        <f>HYPERLINK("3\0\marker_399_375962.png", "Ver Imagen")</f>
        <v>Ver Imagen</v>
      </c>
      <c r="P2677" t="str">
        <f>HYPERLINK("SE\A-497\A-497__504.png", "Ver Imagen")</f>
        <v>Ver Imagen</v>
      </c>
    </row>
    <row r="2678" spans="1:16" x14ac:dyDescent="0.25">
      <c r="A2678">
        <v>2158</v>
      </c>
      <c r="B2678" t="s">
        <v>4329</v>
      </c>
      <c r="C2678">
        <v>37.210908981199999</v>
      </c>
      <c r="D2678">
        <v>-7.0237678485000004</v>
      </c>
      <c r="E2678">
        <v>3</v>
      </c>
      <c r="F2678">
        <v>3</v>
      </c>
      <c r="G2678">
        <v>3</v>
      </c>
      <c r="J2678" t="s">
        <v>15</v>
      </c>
      <c r="K2678">
        <v>3</v>
      </c>
      <c r="L2678">
        <v>2.9319999999999999</v>
      </c>
      <c r="M2678">
        <v>0</v>
      </c>
      <c r="N2678" t="s">
        <v>10019</v>
      </c>
      <c r="O2678" t="str">
        <f>HYPERLINK("3\0\marker_518_376075.png", "Ver Imagen")</f>
        <v>Ver Imagen</v>
      </c>
      <c r="P2678" t="str">
        <f>HYPERLINK("SE\A-497\A-497__501.png", "Ver Imagen")</f>
        <v>Ver Imagen</v>
      </c>
    </row>
    <row r="2679" spans="1:16" x14ac:dyDescent="0.25">
      <c r="A2679">
        <v>2159</v>
      </c>
      <c r="B2679" t="s">
        <v>4331</v>
      </c>
      <c r="C2679">
        <v>37.211360957499998</v>
      </c>
      <c r="D2679">
        <v>-7.02383423709</v>
      </c>
      <c r="E2679">
        <v>3</v>
      </c>
      <c r="F2679">
        <v>3</v>
      </c>
      <c r="G2679">
        <v>3</v>
      </c>
      <c r="J2679" t="s">
        <v>15</v>
      </c>
      <c r="K2679">
        <v>3</v>
      </c>
      <c r="L2679">
        <v>2.726</v>
      </c>
      <c r="M2679">
        <v>0</v>
      </c>
      <c r="N2679" t="s">
        <v>10019</v>
      </c>
      <c r="O2679" t="str">
        <f>HYPERLINK("3\0\marker_863_376107.png", "Ver Imagen")</f>
        <v>Ver Imagen</v>
      </c>
      <c r="P2679" t="str">
        <f>HYPERLINK("SE\A-497\A-497__499.png", "Ver Imagen")</f>
        <v>Ver Imagen</v>
      </c>
    </row>
    <row r="2680" spans="1:16" x14ac:dyDescent="0.25">
      <c r="A2680">
        <v>2160</v>
      </c>
      <c r="B2680" t="s">
        <v>4333</v>
      </c>
      <c r="C2680">
        <v>37.211763181000002</v>
      </c>
      <c r="D2680">
        <v>-7.0238577453</v>
      </c>
      <c r="E2680">
        <v>3</v>
      </c>
      <c r="F2680">
        <v>3</v>
      </c>
      <c r="G2680">
        <v>3</v>
      </c>
      <c r="J2680" t="s">
        <v>15</v>
      </c>
      <c r="K2680">
        <v>3</v>
      </c>
      <c r="L2680">
        <v>3.0510000000000002</v>
      </c>
      <c r="M2680">
        <v>0</v>
      </c>
      <c r="N2680" t="s">
        <v>10019</v>
      </c>
      <c r="O2680" t="str">
        <f>HYPERLINK("3\0\marker_976_376132.png", "Ver Imagen")</f>
        <v>Ver Imagen</v>
      </c>
      <c r="P2680" t="str">
        <f>HYPERLINK("SE\A-497\A-497__497.png", "Ver Imagen")</f>
        <v>Ver Imagen</v>
      </c>
    </row>
    <row r="2681" spans="1:16" x14ac:dyDescent="0.25">
      <c r="A2681">
        <v>2161</v>
      </c>
      <c r="B2681" t="s">
        <v>4335</v>
      </c>
      <c r="C2681">
        <v>37.219391348400002</v>
      </c>
      <c r="D2681">
        <v>-7.0229497569400001</v>
      </c>
      <c r="E2681">
        <v>3</v>
      </c>
      <c r="F2681">
        <v>3</v>
      </c>
      <c r="G2681">
        <v>3</v>
      </c>
      <c r="J2681" t="s">
        <v>15</v>
      </c>
      <c r="K2681">
        <v>3</v>
      </c>
      <c r="L2681">
        <v>3.105</v>
      </c>
      <c r="M2681">
        <v>0</v>
      </c>
      <c r="N2681" t="s">
        <v>10019</v>
      </c>
      <c r="O2681" t="str">
        <f>HYPERLINK("3\0\marker_616_363456.png", "Ver Imagen")</f>
        <v>Ver Imagen</v>
      </c>
      <c r="P2681" t="str">
        <f>HYPERLINK("SE\A-497_2C\A-497_2C__454.png", "Ver Imagen")</f>
        <v>Ver Imagen</v>
      </c>
    </row>
    <row r="2682" spans="1:16" x14ac:dyDescent="0.25">
      <c r="A2682">
        <v>2163</v>
      </c>
      <c r="B2682" t="s">
        <v>4339</v>
      </c>
      <c r="C2682">
        <v>37.219020950000001</v>
      </c>
      <c r="D2682">
        <v>-7.0229633014799999</v>
      </c>
      <c r="E2682">
        <v>3</v>
      </c>
      <c r="F2682">
        <v>3</v>
      </c>
      <c r="G2682">
        <v>3</v>
      </c>
      <c r="J2682" t="s">
        <v>15</v>
      </c>
      <c r="K2682">
        <v>3</v>
      </c>
      <c r="L2682">
        <v>3.113</v>
      </c>
      <c r="M2682">
        <v>0</v>
      </c>
      <c r="N2682" t="s">
        <v>10019</v>
      </c>
      <c r="O2682" t="str">
        <f>HYPERLINK("3\0\marker_847_363475.png", "Ver Imagen")</f>
        <v>Ver Imagen</v>
      </c>
      <c r="P2682" t="str">
        <f>HYPERLINK("SE\A-497_2C\A-497_2C__456.png", "Ver Imagen")</f>
        <v>Ver Imagen</v>
      </c>
    </row>
    <row r="2683" spans="1:16" x14ac:dyDescent="0.25">
      <c r="A2683">
        <v>2164</v>
      </c>
      <c r="B2683" t="s">
        <v>4341</v>
      </c>
      <c r="C2683">
        <v>37.217827166200003</v>
      </c>
      <c r="D2683">
        <v>-7.02309512224</v>
      </c>
      <c r="E2683">
        <v>3</v>
      </c>
      <c r="F2683">
        <v>3</v>
      </c>
      <c r="G2683">
        <v>3</v>
      </c>
      <c r="J2683" t="s">
        <v>15</v>
      </c>
      <c r="K2683">
        <v>3</v>
      </c>
      <c r="L2683">
        <v>2.7440000000000002</v>
      </c>
      <c r="M2683">
        <v>0</v>
      </c>
      <c r="N2683" t="s">
        <v>10019</v>
      </c>
      <c r="O2683" t="str">
        <f>HYPERLINK("3\0\marker_461_363555.png", "Ver Imagen")</f>
        <v>Ver Imagen</v>
      </c>
      <c r="P2683" t="str">
        <f>HYPERLINK("SE\A-497_2C\A-497_2C__462.png", "Ver Imagen")</f>
        <v>Ver Imagen</v>
      </c>
    </row>
    <row r="2684" spans="1:16" x14ac:dyDescent="0.25">
      <c r="A2684">
        <v>2165</v>
      </c>
      <c r="B2684" t="s">
        <v>4343</v>
      </c>
      <c r="C2684">
        <v>37.2170025912</v>
      </c>
      <c r="D2684">
        <v>-7.0232376571500001</v>
      </c>
      <c r="E2684">
        <v>3</v>
      </c>
      <c r="F2684">
        <v>3</v>
      </c>
      <c r="G2684">
        <v>3</v>
      </c>
      <c r="J2684" t="s">
        <v>15</v>
      </c>
      <c r="K2684">
        <v>3</v>
      </c>
      <c r="L2684">
        <v>3.0510000000000002</v>
      </c>
      <c r="M2684">
        <v>0</v>
      </c>
      <c r="N2684" t="s">
        <v>10019</v>
      </c>
      <c r="O2684" t="str">
        <f>HYPERLINK("3\0\marker_122_363600.png", "Ver Imagen")</f>
        <v>Ver Imagen</v>
      </c>
      <c r="P2684" t="str">
        <f>HYPERLINK("SE\A-497_2C\A-497_2C__466.png", "Ver Imagen")</f>
        <v>Ver Imagen</v>
      </c>
    </row>
    <row r="2685" spans="1:16" x14ac:dyDescent="0.25">
      <c r="A2685">
        <v>2166</v>
      </c>
      <c r="B2685" t="s">
        <v>4345</v>
      </c>
      <c r="C2685">
        <v>37.216412132000002</v>
      </c>
      <c r="D2685">
        <v>-7.0233436758899996</v>
      </c>
      <c r="E2685">
        <v>3</v>
      </c>
      <c r="F2685">
        <v>3</v>
      </c>
      <c r="G2685">
        <v>3</v>
      </c>
      <c r="J2685" t="s">
        <v>15</v>
      </c>
      <c r="K2685">
        <v>3</v>
      </c>
      <c r="L2685">
        <v>2.8460000000000001</v>
      </c>
      <c r="M2685">
        <v>0</v>
      </c>
      <c r="N2685" t="s">
        <v>10019</v>
      </c>
      <c r="O2685" t="str">
        <f>HYPERLINK("3\0\marker_338_363628.png", "Ver Imagen")</f>
        <v>Ver Imagen</v>
      </c>
      <c r="P2685" t="str">
        <f>HYPERLINK("SE\A-497_2C\A-497_2C__469.png", "Ver Imagen")</f>
        <v>Ver Imagen</v>
      </c>
    </row>
    <row r="2686" spans="1:16" x14ac:dyDescent="0.25">
      <c r="A2686">
        <v>2167</v>
      </c>
      <c r="B2686" t="s">
        <v>4347</v>
      </c>
      <c r="C2686">
        <v>37.2155825703</v>
      </c>
      <c r="D2686">
        <v>-7.02348590198</v>
      </c>
      <c r="E2686">
        <v>3</v>
      </c>
      <c r="F2686">
        <v>3</v>
      </c>
      <c r="G2686">
        <v>3</v>
      </c>
      <c r="J2686" t="s">
        <v>15</v>
      </c>
      <c r="K2686">
        <v>3</v>
      </c>
      <c r="L2686">
        <v>2.71</v>
      </c>
      <c r="M2686">
        <v>0</v>
      </c>
      <c r="N2686" t="s">
        <v>10019</v>
      </c>
      <c r="O2686" t="str">
        <f>HYPERLINK("3\0\marker_847_363678.png", "Ver Imagen")</f>
        <v>Ver Imagen</v>
      </c>
      <c r="P2686" t="str">
        <f>HYPERLINK("SE\A-497_2C\A-497_2C__473.png", "Ver Imagen")</f>
        <v>Ver Imagen</v>
      </c>
    </row>
    <row r="2687" spans="1:16" x14ac:dyDescent="0.25">
      <c r="A2687">
        <v>2168</v>
      </c>
      <c r="B2687" t="s">
        <v>4349</v>
      </c>
      <c r="C2687">
        <v>37.215010542000002</v>
      </c>
      <c r="D2687">
        <v>-7.0235828703400003</v>
      </c>
      <c r="E2687">
        <v>3</v>
      </c>
      <c r="F2687">
        <v>3</v>
      </c>
      <c r="G2687">
        <v>3</v>
      </c>
      <c r="J2687" t="s">
        <v>15</v>
      </c>
      <c r="K2687">
        <v>3</v>
      </c>
      <c r="L2687">
        <v>3.4369999999999998</v>
      </c>
      <c r="M2687">
        <v>0</v>
      </c>
      <c r="N2687" t="s">
        <v>10019</v>
      </c>
      <c r="O2687" t="str">
        <f>HYPERLINK("3\0\marker_179_363716.png", "Ver Imagen")</f>
        <v>Ver Imagen</v>
      </c>
      <c r="P2687" t="str">
        <f>HYPERLINK("SE\A-497_2C\A-497_2C__476.png", "Ver Imagen")</f>
        <v>Ver Imagen</v>
      </c>
    </row>
    <row r="2688" spans="1:16" x14ac:dyDescent="0.25">
      <c r="A2688">
        <v>2169</v>
      </c>
      <c r="B2688" t="s">
        <v>4351</v>
      </c>
      <c r="C2688">
        <v>37.213970077500001</v>
      </c>
      <c r="D2688">
        <v>-7.0237772466399999</v>
      </c>
      <c r="E2688">
        <v>3</v>
      </c>
      <c r="F2688">
        <v>3</v>
      </c>
      <c r="G2688">
        <v>3</v>
      </c>
      <c r="J2688" t="s">
        <v>15</v>
      </c>
      <c r="K2688">
        <v>3</v>
      </c>
      <c r="L2688">
        <v>2.8159999999999998</v>
      </c>
      <c r="M2688">
        <v>0</v>
      </c>
      <c r="N2688" t="s">
        <v>10019</v>
      </c>
      <c r="O2688" t="str">
        <f>HYPERLINK("3\0\marker_823_363781.png", "Ver Imagen")</f>
        <v>Ver Imagen</v>
      </c>
      <c r="P2688" t="str">
        <f>HYPERLINK("SE\A-497_2C\A-497_2C__481.png", "Ver Imagen")</f>
        <v>Ver Imagen</v>
      </c>
    </row>
    <row r="2689" spans="1:16" x14ac:dyDescent="0.25">
      <c r="A2689">
        <v>2170</v>
      </c>
      <c r="B2689" t="s">
        <v>4353</v>
      </c>
      <c r="C2689">
        <v>37.213799418199997</v>
      </c>
      <c r="D2689">
        <v>-7.0238079345899997</v>
      </c>
      <c r="E2689">
        <v>3</v>
      </c>
      <c r="F2689">
        <v>3</v>
      </c>
      <c r="G2689">
        <v>3</v>
      </c>
      <c r="J2689" t="s">
        <v>15</v>
      </c>
      <c r="K2689">
        <v>3</v>
      </c>
      <c r="L2689">
        <v>2.625</v>
      </c>
      <c r="M2689">
        <v>0</v>
      </c>
      <c r="N2689" t="s">
        <v>10019</v>
      </c>
      <c r="O2689" t="str">
        <f>HYPERLINK("3\0\marker_598_363792.png", "Ver Imagen")</f>
        <v>Ver Imagen</v>
      </c>
      <c r="P2689" t="str">
        <f>HYPERLINK("SE\A-497_2C\A-497_2C__482.png", "Ver Imagen")</f>
        <v>Ver Imagen</v>
      </c>
    </row>
    <row r="2690" spans="1:16" x14ac:dyDescent="0.25">
      <c r="A2690">
        <v>2171</v>
      </c>
      <c r="B2690" t="s">
        <v>4355</v>
      </c>
      <c r="C2690">
        <v>37.2136046659</v>
      </c>
      <c r="D2690">
        <v>-7.0238421042099999</v>
      </c>
      <c r="E2690">
        <v>3</v>
      </c>
      <c r="F2690">
        <v>3</v>
      </c>
      <c r="G2690">
        <v>3</v>
      </c>
      <c r="J2690" t="s">
        <v>15</v>
      </c>
      <c r="K2690">
        <v>3</v>
      </c>
      <c r="L2690">
        <v>2.8140000000000001</v>
      </c>
      <c r="M2690">
        <v>0</v>
      </c>
      <c r="N2690" t="s">
        <v>10018</v>
      </c>
      <c r="O2690" t="str">
        <f>HYPERLINK("3\0\marker_416_363804.png", "Ver Imagen")</f>
        <v>Ver Imagen</v>
      </c>
      <c r="P2690" t="str">
        <f>HYPERLINK("SE\A-497_2C\A-497_2C__483.png", "Ver Imagen")</f>
        <v>Ver Imagen</v>
      </c>
    </row>
    <row r="2691" spans="1:16" x14ac:dyDescent="0.25">
      <c r="A2691">
        <v>2172</v>
      </c>
      <c r="B2691" t="s">
        <v>4357</v>
      </c>
      <c r="C2691">
        <v>37.212971574999997</v>
      </c>
      <c r="D2691">
        <v>-7.0239462311800001</v>
      </c>
      <c r="E2691">
        <v>3</v>
      </c>
      <c r="F2691">
        <v>3</v>
      </c>
      <c r="G2691">
        <v>3</v>
      </c>
      <c r="J2691" t="s">
        <v>15</v>
      </c>
      <c r="K2691">
        <v>3</v>
      </c>
      <c r="L2691">
        <v>2.8940000000000001</v>
      </c>
      <c r="M2691">
        <v>0</v>
      </c>
      <c r="N2691" t="s">
        <v>10019</v>
      </c>
      <c r="O2691" t="str">
        <f>HYPERLINK("3\0\marker_694_363832.png", "Ver Imagen")</f>
        <v>Ver Imagen</v>
      </c>
      <c r="P2691" t="str">
        <f>HYPERLINK("SE\A-497_2C\A-497_2C__486.png", "Ver Imagen")</f>
        <v>Ver Imagen</v>
      </c>
    </row>
    <row r="2692" spans="1:16" x14ac:dyDescent="0.25">
      <c r="A2692">
        <v>2173</v>
      </c>
      <c r="B2692" t="s">
        <v>4359</v>
      </c>
      <c r="C2692">
        <v>37.205054679699998</v>
      </c>
      <c r="D2692">
        <v>-7.0165941200399997</v>
      </c>
      <c r="E2692">
        <v>3</v>
      </c>
      <c r="F2692">
        <v>3</v>
      </c>
      <c r="G2692">
        <v>3</v>
      </c>
      <c r="J2692" t="s">
        <v>15</v>
      </c>
      <c r="K2692">
        <v>3</v>
      </c>
      <c r="L2692">
        <v>3.1930000000000001</v>
      </c>
      <c r="M2692">
        <v>0</v>
      </c>
      <c r="N2692" t="s">
        <v>10017</v>
      </c>
      <c r="O2692" t="str">
        <f>HYPERLINK("3\0\marker_848_364541.png", "Ver Imagen")</f>
        <v>Ver Imagen</v>
      </c>
      <c r="P2692" t="str">
        <f>HYPERLINK("SE\A-497_2C\A-497_2C__540.png", "Ver Imagen")</f>
        <v>Ver Imagen</v>
      </c>
    </row>
    <row r="2693" spans="1:16" x14ac:dyDescent="0.25">
      <c r="A2693">
        <v>2174</v>
      </c>
      <c r="B2693" t="s">
        <v>4361</v>
      </c>
      <c r="C2693">
        <v>37.204949677400002</v>
      </c>
      <c r="D2693">
        <v>-7.0161099134400002</v>
      </c>
      <c r="E2693">
        <v>3</v>
      </c>
      <c r="F2693">
        <v>3</v>
      </c>
      <c r="G2693">
        <v>3</v>
      </c>
      <c r="J2693" t="s">
        <v>15</v>
      </c>
      <c r="K2693">
        <v>3</v>
      </c>
      <c r="L2693">
        <v>3.0059999999999998</v>
      </c>
      <c r="M2693">
        <v>0</v>
      </c>
      <c r="N2693" t="s">
        <v>10019</v>
      </c>
      <c r="O2693" t="str">
        <f>HYPERLINK("3\0\marker_245_364607.png", "Ver Imagen")</f>
        <v>Ver Imagen</v>
      </c>
      <c r="P2693" t="str">
        <f>HYPERLINK("SE\A-497_2C\A-497_2C__542.png", "Ver Imagen")</f>
        <v>Ver Imagen</v>
      </c>
    </row>
    <row r="2694" spans="1:16" x14ac:dyDescent="0.25">
      <c r="A2694">
        <v>2175</v>
      </c>
      <c r="B2694" t="s">
        <v>4363</v>
      </c>
      <c r="C2694">
        <v>37.204831897699997</v>
      </c>
      <c r="D2694">
        <v>-7.0155472674199997</v>
      </c>
      <c r="E2694">
        <v>3</v>
      </c>
      <c r="F2694">
        <v>3</v>
      </c>
      <c r="G2694">
        <v>3</v>
      </c>
      <c r="J2694" t="s">
        <v>15</v>
      </c>
      <c r="K2694">
        <v>3</v>
      </c>
      <c r="L2694">
        <v>2.9569999999999999</v>
      </c>
      <c r="M2694">
        <v>0</v>
      </c>
      <c r="N2694" t="s">
        <v>10019</v>
      </c>
      <c r="O2694" t="str">
        <f>HYPERLINK("3\0\marker_945_364628.png", "Ver Imagen")</f>
        <v>Ver Imagen</v>
      </c>
      <c r="P2694" t="str">
        <f>HYPERLINK("SE\A-497_2C\A-497_2C__545.png", "Ver Imagen")</f>
        <v>Ver Imagen</v>
      </c>
    </row>
    <row r="2695" spans="1:16" x14ac:dyDescent="0.25">
      <c r="A2695">
        <v>2176</v>
      </c>
      <c r="B2695" t="s">
        <v>4365</v>
      </c>
      <c r="C2695">
        <v>37.204774362000002</v>
      </c>
      <c r="D2695">
        <v>-7.0152665500899998</v>
      </c>
      <c r="E2695">
        <v>3</v>
      </c>
      <c r="F2695">
        <v>3</v>
      </c>
      <c r="G2695">
        <v>3</v>
      </c>
      <c r="J2695" t="s">
        <v>15</v>
      </c>
      <c r="K2695">
        <v>3</v>
      </c>
      <c r="L2695">
        <v>3.0550000000000002</v>
      </c>
      <c r="M2695">
        <v>0</v>
      </c>
      <c r="N2695" t="s">
        <v>10017</v>
      </c>
      <c r="O2695" t="str">
        <f>HYPERLINK("3\0\marker_377_364644.png", "Ver Imagen")</f>
        <v>Ver Imagen</v>
      </c>
      <c r="P2695" t="str">
        <f>HYPERLINK("SE\A-497_2C\A-497_2C__546.png", "Ver Imagen")</f>
        <v>Ver Imagen</v>
      </c>
    </row>
    <row r="2696" spans="1:16" x14ac:dyDescent="0.25">
      <c r="A2696">
        <v>2177</v>
      </c>
      <c r="B2696" t="s">
        <v>4367</v>
      </c>
      <c r="C2696">
        <v>37.204724009000003</v>
      </c>
      <c r="D2696">
        <v>-7.0150167008200004</v>
      </c>
      <c r="E2696">
        <v>3</v>
      </c>
      <c r="F2696">
        <v>3</v>
      </c>
      <c r="G2696">
        <v>3</v>
      </c>
      <c r="J2696" t="s">
        <v>15</v>
      </c>
      <c r="K2696">
        <v>3</v>
      </c>
      <c r="L2696">
        <v>3.101</v>
      </c>
      <c r="M2696">
        <v>0</v>
      </c>
      <c r="N2696" t="s">
        <v>10019</v>
      </c>
      <c r="O2696" t="str">
        <f>HYPERLINK("3\0\marker_720_364655.png", "Ver Imagen")</f>
        <v>Ver Imagen</v>
      </c>
      <c r="P2696" t="str">
        <f>HYPERLINK("SE\A-497_2C\A-497_2C__547.png", "Ver Imagen")</f>
        <v>Ver Imagen</v>
      </c>
    </row>
    <row r="2697" spans="1:16" x14ac:dyDescent="0.25">
      <c r="A2697">
        <v>2178</v>
      </c>
      <c r="B2697" t="s">
        <v>4369</v>
      </c>
      <c r="C2697">
        <v>37.204637704</v>
      </c>
      <c r="D2697">
        <v>-7.0145781989299998</v>
      </c>
      <c r="E2697">
        <v>3</v>
      </c>
      <c r="F2697">
        <v>3</v>
      </c>
      <c r="G2697">
        <v>3</v>
      </c>
      <c r="J2697" t="s">
        <v>15</v>
      </c>
      <c r="K2697">
        <v>3</v>
      </c>
      <c r="L2697">
        <v>3.2120000000000002</v>
      </c>
      <c r="M2697">
        <v>0</v>
      </c>
      <c r="N2697" t="s">
        <v>10019</v>
      </c>
      <c r="O2697" t="str">
        <f>HYPERLINK("3\0\marker_812_364675.png", "Ver Imagen")</f>
        <v>Ver Imagen</v>
      </c>
      <c r="P2697" t="str">
        <f>HYPERLINK("SE\A-497_2C\A-497_2C__549.png", "Ver Imagen")</f>
        <v>Ver Imagen</v>
      </c>
    </row>
    <row r="2698" spans="1:16" x14ac:dyDescent="0.25">
      <c r="A2698">
        <v>2179</v>
      </c>
      <c r="B2698" t="s">
        <v>4371</v>
      </c>
      <c r="C2698">
        <v>37.2044936084</v>
      </c>
      <c r="D2698">
        <v>-7.0138410952600001</v>
      </c>
      <c r="E2698">
        <v>3</v>
      </c>
      <c r="F2698">
        <v>3</v>
      </c>
      <c r="G2698">
        <v>3</v>
      </c>
      <c r="J2698" t="s">
        <v>15</v>
      </c>
      <c r="K2698">
        <v>3</v>
      </c>
      <c r="L2698">
        <v>3.11</v>
      </c>
      <c r="M2698">
        <v>0</v>
      </c>
      <c r="N2698" t="s">
        <v>10019</v>
      </c>
      <c r="O2698" t="str">
        <f>HYPERLINK("3\0\marker_695_364702.png", "Ver Imagen")</f>
        <v>Ver Imagen</v>
      </c>
      <c r="P2698" t="str">
        <f>HYPERLINK("SE\A-497_2C\A-497_2C__552.png", "Ver Imagen")</f>
        <v>Ver Imagen</v>
      </c>
    </row>
    <row r="2699" spans="1:16" x14ac:dyDescent="0.25">
      <c r="A2699">
        <v>2180</v>
      </c>
      <c r="B2699" t="s">
        <v>4373</v>
      </c>
      <c r="C2699">
        <v>37.204202770899997</v>
      </c>
      <c r="D2699">
        <v>-7.0122706251600002</v>
      </c>
      <c r="E2699">
        <v>3</v>
      </c>
      <c r="F2699">
        <v>3</v>
      </c>
      <c r="G2699">
        <v>3</v>
      </c>
      <c r="J2699" t="s">
        <v>15</v>
      </c>
      <c r="K2699">
        <v>3</v>
      </c>
      <c r="L2699">
        <v>3.117</v>
      </c>
      <c r="M2699">
        <v>0</v>
      </c>
      <c r="N2699" t="s">
        <v>10019</v>
      </c>
      <c r="O2699" t="str">
        <f>HYPERLINK("3\0\marker_349_366355.png", "Ver Imagen")</f>
        <v>Ver Imagen</v>
      </c>
      <c r="P2699" t="str">
        <f>HYPERLINK("SE\A-497_2C\A-497_2C__558.png", "Ver Imagen")</f>
        <v>Ver Imagen</v>
      </c>
    </row>
    <row r="2700" spans="1:16" x14ac:dyDescent="0.25">
      <c r="A2700">
        <v>2181</v>
      </c>
      <c r="B2700" t="s">
        <v>4375</v>
      </c>
      <c r="C2700">
        <v>37.204002276099999</v>
      </c>
      <c r="D2700">
        <v>-7.0111258568699997</v>
      </c>
      <c r="E2700">
        <v>3</v>
      </c>
      <c r="F2700">
        <v>3</v>
      </c>
      <c r="G2700">
        <v>3</v>
      </c>
      <c r="J2700" t="s">
        <v>15</v>
      </c>
      <c r="K2700">
        <v>3</v>
      </c>
      <c r="L2700">
        <v>3.3530000000000002</v>
      </c>
      <c r="M2700">
        <v>0</v>
      </c>
      <c r="N2700" t="s">
        <v>10019</v>
      </c>
      <c r="O2700" t="str">
        <f>HYPERLINK("3\0\marker_381_366416.png", "Ver Imagen")</f>
        <v>Ver Imagen</v>
      </c>
      <c r="P2700" t="str">
        <f>HYPERLINK("SE\A-497_2C\A-497_2C__563.png", "Ver Imagen")</f>
        <v>Ver Imagen</v>
      </c>
    </row>
    <row r="2701" spans="1:16" x14ac:dyDescent="0.25">
      <c r="A2701">
        <v>2182</v>
      </c>
      <c r="B2701" t="s">
        <v>4377</v>
      </c>
      <c r="C2701">
        <v>37.203862821100003</v>
      </c>
      <c r="D2701">
        <v>-7.0102980619000004</v>
      </c>
      <c r="E2701">
        <v>3</v>
      </c>
      <c r="F2701">
        <v>3</v>
      </c>
      <c r="G2701">
        <v>3</v>
      </c>
      <c r="J2701" t="s">
        <v>15</v>
      </c>
      <c r="K2701">
        <v>3</v>
      </c>
      <c r="L2701">
        <v>3.016</v>
      </c>
      <c r="M2701">
        <v>0</v>
      </c>
      <c r="N2701" t="s">
        <v>10019</v>
      </c>
      <c r="O2701" t="str">
        <f>HYPERLINK("3\0\marker_352_366449.png", "Ver Imagen")</f>
        <v>Ver Imagen</v>
      </c>
      <c r="P2701" t="str">
        <f>HYPERLINK("SE\A-497_2C\A-497_2C__566.png", "Ver Imagen")</f>
        <v>Ver Imagen</v>
      </c>
    </row>
    <row r="2702" spans="1:16" x14ac:dyDescent="0.25">
      <c r="A2702">
        <v>2183</v>
      </c>
      <c r="B2702" t="s">
        <v>4379</v>
      </c>
      <c r="C2702">
        <v>37.203820386499999</v>
      </c>
      <c r="D2702">
        <v>-7.0100458895099997</v>
      </c>
      <c r="E2702">
        <v>3</v>
      </c>
      <c r="F2702">
        <v>3</v>
      </c>
      <c r="G2702">
        <v>3</v>
      </c>
      <c r="J2702" t="s">
        <v>15</v>
      </c>
      <c r="K2702">
        <v>3</v>
      </c>
      <c r="L2702">
        <v>3.3879999999999999</v>
      </c>
      <c r="M2702">
        <v>0</v>
      </c>
      <c r="N2702" t="s">
        <v>10019</v>
      </c>
      <c r="O2702" t="str">
        <f>HYPERLINK("3\0\marker_628_366459.png", "Ver Imagen")</f>
        <v>Ver Imagen</v>
      </c>
      <c r="P2702" t="str">
        <f>HYPERLINK("SE\A-497_2C\A-497_2C__567.png", "Ver Imagen")</f>
        <v>Ver Imagen</v>
      </c>
    </row>
    <row r="2703" spans="1:16" x14ac:dyDescent="0.25">
      <c r="A2703">
        <v>2184</v>
      </c>
      <c r="B2703" t="s">
        <v>4381</v>
      </c>
      <c r="C2703">
        <v>37.203784822999999</v>
      </c>
      <c r="D2703">
        <v>-7.0098316147300004</v>
      </c>
      <c r="E2703">
        <v>3</v>
      </c>
      <c r="F2703">
        <v>3</v>
      </c>
      <c r="G2703">
        <v>3</v>
      </c>
      <c r="J2703" t="s">
        <v>15</v>
      </c>
      <c r="K2703">
        <v>3</v>
      </c>
      <c r="L2703">
        <v>3.3460000000000001</v>
      </c>
      <c r="M2703">
        <v>0</v>
      </c>
      <c r="N2703" t="s">
        <v>10019</v>
      </c>
      <c r="O2703" t="str">
        <f>HYPERLINK("3\0\marker_919_366467.png", "Ver Imagen")</f>
        <v>Ver Imagen</v>
      </c>
      <c r="P2703" t="str">
        <f>HYPERLINK("SE\A-497_2C\A-497_2C__568.png", "Ver Imagen")</f>
        <v>Ver Imagen</v>
      </c>
    </row>
    <row r="2704" spans="1:16" x14ac:dyDescent="0.25">
      <c r="A2704">
        <v>2185</v>
      </c>
      <c r="B2704" t="s">
        <v>4383</v>
      </c>
      <c r="C2704">
        <v>37.203706498300001</v>
      </c>
      <c r="D2704">
        <v>-7.0093476665000001</v>
      </c>
      <c r="E2704">
        <v>3</v>
      </c>
      <c r="F2704">
        <v>3</v>
      </c>
      <c r="G2704">
        <v>3</v>
      </c>
      <c r="J2704" t="s">
        <v>15</v>
      </c>
      <c r="K2704">
        <v>3</v>
      </c>
      <c r="L2704">
        <v>3.0019999999999998</v>
      </c>
      <c r="M2704">
        <v>0</v>
      </c>
      <c r="N2704" t="s">
        <v>10019</v>
      </c>
      <c r="O2704" t="str">
        <f>HYPERLINK("3\0\marker_522_366485.png", "Ver Imagen")</f>
        <v>Ver Imagen</v>
      </c>
      <c r="P2704" t="str">
        <f>HYPERLINK("SE\A-497_2C\A-497_2C__570.png", "Ver Imagen")</f>
        <v>Ver Imagen</v>
      </c>
    </row>
    <row r="2705" spans="1:16" x14ac:dyDescent="0.25">
      <c r="A2705">
        <v>2186</v>
      </c>
      <c r="B2705" t="s">
        <v>4385</v>
      </c>
      <c r="C2705">
        <v>37.203661897000003</v>
      </c>
      <c r="D2705">
        <v>-7.0090616456300001</v>
      </c>
      <c r="E2705">
        <v>3</v>
      </c>
      <c r="F2705">
        <v>3</v>
      </c>
      <c r="G2705">
        <v>3</v>
      </c>
      <c r="J2705" t="s">
        <v>15</v>
      </c>
      <c r="K2705">
        <v>3</v>
      </c>
      <c r="L2705">
        <v>3.0110000000000001</v>
      </c>
      <c r="M2705">
        <v>0</v>
      </c>
      <c r="N2705" t="s">
        <v>10017</v>
      </c>
      <c r="O2705" t="str">
        <f>HYPERLINK("3\0\marker_629_366495.png", "Ver Imagen")</f>
        <v>Ver Imagen</v>
      </c>
      <c r="P2705" t="str">
        <f>HYPERLINK("SE\A-497_2C\A-497_2C__571.png", "Ver Imagen")</f>
        <v>Ver Imagen</v>
      </c>
    </row>
    <row r="2706" spans="1:16" x14ac:dyDescent="0.25">
      <c r="A2706">
        <v>2187</v>
      </c>
      <c r="B2706" t="s">
        <v>4387</v>
      </c>
      <c r="C2706">
        <v>37.2034084951</v>
      </c>
      <c r="D2706">
        <v>-7.0073531357799999</v>
      </c>
      <c r="E2706">
        <v>3</v>
      </c>
      <c r="F2706">
        <v>3</v>
      </c>
      <c r="G2706">
        <v>3</v>
      </c>
      <c r="J2706" t="s">
        <v>15</v>
      </c>
      <c r="K2706">
        <v>3</v>
      </c>
      <c r="L2706">
        <v>2.976</v>
      </c>
      <c r="M2706">
        <v>0</v>
      </c>
      <c r="N2706" t="s">
        <v>10019</v>
      </c>
      <c r="O2706" t="str">
        <f>HYPERLINK("3\0\marker_956_366555.png", "Ver Imagen")</f>
        <v>Ver Imagen</v>
      </c>
      <c r="P2706" t="str">
        <f>HYPERLINK("SE\A-497_2C\A-497_2C__578.png", "Ver Imagen")</f>
        <v>Ver Imagen</v>
      </c>
    </row>
    <row r="2707" spans="1:16" x14ac:dyDescent="0.25">
      <c r="A2707">
        <v>2188</v>
      </c>
      <c r="B2707" t="s">
        <v>4389</v>
      </c>
      <c r="C2707">
        <v>37.203334809899999</v>
      </c>
      <c r="D2707">
        <v>-7.0068215173599997</v>
      </c>
      <c r="E2707">
        <v>3</v>
      </c>
      <c r="F2707">
        <v>3</v>
      </c>
      <c r="G2707">
        <v>3</v>
      </c>
      <c r="J2707" t="s">
        <v>15</v>
      </c>
      <c r="K2707">
        <v>3</v>
      </c>
      <c r="L2707">
        <v>3.2370000000000001</v>
      </c>
      <c r="M2707">
        <v>0</v>
      </c>
      <c r="N2707" t="s">
        <v>10018</v>
      </c>
      <c r="O2707" t="str">
        <f>HYPERLINK("3\0\marker_373_366571.png", "Ver Imagen")</f>
        <v>Ver Imagen</v>
      </c>
      <c r="P2707" t="str">
        <f>HYPERLINK("SE\A-497_2C\A-497_2C__580.png", "Ver Imagen")</f>
        <v>Ver Imagen</v>
      </c>
    </row>
    <row r="2708" spans="1:16" x14ac:dyDescent="0.25">
      <c r="A2708">
        <v>2189</v>
      </c>
      <c r="B2708" t="s">
        <v>4391</v>
      </c>
      <c r="C2708">
        <v>37.203304965100003</v>
      </c>
      <c r="D2708">
        <v>-7.0065959806200002</v>
      </c>
      <c r="E2708">
        <v>3</v>
      </c>
      <c r="F2708">
        <v>3</v>
      </c>
      <c r="G2708">
        <v>3</v>
      </c>
      <c r="J2708" t="s">
        <v>15</v>
      </c>
      <c r="K2708">
        <v>3</v>
      </c>
      <c r="L2708">
        <v>2.8570000000000002</v>
      </c>
      <c r="M2708">
        <v>0</v>
      </c>
      <c r="N2708" t="s">
        <v>10019</v>
      </c>
      <c r="O2708" t="str">
        <f>HYPERLINK("3\0\marker_919_366579.png", "Ver Imagen")</f>
        <v>Ver Imagen</v>
      </c>
      <c r="P2708" t="str">
        <f>HYPERLINK("SE\A-497_2C\A-497_2C__581.png", "Ver Imagen")</f>
        <v>Ver Imagen</v>
      </c>
    </row>
    <row r="2709" spans="1:16" x14ac:dyDescent="0.25">
      <c r="A2709">
        <v>2190</v>
      </c>
      <c r="B2709" t="s">
        <v>4393</v>
      </c>
      <c r="C2709">
        <v>37.203268267200002</v>
      </c>
      <c r="D2709">
        <v>-7.0063186432100002</v>
      </c>
      <c r="E2709">
        <v>3</v>
      </c>
      <c r="F2709">
        <v>3</v>
      </c>
      <c r="G2709">
        <v>3</v>
      </c>
      <c r="J2709" t="s">
        <v>15</v>
      </c>
      <c r="K2709">
        <v>3</v>
      </c>
      <c r="L2709">
        <v>2.718</v>
      </c>
      <c r="M2709">
        <v>0</v>
      </c>
      <c r="N2709" t="s">
        <v>10018</v>
      </c>
      <c r="O2709" t="str">
        <f>HYPERLINK("3\0\marker_708_366592.png", "Ver Imagen")</f>
        <v>Ver Imagen</v>
      </c>
      <c r="P2709" t="str">
        <f>HYPERLINK("SE\A-497_2C\A-497_2C__582.png", "Ver Imagen")</f>
        <v>Ver Imagen</v>
      </c>
    </row>
    <row r="2710" spans="1:16" x14ac:dyDescent="0.25">
      <c r="A2710">
        <v>2191</v>
      </c>
      <c r="B2710" t="s">
        <v>4395</v>
      </c>
      <c r="C2710">
        <v>37.203242091299998</v>
      </c>
      <c r="D2710">
        <v>-7.0061255267</v>
      </c>
      <c r="E2710">
        <v>3</v>
      </c>
      <c r="F2710">
        <v>3</v>
      </c>
      <c r="G2710">
        <v>3</v>
      </c>
      <c r="J2710" t="s">
        <v>15</v>
      </c>
      <c r="K2710">
        <v>3</v>
      </c>
      <c r="L2710">
        <v>3.3820000000000001</v>
      </c>
      <c r="M2710">
        <v>0</v>
      </c>
      <c r="N2710" t="s">
        <v>10019</v>
      </c>
      <c r="O2710" t="str">
        <f>HYPERLINK("3\0\marker_284_366601.png", "Ver Imagen")</f>
        <v>Ver Imagen</v>
      </c>
      <c r="P2710" t="str">
        <f>HYPERLINK("SE\A-497_2C\A-497_2C__583.png", "Ver Imagen")</f>
        <v>Ver Imagen</v>
      </c>
    </row>
    <row r="2711" spans="1:16" x14ac:dyDescent="0.25">
      <c r="A2711">
        <v>2192</v>
      </c>
      <c r="B2711" t="s">
        <v>4397</v>
      </c>
      <c r="C2711">
        <v>37.203135371599998</v>
      </c>
      <c r="D2711">
        <v>-7.0053429283900002</v>
      </c>
      <c r="E2711">
        <v>3</v>
      </c>
      <c r="F2711">
        <v>3</v>
      </c>
      <c r="G2711">
        <v>3</v>
      </c>
      <c r="J2711" t="s">
        <v>15</v>
      </c>
      <c r="K2711">
        <v>3</v>
      </c>
      <c r="L2711">
        <v>3.238</v>
      </c>
      <c r="M2711">
        <v>0</v>
      </c>
      <c r="N2711" t="s">
        <v>10018</v>
      </c>
      <c r="O2711" t="str">
        <f>HYPERLINK("3\0\marker_481_366624.png", "Ver Imagen")</f>
        <v>Ver Imagen</v>
      </c>
      <c r="P2711" t="str">
        <f>HYPERLINK("SE\A-497_2C\A-497_2C__586.png", "Ver Imagen")</f>
        <v>Ver Imagen</v>
      </c>
    </row>
    <row r="2712" spans="1:16" x14ac:dyDescent="0.25">
      <c r="A2712">
        <v>2193</v>
      </c>
      <c r="B2712" t="s">
        <v>4399</v>
      </c>
      <c r="C2712">
        <v>37.203107306699998</v>
      </c>
      <c r="D2712">
        <v>-7.0051307236299998</v>
      </c>
      <c r="E2712">
        <v>3</v>
      </c>
      <c r="F2712">
        <v>3</v>
      </c>
      <c r="G2712">
        <v>3</v>
      </c>
      <c r="J2712" t="s">
        <v>15</v>
      </c>
      <c r="K2712">
        <v>3</v>
      </c>
      <c r="L2712">
        <v>3.1920000000000002</v>
      </c>
      <c r="M2712">
        <v>0</v>
      </c>
      <c r="N2712" t="s">
        <v>10017</v>
      </c>
      <c r="O2712" t="str">
        <f>HYPERLINK("3\0\marker_891_366639.png", "Ver Imagen")</f>
        <v>Ver Imagen</v>
      </c>
      <c r="P2712" t="str">
        <f>HYPERLINK("SE\A-497_2C\A-497_2C__587.png", "Ver Imagen")</f>
        <v>Ver Imagen</v>
      </c>
    </row>
    <row r="2713" spans="1:16" x14ac:dyDescent="0.25">
      <c r="A2713">
        <v>2194</v>
      </c>
      <c r="B2713" t="s">
        <v>4401</v>
      </c>
      <c r="C2713">
        <v>37.203043777200001</v>
      </c>
      <c r="D2713">
        <v>-7.0046265490100001</v>
      </c>
      <c r="E2713">
        <v>3</v>
      </c>
      <c r="F2713">
        <v>3</v>
      </c>
      <c r="G2713">
        <v>3</v>
      </c>
      <c r="J2713" t="s">
        <v>15</v>
      </c>
      <c r="K2713">
        <v>3</v>
      </c>
      <c r="L2713">
        <v>2.754</v>
      </c>
      <c r="M2713">
        <v>0</v>
      </c>
      <c r="N2713" t="s">
        <v>10017</v>
      </c>
      <c r="O2713" t="str">
        <f>HYPERLINK("3\0\marker_450_366662.png", "Ver Imagen")</f>
        <v>Ver Imagen</v>
      </c>
      <c r="P2713" t="str">
        <f>HYPERLINK("SE\A-497_2C\A-497_2C__589.png", "Ver Imagen")</f>
        <v>Ver Imagen</v>
      </c>
    </row>
    <row r="2714" spans="1:16" x14ac:dyDescent="0.25">
      <c r="A2714">
        <v>2195</v>
      </c>
      <c r="B2714" t="s">
        <v>4403</v>
      </c>
      <c r="C2714">
        <v>37.203009809999998</v>
      </c>
      <c r="D2714">
        <v>-7.0043459166700002</v>
      </c>
      <c r="E2714">
        <v>3</v>
      </c>
      <c r="F2714">
        <v>3</v>
      </c>
      <c r="G2714">
        <v>3</v>
      </c>
      <c r="J2714" t="s">
        <v>15</v>
      </c>
      <c r="K2714">
        <v>3</v>
      </c>
      <c r="L2714">
        <v>2.7160000000000002</v>
      </c>
      <c r="M2714">
        <v>0</v>
      </c>
      <c r="N2714" t="s">
        <v>10019</v>
      </c>
      <c r="O2714" t="str">
        <f>HYPERLINK("3\0\marker_283_366671.png", "Ver Imagen")</f>
        <v>Ver Imagen</v>
      </c>
      <c r="P2714" t="str">
        <f>HYPERLINK("SE\A-497_2C\A-497_2C__590.png", "Ver Imagen")</f>
        <v>Ver Imagen</v>
      </c>
    </row>
    <row r="2715" spans="1:16" x14ac:dyDescent="0.25">
      <c r="A2715">
        <v>2196</v>
      </c>
      <c r="B2715" t="s">
        <v>4405</v>
      </c>
      <c r="C2715">
        <v>37.2029290949</v>
      </c>
      <c r="D2715">
        <v>-7.0036279322099997</v>
      </c>
      <c r="E2715">
        <v>3</v>
      </c>
      <c r="F2715">
        <v>3</v>
      </c>
      <c r="G2715">
        <v>3</v>
      </c>
      <c r="J2715" t="s">
        <v>15</v>
      </c>
      <c r="K2715">
        <v>3</v>
      </c>
      <c r="L2715">
        <v>3.2909999999999999</v>
      </c>
      <c r="M2715">
        <v>0</v>
      </c>
      <c r="N2715" t="s">
        <v>10017</v>
      </c>
      <c r="O2715" t="str">
        <f>HYPERLINK("3\0\marker_782_366699.png", "Ver Imagen")</f>
        <v>Ver Imagen</v>
      </c>
      <c r="P2715" t="str">
        <f>HYPERLINK("SE\A-497_2C\A-497_2C__593.png", "Ver Imagen")</f>
        <v>Ver Imagen</v>
      </c>
    </row>
    <row r="2716" spans="1:16" x14ac:dyDescent="0.25">
      <c r="A2716">
        <v>2197</v>
      </c>
      <c r="B2716" t="s">
        <v>4407</v>
      </c>
      <c r="C2716">
        <v>37.202900967799998</v>
      </c>
      <c r="D2716">
        <v>-7.0033696822599998</v>
      </c>
      <c r="E2716">
        <v>3</v>
      </c>
      <c r="F2716">
        <v>3</v>
      </c>
      <c r="G2716">
        <v>3</v>
      </c>
      <c r="J2716" t="s">
        <v>15</v>
      </c>
      <c r="K2716">
        <v>3</v>
      </c>
      <c r="L2716">
        <v>3.3279999999999998</v>
      </c>
      <c r="M2716">
        <v>0</v>
      </c>
      <c r="N2716" t="s">
        <v>10019</v>
      </c>
      <c r="O2716" t="str">
        <f>HYPERLINK("3\0\marker_721_366707.png", "Ver Imagen")</f>
        <v>Ver Imagen</v>
      </c>
      <c r="P2716" t="str">
        <f>HYPERLINK("SE\A-497_2C\A-497_2C__594.png", "Ver Imagen")</f>
        <v>Ver Imagen</v>
      </c>
    </row>
    <row r="2717" spans="1:16" x14ac:dyDescent="0.25">
      <c r="A2717">
        <v>2198</v>
      </c>
      <c r="B2717" t="s">
        <v>4409</v>
      </c>
      <c r="C2717">
        <v>37.202840706899998</v>
      </c>
      <c r="D2717">
        <v>-7.0028206389000003</v>
      </c>
      <c r="E2717">
        <v>3</v>
      </c>
      <c r="F2717">
        <v>3</v>
      </c>
      <c r="G2717">
        <v>3</v>
      </c>
      <c r="J2717" t="s">
        <v>15</v>
      </c>
      <c r="K2717">
        <v>3</v>
      </c>
      <c r="L2717">
        <v>3.2509999999999999</v>
      </c>
      <c r="M2717">
        <v>0</v>
      </c>
      <c r="N2717" t="s">
        <v>10019</v>
      </c>
      <c r="O2717" t="str">
        <f>HYPERLINK("3\0\marker_665_366726.png", "Ver Imagen")</f>
        <v>Ver Imagen</v>
      </c>
      <c r="P2717" t="str">
        <f>HYPERLINK("SE\A-497_2C\A-497_2C__596.png", "Ver Imagen")</f>
        <v>Ver Imagen</v>
      </c>
    </row>
    <row r="2718" spans="1:16" x14ac:dyDescent="0.25">
      <c r="A2718">
        <v>2199</v>
      </c>
      <c r="B2718" t="s">
        <v>4411</v>
      </c>
      <c r="C2718">
        <v>37.202790724899998</v>
      </c>
      <c r="D2718">
        <v>-7.0023770780100003</v>
      </c>
      <c r="E2718">
        <v>3</v>
      </c>
      <c r="F2718">
        <v>3</v>
      </c>
      <c r="G2718">
        <v>3</v>
      </c>
      <c r="J2718" t="s">
        <v>15</v>
      </c>
      <c r="K2718">
        <v>3</v>
      </c>
      <c r="L2718">
        <v>3.1850000000000001</v>
      </c>
      <c r="M2718">
        <v>0</v>
      </c>
      <c r="N2718" t="s">
        <v>10019</v>
      </c>
      <c r="O2718" t="str">
        <f>HYPERLINK("3\0\marker_860_366742.png", "Ver Imagen")</f>
        <v>Ver Imagen</v>
      </c>
      <c r="P2718" t="str">
        <f>HYPERLINK("SE\A-497_2C\A-497_2C__598.png", "Ver Imagen")</f>
        <v>Ver Imagen</v>
      </c>
    </row>
    <row r="2719" spans="1:16" x14ac:dyDescent="0.25">
      <c r="A2719">
        <v>2200</v>
      </c>
      <c r="B2719" t="s">
        <v>4413</v>
      </c>
      <c r="C2719">
        <v>37.202765262200003</v>
      </c>
      <c r="D2719">
        <v>-7.0021528046599997</v>
      </c>
      <c r="E2719">
        <v>3</v>
      </c>
      <c r="F2719">
        <v>3</v>
      </c>
      <c r="G2719">
        <v>3</v>
      </c>
      <c r="J2719" t="s">
        <v>15</v>
      </c>
      <c r="K2719">
        <v>3</v>
      </c>
      <c r="L2719">
        <v>2.9740000000000002</v>
      </c>
      <c r="M2719">
        <v>0</v>
      </c>
      <c r="N2719" t="s">
        <v>10019</v>
      </c>
      <c r="O2719" t="str">
        <f>HYPERLINK("3\0\marker_124_366754.png", "Ver Imagen")</f>
        <v>Ver Imagen</v>
      </c>
      <c r="P2719" t="str">
        <f>HYPERLINK("SE\A-497_2C\A-497_2C__599.png", "Ver Imagen")</f>
        <v>Ver Imagen</v>
      </c>
    </row>
    <row r="2720" spans="1:16" x14ac:dyDescent="0.25">
      <c r="A2720">
        <v>2201</v>
      </c>
      <c r="B2720" t="s">
        <v>4415</v>
      </c>
      <c r="C2720">
        <v>37.202641000600003</v>
      </c>
      <c r="D2720">
        <v>-7.0010713634500004</v>
      </c>
      <c r="E2720">
        <v>3</v>
      </c>
      <c r="F2720">
        <v>3</v>
      </c>
      <c r="G2720">
        <v>3</v>
      </c>
      <c r="J2720" t="s">
        <v>15</v>
      </c>
      <c r="K2720">
        <v>3</v>
      </c>
      <c r="L2720">
        <v>3.149</v>
      </c>
      <c r="M2720">
        <v>0</v>
      </c>
      <c r="N2720" t="s">
        <v>10019</v>
      </c>
      <c r="O2720" t="str">
        <f>HYPERLINK("3\0\marker_226_366794.png", "Ver Imagen")</f>
        <v>Ver Imagen</v>
      </c>
      <c r="P2720" t="str">
        <f>HYPERLINK("SE\A-497_2C\A-497_2C__603.png", "Ver Imagen")</f>
        <v>Ver Imagen</v>
      </c>
    </row>
    <row r="2721" spans="1:16" x14ac:dyDescent="0.25">
      <c r="A2721">
        <v>2202</v>
      </c>
      <c r="B2721" t="s">
        <v>4417</v>
      </c>
      <c r="C2721">
        <v>37.202612151499999</v>
      </c>
      <c r="D2721">
        <v>-7.0008369748100003</v>
      </c>
      <c r="E2721">
        <v>3</v>
      </c>
      <c r="F2721">
        <v>3</v>
      </c>
      <c r="G2721">
        <v>3</v>
      </c>
      <c r="J2721" t="s">
        <v>15</v>
      </c>
      <c r="K2721">
        <v>3</v>
      </c>
      <c r="L2721">
        <v>3.1030000000000002</v>
      </c>
      <c r="M2721">
        <v>0</v>
      </c>
      <c r="N2721" t="s">
        <v>10017</v>
      </c>
      <c r="O2721" t="str">
        <f>HYPERLINK("3\0\marker_305_366802.png", "Ver Imagen")</f>
        <v>Ver Imagen</v>
      </c>
      <c r="P2721" t="str">
        <f>HYPERLINK("SE\A-497_2C\A-497_2C__604.png", "Ver Imagen")</f>
        <v>Ver Imagen</v>
      </c>
    </row>
    <row r="2722" spans="1:16" x14ac:dyDescent="0.25">
      <c r="A2722">
        <v>2203</v>
      </c>
      <c r="B2722" t="s">
        <v>4419</v>
      </c>
      <c r="C2722">
        <v>37.202582056600001</v>
      </c>
      <c r="D2722">
        <v>-7.0005987322400003</v>
      </c>
      <c r="E2722">
        <v>3</v>
      </c>
      <c r="F2722">
        <v>3</v>
      </c>
      <c r="G2722">
        <v>3</v>
      </c>
      <c r="J2722" t="s">
        <v>15</v>
      </c>
      <c r="K2722">
        <v>3</v>
      </c>
      <c r="L2722">
        <v>3.2120000000000002</v>
      </c>
      <c r="M2722">
        <v>0</v>
      </c>
      <c r="N2722" t="s">
        <v>10019</v>
      </c>
      <c r="O2722" t="str">
        <f>HYPERLINK("3\0\marker_118_366811.png", "Ver Imagen")</f>
        <v>Ver Imagen</v>
      </c>
      <c r="P2722" t="str">
        <f>HYPERLINK("SE\A-497_2C\A-497_2C__605.png", "Ver Imagen")</f>
        <v>Ver Imagen</v>
      </c>
    </row>
    <row r="2723" spans="1:16" x14ac:dyDescent="0.25">
      <c r="A2723">
        <v>2204</v>
      </c>
      <c r="B2723" t="s">
        <v>4421</v>
      </c>
      <c r="C2723">
        <v>37.202513973000002</v>
      </c>
      <c r="D2723">
        <v>-7.0000701941700001</v>
      </c>
      <c r="E2723">
        <v>3</v>
      </c>
      <c r="F2723">
        <v>3</v>
      </c>
      <c r="G2723">
        <v>3</v>
      </c>
      <c r="J2723" t="s">
        <v>15</v>
      </c>
      <c r="K2723">
        <v>3</v>
      </c>
      <c r="L2723">
        <v>3.222</v>
      </c>
      <c r="M2723">
        <v>0</v>
      </c>
      <c r="N2723" t="s">
        <v>10019</v>
      </c>
      <c r="O2723" t="str">
        <f>HYPERLINK("3\0\marker_754_366843.png", "Ver Imagen")</f>
        <v>Ver Imagen</v>
      </c>
      <c r="P2723" t="str">
        <f>HYPERLINK("SE\A-497_2C\A-497_2C__607.png", "Ver Imagen")</f>
        <v>Ver Imagen</v>
      </c>
    </row>
    <row r="2724" spans="1:16" x14ac:dyDescent="0.25">
      <c r="A2724">
        <v>2205</v>
      </c>
      <c r="B2724" t="s">
        <v>4423</v>
      </c>
      <c r="C2724">
        <v>37.202414984800001</v>
      </c>
      <c r="D2724">
        <v>-6.9992984630799997</v>
      </c>
      <c r="E2724">
        <v>3</v>
      </c>
      <c r="F2724">
        <v>3</v>
      </c>
      <c r="G2724">
        <v>3</v>
      </c>
      <c r="J2724" t="s">
        <v>15</v>
      </c>
      <c r="K2724">
        <v>3</v>
      </c>
      <c r="L2724">
        <v>3.2280000000000002</v>
      </c>
      <c r="M2724">
        <v>0</v>
      </c>
      <c r="N2724" t="s">
        <v>10019</v>
      </c>
      <c r="O2724" t="str">
        <f>HYPERLINK("3\0\marker_533_366871.png", "Ver Imagen")</f>
        <v>Ver Imagen</v>
      </c>
      <c r="P2724" t="str">
        <f>HYPERLINK("SE\A-497_2C\A-497_2C__610.png", "Ver Imagen")</f>
        <v>Ver Imagen</v>
      </c>
    </row>
    <row r="2725" spans="1:16" x14ac:dyDescent="0.25">
      <c r="A2725">
        <v>2206</v>
      </c>
      <c r="B2725" t="s">
        <v>4425</v>
      </c>
      <c r="C2725">
        <v>37.202382825800001</v>
      </c>
      <c r="D2725">
        <v>-6.9990519814700001</v>
      </c>
      <c r="E2725">
        <v>3</v>
      </c>
      <c r="F2725">
        <v>3</v>
      </c>
      <c r="G2725">
        <v>3</v>
      </c>
      <c r="J2725" t="s">
        <v>15</v>
      </c>
      <c r="K2725">
        <v>3</v>
      </c>
      <c r="L2725">
        <v>3.2010000000000001</v>
      </c>
      <c r="M2725">
        <v>0</v>
      </c>
      <c r="N2725" t="s">
        <v>10019</v>
      </c>
      <c r="O2725" t="str">
        <f>HYPERLINK("3\0\marker_872_366881.png", "Ver Imagen")</f>
        <v>Ver Imagen</v>
      </c>
      <c r="P2725" t="str">
        <f>HYPERLINK("SE\A-497_2C\A-497_2C__611.png", "Ver Imagen")</f>
        <v>Ver Imagen</v>
      </c>
    </row>
    <row r="2726" spans="1:16" x14ac:dyDescent="0.25">
      <c r="A2726">
        <v>2207</v>
      </c>
      <c r="B2726" t="s">
        <v>4427</v>
      </c>
      <c r="C2726">
        <v>37.2023507854</v>
      </c>
      <c r="D2726">
        <v>-6.9988198536399997</v>
      </c>
      <c r="E2726">
        <v>3</v>
      </c>
      <c r="F2726">
        <v>3</v>
      </c>
      <c r="G2726">
        <v>3</v>
      </c>
      <c r="J2726" t="s">
        <v>15</v>
      </c>
      <c r="K2726">
        <v>3</v>
      </c>
      <c r="L2726">
        <v>2.9790000000000001</v>
      </c>
      <c r="M2726">
        <v>0</v>
      </c>
      <c r="N2726" t="s">
        <v>10019</v>
      </c>
      <c r="O2726" t="str">
        <f>HYPERLINK("3\0\marker_713_366890.png", "Ver Imagen")</f>
        <v>Ver Imagen</v>
      </c>
      <c r="P2726" t="str">
        <f>HYPERLINK("SE\A-497_2C\A-497_2C__612.png", "Ver Imagen")</f>
        <v>Ver Imagen</v>
      </c>
    </row>
    <row r="2727" spans="1:16" x14ac:dyDescent="0.25">
      <c r="A2727">
        <v>2208</v>
      </c>
      <c r="B2727" t="s">
        <v>4429</v>
      </c>
      <c r="C2727">
        <v>37.202310310500003</v>
      </c>
      <c r="D2727">
        <v>-6.9985379028399999</v>
      </c>
      <c r="E2727">
        <v>3</v>
      </c>
      <c r="F2727">
        <v>3</v>
      </c>
      <c r="G2727">
        <v>3</v>
      </c>
      <c r="J2727" t="s">
        <v>15</v>
      </c>
      <c r="K2727">
        <v>3</v>
      </c>
      <c r="L2727">
        <v>3.13</v>
      </c>
      <c r="M2727">
        <v>0</v>
      </c>
      <c r="N2727" t="s">
        <v>10019</v>
      </c>
      <c r="O2727" t="str">
        <f>HYPERLINK("3\0\marker_365_366901.png", "Ver Imagen")</f>
        <v>Ver Imagen</v>
      </c>
      <c r="P2727" t="str">
        <f>HYPERLINK("SE\A-497_2C\A-497_2C__613.png", "Ver Imagen")</f>
        <v>Ver Imagen</v>
      </c>
    </row>
    <row r="2728" spans="1:16" x14ac:dyDescent="0.25">
      <c r="A2728">
        <v>2209</v>
      </c>
      <c r="B2728" t="s">
        <v>4431</v>
      </c>
      <c r="C2728">
        <v>37.202277423600002</v>
      </c>
      <c r="D2728">
        <v>-6.9983122598199996</v>
      </c>
      <c r="E2728">
        <v>3</v>
      </c>
      <c r="F2728">
        <v>3</v>
      </c>
      <c r="G2728">
        <v>3</v>
      </c>
      <c r="J2728" t="s">
        <v>15</v>
      </c>
      <c r="K2728">
        <v>3</v>
      </c>
      <c r="L2728">
        <v>3.0129999999999999</v>
      </c>
      <c r="M2728">
        <v>0</v>
      </c>
      <c r="N2728" t="s">
        <v>10019</v>
      </c>
      <c r="O2728" t="str">
        <f>HYPERLINK("3\0\marker_937_366909.png", "Ver Imagen")</f>
        <v>Ver Imagen</v>
      </c>
      <c r="P2728" t="str">
        <f>HYPERLINK("SE\A-497_2C\A-497_2C__614.png", "Ver Imagen")</f>
        <v>Ver Imagen</v>
      </c>
    </row>
    <row r="2729" spans="1:16" x14ac:dyDescent="0.25">
      <c r="A2729">
        <v>2210</v>
      </c>
      <c r="B2729" t="s">
        <v>4433</v>
      </c>
      <c r="C2729">
        <v>37.202206518200001</v>
      </c>
      <c r="D2729">
        <v>-6.9978272802900001</v>
      </c>
      <c r="E2729">
        <v>3</v>
      </c>
      <c r="F2729">
        <v>3</v>
      </c>
      <c r="G2729">
        <v>3</v>
      </c>
      <c r="J2729" t="s">
        <v>15</v>
      </c>
      <c r="K2729">
        <v>3</v>
      </c>
      <c r="L2729">
        <v>3.0720000000000001</v>
      </c>
      <c r="M2729">
        <v>0</v>
      </c>
      <c r="N2729" t="s">
        <v>10018</v>
      </c>
      <c r="O2729" t="str">
        <f>HYPERLINK("3\0\marker_722_366928.png", "Ver Imagen")</f>
        <v>Ver Imagen</v>
      </c>
      <c r="P2729" t="str">
        <f>HYPERLINK("SE\A-497_2C\A-497_2C__616.png", "Ver Imagen")</f>
        <v>Ver Imagen</v>
      </c>
    </row>
    <row r="2730" spans="1:16" x14ac:dyDescent="0.25">
      <c r="A2730">
        <v>2211</v>
      </c>
      <c r="B2730" t="s">
        <v>4435</v>
      </c>
      <c r="C2730">
        <v>37.202133552500001</v>
      </c>
      <c r="D2730">
        <v>-6.9973306106699997</v>
      </c>
      <c r="E2730">
        <v>3</v>
      </c>
      <c r="F2730">
        <v>3</v>
      </c>
      <c r="G2730">
        <v>3</v>
      </c>
      <c r="J2730" t="s">
        <v>15</v>
      </c>
      <c r="K2730">
        <v>3</v>
      </c>
      <c r="L2730">
        <v>3.137</v>
      </c>
      <c r="M2730">
        <v>0</v>
      </c>
      <c r="N2730" t="s">
        <v>10019</v>
      </c>
      <c r="O2730" t="str">
        <f>HYPERLINK("3\0\marker_285_366962.png", "Ver Imagen")</f>
        <v>Ver Imagen</v>
      </c>
      <c r="P2730" t="str">
        <f>HYPERLINK("SE\A-497_2C\A-497_2C__618.png", "Ver Imagen")</f>
        <v>Ver Imagen</v>
      </c>
    </row>
    <row r="2731" spans="1:16" x14ac:dyDescent="0.25">
      <c r="A2731">
        <v>2212</v>
      </c>
      <c r="B2731" t="s">
        <v>4437</v>
      </c>
      <c r="C2731">
        <v>37.202093076799997</v>
      </c>
      <c r="D2731">
        <v>-6.9970584063199999</v>
      </c>
      <c r="E2731">
        <v>3</v>
      </c>
      <c r="F2731">
        <v>3</v>
      </c>
      <c r="G2731">
        <v>3</v>
      </c>
      <c r="J2731" t="s">
        <v>15</v>
      </c>
      <c r="K2731">
        <v>3</v>
      </c>
      <c r="L2731">
        <v>2.706</v>
      </c>
      <c r="M2731">
        <v>0</v>
      </c>
      <c r="N2731" t="s">
        <v>10019</v>
      </c>
      <c r="O2731" t="str">
        <f>HYPERLINK("3\0\marker_911_366970.png", "Ver Imagen")</f>
        <v>Ver Imagen</v>
      </c>
      <c r="P2731" t="str">
        <f>HYPERLINK("SE\A-497_2C\A-497_2C__619.png", "Ver Imagen")</f>
        <v>Ver Imagen</v>
      </c>
    </row>
    <row r="2732" spans="1:16" x14ac:dyDescent="0.25">
      <c r="A2732">
        <v>2213</v>
      </c>
      <c r="B2732" t="s">
        <v>4439</v>
      </c>
      <c r="C2732">
        <v>37.202018187699998</v>
      </c>
      <c r="D2732">
        <v>-6.9965670268400002</v>
      </c>
      <c r="E2732">
        <v>3</v>
      </c>
      <c r="F2732">
        <v>3</v>
      </c>
      <c r="G2732">
        <v>3</v>
      </c>
      <c r="J2732" t="s">
        <v>15</v>
      </c>
      <c r="K2732">
        <v>3</v>
      </c>
      <c r="L2732">
        <v>3.1389999999999998</v>
      </c>
      <c r="M2732">
        <v>0</v>
      </c>
      <c r="N2732" t="s">
        <v>10019</v>
      </c>
      <c r="O2732" t="str">
        <f>HYPERLINK("3\0\marker_223_366995.png", "Ver Imagen")</f>
        <v>Ver Imagen</v>
      </c>
      <c r="P2732" t="str">
        <f>HYPERLINK("SE\A-497_2C\A-497_2C__621.png", "Ver Imagen")</f>
        <v>Ver Imagen</v>
      </c>
    </row>
    <row r="2733" spans="1:16" x14ac:dyDescent="0.25">
      <c r="A2733">
        <v>2214</v>
      </c>
      <c r="B2733" t="s">
        <v>4441</v>
      </c>
      <c r="C2733">
        <v>37.201979744299997</v>
      </c>
      <c r="D2733">
        <v>-6.9963245273999997</v>
      </c>
      <c r="E2733">
        <v>3</v>
      </c>
      <c r="F2733">
        <v>3</v>
      </c>
      <c r="G2733">
        <v>3</v>
      </c>
      <c r="J2733" t="s">
        <v>15</v>
      </c>
      <c r="K2733">
        <v>3</v>
      </c>
      <c r="L2733">
        <v>3.153</v>
      </c>
      <c r="M2733">
        <v>0</v>
      </c>
      <c r="N2733" t="s">
        <v>10018</v>
      </c>
      <c r="O2733" t="str">
        <f>HYPERLINK("3\0\marker_958_367004.png", "Ver Imagen")</f>
        <v>Ver Imagen</v>
      </c>
      <c r="P2733" t="str">
        <f>HYPERLINK("SE\A-497_2C\A-497_2C__622.png", "Ver Imagen")</f>
        <v>Ver Imagen</v>
      </c>
    </row>
    <row r="2734" spans="1:16" x14ac:dyDescent="0.25">
      <c r="A2734">
        <v>2215</v>
      </c>
      <c r="B2734" t="s">
        <v>4443</v>
      </c>
      <c r="C2734">
        <v>37.229533546500001</v>
      </c>
      <c r="D2734">
        <v>-7.0206130376600004</v>
      </c>
      <c r="E2734">
        <v>3</v>
      </c>
      <c r="F2734">
        <v>3</v>
      </c>
      <c r="G2734">
        <v>3</v>
      </c>
      <c r="J2734" t="s">
        <v>15</v>
      </c>
      <c r="K2734">
        <v>3</v>
      </c>
      <c r="L2734">
        <v>3.1459999999999999</v>
      </c>
      <c r="M2734">
        <v>0</v>
      </c>
      <c r="N2734" t="s">
        <v>10019</v>
      </c>
      <c r="O2734" t="str">
        <f>HYPERLINK("3\0\marker_987_377135.png", "Ver Imagen")</f>
        <v>Ver Imagen</v>
      </c>
      <c r="P2734" t="str">
        <f>HYPERLINK("SE\A-497\A-497__406.png", "Ver Imagen")</f>
        <v>Ver Imagen</v>
      </c>
    </row>
    <row r="2735" spans="1:16" x14ac:dyDescent="0.25">
      <c r="A2735">
        <v>2216</v>
      </c>
      <c r="B2735" t="s">
        <v>4445</v>
      </c>
      <c r="C2735">
        <v>37.231426945800003</v>
      </c>
      <c r="D2735">
        <v>-7.0191631107700001</v>
      </c>
      <c r="E2735">
        <v>3</v>
      </c>
      <c r="F2735">
        <v>3</v>
      </c>
      <c r="G2735">
        <v>3</v>
      </c>
      <c r="J2735" t="s">
        <v>15</v>
      </c>
      <c r="K2735">
        <v>3</v>
      </c>
      <c r="L2735">
        <v>3.0379999999999998</v>
      </c>
      <c r="M2735">
        <v>0</v>
      </c>
      <c r="N2735" t="s">
        <v>10019</v>
      </c>
      <c r="O2735" t="str">
        <f>HYPERLINK("3\0\marker_912_377237.png", "Ver Imagen")</f>
        <v>Ver Imagen</v>
      </c>
      <c r="P2735" t="str">
        <f>HYPERLINK("SE\A-497\A-497__395.png", "Ver Imagen")</f>
        <v>Ver Imagen</v>
      </c>
    </row>
    <row r="2736" spans="1:16" x14ac:dyDescent="0.25">
      <c r="A2736">
        <v>2217</v>
      </c>
      <c r="B2736" t="s">
        <v>4447</v>
      </c>
      <c r="C2736">
        <v>37.231990244899997</v>
      </c>
      <c r="D2736">
        <v>-7.0187449967999997</v>
      </c>
      <c r="E2736">
        <v>3</v>
      </c>
      <c r="F2736">
        <v>3</v>
      </c>
      <c r="G2736">
        <v>3</v>
      </c>
      <c r="J2736" t="s">
        <v>15</v>
      </c>
      <c r="K2736">
        <v>3</v>
      </c>
      <c r="L2736">
        <v>3.1320000000000001</v>
      </c>
      <c r="M2736">
        <v>0</v>
      </c>
      <c r="N2736" t="s">
        <v>10019</v>
      </c>
      <c r="O2736" t="str">
        <f>HYPERLINK("3\0\marker_459_377265.png", "Ver Imagen")</f>
        <v>Ver Imagen</v>
      </c>
      <c r="P2736" t="str">
        <f>HYPERLINK("SE\A-497\A-497__392.png", "Ver Imagen")</f>
        <v>Ver Imagen</v>
      </c>
    </row>
    <row r="2737" spans="1:16" x14ac:dyDescent="0.25">
      <c r="A2737">
        <v>2219</v>
      </c>
      <c r="B2737" t="s">
        <v>4451</v>
      </c>
      <c r="C2737">
        <v>37.233096107999998</v>
      </c>
      <c r="D2737">
        <v>-7.0181610118200002</v>
      </c>
      <c r="E2737">
        <v>3</v>
      </c>
      <c r="F2737">
        <v>3</v>
      </c>
      <c r="G2737">
        <v>3</v>
      </c>
      <c r="J2737" t="s">
        <v>15</v>
      </c>
      <c r="K2737">
        <v>3</v>
      </c>
      <c r="L2737">
        <v>3.29</v>
      </c>
      <c r="M2737">
        <v>0</v>
      </c>
      <c r="N2737" t="s">
        <v>10019</v>
      </c>
      <c r="O2737" t="str">
        <f>HYPERLINK("3\0\marker_339_377318.png", "Ver Imagen")</f>
        <v>Ver Imagen</v>
      </c>
      <c r="P2737" t="str">
        <f>HYPERLINK("SE\A-497\A-497__386.png", "Ver Imagen")</f>
        <v>Ver Imagen</v>
      </c>
    </row>
    <row r="2738" spans="1:16" x14ac:dyDescent="0.25">
      <c r="A2738">
        <v>2220</v>
      </c>
      <c r="B2738" t="s">
        <v>4453</v>
      </c>
      <c r="C2738">
        <v>37.237712741099998</v>
      </c>
      <c r="D2738">
        <v>-7.0185717420399998</v>
      </c>
      <c r="E2738">
        <v>3</v>
      </c>
      <c r="F2738">
        <v>3</v>
      </c>
      <c r="G2738">
        <v>3</v>
      </c>
      <c r="J2738" t="s">
        <v>15</v>
      </c>
      <c r="K2738">
        <v>3</v>
      </c>
      <c r="L2738">
        <v>2.8290000000000002</v>
      </c>
      <c r="M2738">
        <v>0</v>
      </c>
      <c r="N2738" t="s">
        <v>10019</v>
      </c>
      <c r="O2738" t="str">
        <f>HYPERLINK("3\0\marker_758_377522.png", "Ver Imagen")</f>
        <v>Ver Imagen</v>
      </c>
      <c r="P2738" t="str">
        <f>HYPERLINK("SE\A-497\A-497__363.png", "Ver Imagen")</f>
        <v>Ver Imagen</v>
      </c>
    </row>
    <row r="2739" spans="1:16" x14ac:dyDescent="0.25">
      <c r="A2739">
        <v>2221</v>
      </c>
      <c r="B2739" t="s">
        <v>4455</v>
      </c>
      <c r="C2739">
        <v>37.242746630699997</v>
      </c>
      <c r="D2739">
        <v>-7.0183809439999996</v>
      </c>
      <c r="E2739">
        <v>3</v>
      </c>
      <c r="F2739">
        <v>3</v>
      </c>
      <c r="G2739">
        <v>3</v>
      </c>
      <c r="J2739" t="s">
        <v>15</v>
      </c>
      <c r="K2739">
        <v>3</v>
      </c>
      <c r="L2739">
        <v>3.45</v>
      </c>
      <c r="M2739">
        <v>0</v>
      </c>
      <c r="N2739" t="s">
        <v>10019</v>
      </c>
      <c r="O2739" t="str">
        <f>HYPERLINK("3\0\marker_723_377790.png", "Ver Imagen")</f>
        <v>Ver Imagen</v>
      </c>
      <c r="P2739" t="str">
        <f>HYPERLINK("SE\A-497\A-497__338.png", "Ver Imagen")</f>
        <v>Ver Imagen</v>
      </c>
    </row>
    <row r="2740" spans="1:16" x14ac:dyDescent="0.25">
      <c r="A2740">
        <v>2222</v>
      </c>
      <c r="B2740" t="s">
        <v>4457</v>
      </c>
      <c r="C2740">
        <v>37.2436100563</v>
      </c>
      <c r="D2740">
        <v>-7.0183439055400001</v>
      </c>
      <c r="E2740">
        <v>3</v>
      </c>
      <c r="F2740">
        <v>3</v>
      </c>
      <c r="G2740">
        <v>3</v>
      </c>
      <c r="J2740" t="s">
        <v>15</v>
      </c>
      <c r="K2740">
        <v>3</v>
      </c>
      <c r="L2740">
        <v>2.859</v>
      </c>
      <c r="M2740">
        <v>0</v>
      </c>
      <c r="N2740" t="s">
        <v>10019</v>
      </c>
      <c r="O2740" t="str">
        <f>HYPERLINK("3\0\marker_331_377835.png", "Ver Imagen")</f>
        <v>Ver Imagen</v>
      </c>
      <c r="P2740" t="str">
        <f>HYPERLINK("SE\A-497\A-497__334.png", "Ver Imagen")</f>
        <v>Ver Imagen</v>
      </c>
    </row>
    <row r="2741" spans="1:16" x14ac:dyDescent="0.25">
      <c r="A2741">
        <v>2223</v>
      </c>
      <c r="B2741" t="s">
        <v>4459</v>
      </c>
      <c r="C2741">
        <v>37.2458013189</v>
      </c>
      <c r="D2741">
        <v>-7.0182664751799999</v>
      </c>
      <c r="E2741">
        <v>3</v>
      </c>
      <c r="F2741">
        <v>3</v>
      </c>
      <c r="G2741">
        <v>3</v>
      </c>
      <c r="J2741" t="s">
        <v>15</v>
      </c>
      <c r="K2741">
        <v>3</v>
      </c>
      <c r="L2741">
        <v>2.9780000000000002</v>
      </c>
      <c r="M2741">
        <v>0</v>
      </c>
      <c r="N2741" t="s">
        <v>10019</v>
      </c>
      <c r="O2741" t="str">
        <f>HYPERLINK("3\0\marker_211_377934.png", "Ver Imagen")</f>
        <v>Ver Imagen</v>
      </c>
      <c r="P2741" t="str">
        <f>HYPERLINK("SE\A-497\A-497__323.png", "Ver Imagen")</f>
        <v>Ver Imagen</v>
      </c>
    </row>
    <row r="2742" spans="1:16" x14ac:dyDescent="0.25">
      <c r="A2742">
        <v>2224</v>
      </c>
      <c r="B2742" t="s">
        <v>4461</v>
      </c>
      <c r="C2742">
        <v>37.246417161499998</v>
      </c>
      <c r="D2742">
        <v>-7.0182472743500002</v>
      </c>
      <c r="E2742">
        <v>3</v>
      </c>
      <c r="F2742">
        <v>3</v>
      </c>
      <c r="G2742">
        <v>3</v>
      </c>
      <c r="J2742" t="s">
        <v>15</v>
      </c>
      <c r="K2742">
        <v>3</v>
      </c>
      <c r="L2742">
        <v>3</v>
      </c>
      <c r="M2742">
        <v>0</v>
      </c>
      <c r="N2742" t="s">
        <v>10019</v>
      </c>
      <c r="O2742" t="str">
        <f>HYPERLINK("3\0\marker_982_377963.png", "Ver Imagen")</f>
        <v>Ver Imagen</v>
      </c>
      <c r="P2742" t="str">
        <f>HYPERLINK("SE\A-497\A-497__320.png", "Ver Imagen")</f>
        <v>Ver Imagen</v>
      </c>
    </row>
    <row r="2743" spans="1:16" x14ac:dyDescent="0.25">
      <c r="A2743">
        <v>2225</v>
      </c>
      <c r="B2743" t="s">
        <v>4463</v>
      </c>
      <c r="C2743">
        <v>37.246803570499999</v>
      </c>
      <c r="D2743">
        <v>-7.0182331861199998</v>
      </c>
      <c r="E2743">
        <v>3</v>
      </c>
      <c r="F2743">
        <v>3</v>
      </c>
      <c r="G2743">
        <v>3</v>
      </c>
      <c r="J2743" t="s">
        <v>15</v>
      </c>
      <c r="K2743">
        <v>3</v>
      </c>
      <c r="L2743">
        <v>2.6840000000000002</v>
      </c>
      <c r="M2743">
        <v>0</v>
      </c>
      <c r="N2743" t="s">
        <v>10019</v>
      </c>
      <c r="O2743" t="str">
        <f>HYPERLINK("3\0\marker_874_377988.png", "Ver Imagen")</f>
        <v>Ver Imagen</v>
      </c>
      <c r="P2743" t="str">
        <f>HYPERLINK("SE\A-497\A-497__318.png", "Ver Imagen")</f>
        <v>Ver Imagen</v>
      </c>
    </row>
    <row r="2744" spans="1:16" x14ac:dyDescent="0.25">
      <c r="A2744">
        <v>2226</v>
      </c>
      <c r="B2744" t="s">
        <v>4465</v>
      </c>
      <c r="C2744">
        <v>37.2471950929</v>
      </c>
      <c r="D2744">
        <v>-7.0182186260800004</v>
      </c>
      <c r="E2744">
        <v>3</v>
      </c>
      <c r="F2744">
        <v>3</v>
      </c>
      <c r="G2744">
        <v>3</v>
      </c>
      <c r="J2744" t="s">
        <v>15</v>
      </c>
      <c r="K2744">
        <v>3</v>
      </c>
      <c r="L2744">
        <v>3.3140000000000001</v>
      </c>
      <c r="M2744">
        <v>0</v>
      </c>
      <c r="N2744" t="s">
        <v>10019</v>
      </c>
      <c r="O2744" t="str">
        <f>HYPERLINK("3\0\marker_251_378006.png", "Ver Imagen")</f>
        <v>Ver Imagen</v>
      </c>
      <c r="P2744" t="str">
        <f>HYPERLINK("SE\A-497\A-497__316.png", "Ver Imagen")</f>
        <v>Ver Imagen</v>
      </c>
    </row>
    <row r="2745" spans="1:16" x14ac:dyDescent="0.25">
      <c r="A2745">
        <v>2227</v>
      </c>
      <c r="B2745" t="s">
        <v>4467</v>
      </c>
      <c r="C2745">
        <v>37.2488444321</v>
      </c>
      <c r="D2745">
        <v>-7.0181276136299999</v>
      </c>
      <c r="E2745">
        <v>3</v>
      </c>
      <c r="F2745">
        <v>3</v>
      </c>
      <c r="G2745">
        <v>3</v>
      </c>
      <c r="J2745" t="s">
        <v>15</v>
      </c>
      <c r="K2745">
        <v>3</v>
      </c>
      <c r="L2745">
        <v>2.87</v>
      </c>
      <c r="M2745">
        <v>0</v>
      </c>
      <c r="N2745" t="s">
        <v>10019</v>
      </c>
      <c r="O2745" t="str">
        <f>HYPERLINK("3\0\marker_451_378120.png", "Ver Imagen")</f>
        <v>Ver Imagen</v>
      </c>
      <c r="P2745" t="str">
        <f>HYPERLINK("SE\A-497\A-497__308.png", "Ver Imagen")</f>
        <v>Ver Imagen</v>
      </c>
    </row>
    <row r="2746" spans="1:16" x14ac:dyDescent="0.25">
      <c r="A2746">
        <v>2228</v>
      </c>
      <c r="B2746" t="s">
        <v>4469</v>
      </c>
      <c r="C2746">
        <v>37.249428977900003</v>
      </c>
      <c r="D2746">
        <v>-7.0180211048199999</v>
      </c>
      <c r="E2746">
        <v>3</v>
      </c>
      <c r="F2746">
        <v>3</v>
      </c>
      <c r="G2746">
        <v>3</v>
      </c>
      <c r="J2746" t="s">
        <v>15</v>
      </c>
      <c r="K2746">
        <v>3</v>
      </c>
      <c r="L2746">
        <v>3.169</v>
      </c>
      <c r="M2746">
        <v>0</v>
      </c>
      <c r="N2746" t="s">
        <v>10018</v>
      </c>
      <c r="O2746" t="str">
        <f>HYPERLINK("3\0\marker_425_378148.png", "Ver Imagen")</f>
        <v>Ver Imagen</v>
      </c>
      <c r="P2746" t="str">
        <f>HYPERLINK("SE\A-497\A-497__305.png", "Ver Imagen")</f>
        <v>Ver Imagen</v>
      </c>
    </row>
    <row r="2747" spans="1:16" x14ac:dyDescent="0.25">
      <c r="A2747">
        <v>2229</v>
      </c>
      <c r="B2747" t="s">
        <v>4471</v>
      </c>
      <c r="C2747">
        <v>37.251463883100001</v>
      </c>
      <c r="D2747">
        <v>-7.0169429716399998</v>
      </c>
      <c r="E2747">
        <v>3</v>
      </c>
      <c r="F2747">
        <v>3</v>
      </c>
      <c r="G2747">
        <v>3</v>
      </c>
      <c r="J2747" t="s">
        <v>15</v>
      </c>
      <c r="K2747">
        <v>3</v>
      </c>
      <c r="L2747">
        <v>2.8780000000000001</v>
      </c>
      <c r="M2747">
        <v>0</v>
      </c>
      <c r="N2747" t="s">
        <v>10019</v>
      </c>
      <c r="O2747" t="str">
        <f>HYPERLINK("3\0\marker_888_378301.png", "Ver Imagen")</f>
        <v>Ver Imagen</v>
      </c>
      <c r="P2747" t="str">
        <f>HYPERLINK("SE\A-497\A-497__294.png", "Ver Imagen")</f>
        <v>Ver Imagen</v>
      </c>
    </row>
    <row r="2748" spans="1:16" x14ac:dyDescent="0.25">
      <c r="A2748">
        <v>2230</v>
      </c>
      <c r="B2748" t="s">
        <v>4473</v>
      </c>
      <c r="C2748">
        <v>37.254392146100002</v>
      </c>
      <c r="D2748">
        <v>-7.0150801966099996</v>
      </c>
      <c r="E2748">
        <v>3</v>
      </c>
      <c r="F2748">
        <v>3</v>
      </c>
      <c r="G2748">
        <v>3</v>
      </c>
      <c r="J2748" t="s">
        <v>15</v>
      </c>
      <c r="K2748">
        <v>3</v>
      </c>
      <c r="L2748">
        <v>2.7749999999999999</v>
      </c>
      <c r="M2748">
        <v>0</v>
      </c>
      <c r="N2748" t="s">
        <v>10019</v>
      </c>
      <c r="O2748" t="str">
        <f>HYPERLINK("3\0\marker_187_378496.png", "Ver Imagen")</f>
        <v>Ver Imagen</v>
      </c>
      <c r="P2748" t="str">
        <f>HYPERLINK("SE\A-497\A-497__278.png", "Ver Imagen")</f>
        <v>Ver Imagen</v>
      </c>
    </row>
    <row r="2749" spans="1:16" x14ac:dyDescent="0.25">
      <c r="A2749">
        <v>2231</v>
      </c>
      <c r="B2749" t="s">
        <v>4475</v>
      </c>
      <c r="C2749">
        <v>37.256016996299998</v>
      </c>
      <c r="D2749">
        <v>-7.0140492588100001</v>
      </c>
      <c r="E2749">
        <v>3</v>
      </c>
      <c r="F2749">
        <v>3</v>
      </c>
      <c r="G2749">
        <v>3</v>
      </c>
      <c r="J2749" t="s">
        <v>15</v>
      </c>
      <c r="K2749">
        <v>3</v>
      </c>
      <c r="L2749">
        <v>2.6320000000000001</v>
      </c>
      <c r="M2749">
        <v>0</v>
      </c>
      <c r="N2749" t="s">
        <v>10019</v>
      </c>
      <c r="O2749" t="str">
        <f>HYPERLINK("3\0\marker_422_378593.png", "Ver Imagen")</f>
        <v>Ver Imagen</v>
      </c>
      <c r="P2749" t="str">
        <f>HYPERLINK("SE\A-497\A-497__269.png", "Ver Imagen")</f>
        <v>Ver Imagen</v>
      </c>
    </row>
    <row r="2750" spans="1:16" x14ac:dyDescent="0.25">
      <c r="A2750">
        <v>2232</v>
      </c>
      <c r="B2750" t="s">
        <v>4477</v>
      </c>
      <c r="C2750">
        <v>37.256161616999997</v>
      </c>
      <c r="D2750">
        <v>-7.0139562975300001</v>
      </c>
      <c r="E2750">
        <v>3</v>
      </c>
      <c r="F2750">
        <v>3</v>
      </c>
      <c r="G2750">
        <v>3</v>
      </c>
      <c r="J2750" t="s">
        <v>15</v>
      </c>
      <c r="K2750">
        <v>3</v>
      </c>
      <c r="L2750">
        <v>2.9359999999999999</v>
      </c>
      <c r="M2750">
        <v>0</v>
      </c>
      <c r="N2750" t="s">
        <v>10019</v>
      </c>
      <c r="O2750" t="str">
        <f>HYPERLINK("3\0\marker_646_378601.png", "Ver Imagen")</f>
        <v>Ver Imagen</v>
      </c>
      <c r="P2750" t="str">
        <f>HYPERLINK("SE\A-497\A-497__268.png", "Ver Imagen")</f>
        <v>Ver Imagen</v>
      </c>
    </row>
    <row r="2751" spans="1:16" x14ac:dyDescent="0.25">
      <c r="A2751">
        <v>2233</v>
      </c>
      <c r="B2751" t="s">
        <v>4479</v>
      </c>
      <c r="C2751">
        <v>37.257054532600002</v>
      </c>
      <c r="D2751">
        <v>-7.0133849848000001</v>
      </c>
      <c r="E2751">
        <v>3</v>
      </c>
      <c r="F2751">
        <v>3</v>
      </c>
      <c r="G2751">
        <v>3</v>
      </c>
      <c r="J2751" t="s">
        <v>15</v>
      </c>
      <c r="K2751">
        <v>3</v>
      </c>
      <c r="L2751">
        <v>3.008</v>
      </c>
      <c r="M2751">
        <v>0</v>
      </c>
      <c r="N2751" t="s">
        <v>10019</v>
      </c>
      <c r="O2751" t="str">
        <f>HYPERLINK("3\0\marker_445_378649.png", "Ver Imagen")</f>
        <v>Ver Imagen</v>
      </c>
      <c r="P2751" t="str">
        <f>HYPERLINK("SE\A-497\A-497__263.png", "Ver Imagen")</f>
        <v>Ver Imagen</v>
      </c>
    </row>
    <row r="2752" spans="1:16" x14ac:dyDescent="0.25">
      <c r="A2752">
        <v>2234</v>
      </c>
      <c r="B2752" t="s">
        <v>4481</v>
      </c>
      <c r="C2752">
        <v>37.260305604800003</v>
      </c>
      <c r="D2752">
        <v>-7.0113135765000001</v>
      </c>
      <c r="E2752">
        <v>3</v>
      </c>
      <c r="F2752">
        <v>3</v>
      </c>
      <c r="G2752">
        <v>3</v>
      </c>
      <c r="J2752" t="s">
        <v>15</v>
      </c>
      <c r="K2752">
        <v>3</v>
      </c>
      <c r="L2752">
        <v>3.0739999999999998</v>
      </c>
      <c r="M2752">
        <v>0</v>
      </c>
      <c r="N2752" t="s">
        <v>10019</v>
      </c>
      <c r="O2752" t="str">
        <f>HYPERLINK("3\0\marker_835_378834.png", "Ver Imagen")</f>
        <v>Ver Imagen</v>
      </c>
      <c r="P2752" t="str">
        <f>HYPERLINK("SE\A-497\A-497__245.png", "Ver Imagen")</f>
        <v>Ver Imagen</v>
      </c>
    </row>
    <row r="2753" spans="1:16" x14ac:dyDescent="0.25">
      <c r="A2753">
        <v>2235</v>
      </c>
      <c r="B2753" t="s">
        <v>4483</v>
      </c>
      <c r="C2753">
        <v>37.260476003900003</v>
      </c>
      <c r="D2753">
        <v>-7.0112055357200003</v>
      </c>
      <c r="E2753">
        <v>3</v>
      </c>
      <c r="F2753">
        <v>3</v>
      </c>
      <c r="G2753">
        <v>3</v>
      </c>
      <c r="J2753" t="s">
        <v>15</v>
      </c>
      <c r="K2753">
        <v>3</v>
      </c>
      <c r="L2753">
        <v>3.0190000000000001</v>
      </c>
      <c r="M2753">
        <v>0</v>
      </c>
      <c r="N2753" t="s">
        <v>10019</v>
      </c>
      <c r="O2753" t="str">
        <f>HYPERLINK("3\0\marker_423_378844.png", "Ver Imagen")</f>
        <v>Ver Imagen</v>
      </c>
      <c r="P2753" t="str">
        <f>HYPERLINK("SE\A-497\A-497__244.png", "Ver Imagen")</f>
        <v>Ver Imagen</v>
      </c>
    </row>
    <row r="2754" spans="1:16" x14ac:dyDescent="0.25">
      <c r="A2754">
        <v>2236</v>
      </c>
      <c r="B2754" t="s">
        <v>4485</v>
      </c>
      <c r="C2754">
        <v>37.260866133500002</v>
      </c>
      <c r="D2754">
        <v>-7.0109559232800001</v>
      </c>
      <c r="E2754">
        <v>3</v>
      </c>
      <c r="F2754">
        <v>3</v>
      </c>
      <c r="G2754">
        <v>3</v>
      </c>
      <c r="J2754" t="s">
        <v>15</v>
      </c>
      <c r="K2754">
        <v>3</v>
      </c>
      <c r="L2754">
        <v>2.8540000000000001</v>
      </c>
      <c r="M2754">
        <v>0</v>
      </c>
      <c r="N2754" t="s">
        <v>10019</v>
      </c>
      <c r="O2754" t="str">
        <f>HYPERLINK("3\0\marker_192_378861.png", "Ver Imagen")</f>
        <v>Ver Imagen</v>
      </c>
      <c r="P2754" t="str">
        <f>HYPERLINK("SE\A-497\A-497__242.png", "Ver Imagen")</f>
        <v>Ver Imagen</v>
      </c>
    </row>
    <row r="2755" spans="1:16" x14ac:dyDescent="0.25">
      <c r="A2755">
        <v>2237</v>
      </c>
      <c r="B2755" t="s">
        <v>4487</v>
      </c>
      <c r="C2755">
        <v>37.261033865900004</v>
      </c>
      <c r="D2755">
        <v>-7.0108458056799998</v>
      </c>
      <c r="E2755">
        <v>3</v>
      </c>
      <c r="F2755">
        <v>3</v>
      </c>
      <c r="G2755">
        <v>3</v>
      </c>
      <c r="J2755" t="s">
        <v>15</v>
      </c>
      <c r="K2755">
        <v>3</v>
      </c>
      <c r="L2755">
        <v>3.08</v>
      </c>
      <c r="M2755">
        <v>0</v>
      </c>
      <c r="N2755" t="s">
        <v>10019</v>
      </c>
      <c r="O2755" t="str">
        <f>HYPERLINK("3\0\marker_259_378871.png", "Ver Imagen")</f>
        <v>Ver Imagen</v>
      </c>
      <c r="P2755" t="str">
        <f>HYPERLINK("SE\A-497\A-497__241.png", "Ver Imagen")</f>
        <v>Ver Imagen</v>
      </c>
    </row>
    <row r="2756" spans="1:16" x14ac:dyDescent="0.25">
      <c r="A2756">
        <v>2239</v>
      </c>
      <c r="B2756" t="s">
        <v>4491</v>
      </c>
      <c r="C2756">
        <v>37.262301716700001</v>
      </c>
      <c r="D2756">
        <v>-7.0096708530700003</v>
      </c>
      <c r="E2756">
        <v>3</v>
      </c>
      <c r="F2756">
        <v>3</v>
      </c>
      <c r="G2756">
        <v>3</v>
      </c>
      <c r="J2756" t="s">
        <v>15</v>
      </c>
      <c r="K2756">
        <v>3</v>
      </c>
      <c r="L2756">
        <v>3.0059999999999998</v>
      </c>
      <c r="M2756">
        <v>0</v>
      </c>
      <c r="N2756" t="s">
        <v>10019</v>
      </c>
      <c r="O2756" t="str">
        <f>HYPERLINK("3\0\marker_504_379002.png", "Ver Imagen")</f>
        <v>Ver Imagen</v>
      </c>
      <c r="P2756" t="str">
        <f>HYPERLINK("SE\A-497\A-497__233.png", "Ver Imagen")</f>
        <v>Ver Imagen</v>
      </c>
    </row>
    <row r="2757" spans="1:16" x14ac:dyDescent="0.25">
      <c r="A2757">
        <v>2241</v>
      </c>
      <c r="B2757" t="s">
        <v>4495</v>
      </c>
      <c r="C2757">
        <v>37.263196354400002</v>
      </c>
      <c r="D2757">
        <v>-7.00796173095</v>
      </c>
      <c r="E2757">
        <v>3</v>
      </c>
      <c r="F2757">
        <v>3</v>
      </c>
      <c r="G2757">
        <v>3</v>
      </c>
      <c r="J2757" t="s">
        <v>15</v>
      </c>
      <c r="K2757">
        <v>3</v>
      </c>
      <c r="L2757">
        <v>3.0339999999999998</v>
      </c>
      <c r="M2757">
        <v>0</v>
      </c>
      <c r="N2757" t="s">
        <v>10019</v>
      </c>
      <c r="O2757" t="str">
        <f>HYPERLINK("3\0\marker_806_379089.png", "Ver Imagen")</f>
        <v>Ver Imagen</v>
      </c>
      <c r="P2757" t="str">
        <f>HYPERLINK("SE\A-497\A-497__225.png", "Ver Imagen")</f>
        <v>Ver Imagen</v>
      </c>
    </row>
    <row r="2758" spans="1:16" x14ac:dyDescent="0.25">
      <c r="A2758">
        <v>2242</v>
      </c>
      <c r="B2758" t="s">
        <v>4497</v>
      </c>
      <c r="C2758">
        <v>37.263268172099998</v>
      </c>
      <c r="D2758">
        <v>-7.0077304604300004</v>
      </c>
      <c r="E2758">
        <v>3</v>
      </c>
      <c r="F2758">
        <v>3</v>
      </c>
      <c r="G2758">
        <v>3</v>
      </c>
      <c r="J2758" t="s">
        <v>15</v>
      </c>
      <c r="K2758">
        <v>3</v>
      </c>
      <c r="L2758">
        <v>2.883</v>
      </c>
      <c r="M2758">
        <v>0</v>
      </c>
      <c r="N2758" t="s">
        <v>10019</v>
      </c>
      <c r="O2758" t="str">
        <f>HYPERLINK("3\0\marker_459_379102.png", "Ver Imagen")</f>
        <v>Ver Imagen</v>
      </c>
      <c r="P2758" t="str">
        <f>HYPERLINK("SE\A-497\A-497__224.png", "Ver Imagen")</f>
        <v>Ver Imagen</v>
      </c>
    </row>
    <row r="2759" spans="1:16" x14ac:dyDescent="0.25">
      <c r="A2759">
        <v>2243</v>
      </c>
      <c r="B2759" t="s">
        <v>4499</v>
      </c>
      <c r="C2759">
        <v>37.263569398500003</v>
      </c>
      <c r="D2759">
        <v>-7.0062886072300001</v>
      </c>
      <c r="E2759">
        <v>3</v>
      </c>
      <c r="F2759">
        <v>3</v>
      </c>
      <c r="G2759">
        <v>3</v>
      </c>
      <c r="J2759" t="s">
        <v>15</v>
      </c>
      <c r="K2759">
        <v>3</v>
      </c>
      <c r="L2759">
        <v>2.8039999999999998</v>
      </c>
      <c r="M2759">
        <v>0</v>
      </c>
      <c r="N2759" t="s">
        <v>10019</v>
      </c>
      <c r="O2759" t="str">
        <f>HYPERLINK("3\0\marker_916_379165.png", "Ver Imagen")</f>
        <v>Ver Imagen</v>
      </c>
      <c r="P2759" t="str">
        <f>HYPERLINK("SE\A-497\A-497__218.png", "Ver Imagen")</f>
        <v>Ver Imagen</v>
      </c>
    </row>
    <row r="2760" spans="1:16" x14ac:dyDescent="0.25">
      <c r="A2760">
        <v>2244</v>
      </c>
      <c r="B2760" t="s">
        <v>4501</v>
      </c>
      <c r="C2760">
        <v>37.2636238515</v>
      </c>
      <c r="D2760">
        <v>-7.0059804658299996</v>
      </c>
      <c r="E2760">
        <v>3</v>
      </c>
      <c r="F2760">
        <v>3</v>
      </c>
      <c r="G2760">
        <v>3</v>
      </c>
      <c r="J2760" t="s">
        <v>15</v>
      </c>
      <c r="K2760">
        <v>3</v>
      </c>
      <c r="L2760">
        <v>2.698</v>
      </c>
      <c r="M2760">
        <v>0</v>
      </c>
      <c r="N2760" t="s">
        <v>10019</v>
      </c>
      <c r="O2760" t="str">
        <f>HYPERLINK("3\0\marker_660_379183.png", "Ver Imagen")</f>
        <v>Ver Imagen</v>
      </c>
      <c r="P2760" t="str">
        <f>HYPERLINK("SE\A-497\A-497__217.png", "Ver Imagen")</f>
        <v>Ver Imagen</v>
      </c>
    </row>
    <row r="2761" spans="1:16" x14ac:dyDescent="0.25">
      <c r="A2761">
        <v>2245</v>
      </c>
      <c r="B2761" t="s">
        <v>4503</v>
      </c>
      <c r="C2761">
        <v>37.263925834799998</v>
      </c>
      <c r="D2761">
        <v>-7.0042874596300004</v>
      </c>
      <c r="E2761">
        <v>3</v>
      </c>
      <c r="F2761">
        <v>3</v>
      </c>
      <c r="G2761">
        <v>3</v>
      </c>
      <c r="J2761" t="s">
        <v>15</v>
      </c>
      <c r="K2761">
        <v>3</v>
      </c>
      <c r="L2761">
        <v>2.827</v>
      </c>
      <c r="M2761">
        <v>0</v>
      </c>
      <c r="N2761" t="s">
        <v>10019</v>
      </c>
      <c r="O2761" t="str">
        <f>HYPERLINK("3\0\marker_618_379259.png", "Ver Imagen")</f>
        <v>Ver Imagen</v>
      </c>
      <c r="P2761" t="str">
        <f>HYPERLINK("SE\A-497\A-497__210.png", "Ver Imagen")</f>
        <v>Ver Imagen</v>
      </c>
    </row>
    <row r="2762" spans="1:16" x14ac:dyDescent="0.25">
      <c r="A2762">
        <v>2246</v>
      </c>
      <c r="B2762" t="s">
        <v>4505</v>
      </c>
      <c r="C2762">
        <v>37.263965288599998</v>
      </c>
      <c r="D2762">
        <v>-7.00406151432</v>
      </c>
      <c r="E2762">
        <v>3</v>
      </c>
      <c r="F2762">
        <v>3</v>
      </c>
      <c r="G2762">
        <v>3</v>
      </c>
      <c r="J2762" t="s">
        <v>15</v>
      </c>
      <c r="K2762">
        <v>3</v>
      </c>
      <c r="L2762">
        <v>3.0760000000000001</v>
      </c>
      <c r="M2762">
        <v>0</v>
      </c>
      <c r="N2762" t="s">
        <v>10019</v>
      </c>
      <c r="O2762" t="str">
        <f>HYPERLINK("3\0\marker_957_379268.png", "Ver Imagen")</f>
        <v>Ver Imagen</v>
      </c>
      <c r="P2762" t="str">
        <f>HYPERLINK("SE\A-497\A-497__209.png", "Ver Imagen")</f>
        <v>Ver Imagen</v>
      </c>
    </row>
    <row r="2763" spans="1:16" x14ac:dyDescent="0.25">
      <c r="A2763">
        <v>2247</v>
      </c>
      <c r="B2763" t="s">
        <v>4507</v>
      </c>
      <c r="C2763">
        <v>37.264274748200002</v>
      </c>
      <c r="D2763">
        <v>-7.0023050407399996</v>
      </c>
      <c r="E2763">
        <v>3</v>
      </c>
      <c r="F2763">
        <v>3</v>
      </c>
      <c r="G2763">
        <v>3</v>
      </c>
      <c r="J2763" t="s">
        <v>15</v>
      </c>
      <c r="K2763">
        <v>3</v>
      </c>
      <c r="L2763">
        <v>2.867</v>
      </c>
      <c r="M2763">
        <v>0</v>
      </c>
      <c r="N2763" t="s">
        <v>10019</v>
      </c>
      <c r="O2763" t="str">
        <f>HYPERLINK("3\0\marker_846_379392.png", "Ver Imagen")</f>
        <v>Ver Imagen</v>
      </c>
      <c r="P2763" t="str">
        <f>HYPERLINK("SE\A-497\A-497__202.png", "Ver Imagen")</f>
        <v>Ver Imagen</v>
      </c>
    </row>
    <row r="2764" spans="1:16" x14ac:dyDescent="0.25">
      <c r="A2764">
        <v>2248</v>
      </c>
      <c r="B2764" t="s">
        <v>4509</v>
      </c>
      <c r="C2764">
        <v>37.264316194599999</v>
      </c>
      <c r="D2764">
        <v>-7.0020740218700004</v>
      </c>
      <c r="E2764">
        <v>3</v>
      </c>
      <c r="F2764">
        <v>3</v>
      </c>
      <c r="G2764">
        <v>3</v>
      </c>
      <c r="J2764" t="s">
        <v>15</v>
      </c>
      <c r="K2764">
        <v>3</v>
      </c>
      <c r="L2764">
        <v>2.86</v>
      </c>
      <c r="M2764">
        <v>0</v>
      </c>
      <c r="N2764" t="s">
        <v>10019</v>
      </c>
      <c r="O2764" t="str">
        <f>HYPERLINK("3\0\marker_629_379401.png", "Ver Imagen")</f>
        <v>Ver Imagen</v>
      </c>
      <c r="P2764" t="str">
        <f>HYPERLINK("SE\A-497\A-497__201.png", "Ver Imagen")</f>
        <v>Ver Imagen</v>
      </c>
    </row>
    <row r="2765" spans="1:16" x14ac:dyDescent="0.25">
      <c r="A2765">
        <v>2249</v>
      </c>
      <c r="B2765" t="s">
        <v>4511</v>
      </c>
      <c r="C2765">
        <v>37.264360312500003</v>
      </c>
      <c r="D2765">
        <v>-7.00182877621</v>
      </c>
      <c r="E2765">
        <v>3</v>
      </c>
      <c r="F2765">
        <v>3</v>
      </c>
      <c r="G2765">
        <v>3</v>
      </c>
      <c r="J2765" t="s">
        <v>15</v>
      </c>
      <c r="K2765">
        <v>3</v>
      </c>
      <c r="L2765">
        <v>2.9129999999999998</v>
      </c>
      <c r="M2765">
        <v>0</v>
      </c>
      <c r="N2765" t="s">
        <v>10019</v>
      </c>
      <c r="O2765" t="str">
        <f>HYPERLINK("3\0\marker_623_379410.png", "Ver Imagen")</f>
        <v>Ver Imagen</v>
      </c>
      <c r="P2765" t="str">
        <f>HYPERLINK("SE\A-497\A-497__200.png", "Ver Imagen")</f>
        <v>Ver Imagen</v>
      </c>
    </row>
    <row r="2766" spans="1:16" x14ac:dyDescent="0.25">
      <c r="A2766">
        <v>2250</v>
      </c>
      <c r="B2766" t="s">
        <v>4513</v>
      </c>
      <c r="C2766">
        <v>37.264401662099999</v>
      </c>
      <c r="D2766">
        <v>-7.0015980683899999</v>
      </c>
      <c r="E2766">
        <v>3</v>
      </c>
      <c r="F2766">
        <v>3</v>
      </c>
      <c r="G2766">
        <v>3</v>
      </c>
      <c r="J2766" t="s">
        <v>15</v>
      </c>
      <c r="K2766">
        <v>3</v>
      </c>
      <c r="L2766">
        <v>2.9239999999999999</v>
      </c>
      <c r="M2766">
        <v>0</v>
      </c>
      <c r="N2766" t="s">
        <v>10018</v>
      </c>
      <c r="O2766" t="str">
        <f>HYPERLINK("3\0\marker_323_379419.png", "Ver Imagen")</f>
        <v>Ver Imagen</v>
      </c>
      <c r="P2766" t="str">
        <f>HYPERLINK("SE\A-497\A-497__199.png", "Ver Imagen")</f>
        <v>Ver Imagen</v>
      </c>
    </row>
    <row r="2767" spans="1:16" x14ac:dyDescent="0.25">
      <c r="A2767">
        <v>2251</v>
      </c>
      <c r="B2767" t="s">
        <v>4515</v>
      </c>
      <c r="C2767">
        <v>37.264623636000003</v>
      </c>
      <c r="D2767">
        <v>-7.0003678150999997</v>
      </c>
      <c r="E2767">
        <v>3</v>
      </c>
      <c r="F2767">
        <v>3</v>
      </c>
      <c r="G2767">
        <v>3</v>
      </c>
      <c r="J2767" t="s">
        <v>15</v>
      </c>
      <c r="K2767">
        <v>3</v>
      </c>
      <c r="L2767">
        <v>3.0259999999999998</v>
      </c>
      <c r="M2767">
        <v>0</v>
      </c>
      <c r="N2767" t="s">
        <v>10019</v>
      </c>
      <c r="O2767" t="str">
        <f>HYPERLINK("3\0\marker_957_379470.png", "Ver Imagen")</f>
        <v>Ver Imagen</v>
      </c>
      <c r="P2767" t="str">
        <f>HYPERLINK("SE\A-497\A-497__194.png", "Ver Imagen")</f>
        <v>Ver Imagen</v>
      </c>
    </row>
    <row r="2768" spans="1:16" x14ac:dyDescent="0.25">
      <c r="A2768">
        <v>2252</v>
      </c>
      <c r="B2768" t="s">
        <v>4517</v>
      </c>
      <c r="C2768">
        <v>37.264760884499999</v>
      </c>
      <c r="D2768">
        <v>-6.9995984040900003</v>
      </c>
      <c r="E2768">
        <v>3</v>
      </c>
      <c r="F2768">
        <v>3</v>
      </c>
      <c r="G2768">
        <v>3</v>
      </c>
      <c r="J2768" t="s">
        <v>15</v>
      </c>
      <c r="K2768">
        <v>3</v>
      </c>
      <c r="L2768">
        <v>3.109</v>
      </c>
      <c r="M2768">
        <v>0</v>
      </c>
      <c r="N2768" t="s">
        <v>10017</v>
      </c>
      <c r="O2768" t="str">
        <f>HYPERLINK("3\0\marker_412_379501.png", "Ver Imagen")</f>
        <v>Ver Imagen</v>
      </c>
      <c r="P2768" t="str">
        <f>HYPERLINK("SE\A-497\A-497__191.png", "Ver Imagen")</f>
        <v>Ver Imagen</v>
      </c>
    </row>
    <row r="2769" spans="1:16" x14ac:dyDescent="0.25">
      <c r="A2769">
        <v>2253</v>
      </c>
      <c r="B2769" t="s">
        <v>4519</v>
      </c>
      <c r="C2769">
        <v>37.264813658599998</v>
      </c>
      <c r="D2769">
        <v>-6.9992953910100004</v>
      </c>
      <c r="E2769">
        <v>3</v>
      </c>
      <c r="F2769">
        <v>3</v>
      </c>
      <c r="G2769">
        <v>3</v>
      </c>
      <c r="J2769" t="s">
        <v>15</v>
      </c>
      <c r="K2769">
        <v>3</v>
      </c>
      <c r="L2769">
        <v>2.899</v>
      </c>
      <c r="M2769">
        <v>0</v>
      </c>
      <c r="N2769" t="s">
        <v>10019</v>
      </c>
      <c r="O2769" t="str">
        <f>HYPERLINK("3\0\marker_913_379511.png", "Ver Imagen")</f>
        <v>Ver Imagen</v>
      </c>
      <c r="P2769" t="str">
        <f>HYPERLINK("SE\A-497\A-497__190.png", "Ver Imagen")</f>
        <v>Ver Imagen</v>
      </c>
    </row>
    <row r="2770" spans="1:16" x14ac:dyDescent="0.25">
      <c r="A2770">
        <v>2254</v>
      </c>
      <c r="B2770" t="s">
        <v>4521</v>
      </c>
      <c r="C2770">
        <v>37.2648486601</v>
      </c>
      <c r="D2770">
        <v>-6.9990942133400003</v>
      </c>
      <c r="E2770">
        <v>3</v>
      </c>
      <c r="F2770">
        <v>3</v>
      </c>
      <c r="G2770">
        <v>3</v>
      </c>
      <c r="J2770" t="s">
        <v>15</v>
      </c>
      <c r="K2770">
        <v>3</v>
      </c>
      <c r="L2770">
        <v>3.0590000000000002</v>
      </c>
      <c r="M2770">
        <v>0</v>
      </c>
      <c r="N2770" t="s">
        <v>10019</v>
      </c>
      <c r="O2770" t="str">
        <f>HYPERLINK("3\0\marker_917_379530.png", "Ver Imagen")</f>
        <v>Ver Imagen</v>
      </c>
      <c r="P2770" t="str">
        <f>HYPERLINK("SE\A-497\A-497__189.png", "Ver Imagen")</f>
        <v>Ver Imagen</v>
      </c>
    </row>
    <row r="2771" spans="1:16" x14ac:dyDescent="0.25">
      <c r="A2771">
        <v>2256</v>
      </c>
      <c r="B2771" t="s">
        <v>4525</v>
      </c>
      <c r="C2771">
        <v>37.265544809200001</v>
      </c>
      <c r="D2771">
        <v>-6.9951668423999998</v>
      </c>
      <c r="E2771">
        <v>3</v>
      </c>
      <c r="F2771">
        <v>3</v>
      </c>
      <c r="G2771">
        <v>3</v>
      </c>
      <c r="J2771" t="s">
        <v>15</v>
      </c>
      <c r="K2771">
        <v>3</v>
      </c>
      <c r="L2771">
        <v>3.056</v>
      </c>
      <c r="M2771">
        <v>0</v>
      </c>
      <c r="N2771" t="s">
        <v>10019</v>
      </c>
      <c r="O2771" t="str">
        <f>HYPERLINK("3\0\marker_849_379724.png", "Ver Imagen")</f>
        <v>Ver Imagen</v>
      </c>
      <c r="P2771" t="str">
        <f>HYPERLINK("SE\A-497\A-497__173.png", "Ver Imagen")</f>
        <v>Ver Imagen</v>
      </c>
    </row>
    <row r="2772" spans="1:16" x14ac:dyDescent="0.25">
      <c r="A2772">
        <v>2257</v>
      </c>
      <c r="B2772" t="s">
        <v>4527</v>
      </c>
      <c r="C2772">
        <v>37.265583927900003</v>
      </c>
      <c r="D2772">
        <v>-6.9949459819599999</v>
      </c>
      <c r="E2772">
        <v>3</v>
      </c>
      <c r="F2772">
        <v>3</v>
      </c>
      <c r="G2772">
        <v>3</v>
      </c>
      <c r="J2772" t="s">
        <v>15</v>
      </c>
      <c r="K2772">
        <v>3</v>
      </c>
      <c r="L2772">
        <v>3.044</v>
      </c>
      <c r="M2772">
        <v>0</v>
      </c>
      <c r="N2772" t="s">
        <v>10019</v>
      </c>
      <c r="O2772" t="str">
        <f>HYPERLINK("3\0\marker_875_379736.png", "Ver Imagen")</f>
        <v>Ver Imagen</v>
      </c>
      <c r="P2772" t="str">
        <f>HYPERLINK("SE\A-497\A-497__172.png", "Ver Imagen")</f>
        <v>Ver Imagen</v>
      </c>
    </row>
    <row r="2773" spans="1:16" x14ac:dyDescent="0.25">
      <c r="A2773">
        <v>2258</v>
      </c>
      <c r="B2773" t="s">
        <v>4529</v>
      </c>
      <c r="C2773">
        <v>37.265644721000001</v>
      </c>
      <c r="D2773">
        <v>-6.9946178927</v>
      </c>
      <c r="E2773">
        <v>3</v>
      </c>
      <c r="F2773">
        <v>3</v>
      </c>
      <c r="G2773">
        <v>3</v>
      </c>
      <c r="J2773" t="s">
        <v>15</v>
      </c>
      <c r="K2773">
        <v>3</v>
      </c>
      <c r="L2773">
        <v>3.04</v>
      </c>
      <c r="M2773">
        <v>0</v>
      </c>
      <c r="N2773" t="s">
        <v>10019</v>
      </c>
      <c r="O2773" t="str">
        <f>HYPERLINK("3\0\marker_189_379754.png", "Ver Imagen")</f>
        <v>Ver Imagen</v>
      </c>
      <c r="P2773" t="str">
        <f>HYPERLINK("SE\A-497\A-497__171.png", "Ver Imagen")</f>
        <v>Ver Imagen</v>
      </c>
    </row>
    <row r="2774" spans="1:16" x14ac:dyDescent="0.25">
      <c r="A2774">
        <v>2259</v>
      </c>
      <c r="B2774" t="s">
        <v>4531</v>
      </c>
      <c r="C2774">
        <v>37.265752220400003</v>
      </c>
      <c r="D2774">
        <v>-6.9941335889999996</v>
      </c>
      <c r="E2774">
        <v>3</v>
      </c>
      <c r="F2774">
        <v>3</v>
      </c>
      <c r="G2774">
        <v>3</v>
      </c>
      <c r="J2774" t="s">
        <v>15</v>
      </c>
      <c r="K2774">
        <v>3</v>
      </c>
      <c r="L2774">
        <v>2.8559999999999999</v>
      </c>
      <c r="M2774">
        <v>0</v>
      </c>
      <c r="N2774" t="s">
        <v>10018</v>
      </c>
      <c r="O2774" t="str">
        <f>HYPERLINK("3\0\marker_703_380161.png", "Ver Imagen")</f>
        <v>Ver Imagen</v>
      </c>
      <c r="P2774" t="str">
        <f>HYPERLINK("SE\A-497\A-497__169.png", "Ver Imagen")</f>
        <v>Ver Imagen</v>
      </c>
    </row>
    <row r="2775" spans="1:16" x14ac:dyDescent="0.25">
      <c r="A2775">
        <v>2260</v>
      </c>
      <c r="B2775" t="s">
        <v>4533</v>
      </c>
      <c r="C2775">
        <v>37.265878924399999</v>
      </c>
      <c r="D2775">
        <v>-6.9936959312600004</v>
      </c>
      <c r="E2775">
        <v>3</v>
      </c>
      <c r="F2775">
        <v>3</v>
      </c>
      <c r="G2775">
        <v>3</v>
      </c>
      <c r="J2775" t="s">
        <v>15</v>
      </c>
      <c r="K2775">
        <v>3</v>
      </c>
      <c r="L2775">
        <v>3.0739999999999998</v>
      </c>
      <c r="M2775">
        <v>0</v>
      </c>
      <c r="N2775" t="s">
        <v>10019</v>
      </c>
      <c r="O2775" t="str">
        <f>HYPERLINK("3\0\marker_704_380183.png", "Ver Imagen")</f>
        <v>Ver Imagen</v>
      </c>
      <c r="P2775" t="str">
        <f>HYPERLINK("SE\A-497\A-497__167.png", "Ver Imagen")</f>
        <v>Ver Imagen</v>
      </c>
    </row>
    <row r="2776" spans="1:16" x14ac:dyDescent="0.25">
      <c r="A2776">
        <v>2261</v>
      </c>
      <c r="B2776" t="s">
        <v>4535</v>
      </c>
      <c r="C2776">
        <v>37.266367834500002</v>
      </c>
      <c r="D2776">
        <v>-6.9925797020099996</v>
      </c>
      <c r="E2776">
        <v>3</v>
      </c>
      <c r="F2776">
        <v>3</v>
      </c>
      <c r="G2776">
        <v>3</v>
      </c>
      <c r="J2776" t="s">
        <v>15</v>
      </c>
      <c r="K2776">
        <v>3</v>
      </c>
      <c r="L2776">
        <v>2.9460000000000002</v>
      </c>
      <c r="M2776">
        <v>0</v>
      </c>
      <c r="N2776" t="s">
        <v>10019</v>
      </c>
      <c r="O2776" t="str">
        <f>HYPERLINK("3\0\marker_968_380232.png", "Ver Imagen")</f>
        <v>Ver Imagen</v>
      </c>
      <c r="P2776" t="str">
        <f>HYPERLINK("SE\A-497\A-497__162.png", "Ver Imagen")</f>
        <v>Ver Imagen</v>
      </c>
    </row>
    <row r="2777" spans="1:16" x14ac:dyDescent="0.25">
      <c r="A2777">
        <v>2262</v>
      </c>
      <c r="B2777" t="s">
        <v>4537</v>
      </c>
      <c r="C2777">
        <v>37.266762065400002</v>
      </c>
      <c r="D2777">
        <v>-6.9919945076800003</v>
      </c>
      <c r="E2777">
        <v>3</v>
      </c>
      <c r="F2777">
        <v>3</v>
      </c>
      <c r="G2777">
        <v>3</v>
      </c>
      <c r="J2777" t="s">
        <v>15</v>
      </c>
      <c r="K2777">
        <v>3</v>
      </c>
      <c r="L2777">
        <v>3.0209999999999999</v>
      </c>
      <c r="M2777">
        <v>0</v>
      </c>
      <c r="N2777" t="s">
        <v>10019</v>
      </c>
      <c r="O2777" t="str">
        <f>HYPERLINK("3\0\marker_863_380260.png", "Ver Imagen")</f>
        <v>Ver Imagen</v>
      </c>
      <c r="P2777" t="str">
        <f>HYPERLINK("SE\A-497\A-497__159.png", "Ver Imagen")</f>
        <v>Ver Imagen</v>
      </c>
    </row>
    <row r="2778" spans="1:16" x14ac:dyDescent="0.25">
      <c r="A2778">
        <v>2263</v>
      </c>
      <c r="B2778" t="s">
        <v>4539</v>
      </c>
      <c r="C2778">
        <v>37.266898962799999</v>
      </c>
      <c r="D2778">
        <v>-6.9918286781100001</v>
      </c>
      <c r="E2778">
        <v>3</v>
      </c>
      <c r="F2778">
        <v>3</v>
      </c>
      <c r="G2778">
        <v>3</v>
      </c>
      <c r="J2778" t="s">
        <v>15</v>
      </c>
      <c r="K2778">
        <v>3</v>
      </c>
      <c r="L2778">
        <v>2.6339999999999999</v>
      </c>
      <c r="M2778">
        <v>0</v>
      </c>
      <c r="N2778" t="s">
        <v>10019</v>
      </c>
      <c r="O2778" t="str">
        <f>HYPERLINK("3\0\marker_856_380270.png", "Ver Imagen")</f>
        <v>Ver Imagen</v>
      </c>
      <c r="P2778" t="str">
        <f>HYPERLINK("SE\A-497\A-497__158.png", "Ver Imagen")</f>
        <v>Ver Imagen</v>
      </c>
    </row>
    <row r="2779" spans="1:16" x14ac:dyDescent="0.25">
      <c r="A2779">
        <v>2264</v>
      </c>
      <c r="B2779" t="s">
        <v>4541</v>
      </c>
      <c r="C2779">
        <v>37.267205461899998</v>
      </c>
      <c r="D2779">
        <v>-6.9915069758800001</v>
      </c>
      <c r="E2779">
        <v>3</v>
      </c>
      <c r="F2779">
        <v>3</v>
      </c>
      <c r="G2779">
        <v>3</v>
      </c>
      <c r="J2779" t="s">
        <v>15</v>
      </c>
      <c r="K2779">
        <v>3</v>
      </c>
      <c r="L2779">
        <v>2.9390000000000001</v>
      </c>
      <c r="M2779">
        <v>0</v>
      </c>
      <c r="N2779" t="s">
        <v>10019</v>
      </c>
      <c r="O2779" t="str">
        <f>HYPERLINK("3\0\marker_369_380288.png", "Ver Imagen")</f>
        <v>Ver Imagen</v>
      </c>
      <c r="P2779" t="str">
        <f>HYPERLINK("SE\A-497\A-497__156.png", "Ver Imagen")</f>
        <v>Ver Imagen</v>
      </c>
    </row>
    <row r="2780" spans="1:16" x14ac:dyDescent="0.25">
      <c r="A2780">
        <v>2265</v>
      </c>
      <c r="B2780" t="s">
        <v>4543</v>
      </c>
      <c r="C2780">
        <v>37.268079306499999</v>
      </c>
      <c r="D2780">
        <v>-6.9908225416600001</v>
      </c>
      <c r="E2780">
        <v>3</v>
      </c>
      <c r="F2780">
        <v>3</v>
      </c>
      <c r="G2780">
        <v>3</v>
      </c>
      <c r="J2780" t="s">
        <v>15</v>
      </c>
      <c r="K2780">
        <v>3</v>
      </c>
      <c r="L2780">
        <v>2.8559999999999999</v>
      </c>
      <c r="M2780">
        <v>0</v>
      </c>
      <c r="N2780" t="s">
        <v>10019</v>
      </c>
      <c r="O2780" t="str">
        <f>HYPERLINK("3\0\marker_915_380340.png", "Ver Imagen")</f>
        <v>Ver Imagen</v>
      </c>
      <c r="P2780" t="str">
        <f>HYPERLINK("SE\A-497\A-497__151.png", "Ver Imagen")</f>
        <v>Ver Imagen</v>
      </c>
    </row>
    <row r="2781" spans="1:16" x14ac:dyDescent="0.25">
      <c r="A2781">
        <v>2266</v>
      </c>
      <c r="B2781" t="s">
        <v>4545</v>
      </c>
      <c r="C2781">
        <v>37.268258453000001</v>
      </c>
      <c r="D2781">
        <v>-6.9906950501300003</v>
      </c>
      <c r="E2781">
        <v>3</v>
      </c>
      <c r="F2781">
        <v>3</v>
      </c>
      <c r="G2781">
        <v>3</v>
      </c>
      <c r="J2781" t="s">
        <v>15</v>
      </c>
      <c r="K2781">
        <v>3</v>
      </c>
      <c r="L2781">
        <v>2.8039999999999998</v>
      </c>
      <c r="M2781">
        <v>0</v>
      </c>
      <c r="N2781" t="s">
        <v>10019</v>
      </c>
      <c r="O2781" t="str">
        <f>HYPERLINK("3\0\marker_753_380349.png", "Ver Imagen")</f>
        <v>Ver Imagen</v>
      </c>
      <c r="P2781" t="str">
        <f>HYPERLINK("SE\A-497\A-497__150.png", "Ver Imagen")</f>
        <v>Ver Imagen</v>
      </c>
    </row>
    <row r="2782" spans="1:16" x14ac:dyDescent="0.25">
      <c r="A2782">
        <v>2267</v>
      </c>
      <c r="B2782" t="s">
        <v>4547</v>
      </c>
      <c r="C2782">
        <v>37.268425565199998</v>
      </c>
      <c r="D2782">
        <v>-6.9905764248000004</v>
      </c>
      <c r="E2782">
        <v>3</v>
      </c>
      <c r="F2782">
        <v>3</v>
      </c>
      <c r="G2782">
        <v>3</v>
      </c>
      <c r="J2782" t="s">
        <v>15</v>
      </c>
      <c r="K2782">
        <v>3</v>
      </c>
      <c r="L2782">
        <v>2.7719999999999998</v>
      </c>
      <c r="M2782">
        <v>0</v>
      </c>
      <c r="N2782" t="s">
        <v>10019</v>
      </c>
      <c r="O2782" t="str">
        <f>HYPERLINK("3\0\marker_684_380358.png", "Ver Imagen")</f>
        <v>Ver Imagen</v>
      </c>
      <c r="P2782" t="str">
        <f>HYPERLINK("SE\A-497\A-497__149.png", "Ver Imagen")</f>
        <v>Ver Imagen</v>
      </c>
    </row>
    <row r="2783" spans="1:16" x14ac:dyDescent="0.25">
      <c r="A2783">
        <v>2269</v>
      </c>
      <c r="B2783" t="s">
        <v>4551</v>
      </c>
      <c r="C2783">
        <v>37.271684367900001</v>
      </c>
      <c r="D2783">
        <v>-6.9871014453600004</v>
      </c>
      <c r="E2783">
        <v>3</v>
      </c>
      <c r="F2783">
        <v>3</v>
      </c>
      <c r="G2783">
        <v>3</v>
      </c>
      <c r="J2783" t="s">
        <v>15</v>
      </c>
      <c r="K2783">
        <v>3</v>
      </c>
      <c r="L2783">
        <v>3.036</v>
      </c>
      <c r="M2783">
        <v>0</v>
      </c>
      <c r="N2783" t="s">
        <v>10019</v>
      </c>
      <c r="O2783" t="str">
        <f>HYPERLINK("3\0\marker_251_380559.png", "Ver Imagen")</f>
        <v>Ver Imagen</v>
      </c>
      <c r="P2783" t="str">
        <f>HYPERLINK("SE\A-497\A-497__127.png", "Ver Imagen")</f>
        <v>Ver Imagen</v>
      </c>
    </row>
    <row r="2784" spans="1:16" x14ac:dyDescent="0.25">
      <c r="A2784">
        <v>2270</v>
      </c>
      <c r="B2784" t="s">
        <v>4553</v>
      </c>
      <c r="C2784">
        <v>37.271714731899998</v>
      </c>
      <c r="D2784">
        <v>-6.9868679004400001</v>
      </c>
      <c r="E2784">
        <v>3</v>
      </c>
      <c r="F2784">
        <v>3</v>
      </c>
      <c r="G2784">
        <v>3</v>
      </c>
      <c r="J2784" t="s">
        <v>15</v>
      </c>
      <c r="K2784">
        <v>3</v>
      </c>
      <c r="L2784">
        <v>2.9689999999999999</v>
      </c>
      <c r="M2784">
        <v>0</v>
      </c>
      <c r="N2784" t="s">
        <v>10019</v>
      </c>
      <c r="O2784" t="str">
        <f>HYPERLINK("3\0\marker_323_380571.png", "Ver Imagen")</f>
        <v>Ver Imagen</v>
      </c>
      <c r="P2784" t="str">
        <f>HYPERLINK("SE\A-497\A-497__126.png", "Ver Imagen")</f>
        <v>Ver Imagen</v>
      </c>
    </row>
    <row r="2785" spans="1:16" x14ac:dyDescent="0.25">
      <c r="A2785">
        <v>2271</v>
      </c>
      <c r="B2785" t="s">
        <v>4555</v>
      </c>
      <c r="C2785">
        <v>37.271671190900001</v>
      </c>
      <c r="D2785">
        <v>-6.9855892087799996</v>
      </c>
      <c r="E2785">
        <v>3</v>
      </c>
      <c r="F2785">
        <v>3</v>
      </c>
      <c r="G2785">
        <v>3</v>
      </c>
      <c r="J2785" t="s">
        <v>15</v>
      </c>
      <c r="K2785">
        <v>3</v>
      </c>
      <c r="L2785">
        <v>2.911</v>
      </c>
      <c r="M2785">
        <v>0</v>
      </c>
      <c r="N2785" t="s">
        <v>10019</v>
      </c>
      <c r="O2785" t="str">
        <f>HYPERLINK("3\0\marker_880_380617.png", "Ver Imagen")</f>
        <v>Ver Imagen</v>
      </c>
      <c r="P2785" t="str">
        <f>HYPERLINK("SE\A-497\A-497__121.png", "Ver Imagen")</f>
        <v>Ver Imagen</v>
      </c>
    </row>
    <row r="2786" spans="1:16" x14ac:dyDescent="0.25">
      <c r="A2786">
        <v>2272</v>
      </c>
      <c r="B2786" t="s">
        <v>4557</v>
      </c>
      <c r="C2786">
        <v>37.271637519499997</v>
      </c>
      <c r="D2786">
        <v>-6.9853824099799997</v>
      </c>
      <c r="E2786">
        <v>3</v>
      </c>
      <c r="F2786">
        <v>3</v>
      </c>
      <c r="G2786">
        <v>3</v>
      </c>
      <c r="J2786" t="s">
        <v>15</v>
      </c>
      <c r="K2786">
        <v>3</v>
      </c>
      <c r="L2786">
        <v>3.0019999999999998</v>
      </c>
      <c r="M2786">
        <v>0</v>
      </c>
      <c r="N2786" t="s">
        <v>10019</v>
      </c>
      <c r="O2786" t="str">
        <f>HYPERLINK("3\0\marker_246_380625.png", "Ver Imagen")</f>
        <v>Ver Imagen</v>
      </c>
      <c r="P2786" t="str">
        <f>HYPERLINK("SE\A-497\A-497__120.png", "Ver Imagen")</f>
        <v>Ver Imagen</v>
      </c>
    </row>
    <row r="2787" spans="1:16" x14ac:dyDescent="0.25">
      <c r="A2787">
        <v>2273</v>
      </c>
      <c r="B2787" t="s">
        <v>4559</v>
      </c>
      <c r="C2787">
        <v>37.271475995700001</v>
      </c>
      <c r="D2787">
        <v>-6.9846493786100003</v>
      </c>
      <c r="E2787">
        <v>3</v>
      </c>
      <c r="F2787">
        <v>3</v>
      </c>
      <c r="G2787">
        <v>3</v>
      </c>
      <c r="J2787" t="s">
        <v>15</v>
      </c>
      <c r="K2787">
        <v>3</v>
      </c>
      <c r="L2787">
        <v>2.7450000000000001</v>
      </c>
      <c r="M2787">
        <v>0</v>
      </c>
      <c r="N2787" t="s">
        <v>10019</v>
      </c>
      <c r="O2787" t="str">
        <f>HYPERLINK("3\0\marker_721_380650.png", "Ver Imagen")</f>
        <v>Ver Imagen</v>
      </c>
      <c r="P2787" t="str">
        <f>HYPERLINK("SE\A-497\A-497__117.png", "Ver Imagen")</f>
        <v>Ver Imagen</v>
      </c>
    </row>
    <row r="2788" spans="1:16" x14ac:dyDescent="0.25">
      <c r="A2788">
        <v>2274</v>
      </c>
      <c r="B2788" t="s">
        <v>4561</v>
      </c>
      <c r="C2788">
        <v>37.270521141400003</v>
      </c>
      <c r="D2788">
        <v>-6.98127862677</v>
      </c>
      <c r="E2788">
        <v>3</v>
      </c>
      <c r="F2788">
        <v>3</v>
      </c>
      <c r="G2788">
        <v>3</v>
      </c>
      <c r="J2788" t="s">
        <v>15</v>
      </c>
      <c r="K2788">
        <v>3</v>
      </c>
      <c r="L2788">
        <v>3.109</v>
      </c>
      <c r="M2788">
        <v>0</v>
      </c>
      <c r="N2788" t="s">
        <v>10019</v>
      </c>
      <c r="O2788" t="str">
        <f>HYPERLINK("3\0\marker_304_380809.png", "Ver Imagen")</f>
        <v>Ver Imagen</v>
      </c>
      <c r="P2788" t="str">
        <f>HYPERLINK("SE\A-497\A-497__103.png", "Ver Imagen")</f>
        <v>Ver Imagen</v>
      </c>
    </row>
    <row r="2789" spans="1:16" x14ac:dyDescent="0.25">
      <c r="A2789">
        <v>2275</v>
      </c>
      <c r="B2789" t="s">
        <v>4563</v>
      </c>
      <c r="C2789">
        <v>37.270461200200003</v>
      </c>
      <c r="D2789">
        <v>-6.9810749985299996</v>
      </c>
      <c r="E2789">
        <v>3</v>
      </c>
      <c r="F2789">
        <v>3</v>
      </c>
      <c r="G2789">
        <v>3</v>
      </c>
      <c r="J2789" t="s">
        <v>15</v>
      </c>
      <c r="K2789">
        <v>3</v>
      </c>
      <c r="L2789">
        <v>3.0680000000000001</v>
      </c>
      <c r="M2789">
        <v>0</v>
      </c>
      <c r="N2789" t="s">
        <v>10017</v>
      </c>
      <c r="O2789" t="str">
        <f>HYPERLINK("3\0\marker_559_380818.png", "Ver Imagen")</f>
        <v>Ver Imagen</v>
      </c>
      <c r="P2789" t="str">
        <f>HYPERLINK("SE\A-497\A-497__102.png", "Ver Imagen")</f>
        <v>Ver Imagen</v>
      </c>
    </row>
    <row r="2790" spans="1:16" x14ac:dyDescent="0.25">
      <c r="A2790">
        <v>2276</v>
      </c>
      <c r="B2790" t="s">
        <v>4565</v>
      </c>
      <c r="C2790">
        <v>37.270386292200001</v>
      </c>
      <c r="D2790">
        <v>-6.9808186908399996</v>
      </c>
      <c r="E2790">
        <v>3</v>
      </c>
      <c r="F2790">
        <v>3</v>
      </c>
      <c r="G2790">
        <v>3</v>
      </c>
      <c r="J2790" t="s">
        <v>15</v>
      </c>
      <c r="K2790">
        <v>3</v>
      </c>
      <c r="L2790">
        <v>2.99</v>
      </c>
      <c r="M2790">
        <v>0</v>
      </c>
      <c r="N2790" t="s">
        <v>10019</v>
      </c>
      <c r="O2790" t="str">
        <f>HYPERLINK("3\0\marker_407_380828.png", "Ver Imagen")</f>
        <v>Ver Imagen</v>
      </c>
      <c r="P2790" t="str">
        <f>HYPERLINK("SE\A-497\A-497__101.png", "Ver Imagen")</f>
        <v>Ver Imagen</v>
      </c>
    </row>
    <row r="2791" spans="1:16" x14ac:dyDescent="0.25">
      <c r="A2791">
        <v>2277</v>
      </c>
      <c r="B2791" t="s">
        <v>4567</v>
      </c>
      <c r="C2791">
        <v>37.270255354900002</v>
      </c>
      <c r="D2791">
        <v>-6.9803620952200003</v>
      </c>
      <c r="E2791">
        <v>3</v>
      </c>
      <c r="F2791">
        <v>3</v>
      </c>
      <c r="G2791">
        <v>3</v>
      </c>
      <c r="J2791" t="s">
        <v>15</v>
      </c>
      <c r="K2791">
        <v>3</v>
      </c>
      <c r="L2791">
        <v>3.0009999999999999</v>
      </c>
      <c r="M2791">
        <v>0</v>
      </c>
      <c r="N2791" t="s">
        <v>10019</v>
      </c>
      <c r="O2791" t="str">
        <f>HYPERLINK("3\0\marker_237_380847.png", "Ver Imagen")</f>
        <v>Ver Imagen</v>
      </c>
      <c r="P2791" t="str">
        <f>HYPERLINK("SE\A-497\A-497__99.png", "Ver Imagen")</f>
        <v>Ver Imagen</v>
      </c>
    </row>
    <row r="2792" spans="1:16" x14ac:dyDescent="0.25">
      <c r="A2792">
        <v>2278</v>
      </c>
      <c r="B2792" t="s">
        <v>4569</v>
      </c>
      <c r="C2792">
        <v>37.2701824321</v>
      </c>
      <c r="D2792">
        <v>-6.9801048465299997</v>
      </c>
      <c r="E2792">
        <v>3</v>
      </c>
      <c r="F2792">
        <v>3</v>
      </c>
      <c r="G2792">
        <v>3</v>
      </c>
      <c r="J2792" t="s">
        <v>15</v>
      </c>
      <c r="K2792">
        <v>3</v>
      </c>
      <c r="L2792">
        <v>2.8069999999999999</v>
      </c>
      <c r="M2792">
        <v>0</v>
      </c>
      <c r="N2792" t="s">
        <v>10019</v>
      </c>
      <c r="O2792" t="str">
        <f>HYPERLINK("3\0\marker_800_380857.png", "Ver Imagen")</f>
        <v>Ver Imagen</v>
      </c>
      <c r="P2792" t="str">
        <f>HYPERLINK("SE\A-497\A-497__98.png", "Ver Imagen")</f>
        <v>Ver Imagen</v>
      </c>
    </row>
    <row r="2793" spans="1:16" x14ac:dyDescent="0.25">
      <c r="A2793">
        <v>2279</v>
      </c>
      <c r="B2793" t="s">
        <v>4571</v>
      </c>
      <c r="C2793">
        <v>37.269978890600001</v>
      </c>
      <c r="D2793">
        <v>-6.9793901874299999</v>
      </c>
      <c r="E2793">
        <v>3</v>
      </c>
      <c r="F2793">
        <v>3</v>
      </c>
      <c r="G2793">
        <v>3</v>
      </c>
      <c r="J2793" t="s">
        <v>15</v>
      </c>
      <c r="K2793">
        <v>3</v>
      </c>
      <c r="L2793">
        <v>3.3540000000000001</v>
      </c>
      <c r="M2793">
        <v>0</v>
      </c>
      <c r="N2793" t="s">
        <v>10017</v>
      </c>
      <c r="O2793" t="str">
        <f>HYPERLINK("3\0\marker_831_380887.png", "Ver Imagen")</f>
        <v>Ver Imagen</v>
      </c>
      <c r="P2793" t="str">
        <f>HYPERLINK("SE\A-497\A-497__95.png", "Ver Imagen")</f>
        <v>Ver Imagen</v>
      </c>
    </row>
    <row r="2794" spans="1:16" x14ac:dyDescent="0.25">
      <c r="A2794">
        <v>2280</v>
      </c>
      <c r="B2794" t="s">
        <v>4573</v>
      </c>
      <c r="C2794">
        <v>37.446717200400002</v>
      </c>
      <c r="D2794">
        <v>-7.1383622189300002</v>
      </c>
      <c r="E2794">
        <v>2</v>
      </c>
      <c r="F2794">
        <v>3</v>
      </c>
      <c r="G2794">
        <v>3</v>
      </c>
      <c r="J2794" t="s">
        <v>15</v>
      </c>
      <c r="K2794">
        <v>3</v>
      </c>
      <c r="L2794">
        <v>2.7309999999999999</v>
      </c>
      <c r="M2794">
        <v>0</v>
      </c>
      <c r="N2794" t="s">
        <v>10019</v>
      </c>
      <c r="O2794" t="str">
        <f>HYPERLINK("3\1\marker_100_732269.png", "Ver Imagen")</f>
        <v>Ver Imagen</v>
      </c>
      <c r="P2794" t="str">
        <f>HYPERLINK("NE\A-490\A-490__49.png", "Ver Imagen")</f>
        <v>Ver Imagen</v>
      </c>
    </row>
    <row r="2795" spans="1:16" x14ac:dyDescent="0.25">
      <c r="A2795">
        <v>2281</v>
      </c>
      <c r="B2795" t="s">
        <v>4575</v>
      </c>
      <c r="C2795">
        <v>37.448662208899997</v>
      </c>
      <c r="D2795">
        <v>-7.1467119721800003</v>
      </c>
      <c r="E2795">
        <v>2</v>
      </c>
      <c r="F2795">
        <v>3</v>
      </c>
      <c r="G2795">
        <v>3</v>
      </c>
      <c r="J2795" t="s">
        <v>15</v>
      </c>
      <c r="K2795">
        <v>3</v>
      </c>
      <c r="L2795">
        <v>3.0179999999999998</v>
      </c>
      <c r="M2795">
        <v>0</v>
      </c>
      <c r="N2795" t="s">
        <v>10019</v>
      </c>
      <c r="O2795" t="str">
        <f>HYPERLINK("3\1\marker_380_738767.png", "Ver Imagen")</f>
        <v>Ver Imagen</v>
      </c>
      <c r="P2795" t="str">
        <f>HYPERLINK("NE\A-490\A-490__84.png", "Ver Imagen")</f>
        <v>Ver Imagen</v>
      </c>
    </row>
    <row r="2796" spans="1:16" x14ac:dyDescent="0.25">
      <c r="A2796">
        <v>2282</v>
      </c>
      <c r="B2796" t="s">
        <v>4577</v>
      </c>
      <c r="C2796">
        <v>37.448482152899999</v>
      </c>
      <c r="D2796">
        <v>-7.1431602958799996</v>
      </c>
      <c r="E2796">
        <v>2</v>
      </c>
      <c r="F2796">
        <v>3</v>
      </c>
      <c r="G2796">
        <v>3</v>
      </c>
      <c r="J2796" t="s">
        <v>15</v>
      </c>
      <c r="K2796">
        <v>3</v>
      </c>
      <c r="L2796">
        <v>2.9729999999999999</v>
      </c>
      <c r="M2796">
        <v>0</v>
      </c>
      <c r="N2796" t="s">
        <v>10018</v>
      </c>
      <c r="O2796" t="str">
        <f>HYPERLINK("3\1\marker_536_738154.png", "Ver Imagen")</f>
        <v>Ver Imagen</v>
      </c>
      <c r="P2796" t="str">
        <f>HYPERLINK("NE\A-490\A-490__70.png", "Ver Imagen")</f>
        <v>Ver Imagen</v>
      </c>
    </row>
    <row r="2797" spans="1:16" x14ac:dyDescent="0.25">
      <c r="A2797">
        <v>2283</v>
      </c>
      <c r="B2797" t="s">
        <v>4579</v>
      </c>
      <c r="C2797">
        <v>37.448736890100001</v>
      </c>
      <c r="D2797">
        <v>-7.1482364072099998</v>
      </c>
      <c r="E2797">
        <v>2</v>
      </c>
      <c r="F2797">
        <v>3</v>
      </c>
      <c r="G2797">
        <v>3</v>
      </c>
      <c r="J2797" t="s">
        <v>15</v>
      </c>
      <c r="K2797">
        <v>3</v>
      </c>
      <c r="L2797">
        <v>3.1920000000000002</v>
      </c>
      <c r="M2797">
        <v>0</v>
      </c>
      <c r="N2797" t="s">
        <v>10019</v>
      </c>
      <c r="O2797" t="str">
        <f>HYPERLINK("3\1\marker_205_738971.png", "Ver Imagen")</f>
        <v>Ver Imagen</v>
      </c>
      <c r="P2797" t="str">
        <f>HYPERLINK("NE\A-490\A-490__90.png", "Ver Imagen")</f>
        <v>Ver Imagen</v>
      </c>
    </row>
    <row r="2798" spans="1:16" x14ac:dyDescent="0.25">
      <c r="A2798">
        <v>2284</v>
      </c>
      <c r="B2798" t="s">
        <v>4581</v>
      </c>
      <c r="C2798">
        <v>37.452437275100003</v>
      </c>
      <c r="D2798">
        <v>-7.16034665848</v>
      </c>
      <c r="E2798">
        <v>2</v>
      </c>
      <c r="F2798">
        <v>3</v>
      </c>
      <c r="G2798">
        <v>3</v>
      </c>
      <c r="J2798" t="s">
        <v>15</v>
      </c>
      <c r="K2798">
        <v>3</v>
      </c>
      <c r="L2798">
        <v>3.375</v>
      </c>
      <c r="M2798">
        <v>0</v>
      </c>
      <c r="N2798" t="s">
        <v>10019</v>
      </c>
      <c r="O2798" t="str">
        <f>HYPERLINK("3\1\marker_692_740577.png", "Ver Imagen")</f>
        <v>Ver Imagen</v>
      </c>
      <c r="P2798" t="str">
        <f>HYPERLINK("NE\A-490\A-490__142.png", "Ver Imagen")</f>
        <v>Ver Imagen</v>
      </c>
    </row>
    <row r="2799" spans="1:16" x14ac:dyDescent="0.25">
      <c r="A2799">
        <v>2285</v>
      </c>
      <c r="B2799" t="s">
        <v>4583</v>
      </c>
      <c r="C2799">
        <v>37.280229535300002</v>
      </c>
      <c r="D2799">
        <v>-7.0054219718899997</v>
      </c>
      <c r="E2799">
        <v>2</v>
      </c>
      <c r="F2799">
        <v>3</v>
      </c>
      <c r="G2799">
        <v>3</v>
      </c>
      <c r="J2799" t="s">
        <v>15</v>
      </c>
      <c r="K2799">
        <v>3</v>
      </c>
      <c r="L2799">
        <v>2.887</v>
      </c>
      <c r="M2799">
        <v>0</v>
      </c>
      <c r="N2799" t="s">
        <v>10019</v>
      </c>
      <c r="O2799" t="str">
        <f>HYPERLINK("3\1\marker_598_823673.png", "Ver Imagen")</f>
        <v>Ver Imagen</v>
      </c>
      <c r="P2799" t="str">
        <f>HYPERLINK("SE\A-492\A-492__92.png", "Ver Imagen")</f>
        <v>Ver Imagen</v>
      </c>
    </row>
    <row r="2800" spans="1:16" x14ac:dyDescent="0.25">
      <c r="A2800">
        <v>2287</v>
      </c>
      <c r="B2800" t="s">
        <v>4587</v>
      </c>
      <c r="C2800">
        <v>37.278976360500003</v>
      </c>
      <c r="D2800">
        <v>-7.0086193968200003</v>
      </c>
      <c r="E2800">
        <v>2</v>
      </c>
      <c r="F2800">
        <v>3</v>
      </c>
      <c r="G2800">
        <v>3</v>
      </c>
      <c r="J2800" t="s">
        <v>15</v>
      </c>
      <c r="K2800">
        <v>3</v>
      </c>
      <c r="L2800">
        <v>2.59</v>
      </c>
      <c r="M2800">
        <v>0</v>
      </c>
      <c r="N2800" t="s">
        <v>10019</v>
      </c>
      <c r="O2800" t="str">
        <f>HYPERLINK("3\1\marker_780_824225.png", "Ver Imagen")</f>
        <v>Ver Imagen</v>
      </c>
      <c r="P2800" t="str">
        <f>HYPERLINK("SE\A-492\A-492__106.png", "Ver Imagen")</f>
        <v>Ver Imagen</v>
      </c>
    </row>
    <row r="2801" spans="1:16" x14ac:dyDescent="0.25">
      <c r="A2801">
        <v>2288</v>
      </c>
      <c r="B2801" t="s">
        <v>4589</v>
      </c>
      <c r="C2801">
        <v>37.276010352900002</v>
      </c>
      <c r="D2801">
        <v>-7.01461648129</v>
      </c>
      <c r="E2801">
        <v>3</v>
      </c>
      <c r="F2801">
        <v>3</v>
      </c>
      <c r="G2801">
        <v>2</v>
      </c>
      <c r="J2801" t="s">
        <v>15</v>
      </c>
      <c r="K2801">
        <v>3</v>
      </c>
      <c r="L2801">
        <v>3.0619999999999998</v>
      </c>
      <c r="M2801">
        <v>0</v>
      </c>
      <c r="N2801" t="s">
        <v>10019</v>
      </c>
      <c r="O2801" t="str">
        <f>HYPERLINK("3\1\marker_482_824590.png", "Ver Imagen")</f>
        <v>Ver Imagen</v>
      </c>
      <c r="P2801" t="str">
        <f>HYPERLINK("SE\A-492\A-492__134.png", "Ver Imagen")</f>
        <v>Ver Imagen</v>
      </c>
    </row>
    <row r="2802" spans="1:16" x14ac:dyDescent="0.25">
      <c r="A2802">
        <v>2289</v>
      </c>
      <c r="B2802" t="s">
        <v>4591</v>
      </c>
      <c r="C2802">
        <v>37.2759366051</v>
      </c>
      <c r="D2802">
        <v>-7.0148505490500002</v>
      </c>
      <c r="E2802">
        <v>2</v>
      </c>
      <c r="F2802">
        <v>3</v>
      </c>
      <c r="G2802">
        <v>3</v>
      </c>
      <c r="J2802" t="s">
        <v>15</v>
      </c>
      <c r="K2802">
        <v>3</v>
      </c>
      <c r="L2802">
        <v>2.7149999999999999</v>
      </c>
      <c r="M2802">
        <v>0</v>
      </c>
      <c r="N2802" t="s">
        <v>10018</v>
      </c>
      <c r="O2802" t="str">
        <f>HYPERLINK("3\1\marker_362_824601.png", "Ver Imagen")</f>
        <v>Ver Imagen</v>
      </c>
      <c r="P2802" t="str">
        <f>HYPERLINK("SE\A-492\A-492__135.png", "Ver Imagen")</f>
        <v>Ver Imagen</v>
      </c>
    </row>
    <row r="2803" spans="1:16" x14ac:dyDescent="0.25">
      <c r="A2803">
        <v>2292</v>
      </c>
      <c r="B2803" t="s">
        <v>4597</v>
      </c>
      <c r="C2803">
        <v>37.293689005200001</v>
      </c>
      <c r="D2803">
        <v>-7.0468525891300002</v>
      </c>
      <c r="E2803">
        <v>2</v>
      </c>
      <c r="F2803">
        <v>3</v>
      </c>
      <c r="G2803">
        <v>3</v>
      </c>
      <c r="J2803" t="s">
        <v>15</v>
      </c>
      <c r="K2803">
        <v>3</v>
      </c>
      <c r="L2803">
        <v>2.927</v>
      </c>
      <c r="M2803">
        <v>0</v>
      </c>
      <c r="N2803" t="s">
        <v>10019</v>
      </c>
      <c r="O2803" t="str">
        <f>HYPERLINK("3\1\marker_216_837646.png", "Ver Imagen")</f>
        <v>Ver Imagen</v>
      </c>
      <c r="P2803" t="str">
        <f>HYPERLINK("SE\A-492\A-492__308.png", "Ver Imagen")</f>
        <v>Ver Imagen</v>
      </c>
    </row>
    <row r="2804" spans="1:16" x14ac:dyDescent="0.25">
      <c r="A2804">
        <v>2293</v>
      </c>
      <c r="B2804" t="s">
        <v>4599</v>
      </c>
      <c r="C2804">
        <v>37.2939692693</v>
      </c>
      <c r="D2804">
        <v>-7.0472386257000004</v>
      </c>
      <c r="E2804">
        <v>2</v>
      </c>
      <c r="F2804">
        <v>3</v>
      </c>
      <c r="G2804">
        <v>3</v>
      </c>
      <c r="J2804" t="s">
        <v>15</v>
      </c>
      <c r="K2804">
        <v>3</v>
      </c>
      <c r="L2804">
        <v>2.8620000000000001</v>
      </c>
      <c r="M2804">
        <v>0</v>
      </c>
      <c r="N2804" t="s">
        <v>10019</v>
      </c>
      <c r="O2804" t="str">
        <f>HYPERLINK("3\1\marker_791_837670.png", "Ver Imagen")</f>
        <v>Ver Imagen</v>
      </c>
      <c r="P2804" t="str">
        <f>HYPERLINK("SE\A-492\A-492__310.png", "Ver Imagen")</f>
        <v>Ver Imagen</v>
      </c>
    </row>
    <row r="2805" spans="1:16" x14ac:dyDescent="0.25">
      <c r="A2805">
        <v>2294</v>
      </c>
      <c r="B2805" t="s">
        <v>4601</v>
      </c>
      <c r="C2805">
        <v>37.299496516799998</v>
      </c>
      <c r="D2805">
        <v>-7.0546630012599998</v>
      </c>
      <c r="E2805">
        <v>2</v>
      </c>
      <c r="F2805">
        <v>3</v>
      </c>
      <c r="G2805">
        <v>3</v>
      </c>
      <c r="J2805" t="s">
        <v>15</v>
      </c>
      <c r="K2805">
        <v>3</v>
      </c>
      <c r="L2805">
        <v>3.0110000000000001</v>
      </c>
      <c r="M2805">
        <v>0</v>
      </c>
      <c r="N2805" t="s">
        <v>10019</v>
      </c>
      <c r="O2805" t="str">
        <f>HYPERLINK("3\1\marker_113_838376.png", "Ver Imagen")</f>
        <v>Ver Imagen</v>
      </c>
      <c r="P2805" t="str">
        <f>HYPERLINK("SE\A-492\A-492__351.png", "Ver Imagen")</f>
        <v>Ver Imagen</v>
      </c>
    </row>
    <row r="2806" spans="1:16" x14ac:dyDescent="0.25">
      <c r="A2806">
        <v>2295</v>
      </c>
      <c r="B2806" t="s">
        <v>4603</v>
      </c>
      <c r="C2806">
        <v>37.308884898999999</v>
      </c>
      <c r="D2806">
        <v>-7.0574562742899998</v>
      </c>
      <c r="E2806">
        <v>2</v>
      </c>
      <c r="F2806">
        <v>3</v>
      </c>
      <c r="G2806">
        <v>3</v>
      </c>
      <c r="J2806" t="s">
        <v>15</v>
      </c>
      <c r="K2806">
        <v>3</v>
      </c>
      <c r="L2806">
        <v>3.0009999999999999</v>
      </c>
      <c r="M2806">
        <v>0</v>
      </c>
      <c r="N2806" t="s">
        <v>10019</v>
      </c>
      <c r="O2806" t="str">
        <f>HYPERLINK("3\1\marker_317_839162.png", "Ver Imagen")</f>
        <v>Ver Imagen</v>
      </c>
      <c r="P2806" t="str">
        <f>HYPERLINK("SE\A-492\A-492__400.png", "Ver Imagen")</f>
        <v>Ver Imagen</v>
      </c>
    </row>
    <row r="2807" spans="1:16" x14ac:dyDescent="0.25">
      <c r="A2807">
        <v>2296</v>
      </c>
      <c r="B2807" t="s">
        <v>4605</v>
      </c>
      <c r="C2807">
        <v>37.448730918499997</v>
      </c>
      <c r="D2807">
        <v>-7.1097277156700001</v>
      </c>
      <c r="E2807">
        <v>2</v>
      </c>
      <c r="F2807">
        <v>3</v>
      </c>
      <c r="G2807">
        <v>3</v>
      </c>
      <c r="J2807" t="s">
        <v>15</v>
      </c>
      <c r="K2807">
        <v>3</v>
      </c>
      <c r="L2807">
        <v>2.8490000000000002</v>
      </c>
      <c r="M2807">
        <v>0</v>
      </c>
      <c r="N2807" t="s">
        <v>10019</v>
      </c>
      <c r="O2807" t="str">
        <f>HYPERLINK("3\1\marker_801_936731.png", "Ver Imagen")</f>
        <v>Ver Imagen</v>
      </c>
      <c r="P2807" t="str">
        <f>HYPERLINK("NE\A-495R\A-495R__20.png", "Ver Imagen")</f>
        <v>Ver Imagen</v>
      </c>
    </row>
    <row r="2808" spans="1:16" x14ac:dyDescent="0.25">
      <c r="A2808">
        <v>2298</v>
      </c>
      <c r="B2808" t="s">
        <v>4609</v>
      </c>
      <c r="C2808">
        <v>37.193115387500001</v>
      </c>
      <c r="D2808">
        <v>-6.9955986853400001</v>
      </c>
      <c r="E2808">
        <v>2</v>
      </c>
      <c r="F2808">
        <v>3</v>
      </c>
      <c r="G2808">
        <v>3</v>
      </c>
      <c r="J2808" t="s">
        <v>15</v>
      </c>
      <c r="K2808">
        <v>3</v>
      </c>
      <c r="L2808">
        <v>2.8079999999999998</v>
      </c>
      <c r="M2808">
        <v>0</v>
      </c>
      <c r="N2808" t="s">
        <v>10019</v>
      </c>
      <c r="O2808" t="str">
        <f>HYPERLINK("3\1\marker_671_945387.png", "Ver Imagen")</f>
        <v>Ver Imagen</v>
      </c>
      <c r="P2808" t="str">
        <f>HYPERLINK("SE\A-5050\A-5050__150.png", "Ver Imagen")</f>
        <v>Ver Imagen</v>
      </c>
    </row>
    <row r="2809" spans="1:16" x14ac:dyDescent="0.25">
      <c r="A2809">
        <v>2299</v>
      </c>
      <c r="B2809" t="s">
        <v>4611</v>
      </c>
      <c r="C2809">
        <v>37.193485568200003</v>
      </c>
      <c r="D2809">
        <v>-6.9964745948899996</v>
      </c>
      <c r="E2809">
        <v>2</v>
      </c>
      <c r="F2809">
        <v>3</v>
      </c>
      <c r="G2809">
        <v>3</v>
      </c>
      <c r="J2809" t="s">
        <v>15</v>
      </c>
      <c r="K2809">
        <v>3</v>
      </c>
      <c r="L2809">
        <v>2.702</v>
      </c>
      <c r="M2809">
        <v>0</v>
      </c>
      <c r="N2809" t="s">
        <v>10019</v>
      </c>
      <c r="O2809" t="str">
        <f>HYPERLINK("3\1\marker_432_945443.png", "Ver Imagen")</f>
        <v>Ver Imagen</v>
      </c>
      <c r="P2809" t="str">
        <f>HYPERLINK("SE\A-5050\A-5050__146.png", "Ver Imagen")</f>
        <v>Ver Imagen</v>
      </c>
    </row>
    <row r="2810" spans="1:16" x14ac:dyDescent="0.25">
      <c r="A2810">
        <v>2300</v>
      </c>
      <c r="B2810" t="s">
        <v>4613</v>
      </c>
      <c r="C2810">
        <v>37.193771185700001</v>
      </c>
      <c r="D2810">
        <v>-6.9971567195300004</v>
      </c>
      <c r="E2810">
        <v>2</v>
      </c>
      <c r="F2810">
        <v>3</v>
      </c>
      <c r="G2810">
        <v>3</v>
      </c>
      <c r="J2810" t="s">
        <v>15</v>
      </c>
      <c r="K2810">
        <v>3</v>
      </c>
      <c r="L2810">
        <v>3.0249999999999999</v>
      </c>
      <c r="M2810">
        <v>0</v>
      </c>
      <c r="N2810" t="s">
        <v>10019</v>
      </c>
      <c r="O2810" t="str">
        <f>HYPERLINK("3\1\marker_874_945809.png", "Ver Imagen")</f>
        <v>Ver Imagen</v>
      </c>
      <c r="P2810" t="str">
        <f>HYPERLINK("SE\A-5050\A-5050__143.png", "Ver Imagen")</f>
        <v>Ver Imagen</v>
      </c>
    </row>
    <row r="2811" spans="1:16" x14ac:dyDescent="0.25">
      <c r="A2811">
        <v>2301</v>
      </c>
      <c r="B2811" t="s">
        <v>4615</v>
      </c>
      <c r="C2811">
        <v>37.195241651700002</v>
      </c>
      <c r="D2811">
        <v>-7.0007336489599998</v>
      </c>
      <c r="E2811">
        <v>2</v>
      </c>
      <c r="F2811">
        <v>3</v>
      </c>
      <c r="G2811">
        <v>3</v>
      </c>
      <c r="J2811" t="s">
        <v>15</v>
      </c>
      <c r="K2811">
        <v>3</v>
      </c>
      <c r="L2811">
        <v>2.7690000000000001</v>
      </c>
      <c r="M2811">
        <v>0</v>
      </c>
      <c r="N2811" t="s">
        <v>10017</v>
      </c>
      <c r="O2811" t="str">
        <f>HYPERLINK("3\1\marker_931_946343.png", "Ver Imagen")</f>
        <v>Ver Imagen</v>
      </c>
      <c r="P2811" t="str">
        <f>HYPERLINK("SE\A-5050\A-5050__127.png", "Ver Imagen")</f>
        <v>Ver Imagen</v>
      </c>
    </row>
    <row r="2812" spans="1:16" x14ac:dyDescent="0.25">
      <c r="A2812">
        <v>2302</v>
      </c>
      <c r="B2812" t="s">
        <v>4617</v>
      </c>
      <c r="C2812">
        <v>37.195527312000003</v>
      </c>
      <c r="D2812">
        <v>-7.0014284151300004</v>
      </c>
      <c r="E2812">
        <v>2</v>
      </c>
      <c r="F2812">
        <v>3</v>
      </c>
      <c r="G2812">
        <v>3</v>
      </c>
      <c r="J2812" t="s">
        <v>15</v>
      </c>
      <c r="K2812">
        <v>3</v>
      </c>
      <c r="L2812">
        <v>2.8</v>
      </c>
      <c r="M2812">
        <v>0</v>
      </c>
      <c r="N2812" t="s">
        <v>10019</v>
      </c>
      <c r="O2812" t="str">
        <f>HYPERLINK("3\1\marker_726_946375.png", "Ver Imagen")</f>
        <v>Ver Imagen</v>
      </c>
      <c r="P2812" t="str">
        <f>HYPERLINK("SE\A-5050\A-5050__124.png", "Ver Imagen")</f>
        <v>Ver Imagen</v>
      </c>
    </row>
    <row r="2813" spans="1:16" x14ac:dyDescent="0.25">
      <c r="A2813">
        <v>2303</v>
      </c>
      <c r="B2813" t="s">
        <v>4619</v>
      </c>
      <c r="C2813">
        <v>37.195626871000002</v>
      </c>
      <c r="D2813">
        <v>-7.00166955124</v>
      </c>
      <c r="E2813">
        <v>2</v>
      </c>
      <c r="F2813">
        <v>3</v>
      </c>
      <c r="G2813">
        <v>3</v>
      </c>
      <c r="J2813" t="s">
        <v>15</v>
      </c>
      <c r="K2813">
        <v>3</v>
      </c>
      <c r="L2813">
        <v>2.9820000000000002</v>
      </c>
      <c r="M2813">
        <v>0</v>
      </c>
      <c r="N2813" t="s">
        <v>10019</v>
      </c>
      <c r="O2813" t="str">
        <f>HYPERLINK("3\1\marker_284_946471.png", "Ver Imagen")</f>
        <v>Ver Imagen</v>
      </c>
      <c r="P2813" t="str">
        <f>HYPERLINK("SE\A-5050\A-5050__123.png", "Ver Imagen")</f>
        <v>Ver Imagen</v>
      </c>
    </row>
    <row r="2814" spans="1:16" x14ac:dyDescent="0.25">
      <c r="A2814">
        <v>2304</v>
      </c>
      <c r="B2814" t="s">
        <v>4621</v>
      </c>
      <c r="C2814">
        <v>37.1957044858</v>
      </c>
      <c r="D2814">
        <v>-7.0018564437000004</v>
      </c>
      <c r="E2814">
        <v>2</v>
      </c>
      <c r="F2814">
        <v>3</v>
      </c>
      <c r="G2814">
        <v>3</v>
      </c>
      <c r="J2814" t="s">
        <v>15</v>
      </c>
      <c r="K2814">
        <v>3</v>
      </c>
      <c r="L2814">
        <v>2.851</v>
      </c>
      <c r="M2814">
        <v>0</v>
      </c>
      <c r="N2814" t="s">
        <v>10019</v>
      </c>
      <c r="O2814" t="str">
        <f>HYPERLINK("3\1\marker_158_946481.png", "Ver Imagen")</f>
        <v>Ver Imagen</v>
      </c>
      <c r="P2814" t="str">
        <f>HYPERLINK("SE\A-5050\A-5050__122.png", "Ver Imagen")</f>
        <v>Ver Imagen</v>
      </c>
    </row>
    <row r="2815" spans="1:16" x14ac:dyDescent="0.25">
      <c r="A2815">
        <v>2305</v>
      </c>
      <c r="B2815" t="s">
        <v>4623</v>
      </c>
      <c r="C2815">
        <v>37.195796022400003</v>
      </c>
      <c r="D2815">
        <v>-7.0020759141699997</v>
      </c>
      <c r="E2815">
        <v>2</v>
      </c>
      <c r="F2815">
        <v>3</v>
      </c>
      <c r="G2815">
        <v>3</v>
      </c>
      <c r="J2815" t="s">
        <v>15</v>
      </c>
      <c r="K2815">
        <v>3</v>
      </c>
      <c r="L2815">
        <v>3.0230000000000001</v>
      </c>
      <c r="M2815">
        <v>0</v>
      </c>
      <c r="N2815" t="s">
        <v>10019</v>
      </c>
      <c r="O2815" t="str">
        <f>HYPERLINK("3\1\marker_390_946495.png", "Ver Imagen")</f>
        <v>Ver Imagen</v>
      </c>
      <c r="P2815" t="str">
        <f>HYPERLINK("SE\A-5050\A-5050__121.png", "Ver Imagen")</f>
        <v>Ver Imagen</v>
      </c>
    </row>
    <row r="2816" spans="1:16" x14ac:dyDescent="0.25">
      <c r="A2816">
        <v>2306</v>
      </c>
      <c r="B2816" t="s">
        <v>4625</v>
      </c>
      <c r="C2816">
        <v>37.1960129267</v>
      </c>
      <c r="D2816">
        <v>-7.0025775224200002</v>
      </c>
      <c r="E2816">
        <v>2</v>
      </c>
      <c r="F2816">
        <v>3</v>
      </c>
      <c r="G2816">
        <v>3</v>
      </c>
      <c r="J2816" t="s">
        <v>15</v>
      </c>
      <c r="K2816">
        <v>3</v>
      </c>
      <c r="L2816">
        <v>3.0089999999999999</v>
      </c>
      <c r="M2816">
        <v>0</v>
      </c>
      <c r="N2816" t="s">
        <v>10019</v>
      </c>
      <c r="O2816" t="str">
        <f>HYPERLINK("3\1\marker_414_946518.png", "Ver Imagen")</f>
        <v>Ver Imagen</v>
      </c>
      <c r="P2816" t="str">
        <f>HYPERLINK("SE\A-5050\A-5050__119.png", "Ver Imagen")</f>
        <v>Ver Imagen</v>
      </c>
    </row>
    <row r="2817" spans="1:16" x14ac:dyDescent="0.25">
      <c r="A2817">
        <v>2311</v>
      </c>
      <c r="B2817" t="s">
        <v>4635</v>
      </c>
      <c r="C2817">
        <v>37.196672254900001</v>
      </c>
      <c r="D2817">
        <v>-7.0041150178700002</v>
      </c>
      <c r="E2817">
        <v>2</v>
      </c>
      <c r="F2817">
        <v>3</v>
      </c>
      <c r="G2817">
        <v>3</v>
      </c>
      <c r="J2817" t="s">
        <v>15</v>
      </c>
      <c r="K2817">
        <v>3</v>
      </c>
      <c r="L2817">
        <v>2.8450000000000002</v>
      </c>
      <c r="M2817">
        <v>0</v>
      </c>
      <c r="N2817" t="s">
        <v>10019</v>
      </c>
      <c r="O2817" t="str">
        <f>HYPERLINK("3\1\marker_992_946639.png", "Ver Imagen")</f>
        <v>Ver Imagen</v>
      </c>
      <c r="P2817" t="str">
        <f>HYPERLINK("SE\A-5050\A-5050__112.png", "Ver Imagen")</f>
        <v>Ver Imagen</v>
      </c>
    </row>
    <row r="2818" spans="1:16" x14ac:dyDescent="0.25">
      <c r="A2818">
        <v>2314</v>
      </c>
      <c r="B2818" t="s">
        <v>4641</v>
      </c>
      <c r="C2818">
        <v>37.197013668300002</v>
      </c>
      <c r="D2818">
        <v>-7.0049778921900003</v>
      </c>
      <c r="E2818">
        <v>2</v>
      </c>
      <c r="F2818">
        <v>3</v>
      </c>
      <c r="G2818">
        <v>3</v>
      </c>
      <c r="J2818" t="s">
        <v>15</v>
      </c>
      <c r="K2818">
        <v>3</v>
      </c>
      <c r="L2818">
        <v>2.956</v>
      </c>
      <c r="M2818">
        <v>0</v>
      </c>
      <c r="N2818" t="s">
        <v>10019</v>
      </c>
      <c r="O2818" t="str">
        <f>HYPERLINK("3\1\marker_869_946686.png", "Ver Imagen")</f>
        <v>Ver Imagen</v>
      </c>
      <c r="P2818" t="str">
        <f>HYPERLINK("SE\A-5050\A-5050__108.png", "Ver Imagen")</f>
        <v>Ver Imagen</v>
      </c>
    </row>
    <row r="2819" spans="1:16" x14ac:dyDescent="0.25">
      <c r="A2819">
        <v>2315</v>
      </c>
      <c r="B2819" t="s">
        <v>4643</v>
      </c>
      <c r="C2819">
        <v>37.1975099884</v>
      </c>
      <c r="D2819">
        <v>-7.0061400130899996</v>
      </c>
      <c r="E2819">
        <v>2</v>
      </c>
      <c r="F2819">
        <v>3</v>
      </c>
      <c r="G2819">
        <v>3</v>
      </c>
      <c r="J2819" t="s">
        <v>15</v>
      </c>
      <c r="K2819">
        <v>3</v>
      </c>
      <c r="L2819">
        <v>3.1629999999999998</v>
      </c>
      <c r="M2819">
        <v>0</v>
      </c>
      <c r="N2819" t="s">
        <v>10019</v>
      </c>
      <c r="O2819" t="str">
        <f>HYPERLINK("3\1\marker_643_946755.png", "Ver Imagen")</f>
        <v>Ver Imagen</v>
      </c>
      <c r="P2819" t="str">
        <f>HYPERLINK("SE\A-5050\A-5050__103.png", "Ver Imagen")</f>
        <v>Ver Imagen</v>
      </c>
    </row>
    <row r="2820" spans="1:16" x14ac:dyDescent="0.25">
      <c r="A2820">
        <v>2316</v>
      </c>
      <c r="B2820" t="s">
        <v>4645</v>
      </c>
      <c r="C2820">
        <v>37.1978038922</v>
      </c>
      <c r="D2820">
        <v>-7.0067726128999999</v>
      </c>
      <c r="E2820">
        <v>2</v>
      </c>
      <c r="F2820">
        <v>3</v>
      </c>
      <c r="G2820">
        <v>3</v>
      </c>
      <c r="J2820" t="s">
        <v>15</v>
      </c>
      <c r="K2820">
        <v>3</v>
      </c>
      <c r="L2820">
        <v>2.895</v>
      </c>
      <c r="M2820">
        <v>0</v>
      </c>
      <c r="N2820" t="s">
        <v>10019</v>
      </c>
      <c r="O2820" t="str">
        <f>HYPERLINK("3\1\marker_596_946804.png", "Ver Imagen")</f>
        <v>Ver Imagen</v>
      </c>
      <c r="P2820" t="str">
        <f>HYPERLINK("SE\A-5050\A-5050__100.png", "Ver Imagen")</f>
        <v>Ver Imagen</v>
      </c>
    </row>
    <row r="2821" spans="1:16" x14ac:dyDescent="0.25">
      <c r="A2821">
        <v>2317</v>
      </c>
      <c r="B2821" t="s">
        <v>4647</v>
      </c>
      <c r="C2821">
        <v>37.197909406400001</v>
      </c>
      <c r="D2821">
        <v>-7.0069904976000004</v>
      </c>
      <c r="E2821">
        <v>2</v>
      </c>
      <c r="F2821">
        <v>3</v>
      </c>
      <c r="G2821">
        <v>3</v>
      </c>
      <c r="J2821" t="s">
        <v>15</v>
      </c>
      <c r="K2821">
        <v>3</v>
      </c>
      <c r="L2821">
        <v>2.899</v>
      </c>
      <c r="M2821">
        <v>0</v>
      </c>
      <c r="N2821" t="s">
        <v>10019</v>
      </c>
      <c r="O2821" t="str">
        <f>HYPERLINK("3\1\marker_945_946813.png", "Ver Imagen")</f>
        <v>Ver Imagen</v>
      </c>
      <c r="P2821" t="str">
        <f>HYPERLINK("SE\A-5050\A-5050__99.png", "Ver Imagen")</f>
        <v>Ver Imagen</v>
      </c>
    </row>
    <row r="2822" spans="1:16" x14ac:dyDescent="0.25">
      <c r="A2822">
        <v>2318</v>
      </c>
      <c r="B2822" t="s">
        <v>4649</v>
      </c>
      <c r="C2822">
        <v>37.1980110497</v>
      </c>
      <c r="D2822">
        <v>-7.00719728324</v>
      </c>
      <c r="E2822">
        <v>2</v>
      </c>
      <c r="F2822">
        <v>3</v>
      </c>
      <c r="G2822">
        <v>3</v>
      </c>
      <c r="J2822" t="s">
        <v>15</v>
      </c>
      <c r="K2822">
        <v>3</v>
      </c>
      <c r="L2822">
        <v>3.1640000000000001</v>
      </c>
      <c r="M2822">
        <v>0</v>
      </c>
      <c r="N2822" t="s">
        <v>10019</v>
      </c>
      <c r="O2822" t="str">
        <f>HYPERLINK("3\1\marker_379_946827.png", "Ver Imagen")</f>
        <v>Ver Imagen</v>
      </c>
      <c r="P2822" t="str">
        <f>HYPERLINK("SE\A-5050\A-5050__98.png", "Ver Imagen")</f>
        <v>Ver Imagen</v>
      </c>
    </row>
    <row r="2823" spans="1:16" x14ac:dyDescent="0.25">
      <c r="A2823">
        <v>2319</v>
      </c>
      <c r="B2823" t="s">
        <v>4651</v>
      </c>
      <c r="C2823">
        <v>37.198134524300002</v>
      </c>
      <c r="D2823">
        <v>-7.0074456205600004</v>
      </c>
      <c r="E2823">
        <v>2</v>
      </c>
      <c r="F2823">
        <v>3</v>
      </c>
      <c r="G2823">
        <v>3</v>
      </c>
      <c r="J2823" t="s">
        <v>15</v>
      </c>
      <c r="K2823">
        <v>3</v>
      </c>
      <c r="L2823">
        <v>3.0030000000000001</v>
      </c>
      <c r="M2823">
        <v>0</v>
      </c>
      <c r="N2823" t="s">
        <v>10019</v>
      </c>
      <c r="O2823" t="str">
        <f>HYPERLINK("3\1\marker_356_946843.png", "Ver Imagen")</f>
        <v>Ver Imagen</v>
      </c>
      <c r="P2823" t="str">
        <f>HYPERLINK("SE\A-5050\A-5050__97.png", "Ver Imagen")</f>
        <v>Ver Imagen</v>
      </c>
    </row>
    <row r="2824" spans="1:16" x14ac:dyDescent="0.25">
      <c r="A2824">
        <v>2320</v>
      </c>
      <c r="B2824" t="s">
        <v>4653</v>
      </c>
      <c r="C2824">
        <v>37.198226044400002</v>
      </c>
      <c r="D2824">
        <v>-7.00762892903</v>
      </c>
      <c r="E2824">
        <v>2</v>
      </c>
      <c r="F2824">
        <v>3</v>
      </c>
      <c r="G2824">
        <v>3</v>
      </c>
      <c r="J2824" t="s">
        <v>15</v>
      </c>
      <c r="K2824">
        <v>3</v>
      </c>
      <c r="L2824">
        <v>3.0779999999999998</v>
      </c>
      <c r="M2824">
        <v>0</v>
      </c>
      <c r="N2824" t="s">
        <v>10019</v>
      </c>
      <c r="O2824" t="str">
        <f>HYPERLINK("3\1\marker_655_946870.png", "Ver Imagen")</f>
        <v>Ver Imagen</v>
      </c>
      <c r="P2824" t="str">
        <f>HYPERLINK("SE\A-5050\A-5050__96.png", "Ver Imagen")</f>
        <v>Ver Imagen</v>
      </c>
    </row>
    <row r="2825" spans="1:16" x14ac:dyDescent="0.25">
      <c r="A2825">
        <v>2321</v>
      </c>
      <c r="B2825" t="s">
        <v>4655</v>
      </c>
      <c r="C2825">
        <v>37.198432807899998</v>
      </c>
      <c r="D2825">
        <v>-7.0080365092200001</v>
      </c>
      <c r="E2825">
        <v>2</v>
      </c>
      <c r="F2825">
        <v>3</v>
      </c>
      <c r="G2825">
        <v>3</v>
      </c>
      <c r="J2825" t="s">
        <v>15</v>
      </c>
      <c r="K2825">
        <v>3</v>
      </c>
      <c r="L2825">
        <v>2.589</v>
      </c>
      <c r="M2825">
        <v>0</v>
      </c>
      <c r="N2825" t="s">
        <v>10018</v>
      </c>
      <c r="O2825" t="str">
        <f>HYPERLINK("3\1\marker_686_947013.png", "Ver Imagen")</f>
        <v>Ver Imagen</v>
      </c>
      <c r="P2825" t="str">
        <f>HYPERLINK("SE\A-5050\A-5050__94.png", "Ver Imagen")</f>
        <v>Ver Imagen</v>
      </c>
    </row>
    <row r="2826" spans="1:16" x14ac:dyDescent="0.25">
      <c r="A2826">
        <v>2322</v>
      </c>
      <c r="B2826" t="s">
        <v>4657</v>
      </c>
      <c r="C2826">
        <v>37.1985640479</v>
      </c>
      <c r="D2826">
        <v>-7.00829131292</v>
      </c>
      <c r="E2826">
        <v>2</v>
      </c>
      <c r="F2826">
        <v>3</v>
      </c>
      <c r="G2826">
        <v>3</v>
      </c>
      <c r="J2826" t="s">
        <v>15</v>
      </c>
      <c r="K2826">
        <v>3</v>
      </c>
      <c r="L2826">
        <v>3.3</v>
      </c>
      <c r="M2826">
        <v>0</v>
      </c>
      <c r="N2826" t="s">
        <v>10019</v>
      </c>
      <c r="O2826" t="str">
        <f>HYPERLINK("3\1\marker_626_947377.png", "Ver Imagen")</f>
        <v>Ver Imagen</v>
      </c>
      <c r="P2826" t="str">
        <f>HYPERLINK("SE\A-5050\A-5050__93.png", "Ver Imagen")</f>
        <v>Ver Imagen</v>
      </c>
    </row>
    <row r="2827" spans="1:16" x14ac:dyDescent="0.25">
      <c r="A2827">
        <v>2323</v>
      </c>
      <c r="B2827" t="s">
        <v>4659</v>
      </c>
      <c r="C2827">
        <v>37.198668867800002</v>
      </c>
      <c r="D2827">
        <v>-7.0084923478299999</v>
      </c>
      <c r="E2827">
        <v>2</v>
      </c>
      <c r="F2827">
        <v>3</v>
      </c>
      <c r="G2827">
        <v>3</v>
      </c>
      <c r="J2827" t="s">
        <v>15</v>
      </c>
      <c r="K2827">
        <v>3</v>
      </c>
      <c r="L2827">
        <v>2.891</v>
      </c>
      <c r="M2827">
        <v>0</v>
      </c>
      <c r="N2827" t="s">
        <v>10019</v>
      </c>
      <c r="O2827" t="str">
        <f>HYPERLINK("3\1\marker_899_947391.png", "Ver Imagen")</f>
        <v>Ver Imagen</v>
      </c>
      <c r="P2827" t="str">
        <f>HYPERLINK("SE\A-5050\A-5050__92.png", "Ver Imagen")</f>
        <v>Ver Imagen</v>
      </c>
    </row>
    <row r="2828" spans="1:16" x14ac:dyDescent="0.25">
      <c r="A2828">
        <v>2324</v>
      </c>
      <c r="B2828" t="s">
        <v>4661</v>
      </c>
      <c r="C2828">
        <v>37.1987758426</v>
      </c>
      <c r="D2828">
        <v>-7.00869203289</v>
      </c>
      <c r="E2828">
        <v>2</v>
      </c>
      <c r="F2828">
        <v>3</v>
      </c>
      <c r="G2828">
        <v>3</v>
      </c>
      <c r="J2828" t="s">
        <v>15</v>
      </c>
      <c r="K2828">
        <v>3</v>
      </c>
      <c r="L2828">
        <v>3.0790000000000002</v>
      </c>
      <c r="M2828">
        <v>0</v>
      </c>
      <c r="N2828" t="s">
        <v>10019</v>
      </c>
      <c r="O2828" t="str">
        <f>HYPERLINK("3\1\marker_699_947401.png", "Ver Imagen")</f>
        <v>Ver Imagen</v>
      </c>
      <c r="P2828" t="str">
        <f>HYPERLINK("SE\A-5050\A-5050__91.png", "Ver Imagen")</f>
        <v>Ver Imagen</v>
      </c>
    </row>
    <row r="2829" spans="1:16" x14ac:dyDescent="0.25">
      <c r="A2829">
        <v>2325</v>
      </c>
      <c r="B2829" t="s">
        <v>4663</v>
      </c>
      <c r="C2829">
        <v>37.198886968799997</v>
      </c>
      <c r="D2829">
        <v>-7.00889329532</v>
      </c>
      <c r="E2829">
        <v>2</v>
      </c>
      <c r="F2829">
        <v>3</v>
      </c>
      <c r="G2829">
        <v>3</v>
      </c>
      <c r="J2829" t="s">
        <v>15</v>
      </c>
      <c r="K2829">
        <v>3</v>
      </c>
      <c r="L2829">
        <v>2.9409999999999998</v>
      </c>
      <c r="M2829">
        <v>0</v>
      </c>
      <c r="N2829" t="s">
        <v>10017</v>
      </c>
      <c r="O2829" t="str">
        <f>HYPERLINK("3\1\marker_128_947412.png", "Ver Imagen")</f>
        <v>Ver Imagen</v>
      </c>
      <c r="P2829" t="str">
        <f>HYPERLINK("SE\A-5050\A-5050__90.png", "Ver Imagen")</f>
        <v>Ver Imagen</v>
      </c>
    </row>
    <row r="2830" spans="1:16" x14ac:dyDescent="0.25">
      <c r="A2830">
        <v>2326</v>
      </c>
      <c r="B2830" t="s">
        <v>4665</v>
      </c>
      <c r="C2830">
        <v>37.199020124900002</v>
      </c>
      <c r="D2830">
        <v>-7.0091278741799998</v>
      </c>
      <c r="E2830">
        <v>2</v>
      </c>
      <c r="F2830">
        <v>3</v>
      </c>
      <c r="G2830">
        <v>3</v>
      </c>
      <c r="J2830" t="s">
        <v>15</v>
      </c>
      <c r="K2830">
        <v>3</v>
      </c>
      <c r="L2830">
        <v>2.6829999999999998</v>
      </c>
      <c r="M2830">
        <v>0</v>
      </c>
      <c r="N2830" t="s">
        <v>10017</v>
      </c>
      <c r="O2830" t="str">
        <f>HYPERLINK("3\1\marker_730_947424.png", "Ver Imagen")</f>
        <v>Ver Imagen</v>
      </c>
      <c r="P2830" t="str">
        <f>HYPERLINK("SE\A-5050\A-5050__89.png", "Ver Imagen")</f>
        <v>Ver Imagen</v>
      </c>
    </row>
    <row r="2831" spans="1:16" x14ac:dyDescent="0.25">
      <c r="A2831">
        <v>2327</v>
      </c>
      <c r="B2831" t="s">
        <v>4667</v>
      </c>
      <c r="C2831">
        <v>37.199368534900003</v>
      </c>
      <c r="D2831">
        <v>-7.00972052921</v>
      </c>
      <c r="E2831">
        <v>2</v>
      </c>
      <c r="F2831">
        <v>3</v>
      </c>
      <c r="G2831">
        <v>3</v>
      </c>
      <c r="J2831" t="s">
        <v>15</v>
      </c>
      <c r="K2831">
        <v>3</v>
      </c>
      <c r="L2831">
        <v>2.9849999999999999</v>
      </c>
      <c r="M2831">
        <v>0</v>
      </c>
      <c r="N2831" t="s">
        <v>10019</v>
      </c>
      <c r="O2831" t="str">
        <f>HYPERLINK("3\1\marker_462_947457.png", "Ver Imagen")</f>
        <v>Ver Imagen</v>
      </c>
      <c r="P2831" t="str">
        <f>HYPERLINK("SE\A-5050\A-5050__86.png", "Ver Imagen")</f>
        <v>Ver Imagen</v>
      </c>
    </row>
    <row r="2832" spans="1:16" x14ac:dyDescent="0.25">
      <c r="A2832">
        <v>2328</v>
      </c>
      <c r="B2832" t="s">
        <v>4669</v>
      </c>
      <c r="C2832">
        <v>37.199605785300001</v>
      </c>
      <c r="D2832">
        <v>-7.0101170482299997</v>
      </c>
      <c r="E2832">
        <v>2</v>
      </c>
      <c r="F2832">
        <v>3</v>
      </c>
      <c r="G2832">
        <v>3</v>
      </c>
      <c r="J2832" t="s">
        <v>15</v>
      </c>
      <c r="K2832">
        <v>3</v>
      </c>
      <c r="L2832">
        <v>3.2029999999999998</v>
      </c>
      <c r="M2832">
        <v>0</v>
      </c>
      <c r="N2832" t="s">
        <v>10019</v>
      </c>
      <c r="O2832" t="str">
        <f>HYPERLINK("3\1\marker_803_948654.png", "Ver Imagen")</f>
        <v>Ver Imagen</v>
      </c>
      <c r="P2832" t="str">
        <f>HYPERLINK("SE\A-5050\A-5050__84.png", "Ver Imagen")</f>
        <v>Ver Imagen</v>
      </c>
    </row>
    <row r="2833" spans="1:16" x14ac:dyDescent="0.25">
      <c r="A2833">
        <v>2329</v>
      </c>
      <c r="B2833" t="s">
        <v>4671</v>
      </c>
      <c r="C2833">
        <v>37.199764118099999</v>
      </c>
      <c r="D2833">
        <v>-7.0103768355899998</v>
      </c>
      <c r="E2833">
        <v>2</v>
      </c>
      <c r="F2833">
        <v>3</v>
      </c>
      <c r="G2833">
        <v>3</v>
      </c>
      <c r="J2833" t="s">
        <v>15</v>
      </c>
      <c r="K2833">
        <v>3</v>
      </c>
      <c r="L2833">
        <v>3.0339999999999998</v>
      </c>
      <c r="M2833">
        <v>0</v>
      </c>
      <c r="N2833" t="s">
        <v>10017</v>
      </c>
      <c r="O2833" t="str">
        <f>HYPERLINK("3\1\marker_460_948734.png", "Ver Imagen")</f>
        <v>Ver Imagen</v>
      </c>
      <c r="P2833" t="str">
        <f>HYPERLINK("SE\A-5050\A-5050__83.png", "Ver Imagen")</f>
        <v>Ver Imagen</v>
      </c>
    </row>
    <row r="2834" spans="1:16" x14ac:dyDescent="0.25">
      <c r="A2834">
        <v>2330</v>
      </c>
      <c r="B2834" t="s">
        <v>4673</v>
      </c>
      <c r="C2834">
        <v>37.200375028899998</v>
      </c>
      <c r="D2834">
        <v>-7.0113339004000004</v>
      </c>
      <c r="E2834">
        <v>2</v>
      </c>
      <c r="F2834">
        <v>3</v>
      </c>
      <c r="G2834">
        <v>3</v>
      </c>
      <c r="J2834" t="s">
        <v>15</v>
      </c>
      <c r="K2834">
        <v>3</v>
      </c>
      <c r="L2834">
        <v>3.069</v>
      </c>
      <c r="M2834">
        <v>0</v>
      </c>
      <c r="N2834" t="s">
        <v>10019</v>
      </c>
      <c r="O2834" t="str">
        <f>HYPERLINK("3\1\marker_167_948792.png", "Ver Imagen")</f>
        <v>Ver Imagen</v>
      </c>
      <c r="P2834" t="str">
        <f>HYPERLINK("SE\A-5050\A-5050__78.png", "Ver Imagen")</f>
        <v>Ver Imagen</v>
      </c>
    </row>
    <row r="2835" spans="1:16" x14ac:dyDescent="0.25">
      <c r="A2835">
        <v>2331</v>
      </c>
      <c r="B2835" t="s">
        <v>4675</v>
      </c>
      <c r="C2835">
        <v>37.200506019199999</v>
      </c>
      <c r="D2835">
        <v>-7.01153418079</v>
      </c>
      <c r="E2835">
        <v>2</v>
      </c>
      <c r="F2835">
        <v>3</v>
      </c>
      <c r="G2835">
        <v>3</v>
      </c>
      <c r="J2835" t="s">
        <v>15</v>
      </c>
      <c r="K2835">
        <v>3</v>
      </c>
      <c r="L2835">
        <v>2.867</v>
      </c>
      <c r="M2835">
        <v>0</v>
      </c>
      <c r="N2835" t="s">
        <v>10019</v>
      </c>
      <c r="O2835" t="str">
        <f>HYPERLINK("3\1\marker_588_948803.png", "Ver Imagen")</f>
        <v>Ver Imagen</v>
      </c>
      <c r="P2835" t="str">
        <f>HYPERLINK("SE\A-5050\A-5050__77.png", "Ver Imagen")</f>
        <v>Ver Imagen</v>
      </c>
    </row>
    <row r="2836" spans="1:16" x14ac:dyDescent="0.25">
      <c r="A2836">
        <v>2332</v>
      </c>
      <c r="B2836" t="s">
        <v>4677</v>
      </c>
      <c r="C2836">
        <v>37.2008896217</v>
      </c>
      <c r="D2836">
        <v>-7.0121176049200002</v>
      </c>
      <c r="E2836">
        <v>2</v>
      </c>
      <c r="F2836">
        <v>3</v>
      </c>
      <c r="G2836">
        <v>3</v>
      </c>
      <c r="J2836" t="s">
        <v>15</v>
      </c>
      <c r="K2836">
        <v>3</v>
      </c>
      <c r="L2836">
        <v>3.012</v>
      </c>
      <c r="M2836">
        <v>0</v>
      </c>
      <c r="N2836" t="s">
        <v>10018</v>
      </c>
      <c r="O2836" t="str">
        <f>HYPERLINK("3\1\marker_289_948836.png", "Ver Imagen")</f>
        <v>Ver Imagen</v>
      </c>
      <c r="P2836" t="str">
        <f>HYPERLINK("SE\A-5050\A-5050__74.png", "Ver Imagen")</f>
        <v>Ver Imagen</v>
      </c>
    </row>
    <row r="2837" spans="1:16" x14ac:dyDescent="0.25">
      <c r="A2837">
        <v>2333</v>
      </c>
      <c r="B2837" t="s">
        <v>4679</v>
      </c>
      <c r="C2837">
        <v>37.201002843300003</v>
      </c>
      <c r="D2837">
        <v>-7.0122903450500003</v>
      </c>
      <c r="E2837">
        <v>2</v>
      </c>
      <c r="F2837">
        <v>3</v>
      </c>
      <c r="G2837">
        <v>3</v>
      </c>
      <c r="J2837" t="s">
        <v>15</v>
      </c>
      <c r="K2837">
        <v>3</v>
      </c>
      <c r="L2837">
        <v>2.915</v>
      </c>
      <c r="M2837">
        <v>0</v>
      </c>
      <c r="N2837" t="s">
        <v>10019</v>
      </c>
      <c r="O2837" t="str">
        <f>HYPERLINK("3\1\marker_256_948844.png", "Ver Imagen")</f>
        <v>Ver Imagen</v>
      </c>
      <c r="P2837" t="str">
        <f>HYPERLINK("SE\A-5050\A-5050__73.png", "Ver Imagen")</f>
        <v>Ver Imagen</v>
      </c>
    </row>
    <row r="2838" spans="1:16" x14ac:dyDescent="0.25">
      <c r="A2838">
        <v>2334</v>
      </c>
      <c r="B2838" t="s">
        <v>4681</v>
      </c>
      <c r="C2838">
        <v>37.201146004599998</v>
      </c>
      <c r="D2838">
        <v>-7.0125094781000001</v>
      </c>
      <c r="E2838">
        <v>2</v>
      </c>
      <c r="F2838">
        <v>3</v>
      </c>
      <c r="G2838">
        <v>3</v>
      </c>
      <c r="J2838" t="s">
        <v>15</v>
      </c>
      <c r="K2838">
        <v>3</v>
      </c>
      <c r="L2838">
        <v>3.1150000000000002</v>
      </c>
      <c r="M2838">
        <v>0</v>
      </c>
      <c r="N2838" t="s">
        <v>10019</v>
      </c>
      <c r="O2838" t="str">
        <f>HYPERLINK("3\1\marker_401_948853.png", "Ver Imagen")</f>
        <v>Ver Imagen</v>
      </c>
      <c r="P2838" t="str">
        <f>HYPERLINK("SE\A-5050\A-5050__72.png", "Ver Imagen")</f>
        <v>Ver Imagen</v>
      </c>
    </row>
    <row r="2839" spans="1:16" x14ac:dyDescent="0.25">
      <c r="A2839">
        <v>2335</v>
      </c>
      <c r="B2839" t="s">
        <v>4683</v>
      </c>
      <c r="C2839">
        <v>37.201301340199997</v>
      </c>
      <c r="D2839">
        <v>-7.0127475731800004</v>
      </c>
      <c r="E2839">
        <v>2</v>
      </c>
      <c r="F2839">
        <v>3</v>
      </c>
      <c r="G2839">
        <v>3</v>
      </c>
      <c r="J2839" t="s">
        <v>15</v>
      </c>
      <c r="K2839">
        <v>3</v>
      </c>
      <c r="L2839">
        <v>2.6779999999999999</v>
      </c>
      <c r="M2839">
        <v>0</v>
      </c>
      <c r="N2839" t="s">
        <v>10017</v>
      </c>
      <c r="O2839" t="str">
        <f>HYPERLINK("3\1\marker_875_948864.png", "Ver Imagen")</f>
        <v>Ver Imagen</v>
      </c>
      <c r="P2839" t="str">
        <f>HYPERLINK("SE\A-5050\A-5050__71.png", "Ver Imagen")</f>
        <v>Ver Imagen</v>
      </c>
    </row>
    <row r="2840" spans="1:16" x14ac:dyDescent="0.25">
      <c r="A2840">
        <v>2336</v>
      </c>
      <c r="B2840" t="s">
        <v>4685</v>
      </c>
      <c r="C2840">
        <v>37.201399246900003</v>
      </c>
      <c r="D2840">
        <v>-7.0128977313999998</v>
      </c>
      <c r="E2840">
        <v>2</v>
      </c>
      <c r="F2840">
        <v>3</v>
      </c>
      <c r="G2840">
        <v>3</v>
      </c>
      <c r="J2840" t="s">
        <v>15</v>
      </c>
      <c r="K2840">
        <v>3</v>
      </c>
      <c r="L2840">
        <v>3.0880000000000001</v>
      </c>
      <c r="M2840">
        <v>0</v>
      </c>
      <c r="N2840" t="s">
        <v>10019</v>
      </c>
      <c r="O2840" t="str">
        <f>HYPERLINK("3\1\marker_707_948873.png", "Ver Imagen")</f>
        <v>Ver Imagen</v>
      </c>
      <c r="P2840" t="str">
        <f>HYPERLINK("SE\A-5050\A-5050__70.png", "Ver Imagen")</f>
        <v>Ver Imagen</v>
      </c>
    </row>
    <row r="2841" spans="1:16" x14ac:dyDescent="0.25">
      <c r="A2841">
        <v>2337</v>
      </c>
      <c r="B2841" t="s">
        <v>4687</v>
      </c>
      <c r="C2841">
        <v>37.2015245288</v>
      </c>
      <c r="D2841">
        <v>-7.0130900365600004</v>
      </c>
      <c r="E2841">
        <v>2</v>
      </c>
      <c r="F2841">
        <v>3</v>
      </c>
      <c r="G2841">
        <v>3</v>
      </c>
      <c r="J2841" t="s">
        <v>15</v>
      </c>
      <c r="K2841">
        <v>3</v>
      </c>
      <c r="L2841">
        <v>3.0209999999999999</v>
      </c>
      <c r="M2841">
        <v>0</v>
      </c>
      <c r="N2841" t="s">
        <v>10019</v>
      </c>
      <c r="O2841" t="str">
        <f>HYPERLINK("3\1\marker_355_948882.png", "Ver Imagen")</f>
        <v>Ver Imagen</v>
      </c>
      <c r="P2841" t="str">
        <f>HYPERLINK("SE\A-5050\A-5050__69.png", "Ver Imagen")</f>
        <v>Ver Imagen</v>
      </c>
    </row>
    <row r="2842" spans="1:16" x14ac:dyDescent="0.25">
      <c r="A2842">
        <v>2338</v>
      </c>
      <c r="B2842" t="s">
        <v>4689</v>
      </c>
      <c r="C2842">
        <v>37.201650826700003</v>
      </c>
      <c r="D2842">
        <v>-7.0132835876000001</v>
      </c>
      <c r="E2842">
        <v>2</v>
      </c>
      <c r="F2842">
        <v>3</v>
      </c>
      <c r="G2842">
        <v>3</v>
      </c>
      <c r="J2842" t="s">
        <v>15</v>
      </c>
      <c r="K2842">
        <v>3</v>
      </c>
      <c r="L2842">
        <v>2.9620000000000002</v>
      </c>
      <c r="M2842">
        <v>0</v>
      </c>
      <c r="N2842" t="s">
        <v>10019</v>
      </c>
      <c r="O2842" t="str">
        <f>HYPERLINK("3\1\marker_519_948891.png", "Ver Imagen")</f>
        <v>Ver Imagen</v>
      </c>
      <c r="P2842" t="str">
        <f>HYPERLINK("SE\A-5050\A-5050__68.png", "Ver Imagen")</f>
        <v>Ver Imagen</v>
      </c>
    </row>
    <row r="2843" spans="1:16" x14ac:dyDescent="0.25">
      <c r="A2843">
        <v>2339</v>
      </c>
      <c r="B2843" t="s">
        <v>4691</v>
      </c>
      <c r="C2843">
        <v>37.201764662499997</v>
      </c>
      <c r="D2843">
        <v>-7.01345793591</v>
      </c>
      <c r="E2843">
        <v>2</v>
      </c>
      <c r="F2843">
        <v>3</v>
      </c>
      <c r="G2843">
        <v>3</v>
      </c>
      <c r="J2843" t="s">
        <v>15</v>
      </c>
      <c r="K2843">
        <v>3</v>
      </c>
      <c r="L2843">
        <v>2.5339999999999998</v>
      </c>
      <c r="M2843">
        <v>0</v>
      </c>
      <c r="N2843" t="s">
        <v>10019</v>
      </c>
      <c r="O2843" t="str">
        <f>HYPERLINK("3\1\marker_560_948900.png", "Ver Imagen")</f>
        <v>Ver Imagen</v>
      </c>
      <c r="P2843" t="str">
        <f>HYPERLINK("SE\A-5050\A-5050__67.png", "Ver Imagen")</f>
        <v>Ver Imagen</v>
      </c>
    </row>
    <row r="2844" spans="1:16" x14ac:dyDescent="0.25">
      <c r="A2844">
        <v>2340</v>
      </c>
      <c r="B2844" t="s">
        <v>4693</v>
      </c>
      <c r="C2844">
        <v>37.201908224699999</v>
      </c>
      <c r="D2844">
        <v>-7.0136783857799996</v>
      </c>
      <c r="E2844">
        <v>2</v>
      </c>
      <c r="F2844">
        <v>3</v>
      </c>
      <c r="G2844">
        <v>3</v>
      </c>
      <c r="J2844" t="s">
        <v>15</v>
      </c>
      <c r="K2844">
        <v>3</v>
      </c>
      <c r="L2844">
        <v>2.8180000000000001</v>
      </c>
      <c r="M2844">
        <v>0</v>
      </c>
      <c r="N2844" t="s">
        <v>10019</v>
      </c>
      <c r="O2844" t="str">
        <f>HYPERLINK("3\1\marker_152_948909.png", "Ver Imagen")</f>
        <v>Ver Imagen</v>
      </c>
      <c r="P2844" t="str">
        <f>HYPERLINK("SE\A-5050\A-5050__66.png", "Ver Imagen")</f>
        <v>Ver Imagen</v>
      </c>
    </row>
    <row r="2845" spans="1:16" x14ac:dyDescent="0.25">
      <c r="A2845">
        <v>2341</v>
      </c>
      <c r="B2845" t="s">
        <v>4695</v>
      </c>
      <c r="C2845">
        <v>37.202160039100001</v>
      </c>
      <c r="D2845">
        <v>-7.0140656715</v>
      </c>
      <c r="E2845">
        <v>2</v>
      </c>
      <c r="F2845">
        <v>3</v>
      </c>
      <c r="G2845">
        <v>3</v>
      </c>
      <c r="J2845" t="s">
        <v>15</v>
      </c>
      <c r="K2845">
        <v>3</v>
      </c>
      <c r="L2845">
        <v>3.198</v>
      </c>
      <c r="M2845">
        <v>0</v>
      </c>
      <c r="N2845" t="s">
        <v>10019</v>
      </c>
      <c r="O2845" t="str">
        <f>HYPERLINK("3\1\marker_488_948988.png", "Ver Imagen")</f>
        <v>Ver Imagen</v>
      </c>
      <c r="P2845" t="str">
        <f>HYPERLINK("SE\A-5050\A-5050__64.png", "Ver Imagen")</f>
        <v>Ver Imagen</v>
      </c>
    </row>
    <row r="2846" spans="1:16" x14ac:dyDescent="0.25">
      <c r="A2846">
        <v>2342</v>
      </c>
      <c r="B2846" t="s">
        <v>4697</v>
      </c>
      <c r="C2846">
        <v>37.202300316799999</v>
      </c>
      <c r="D2846">
        <v>-7.0142816285</v>
      </c>
      <c r="E2846">
        <v>2</v>
      </c>
      <c r="F2846">
        <v>3</v>
      </c>
      <c r="G2846">
        <v>3</v>
      </c>
      <c r="J2846" t="s">
        <v>15</v>
      </c>
      <c r="K2846">
        <v>3</v>
      </c>
      <c r="L2846">
        <v>3.1659999999999999</v>
      </c>
      <c r="M2846">
        <v>0</v>
      </c>
      <c r="N2846" t="s">
        <v>10019</v>
      </c>
      <c r="O2846" t="str">
        <f>HYPERLINK("3\1\marker_192_948997.png", "Ver Imagen")</f>
        <v>Ver Imagen</v>
      </c>
      <c r="P2846" t="str">
        <f>HYPERLINK("SE\A-5050\A-5050__63.png", "Ver Imagen")</f>
        <v>Ver Imagen</v>
      </c>
    </row>
    <row r="2847" spans="1:16" x14ac:dyDescent="0.25">
      <c r="A2847">
        <v>2343</v>
      </c>
      <c r="B2847" t="s">
        <v>4699</v>
      </c>
      <c r="C2847">
        <v>37.202557481900001</v>
      </c>
      <c r="D2847">
        <v>-7.0146763931100002</v>
      </c>
      <c r="E2847">
        <v>2</v>
      </c>
      <c r="F2847">
        <v>3</v>
      </c>
      <c r="G2847">
        <v>3</v>
      </c>
      <c r="J2847" t="s">
        <v>15</v>
      </c>
      <c r="K2847">
        <v>3</v>
      </c>
      <c r="L2847">
        <v>2.9769999999999999</v>
      </c>
      <c r="M2847">
        <v>0</v>
      </c>
      <c r="N2847" t="s">
        <v>10019</v>
      </c>
      <c r="O2847" t="str">
        <f>HYPERLINK("3\1\marker_928_949032.png", "Ver Imagen")</f>
        <v>Ver Imagen</v>
      </c>
      <c r="P2847" t="str">
        <f>HYPERLINK("SE\A-5050\A-5050__61.png", "Ver Imagen")</f>
        <v>Ver Imagen</v>
      </c>
    </row>
    <row r="2848" spans="1:16" x14ac:dyDescent="0.25">
      <c r="A2848">
        <v>2344</v>
      </c>
      <c r="B2848" t="s">
        <v>4701</v>
      </c>
      <c r="C2848">
        <v>37.203305360500003</v>
      </c>
      <c r="D2848">
        <v>-7.0158166162700004</v>
      </c>
      <c r="E2848">
        <v>2</v>
      </c>
      <c r="F2848">
        <v>3</v>
      </c>
      <c r="G2848">
        <v>3</v>
      </c>
      <c r="J2848" t="s">
        <v>15</v>
      </c>
      <c r="K2848">
        <v>3</v>
      </c>
      <c r="L2848">
        <v>2.8769999999999998</v>
      </c>
      <c r="M2848">
        <v>0</v>
      </c>
      <c r="N2848" t="s">
        <v>10019</v>
      </c>
      <c r="O2848" t="str">
        <f>HYPERLINK("3\1\marker_738_949109.png", "Ver Imagen")</f>
        <v>Ver Imagen</v>
      </c>
      <c r="P2848" t="str">
        <f>HYPERLINK("SE\A-5050\A-5050__55.png", "Ver Imagen")</f>
        <v>Ver Imagen</v>
      </c>
    </row>
    <row r="2849" spans="1:16" x14ac:dyDescent="0.25">
      <c r="A2849">
        <v>2346</v>
      </c>
      <c r="B2849" t="s">
        <v>4705</v>
      </c>
      <c r="C2849">
        <v>37.203963679899999</v>
      </c>
      <c r="D2849">
        <v>-7.0168350352999997</v>
      </c>
      <c r="E2849">
        <v>2</v>
      </c>
      <c r="F2849">
        <v>3</v>
      </c>
      <c r="G2849">
        <v>3</v>
      </c>
      <c r="J2849" t="s">
        <v>15</v>
      </c>
      <c r="K2849">
        <v>3</v>
      </c>
      <c r="L2849">
        <v>3.4</v>
      </c>
      <c r="M2849">
        <v>0</v>
      </c>
      <c r="N2849" t="s">
        <v>10019</v>
      </c>
      <c r="O2849" t="str">
        <f>HYPERLINK("3\1\marker_440_949154.png", "Ver Imagen")</f>
        <v>Ver Imagen</v>
      </c>
      <c r="P2849" t="str">
        <f>HYPERLINK("SE\A-5050\A-5050__50.png", "Ver Imagen")</f>
        <v>Ver Imagen</v>
      </c>
    </row>
    <row r="2850" spans="1:16" x14ac:dyDescent="0.25">
      <c r="A2850">
        <v>2347</v>
      </c>
      <c r="B2850" t="s">
        <v>4707</v>
      </c>
      <c r="C2850">
        <v>37.204717879100002</v>
      </c>
      <c r="D2850">
        <v>-7.0180006432899997</v>
      </c>
      <c r="E2850">
        <v>2</v>
      </c>
      <c r="F2850">
        <v>3</v>
      </c>
      <c r="G2850">
        <v>3</v>
      </c>
      <c r="J2850" t="s">
        <v>15</v>
      </c>
      <c r="K2850">
        <v>3</v>
      </c>
      <c r="L2850">
        <v>2.754</v>
      </c>
      <c r="M2850">
        <v>0</v>
      </c>
      <c r="N2850" t="s">
        <v>10019</v>
      </c>
      <c r="O2850" t="str">
        <f>HYPERLINK("3\1\marker_354_949211.png", "Ver Imagen")</f>
        <v>Ver Imagen</v>
      </c>
      <c r="P2850" t="str">
        <f>HYPERLINK("SE\A-5050\A-5050__44.png", "Ver Imagen")</f>
        <v>Ver Imagen</v>
      </c>
    </row>
    <row r="2851" spans="1:16" x14ac:dyDescent="0.25">
      <c r="A2851">
        <v>2348</v>
      </c>
      <c r="B2851" t="s">
        <v>4709</v>
      </c>
      <c r="C2851">
        <v>37.206442652500002</v>
      </c>
      <c r="D2851">
        <v>-7.0208177671999996</v>
      </c>
      <c r="E2851">
        <v>2</v>
      </c>
      <c r="F2851">
        <v>3</v>
      </c>
      <c r="G2851">
        <v>3</v>
      </c>
      <c r="J2851" t="s">
        <v>15</v>
      </c>
      <c r="K2851">
        <v>3</v>
      </c>
      <c r="L2851">
        <v>3.4060000000000001</v>
      </c>
      <c r="M2851">
        <v>0</v>
      </c>
      <c r="N2851" t="s">
        <v>10019</v>
      </c>
      <c r="O2851" t="str">
        <f>HYPERLINK("3\1\marker_340_949358.png", "Ver Imagen")</f>
        <v>Ver Imagen</v>
      </c>
      <c r="P2851" t="str">
        <f>HYPERLINK("SE\A-5050\A-5050__30.png", "Ver Imagen")</f>
        <v>Ver Imagen</v>
      </c>
    </row>
    <row r="2852" spans="1:16" x14ac:dyDescent="0.25">
      <c r="A2852">
        <v>2349</v>
      </c>
      <c r="B2852" t="s">
        <v>4711</v>
      </c>
      <c r="C2852">
        <v>37.2067159968</v>
      </c>
      <c r="D2852">
        <v>-7.0212297727699999</v>
      </c>
      <c r="E2852">
        <v>2</v>
      </c>
      <c r="F2852">
        <v>3</v>
      </c>
      <c r="G2852">
        <v>3</v>
      </c>
      <c r="J2852" t="s">
        <v>15</v>
      </c>
      <c r="K2852">
        <v>3</v>
      </c>
      <c r="L2852">
        <v>3.137</v>
      </c>
      <c r="M2852">
        <v>0</v>
      </c>
      <c r="N2852" t="s">
        <v>10019</v>
      </c>
      <c r="O2852" t="str">
        <f>HYPERLINK("3\1\marker_474_949379.png", "Ver Imagen")</f>
        <v>Ver Imagen</v>
      </c>
      <c r="P2852" t="str">
        <f>HYPERLINK("SE\A-5050\A-5050__28.png", "Ver Imagen")</f>
        <v>Ver Imagen</v>
      </c>
    </row>
    <row r="2853" spans="1:16" x14ac:dyDescent="0.25">
      <c r="A2853">
        <v>2350</v>
      </c>
      <c r="B2853" t="s">
        <v>4713</v>
      </c>
      <c r="C2853">
        <v>37.206825371699999</v>
      </c>
      <c r="D2853">
        <v>-7.0213808022500004</v>
      </c>
      <c r="E2853">
        <v>2</v>
      </c>
      <c r="F2853">
        <v>3</v>
      </c>
      <c r="G2853">
        <v>3</v>
      </c>
      <c r="J2853" t="s">
        <v>15</v>
      </c>
      <c r="K2853">
        <v>3</v>
      </c>
      <c r="L2853">
        <v>3.0230000000000001</v>
      </c>
      <c r="M2853">
        <v>0</v>
      </c>
      <c r="N2853" t="s">
        <v>10019</v>
      </c>
      <c r="O2853" t="str">
        <f>HYPERLINK("3\1\marker_309_949389.png", "Ver Imagen")</f>
        <v>Ver Imagen</v>
      </c>
      <c r="P2853" t="str">
        <f>HYPERLINK("SE\A-5050\A-5050__27.png", "Ver Imagen")</f>
        <v>Ver Imagen</v>
      </c>
    </row>
    <row r="2854" spans="1:16" x14ac:dyDescent="0.25">
      <c r="A2854">
        <v>2351</v>
      </c>
      <c r="B2854" t="s">
        <v>4715</v>
      </c>
      <c r="C2854">
        <v>37.208241035500002</v>
      </c>
      <c r="D2854">
        <v>-7.02345407451</v>
      </c>
      <c r="E2854">
        <v>2</v>
      </c>
      <c r="F2854">
        <v>3</v>
      </c>
      <c r="G2854">
        <v>3</v>
      </c>
      <c r="J2854" t="s">
        <v>15</v>
      </c>
      <c r="K2854">
        <v>3</v>
      </c>
      <c r="L2854">
        <v>3.0950000000000002</v>
      </c>
      <c r="M2854">
        <v>0</v>
      </c>
      <c r="N2854" t="s">
        <v>10019</v>
      </c>
      <c r="O2854" t="str">
        <f>HYPERLINK("3\1\marker_793_949535.png", "Ver Imagen")</f>
        <v>Ver Imagen</v>
      </c>
      <c r="P2854" t="str">
        <f>HYPERLINK("SE\A-5050\A-5050__16.png", "Ver Imagen")</f>
        <v>Ver Imagen</v>
      </c>
    </row>
    <row r="2855" spans="1:16" x14ac:dyDescent="0.25">
      <c r="A2855">
        <v>2352</v>
      </c>
      <c r="B2855" t="s">
        <v>4717</v>
      </c>
      <c r="C2855">
        <v>37.208260190899999</v>
      </c>
      <c r="D2855">
        <v>-7.0237189797099999</v>
      </c>
      <c r="E2855">
        <v>2</v>
      </c>
      <c r="F2855">
        <v>3</v>
      </c>
      <c r="G2855">
        <v>3</v>
      </c>
      <c r="J2855" t="s">
        <v>15</v>
      </c>
      <c r="K2855">
        <v>3</v>
      </c>
      <c r="L2855">
        <v>2.89</v>
      </c>
      <c r="M2855">
        <v>0</v>
      </c>
      <c r="N2855" t="s">
        <v>10019</v>
      </c>
      <c r="O2855" t="str">
        <f>HYPERLINK("3\1\marker_368_949545.png", "Ver Imagen")</f>
        <v>Ver Imagen</v>
      </c>
      <c r="P2855" t="str">
        <f>HYPERLINK("SE\A-5050\A-5050__15.png", "Ver Imagen")</f>
        <v>Ver Imagen</v>
      </c>
    </row>
    <row r="2856" spans="1:16" x14ac:dyDescent="0.25">
      <c r="A2856">
        <v>2353</v>
      </c>
      <c r="B2856" t="s">
        <v>4719</v>
      </c>
      <c r="C2856">
        <v>37.208297108300002</v>
      </c>
      <c r="D2856">
        <v>-7.02445251309</v>
      </c>
      <c r="E2856">
        <v>2</v>
      </c>
      <c r="F2856">
        <v>3</v>
      </c>
      <c r="G2856">
        <v>3</v>
      </c>
      <c r="J2856" t="s">
        <v>15</v>
      </c>
      <c r="K2856">
        <v>3</v>
      </c>
      <c r="L2856">
        <v>2.7669999999999999</v>
      </c>
      <c r="M2856">
        <v>0</v>
      </c>
      <c r="N2856" t="s">
        <v>10019</v>
      </c>
      <c r="O2856" t="str">
        <f>HYPERLINK("3\1\marker_441_949576.png", "Ver Imagen")</f>
        <v>Ver Imagen</v>
      </c>
      <c r="P2856" t="str">
        <f>HYPERLINK("SE\A-5050\A-5050__12.png", "Ver Imagen")</f>
        <v>Ver Imagen</v>
      </c>
    </row>
    <row r="2857" spans="1:16" x14ac:dyDescent="0.25">
      <c r="A2857">
        <v>2354</v>
      </c>
      <c r="B2857" t="s">
        <v>4721</v>
      </c>
      <c r="C2857">
        <v>37.208479236999999</v>
      </c>
      <c r="D2857">
        <v>-7.02516786244</v>
      </c>
      <c r="E2857">
        <v>2</v>
      </c>
      <c r="F2857">
        <v>3</v>
      </c>
      <c r="G2857">
        <v>3</v>
      </c>
      <c r="J2857" t="s">
        <v>15</v>
      </c>
      <c r="K2857">
        <v>3</v>
      </c>
      <c r="L2857">
        <v>3.089</v>
      </c>
      <c r="M2857">
        <v>0</v>
      </c>
      <c r="N2857" t="s">
        <v>10019</v>
      </c>
      <c r="O2857" t="str">
        <f>HYPERLINK("3\1\marker_739_949618.png", "Ver Imagen")</f>
        <v>Ver Imagen</v>
      </c>
      <c r="P2857" t="str">
        <f>HYPERLINK("SE\A-5050\A-5050__9.png", "Ver Imagen")</f>
        <v>Ver Imagen</v>
      </c>
    </row>
    <row r="2858" spans="1:16" x14ac:dyDescent="0.25">
      <c r="A2858">
        <v>2356</v>
      </c>
      <c r="B2858" t="s">
        <v>4725</v>
      </c>
      <c r="C2858">
        <v>37.2087918211</v>
      </c>
      <c r="D2858">
        <v>-7.0263676337599996</v>
      </c>
      <c r="E2858">
        <v>2</v>
      </c>
      <c r="F2858">
        <v>3</v>
      </c>
      <c r="G2858">
        <v>3</v>
      </c>
      <c r="J2858" t="s">
        <v>15</v>
      </c>
      <c r="K2858">
        <v>3</v>
      </c>
      <c r="L2858">
        <v>3.2360000000000002</v>
      </c>
      <c r="M2858">
        <v>0</v>
      </c>
      <c r="N2858" t="s">
        <v>10019</v>
      </c>
      <c r="O2858" t="str">
        <f>HYPERLINK("3\1\marker_168_949670.png", "Ver Imagen")</f>
        <v>Ver Imagen</v>
      </c>
      <c r="P2858" t="str">
        <f>HYPERLINK("SE\A-5050\A-5050__4.png", "Ver Imagen")</f>
        <v>Ver Imagen</v>
      </c>
    </row>
    <row r="2859" spans="1:16" x14ac:dyDescent="0.25">
      <c r="A2859">
        <v>2357</v>
      </c>
      <c r="B2859" t="s">
        <v>4727</v>
      </c>
      <c r="C2859">
        <v>37.208932428700003</v>
      </c>
      <c r="D2859">
        <v>-7.0270955117199998</v>
      </c>
      <c r="E2859">
        <v>2</v>
      </c>
      <c r="F2859">
        <v>3</v>
      </c>
      <c r="G2859">
        <v>3</v>
      </c>
      <c r="J2859" t="s">
        <v>15</v>
      </c>
      <c r="K2859">
        <v>3</v>
      </c>
      <c r="L2859">
        <v>2.7410000000000001</v>
      </c>
      <c r="M2859">
        <v>0</v>
      </c>
      <c r="N2859" t="s">
        <v>10019</v>
      </c>
      <c r="O2859" t="str">
        <f>HYPERLINK("3\1\marker_983_949732.png", "Ver Imagen")</f>
        <v>Ver Imagen</v>
      </c>
      <c r="P2859" t="str">
        <f>HYPERLINK("SE\A-5050\A-5050__1.png", "Ver Imagen")</f>
        <v>Ver Imagen</v>
      </c>
    </row>
    <row r="2860" spans="1:16" x14ac:dyDescent="0.25">
      <c r="A2860">
        <v>2358</v>
      </c>
      <c r="B2860" t="s">
        <v>4729</v>
      </c>
      <c r="C2860">
        <v>37.217913030299997</v>
      </c>
      <c r="D2860">
        <v>-7.1220109848100002</v>
      </c>
      <c r="E2860">
        <v>2</v>
      </c>
      <c r="F2860">
        <v>3</v>
      </c>
      <c r="G2860">
        <v>3</v>
      </c>
      <c r="J2860" t="s">
        <v>15</v>
      </c>
      <c r="K2860">
        <v>3</v>
      </c>
      <c r="L2860">
        <v>2.6619999999999999</v>
      </c>
      <c r="M2860">
        <v>0</v>
      </c>
      <c r="N2860" t="s">
        <v>10019</v>
      </c>
      <c r="O2860" t="str">
        <f>HYPERLINK("3\1\marker_146_950171.png", "Ver Imagen")</f>
        <v>Ver Imagen</v>
      </c>
      <c r="P2860" t="str">
        <f>HYPERLINK("SO\A-5052\A-5052__16.png", "Ver Imagen")</f>
        <v>Ver Imagen</v>
      </c>
    </row>
    <row r="2861" spans="1:16" x14ac:dyDescent="0.25">
      <c r="A2861">
        <v>2359</v>
      </c>
      <c r="B2861" t="s">
        <v>4731</v>
      </c>
      <c r="C2861">
        <v>37.218049152900001</v>
      </c>
      <c r="D2861">
        <v>-7.1202889430500003</v>
      </c>
      <c r="E2861">
        <v>2</v>
      </c>
      <c r="F2861">
        <v>3</v>
      </c>
      <c r="G2861">
        <v>3</v>
      </c>
      <c r="J2861" t="s">
        <v>15</v>
      </c>
      <c r="K2861">
        <v>3</v>
      </c>
      <c r="L2861">
        <v>3.0830000000000002</v>
      </c>
      <c r="M2861">
        <v>0</v>
      </c>
      <c r="N2861" t="s">
        <v>10019</v>
      </c>
      <c r="O2861" t="str">
        <f>HYPERLINK("3\1\marker_944_951506.png", "Ver Imagen")</f>
        <v>Ver Imagen</v>
      </c>
      <c r="P2861" t="str">
        <f>HYPERLINK("SO\A-5052\A-5052__23.png", "Ver Imagen")</f>
        <v>Ver Imagen</v>
      </c>
    </row>
    <row r="2862" spans="1:16" x14ac:dyDescent="0.25">
      <c r="A2862">
        <v>2360</v>
      </c>
      <c r="B2862" t="s">
        <v>4733</v>
      </c>
      <c r="C2862">
        <v>37.2180684279</v>
      </c>
      <c r="D2862">
        <v>-7.1200239824900002</v>
      </c>
      <c r="E2862">
        <v>2</v>
      </c>
      <c r="F2862">
        <v>3</v>
      </c>
      <c r="G2862">
        <v>3</v>
      </c>
      <c r="J2862" t="s">
        <v>15</v>
      </c>
      <c r="K2862">
        <v>3</v>
      </c>
      <c r="L2862">
        <v>2.9409999999999998</v>
      </c>
      <c r="M2862">
        <v>0</v>
      </c>
      <c r="N2862" t="s">
        <v>10019</v>
      </c>
      <c r="O2862" t="str">
        <f>HYPERLINK("3\1\marker_273_951519.png", "Ver Imagen")</f>
        <v>Ver Imagen</v>
      </c>
      <c r="P2862" t="str">
        <f>HYPERLINK("SO\A-5052\A-5052__24.png", "Ver Imagen")</f>
        <v>Ver Imagen</v>
      </c>
    </row>
    <row r="2863" spans="1:16" x14ac:dyDescent="0.25">
      <c r="A2863">
        <v>2361</v>
      </c>
      <c r="B2863" t="s">
        <v>4735</v>
      </c>
      <c r="C2863">
        <v>37.218089622599997</v>
      </c>
      <c r="D2863">
        <v>-7.1197622870300004</v>
      </c>
      <c r="E2863">
        <v>3</v>
      </c>
      <c r="F2863">
        <v>3</v>
      </c>
      <c r="G2863">
        <v>2</v>
      </c>
      <c r="J2863" t="s">
        <v>15</v>
      </c>
      <c r="K2863">
        <v>3</v>
      </c>
      <c r="L2863">
        <v>3.2669999999999999</v>
      </c>
      <c r="M2863">
        <v>0</v>
      </c>
      <c r="N2863" t="s">
        <v>10019</v>
      </c>
      <c r="O2863" t="str">
        <f>HYPERLINK("3\1\marker_177_951529.png", "Ver Imagen")</f>
        <v>Ver Imagen</v>
      </c>
      <c r="P2863" t="str">
        <f>HYPERLINK("SO\A-5052\A-5052__25.png", "Ver Imagen")</f>
        <v>Ver Imagen</v>
      </c>
    </row>
    <row r="2864" spans="1:16" x14ac:dyDescent="0.25">
      <c r="A2864">
        <v>2362</v>
      </c>
      <c r="B2864" t="s">
        <v>4737</v>
      </c>
      <c r="C2864">
        <v>37.217045483</v>
      </c>
      <c r="D2864">
        <v>-7.0999430146</v>
      </c>
      <c r="E2864">
        <v>2</v>
      </c>
      <c r="F2864">
        <v>3</v>
      </c>
      <c r="G2864">
        <v>3</v>
      </c>
      <c r="J2864" t="s">
        <v>15</v>
      </c>
      <c r="K2864">
        <v>3</v>
      </c>
      <c r="L2864">
        <v>2.84</v>
      </c>
      <c r="M2864">
        <v>0</v>
      </c>
      <c r="N2864" t="s">
        <v>10019</v>
      </c>
      <c r="O2864" t="str">
        <f>HYPERLINK("3\1\marker_819_957721.png", "Ver Imagen")</f>
        <v>Ver Imagen</v>
      </c>
      <c r="P2864" t="str">
        <f>HYPERLINK("SE\A-5052\A-5052__104.png", "Ver Imagen")</f>
        <v>Ver Imagen</v>
      </c>
    </row>
    <row r="2865" spans="1:16" x14ac:dyDescent="0.25">
      <c r="A2865">
        <v>2362</v>
      </c>
      <c r="B2865" t="s">
        <v>4737</v>
      </c>
      <c r="C2865">
        <v>37.217045483</v>
      </c>
      <c r="D2865">
        <v>-7.0999430146</v>
      </c>
      <c r="E2865">
        <v>2</v>
      </c>
      <c r="F2865">
        <v>3</v>
      </c>
      <c r="G2865">
        <v>3</v>
      </c>
      <c r="J2865" t="s">
        <v>15</v>
      </c>
      <c r="K2865">
        <v>3</v>
      </c>
      <c r="L2865">
        <v>2.7650000000000001</v>
      </c>
      <c r="M2865">
        <v>0</v>
      </c>
      <c r="N2865" t="s">
        <v>10019</v>
      </c>
      <c r="O2865" t="str">
        <f>HYPERLINK("3\1\marker_819_957721.png", "Ver Imagen")</f>
        <v>Ver Imagen</v>
      </c>
      <c r="P2865" t="str">
        <f>HYPERLINK("SO\A-5052\A-5052__104.png", "Ver Imagen")</f>
        <v>Ver Imagen</v>
      </c>
    </row>
    <row r="2866" spans="1:16" x14ac:dyDescent="0.25">
      <c r="A2866">
        <v>2363</v>
      </c>
      <c r="B2866" t="s">
        <v>4739</v>
      </c>
      <c r="C2866">
        <v>37.216085141999997</v>
      </c>
      <c r="D2866">
        <v>-7.0896770261100004</v>
      </c>
      <c r="E2866">
        <v>2</v>
      </c>
      <c r="F2866">
        <v>3</v>
      </c>
      <c r="G2866">
        <v>3</v>
      </c>
      <c r="J2866" t="s">
        <v>15</v>
      </c>
      <c r="K2866">
        <v>3</v>
      </c>
      <c r="L2866">
        <v>2.7469999999999999</v>
      </c>
      <c r="M2866">
        <v>0</v>
      </c>
      <c r="N2866" t="s">
        <v>10019</v>
      </c>
      <c r="O2866" t="str">
        <f>HYPERLINK("3\1\marker_412_958420.png", "Ver Imagen")</f>
        <v>Ver Imagen</v>
      </c>
      <c r="P2866" t="str">
        <f>HYPERLINK("SE\A-5052\A-5052__145.png", "Ver Imagen")</f>
        <v>Ver Imagen</v>
      </c>
    </row>
    <row r="2867" spans="1:16" x14ac:dyDescent="0.25">
      <c r="A2867">
        <v>2363</v>
      </c>
      <c r="B2867" t="s">
        <v>4739</v>
      </c>
      <c r="C2867">
        <v>37.216085141999997</v>
      </c>
      <c r="D2867">
        <v>-7.0896770261100004</v>
      </c>
      <c r="E2867">
        <v>2</v>
      </c>
      <c r="F2867">
        <v>3</v>
      </c>
      <c r="G2867">
        <v>3</v>
      </c>
      <c r="J2867" t="s">
        <v>15</v>
      </c>
      <c r="K2867">
        <v>3</v>
      </c>
      <c r="L2867">
        <v>2.556</v>
      </c>
      <c r="M2867">
        <v>0</v>
      </c>
      <c r="N2867" t="s">
        <v>10019</v>
      </c>
      <c r="O2867" t="str">
        <f>HYPERLINK("3\1\marker_412_958420.png", "Ver Imagen")</f>
        <v>Ver Imagen</v>
      </c>
      <c r="P2867" t="str">
        <f>HYPERLINK("SO\A-5052\A-5052__145.png", "Ver Imagen")</f>
        <v>Ver Imagen</v>
      </c>
    </row>
    <row r="2868" spans="1:16" x14ac:dyDescent="0.25">
      <c r="A2868">
        <v>2364</v>
      </c>
      <c r="B2868" t="s">
        <v>4741</v>
      </c>
      <c r="C2868">
        <v>37.215911067699999</v>
      </c>
      <c r="D2868">
        <v>-7.0829151272099997</v>
      </c>
      <c r="E2868">
        <v>2</v>
      </c>
      <c r="F2868">
        <v>3</v>
      </c>
      <c r="G2868">
        <v>3</v>
      </c>
      <c r="J2868" t="s">
        <v>15</v>
      </c>
      <c r="K2868">
        <v>3</v>
      </c>
      <c r="L2868">
        <v>3.2320000000000002</v>
      </c>
      <c r="M2868">
        <v>0</v>
      </c>
      <c r="N2868" t="s">
        <v>10019</v>
      </c>
      <c r="O2868" t="str">
        <f>HYPERLINK("3\1\marker_769_958978.png", "Ver Imagen")</f>
        <v>Ver Imagen</v>
      </c>
      <c r="P2868" t="str">
        <f>HYPERLINK("SE\A-5052\A-5052__172.png", "Ver Imagen")</f>
        <v>Ver Imagen</v>
      </c>
    </row>
    <row r="2869" spans="1:16" x14ac:dyDescent="0.25">
      <c r="A2869">
        <v>2364</v>
      </c>
      <c r="B2869" t="s">
        <v>4741</v>
      </c>
      <c r="C2869">
        <v>37.215911067699999</v>
      </c>
      <c r="D2869">
        <v>-7.0829151272099997</v>
      </c>
      <c r="E2869">
        <v>2</v>
      </c>
      <c r="F2869">
        <v>3</v>
      </c>
      <c r="G2869">
        <v>3</v>
      </c>
      <c r="J2869" t="s">
        <v>15</v>
      </c>
      <c r="K2869">
        <v>3</v>
      </c>
      <c r="L2869">
        <v>3.0139999999999998</v>
      </c>
      <c r="M2869">
        <v>0</v>
      </c>
      <c r="N2869" t="s">
        <v>10019</v>
      </c>
      <c r="O2869" t="str">
        <f>HYPERLINK("3\1\marker_769_958978.png", "Ver Imagen")</f>
        <v>Ver Imagen</v>
      </c>
      <c r="P2869" t="str">
        <f>HYPERLINK("SO\A-5052\A-5052__172.png", "Ver Imagen")</f>
        <v>Ver Imagen</v>
      </c>
    </row>
    <row r="2870" spans="1:16" x14ac:dyDescent="0.25">
      <c r="A2870">
        <v>2365</v>
      </c>
      <c r="B2870" t="s">
        <v>4743</v>
      </c>
      <c r="C2870">
        <v>37.215835693599999</v>
      </c>
      <c r="D2870">
        <v>-7.0826640414000002</v>
      </c>
      <c r="E2870">
        <v>2</v>
      </c>
      <c r="F2870">
        <v>3</v>
      </c>
      <c r="G2870">
        <v>3</v>
      </c>
      <c r="J2870" t="s">
        <v>15</v>
      </c>
      <c r="K2870">
        <v>3</v>
      </c>
      <c r="L2870">
        <v>2.952</v>
      </c>
      <c r="M2870">
        <v>0</v>
      </c>
      <c r="N2870" t="s">
        <v>10019</v>
      </c>
      <c r="O2870" t="str">
        <f>HYPERLINK("3\1\marker_551_958989.png", "Ver Imagen")</f>
        <v>Ver Imagen</v>
      </c>
      <c r="P2870" t="str">
        <f>HYPERLINK("SE\A-5052\A-5052__173.png", "Ver Imagen")</f>
        <v>Ver Imagen</v>
      </c>
    </row>
    <row r="2871" spans="1:16" x14ac:dyDescent="0.25">
      <c r="A2871">
        <v>2365</v>
      </c>
      <c r="B2871" t="s">
        <v>4743</v>
      </c>
      <c r="C2871">
        <v>37.215835693599999</v>
      </c>
      <c r="D2871">
        <v>-7.0826640414000002</v>
      </c>
      <c r="E2871">
        <v>2</v>
      </c>
      <c r="F2871">
        <v>3</v>
      </c>
      <c r="G2871">
        <v>3</v>
      </c>
      <c r="J2871" t="s">
        <v>15</v>
      </c>
      <c r="K2871">
        <v>3</v>
      </c>
      <c r="L2871">
        <v>2.8740000000000001</v>
      </c>
      <c r="M2871">
        <v>0</v>
      </c>
      <c r="N2871" t="s">
        <v>10019</v>
      </c>
      <c r="O2871" t="str">
        <f>HYPERLINK("3\1\marker_551_958989.png", "Ver Imagen")</f>
        <v>Ver Imagen</v>
      </c>
      <c r="P2871" t="str">
        <f>HYPERLINK("SO\A-5052\A-5052__173.png", "Ver Imagen")</f>
        <v>Ver Imagen</v>
      </c>
    </row>
    <row r="2872" spans="1:16" x14ac:dyDescent="0.25">
      <c r="A2872">
        <v>2366</v>
      </c>
      <c r="B2872" t="s">
        <v>4745</v>
      </c>
      <c r="C2872">
        <v>37.2136954614</v>
      </c>
      <c r="D2872">
        <v>-7.07187224805</v>
      </c>
      <c r="E2872">
        <v>2</v>
      </c>
      <c r="F2872">
        <v>3</v>
      </c>
      <c r="G2872">
        <v>3</v>
      </c>
      <c r="J2872" t="s">
        <v>15</v>
      </c>
      <c r="K2872">
        <v>3</v>
      </c>
      <c r="L2872">
        <v>3.2879999999999998</v>
      </c>
      <c r="M2872">
        <v>0</v>
      </c>
      <c r="N2872" t="s">
        <v>10019</v>
      </c>
      <c r="O2872" t="str">
        <f>HYPERLINK("3\1\marker_556_959690.png", "Ver Imagen")</f>
        <v>Ver Imagen</v>
      </c>
      <c r="P2872" t="str">
        <f>HYPERLINK("SE\A-5052\A-5052__217.png", "Ver Imagen")</f>
        <v>Ver Imagen</v>
      </c>
    </row>
    <row r="2873" spans="1:16" x14ac:dyDescent="0.25">
      <c r="A2873">
        <v>2367</v>
      </c>
      <c r="B2873" t="s">
        <v>4747</v>
      </c>
      <c r="C2873">
        <v>37.213088427400002</v>
      </c>
      <c r="D2873">
        <v>-7.0621746788999999</v>
      </c>
      <c r="E2873">
        <v>2</v>
      </c>
      <c r="F2873">
        <v>3</v>
      </c>
      <c r="G2873">
        <v>3</v>
      </c>
      <c r="J2873" t="s">
        <v>15</v>
      </c>
      <c r="K2873">
        <v>3</v>
      </c>
      <c r="L2873">
        <v>3.2320000000000002</v>
      </c>
      <c r="M2873">
        <v>0</v>
      </c>
      <c r="N2873" t="s">
        <v>10019</v>
      </c>
      <c r="O2873" t="str">
        <f>HYPERLINK("3\1\marker_473_960155.png", "Ver Imagen")</f>
        <v>Ver Imagen</v>
      </c>
      <c r="P2873" t="str">
        <f>HYPERLINK("SE\A-5052\A-5052__256.png", "Ver Imagen")</f>
        <v>Ver Imagen</v>
      </c>
    </row>
    <row r="2874" spans="1:16" x14ac:dyDescent="0.25">
      <c r="A2874">
        <v>2368</v>
      </c>
      <c r="B2874" t="s">
        <v>4749</v>
      </c>
      <c r="C2874">
        <v>37.211871019599997</v>
      </c>
      <c r="D2874">
        <v>-7.0587019592900004</v>
      </c>
      <c r="E2874">
        <v>2</v>
      </c>
      <c r="F2874">
        <v>3</v>
      </c>
      <c r="G2874">
        <v>3</v>
      </c>
      <c r="J2874" t="s">
        <v>15</v>
      </c>
      <c r="K2874">
        <v>3</v>
      </c>
      <c r="L2874">
        <v>2.9689999999999999</v>
      </c>
      <c r="M2874">
        <v>0</v>
      </c>
      <c r="N2874" t="s">
        <v>10019</v>
      </c>
      <c r="O2874" t="str">
        <f>HYPERLINK("3\1\marker_375_960331.png", "Ver Imagen")</f>
        <v>Ver Imagen</v>
      </c>
      <c r="P2874" t="str">
        <f>HYPERLINK("SE\A-5052\A-5052__271.png", "Ver Imagen")</f>
        <v>Ver Imagen</v>
      </c>
    </row>
    <row r="2875" spans="1:16" x14ac:dyDescent="0.25">
      <c r="A2875">
        <v>2369</v>
      </c>
      <c r="B2875" t="s">
        <v>4751</v>
      </c>
      <c r="C2875">
        <v>37.211608810599998</v>
      </c>
      <c r="D2875">
        <v>-7.0579751630500001</v>
      </c>
      <c r="E2875">
        <v>2</v>
      </c>
      <c r="F2875">
        <v>3</v>
      </c>
      <c r="G2875">
        <v>3</v>
      </c>
      <c r="J2875" t="s">
        <v>15</v>
      </c>
      <c r="K2875">
        <v>3</v>
      </c>
      <c r="L2875">
        <v>2.6760000000000002</v>
      </c>
      <c r="M2875">
        <v>0</v>
      </c>
      <c r="N2875" t="s">
        <v>10019</v>
      </c>
      <c r="O2875" t="str">
        <f>HYPERLINK("3\1\marker_797_960369.png", "Ver Imagen")</f>
        <v>Ver Imagen</v>
      </c>
      <c r="P2875" t="str">
        <f>HYPERLINK("SE\A-5052\A-5052__274.png", "Ver Imagen")</f>
        <v>Ver Imagen</v>
      </c>
    </row>
    <row r="2876" spans="1:16" x14ac:dyDescent="0.25">
      <c r="A2876">
        <v>2371</v>
      </c>
      <c r="B2876" t="s">
        <v>4755</v>
      </c>
      <c r="C2876">
        <v>37.2113618355</v>
      </c>
      <c r="D2876">
        <v>-7.0570334681100002</v>
      </c>
      <c r="E2876">
        <v>2</v>
      </c>
      <c r="F2876">
        <v>3</v>
      </c>
      <c r="G2876">
        <v>3</v>
      </c>
      <c r="J2876" t="s">
        <v>15</v>
      </c>
      <c r="K2876">
        <v>3</v>
      </c>
      <c r="L2876">
        <v>2.8410000000000002</v>
      </c>
      <c r="M2876">
        <v>0</v>
      </c>
      <c r="N2876" t="s">
        <v>10018</v>
      </c>
      <c r="O2876" t="str">
        <f>HYPERLINK("3\1\marker_841_960495.png", "Ver Imagen")</f>
        <v>Ver Imagen</v>
      </c>
      <c r="P2876" t="str">
        <f>HYPERLINK("SE\A-5052\A-5052__278.png", "Ver Imagen")</f>
        <v>Ver Imagen</v>
      </c>
    </row>
    <row r="2877" spans="1:16" x14ac:dyDescent="0.25">
      <c r="A2877">
        <v>2372</v>
      </c>
      <c r="B2877" t="s">
        <v>4757</v>
      </c>
      <c r="C2877">
        <v>37.211099234000002</v>
      </c>
      <c r="D2877">
        <v>-7.0550094975200004</v>
      </c>
      <c r="E2877">
        <v>2</v>
      </c>
      <c r="F2877">
        <v>3</v>
      </c>
      <c r="G2877">
        <v>3</v>
      </c>
      <c r="J2877" t="s">
        <v>15</v>
      </c>
      <c r="K2877">
        <v>3</v>
      </c>
      <c r="L2877">
        <v>2.5430000000000001</v>
      </c>
      <c r="M2877">
        <v>0</v>
      </c>
      <c r="N2877" t="s">
        <v>10019</v>
      </c>
      <c r="O2877" t="str">
        <f>HYPERLINK("3\1\marker_896_960594.png", "Ver Imagen")</f>
        <v>Ver Imagen</v>
      </c>
      <c r="P2877" t="str">
        <f>HYPERLINK("SE\A-5052\A-5052__286.png", "Ver Imagen")</f>
        <v>Ver Imagen</v>
      </c>
    </row>
    <row r="2878" spans="1:16" x14ac:dyDescent="0.25">
      <c r="A2878">
        <v>2373</v>
      </c>
      <c r="B2878" t="s">
        <v>4759</v>
      </c>
      <c r="C2878">
        <v>37.211039875300003</v>
      </c>
      <c r="D2878">
        <v>-7.0545478703700004</v>
      </c>
      <c r="E2878">
        <v>2</v>
      </c>
      <c r="F2878">
        <v>3</v>
      </c>
      <c r="G2878">
        <v>3</v>
      </c>
      <c r="J2878" t="s">
        <v>15</v>
      </c>
      <c r="K2878">
        <v>3</v>
      </c>
      <c r="L2878">
        <v>3.4329999999999998</v>
      </c>
      <c r="M2878">
        <v>0</v>
      </c>
      <c r="N2878" t="s">
        <v>10019</v>
      </c>
      <c r="O2878" t="str">
        <f>HYPERLINK("3\1\marker_165_960619.png", "Ver Imagen")</f>
        <v>Ver Imagen</v>
      </c>
      <c r="P2878" t="str">
        <f>HYPERLINK("SE\A-5052\A-5052__288.png", "Ver Imagen")</f>
        <v>Ver Imagen</v>
      </c>
    </row>
    <row r="2879" spans="1:16" x14ac:dyDescent="0.25">
      <c r="A2879">
        <v>2374</v>
      </c>
      <c r="B2879" t="s">
        <v>4761</v>
      </c>
      <c r="C2879">
        <v>37.210787920999998</v>
      </c>
      <c r="D2879">
        <v>-7.0527967546300001</v>
      </c>
      <c r="E2879">
        <v>2</v>
      </c>
      <c r="F2879">
        <v>3</v>
      </c>
      <c r="G2879">
        <v>3</v>
      </c>
      <c r="J2879" t="s">
        <v>15</v>
      </c>
      <c r="K2879">
        <v>3</v>
      </c>
      <c r="L2879">
        <v>2.7989999999999999</v>
      </c>
      <c r="M2879">
        <v>0</v>
      </c>
      <c r="N2879" t="s">
        <v>10019</v>
      </c>
      <c r="O2879" t="str">
        <f>HYPERLINK("3\1\marker_583_960765.png", "Ver Imagen")</f>
        <v>Ver Imagen</v>
      </c>
      <c r="P2879" t="str">
        <f>HYPERLINK("SE\A-5052\A-5052__295.png", "Ver Imagen")</f>
        <v>Ver Imagen</v>
      </c>
    </row>
    <row r="2880" spans="1:16" x14ac:dyDescent="0.25">
      <c r="A2880">
        <v>2376</v>
      </c>
      <c r="B2880" t="s">
        <v>4765</v>
      </c>
      <c r="C2880">
        <v>37.211760231900001</v>
      </c>
      <c r="D2880">
        <v>-7.0479818164300001</v>
      </c>
      <c r="E2880">
        <v>2</v>
      </c>
      <c r="F2880">
        <v>3</v>
      </c>
      <c r="G2880">
        <v>3</v>
      </c>
      <c r="J2880" t="s">
        <v>15</v>
      </c>
      <c r="K2880">
        <v>3</v>
      </c>
      <c r="L2880">
        <v>2.7280000000000002</v>
      </c>
      <c r="M2880">
        <v>0</v>
      </c>
      <c r="N2880" t="s">
        <v>10019</v>
      </c>
      <c r="O2880" t="str">
        <f>HYPERLINK("3\1\marker_390_961183.png", "Ver Imagen")</f>
        <v>Ver Imagen</v>
      </c>
      <c r="P2880" t="str">
        <f>HYPERLINK("SE\A-5052\A-5052__315.png", "Ver Imagen")</f>
        <v>Ver Imagen</v>
      </c>
    </row>
    <row r="2881" spans="1:16" x14ac:dyDescent="0.25">
      <c r="A2881">
        <v>2378</v>
      </c>
      <c r="B2881" t="s">
        <v>4769</v>
      </c>
      <c r="C2881">
        <v>37.211559397999999</v>
      </c>
      <c r="D2881">
        <v>-7.0467145394899999</v>
      </c>
      <c r="E2881">
        <v>2</v>
      </c>
      <c r="F2881">
        <v>3</v>
      </c>
      <c r="G2881">
        <v>3</v>
      </c>
      <c r="J2881" t="s">
        <v>15</v>
      </c>
      <c r="K2881">
        <v>3</v>
      </c>
      <c r="L2881">
        <v>2.8559999999999999</v>
      </c>
      <c r="M2881">
        <v>0</v>
      </c>
      <c r="N2881" t="s">
        <v>10019</v>
      </c>
      <c r="O2881" t="str">
        <f>HYPERLINK("3\1\marker_565_961270.png", "Ver Imagen")</f>
        <v>Ver Imagen</v>
      </c>
      <c r="P2881" t="str">
        <f>HYPERLINK("SE\A-5052\A-5052__320.png", "Ver Imagen")</f>
        <v>Ver Imagen</v>
      </c>
    </row>
    <row r="2882" spans="1:16" x14ac:dyDescent="0.25">
      <c r="A2882">
        <v>2379</v>
      </c>
      <c r="B2882" t="s">
        <v>4771</v>
      </c>
      <c r="C2882">
        <v>37.2110275597</v>
      </c>
      <c r="D2882">
        <v>-7.0445062961699998</v>
      </c>
      <c r="E2882">
        <v>2</v>
      </c>
      <c r="F2882">
        <v>3</v>
      </c>
      <c r="G2882">
        <v>3</v>
      </c>
      <c r="J2882" t="s">
        <v>15</v>
      </c>
      <c r="K2882">
        <v>3</v>
      </c>
      <c r="L2882">
        <v>3.004</v>
      </c>
      <c r="M2882">
        <v>0</v>
      </c>
      <c r="N2882" t="s">
        <v>10019</v>
      </c>
      <c r="O2882" t="str">
        <f>HYPERLINK("3\1\marker_805_961491.png", "Ver Imagen")</f>
        <v>Ver Imagen</v>
      </c>
      <c r="P2882" t="str">
        <f>HYPERLINK("SE\A-5052\A-5052__329.png", "Ver Imagen")</f>
        <v>Ver Imagen</v>
      </c>
    </row>
    <row r="2883" spans="1:16" x14ac:dyDescent="0.25">
      <c r="A2883">
        <v>2380</v>
      </c>
      <c r="B2883" t="s">
        <v>4773</v>
      </c>
      <c r="C2883">
        <v>37.210461176000003</v>
      </c>
      <c r="D2883">
        <v>-7.04298017171</v>
      </c>
      <c r="E2883">
        <v>2</v>
      </c>
      <c r="F2883">
        <v>3</v>
      </c>
      <c r="G2883">
        <v>3</v>
      </c>
      <c r="J2883" t="s">
        <v>15</v>
      </c>
      <c r="K2883">
        <v>3</v>
      </c>
      <c r="L2883">
        <v>2.5169999999999999</v>
      </c>
      <c r="M2883">
        <v>0</v>
      </c>
      <c r="N2883" t="s">
        <v>10017</v>
      </c>
      <c r="O2883" t="str">
        <f>HYPERLINK("3\1\marker_567_961569.png", "Ver Imagen")</f>
        <v>Ver Imagen</v>
      </c>
      <c r="P2883" t="str">
        <f>HYPERLINK("SE\A-5052\A-5052__336.png", "Ver Imagen")</f>
        <v>Ver Imagen</v>
      </c>
    </row>
    <row r="2884" spans="1:16" x14ac:dyDescent="0.25">
      <c r="A2884">
        <v>2381</v>
      </c>
      <c r="B2884" t="s">
        <v>4775</v>
      </c>
      <c r="C2884">
        <v>37.209335008799997</v>
      </c>
      <c r="D2884">
        <v>-7.0399669170900001</v>
      </c>
      <c r="E2884">
        <v>2</v>
      </c>
      <c r="F2884">
        <v>3</v>
      </c>
      <c r="G2884">
        <v>3</v>
      </c>
      <c r="J2884" t="s">
        <v>15</v>
      </c>
      <c r="K2884">
        <v>3</v>
      </c>
      <c r="L2884">
        <v>3.1459999999999999</v>
      </c>
      <c r="M2884">
        <v>0</v>
      </c>
      <c r="N2884" t="s">
        <v>10019</v>
      </c>
      <c r="O2884" t="str">
        <f>HYPERLINK("3\1\marker_580_961734.png", "Ver Imagen")</f>
        <v>Ver Imagen</v>
      </c>
      <c r="P2884" t="str">
        <f>HYPERLINK("SE\A-5052\A-5052__349.png", "Ver Imagen")</f>
        <v>Ver Imagen</v>
      </c>
    </row>
    <row r="2885" spans="1:16" x14ac:dyDescent="0.25">
      <c r="A2885">
        <v>2382</v>
      </c>
      <c r="B2885" t="s">
        <v>4777</v>
      </c>
      <c r="C2885">
        <v>37.209236680399997</v>
      </c>
      <c r="D2885">
        <v>-7.0397107931900003</v>
      </c>
      <c r="E2885">
        <v>2</v>
      </c>
      <c r="F2885">
        <v>3</v>
      </c>
      <c r="G2885">
        <v>3</v>
      </c>
      <c r="J2885" t="s">
        <v>15</v>
      </c>
      <c r="K2885">
        <v>3</v>
      </c>
      <c r="L2885">
        <v>2.5179999999999998</v>
      </c>
      <c r="M2885">
        <v>0</v>
      </c>
      <c r="N2885" t="s">
        <v>10017</v>
      </c>
      <c r="O2885" t="str">
        <f>HYPERLINK("3\1\marker_501_961745.png", "Ver Imagen")</f>
        <v>Ver Imagen</v>
      </c>
      <c r="P2885" t="str">
        <f>HYPERLINK("SE\A-5052\A-5052__350.png", "Ver Imagen")</f>
        <v>Ver Imagen</v>
      </c>
    </row>
    <row r="2886" spans="1:16" x14ac:dyDescent="0.25">
      <c r="A2886">
        <v>2383</v>
      </c>
      <c r="B2886" t="s">
        <v>4779</v>
      </c>
      <c r="C2886">
        <v>37.209154330700002</v>
      </c>
      <c r="D2886">
        <v>-7.0395016756300004</v>
      </c>
      <c r="E2886">
        <v>2</v>
      </c>
      <c r="F2886">
        <v>3</v>
      </c>
      <c r="G2886">
        <v>3</v>
      </c>
      <c r="J2886" t="s">
        <v>15</v>
      </c>
      <c r="K2886">
        <v>3</v>
      </c>
      <c r="L2886">
        <v>2.6360000000000001</v>
      </c>
      <c r="M2886">
        <v>0</v>
      </c>
      <c r="N2886" t="s">
        <v>10019</v>
      </c>
      <c r="O2886" t="str">
        <f>HYPERLINK("3\1\marker_699_961757.png", "Ver Imagen")</f>
        <v>Ver Imagen</v>
      </c>
      <c r="P2886" t="str">
        <f>HYPERLINK("SE\A-5052\A-5052__351.png", "Ver Imagen")</f>
        <v>Ver Imagen</v>
      </c>
    </row>
    <row r="2887" spans="1:16" x14ac:dyDescent="0.25">
      <c r="A2887">
        <v>2384</v>
      </c>
      <c r="B2887" t="s">
        <v>4781</v>
      </c>
      <c r="C2887">
        <v>37.208188092</v>
      </c>
      <c r="D2887">
        <v>-7.0370134979800003</v>
      </c>
      <c r="E2887">
        <v>2</v>
      </c>
      <c r="F2887">
        <v>3</v>
      </c>
      <c r="G2887">
        <v>3</v>
      </c>
      <c r="J2887" t="s">
        <v>15</v>
      </c>
      <c r="K2887">
        <v>3</v>
      </c>
      <c r="L2887">
        <v>2.97</v>
      </c>
      <c r="M2887">
        <v>0</v>
      </c>
      <c r="N2887" t="s">
        <v>10019</v>
      </c>
      <c r="O2887" t="str">
        <f>HYPERLINK("3\1\marker_998_961879.png", "Ver Imagen")</f>
        <v>Ver Imagen</v>
      </c>
      <c r="P2887" t="str">
        <f>HYPERLINK("SE\A-5052\A-5052__362.png", "Ver Imagen")</f>
        <v>Ver Imagen</v>
      </c>
    </row>
    <row r="2888" spans="1:16" x14ac:dyDescent="0.25">
      <c r="A2888">
        <v>2385</v>
      </c>
      <c r="B2888" t="s">
        <v>4783</v>
      </c>
      <c r="C2888">
        <v>37.207928210399999</v>
      </c>
      <c r="D2888">
        <v>-7.0363434970499998</v>
      </c>
      <c r="E2888">
        <v>3</v>
      </c>
      <c r="F2888">
        <v>3</v>
      </c>
      <c r="G2888">
        <v>2</v>
      </c>
      <c r="J2888" t="s">
        <v>15</v>
      </c>
      <c r="K2888">
        <v>3</v>
      </c>
      <c r="L2888">
        <v>2.734</v>
      </c>
      <c r="M2888">
        <v>0</v>
      </c>
      <c r="N2888" t="s">
        <v>10017</v>
      </c>
      <c r="O2888" t="str">
        <f>HYPERLINK("3\1\marker_466_961931.png", "Ver Imagen")</f>
        <v>Ver Imagen</v>
      </c>
      <c r="P2888" t="str">
        <f>HYPERLINK("SE\A-5052\A-5052__365.png", "Ver Imagen")</f>
        <v>Ver Imagen</v>
      </c>
    </row>
    <row r="2889" spans="1:16" x14ac:dyDescent="0.25">
      <c r="A2889">
        <v>2386</v>
      </c>
      <c r="B2889" t="s">
        <v>4785</v>
      </c>
      <c r="C2889">
        <v>37.2076529518</v>
      </c>
      <c r="D2889">
        <v>-7.0356238824800004</v>
      </c>
      <c r="E2889">
        <v>3</v>
      </c>
      <c r="F2889">
        <v>3</v>
      </c>
      <c r="G2889">
        <v>2</v>
      </c>
      <c r="J2889" t="s">
        <v>15</v>
      </c>
      <c r="K2889">
        <v>3</v>
      </c>
      <c r="L2889">
        <v>2.9769999999999999</v>
      </c>
      <c r="M2889">
        <v>0</v>
      </c>
      <c r="N2889" t="s">
        <v>10019</v>
      </c>
      <c r="O2889" t="str">
        <f>HYPERLINK("3\1\marker_962_962273.png", "Ver Imagen")</f>
        <v>Ver Imagen</v>
      </c>
      <c r="P2889" t="str">
        <f>HYPERLINK("SE\A-5052\A-5052__368.png", "Ver Imagen")</f>
        <v>Ver Imagen</v>
      </c>
    </row>
    <row r="2890" spans="1:16" x14ac:dyDescent="0.25">
      <c r="A2890">
        <v>2387</v>
      </c>
      <c r="B2890" t="s">
        <v>4787</v>
      </c>
      <c r="C2890">
        <v>37.207392838300002</v>
      </c>
      <c r="D2890">
        <v>-7.0349581994700001</v>
      </c>
      <c r="E2890">
        <v>2</v>
      </c>
      <c r="F2890">
        <v>3</v>
      </c>
      <c r="G2890">
        <v>3</v>
      </c>
      <c r="J2890" t="s">
        <v>15</v>
      </c>
      <c r="K2890">
        <v>3</v>
      </c>
      <c r="L2890">
        <v>3.0640000000000001</v>
      </c>
      <c r="M2890">
        <v>0</v>
      </c>
      <c r="N2890" t="s">
        <v>10019</v>
      </c>
      <c r="O2890" t="str">
        <f>HYPERLINK("3\1\marker_399_962304.png", "Ver Imagen")</f>
        <v>Ver Imagen</v>
      </c>
      <c r="P2890" t="str">
        <f>HYPERLINK("SE\A-5052\A-5052__371.png", "Ver Imagen")</f>
        <v>Ver Imagen</v>
      </c>
    </row>
    <row r="2891" spans="1:16" x14ac:dyDescent="0.25">
      <c r="A2891">
        <v>2388</v>
      </c>
      <c r="B2891" t="s">
        <v>4789</v>
      </c>
      <c r="C2891">
        <v>37.206429742700003</v>
      </c>
      <c r="D2891">
        <v>-7.0324567846199999</v>
      </c>
      <c r="E2891">
        <v>2</v>
      </c>
      <c r="F2891">
        <v>3</v>
      </c>
      <c r="G2891">
        <v>3</v>
      </c>
      <c r="J2891" t="s">
        <v>15</v>
      </c>
      <c r="K2891">
        <v>3</v>
      </c>
      <c r="L2891">
        <v>3.2090000000000001</v>
      </c>
      <c r="M2891">
        <v>0</v>
      </c>
      <c r="N2891" t="s">
        <v>10019</v>
      </c>
      <c r="O2891" t="str">
        <f>HYPERLINK("3\1\marker_725_962502.png", "Ver Imagen")</f>
        <v>Ver Imagen</v>
      </c>
      <c r="P2891" t="str">
        <f>HYPERLINK("SE\A-5052\A-5052__382.png", "Ver Imagen")</f>
        <v>Ver Imagen</v>
      </c>
    </row>
    <row r="2892" spans="1:16" x14ac:dyDescent="0.25">
      <c r="A2892">
        <v>2389</v>
      </c>
      <c r="B2892" t="s">
        <v>4791</v>
      </c>
      <c r="C2892">
        <v>37.2059820411</v>
      </c>
      <c r="D2892">
        <v>-7.0313025662499999</v>
      </c>
      <c r="E2892">
        <v>2</v>
      </c>
      <c r="F2892">
        <v>3</v>
      </c>
      <c r="G2892">
        <v>3</v>
      </c>
      <c r="J2892" t="s">
        <v>15</v>
      </c>
      <c r="K2892">
        <v>3</v>
      </c>
      <c r="L2892">
        <v>3.0139999999999998</v>
      </c>
      <c r="M2892">
        <v>0</v>
      </c>
      <c r="N2892" t="s">
        <v>10019</v>
      </c>
      <c r="O2892" t="str">
        <f>HYPERLINK("3\1\marker_716_962548.png", "Ver Imagen")</f>
        <v>Ver Imagen</v>
      </c>
      <c r="P2892" t="str">
        <f>HYPERLINK("SE\A-5052\A-5052__387.png", "Ver Imagen")</f>
        <v>Ver Imagen</v>
      </c>
    </row>
    <row r="2893" spans="1:16" x14ac:dyDescent="0.25">
      <c r="A2893">
        <v>2390</v>
      </c>
      <c r="B2893" t="s">
        <v>4793</v>
      </c>
      <c r="C2893">
        <v>37.205889938200002</v>
      </c>
      <c r="D2893">
        <v>-7.0310583087099996</v>
      </c>
      <c r="E2893">
        <v>2</v>
      </c>
      <c r="F2893">
        <v>3</v>
      </c>
      <c r="G2893">
        <v>3</v>
      </c>
      <c r="J2893" t="s">
        <v>15</v>
      </c>
      <c r="K2893">
        <v>3</v>
      </c>
      <c r="L2893">
        <v>3.0150000000000001</v>
      </c>
      <c r="M2893">
        <v>0</v>
      </c>
      <c r="N2893" t="s">
        <v>10019</v>
      </c>
      <c r="O2893" t="str">
        <f>HYPERLINK("3\1\marker_590_962558.png", "Ver Imagen")</f>
        <v>Ver Imagen</v>
      </c>
      <c r="P2893" t="str">
        <f>HYPERLINK("SE\A-5052\A-5052__388.png", "Ver Imagen")</f>
        <v>Ver Imagen</v>
      </c>
    </row>
    <row r="2894" spans="1:16" x14ac:dyDescent="0.25">
      <c r="A2894">
        <v>2391</v>
      </c>
      <c r="B2894" t="s">
        <v>4795</v>
      </c>
      <c r="C2894">
        <v>37.205461956199997</v>
      </c>
      <c r="D2894">
        <v>-7.0299435074299996</v>
      </c>
      <c r="E2894">
        <v>2</v>
      </c>
      <c r="F2894">
        <v>3</v>
      </c>
      <c r="G2894">
        <v>3</v>
      </c>
      <c r="J2894" t="s">
        <v>15</v>
      </c>
      <c r="K2894">
        <v>3</v>
      </c>
      <c r="L2894">
        <v>2.9529999999999998</v>
      </c>
      <c r="M2894">
        <v>0</v>
      </c>
      <c r="N2894" t="s">
        <v>10018</v>
      </c>
      <c r="O2894" t="str">
        <f>HYPERLINK("3\1\marker_509_962604.png", "Ver Imagen")</f>
        <v>Ver Imagen</v>
      </c>
      <c r="P2894" t="str">
        <f>HYPERLINK("SE\A-5052\A-5052__393.png", "Ver Imagen")</f>
        <v>Ver Imagen</v>
      </c>
    </row>
    <row r="2895" spans="1:16" x14ac:dyDescent="0.25">
      <c r="A2895">
        <v>2392</v>
      </c>
      <c r="B2895" t="s">
        <v>4797</v>
      </c>
      <c r="C2895">
        <v>37.205203321299997</v>
      </c>
      <c r="D2895">
        <v>-7.0292546420399997</v>
      </c>
      <c r="E2895">
        <v>2</v>
      </c>
      <c r="F2895">
        <v>3</v>
      </c>
      <c r="G2895">
        <v>3</v>
      </c>
      <c r="J2895" t="s">
        <v>15</v>
      </c>
      <c r="K2895">
        <v>3</v>
      </c>
      <c r="L2895">
        <v>2.8620000000000001</v>
      </c>
      <c r="M2895">
        <v>0</v>
      </c>
      <c r="N2895" t="s">
        <v>10019</v>
      </c>
      <c r="O2895" t="str">
        <f>HYPERLINK("3\1\marker_457_962629.png", "Ver Imagen")</f>
        <v>Ver Imagen</v>
      </c>
      <c r="P2895" t="str">
        <f>HYPERLINK("SE\A-5052\A-5052__396.png", "Ver Imagen")</f>
        <v>Ver Imagen</v>
      </c>
    </row>
    <row r="2896" spans="1:16" x14ac:dyDescent="0.25">
      <c r="A2896">
        <v>2393</v>
      </c>
      <c r="B2896" t="s">
        <v>4799</v>
      </c>
      <c r="C2896">
        <v>37.205119044699998</v>
      </c>
      <c r="D2896">
        <v>-7.0290374959899999</v>
      </c>
      <c r="E2896">
        <v>2</v>
      </c>
      <c r="F2896">
        <v>3</v>
      </c>
      <c r="G2896">
        <v>3</v>
      </c>
      <c r="J2896" t="s">
        <v>15</v>
      </c>
      <c r="K2896">
        <v>3</v>
      </c>
      <c r="L2896">
        <v>3.0419999999999998</v>
      </c>
      <c r="M2896">
        <v>0</v>
      </c>
      <c r="N2896" t="s">
        <v>10019</v>
      </c>
      <c r="O2896" t="str">
        <f>HYPERLINK("3\1\marker_511_962638.png", "Ver Imagen")</f>
        <v>Ver Imagen</v>
      </c>
      <c r="P2896" t="str">
        <f>HYPERLINK("SE\A-5052\A-5052__397.png", "Ver Imagen")</f>
        <v>Ver Imagen</v>
      </c>
    </row>
    <row r="2897" spans="1:16" x14ac:dyDescent="0.25">
      <c r="A2897">
        <v>2394</v>
      </c>
      <c r="B2897" t="s">
        <v>4801</v>
      </c>
      <c r="C2897">
        <v>37.204813897400001</v>
      </c>
      <c r="D2897">
        <v>-7.0283779540799998</v>
      </c>
      <c r="E2897">
        <v>2</v>
      </c>
      <c r="F2897">
        <v>3</v>
      </c>
      <c r="G2897">
        <v>3</v>
      </c>
      <c r="J2897" t="s">
        <v>15</v>
      </c>
      <c r="K2897">
        <v>3</v>
      </c>
      <c r="L2897">
        <v>3.1520000000000001</v>
      </c>
      <c r="M2897">
        <v>0</v>
      </c>
      <c r="N2897" t="s">
        <v>10019</v>
      </c>
      <c r="O2897" t="str">
        <f>HYPERLINK("3\1\marker_893_962665.png", "Ver Imagen")</f>
        <v>Ver Imagen</v>
      </c>
      <c r="P2897" t="str">
        <f>HYPERLINK("SE\A-5052\A-5052__400.png", "Ver Imagen")</f>
        <v>Ver Imagen</v>
      </c>
    </row>
    <row r="2898" spans="1:16" x14ac:dyDescent="0.25">
      <c r="A2898">
        <v>2396</v>
      </c>
      <c r="B2898" t="s">
        <v>4805</v>
      </c>
      <c r="C2898">
        <v>37.200831379100002</v>
      </c>
      <c r="D2898">
        <v>-7.0178604389299997</v>
      </c>
      <c r="E2898">
        <v>2</v>
      </c>
      <c r="F2898">
        <v>3</v>
      </c>
      <c r="G2898">
        <v>3</v>
      </c>
      <c r="J2898" t="s">
        <v>15</v>
      </c>
      <c r="K2898">
        <v>3</v>
      </c>
      <c r="L2898">
        <v>2.6829999999999998</v>
      </c>
      <c r="M2898">
        <v>0</v>
      </c>
      <c r="N2898" t="s">
        <v>10019</v>
      </c>
      <c r="O2898" t="str">
        <f>HYPERLINK("3\1\marker_237_963137.png", "Ver Imagen")</f>
        <v>Ver Imagen</v>
      </c>
      <c r="P2898" t="str">
        <f>HYPERLINK("SE\A-5052\A-5052__446.png", "Ver Imagen")</f>
        <v>Ver Imagen</v>
      </c>
    </row>
    <row r="2899" spans="1:16" x14ac:dyDescent="0.25">
      <c r="A2899">
        <v>2397</v>
      </c>
      <c r="B2899" t="s">
        <v>4807</v>
      </c>
      <c r="C2899">
        <v>37.198380440699999</v>
      </c>
      <c r="D2899">
        <v>-7.0114875846900002</v>
      </c>
      <c r="E2899">
        <v>2</v>
      </c>
      <c r="F2899">
        <v>3</v>
      </c>
      <c r="G2899">
        <v>3</v>
      </c>
      <c r="J2899" t="s">
        <v>15</v>
      </c>
      <c r="K2899">
        <v>3</v>
      </c>
      <c r="L2899">
        <v>3.1549999999999998</v>
      </c>
      <c r="M2899">
        <v>0</v>
      </c>
      <c r="N2899" t="s">
        <v>10019</v>
      </c>
      <c r="O2899" t="str">
        <f>HYPERLINK("3\1\marker_551_963432.png", "Ver Imagen")</f>
        <v>Ver Imagen</v>
      </c>
      <c r="P2899" t="str">
        <f>HYPERLINK("SE\A-5052\A-5052__474.png", "Ver Imagen")</f>
        <v>Ver Imagen</v>
      </c>
    </row>
    <row r="2900" spans="1:16" x14ac:dyDescent="0.25">
      <c r="A2900">
        <v>2398</v>
      </c>
      <c r="B2900" t="s">
        <v>4809</v>
      </c>
      <c r="C2900">
        <v>37.197940750000001</v>
      </c>
      <c r="D2900">
        <v>-7.0103541413799997</v>
      </c>
      <c r="E2900">
        <v>2</v>
      </c>
      <c r="F2900">
        <v>3</v>
      </c>
      <c r="G2900">
        <v>3</v>
      </c>
      <c r="J2900" t="s">
        <v>15</v>
      </c>
      <c r="K2900">
        <v>3</v>
      </c>
      <c r="L2900">
        <v>3.4249999999999998</v>
      </c>
      <c r="M2900">
        <v>0</v>
      </c>
      <c r="N2900" t="s">
        <v>10019</v>
      </c>
      <c r="O2900" t="str">
        <f>HYPERLINK("3\1\marker_427_963482.png", "Ver Imagen")</f>
        <v>Ver Imagen</v>
      </c>
      <c r="P2900" t="str">
        <f>HYPERLINK("SE\A-5052\A-5052__479.png", "Ver Imagen")</f>
        <v>Ver Imagen</v>
      </c>
    </row>
    <row r="2901" spans="1:16" x14ac:dyDescent="0.25">
      <c r="A2901">
        <v>2400</v>
      </c>
      <c r="B2901" t="s">
        <v>4813</v>
      </c>
      <c r="C2901">
        <v>37.287950324400001</v>
      </c>
      <c r="D2901">
        <v>-7.1415840136400002</v>
      </c>
      <c r="E2901">
        <v>2</v>
      </c>
      <c r="F2901">
        <v>3</v>
      </c>
      <c r="G2901">
        <v>3</v>
      </c>
      <c r="J2901" t="s">
        <v>15</v>
      </c>
      <c r="K2901">
        <v>3</v>
      </c>
      <c r="L2901">
        <v>3.032</v>
      </c>
      <c r="M2901">
        <v>0</v>
      </c>
      <c r="N2901" t="s">
        <v>10019</v>
      </c>
      <c r="O2901" t="str">
        <f>HYPERLINK("3\1\marker_696_963876.png", "Ver Imagen")</f>
        <v>Ver Imagen</v>
      </c>
      <c r="P2901" t="str">
        <f>HYPERLINK("SO\A-5053\A-5053__378.png", "Ver Imagen")</f>
        <v>Ver Imagen</v>
      </c>
    </row>
    <row r="2902" spans="1:16" x14ac:dyDescent="0.25">
      <c r="A2902">
        <v>2401</v>
      </c>
      <c r="B2902" t="s">
        <v>4815</v>
      </c>
      <c r="C2902">
        <v>37.285315324400003</v>
      </c>
      <c r="D2902">
        <v>-7.1424952369600003</v>
      </c>
      <c r="E2902">
        <v>2</v>
      </c>
      <c r="F2902">
        <v>3</v>
      </c>
      <c r="G2902">
        <v>3</v>
      </c>
      <c r="J2902" t="s">
        <v>15</v>
      </c>
      <c r="K2902">
        <v>3</v>
      </c>
      <c r="L2902">
        <v>3.0510000000000002</v>
      </c>
      <c r="M2902">
        <v>0</v>
      </c>
      <c r="N2902" t="s">
        <v>10019</v>
      </c>
      <c r="O2902" t="str">
        <f>HYPERLINK("3\1\marker_388_964027.png", "Ver Imagen")</f>
        <v>Ver Imagen</v>
      </c>
      <c r="P2902" t="str">
        <f>HYPERLINK("SO\A-5053\A-5053__363.png", "Ver Imagen")</f>
        <v>Ver Imagen</v>
      </c>
    </row>
    <row r="2903" spans="1:16" x14ac:dyDescent="0.25">
      <c r="A2903">
        <v>2402</v>
      </c>
      <c r="B2903" t="s">
        <v>4817</v>
      </c>
      <c r="C2903">
        <v>37.285201300700002</v>
      </c>
      <c r="D2903">
        <v>-7.1426828854600002</v>
      </c>
      <c r="E2903">
        <v>2</v>
      </c>
      <c r="F2903">
        <v>3</v>
      </c>
      <c r="G2903">
        <v>3</v>
      </c>
      <c r="J2903" t="s">
        <v>15</v>
      </c>
      <c r="K2903">
        <v>3</v>
      </c>
      <c r="L2903">
        <v>2.7850000000000001</v>
      </c>
      <c r="M2903">
        <v>0</v>
      </c>
      <c r="N2903" t="s">
        <v>10019</v>
      </c>
      <c r="O2903" t="str">
        <f>HYPERLINK("3\1\marker_433_964040.png", "Ver Imagen")</f>
        <v>Ver Imagen</v>
      </c>
      <c r="P2903" t="str">
        <f>HYPERLINK("SO\A-5053\A-5053__362.png", "Ver Imagen")</f>
        <v>Ver Imagen</v>
      </c>
    </row>
    <row r="2904" spans="1:16" x14ac:dyDescent="0.25">
      <c r="A2904">
        <v>2403</v>
      </c>
      <c r="B2904" t="s">
        <v>4819</v>
      </c>
      <c r="C2904">
        <v>37.2849856347</v>
      </c>
      <c r="D2904">
        <v>-7.1430796339600002</v>
      </c>
      <c r="E2904">
        <v>2</v>
      </c>
      <c r="F2904">
        <v>3</v>
      </c>
      <c r="G2904">
        <v>3</v>
      </c>
      <c r="J2904" t="s">
        <v>15</v>
      </c>
      <c r="K2904">
        <v>3</v>
      </c>
      <c r="L2904">
        <v>2.5499999999999998</v>
      </c>
      <c r="M2904">
        <v>0</v>
      </c>
      <c r="N2904" t="s">
        <v>10017</v>
      </c>
      <c r="O2904" t="str">
        <f>HYPERLINK("3\1\marker_864_964065.png", "Ver Imagen")</f>
        <v>Ver Imagen</v>
      </c>
      <c r="P2904" t="str">
        <f>HYPERLINK("SO\A-5053\A-5053__360.png", "Ver Imagen")</f>
        <v>Ver Imagen</v>
      </c>
    </row>
    <row r="2905" spans="1:16" x14ac:dyDescent="0.25">
      <c r="A2905">
        <v>2404</v>
      </c>
      <c r="B2905" t="s">
        <v>4821</v>
      </c>
      <c r="C2905">
        <v>37.279735198399997</v>
      </c>
      <c r="D2905">
        <v>-7.1453779577800001</v>
      </c>
      <c r="E2905">
        <v>2</v>
      </c>
      <c r="F2905">
        <v>3</v>
      </c>
      <c r="G2905">
        <v>3</v>
      </c>
      <c r="J2905" t="s">
        <v>15</v>
      </c>
      <c r="K2905">
        <v>3</v>
      </c>
      <c r="L2905">
        <v>2.9079999999999999</v>
      </c>
      <c r="M2905">
        <v>0</v>
      </c>
      <c r="N2905" t="s">
        <v>10019</v>
      </c>
      <c r="O2905" t="str">
        <f>HYPERLINK("3\1\marker_297_964467.png", "Ver Imagen")</f>
        <v>Ver Imagen</v>
      </c>
      <c r="P2905" t="str">
        <f>HYPERLINK("SO\A-5053\A-5053__330.png", "Ver Imagen")</f>
        <v>Ver Imagen</v>
      </c>
    </row>
    <row r="2906" spans="1:16" x14ac:dyDescent="0.25">
      <c r="A2906">
        <v>2405</v>
      </c>
      <c r="B2906" t="s">
        <v>4823</v>
      </c>
      <c r="C2906">
        <v>37.277737791</v>
      </c>
      <c r="D2906">
        <v>-7.14365305917</v>
      </c>
      <c r="E2906">
        <v>2</v>
      </c>
      <c r="F2906">
        <v>3</v>
      </c>
      <c r="G2906">
        <v>3</v>
      </c>
      <c r="J2906" t="s">
        <v>15</v>
      </c>
      <c r="K2906">
        <v>3</v>
      </c>
      <c r="L2906">
        <v>2.7509999999999999</v>
      </c>
      <c r="M2906">
        <v>0</v>
      </c>
      <c r="N2906" t="s">
        <v>10019</v>
      </c>
      <c r="O2906" t="str">
        <f>HYPERLINK("3\1\marker_422_964592.png", "Ver Imagen")</f>
        <v>Ver Imagen</v>
      </c>
      <c r="P2906" t="str">
        <f>HYPERLINK("SO\A-5053\A-5053__318.png", "Ver Imagen")</f>
        <v>Ver Imagen</v>
      </c>
    </row>
    <row r="2907" spans="1:16" x14ac:dyDescent="0.25">
      <c r="A2907">
        <v>2406</v>
      </c>
      <c r="B2907" t="s">
        <v>4825</v>
      </c>
      <c r="C2907">
        <v>37.277181757800001</v>
      </c>
      <c r="D2907">
        <v>-7.1433315832000002</v>
      </c>
      <c r="E2907">
        <v>3</v>
      </c>
      <c r="F2907">
        <v>3</v>
      </c>
      <c r="G2907">
        <v>2</v>
      </c>
      <c r="J2907" t="s">
        <v>15</v>
      </c>
      <c r="K2907">
        <v>3</v>
      </c>
      <c r="L2907">
        <v>2.9550000000000001</v>
      </c>
      <c r="M2907">
        <v>0</v>
      </c>
      <c r="N2907" t="s">
        <v>10019</v>
      </c>
      <c r="O2907" t="str">
        <f>HYPERLINK("3\1\marker_425_964626.png", "Ver Imagen")</f>
        <v>Ver Imagen</v>
      </c>
      <c r="P2907" t="str">
        <f>HYPERLINK("SO\A-5053\A-5053__315.png", "Ver Imagen")</f>
        <v>Ver Imagen</v>
      </c>
    </row>
    <row r="2908" spans="1:16" x14ac:dyDescent="0.25">
      <c r="A2908">
        <v>2407</v>
      </c>
      <c r="B2908" t="s">
        <v>4827</v>
      </c>
      <c r="C2908">
        <v>37.274465653299998</v>
      </c>
      <c r="D2908">
        <v>-7.1424288552100004</v>
      </c>
      <c r="E2908">
        <v>2</v>
      </c>
      <c r="F2908">
        <v>3</v>
      </c>
      <c r="G2908">
        <v>3</v>
      </c>
      <c r="J2908" t="s">
        <v>15</v>
      </c>
      <c r="K2908">
        <v>3</v>
      </c>
      <c r="L2908">
        <v>2.87</v>
      </c>
      <c r="M2908">
        <v>0</v>
      </c>
      <c r="N2908" t="s">
        <v>10019</v>
      </c>
      <c r="O2908" t="str">
        <f>HYPERLINK("3\1\marker_588_964762.png", "Ver Imagen")</f>
        <v>Ver Imagen</v>
      </c>
      <c r="P2908" t="str">
        <f>HYPERLINK("SO\A-5053\A-5053__301.png", "Ver Imagen")</f>
        <v>Ver Imagen</v>
      </c>
    </row>
    <row r="2909" spans="1:16" x14ac:dyDescent="0.25">
      <c r="A2909">
        <v>2408</v>
      </c>
      <c r="B2909" t="s">
        <v>4829</v>
      </c>
      <c r="C2909">
        <v>37.274293768100002</v>
      </c>
      <c r="D2909">
        <v>-7.1423518537300001</v>
      </c>
      <c r="E2909">
        <v>3</v>
      </c>
      <c r="F2909">
        <v>3</v>
      </c>
      <c r="G2909">
        <v>2</v>
      </c>
      <c r="J2909" t="s">
        <v>15</v>
      </c>
      <c r="K2909">
        <v>3</v>
      </c>
      <c r="L2909">
        <v>3.2370000000000001</v>
      </c>
      <c r="M2909">
        <v>0</v>
      </c>
      <c r="N2909" t="s">
        <v>10019</v>
      </c>
      <c r="O2909" t="str">
        <f>HYPERLINK("3\1\marker_654_964845.png", "Ver Imagen")</f>
        <v>Ver Imagen</v>
      </c>
      <c r="P2909" t="str">
        <f>HYPERLINK("SO\A-5053\A-5053__300.png", "Ver Imagen")</f>
        <v>Ver Imagen</v>
      </c>
    </row>
    <row r="2910" spans="1:16" x14ac:dyDescent="0.25">
      <c r="A2910">
        <v>2409</v>
      </c>
      <c r="B2910" t="s">
        <v>4831</v>
      </c>
      <c r="C2910">
        <v>37.2657364915</v>
      </c>
      <c r="D2910">
        <v>-7.13268324511</v>
      </c>
      <c r="E2910">
        <v>2</v>
      </c>
      <c r="F2910">
        <v>3</v>
      </c>
      <c r="G2910">
        <v>3</v>
      </c>
      <c r="J2910" t="s">
        <v>15</v>
      </c>
      <c r="K2910">
        <v>3</v>
      </c>
      <c r="L2910">
        <v>2.8879999999999999</v>
      </c>
      <c r="M2910">
        <v>0</v>
      </c>
      <c r="N2910" t="s">
        <v>10019</v>
      </c>
      <c r="O2910" t="str">
        <f>HYPERLINK("3\1\marker_443_965499.png", "Ver Imagen")</f>
        <v>Ver Imagen</v>
      </c>
      <c r="P2910" t="str">
        <f>HYPERLINK("SO\A-5053\A-5053__240.png", "Ver Imagen")</f>
        <v>Ver Imagen</v>
      </c>
    </row>
    <row r="2911" spans="1:16" x14ac:dyDescent="0.25">
      <c r="A2911">
        <v>2410</v>
      </c>
      <c r="B2911" t="s">
        <v>4833</v>
      </c>
      <c r="C2911">
        <v>37.2637864768</v>
      </c>
      <c r="D2911">
        <v>-7.1314640768400004</v>
      </c>
      <c r="E2911">
        <v>2</v>
      </c>
      <c r="F2911">
        <v>3</v>
      </c>
      <c r="G2911">
        <v>3</v>
      </c>
      <c r="J2911" t="s">
        <v>15</v>
      </c>
      <c r="K2911">
        <v>3</v>
      </c>
      <c r="L2911">
        <v>3.0569999999999999</v>
      </c>
      <c r="M2911">
        <v>0</v>
      </c>
      <c r="N2911" t="s">
        <v>10019</v>
      </c>
      <c r="O2911" t="str">
        <f>HYPERLINK("3\1\marker_881_965603.png", "Ver Imagen")</f>
        <v>Ver Imagen</v>
      </c>
      <c r="P2911" t="str">
        <f>HYPERLINK("SO\A-5053\A-5053__229.png", "Ver Imagen")</f>
        <v>Ver Imagen</v>
      </c>
    </row>
    <row r="2912" spans="1:16" x14ac:dyDescent="0.25">
      <c r="A2912">
        <v>2411</v>
      </c>
      <c r="B2912" t="s">
        <v>4835</v>
      </c>
      <c r="C2912">
        <v>37.263394061100001</v>
      </c>
      <c r="D2912">
        <v>-7.1312114904500001</v>
      </c>
      <c r="E2912">
        <v>3</v>
      </c>
      <c r="F2912">
        <v>3</v>
      </c>
      <c r="G2912">
        <v>2</v>
      </c>
      <c r="J2912" t="s">
        <v>15</v>
      </c>
      <c r="K2912">
        <v>3</v>
      </c>
      <c r="L2912">
        <v>3.1629999999999998</v>
      </c>
      <c r="M2912">
        <v>0</v>
      </c>
      <c r="N2912" t="s">
        <v>10019</v>
      </c>
      <c r="O2912" t="str">
        <f>HYPERLINK("3\1\marker_138_965623.png", "Ver Imagen")</f>
        <v>Ver Imagen</v>
      </c>
      <c r="P2912" t="str">
        <f>HYPERLINK("SO\A-5053\A-5053__227.png", "Ver Imagen")</f>
        <v>Ver Imagen</v>
      </c>
    </row>
    <row r="2913" spans="1:16" x14ac:dyDescent="0.25">
      <c r="A2913">
        <v>2413</v>
      </c>
      <c r="B2913" t="s">
        <v>4839</v>
      </c>
      <c r="C2913">
        <v>37.249104656699998</v>
      </c>
      <c r="D2913">
        <v>-7.1274165304399997</v>
      </c>
      <c r="E2913">
        <v>2</v>
      </c>
      <c r="F2913">
        <v>3</v>
      </c>
      <c r="G2913">
        <v>3</v>
      </c>
      <c r="J2913" t="s">
        <v>15</v>
      </c>
      <c r="K2913">
        <v>3</v>
      </c>
      <c r="L2913">
        <v>2.948</v>
      </c>
      <c r="M2913">
        <v>0</v>
      </c>
      <c r="N2913" t="s">
        <v>10018</v>
      </c>
      <c r="O2913" t="str">
        <f>HYPERLINK("3\1\marker_806_966370.png", "Ver Imagen")</f>
        <v>Ver Imagen</v>
      </c>
      <c r="P2913" t="str">
        <f>HYPERLINK("SO\A-5053\A-5053__152.png", "Ver Imagen")</f>
        <v>Ver Imagen</v>
      </c>
    </row>
    <row r="2914" spans="1:16" x14ac:dyDescent="0.25">
      <c r="A2914">
        <v>2414</v>
      </c>
      <c r="B2914" t="s">
        <v>4841</v>
      </c>
      <c r="C2914">
        <v>37.247297403499999</v>
      </c>
      <c r="D2914">
        <v>-7.1276832144500002</v>
      </c>
      <c r="E2914">
        <v>2</v>
      </c>
      <c r="F2914">
        <v>3</v>
      </c>
      <c r="G2914">
        <v>3</v>
      </c>
      <c r="J2914" t="s">
        <v>15</v>
      </c>
      <c r="K2914">
        <v>3</v>
      </c>
      <c r="L2914">
        <v>2.8460000000000001</v>
      </c>
      <c r="M2914">
        <v>0</v>
      </c>
      <c r="N2914" t="s">
        <v>10019</v>
      </c>
      <c r="O2914" t="str">
        <f>HYPERLINK("3\1\marker_750_966456.png", "Ver Imagen")</f>
        <v>Ver Imagen</v>
      </c>
      <c r="P2914" t="str">
        <f>HYPERLINK("SO\A-5053\A-5053__143.png", "Ver Imagen")</f>
        <v>Ver Imagen</v>
      </c>
    </row>
    <row r="2915" spans="1:16" x14ac:dyDescent="0.25">
      <c r="A2915">
        <v>2415</v>
      </c>
      <c r="B2915" t="s">
        <v>4843</v>
      </c>
      <c r="C2915">
        <v>37.238649444300002</v>
      </c>
      <c r="D2915">
        <v>-7.1284388117199997</v>
      </c>
      <c r="E2915">
        <v>2</v>
      </c>
      <c r="F2915">
        <v>3</v>
      </c>
      <c r="G2915">
        <v>3</v>
      </c>
      <c r="J2915" t="s">
        <v>15</v>
      </c>
      <c r="K2915">
        <v>3</v>
      </c>
      <c r="L2915">
        <v>3.1739999999999999</v>
      </c>
      <c r="M2915">
        <v>0</v>
      </c>
      <c r="N2915" t="s">
        <v>10019</v>
      </c>
      <c r="O2915" t="str">
        <f>HYPERLINK("3\1\marker_606_019813.png", "Ver Imagen")</f>
        <v>Ver Imagen</v>
      </c>
      <c r="P2915" t="str">
        <f>HYPERLINK("SO\A-5053\A-5053__100.png", "Ver Imagen")</f>
        <v>Ver Imagen</v>
      </c>
    </row>
    <row r="2916" spans="1:16" x14ac:dyDescent="0.25">
      <c r="A2916">
        <v>2416</v>
      </c>
      <c r="B2916" t="s">
        <v>4845</v>
      </c>
      <c r="C2916">
        <v>37.237633762100003</v>
      </c>
      <c r="D2916">
        <v>-7.1283394487000002</v>
      </c>
      <c r="E2916">
        <v>2</v>
      </c>
      <c r="F2916">
        <v>3</v>
      </c>
      <c r="G2916">
        <v>3</v>
      </c>
      <c r="J2916" t="s">
        <v>15</v>
      </c>
      <c r="K2916">
        <v>3</v>
      </c>
      <c r="L2916">
        <v>3.0339999999999998</v>
      </c>
      <c r="M2916">
        <v>0</v>
      </c>
      <c r="N2916" t="s">
        <v>10019</v>
      </c>
      <c r="O2916" t="str">
        <f>HYPERLINK("3\1\marker_583_019860.png", "Ver Imagen")</f>
        <v>Ver Imagen</v>
      </c>
      <c r="P2916" t="str">
        <f>HYPERLINK("SO\A-5053\A-5053__95.png", "Ver Imagen")</f>
        <v>Ver Imagen</v>
      </c>
    </row>
    <row r="2917" spans="1:16" x14ac:dyDescent="0.25">
      <c r="A2917">
        <v>2417</v>
      </c>
      <c r="B2917" t="s">
        <v>4847</v>
      </c>
      <c r="C2917">
        <v>37.226265450500001</v>
      </c>
      <c r="D2917">
        <v>-7.1261603185700002</v>
      </c>
      <c r="E2917">
        <v>2</v>
      </c>
      <c r="F2917">
        <v>3</v>
      </c>
      <c r="G2917">
        <v>3</v>
      </c>
      <c r="J2917" t="s">
        <v>15</v>
      </c>
      <c r="K2917">
        <v>3</v>
      </c>
      <c r="L2917">
        <v>2.9449999999999998</v>
      </c>
      <c r="M2917">
        <v>0</v>
      </c>
      <c r="N2917" t="s">
        <v>10019</v>
      </c>
      <c r="O2917" t="str">
        <f>HYPERLINK("3\1\marker_711_021734.png", "Ver Imagen")</f>
        <v>Ver Imagen</v>
      </c>
      <c r="P2917" t="str">
        <f>HYPERLINK("SO\A-5053\A-5053__38.png", "Ver Imagen")</f>
        <v>Ver Imagen</v>
      </c>
    </row>
    <row r="2918" spans="1:16" x14ac:dyDescent="0.25">
      <c r="A2918">
        <v>2418</v>
      </c>
      <c r="B2918" t="s">
        <v>4849</v>
      </c>
      <c r="C2918">
        <v>37.225913233500002</v>
      </c>
      <c r="D2918">
        <v>-7.1260543632599997</v>
      </c>
      <c r="E2918">
        <v>2</v>
      </c>
      <c r="F2918">
        <v>3</v>
      </c>
      <c r="G2918">
        <v>3</v>
      </c>
      <c r="J2918" t="s">
        <v>15</v>
      </c>
      <c r="K2918">
        <v>3</v>
      </c>
      <c r="L2918">
        <v>2.9710000000000001</v>
      </c>
      <c r="M2918">
        <v>0</v>
      </c>
      <c r="N2918" t="s">
        <v>10019</v>
      </c>
      <c r="O2918" t="str">
        <f>HYPERLINK("3\1\marker_253_021753.png", "Ver Imagen")</f>
        <v>Ver Imagen</v>
      </c>
      <c r="P2918" t="str">
        <f>HYPERLINK("SO\A-5053\A-5053__36.png", "Ver Imagen")</f>
        <v>Ver Imagen</v>
      </c>
    </row>
    <row r="2919" spans="1:16" x14ac:dyDescent="0.25">
      <c r="A2919">
        <v>2419</v>
      </c>
      <c r="B2919" t="s">
        <v>4851</v>
      </c>
      <c r="C2919">
        <v>37.225705098600002</v>
      </c>
      <c r="D2919">
        <v>-7.1259929204699999</v>
      </c>
      <c r="E2919">
        <v>3</v>
      </c>
      <c r="F2919">
        <v>3</v>
      </c>
      <c r="G2919">
        <v>2</v>
      </c>
      <c r="J2919" t="s">
        <v>15</v>
      </c>
      <c r="K2919">
        <v>3</v>
      </c>
      <c r="L2919">
        <v>3.024</v>
      </c>
      <c r="M2919">
        <v>0</v>
      </c>
      <c r="N2919" t="s">
        <v>10019</v>
      </c>
      <c r="O2919" t="str">
        <f>HYPERLINK("3\1\marker_944_021762.png", "Ver Imagen")</f>
        <v>Ver Imagen</v>
      </c>
      <c r="P2919" t="str">
        <f>HYPERLINK("SO\A-5053\A-5053__35.png", "Ver Imagen")</f>
        <v>Ver Imagen</v>
      </c>
    </row>
    <row r="2920" spans="1:16" x14ac:dyDescent="0.25">
      <c r="A2920">
        <v>2420</v>
      </c>
      <c r="B2920" t="s">
        <v>4853</v>
      </c>
      <c r="C2920">
        <v>37.224377804699998</v>
      </c>
      <c r="D2920">
        <v>-7.1254629409100003</v>
      </c>
      <c r="E2920">
        <v>3</v>
      </c>
      <c r="F2920">
        <v>3</v>
      </c>
      <c r="G2920">
        <v>2</v>
      </c>
      <c r="J2920" t="s">
        <v>15</v>
      </c>
      <c r="K2920">
        <v>3</v>
      </c>
      <c r="L2920">
        <v>2.8519999999999999</v>
      </c>
      <c r="M2920">
        <v>0</v>
      </c>
      <c r="N2920" t="s">
        <v>10019</v>
      </c>
      <c r="O2920" t="str">
        <f>HYPERLINK("3\1\marker_171_021831.png", "Ver Imagen")</f>
        <v>Ver Imagen</v>
      </c>
      <c r="P2920" t="str">
        <f>HYPERLINK("SO\A-5053\A-5053__28.png", "Ver Imagen")</f>
        <v>Ver Imagen</v>
      </c>
    </row>
    <row r="2921" spans="1:16" x14ac:dyDescent="0.25">
      <c r="A2921">
        <v>2421</v>
      </c>
      <c r="B2921" t="s">
        <v>4855</v>
      </c>
      <c r="C2921">
        <v>37.442884683400003</v>
      </c>
      <c r="D2921">
        <v>-7.0941544904900002</v>
      </c>
      <c r="E2921">
        <v>3</v>
      </c>
      <c r="F2921">
        <v>3</v>
      </c>
      <c r="G2921">
        <v>2</v>
      </c>
      <c r="J2921" t="s">
        <v>15</v>
      </c>
      <c r="K2921">
        <v>3</v>
      </c>
      <c r="L2921">
        <v>2.702</v>
      </c>
      <c r="M2921">
        <v>0</v>
      </c>
      <c r="N2921" t="s">
        <v>10018</v>
      </c>
      <c r="O2921" t="str">
        <f>HYPERLINK("3\1\marker_210_381361.png", "Ver Imagen")</f>
        <v>Ver Imagen</v>
      </c>
      <c r="P2921" t="str">
        <f>HYPERLINK("NE\A-495\A-495__26.png", "Ver Imagen")</f>
        <v>Ver Imagen</v>
      </c>
    </row>
    <row r="2922" spans="1:16" x14ac:dyDescent="0.25">
      <c r="A2922">
        <v>2422</v>
      </c>
      <c r="B2922" t="s">
        <v>4857</v>
      </c>
      <c r="C2922">
        <v>37.440657278899998</v>
      </c>
      <c r="D2922">
        <v>-7.0890205377699997</v>
      </c>
      <c r="E2922">
        <v>3</v>
      </c>
      <c r="F2922">
        <v>3</v>
      </c>
      <c r="G2922">
        <v>2</v>
      </c>
      <c r="J2922" t="s">
        <v>15</v>
      </c>
      <c r="K2922">
        <v>3</v>
      </c>
      <c r="L2922">
        <v>3.1150000000000002</v>
      </c>
      <c r="M2922">
        <v>0</v>
      </c>
      <c r="N2922" t="s">
        <v>10019</v>
      </c>
      <c r="O2922" t="str">
        <f>HYPERLINK("3\1\marker_358_381600.png", "Ver Imagen")</f>
        <v>Ver Imagen</v>
      </c>
      <c r="P2922" t="str">
        <f>HYPERLINK("NE\A-495\A-495__49.png", "Ver Imagen")</f>
        <v>Ver Imagen</v>
      </c>
    </row>
    <row r="2923" spans="1:16" x14ac:dyDescent="0.25">
      <c r="A2923">
        <v>2423</v>
      </c>
      <c r="B2923" t="s">
        <v>4859</v>
      </c>
      <c r="C2923">
        <v>37.440351504200002</v>
      </c>
      <c r="D2923">
        <v>-7.0883799331599997</v>
      </c>
      <c r="E2923">
        <v>3</v>
      </c>
      <c r="F2923">
        <v>3</v>
      </c>
      <c r="G2923">
        <v>2</v>
      </c>
      <c r="J2923" t="s">
        <v>15</v>
      </c>
      <c r="K2923">
        <v>3</v>
      </c>
      <c r="L2923">
        <v>3.121</v>
      </c>
      <c r="M2923">
        <v>0</v>
      </c>
      <c r="N2923" t="s">
        <v>10019</v>
      </c>
      <c r="O2923" t="str">
        <f>HYPERLINK("3\1\marker_934_381634.png", "Ver Imagen")</f>
        <v>Ver Imagen</v>
      </c>
      <c r="P2923" t="str">
        <f>HYPERLINK("NE\A-495\A-495__52.png", "Ver Imagen")</f>
        <v>Ver Imagen</v>
      </c>
    </row>
    <row r="2924" spans="1:16" x14ac:dyDescent="0.25">
      <c r="A2924">
        <v>2424</v>
      </c>
      <c r="B2924" t="s">
        <v>4861</v>
      </c>
      <c r="C2924">
        <v>37.439198896400001</v>
      </c>
      <c r="D2924">
        <v>-7.0859565040800003</v>
      </c>
      <c r="E2924">
        <v>3</v>
      </c>
      <c r="F2924">
        <v>3</v>
      </c>
      <c r="G2924">
        <v>2</v>
      </c>
      <c r="J2924" t="s">
        <v>15</v>
      </c>
      <c r="K2924">
        <v>3</v>
      </c>
      <c r="L2924">
        <v>3.01</v>
      </c>
      <c r="M2924">
        <v>0</v>
      </c>
      <c r="N2924" t="s">
        <v>10019</v>
      </c>
      <c r="O2924" t="str">
        <f>HYPERLINK("3\1\marker_485_381742.png", "Ver Imagen")</f>
        <v>Ver Imagen</v>
      </c>
      <c r="P2924" t="str">
        <f>HYPERLINK("NE\A-495\A-495__63.png", "Ver Imagen")</f>
        <v>Ver Imagen</v>
      </c>
    </row>
    <row r="2925" spans="1:16" x14ac:dyDescent="0.25">
      <c r="A2925">
        <v>2426</v>
      </c>
      <c r="B2925" t="s">
        <v>4865</v>
      </c>
      <c r="C2925">
        <v>37.436689250000001</v>
      </c>
      <c r="D2925">
        <v>-7.0789667123399997</v>
      </c>
      <c r="E2925">
        <v>3</v>
      </c>
      <c r="F2925">
        <v>3</v>
      </c>
      <c r="G2925">
        <v>2</v>
      </c>
      <c r="J2925" t="s">
        <v>15</v>
      </c>
      <c r="K2925">
        <v>3</v>
      </c>
      <c r="L2925">
        <v>2.6739999999999999</v>
      </c>
      <c r="M2925">
        <v>0</v>
      </c>
      <c r="N2925" t="s">
        <v>10019</v>
      </c>
      <c r="O2925" t="str">
        <f>HYPERLINK("3\1\marker_102_382099.png", "Ver Imagen")</f>
        <v>Ver Imagen</v>
      </c>
      <c r="P2925" t="str">
        <f>HYPERLINK("NE\A-495\A-495__94.png", "Ver Imagen")</f>
        <v>Ver Imagen</v>
      </c>
    </row>
    <row r="2926" spans="1:16" x14ac:dyDescent="0.25">
      <c r="A2926">
        <v>2427</v>
      </c>
      <c r="B2926" t="s">
        <v>4867</v>
      </c>
      <c r="C2926">
        <v>37.436521036499997</v>
      </c>
      <c r="D2926">
        <v>-7.0784810127200002</v>
      </c>
      <c r="E2926">
        <v>3</v>
      </c>
      <c r="F2926">
        <v>3</v>
      </c>
      <c r="G2926">
        <v>2</v>
      </c>
      <c r="J2926" t="s">
        <v>15</v>
      </c>
      <c r="K2926">
        <v>3</v>
      </c>
      <c r="L2926">
        <v>3.0070000000000001</v>
      </c>
      <c r="M2926">
        <v>0</v>
      </c>
      <c r="N2926" t="s">
        <v>10019</v>
      </c>
      <c r="O2926" t="str">
        <f>HYPERLINK("3\1\marker_928_382116.png", "Ver Imagen")</f>
        <v>Ver Imagen</v>
      </c>
      <c r="P2926" t="str">
        <f>HYPERLINK("NE\A-495\A-495__96.png", "Ver Imagen")</f>
        <v>Ver Imagen</v>
      </c>
    </row>
    <row r="2927" spans="1:16" x14ac:dyDescent="0.25">
      <c r="A2927">
        <v>2428</v>
      </c>
      <c r="B2927" t="s">
        <v>4869</v>
      </c>
      <c r="C2927">
        <v>37.436123762599998</v>
      </c>
      <c r="D2927">
        <v>-7.0773463024999996</v>
      </c>
      <c r="E2927">
        <v>3</v>
      </c>
      <c r="F2927">
        <v>3</v>
      </c>
      <c r="G2927">
        <v>2</v>
      </c>
      <c r="J2927" t="s">
        <v>15</v>
      </c>
      <c r="K2927">
        <v>3</v>
      </c>
      <c r="L2927">
        <v>2.8690000000000002</v>
      </c>
      <c r="M2927">
        <v>0</v>
      </c>
      <c r="N2927" t="s">
        <v>10019</v>
      </c>
      <c r="O2927" t="str">
        <f>HYPERLINK("3\1\marker_677_382164.png", "Ver Imagen")</f>
        <v>Ver Imagen</v>
      </c>
      <c r="P2927" t="str">
        <f>HYPERLINK("NE\A-495\A-495__101.png", "Ver Imagen")</f>
        <v>Ver Imagen</v>
      </c>
    </row>
    <row r="2928" spans="1:16" x14ac:dyDescent="0.25">
      <c r="A2928">
        <v>2429</v>
      </c>
      <c r="B2928" t="s">
        <v>4871</v>
      </c>
      <c r="C2928">
        <v>37.222645232399998</v>
      </c>
      <c r="D2928">
        <v>-7.0556412034499996</v>
      </c>
      <c r="E2928">
        <v>3</v>
      </c>
      <c r="F2928">
        <v>3</v>
      </c>
      <c r="G2928">
        <v>2</v>
      </c>
      <c r="J2928" t="s">
        <v>15</v>
      </c>
      <c r="K2928">
        <v>3</v>
      </c>
      <c r="L2928">
        <v>3.0390000000000001</v>
      </c>
      <c r="M2928">
        <v>0</v>
      </c>
      <c r="N2928" t="s">
        <v>10019</v>
      </c>
      <c r="O2928" t="str">
        <f>HYPERLINK("3\1\marker_687_378830.png", "Ver Imagen")</f>
        <v>Ver Imagen</v>
      </c>
      <c r="P2928" t="str">
        <f>HYPERLINK("SE\A-5059\A-5059__72.png", "Ver Imagen")</f>
        <v>Ver Imagen</v>
      </c>
    </row>
    <row r="2929" spans="1:16" x14ac:dyDescent="0.25">
      <c r="A2929">
        <v>2430</v>
      </c>
      <c r="B2929" t="s">
        <v>4873</v>
      </c>
      <c r="C2929">
        <v>37.225019612899999</v>
      </c>
      <c r="D2929">
        <v>-7.0577393544199998</v>
      </c>
      <c r="E2929">
        <v>3</v>
      </c>
      <c r="F2929">
        <v>3</v>
      </c>
      <c r="G2929">
        <v>2</v>
      </c>
      <c r="J2929" t="s">
        <v>15</v>
      </c>
      <c r="K2929">
        <v>3</v>
      </c>
      <c r="L2929">
        <v>2.8570000000000002</v>
      </c>
      <c r="M2929">
        <v>0</v>
      </c>
      <c r="N2929" t="s">
        <v>10019</v>
      </c>
      <c r="O2929" t="str">
        <f>HYPERLINK("3\1\marker_868_378975.png", "Ver Imagen")</f>
        <v>Ver Imagen</v>
      </c>
      <c r="P2929" t="str">
        <f>HYPERLINK("SE\A-5059\A-5059__57.png", "Ver Imagen")</f>
        <v>Ver Imagen</v>
      </c>
    </row>
    <row r="2930" spans="1:16" x14ac:dyDescent="0.25">
      <c r="A2930">
        <v>2431</v>
      </c>
      <c r="B2930" t="s">
        <v>4875</v>
      </c>
      <c r="C2930">
        <v>37.225159651299997</v>
      </c>
      <c r="D2930">
        <v>-7.0579757777800003</v>
      </c>
      <c r="E2930">
        <v>3</v>
      </c>
      <c r="F2930">
        <v>3</v>
      </c>
      <c r="G2930">
        <v>2</v>
      </c>
      <c r="J2930" t="s">
        <v>15</v>
      </c>
      <c r="K2930">
        <v>3</v>
      </c>
      <c r="L2930">
        <v>3.0369999999999999</v>
      </c>
      <c r="M2930">
        <v>0</v>
      </c>
      <c r="N2930" t="s">
        <v>10019</v>
      </c>
      <c r="O2930" t="str">
        <f>HYPERLINK("3\1\marker_973_378985.png", "Ver Imagen")</f>
        <v>Ver Imagen</v>
      </c>
      <c r="P2930" t="str">
        <f>HYPERLINK("SE\A-5059\A-5059__56.png", "Ver Imagen")</f>
        <v>Ver Imagen</v>
      </c>
    </row>
    <row r="2931" spans="1:16" x14ac:dyDescent="0.25">
      <c r="A2931">
        <v>2432</v>
      </c>
      <c r="B2931" t="s">
        <v>4877</v>
      </c>
      <c r="C2931">
        <v>37.435089818599998</v>
      </c>
      <c r="D2931">
        <v>-7.0702987203000003</v>
      </c>
      <c r="E2931">
        <v>3</v>
      </c>
      <c r="F2931">
        <v>3</v>
      </c>
      <c r="G2931">
        <v>2</v>
      </c>
      <c r="J2931" t="s">
        <v>15</v>
      </c>
      <c r="K2931">
        <v>3</v>
      </c>
      <c r="L2931">
        <v>2.774</v>
      </c>
      <c r="M2931">
        <v>0</v>
      </c>
      <c r="N2931" t="s">
        <v>10019</v>
      </c>
      <c r="O2931" t="str">
        <f>HYPERLINK("3\1\marker_591_382485.png", "Ver Imagen")</f>
        <v>Ver Imagen</v>
      </c>
      <c r="P2931" t="str">
        <f>HYPERLINK("NE\A-495\A-495__131.png", "Ver Imagen")</f>
        <v>Ver Imagen</v>
      </c>
    </row>
    <row r="2932" spans="1:16" x14ac:dyDescent="0.25">
      <c r="A2932">
        <v>2433</v>
      </c>
      <c r="B2932" t="s">
        <v>4879</v>
      </c>
      <c r="C2932">
        <v>37.434737203799997</v>
      </c>
      <c r="D2932">
        <v>-7.0689719651500003</v>
      </c>
      <c r="E2932">
        <v>3</v>
      </c>
      <c r="F2932">
        <v>3</v>
      </c>
      <c r="G2932">
        <v>2</v>
      </c>
      <c r="J2932" t="s">
        <v>15</v>
      </c>
      <c r="K2932">
        <v>3</v>
      </c>
      <c r="L2932">
        <v>2.8130000000000002</v>
      </c>
      <c r="M2932">
        <v>0</v>
      </c>
      <c r="N2932" t="s">
        <v>10019</v>
      </c>
      <c r="O2932" t="str">
        <f>HYPERLINK("3\1\marker_916_382543.png", "Ver Imagen")</f>
        <v>Ver Imagen</v>
      </c>
      <c r="P2932" t="str">
        <f>HYPERLINK("NE\A-495\A-495__136.png", "Ver Imagen")</f>
        <v>Ver Imagen</v>
      </c>
    </row>
    <row r="2933" spans="1:16" x14ac:dyDescent="0.25">
      <c r="A2933">
        <v>2434</v>
      </c>
      <c r="B2933" t="s">
        <v>4881</v>
      </c>
      <c r="C2933">
        <v>37.434414546200003</v>
      </c>
      <c r="D2933">
        <v>-7.0681295065800001</v>
      </c>
      <c r="E2933">
        <v>2</v>
      </c>
      <c r="F2933">
        <v>3</v>
      </c>
      <c r="G2933">
        <v>3</v>
      </c>
      <c r="J2933" t="s">
        <v>15</v>
      </c>
      <c r="K2933">
        <v>3</v>
      </c>
      <c r="L2933">
        <v>2.85</v>
      </c>
      <c r="M2933">
        <v>0</v>
      </c>
      <c r="N2933" t="s">
        <v>10019</v>
      </c>
      <c r="O2933" t="str">
        <f>HYPERLINK("3\1\marker_432_382578.png", "Ver Imagen")</f>
        <v>Ver Imagen</v>
      </c>
      <c r="P2933" t="str">
        <f>HYPERLINK("NE\A-495\A-495__140.png", "Ver Imagen")</f>
        <v>Ver Imagen</v>
      </c>
    </row>
    <row r="2934" spans="1:16" x14ac:dyDescent="0.25">
      <c r="A2934">
        <v>2437</v>
      </c>
      <c r="B2934" t="s">
        <v>4887</v>
      </c>
      <c r="C2934">
        <v>37.434124646599997</v>
      </c>
      <c r="D2934">
        <v>-7.06747448557</v>
      </c>
      <c r="E2934">
        <v>2</v>
      </c>
      <c r="F2934">
        <v>3</v>
      </c>
      <c r="G2934">
        <v>3</v>
      </c>
      <c r="J2934" t="s">
        <v>15</v>
      </c>
      <c r="K2934">
        <v>3</v>
      </c>
      <c r="L2934">
        <v>2.7559999999999998</v>
      </c>
      <c r="M2934">
        <v>0</v>
      </c>
      <c r="N2934" t="s">
        <v>10019</v>
      </c>
      <c r="O2934" t="str">
        <f>HYPERLINK("3\1\marker_874_382606.png", "Ver Imagen")</f>
        <v>Ver Imagen</v>
      </c>
      <c r="P2934" t="str">
        <f>HYPERLINK("NE\A-495\A-495__143.png", "Ver Imagen")</f>
        <v>Ver Imagen</v>
      </c>
    </row>
    <row r="2935" spans="1:16" x14ac:dyDescent="0.25">
      <c r="A2935">
        <v>2439</v>
      </c>
      <c r="B2935" t="s">
        <v>4891</v>
      </c>
      <c r="C2935">
        <v>37.4335063025</v>
      </c>
      <c r="D2935">
        <v>-7.0661244727500003</v>
      </c>
      <c r="E2935">
        <v>3</v>
      </c>
      <c r="F2935">
        <v>3</v>
      </c>
      <c r="G2935">
        <v>2</v>
      </c>
      <c r="J2935" t="s">
        <v>15</v>
      </c>
      <c r="K2935">
        <v>3</v>
      </c>
      <c r="L2935">
        <v>3.3620000000000001</v>
      </c>
      <c r="M2935">
        <v>0</v>
      </c>
      <c r="N2935" t="s">
        <v>10019</v>
      </c>
      <c r="O2935" t="str">
        <f>HYPERLINK("3\1\marker_867_382675.png", "Ver Imagen")</f>
        <v>Ver Imagen</v>
      </c>
      <c r="P2935" t="str">
        <f>HYPERLINK("NE\A-495\A-495__149.png", "Ver Imagen")</f>
        <v>Ver Imagen</v>
      </c>
    </row>
    <row r="2936" spans="1:16" x14ac:dyDescent="0.25">
      <c r="A2936">
        <v>2442</v>
      </c>
      <c r="B2936" t="s">
        <v>4897</v>
      </c>
      <c r="C2936">
        <v>37.232286036600001</v>
      </c>
      <c r="D2936">
        <v>-7.0644491452700002</v>
      </c>
      <c r="E2936">
        <v>3</v>
      </c>
      <c r="F2936">
        <v>3</v>
      </c>
      <c r="G2936">
        <v>2</v>
      </c>
      <c r="J2936" t="s">
        <v>15</v>
      </c>
      <c r="K2936">
        <v>3</v>
      </c>
      <c r="L2936">
        <v>2.536</v>
      </c>
      <c r="M2936">
        <v>0</v>
      </c>
      <c r="N2936" t="s">
        <v>10017</v>
      </c>
      <c r="O2936" t="str">
        <f>HYPERLINK("3\1\marker_977_379572.png", "Ver Imagen")</f>
        <v>Ver Imagen</v>
      </c>
      <c r="P2936" t="str">
        <f>HYPERLINK("SE\A-5059\A-5059__11.png", "Ver Imagen")</f>
        <v>Ver Imagen</v>
      </c>
    </row>
    <row r="2937" spans="1:16" x14ac:dyDescent="0.25">
      <c r="A2937">
        <v>2443</v>
      </c>
      <c r="B2937" t="s">
        <v>4899</v>
      </c>
      <c r="C2937">
        <v>37.433015175000001</v>
      </c>
      <c r="D2937">
        <v>-7.0650547427700001</v>
      </c>
      <c r="E2937">
        <v>3</v>
      </c>
      <c r="F2937">
        <v>3</v>
      </c>
      <c r="G2937">
        <v>2</v>
      </c>
      <c r="J2937" t="s">
        <v>15</v>
      </c>
      <c r="K2937">
        <v>3</v>
      </c>
      <c r="L2937">
        <v>3.0489999999999999</v>
      </c>
      <c r="M2937">
        <v>0</v>
      </c>
      <c r="N2937" t="s">
        <v>10019</v>
      </c>
      <c r="O2937" t="str">
        <f>HYPERLINK("3\1\marker_270_382724.png", "Ver Imagen")</f>
        <v>Ver Imagen</v>
      </c>
      <c r="P2937" t="str">
        <f>HYPERLINK("NE\A-495\A-495__154.png", "Ver Imagen")</f>
        <v>Ver Imagen</v>
      </c>
    </row>
    <row r="2938" spans="1:16" x14ac:dyDescent="0.25">
      <c r="A2938">
        <v>2445</v>
      </c>
      <c r="B2938" t="s">
        <v>4903</v>
      </c>
      <c r="C2938">
        <v>37.432607992000001</v>
      </c>
      <c r="D2938">
        <v>-7.0641716381600004</v>
      </c>
      <c r="E2938">
        <v>2</v>
      </c>
      <c r="F2938">
        <v>3</v>
      </c>
      <c r="G2938">
        <v>3</v>
      </c>
      <c r="J2938" t="s">
        <v>15</v>
      </c>
      <c r="K2938">
        <v>3</v>
      </c>
      <c r="L2938">
        <v>2.6150000000000002</v>
      </c>
      <c r="M2938">
        <v>0</v>
      </c>
      <c r="N2938" t="s">
        <v>10019</v>
      </c>
      <c r="O2938" t="str">
        <f>HYPERLINK("3\1\marker_252_382782.png", "Ver Imagen")</f>
        <v>Ver Imagen</v>
      </c>
      <c r="P2938" t="str">
        <f>HYPERLINK("NE\A-495\A-495__158.png", "Ver Imagen")</f>
        <v>Ver Imagen</v>
      </c>
    </row>
    <row r="2939" spans="1:16" x14ac:dyDescent="0.25">
      <c r="A2939">
        <v>2447</v>
      </c>
      <c r="B2939" t="s">
        <v>4907</v>
      </c>
      <c r="C2939">
        <v>37.2252572059</v>
      </c>
      <c r="D2939">
        <v>-7.0315662504900001</v>
      </c>
      <c r="E2939">
        <v>2</v>
      </c>
      <c r="F2939">
        <v>3</v>
      </c>
      <c r="G2939">
        <v>3</v>
      </c>
      <c r="J2939" t="s">
        <v>15</v>
      </c>
      <c r="K2939">
        <v>3</v>
      </c>
      <c r="L2939">
        <v>2.855</v>
      </c>
      <c r="M2939">
        <v>0</v>
      </c>
      <c r="N2939" t="s">
        <v>10019</v>
      </c>
      <c r="O2939" t="str">
        <f>HYPERLINK("3\1\marker_399_380010.png", "Ver Imagen")</f>
        <v>Ver Imagen</v>
      </c>
      <c r="P2939" t="str">
        <f>HYPERLINK("SE\A-5058\A-5058__17.png", "Ver Imagen")</f>
        <v>Ver Imagen</v>
      </c>
    </row>
    <row r="2940" spans="1:16" x14ac:dyDescent="0.25">
      <c r="A2940">
        <v>2448</v>
      </c>
      <c r="B2940" t="s">
        <v>4909</v>
      </c>
      <c r="C2940">
        <v>37.225236221499998</v>
      </c>
      <c r="D2940">
        <v>-7.0318133287500002</v>
      </c>
      <c r="E2940">
        <v>2</v>
      </c>
      <c r="F2940">
        <v>3</v>
      </c>
      <c r="G2940">
        <v>3</v>
      </c>
      <c r="J2940" t="s">
        <v>15</v>
      </c>
      <c r="K2940">
        <v>3</v>
      </c>
      <c r="L2940">
        <v>2.9780000000000002</v>
      </c>
      <c r="M2940">
        <v>0</v>
      </c>
      <c r="N2940" t="s">
        <v>10019</v>
      </c>
      <c r="O2940" t="str">
        <f>HYPERLINK("3\1\marker_713_380040.png", "Ver Imagen")</f>
        <v>Ver Imagen</v>
      </c>
      <c r="P2940" t="str">
        <f>HYPERLINK("SE\A-5058\A-5058__18.png", "Ver Imagen")</f>
        <v>Ver Imagen</v>
      </c>
    </row>
    <row r="2941" spans="1:16" x14ac:dyDescent="0.25">
      <c r="A2941">
        <v>2449</v>
      </c>
      <c r="B2941" t="s">
        <v>4911</v>
      </c>
      <c r="C2941">
        <v>37.224745156700003</v>
      </c>
      <c r="D2941">
        <v>-7.0340000293199996</v>
      </c>
      <c r="E2941">
        <v>2</v>
      </c>
      <c r="F2941">
        <v>3</v>
      </c>
      <c r="G2941">
        <v>3</v>
      </c>
      <c r="J2941" t="s">
        <v>15</v>
      </c>
      <c r="K2941">
        <v>3</v>
      </c>
      <c r="L2941">
        <v>2.9089999999999998</v>
      </c>
      <c r="M2941">
        <v>0</v>
      </c>
      <c r="N2941" t="s">
        <v>10019</v>
      </c>
      <c r="O2941" t="str">
        <f>HYPERLINK("3\1\marker_297_380157.png", "Ver Imagen")</f>
        <v>Ver Imagen</v>
      </c>
      <c r="P2941" t="str">
        <f>HYPERLINK("SE\A-5058\A-5058__27.png", "Ver Imagen")</f>
        <v>Ver Imagen</v>
      </c>
    </row>
    <row r="2942" spans="1:16" x14ac:dyDescent="0.25">
      <c r="A2942">
        <v>2450</v>
      </c>
      <c r="B2942" t="s">
        <v>4913</v>
      </c>
      <c r="C2942">
        <v>37.225395261999999</v>
      </c>
      <c r="D2942">
        <v>-7.0414252881800001</v>
      </c>
      <c r="E2942">
        <v>2</v>
      </c>
      <c r="F2942">
        <v>3</v>
      </c>
      <c r="G2942">
        <v>3</v>
      </c>
      <c r="J2942" t="s">
        <v>15</v>
      </c>
      <c r="K2942">
        <v>3</v>
      </c>
      <c r="L2942">
        <v>2.819</v>
      </c>
      <c r="M2942">
        <v>0</v>
      </c>
      <c r="N2942" t="s">
        <v>10019</v>
      </c>
      <c r="O2942" t="str">
        <f>HYPERLINK("3\1\marker_872_380619.png", "Ver Imagen")</f>
        <v>Ver Imagen</v>
      </c>
      <c r="P2942" t="str">
        <f>HYPERLINK("SE\A-5058\A-5058__58.png", "Ver Imagen")</f>
        <v>Ver Imagen</v>
      </c>
    </row>
    <row r="2943" spans="1:16" x14ac:dyDescent="0.25">
      <c r="A2943">
        <v>2451</v>
      </c>
      <c r="B2943" t="s">
        <v>4915</v>
      </c>
      <c r="C2943">
        <v>37.225872528300002</v>
      </c>
      <c r="D2943">
        <v>-7.0425220849199999</v>
      </c>
      <c r="E2943">
        <v>2</v>
      </c>
      <c r="F2943">
        <v>3</v>
      </c>
      <c r="G2943">
        <v>3</v>
      </c>
      <c r="J2943" t="s">
        <v>15</v>
      </c>
      <c r="K2943">
        <v>3</v>
      </c>
      <c r="L2943">
        <v>3.01</v>
      </c>
      <c r="M2943">
        <v>0</v>
      </c>
      <c r="N2943" t="s">
        <v>10019</v>
      </c>
      <c r="O2943" t="str">
        <f>HYPERLINK("3\1\marker_967_380672.png", "Ver Imagen")</f>
        <v>Ver Imagen</v>
      </c>
      <c r="P2943" t="str">
        <f>HYPERLINK("SE\A-5058\A-5058__63.png", "Ver Imagen")</f>
        <v>Ver Imagen</v>
      </c>
    </row>
    <row r="2944" spans="1:16" x14ac:dyDescent="0.25">
      <c r="A2944">
        <v>2452</v>
      </c>
      <c r="B2944" t="s">
        <v>4917</v>
      </c>
      <c r="C2944">
        <v>37.225970537099997</v>
      </c>
      <c r="D2944">
        <v>-7.0427361684700003</v>
      </c>
      <c r="E2944">
        <v>2</v>
      </c>
      <c r="F2944">
        <v>3</v>
      </c>
      <c r="G2944">
        <v>3</v>
      </c>
      <c r="J2944" t="s">
        <v>15</v>
      </c>
      <c r="K2944">
        <v>3</v>
      </c>
      <c r="L2944">
        <v>3.004</v>
      </c>
      <c r="M2944">
        <v>0</v>
      </c>
      <c r="N2944" t="s">
        <v>10019</v>
      </c>
      <c r="O2944" t="str">
        <f>HYPERLINK("3\1\marker_192_380681.png", "Ver Imagen")</f>
        <v>Ver Imagen</v>
      </c>
      <c r="P2944" t="str">
        <f>HYPERLINK("SE\A-5058\A-5058__64.png", "Ver Imagen")</f>
        <v>Ver Imagen</v>
      </c>
    </row>
    <row r="2945" spans="1:16" x14ac:dyDescent="0.25">
      <c r="A2945">
        <v>2454</v>
      </c>
      <c r="B2945" t="s">
        <v>4921</v>
      </c>
      <c r="C2945">
        <v>37.232294404999998</v>
      </c>
      <c r="D2945">
        <v>-7.0528423733299999</v>
      </c>
      <c r="E2945">
        <v>2</v>
      </c>
      <c r="F2945">
        <v>3</v>
      </c>
      <c r="G2945">
        <v>3</v>
      </c>
      <c r="J2945" t="s">
        <v>15</v>
      </c>
      <c r="K2945">
        <v>3</v>
      </c>
      <c r="L2945">
        <v>2.8530000000000002</v>
      </c>
      <c r="M2945">
        <v>0</v>
      </c>
      <c r="N2945" t="s">
        <v>10018</v>
      </c>
      <c r="O2945" t="str">
        <f>HYPERLINK("3\1\marker_833_381293.png", "Ver Imagen")</f>
        <v>Ver Imagen</v>
      </c>
      <c r="P2945" t="str">
        <f>HYPERLINK("SE\A-5058\A-5058__115.png", "Ver Imagen")</f>
        <v>Ver Imagen</v>
      </c>
    </row>
    <row r="2946" spans="1:16" x14ac:dyDescent="0.25">
      <c r="A2946">
        <v>2455</v>
      </c>
      <c r="B2946" t="s">
        <v>4923</v>
      </c>
      <c r="C2946">
        <v>37.475783230600001</v>
      </c>
      <c r="D2946">
        <v>-7.1258362476099997</v>
      </c>
      <c r="E2946">
        <v>3</v>
      </c>
      <c r="F2946">
        <v>3</v>
      </c>
      <c r="G2946">
        <v>2</v>
      </c>
      <c r="J2946" t="s">
        <v>15</v>
      </c>
      <c r="K2946">
        <v>3</v>
      </c>
      <c r="L2946">
        <v>2.8889999999999998</v>
      </c>
      <c r="M2946">
        <v>0</v>
      </c>
      <c r="N2946" t="s">
        <v>10019</v>
      </c>
      <c r="O2946" t="str">
        <f>HYPERLINK("3\1\marker_718_384313.png", "Ver Imagen")</f>
        <v>Ver Imagen</v>
      </c>
      <c r="P2946" t="str">
        <f>HYPERLINK("NE\A-495_1\A-495_1__144.png", "Ver Imagen")</f>
        <v>Ver Imagen</v>
      </c>
    </row>
    <row r="2947" spans="1:16" x14ac:dyDescent="0.25">
      <c r="A2947">
        <v>2456</v>
      </c>
      <c r="B2947" t="s">
        <v>4925</v>
      </c>
      <c r="C2947">
        <v>37.475143019699999</v>
      </c>
      <c r="D2947">
        <v>-7.1259741027799999</v>
      </c>
      <c r="E2947">
        <v>3</v>
      </c>
      <c r="F2947">
        <v>3</v>
      </c>
      <c r="G2947">
        <v>2</v>
      </c>
      <c r="J2947" t="s">
        <v>15</v>
      </c>
      <c r="K2947">
        <v>3</v>
      </c>
      <c r="L2947">
        <v>3.0350000000000001</v>
      </c>
      <c r="M2947">
        <v>0</v>
      </c>
      <c r="N2947" t="s">
        <v>10019</v>
      </c>
      <c r="O2947" t="str">
        <f>HYPERLINK("3\1\marker_837_384352.png", "Ver Imagen")</f>
        <v>Ver Imagen</v>
      </c>
      <c r="P2947" t="str">
        <f>HYPERLINK("NE\A-495_1\A-495_1__141.png", "Ver Imagen")</f>
        <v>Ver Imagen</v>
      </c>
    </row>
    <row r="2948" spans="1:16" x14ac:dyDescent="0.25">
      <c r="A2948">
        <v>2457</v>
      </c>
      <c r="B2948" t="s">
        <v>4927</v>
      </c>
      <c r="C2948">
        <v>37.474957051099999</v>
      </c>
      <c r="D2948">
        <v>-7.1260153652199998</v>
      </c>
      <c r="E2948">
        <v>3</v>
      </c>
      <c r="F2948">
        <v>3</v>
      </c>
      <c r="G2948">
        <v>2</v>
      </c>
      <c r="J2948" t="s">
        <v>15</v>
      </c>
      <c r="K2948">
        <v>3</v>
      </c>
      <c r="L2948">
        <v>2.887</v>
      </c>
      <c r="M2948">
        <v>0</v>
      </c>
      <c r="N2948" t="s">
        <v>10018</v>
      </c>
      <c r="O2948" t="str">
        <f>HYPERLINK("3\1\marker_967_384364.png", "Ver Imagen")</f>
        <v>Ver Imagen</v>
      </c>
      <c r="P2948" t="str">
        <f>HYPERLINK("NE\A-495_1\A-495_1__140.png", "Ver Imagen")</f>
        <v>Ver Imagen</v>
      </c>
    </row>
    <row r="2949" spans="1:16" x14ac:dyDescent="0.25">
      <c r="A2949">
        <v>2458</v>
      </c>
      <c r="B2949" t="s">
        <v>4929</v>
      </c>
      <c r="C2949">
        <v>37.469742924999998</v>
      </c>
      <c r="D2949">
        <v>-7.1244520738699997</v>
      </c>
      <c r="E2949">
        <v>3</v>
      </c>
      <c r="F2949">
        <v>3</v>
      </c>
      <c r="G2949">
        <v>2</v>
      </c>
      <c r="J2949" t="s">
        <v>15</v>
      </c>
      <c r="K2949">
        <v>3</v>
      </c>
      <c r="L2949">
        <v>3.0409999999999999</v>
      </c>
      <c r="M2949">
        <v>0</v>
      </c>
      <c r="N2949" t="s">
        <v>10019</v>
      </c>
      <c r="O2949" t="str">
        <f>HYPERLINK("3\1\marker_104_384702.png", "Ver Imagen")</f>
        <v>Ver Imagen</v>
      </c>
      <c r="P2949" t="str">
        <f>HYPERLINK("NE\A-495_1\A-495_1__112.png", "Ver Imagen")</f>
        <v>Ver Imagen</v>
      </c>
    </row>
    <row r="2950" spans="1:16" x14ac:dyDescent="0.25">
      <c r="A2950">
        <v>2459</v>
      </c>
      <c r="B2950" t="s">
        <v>4931</v>
      </c>
      <c r="C2950">
        <v>37.467540077400002</v>
      </c>
      <c r="D2950">
        <v>-7.1230247536600002</v>
      </c>
      <c r="E2950">
        <v>3</v>
      </c>
      <c r="F2950">
        <v>3</v>
      </c>
      <c r="G2950">
        <v>2</v>
      </c>
      <c r="J2950" t="s">
        <v>15</v>
      </c>
      <c r="K2950">
        <v>3</v>
      </c>
      <c r="L2950">
        <v>2.74</v>
      </c>
      <c r="M2950">
        <v>0</v>
      </c>
      <c r="N2950" t="s">
        <v>10019</v>
      </c>
      <c r="O2950" t="str">
        <f>HYPERLINK("3\1\marker_187_385023.png", "Ver Imagen")</f>
        <v>Ver Imagen</v>
      </c>
      <c r="P2950" t="str">
        <f>HYPERLINK("NE\A-495_1\A-495_1__100.png", "Ver Imagen")</f>
        <v>Ver Imagen</v>
      </c>
    </row>
    <row r="2951" spans="1:16" x14ac:dyDescent="0.25">
      <c r="A2951">
        <v>2460</v>
      </c>
      <c r="B2951" t="s">
        <v>4933</v>
      </c>
      <c r="C2951">
        <v>37.451989920099997</v>
      </c>
      <c r="D2951">
        <v>-7.1274645613000001</v>
      </c>
      <c r="E2951">
        <v>3</v>
      </c>
      <c r="F2951">
        <v>3</v>
      </c>
      <c r="G2951">
        <v>2</v>
      </c>
      <c r="J2951" t="s">
        <v>15</v>
      </c>
      <c r="K2951">
        <v>3</v>
      </c>
      <c r="L2951">
        <v>3.0720000000000001</v>
      </c>
      <c r="M2951">
        <v>0</v>
      </c>
      <c r="N2951" t="s">
        <v>10019</v>
      </c>
      <c r="O2951" t="str">
        <f>HYPERLINK("3\1\marker_220_386124.png", "Ver Imagen")</f>
        <v>Ver Imagen</v>
      </c>
      <c r="P2951" t="str">
        <f>HYPERLINK("NE\A-495_1\A-495_1__20.png", "Ver Imagen")</f>
        <v>Ver Imagen</v>
      </c>
    </row>
    <row r="2952" spans="1:16" x14ac:dyDescent="0.25">
      <c r="A2952">
        <v>2461</v>
      </c>
      <c r="B2952" t="s">
        <v>4935</v>
      </c>
      <c r="C2952">
        <v>37.495415258000001</v>
      </c>
      <c r="D2952">
        <v>-7.2762850383100002</v>
      </c>
      <c r="E2952">
        <v>3</v>
      </c>
      <c r="F2952">
        <v>3</v>
      </c>
      <c r="G2952">
        <v>2</v>
      </c>
      <c r="J2952" t="s">
        <v>15</v>
      </c>
      <c r="K2952">
        <v>3</v>
      </c>
      <c r="L2952">
        <v>3.2730000000000001</v>
      </c>
      <c r="M2952">
        <v>0</v>
      </c>
      <c r="N2952" t="s">
        <v>10019</v>
      </c>
      <c r="O2952" t="str">
        <f>HYPERLINK("3\1\marker_536_534823.png", "Ver Imagen")</f>
        <v>Ver Imagen</v>
      </c>
      <c r="P2952" t="str">
        <f>HYPERLINK("NO\A-499\A-499__46.png", "Ver Imagen")</f>
        <v>Ver Imagen</v>
      </c>
    </row>
    <row r="2953" spans="1:16" x14ac:dyDescent="0.25">
      <c r="A2953">
        <v>2462</v>
      </c>
      <c r="B2953" t="s">
        <v>4937</v>
      </c>
      <c r="C2953">
        <v>37.495672130199999</v>
      </c>
      <c r="D2953">
        <v>-7.27377371648</v>
      </c>
      <c r="E2953">
        <v>3</v>
      </c>
      <c r="F2953">
        <v>3</v>
      </c>
      <c r="G2953">
        <v>2</v>
      </c>
      <c r="J2953" t="s">
        <v>15</v>
      </c>
      <c r="K2953">
        <v>3</v>
      </c>
      <c r="L2953">
        <v>2.68</v>
      </c>
      <c r="M2953">
        <v>0</v>
      </c>
      <c r="N2953" t="s">
        <v>10017</v>
      </c>
      <c r="O2953" t="str">
        <f>HYPERLINK("3\1\marker_975_534954.png", "Ver Imagen")</f>
        <v>Ver Imagen</v>
      </c>
      <c r="P2953" t="str">
        <f>HYPERLINK("NO\A-499\A-499__56.png", "Ver Imagen")</f>
        <v>Ver Imagen</v>
      </c>
    </row>
    <row r="2954" spans="1:16" x14ac:dyDescent="0.25">
      <c r="A2954">
        <v>2463</v>
      </c>
      <c r="B2954" t="s">
        <v>4939</v>
      </c>
      <c r="C2954">
        <v>37.495836259599997</v>
      </c>
      <c r="D2954">
        <v>-7.2681155829400002</v>
      </c>
      <c r="E2954">
        <v>2</v>
      </c>
      <c r="F2954">
        <v>3</v>
      </c>
      <c r="G2954">
        <v>3</v>
      </c>
      <c r="J2954" t="s">
        <v>15</v>
      </c>
      <c r="K2954">
        <v>3</v>
      </c>
      <c r="L2954">
        <v>3.0369999999999999</v>
      </c>
      <c r="M2954">
        <v>0</v>
      </c>
      <c r="N2954" t="s">
        <v>10019</v>
      </c>
      <c r="O2954" t="str">
        <f>HYPERLINK("3\1\marker_323_789412.png", "Ver Imagen")</f>
        <v>Ver Imagen</v>
      </c>
      <c r="P2954" t="str">
        <f>HYPERLINK("NO\A-499\A-499__85.png", "Ver Imagen")</f>
        <v>Ver Imagen</v>
      </c>
    </row>
    <row r="2955" spans="1:16" x14ac:dyDescent="0.25">
      <c r="A2955">
        <v>2464</v>
      </c>
      <c r="B2955" t="s">
        <v>4941</v>
      </c>
      <c r="C2955">
        <v>37.4972238318</v>
      </c>
      <c r="D2955">
        <v>-7.2680524097200001</v>
      </c>
      <c r="E2955">
        <v>2</v>
      </c>
      <c r="F2955">
        <v>3</v>
      </c>
      <c r="G2955">
        <v>3</v>
      </c>
      <c r="J2955" t="s">
        <v>15</v>
      </c>
      <c r="K2955">
        <v>3</v>
      </c>
      <c r="L2955">
        <v>2.8929999999999998</v>
      </c>
      <c r="M2955">
        <v>0</v>
      </c>
      <c r="N2955" t="s">
        <v>10019</v>
      </c>
      <c r="O2955" t="str">
        <f>HYPERLINK("3\1\marker_511_790086.png", "Ver Imagen")</f>
        <v>Ver Imagen</v>
      </c>
      <c r="P2955" t="str">
        <f>HYPERLINK("NO\A-499\A-499__92.png", "Ver Imagen")</f>
        <v>Ver Imagen</v>
      </c>
    </row>
    <row r="2956" spans="1:16" x14ac:dyDescent="0.25">
      <c r="A2956">
        <v>2465</v>
      </c>
      <c r="B2956" t="s">
        <v>4943</v>
      </c>
      <c r="C2956">
        <v>37.191187990000003</v>
      </c>
      <c r="D2956">
        <v>-6.97784052019</v>
      </c>
      <c r="E2956">
        <v>2</v>
      </c>
      <c r="F2956">
        <v>3</v>
      </c>
      <c r="G2956">
        <v>3</v>
      </c>
      <c r="J2956" t="s">
        <v>15</v>
      </c>
      <c r="K2956">
        <v>3</v>
      </c>
      <c r="L2956">
        <v>2.8980000000000001</v>
      </c>
      <c r="M2956">
        <v>0</v>
      </c>
      <c r="N2956" t="s">
        <v>10019</v>
      </c>
      <c r="O2956" t="str">
        <f>HYPERLINK("3\1\marker_551_368072.png", "Ver Imagen")</f>
        <v>Ver Imagen</v>
      </c>
      <c r="P2956" t="str">
        <f>HYPERLINK("SE\A-497\A-497__789.png", "Ver Imagen")</f>
        <v>Ver Imagen</v>
      </c>
    </row>
    <row r="2957" spans="1:16" x14ac:dyDescent="0.25">
      <c r="A2957">
        <v>2468</v>
      </c>
      <c r="B2957" t="s">
        <v>4949</v>
      </c>
      <c r="C2957">
        <v>37.267393984400002</v>
      </c>
      <c r="D2957">
        <v>-6.9579634063800002</v>
      </c>
      <c r="E2957">
        <v>2</v>
      </c>
      <c r="F2957">
        <v>3</v>
      </c>
      <c r="G2957">
        <v>3</v>
      </c>
      <c r="J2957" t="s">
        <v>15</v>
      </c>
      <c r="K2957">
        <v>3</v>
      </c>
      <c r="L2957">
        <v>2.9580000000000002</v>
      </c>
      <c r="M2957">
        <v>0</v>
      </c>
      <c r="N2957" t="s">
        <v>10019</v>
      </c>
      <c r="O2957" t="str">
        <f>HYPERLINK("3\1\marker_847_653758.png", "Ver Imagen")</f>
        <v>Ver Imagen</v>
      </c>
      <c r="P2957" t="str">
        <f>HYPERLINK("SE\A-497_2C\A-497_2C__4.png", "Ver Imagen")</f>
        <v>Ver Imagen</v>
      </c>
    </row>
    <row r="2958" spans="1:16" x14ac:dyDescent="0.25">
      <c r="A2958">
        <v>2469</v>
      </c>
      <c r="B2958" t="s">
        <v>4951</v>
      </c>
      <c r="C2958">
        <v>37.506654820100003</v>
      </c>
      <c r="D2958">
        <v>-7.2654190572099999</v>
      </c>
      <c r="E2958">
        <v>2</v>
      </c>
      <c r="F2958">
        <v>3</v>
      </c>
      <c r="G2958">
        <v>3</v>
      </c>
      <c r="J2958" t="s">
        <v>15</v>
      </c>
      <c r="K2958">
        <v>3</v>
      </c>
      <c r="L2958">
        <v>2.5099999999999998</v>
      </c>
      <c r="M2958">
        <v>0</v>
      </c>
      <c r="N2958" t="s">
        <v>10019</v>
      </c>
      <c r="O2958" t="str">
        <f>HYPERLINK("3\1\marker_471_794068.png", "Ver Imagen")</f>
        <v>Ver Imagen</v>
      </c>
      <c r="P2958" t="str">
        <f>HYPERLINK("NO\A-499\A-499__140.png", "Ver Imagen")</f>
        <v>Ver Imagen</v>
      </c>
    </row>
    <row r="2959" spans="1:16" x14ac:dyDescent="0.25">
      <c r="A2959">
        <v>2471</v>
      </c>
      <c r="B2959" t="s">
        <v>4955</v>
      </c>
      <c r="C2959">
        <v>37.510041630300002</v>
      </c>
      <c r="D2959">
        <v>-7.2675994096899998</v>
      </c>
      <c r="E2959">
        <v>2</v>
      </c>
      <c r="F2959">
        <v>3</v>
      </c>
      <c r="G2959">
        <v>3</v>
      </c>
      <c r="J2959" t="s">
        <v>15</v>
      </c>
      <c r="K2959">
        <v>3</v>
      </c>
      <c r="L2959">
        <v>2.996</v>
      </c>
      <c r="M2959">
        <v>0</v>
      </c>
      <c r="N2959" t="s">
        <v>10019</v>
      </c>
      <c r="O2959" t="str">
        <f>HYPERLINK("3\1\marker_247_794565.png", "Ver Imagen")</f>
        <v>Ver Imagen</v>
      </c>
      <c r="P2959" t="str">
        <f>HYPERLINK("NO\A-499\A-499__159.png", "Ver Imagen")</f>
        <v>Ver Imagen</v>
      </c>
    </row>
    <row r="2960" spans="1:16" x14ac:dyDescent="0.25">
      <c r="A2960">
        <v>2472</v>
      </c>
      <c r="B2960" t="s">
        <v>4957</v>
      </c>
      <c r="C2960">
        <v>37.5135420318</v>
      </c>
      <c r="D2960">
        <v>-7.2689516275399999</v>
      </c>
      <c r="E2960">
        <v>3</v>
      </c>
      <c r="F2960">
        <v>3</v>
      </c>
      <c r="G2960">
        <v>2</v>
      </c>
      <c r="J2960" t="s">
        <v>15</v>
      </c>
      <c r="K2960">
        <v>3</v>
      </c>
      <c r="L2960">
        <v>2.9009999999999998</v>
      </c>
      <c r="M2960">
        <v>0</v>
      </c>
      <c r="N2960" t="s">
        <v>10019</v>
      </c>
      <c r="O2960" t="str">
        <f>HYPERLINK("3\1\marker_549_795586.png", "Ver Imagen")</f>
        <v>Ver Imagen</v>
      </c>
      <c r="P2960" t="str">
        <f>HYPERLINK("NO\A-499\A-499__177.png", "Ver Imagen")</f>
        <v>Ver Imagen</v>
      </c>
    </row>
    <row r="2961" spans="1:16" x14ac:dyDescent="0.25">
      <c r="A2961">
        <v>2474</v>
      </c>
      <c r="B2961" t="s">
        <v>4961</v>
      </c>
      <c r="C2961">
        <v>37.5253416085</v>
      </c>
      <c r="D2961">
        <v>-7.2566679682000004</v>
      </c>
      <c r="E2961">
        <v>2</v>
      </c>
      <c r="F2961">
        <v>3</v>
      </c>
      <c r="G2961">
        <v>3</v>
      </c>
      <c r="J2961" t="s">
        <v>15</v>
      </c>
      <c r="K2961">
        <v>3</v>
      </c>
      <c r="L2961">
        <v>2.5249999999999999</v>
      </c>
      <c r="M2961">
        <v>0</v>
      </c>
      <c r="N2961" t="s">
        <v>10019</v>
      </c>
      <c r="O2961" t="str">
        <f>HYPERLINK("3\1\marker_803_797085.png", "Ver Imagen")</f>
        <v>Ver Imagen</v>
      </c>
      <c r="P2961" t="str">
        <f>HYPERLINK("NO\A-499\A-499__256.png", "Ver Imagen")</f>
        <v>Ver Imagen</v>
      </c>
    </row>
    <row r="2962" spans="1:16" x14ac:dyDescent="0.25">
      <c r="A2962">
        <v>2475</v>
      </c>
      <c r="B2962" t="s">
        <v>4963</v>
      </c>
      <c r="C2962">
        <v>37.187527211199999</v>
      </c>
      <c r="D2962">
        <v>-6.9786611564800003</v>
      </c>
      <c r="E2962">
        <v>2</v>
      </c>
      <c r="F2962">
        <v>3</v>
      </c>
      <c r="G2962">
        <v>3</v>
      </c>
      <c r="J2962" t="s">
        <v>15</v>
      </c>
      <c r="K2962">
        <v>3</v>
      </c>
      <c r="L2962">
        <v>2.653</v>
      </c>
      <c r="M2962">
        <v>0</v>
      </c>
      <c r="N2962" t="s">
        <v>10019</v>
      </c>
      <c r="O2962" t="str">
        <f>HYPERLINK("3\1\marker_297_368724.png", "Ver Imagen")</f>
        <v>Ver Imagen</v>
      </c>
      <c r="P2962" t="str">
        <f>HYPERLINK("SE\A-497\A-497__748.png", "Ver Imagen")</f>
        <v>Ver Imagen</v>
      </c>
    </row>
    <row r="2963" spans="1:16" x14ac:dyDescent="0.25">
      <c r="A2963">
        <v>2476</v>
      </c>
      <c r="B2963" t="s">
        <v>4965</v>
      </c>
      <c r="C2963">
        <v>37.2660637436</v>
      </c>
      <c r="D2963">
        <v>-6.9935117059599996</v>
      </c>
      <c r="E2963">
        <v>2</v>
      </c>
      <c r="F2963">
        <v>3</v>
      </c>
      <c r="G2963">
        <v>3</v>
      </c>
      <c r="J2963" t="s">
        <v>15</v>
      </c>
      <c r="K2963">
        <v>3</v>
      </c>
      <c r="L2963">
        <v>2.9929999999999999</v>
      </c>
      <c r="M2963">
        <v>0</v>
      </c>
      <c r="N2963" t="s">
        <v>10019</v>
      </c>
      <c r="O2963" t="str">
        <f>HYPERLINK("3\1\marker_174_656111.png", "Ver Imagen")</f>
        <v>Ver Imagen</v>
      </c>
      <c r="P2963" t="str">
        <f>HYPERLINK("SE\A-497_2C\A-497_2C__161.png", "Ver Imagen")</f>
        <v>Ver Imagen</v>
      </c>
    </row>
    <row r="2964" spans="1:16" x14ac:dyDescent="0.25">
      <c r="A2964">
        <v>2477</v>
      </c>
      <c r="B2964" t="s">
        <v>4967</v>
      </c>
      <c r="C2964">
        <v>37.262920866599998</v>
      </c>
      <c r="D2964">
        <v>-7.0089561291000004</v>
      </c>
      <c r="E2964">
        <v>2</v>
      </c>
      <c r="F2964">
        <v>3</v>
      </c>
      <c r="G2964">
        <v>3</v>
      </c>
      <c r="J2964" t="s">
        <v>15</v>
      </c>
      <c r="K2964">
        <v>3</v>
      </c>
      <c r="L2964">
        <v>2.746</v>
      </c>
      <c r="M2964">
        <v>0</v>
      </c>
      <c r="N2964" t="s">
        <v>10019</v>
      </c>
      <c r="O2964" t="str">
        <f>HYPERLINK("3\1\marker_423_656823.png", "Ver Imagen")</f>
        <v>Ver Imagen</v>
      </c>
      <c r="P2964" t="str">
        <f>HYPERLINK("SE\A-497_2C\A-497_2C__224.png", "Ver Imagen")</f>
        <v>Ver Imagen</v>
      </c>
    </row>
    <row r="2965" spans="1:16" x14ac:dyDescent="0.25">
      <c r="A2965">
        <v>2478</v>
      </c>
      <c r="B2965" t="s">
        <v>4969</v>
      </c>
      <c r="C2965">
        <v>37.262833160900001</v>
      </c>
      <c r="D2965">
        <v>-7.0091266225700002</v>
      </c>
      <c r="E2965">
        <v>2</v>
      </c>
      <c r="F2965">
        <v>3</v>
      </c>
      <c r="G2965">
        <v>3</v>
      </c>
      <c r="J2965" t="s">
        <v>15</v>
      </c>
      <c r="K2965">
        <v>3</v>
      </c>
      <c r="L2965">
        <v>3.1309999999999998</v>
      </c>
      <c r="M2965">
        <v>0</v>
      </c>
      <c r="N2965" t="s">
        <v>10019</v>
      </c>
      <c r="O2965" t="str">
        <f>HYPERLINK("3\1\marker_427_656838.png", "Ver Imagen")</f>
        <v>Ver Imagen</v>
      </c>
      <c r="P2965" t="str">
        <f>HYPERLINK("SE\A-497_2C\A-497_2C__225.png", "Ver Imagen")</f>
        <v>Ver Imagen</v>
      </c>
    </row>
    <row r="2966" spans="1:16" x14ac:dyDescent="0.25">
      <c r="A2966">
        <v>2479</v>
      </c>
      <c r="B2966" t="s">
        <v>4971</v>
      </c>
      <c r="C2966">
        <v>37.256066453400003</v>
      </c>
      <c r="D2966">
        <v>-7.0142072715100001</v>
      </c>
      <c r="E2966">
        <v>2</v>
      </c>
      <c r="F2966">
        <v>3</v>
      </c>
      <c r="G2966">
        <v>3</v>
      </c>
      <c r="J2966" t="s">
        <v>15</v>
      </c>
      <c r="K2966">
        <v>3</v>
      </c>
      <c r="L2966">
        <v>2.7669999999999999</v>
      </c>
      <c r="M2966">
        <v>0</v>
      </c>
      <c r="N2966" t="s">
        <v>10019</v>
      </c>
      <c r="O2966" t="str">
        <f>HYPERLINK("3\1\marker_925_319669.png", "Ver Imagen")</f>
        <v>Ver Imagen</v>
      </c>
      <c r="P2966" t="str">
        <f>HYPERLINK("SE\A-497_2C\A-497_2C__264.png", "Ver Imagen")</f>
        <v>Ver Imagen</v>
      </c>
    </row>
    <row r="2967" spans="1:16" x14ac:dyDescent="0.25">
      <c r="A2967">
        <v>2480</v>
      </c>
      <c r="B2967" t="s">
        <v>4973</v>
      </c>
      <c r="C2967">
        <v>37.255706130299998</v>
      </c>
      <c r="D2967">
        <v>-7.0144391935700003</v>
      </c>
      <c r="E2967">
        <v>2</v>
      </c>
      <c r="F2967">
        <v>3</v>
      </c>
      <c r="G2967">
        <v>3</v>
      </c>
      <c r="J2967" t="s">
        <v>15</v>
      </c>
      <c r="K2967">
        <v>3</v>
      </c>
      <c r="L2967">
        <v>2.8109999999999999</v>
      </c>
      <c r="M2967">
        <v>0</v>
      </c>
      <c r="N2967" t="s">
        <v>10019</v>
      </c>
      <c r="O2967" t="str">
        <f>HYPERLINK("3\1\marker_255_319697.png", "Ver Imagen")</f>
        <v>Ver Imagen</v>
      </c>
      <c r="P2967" t="str">
        <f>HYPERLINK("SE\A-497_2C\A-497_2C__266.png", "Ver Imagen")</f>
        <v>Ver Imagen</v>
      </c>
    </row>
    <row r="2968" spans="1:16" x14ac:dyDescent="0.25">
      <c r="A2968">
        <v>2481</v>
      </c>
      <c r="B2968" t="s">
        <v>4975</v>
      </c>
      <c r="C2968">
        <v>37.255528085199998</v>
      </c>
      <c r="D2968">
        <v>-7.0145540195300002</v>
      </c>
      <c r="E2968">
        <v>2</v>
      </c>
      <c r="F2968">
        <v>3</v>
      </c>
      <c r="G2968">
        <v>3</v>
      </c>
      <c r="J2968" t="s">
        <v>15</v>
      </c>
      <c r="K2968">
        <v>3</v>
      </c>
      <c r="L2968">
        <v>3.2469999999999999</v>
      </c>
      <c r="M2968">
        <v>0</v>
      </c>
      <c r="N2968" t="s">
        <v>10019</v>
      </c>
      <c r="O2968" t="str">
        <f>HYPERLINK("3\1\marker_785_319706.png", "Ver Imagen")</f>
        <v>Ver Imagen</v>
      </c>
      <c r="P2968" t="str">
        <f>HYPERLINK("SE\A-497_2C\A-497_2C__267.png", "Ver Imagen")</f>
        <v>Ver Imagen</v>
      </c>
    </row>
    <row r="2969" spans="1:16" x14ac:dyDescent="0.25">
      <c r="A2969">
        <v>2482</v>
      </c>
      <c r="B2969" t="s">
        <v>4977</v>
      </c>
      <c r="C2969">
        <v>37.203979214100002</v>
      </c>
      <c r="D2969">
        <v>-7.0101281187</v>
      </c>
      <c r="E2969">
        <v>2</v>
      </c>
      <c r="F2969">
        <v>3</v>
      </c>
      <c r="G2969">
        <v>3</v>
      </c>
      <c r="J2969" t="s">
        <v>15</v>
      </c>
      <c r="K2969">
        <v>3</v>
      </c>
      <c r="L2969">
        <v>2.9569999999999999</v>
      </c>
      <c r="M2969">
        <v>0</v>
      </c>
      <c r="N2969" t="s">
        <v>10019</v>
      </c>
      <c r="O2969" t="str">
        <f>HYPERLINK("3\1\marker_529_372035.png", "Ver Imagen")</f>
        <v>Ver Imagen</v>
      </c>
      <c r="P2969" t="str">
        <f>HYPERLINK("SE\A-497\A-497__570.png", "Ver Imagen")</f>
        <v>Ver Imagen</v>
      </c>
    </row>
    <row r="2970" spans="1:16" x14ac:dyDescent="0.25">
      <c r="A2970">
        <v>2483</v>
      </c>
      <c r="B2970" t="s">
        <v>4979</v>
      </c>
      <c r="C2970">
        <v>37.252176392400003</v>
      </c>
      <c r="D2970">
        <v>-7.0164888337700004</v>
      </c>
      <c r="E2970">
        <v>2</v>
      </c>
      <c r="F2970">
        <v>3</v>
      </c>
      <c r="G2970">
        <v>3</v>
      </c>
      <c r="J2970" t="s">
        <v>15</v>
      </c>
      <c r="K2970">
        <v>3</v>
      </c>
      <c r="L2970">
        <v>2.6909999999999998</v>
      </c>
      <c r="M2970">
        <v>0</v>
      </c>
      <c r="N2970" t="s">
        <v>10018</v>
      </c>
      <c r="O2970" t="str">
        <f>HYPERLINK("3\1\marker_121_378353.png", "Ver Imagen")</f>
        <v>Ver Imagen</v>
      </c>
      <c r="P2970" t="str">
        <f>HYPERLINK("SE\A-497\A-497__290.png", "Ver Imagen")</f>
        <v>Ver Imagen</v>
      </c>
    </row>
    <row r="2971" spans="1:16" x14ac:dyDescent="0.25">
      <c r="A2971">
        <v>2484</v>
      </c>
      <c r="B2971" t="s">
        <v>4981</v>
      </c>
      <c r="C2971">
        <v>37.254932647300002</v>
      </c>
      <c r="D2971">
        <v>-7.0147330569699999</v>
      </c>
      <c r="E2971">
        <v>2</v>
      </c>
      <c r="F2971">
        <v>3</v>
      </c>
      <c r="G2971">
        <v>3</v>
      </c>
      <c r="J2971" t="s">
        <v>15</v>
      </c>
      <c r="K2971">
        <v>3</v>
      </c>
      <c r="L2971">
        <v>2.97</v>
      </c>
      <c r="M2971">
        <v>0</v>
      </c>
      <c r="N2971" t="s">
        <v>10019</v>
      </c>
      <c r="O2971" t="str">
        <f>HYPERLINK("3\1\marker_905_378526.png", "Ver Imagen")</f>
        <v>Ver Imagen</v>
      </c>
      <c r="P2971" t="str">
        <f>HYPERLINK("SE\A-497\A-497__275.png", "Ver Imagen")</f>
        <v>Ver Imagen</v>
      </c>
    </row>
    <row r="2972" spans="1:16" x14ac:dyDescent="0.25">
      <c r="A2972">
        <v>2485</v>
      </c>
      <c r="B2972" t="s">
        <v>4983</v>
      </c>
      <c r="C2972">
        <v>37.264146595699998</v>
      </c>
      <c r="D2972">
        <v>-7.0030271981099999</v>
      </c>
      <c r="E2972">
        <v>2</v>
      </c>
      <c r="F2972">
        <v>3</v>
      </c>
      <c r="G2972">
        <v>3</v>
      </c>
      <c r="J2972" t="s">
        <v>15</v>
      </c>
      <c r="K2972">
        <v>3</v>
      </c>
      <c r="L2972">
        <v>2.923</v>
      </c>
      <c r="M2972">
        <v>0</v>
      </c>
      <c r="N2972" t="s">
        <v>10017</v>
      </c>
      <c r="O2972" t="str">
        <f>HYPERLINK("3\1\marker_909_379324.png", "Ver Imagen")</f>
        <v>Ver Imagen</v>
      </c>
      <c r="P2972" t="str">
        <f>HYPERLINK("SE\A-497\A-497__205.png", "Ver Imagen")</f>
        <v>Ver Imagen</v>
      </c>
    </row>
    <row r="2973" spans="1:16" x14ac:dyDescent="0.25">
      <c r="A2973">
        <v>2487</v>
      </c>
      <c r="B2973" t="s">
        <v>4987</v>
      </c>
      <c r="C2973">
        <v>37.271346320100001</v>
      </c>
      <c r="D2973">
        <v>-6.9841610647500003</v>
      </c>
      <c r="E2973">
        <v>2</v>
      </c>
      <c r="F2973">
        <v>3</v>
      </c>
      <c r="G2973">
        <v>3</v>
      </c>
      <c r="J2973" t="s">
        <v>15</v>
      </c>
      <c r="K2973">
        <v>3</v>
      </c>
      <c r="L2973">
        <v>2.65</v>
      </c>
      <c r="M2973">
        <v>0</v>
      </c>
      <c r="N2973" t="s">
        <v>10019</v>
      </c>
      <c r="O2973" t="str">
        <f>HYPERLINK("3\1\marker_708_380667.png", "Ver Imagen")</f>
        <v>Ver Imagen</v>
      </c>
      <c r="P2973" t="str">
        <f>HYPERLINK("SE\A-497\A-497__115.png", "Ver Imagen")</f>
        <v>Ver Imagen</v>
      </c>
    </row>
    <row r="2974" spans="1:16" x14ac:dyDescent="0.25">
      <c r="A2974">
        <v>2488</v>
      </c>
      <c r="B2974" t="s">
        <v>4989</v>
      </c>
      <c r="C2974">
        <v>37.447098555700002</v>
      </c>
      <c r="D2974">
        <v>-7.1297685986200001</v>
      </c>
      <c r="E2974">
        <v>3</v>
      </c>
      <c r="F2974">
        <v>4</v>
      </c>
      <c r="G2974">
        <v>3</v>
      </c>
      <c r="J2974" t="s">
        <v>15</v>
      </c>
      <c r="K2974">
        <v>3</v>
      </c>
      <c r="L2974">
        <v>2.8759999999999999</v>
      </c>
      <c r="M2974">
        <v>0</v>
      </c>
      <c r="N2974" t="s">
        <v>10019</v>
      </c>
      <c r="O2974" t="str">
        <f>HYPERLINK("3\1\marker_843_728108.png", "Ver Imagen")</f>
        <v>Ver Imagen</v>
      </c>
      <c r="P2974" t="str">
        <f>HYPERLINK("NE\A-490\A-490__14.png", "Ver Imagen")</f>
        <v>Ver Imagen</v>
      </c>
    </row>
    <row r="2975" spans="1:16" x14ac:dyDescent="0.25">
      <c r="A2975">
        <v>2489</v>
      </c>
      <c r="B2975" t="s">
        <v>4991</v>
      </c>
      <c r="C2975">
        <v>37.446314006999998</v>
      </c>
      <c r="D2975">
        <v>-7.1340164367699996</v>
      </c>
      <c r="E2975">
        <v>2</v>
      </c>
      <c r="F2975">
        <v>3</v>
      </c>
      <c r="G2975">
        <v>3</v>
      </c>
      <c r="J2975" t="s">
        <v>15</v>
      </c>
      <c r="K2975">
        <v>3</v>
      </c>
      <c r="L2975">
        <v>2.855</v>
      </c>
      <c r="M2975">
        <v>0</v>
      </c>
      <c r="N2975" t="s">
        <v>10019</v>
      </c>
      <c r="O2975" t="str">
        <f>HYPERLINK("3\1\marker_407_730957.png", "Ver Imagen")</f>
        <v>Ver Imagen</v>
      </c>
      <c r="P2975" t="str">
        <f>HYPERLINK("NE\A-490\A-490__31.png", "Ver Imagen")</f>
        <v>Ver Imagen</v>
      </c>
    </row>
    <row r="2976" spans="1:16" x14ac:dyDescent="0.25">
      <c r="A2976">
        <v>2490</v>
      </c>
      <c r="B2976" t="s">
        <v>4993</v>
      </c>
      <c r="C2976">
        <v>37.447140566599998</v>
      </c>
      <c r="D2976">
        <v>-7.1287802784999998</v>
      </c>
      <c r="E2976">
        <v>2</v>
      </c>
      <c r="F2976">
        <v>3</v>
      </c>
      <c r="G2976">
        <v>3</v>
      </c>
      <c r="J2976" t="s">
        <v>15</v>
      </c>
      <c r="K2976">
        <v>3</v>
      </c>
      <c r="L2976">
        <v>2.6880000000000002</v>
      </c>
      <c r="M2976">
        <v>0</v>
      </c>
      <c r="N2976" t="s">
        <v>10017</v>
      </c>
      <c r="O2976" t="str">
        <f>HYPERLINK("3\1\marker_175_725035.png", "Ver Imagen")</f>
        <v>Ver Imagen</v>
      </c>
      <c r="P2976" t="str">
        <f>HYPERLINK("NE\A-490\A-490__10.png", "Ver Imagen")</f>
        <v>Ver Imagen</v>
      </c>
    </row>
    <row r="2977" spans="1:16" x14ac:dyDescent="0.25">
      <c r="A2977">
        <v>2491</v>
      </c>
      <c r="B2977" t="s">
        <v>4995</v>
      </c>
      <c r="C2977">
        <v>37.4471486646</v>
      </c>
      <c r="D2977">
        <v>-7.1292189502100003</v>
      </c>
      <c r="E2977">
        <v>3</v>
      </c>
      <c r="F2977">
        <v>4</v>
      </c>
      <c r="G2977">
        <v>3</v>
      </c>
      <c r="J2977" t="s">
        <v>15</v>
      </c>
      <c r="K2977">
        <v>3</v>
      </c>
      <c r="L2977">
        <v>2.78</v>
      </c>
      <c r="M2977">
        <v>0</v>
      </c>
      <c r="N2977" t="s">
        <v>10017</v>
      </c>
      <c r="O2977" t="str">
        <f>HYPERLINK("3\1\marker_831_726118.png", "Ver Imagen")</f>
        <v>Ver Imagen</v>
      </c>
      <c r="P2977" t="str">
        <f>HYPERLINK("NE\A-490\A-490__12.png", "Ver Imagen")</f>
        <v>Ver Imagen</v>
      </c>
    </row>
    <row r="2978" spans="1:16" x14ac:dyDescent="0.25">
      <c r="A2978">
        <v>2492</v>
      </c>
      <c r="B2978" t="s">
        <v>4997</v>
      </c>
      <c r="C2978">
        <v>37.447135338300001</v>
      </c>
      <c r="D2978">
        <v>-7.1295157687900002</v>
      </c>
      <c r="E2978">
        <v>3</v>
      </c>
      <c r="F2978">
        <v>4</v>
      </c>
      <c r="G2978">
        <v>3</v>
      </c>
      <c r="J2978" t="s">
        <v>15</v>
      </c>
      <c r="K2978">
        <v>3</v>
      </c>
      <c r="L2978">
        <v>2.8879999999999999</v>
      </c>
      <c r="M2978">
        <v>0</v>
      </c>
      <c r="N2978" t="s">
        <v>10019</v>
      </c>
      <c r="O2978" t="str">
        <f>HYPERLINK("3\1\marker_467_728073.png", "Ver Imagen")</f>
        <v>Ver Imagen</v>
      </c>
      <c r="P2978" t="str">
        <f>HYPERLINK("NE\A-490\A-490__13.png", "Ver Imagen")</f>
        <v>Ver Imagen</v>
      </c>
    </row>
    <row r="2979" spans="1:16" x14ac:dyDescent="0.25">
      <c r="A2979">
        <v>2493</v>
      </c>
      <c r="B2979" t="s">
        <v>4999</v>
      </c>
      <c r="C2979">
        <v>37.446544813999999</v>
      </c>
      <c r="D2979">
        <v>-7.1324477159799997</v>
      </c>
      <c r="E2979">
        <v>3</v>
      </c>
      <c r="F2979">
        <v>4</v>
      </c>
      <c r="G2979">
        <v>3</v>
      </c>
      <c r="J2979" t="s">
        <v>15</v>
      </c>
      <c r="K2979">
        <v>3</v>
      </c>
      <c r="L2979">
        <v>3.1230000000000002</v>
      </c>
      <c r="M2979">
        <v>0</v>
      </c>
      <c r="N2979" t="s">
        <v>10019</v>
      </c>
      <c r="O2979" t="str">
        <f>HYPERLINK("3\1\marker_219_730793.png", "Ver Imagen")</f>
        <v>Ver Imagen</v>
      </c>
      <c r="P2979" t="str">
        <f>HYPERLINK("NE\A-490\A-490__25.png", "Ver Imagen")</f>
        <v>Ver Imagen</v>
      </c>
    </row>
    <row r="2980" spans="1:16" x14ac:dyDescent="0.25">
      <c r="A2980">
        <v>2494</v>
      </c>
      <c r="B2980" t="s">
        <v>5001</v>
      </c>
      <c r="C2980">
        <v>37.446303667499997</v>
      </c>
      <c r="D2980">
        <v>-7.13694729829</v>
      </c>
      <c r="E2980">
        <v>2</v>
      </c>
      <c r="F2980">
        <v>3</v>
      </c>
      <c r="G2980">
        <v>3</v>
      </c>
      <c r="J2980" t="s">
        <v>15</v>
      </c>
      <c r="K2980">
        <v>3</v>
      </c>
      <c r="L2980">
        <v>3.4790000000000001</v>
      </c>
      <c r="M2980">
        <v>0</v>
      </c>
      <c r="N2980" t="s">
        <v>10017</v>
      </c>
      <c r="O2980" t="str">
        <f>HYPERLINK("3\1\marker_105_731262.png", "Ver Imagen")</f>
        <v>Ver Imagen</v>
      </c>
      <c r="P2980" t="str">
        <f>HYPERLINK("NE\A-490\A-490__43.png", "Ver Imagen")</f>
        <v>Ver Imagen</v>
      </c>
    </row>
    <row r="2981" spans="1:16" x14ac:dyDescent="0.25">
      <c r="A2981">
        <v>2497</v>
      </c>
      <c r="B2981" t="s">
        <v>5007</v>
      </c>
      <c r="C2981">
        <v>37.446524997399997</v>
      </c>
      <c r="D2981">
        <v>-7.1376953976299999</v>
      </c>
      <c r="E2981">
        <v>2</v>
      </c>
      <c r="F2981">
        <v>3</v>
      </c>
      <c r="G2981">
        <v>3</v>
      </c>
      <c r="J2981" t="s">
        <v>15</v>
      </c>
      <c r="K2981">
        <v>3</v>
      </c>
      <c r="L2981">
        <v>3.0009999999999999</v>
      </c>
      <c r="M2981">
        <v>0</v>
      </c>
      <c r="N2981" t="s">
        <v>10019</v>
      </c>
      <c r="O2981" t="str">
        <f>HYPERLINK("3\1\marker_359_731353.png", "Ver Imagen")</f>
        <v>Ver Imagen</v>
      </c>
      <c r="P2981" t="str">
        <f>HYPERLINK("NE\A-490\A-490__46.png", "Ver Imagen")</f>
        <v>Ver Imagen</v>
      </c>
    </row>
    <row r="2982" spans="1:16" x14ac:dyDescent="0.25">
      <c r="A2982">
        <v>2498</v>
      </c>
      <c r="B2982" t="s">
        <v>5009</v>
      </c>
      <c r="C2982">
        <v>37.448548519600003</v>
      </c>
      <c r="D2982">
        <v>-7.1444460418700002</v>
      </c>
      <c r="E2982">
        <v>2</v>
      </c>
      <c r="F2982">
        <v>3</v>
      </c>
      <c r="G2982">
        <v>3</v>
      </c>
      <c r="J2982" t="s">
        <v>15</v>
      </c>
      <c r="K2982">
        <v>3</v>
      </c>
      <c r="L2982">
        <v>3.0150000000000001</v>
      </c>
      <c r="M2982">
        <v>0</v>
      </c>
      <c r="N2982" t="s">
        <v>10019</v>
      </c>
      <c r="O2982" t="str">
        <f>HYPERLINK("3\1\marker_838_738462.png", "Ver Imagen")</f>
        <v>Ver Imagen</v>
      </c>
      <c r="P2982" t="str">
        <f>HYPERLINK("NE\A-490\A-490__75.png", "Ver Imagen")</f>
        <v>Ver Imagen</v>
      </c>
    </row>
    <row r="2983" spans="1:16" x14ac:dyDescent="0.25">
      <c r="A2983">
        <v>2499</v>
      </c>
      <c r="B2983" t="s">
        <v>5011</v>
      </c>
      <c r="C2983">
        <v>37.448674989099999</v>
      </c>
      <c r="D2983">
        <v>-7.1469808129099999</v>
      </c>
      <c r="E2983">
        <v>3</v>
      </c>
      <c r="F2983">
        <v>3</v>
      </c>
      <c r="G2983">
        <v>4</v>
      </c>
      <c r="J2983" t="s">
        <v>15</v>
      </c>
      <c r="K2983">
        <v>3</v>
      </c>
      <c r="L2983">
        <v>2.8679999999999999</v>
      </c>
      <c r="M2983">
        <v>0</v>
      </c>
      <c r="N2983" t="s">
        <v>10019</v>
      </c>
      <c r="O2983" t="str">
        <f>HYPERLINK("3\1\marker_577_738784.png", "Ver Imagen")</f>
        <v>Ver Imagen</v>
      </c>
      <c r="P2983" t="str">
        <f>HYPERLINK("NE\A-490\A-490__85.png", "Ver Imagen")</f>
        <v>Ver Imagen</v>
      </c>
    </row>
    <row r="2984" spans="1:16" x14ac:dyDescent="0.25">
      <c r="A2984">
        <v>2500</v>
      </c>
      <c r="B2984" t="s">
        <v>5013</v>
      </c>
      <c r="C2984">
        <v>37.448769001400002</v>
      </c>
      <c r="D2984">
        <v>-7.1487472950299997</v>
      </c>
      <c r="E2984">
        <v>2</v>
      </c>
      <c r="F2984">
        <v>3</v>
      </c>
      <c r="G2984">
        <v>3</v>
      </c>
      <c r="J2984" t="s">
        <v>15</v>
      </c>
      <c r="K2984">
        <v>3</v>
      </c>
      <c r="L2984">
        <v>3.0009999999999999</v>
      </c>
      <c r="M2984">
        <v>0</v>
      </c>
      <c r="N2984" t="s">
        <v>10019</v>
      </c>
      <c r="O2984" t="str">
        <f>HYPERLINK("3\1\marker_921_739013.png", "Ver Imagen")</f>
        <v>Ver Imagen</v>
      </c>
      <c r="P2984" t="str">
        <f>HYPERLINK("NE\A-490\A-490__92.png", "Ver Imagen")</f>
        <v>Ver Imagen</v>
      </c>
    </row>
    <row r="2985" spans="1:16" x14ac:dyDescent="0.25">
      <c r="A2985">
        <v>2501</v>
      </c>
      <c r="B2985" t="s">
        <v>5015</v>
      </c>
      <c r="C2985">
        <v>37.449966505500001</v>
      </c>
      <c r="D2985">
        <v>-7.1522066419500003</v>
      </c>
      <c r="E2985">
        <v>2</v>
      </c>
      <c r="F2985">
        <v>3</v>
      </c>
      <c r="G2985">
        <v>3</v>
      </c>
      <c r="J2985" t="s">
        <v>15</v>
      </c>
      <c r="K2985">
        <v>3</v>
      </c>
      <c r="L2985">
        <v>3.1890000000000001</v>
      </c>
      <c r="M2985">
        <v>0</v>
      </c>
      <c r="N2985" t="s">
        <v>10019</v>
      </c>
      <c r="O2985" t="str">
        <f>HYPERLINK("3\1\marker_535_739693.png", "Ver Imagen")</f>
        <v>Ver Imagen</v>
      </c>
      <c r="P2985" t="str">
        <f>HYPERLINK("NE\A-490\A-490__107.png", "Ver Imagen")</f>
        <v>Ver Imagen</v>
      </c>
    </row>
    <row r="2986" spans="1:16" x14ac:dyDescent="0.25">
      <c r="A2986">
        <v>2502</v>
      </c>
      <c r="B2986" t="s">
        <v>5017</v>
      </c>
      <c r="C2986">
        <v>37.450059712200002</v>
      </c>
      <c r="D2986">
        <v>-7.1523584359500001</v>
      </c>
      <c r="E2986">
        <v>2</v>
      </c>
      <c r="F2986">
        <v>3</v>
      </c>
      <c r="G2986">
        <v>3</v>
      </c>
      <c r="J2986" t="s">
        <v>15</v>
      </c>
      <c r="K2986">
        <v>3</v>
      </c>
      <c r="L2986">
        <v>2.8279999999999998</v>
      </c>
      <c r="M2986">
        <v>0</v>
      </c>
      <c r="N2986" t="s">
        <v>10019</v>
      </c>
      <c r="O2986" t="str">
        <f>HYPERLINK("3\1\marker_248_739710.png", "Ver Imagen")</f>
        <v>Ver Imagen</v>
      </c>
      <c r="P2986" t="str">
        <f>HYPERLINK("NE\A-490\A-490__108.png", "Ver Imagen")</f>
        <v>Ver Imagen</v>
      </c>
    </row>
    <row r="2987" spans="1:16" x14ac:dyDescent="0.25">
      <c r="A2987">
        <v>2503</v>
      </c>
      <c r="B2987" t="s">
        <v>5019</v>
      </c>
      <c r="C2987">
        <v>37.452085726699998</v>
      </c>
      <c r="D2987">
        <v>-7.1586900349800002</v>
      </c>
      <c r="E2987">
        <v>2</v>
      </c>
      <c r="F2987">
        <v>3</v>
      </c>
      <c r="G2987">
        <v>3</v>
      </c>
      <c r="J2987" t="s">
        <v>15</v>
      </c>
      <c r="K2987">
        <v>3</v>
      </c>
      <c r="L2987">
        <v>2.8519999999999999</v>
      </c>
      <c r="M2987">
        <v>0</v>
      </c>
      <c r="N2987" t="s">
        <v>10019</v>
      </c>
      <c r="O2987" t="str">
        <f>HYPERLINK("3\1\marker_796_740338.png", "Ver Imagen")</f>
        <v>Ver Imagen</v>
      </c>
      <c r="P2987" t="str">
        <f>HYPERLINK("NE\A-490\A-490__135.png", "Ver Imagen")</f>
        <v>Ver Imagen</v>
      </c>
    </row>
    <row r="2988" spans="1:16" x14ac:dyDescent="0.25">
      <c r="A2988">
        <v>2504</v>
      </c>
      <c r="B2988" t="s">
        <v>5021</v>
      </c>
      <c r="C2988">
        <v>37.453385342600001</v>
      </c>
      <c r="D2988">
        <v>-7.16255661864</v>
      </c>
      <c r="E2988">
        <v>2</v>
      </c>
      <c r="F2988">
        <v>3</v>
      </c>
      <c r="G2988">
        <v>3</v>
      </c>
      <c r="J2988" t="s">
        <v>15</v>
      </c>
      <c r="K2988">
        <v>3</v>
      </c>
      <c r="L2988">
        <v>3.0630000000000002</v>
      </c>
      <c r="M2988">
        <v>0</v>
      </c>
      <c r="N2988" t="s">
        <v>10019</v>
      </c>
      <c r="O2988" t="str">
        <f>HYPERLINK("3\1\marker_497_740796.png", "Ver Imagen")</f>
        <v>Ver Imagen</v>
      </c>
      <c r="P2988" t="str">
        <f>HYPERLINK("NE\A-490\A-490__152.png", "Ver Imagen")</f>
        <v>Ver Imagen</v>
      </c>
    </row>
    <row r="2989" spans="1:16" x14ac:dyDescent="0.25">
      <c r="A2989">
        <v>2505</v>
      </c>
      <c r="B2989" t="s">
        <v>5023</v>
      </c>
      <c r="C2989">
        <v>37.4536132331</v>
      </c>
      <c r="D2989">
        <v>-7.1630079386999999</v>
      </c>
      <c r="E2989">
        <v>2</v>
      </c>
      <c r="F2989">
        <v>3</v>
      </c>
      <c r="G2989">
        <v>3</v>
      </c>
      <c r="J2989" t="s">
        <v>15</v>
      </c>
      <c r="K2989">
        <v>3</v>
      </c>
      <c r="L2989">
        <v>3.38</v>
      </c>
      <c r="M2989">
        <v>0</v>
      </c>
      <c r="N2989" t="s">
        <v>10019</v>
      </c>
      <c r="O2989" t="str">
        <f>HYPERLINK("3\1\marker_149_740862.png", "Ver Imagen")</f>
        <v>Ver Imagen</v>
      </c>
      <c r="P2989" t="str">
        <f>HYPERLINK("NE\A-490\A-490__154.png", "Ver Imagen")</f>
        <v>Ver Imagen</v>
      </c>
    </row>
    <row r="2990" spans="1:16" x14ac:dyDescent="0.25">
      <c r="A2990">
        <v>2506</v>
      </c>
      <c r="B2990" t="s">
        <v>5025</v>
      </c>
      <c r="C2990">
        <v>37.453746182000003</v>
      </c>
      <c r="D2990">
        <v>-7.1632649099499996</v>
      </c>
      <c r="E2990">
        <v>2</v>
      </c>
      <c r="F2990">
        <v>3</v>
      </c>
      <c r="G2990">
        <v>3</v>
      </c>
      <c r="J2990" t="s">
        <v>15</v>
      </c>
      <c r="K2990">
        <v>3</v>
      </c>
      <c r="L2990">
        <v>3.2469999999999999</v>
      </c>
      <c r="M2990">
        <v>0</v>
      </c>
      <c r="N2990" t="s">
        <v>10019</v>
      </c>
      <c r="O2990" t="str">
        <f>HYPERLINK("3\1\marker_194_740878.png", "Ver Imagen")</f>
        <v>Ver Imagen</v>
      </c>
      <c r="P2990" t="str">
        <f>HYPERLINK("NE\A-490\A-490__155.png", "Ver Imagen")</f>
        <v>Ver Imagen</v>
      </c>
    </row>
    <row r="2991" spans="1:16" x14ac:dyDescent="0.25">
      <c r="A2991">
        <v>2507</v>
      </c>
      <c r="B2991" t="s">
        <v>5027</v>
      </c>
      <c r="C2991">
        <v>37.455131069799997</v>
      </c>
      <c r="D2991">
        <v>-7.1657361797799997</v>
      </c>
      <c r="E2991">
        <v>2</v>
      </c>
      <c r="F2991">
        <v>3</v>
      </c>
      <c r="G2991">
        <v>3</v>
      </c>
      <c r="J2991" t="s">
        <v>15</v>
      </c>
      <c r="K2991">
        <v>3</v>
      </c>
      <c r="L2991">
        <v>2.8660000000000001</v>
      </c>
      <c r="M2991">
        <v>0</v>
      </c>
      <c r="N2991" t="s">
        <v>10019</v>
      </c>
      <c r="O2991" t="str">
        <f>HYPERLINK("3\1\marker_371_741405.png", "Ver Imagen")</f>
        <v>Ver Imagen</v>
      </c>
      <c r="P2991" t="str">
        <f>HYPERLINK("NE\A-490\A-490__167.png", "Ver Imagen")</f>
        <v>Ver Imagen</v>
      </c>
    </row>
    <row r="2992" spans="1:16" x14ac:dyDescent="0.25">
      <c r="A2992">
        <v>2508</v>
      </c>
      <c r="B2992" t="s">
        <v>5029</v>
      </c>
      <c r="C2992">
        <v>37.455825958699997</v>
      </c>
      <c r="D2992">
        <v>-7.1665849027900004</v>
      </c>
      <c r="E2992">
        <v>2</v>
      </c>
      <c r="F2992">
        <v>3</v>
      </c>
      <c r="G2992">
        <v>3</v>
      </c>
      <c r="J2992" t="s">
        <v>15</v>
      </c>
      <c r="K2992">
        <v>3</v>
      </c>
      <c r="L2992">
        <v>3.149</v>
      </c>
      <c r="M2992">
        <v>0</v>
      </c>
      <c r="N2992" t="s">
        <v>10019</v>
      </c>
      <c r="O2992" t="str">
        <f>HYPERLINK("3\1\marker_873_741529.png", "Ver Imagen")</f>
        <v>Ver Imagen</v>
      </c>
      <c r="P2992" t="str">
        <f>HYPERLINK("NE\A-490\A-490__172.png", "Ver Imagen")</f>
        <v>Ver Imagen</v>
      </c>
    </row>
    <row r="2993" spans="1:16" x14ac:dyDescent="0.25">
      <c r="A2993">
        <v>2509</v>
      </c>
      <c r="B2993" t="s">
        <v>5031</v>
      </c>
      <c r="C2993">
        <v>37.456417500199997</v>
      </c>
      <c r="D2993">
        <v>-7.1673114300199998</v>
      </c>
      <c r="E2993">
        <v>2</v>
      </c>
      <c r="F2993">
        <v>3</v>
      </c>
      <c r="G2993">
        <v>3</v>
      </c>
      <c r="J2993" t="s">
        <v>15</v>
      </c>
      <c r="K2993">
        <v>3</v>
      </c>
      <c r="L2993">
        <v>2.9510000000000001</v>
      </c>
      <c r="M2993">
        <v>0</v>
      </c>
      <c r="N2993" t="s">
        <v>10019</v>
      </c>
      <c r="O2993" t="str">
        <f>HYPERLINK("3\1\marker_291_741629.png", "Ver Imagen")</f>
        <v>Ver Imagen</v>
      </c>
      <c r="P2993" t="str">
        <f>HYPERLINK("NE\A-490\A-490__176.png", "Ver Imagen")</f>
        <v>Ver Imagen</v>
      </c>
    </row>
    <row r="2994" spans="1:16" x14ac:dyDescent="0.25">
      <c r="A2994">
        <v>2510</v>
      </c>
      <c r="B2994" t="s">
        <v>5033</v>
      </c>
      <c r="C2994">
        <v>37.456664031599999</v>
      </c>
      <c r="D2994">
        <v>-7.1676188410800004</v>
      </c>
      <c r="E2994">
        <v>2</v>
      </c>
      <c r="F2994">
        <v>3</v>
      </c>
      <c r="G2994">
        <v>3</v>
      </c>
      <c r="J2994" t="s">
        <v>15</v>
      </c>
      <c r="K2994">
        <v>3</v>
      </c>
      <c r="L2994">
        <v>2.718</v>
      </c>
      <c r="M2994">
        <v>0</v>
      </c>
      <c r="N2994" t="s">
        <v>10019</v>
      </c>
      <c r="O2994" t="str">
        <f>HYPERLINK("3\1\marker_256_741685.png", "Ver Imagen")</f>
        <v>Ver Imagen</v>
      </c>
      <c r="P2994" t="str">
        <f>HYPERLINK("NE\A-490\A-490__177.png", "Ver Imagen")</f>
        <v>Ver Imagen</v>
      </c>
    </row>
    <row r="2995" spans="1:16" x14ac:dyDescent="0.25">
      <c r="A2995">
        <v>2511</v>
      </c>
      <c r="B2995" t="s">
        <v>5035</v>
      </c>
      <c r="C2995">
        <v>37.4572703121</v>
      </c>
      <c r="D2995">
        <v>-7.1683713722100002</v>
      </c>
      <c r="E2995">
        <v>2</v>
      </c>
      <c r="F2995">
        <v>3</v>
      </c>
      <c r="G2995">
        <v>3</v>
      </c>
      <c r="J2995" t="s">
        <v>15</v>
      </c>
      <c r="K2995">
        <v>3</v>
      </c>
      <c r="L2995">
        <v>3.044</v>
      </c>
      <c r="M2995">
        <v>0</v>
      </c>
      <c r="N2995" t="s">
        <v>10019</v>
      </c>
      <c r="O2995" t="str">
        <f>HYPERLINK("3\1\marker_798_741847.png", "Ver Imagen")</f>
        <v>Ver Imagen</v>
      </c>
      <c r="P2995" t="str">
        <f>HYPERLINK("NE\A-490\A-490__182.png", "Ver Imagen")</f>
        <v>Ver Imagen</v>
      </c>
    </row>
    <row r="2996" spans="1:16" x14ac:dyDescent="0.25">
      <c r="A2996">
        <v>2512</v>
      </c>
      <c r="B2996" t="s">
        <v>5037</v>
      </c>
      <c r="C2996">
        <v>37.457708320800002</v>
      </c>
      <c r="D2996">
        <v>-7.1689069820800002</v>
      </c>
      <c r="E2996">
        <v>2</v>
      </c>
      <c r="F2996">
        <v>3</v>
      </c>
      <c r="G2996">
        <v>3</v>
      </c>
      <c r="J2996" t="s">
        <v>15</v>
      </c>
      <c r="K2996">
        <v>3</v>
      </c>
      <c r="L2996">
        <v>2.6629999999999998</v>
      </c>
      <c r="M2996">
        <v>0</v>
      </c>
      <c r="N2996" t="s">
        <v>10019</v>
      </c>
      <c r="O2996" t="str">
        <f>HYPERLINK("3\1\marker_370_741932.png", "Ver Imagen")</f>
        <v>Ver Imagen</v>
      </c>
      <c r="P2996" t="str">
        <f>HYPERLINK("NE\A-490\A-490__185.png", "Ver Imagen")</f>
        <v>Ver Imagen</v>
      </c>
    </row>
    <row r="2997" spans="1:16" x14ac:dyDescent="0.25">
      <c r="A2997">
        <v>2513</v>
      </c>
      <c r="B2997" t="s">
        <v>5039</v>
      </c>
      <c r="C2997">
        <v>37.458145890099999</v>
      </c>
      <c r="D2997">
        <v>-7.1694447661899998</v>
      </c>
      <c r="E2997">
        <v>2</v>
      </c>
      <c r="F2997">
        <v>3</v>
      </c>
      <c r="G2997">
        <v>3</v>
      </c>
      <c r="J2997" t="s">
        <v>15</v>
      </c>
      <c r="K2997">
        <v>3</v>
      </c>
      <c r="L2997">
        <v>2.87</v>
      </c>
      <c r="M2997">
        <v>0</v>
      </c>
      <c r="N2997" t="s">
        <v>10019</v>
      </c>
      <c r="O2997" t="str">
        <f>HYPERLINK("3\1\marker_674_742002.png", "Ver Imagen")</f>
        <v>Ver Imagen</v>
      </c>
      <c r="P2997" t="str">
        <f>HYPERLINK("NE\A-490\A-490__188.png", "Ver Imagen")</f>
        <v>Ver Imagen</v>
      </c>
    </row>
    <row r="2998" spans="1:16" x14ac:dyDescent="0.25">
      <c r="A2998">
        <v>2514</v>
      </c>
      <c r="B2998" t="s">
        <v>5041</v>
      </c>
      <c r="C2998">
        <v>37.459455172399998</v>
      </c>
      <c r="D2998">
        <v>-7.1710509679200003</v>
      </c>
      <c r="E2998">
        <v>2</v>
      </c>
      <c r="F2998">
        <v>3</v>
      </c>
      <c r="G2998">
        <v>3</v>
      </c>
      <c r="J2998" t="s">
        <v>15</v>
      </c>
      <c r="K2998">
        <v>3</v>
      </c>
      <c r="L2998">
        <v>3.1779999999999999</v>
      </c>
      <c r="M2998">
        <v>0</v>
      </c>
      <c r="N2998" t="s">
        <v>10019</v>
      </c>
      <c r="O2998" t="str">
        <f>HYPERLINK("3\1\marker_673_742243.png", "Ver Imagen")</f>
        <v>Ver Imagen</v>
      </c>
      <c r="P2998" t="str">
        <f>HYPERLINK("NE\A-490\A-490__197.png", "Ver Imagen")</f>
        <v>Ver Imagen</v>
      </c>
    </row>
    <row r="2999" spans="1:16" x14ac:dyDescent="0.25">
      <c r="A2999">
        <v>2515</v>
      </c>
      <c r="B2999" t="s">
        <v>5043</v>
      </c>
      <c r="C2999">
        <v>37.460339043600001</v>
      </c>
      <c r="D2999">
        <v>-7.1723939771099996</v>
      </c>
      <c r="E2999">
        <v>2</v>
      </c>
      <c r="F2999">
        <v>3</v>
      </c>
      <c r="G2999">
        <v>3</v>
      </c>
      <c r="J2999" t="s">
        <v>15</v>
      </c>
      <c r="K2999">
        <v>3</v>
      </c>
      <c r="L2999">
        <v>2.5680000000000001</v>
      </c>
      <c r="M2999">
        <v>0</v>
      </c>
      <c r="N2999" t="s">
        <v>10019</v>
      </c>
      <c r="O2999" t="str">
        <f>HYPERLINK("3\1\marker_193_742465.png", "Ver Imagen")</f>
        <v>Ver Imagen</v>
      </c>
      <c r="P2999" t="str">
        <f>HYPERLINK("NE\A-490\A-490__204.png", "Ver Imagen")</f>
        <v>Ver Imagen</v>
      </c>
    </row>
    <row r="3000" spans="1:16" x14ac:dyDescent="0.25">
      <c r="A3000">
        <v>2516</v>
      </c>
      <c r="B3000" t="s">
        <v>5045</v>
      </c>
      <c r="C3000">
        <v>37.461122650999997</v>
      </c>
      <c r="D3000">
        <v>-7.1736840646399997</v>
      </c>
      <c r="E3000">
        <v>2</v>
      </c>
      <c r="F3000">
        <v>3</v>
      </c>
      <c r="G3000">
        <v>3</v>
      </c>
      <c r="J3000" t="s">
        <v>15</v>
      </c>
      <c r="K3000">
        <v>3</v>
      </c>
      <c r="L3000">
        <v>3.1070000000000002</v>
      </c>
      <c r="M3000">
        <v>0</v>
      </c>
      <c r="N3000" t="s">
        <v>10019</v>
      </c>
      <c r="O3000" t="str">
        <f>HYPERLINK("3\1\marker_877_742670.png", "Ver Imagen")</f>
        <v>Ver Imagen</v>
      </c>
      <c r="P3000" t="str">
        <f>HYPERLINK("NE\A-490\A-490__210.png", "Ver Imagen")</f>
        <v>Ver Imagen</v>
      </c>
    </row>
    <row r="3001" spans="1:16" x14ac:dyDescent="0.25">
      <c r="A3001">
        <v>2518</v>
      </c>
      <c r="B3001" t="s">
        <v>5049</v>
      </c>
      <c r="C3001">
        <v>37.461325625000001</v>
      </c>
      <c r="D3001">
        <v>-7.1740209120599996</v>
      </c>
      <c r="E3001">
        <v>2</v>
      </c>
      <c r="F3001">
        <v>3</v>
      </c>
      <c r="G3001">
        <v>3</v>
      </c>
      <c r="J3001" t="s">
        <v>15</v>
      </c>
      <c r="K3001">
        <v>3</v>
      </c>
      <c r="L3001">
        <v>2.5379999999999998</v>
      </c>
      <c r="M3001">
        <v>0</v>
      </c>
      <c r="N3001" t="s">
        <v>10018</v>
      </c>
      <c r="O3001" t="str">
        <f>HYPERLINK("3\1\marker_584_742745.png", "Ver Imagen")</f>
        <v>Ver Imagen</v>
      </c>
      <c r="P3001" t="str">
        <f>HYPERLINK("NE\A-490\A-490__212.png", "Ver Imagen")</f>
        <v>Ver Imagen</v>
      </c>
    </row>
    <row r="3002" spans="1:16" x14ac:dyDescent="0.25">
      <c r="A3002">
        <v>2519</v>
      </c>
      <c r="B3002" t="s">
        <v>5051</v>
      </c>
      <c r="C3002">
        <v>37.462225692600001</v>
      </c>
      <c r="D3002">
        <v>-7.1755012468699997</v>
      </c>
      <c r="E3002">
        <v>2</v>
      </c>
      <c r="F3002">
        <v>3</v>
      </c>
      <c r="G3002">
        <v>3</v>
      </c>
      <c r="J3002" t="s">
        <v>15</v>
      </c>
      <c r="K3002">
        <v>3</v>
      </c>
      <c r="L3002">
        <v>2.952</v>
      </c>
      <c r="M3002">
        <v>0</v>
      </c>
      <c r="N3002" t="s">
        <v>10019</v>
      </c>
      <c r="O3002" t="str">
        <f>HYPERLINK("3\1\marker_548_743338.png", "Ver Imagen")</f>
        <v>Ver Imagen</v>
      </c>
      <c r="P3002" t="str">
        <f>HYPERLINK("NE\A-490\A-490__219.png", "Ver Imagen")</f>
        <v>Ver Imagen</v>
      </c>
    </row>
    <row r="3003" spans="1:16" x14ac:dyDescent="0.25">
      <c r="A3003">
        <v>2520</v>
      </c>
      <c r="B3003" t="s">
        <v>5053</v>
      </c>
      <c r="C3003">
        <v>37.463759775600003</v>
      </c>
      <c r="D3003">
        <v>-7.1780625986900004</v>
      </c>
      <c r="E3003">
        <v>2</v>
      </c>
      <c r="F3003">
        <v>3</v>
      </c>
      <c r="G3003">
        <v>3</v>
      </c>
      <c r="J3003" t="s">
        <v>15</v>
      </c>
      <c r="K3003">
        <v>3</v>
      </c>
      <c r="L3003">
        <v>2.8450000000000002</v>
      </c>
      <c r="M3003">
        <v>0</v>
      </c>
      <c r="N3003" t="s">
        <v>10019</v>
      </c>
      <c r="O3003" t="str">
        <f>HYPERLINK("3\1\marker_892_743885.png", "Ver Imagen")</f>
        <v>Ver Imagen</v>
      </c>
      <c r="P3003" t="str">
        <f>HYPERLINK("NE\A-490\A-490__232.png", "Ver Imagen")</f>
        <v>Ver Imagen</v>
      </c>
    </row>
    <row r="3004" spans="1:16" x14ac:dyDescent="0.25">
      <c r="A3004">
        <v>2521</v>
      </c>
      <c r="B3004" t="s">
        <v>5055</v>
      </c>
      <c r="C3004">
        <v>37.464043823899999</v>
      </c>
      <c r="D3004">
        <v>-7.1785972843800003</v>
      </c>
      <c r="E3004">
        <v>2</v>
      </c>
      <c r="F3004">
        <v>3</v>
      </c>
      <c r="G3004">
        <v>3</v>
      </c>
      <c r="J3004" t="s">
        <v>15</v>
      </c>
      <c r="K3004">
        <v>3</v>
      </c>
      <c r="L3004">
        <v>2.964</v>
      </c>
      <c r="M3004">
        <v>0</v>
      </c>
      <c r="N3004" t="s">
        <v>10019</v>
      </c>
      <c r="O3004" t="str">
        <f>HYPERLINK("3\1\marker_683_743933.png", "Ver Imagen")</f>
        <v>Ver Imagen</v>
      </c>
      <c r="P3004" t="str">
        <f>HYPERLINK("NE\A-490\A-490__234.png", "Ver Imagen")</f>
        <v>Ver Imagen</v>
      </c>
    </row>
    <row r="3005" spans="1:16" x14ac:dyDescent="0.25">
      <c r="A3005">
        <v>2522</v>
      </c>
      <c r="B3005" t="s">
        <v>5057</v>
      </c>
      <c r="C3005">
        <v>37.465168393500001</v>
      </c>
      <c r="D3005">
        <v>-7.18062079121</v>
      </c>
      <c r="E3005">
        <v>2</v>
      </c>
      <c r="F3005">
        <v>3</v>
      </c>
      <c r="G3005">
        <v>3</v>
      </c>
      <c r="J3005" t="s">
        <v>15</v>
      </c>
      <c r="K3005">
        <v>3</v>
      </c>
      <c r="L3005">
        <v>3.153</v>
      </c>
      <c r="M3005">
        <v>0</v>
      </c>
      <c r="N3005" t="s">
        <v>10019</v>
      </c>
      <c r="O3005" t="str">
        <f>HYPERLINK("3\1\marker_474_749376.png", "Ver Imagen")</f>
        <v>Ver Imagen</v>
      </c>
      <c r="P3005" t="str">
        <f>HYPERLINK("NE\A-490\A-490__244.png", "Ver Imagen")</f>
        <v>Ver Imagen</v>
      </c>
    </row>
    <row r="3006" spans="1:16" x14ac:dyDescent="0.25">
      <c r="A3006">
        <v>2523</v>
      </c>
      <c r="B3006" t="s">
        <v>5059</v>
      </c>
      <c r="C3006">
        <v>37.466416206399998</v>
      </c>
      <c r="D3006">
        <v>-7.1829473485199999</v>
      </c>
      <c r="E3006">
        <v>2</v>
      </c>
      <c r="F3006">
        <v>3</v>
      </c>
      <c r="G3006">
        <v>3</v>
      </c>
      <c r="J3006" t="s">
        <v>15</v>
      </c>
      <c r="K3006">
        <v>3</v>
      </c>
      <c r="L3006">
        <v>3.0390000000000001</v>
      </c>
      <c r="M3006">
        <v>0</v>
      </c>
      <c r="N3006" t="s">
        <v>10019</v>
      </c>
      <c r="O3006" t="str">
        <f>HYPERLINK("3\1\marker_300_749612.png", "Ver Imagen")</f>
        <v>Ver Imagen</v>
      </c>
      <c r="P3006" t="str">
        <f>HYPERLINK("NE\A-490\A-490__255.png", "Ver Imagen")</f>
        <v>Ver Imagen</v>
      </c>
    </row>
    <row r="3007" spans="1:16" x14ac:dyDescent="0.25">
      <c r="A3007">
        <v>2523</v>
      </c>
      <c r="B3007" t="s">
        <v>5059</v>
      </c>
      <c r="C3007">
        <v>37.466416206399998</v>
      </c>
      <c r="D3007">
        <v>-7.1829473485199999</v>
      </c>
      <c r="E3007">
        <v>2</v>
      </c>
      <c r="F3007">
        <v>3</v>
      </c>
      <c r="G3007">
        <v>3</v>
      </c>
      <c r="J3007" t="s">
        <v>15</v>
      </c>
      <c r="K3007">
        <v>3</v>
      </c>
      <c r="L3007">
        <v>2.8319999999999999</v>
      </c>
      <c r="M3007">
        <v>0</v>
      </c>
      <c r="N3007" t="s">
        <v>10019</v>
      </c>
      <c r="O3007" t="str">
        <f>HYPERLINK("3\1\marker_300_749612.png", "Ver Imagen")</f>
        <v>Ver Imagen</v>
      </c>
      <c r="P3007" t="str">
        <f>HYPERLINK("NO\A-490\A-490__255.png", "Ver Imagen")</f>
        <v>Ver Imagen</v>
      </c>
    </row>
    <row r="3008" spans="1:16" x14ac:dyDescent="0.25">
      <c r="A3008">
        <v>2524</v>
      </c>
      <c r="B3008" t="s">
        <v>5061</v>
      </c>
      <c r="C3008">
        <v>37.448881102500003</v>
      </c>
      <c r="D3008">
        <v>-7.1494814950199999</v>
      </c>
      <c r="E3008">
        <v>4</v>
      </c>
      <c r="F3008">
        <v>3</v>
      </c>
      <c r="G3008">
        <v>3</v>
      </c>
      <c r="J3008" t="s">
        <v>15</v>
      </c>
      <c r="K3008">
        <v>3</v>
      </c>
      <c r="L3008">
        <v>2.5859999999999999</v>
      </c>
      <c r="M3008">
        <v>0</v>
      </c>
      <c r="N3008" t="s">
        <v>10019</v>
      </c>
      <c r="O3008" t="str">
        <f>HYPERLINK("3\1\marker_640_739071.png", "Ver Imagen")</f>
        <v>Ver Imagen</v>
      </c>
      <c r="P3008" t="str">
        <f>HYPERLINK("NE\A-490\A-490__95.png", "Ver Imagen")</f>
        <v>Ver Imagen</v>
      </c>
    </row>
    <row r="3009" spans="1:16" x14ac:dyDescent="0.25">
      <c r="A3009">
        <v>2525</v>
      </c>
      <c r="B3009" t="s">
        <v>5063</v>
      </c>
      <c r="C3009">
        <v>37.477656687100001</v>
      </c>
      <c r="D3009">
        <v>-7.2049056085599998</v>
      </c>
      <c r="E3009">
        <v>2</v>
      </c>
      <c r="F3009">
        <v>3</v>
      </c>
      <c r="G3009">
        <v>3</v>
      </c>
      <c r="J3009" t="s">
        <v>15</v>
      </c>
      <c r="K3009">
        <v>3</v>
      </c>
      <c r="L3009">
        <v>3.1619999999999999</v>
      </c>
      <c r="M3009">
        <v>0</v>
      </c>
      <c r="N3009" t="s">
        <v>10019</v>
      </c>
      <c r="O3009" t="str">
        <f>HYPERLINK("3\1\marker_947_751841.png", "Ver Imagen")</f>
        <v>Ver Imagen</v>
      </c>
      <c r="P3009" t="str">
        <f>HYPERLINK("NO\A-490\A-490__358.png", "Ver Imagen")</f>
        <v>Ver Imagen</v>
      </c>
    </row>
    <row r="3010" spans="1:16" x14ac:dyDescent="0.25">
      <c r="A3010">
        <v>2526</v>
      </c>
      <c r="B3010" t="s">
        <v>5065</v>
      </c>
      <c r="C3010">
        <v>37.4785016935</v>
      </c>
      <c r="D3010">
        <v>-7.2068797057099996</v>
      </c>
      <c r="E3010">
        <v>2</v>
      </c>
      <c r="F3010">
        <v>3</v>
      </c>
      <c r="G3010">
        <v>3</v>
      </c>
      <c r="J3010" t="s">
        <v>15</v>
      </c>
      <c r="K3010">
        <v>3</v>
      </c>
      <c r="L3010">
        <v>2.5659999999999998</v>
      </c>
      <c r="M3010">
        <v>0</v>
      </c>
      <c r="N3010" t="s">
        <v>10017</v>
      </c>
      <c r="O3010" t="str">
        <f>HYPERLINK("3\1\marker_998_752032.png", "Ver Imagen")</f>
        <v>Ver Imagen</v>
      </c>
      <c r="P3010" t="str">
        <f>HYPERLINK("NO\A-490\A-490__367.png", "Ver Imagen")</f>
        <v>Ver Imagen</v>
      </c>
    </row>
    <row r="3011" spans="1:16" x14ac:dyDescent="0.25">
      <c r="A3011">
        <v>2528</v>
      </c>
      <c r="B3011" t="s">
        <v>5069</v>
      </c>
      <c r="C3011">
        <v>37.4793789426</v>
      </c>
      <c r="D3011">
        <v>-7.2089434419399998</v>
      </c>
      <c r="E3011">
        <v>2</v>
      </c>
      <c r="F3011">
        <v>3</v>
      </c>
      <c r="G3011">
        <v>3</v>
      </c>
      <c r="J3011" t="s">
        <v>15</v>
      </c>
      <c r="K3011">
        <v>3</v>
      </c>
      <c r="L3011">
        <v>2.8740000000000001</v>
      </c>
      <c r="M3011">
        <v>0</v>
      </c>
      <c r="N3011" t="s">
        <v>10019</v>
      </c>
      <c r="O3011" t="str">
        <f>HYPERLINK("3\1\marker_274_752244.png", "Ver Imagen")</f>
        <v>Ver Imagen</v>
      </c>
      <c r="P3011" t="str">
        <f>HYPERLINK("NO\A-490\A-490__376.png", "Ver Imagen")</f>
        <v>Ver Imagen</v>
      </c>
    </row>
    <row r="3012" spans="1:16" x14ac:dyDescent="0.25">
      <c r="A3012">
        <v>2529</v>
      </c>
      <c r="B3012" t="s">
        <v>5071</v>
      </c>
      <c r="C3012">
        <v>37.479471958600001</v>
      </c>
      <c r="D3012">
        <v>-7.2091519782300004</v>
      </c>
      <c r="E3012">
        <v>2</v>
      </c>
      <c r="F3012">
        <v>3</v>
      </c>
      <c r="G3012">
        <v>3</v>
      </c>
      <c r="J3012" t="s">
        <v>15</v>
      </c>
      <c r="K3012">
        <v>3</v>
      </c>
      <c r="L3012">
        <v>3.0910000000000002</v>
      </c>
      <c r="M3012">
        <v>0</v>
      </c>
      <c r="N3012" t="s">
        <v>10019</v>
      </c>
      <c r="O3012" t="str">
        <f>HYPERLINK("3\1\marker_365_752273.png", "Ver Imagen")</f>
        <v>Ver Imagen</v>
      </c>
      <c r="P3012" t="str">
        <f>HYPERLINK("NO\A-490\A-490__377.png", "Ver Imagen")</f>
        <v>Ver Imagen</v>
      </c>
    </row>
    <row r="3013" spans="1:16" x14ac:dyDescent="0.25">
      <c r="A3013">
        <v>2530</v>
      </c>
      <c r="B3013" t="s">
        <v>5073</v>
      </c>
      <c r="C3013">
        <v>37.480065738999997</v>
      </c>
      <c r="D3013">
        <v>-7.2105124617599996</v>
      </c>
      <c r="E3013">
        <v>2</v>
      </c>
      <c r="F3013">
        <v>3</v>
      </c>
      <c r="G3013">
        <v>3</v>
      </c>
      <c r="J3013" t="s">
        <v>15</v>
      </c>
      <c r="K3013">
        <v>3</v>
      </c>
      <c r="L3013">
        <v>3.09</v>
      </c>
      <c r="M3013">
        <v>0</v>
      </c>
      <c r="N3013" t="s">
        <v>10019</v>
      </c>
      <c r="O3013" t="str">
        <f>HYPERLINK("3\1\marker_616_752410.png", "Ver Imagen")</f>
        <v>Ver Imagen</v>
      </c>
      <c r="P3013" t="str">
        <f>HYPERLINK("NO\A-490\A-490__383.png", "Ver Imagen")</f>
        <v>Ver Imagen</v>
      </c>
    </row>
    <row r="3014" spans="1:16" x14ac:dyDescent="0.25">
      <c r="A3014">
        <v>2532</v>
      </c>
      <c r="B3014" t="s">
        <v>5077</v>
      </c>
      <c r="C3014">
        <v>37.480450230400002</v>
      </c>
      <c r="D3014">
        <v>-7.2114030522999997</v>
      </c>
      <c r="E3014">
        <v>2</v>
      </c>
      <c r="F3014">
        <v>3</v>
      </c>
      <c r="G3014">
        <v>3</v>
      </c>
      <c r="J3014" t="s">
        <v>15</v>
      </c>
      <c r="K3014">
        <v>3</v>
      </c>
      <c r="L3014">
        <v>2.91</v>
      </c>
      <c r="M3014">
        <v>0</v>
      </c>
      <c r="N3014" t="s">
        <v>10019</v>
      </c>
      <c r="O3014" t="str">
        <f>HYPERLINK("3\1\marker_884_752479.png", "Ver Imagen")</f>
        <v>Ver Imagen</v>
      </c>
      <c r="P3014" t="str">
        <f>HYPERLINK("NO\A-490\A-490__387.png", "Ver Imagen")</f>
        <v>Ver Imagen</v>
      </c>
    </row>
    <row r="3015" spans="1:16" x14ac:dyDescent="0.25">
      <c r="A3015">
        <v>2535</v>
      </c>
      <c r="B3015" t="s">
        <v>5083</v>
      </c>
      <c r="C3015">
        <v>37.481399118100001</v>
      </c>
      <c r="D3015">
        <v>-7.2139391010500002</v>
      </c>
      <c r="E3015">
        <v>2</v>
      </c>
      <c r="F3015">
        <v>3</v>
      </c>
      <c r="G3015">
        <v>3</v>
      </c>
      <c r="J3015" t="s">
        <v>15</v>
      </c>
      <c r="K3015">
        <v>3</v>
      </c>
      <c r="L3015">
        <v>3.0249999999999999</v>
      </c>
      <c r="M3015">
        <v>0</v>
      </c>
      <c r="N3015" t="s">
        <v>10019</v>
      </c>
      <c r="O3015" t="str">
        <f>HYPERLINK("3\1\marker_944_752982.png", "Ver Imagen")</f>
        <v>Ver Imagen</v>
      </c>
      <c r="P3015" t="str">
        <f>HYPERLINK("NO\A-490\A-490__398.png", "Ver Imagen")</f>
        <v>Ver Imagen</v>
      </c>
    </row>
    <row r="3016" spans="1:16" x14ac:dyDescent="0.25">
      <c r="A3016">
        <v>2537</v>
      </c>
      <c r="B3016" t="s">
        <v>5087</v>
      </c>
      <c r="C3016">
        <v>37.482631340099999</v>
      </c>
      <c r="D3016">
        <v>-7.2182994109200003</v>
      </c>
      <c r="E3016">
        <v>2</v>
      </c>
      <c r="F3016">
        <v>3</v>
      </c>
      <c r="G3016">
        <v>3</v>
      </c>
      <c r="J3016" t="s">
        <v>15</v>
      </c>
      <c r="K3016">
        <v>3</v>
      </c>
      <c r="L3016">
        <v>2.5670000000000002</v>
      </c>
      <c r="M3016">
        <v>0</v>
      </c>
      <c r="N3016" t="s">
        <v>10019</v>
      </c>
      <c r="O3016" t="str">
        <f>HYPERLINK("3\1\marker_138_754233.png", "Ver Imagen")</f>
        <v>Ver Imagen</v>
      </c>
      <c r="P3016" t="str">
        <f>HYPERLINK("NO\A-490\A-490__416.png", "Ver Imagen")</f>
        <v>Ver Imagen</v>
      </c>
    </row>
    <row r="3017" spans="1:16" x14ac:dyDescent="0.25">
      <c r="A3017">
        <v>2538</v>
      </c>
      <c r="B3017" t="s">
        <v>5089</v>
      </c>
      <c r="C3017">
        <v>37.483299158999998</v>
      </c>
      <c r="D3017">
        <v>-7.2216884055300001</v>
      </c>
      <c r="E3017">
        <v>2</v>
      </c>
      <c r="F3017">
        <v>3</v>
      </c>
      <c r="G3017">
        <v>3</v>
      </c>
      <c r="J3017" t="s">
        <v>15</v>
      </c>
      <c r="K3017">
        <v>3</v>
      </c>
      <c r="L3017">
        <v>2.69</v>
      </c>
      <c r="M3017">
        <v>0</v>
      </c>
      <c r="N3017" t="s">
        <v>10019</v>
      </c>
      <c r="O3017" t="str">
        <f>HYPERLINK("3\1\marker_901_754480.png", "Ver Imagen")</f>
        <v>Ver Imagen</v>
      </c>
      <c r="P3017" t="str">
        <f>HYPERLINK("NO\A-490\A-490__430.png", "Ver Imagen")</f>
        <v>Ver Imagen</v>
      </c>
    </row>
    <row r="3018" spans="1:16" x14ac:dyDescent="0.25">
      <c r="A3018">
        <v>2539</v>
      </c>
      <c r="B3018" t="s">
        <v>5091</v>
      </c>
      <c r="C3018">
        <v>37.483583700700002</v>
      </c>
      <c r="D3018">
        <v>-7.2231496154199997</v>
      </c>
      <c r="E3018">
        <v>2</v>
      </c>
      <c r="F3018">
        <v>3</v>
      </c>
      <c r="G3018">
        <v>3</v>
      </c>
      <c r="J3018" t="s">
        <v>15</v>
      </c>
      <c r="K3018">
        <v>3</v>
      </c>
      <c r="L3018">
        <v>2.8479999999999999</v>
      </c>
      <c r="M3018">
        <v>0</v>
      </c>
      <c r="N3018" t="s">
        <v>10019</v>
      </c>
      <c r="O3018" t="str">
        <f>HYPERLINK("3\1\marker_412_754590.png", "Ver Imagen")</f>
        <v>Ver Imagen</v>
      </c>
      <c r="P3018" t="str">
        <f>HYPERLINK("NO\A-490\A-490__436.png", "Ver Imagen")</f>
        <v>Ver Imagen</v>
      </c>
    </row>
    <row r="3019" spans="1:16" x14ac:dyDescent="0.25">
      <c r="A3019">
        <v>2540</v>
      </c>
      <c r="B3019" t="s">
        <v>5093</v>
      </c>
      <c r="C3019">
        <v>37.4836295729</v>
      </c>
      <c r="D3019">
        <v>-7.2233845306499997</v>
      </c>
      <c r="E3019">
        <v>2</v>
      </c>
      <c r="F3019">
        <v>3</v>
      </c>
      <c r="G3019">
        <v>3</v>
      </c>
      <c r="J3019" t="s">
        <v>15</v>
      </c>
      <c r="K3019">
        <v>3</v>
      </c>
      <c r="L3019">
        <v>3.3330000000000002</v>
      </c>
      <c r="M3019">
        <v>0</v>
      </c>
      <c r="N3019" t="s">
        <v>10019</v>
      </c>
      <c r="O3019" t="str">
        <f>HYPERLINK("3\1\marker_608_754604.png", "Ver Imagen")</f>
        <v>Ver Imagen</v>
      </c>
      <c r="P3019" t="str">
        <f>HYPERLINK("NO\A-490\A-490__437.png", "Ver Imagen")</f>
        <v>Ver Imagen</v>
      </c>
    </row>
    <row r="3020" spans="1:16" x14ac:dyDescent="0.25">
      <c r="A3020">
        <v>2541</v>
      </c>
      <c r="B3020" t="s">
        <v>5095</v>
      </c>
      <c r="C3020">
        <v>37.4845421331</v>
      </c>
      <c r="D3020">
        <v>-7.2280952786899997</v>
      </c>
      <c r="E3020">
        <v>2</v>
      </c>
      <c r="F3020">
        <v>3</v>
      </c>
      <c r="G3020">
        <v>3</v>
      </c>
      <c r="J3020" t="s">
        <v>15</v>
      </c>
      <c r="K3020">
        <v>3</v>
      </c>
      <c r="L3020">
        <v>3.0129999999999999</v>
      </c>
      <c r="M3020">
        <v>0</v>
      </c>
      <c r="N3020" t="s">
        <v>10019</v>
      </c>
      <c r="O3020" t="str">
        <f>HYPERLINK("3\1\marker_131_755145.png", "Ver Imagen")</f>
        <v>Ver Imagen</v>
      </c>
      <c r="P3020" t="str">
        <f>HYPERLINK("NO\A-490\A-490__456.png", "Ver Imagen")</f>
        <v>Ver Imagen</v>
      </c>
    </row>
    <row r="3021" spans="1:16" x14ac:dyDescent="0.25">
      <c r="A3021">
        <v>2544</v>
      </c>
      <c r="B3021" t="s">
        <v>5101</v>
      </c>
      <c r="C3021">
        <v>37.487503627700001</v>
      </c>
      <c r="D3021">
        <v>-7.2441500058499999</v>
      </c>
      <c r="E3021">
        <v>2</v>
      </c>
      <c r="F3021">
        <v>3</v>
      </c>
      <c r="G3021">
        <v>3</v>
      </c>
      <c r="J3021" t="s">
        <v>15</v>
      </c>
      <c r="K3021">
        <v>3</v>
      </c>
      <c r="L3021">
        <v>2.9750000000000001</v>
      </c>
      <c r="M3021">
        <v>0</v>
      </c>
      <c r="N3021" t="s">
        <v>10019</v>
      </c>
      <c r="O3021" t="str">
        <f>HYPERLINK("3\1\marker_416_818071.png", "Ver Imagen")</f>
        <v>Ver Imagen</v>
      </c>
      <c r="P3021" t="str">
        <f>HYPERLINK("NO\A-490\A-490__521.png", "Ver Imagen")</f>
        <v>Ver Imagen</v>
      </c>
    </row>
    <row r="3022" spans="1:16" x14ac:dyDescent="0.25">
      <c r="A3022">
        <v>2545</v>
      </c>
      <c r="B3022" t="s">
        <v>5103</v>
      </c>
      <c r="C3022">
        <v>37.4878612567</v>
      </c>
      <c r="D3022">
        <v>-7.2450526418600001</v>
      </c>
      <c r="E3022">
        <v>2</v>
      </c>
      <c r="F3022">
        <v>3</v>
      </c>
      <c r="G3022">
        <v>3</v>
      </c>
      <c r="J3022" t="s">
        <v>15</v>
      </c>
      <c r="K3022">
        <v>3</v>
      </c>
      <c r="L3022">
        <v>2.7389999999999999</v>
      </c>
      <c r="M3022">
        <v>0</v>
      </c>
      <c r="N3022" t="s">
        <v>10019</v>
      </c>
      <c r="O3022" t="str">
        <f>HYPERLINK("3\1\marker_981_818126.png", "Ver Imagen")</f>
        <v>Ver Imagen</v>
      </c>
      <c r="P3022" t="str">
        <f>HYPERLINK("NO\A-490\A-490__525.png", "Ver Imagen")</f>
        <v>Ver Imagen</v>
      </c>
    </row>
    <row r="3023" spans="1:16" x14ac:dyDescent="0.25">
      <c r="A3023">
        <v>2546</v>
      </c>
      <c r="B3023" t="s">
        <v>5105</v>
      </c>
      <c r="C3023">
        <v>37.488591977900001</v>
      </c>
      <c r="D3023">
        <v>-7.2469049081800003</v>
      </c>
      <c r="E3023">
        <v>2</v>
      </c>
      <c r="F3023">
        <v>3</v>
      </c>
      <c r="G3023">
        <v>3</v>
      </c>
      <c r="J3023" t="s">
        <v>15</v>
      </c>
      <c r="K3023">
        <v>3</v>
      </c>
      <c r="L3023">
        <v>3.1709999999999998</v>
      </c>
      <c r="M3023">
        <v>0</v>
      </c>
      <c r="N3023" t="s">
        <v>10019</v>
      </c>
      <c r="O3023" t="str">
        <f>HYPERLINK("3\1\marker_780_818247.png", "Ver Imagen")</f>
        <v>Ver Imagen</v>
      </c>
      <c r="P3023" t="str">
        <f>HYPERLINK("NO\A-490\A-490__533.png", "Ver Imagen")</f>
        <v>Ver Imagen</v>
      </c>
    </row>
    <row r="3024" spans="1:16" x14ac:dyDescent="0.25">
      <c r="A3024">
        <v>2547</v>
      </c>
      <c r="B3024" t="s">
        <v>5107</v>
      </c>
      <c r="C3024">
        <v>37.4889108343</v>
      </c>
      <c r="D3024">
        <v>-7.2475055478100003</v>
      </c>
      <c r="E3024">
        <v>2</v>
      </c>
      <c r="F3024">
        <v>3</v>
      </c>
      <c r="G3024">
        <v>3</v>
      </c>
      <c r="J3024" t="s">
        <v>15</v>
      </c>
      <c r="K3024">
        <v>3</v>
      </c>
      <c r="L3024">
        <v>3.29</v>
      </c>
      <c r="M3024">
        <v>0</v>
      </c>
      <c r="N3024" t="s">
        <v>10019</v>
      </c>
      <c r="O3024" t="str">
        <f>HYPERLINK("3\1\marker_407_818290.png", "Ver Imagen")</f>
        <v>Ver Imagen</v>
      </c>
      <c r="P3024" t="str">
        <f>HYPERLINK("NO\A-490\A-490__536.png", "Ver Imagen")</f>
        <v>Ver Imagen</v>
      </c>
    </row>
    <row r="3025" spans="1:16" x14ac:dyDescent="0.25">
      <c r="A3025">
        <v>2548</v>
      </c>
      <c r="B3025" t="s">
        <v>5109</v>
      </c>
      <c r="C3025">
        <v>37.492543443199999</v>
      </c>
      <c r="D3025">
        <v>-7.2620865873099998</v>
      </c>
      <c r="E3025">
        <v>2</v>
      </c>
      <c r="F3025">
        <v>3</v>
      </c>
      <c r="G3025">
        <v>3</v>
      </c>
      <c r="J3025" t="s">
        <v>15</v>
      </c>
      <c r="K3025">
        <v>3</v>
      </c>
      <c r="L3025">
        <v>3.04</v>
      </c>
      <c r="M3025">
        <v>0</v>
      </c>
      <c r="N3025" t="s">
        <v>10019</v>
      </c>
      <c r="O3025" t="str">
        <f>HYPERLINK("3\1\marker_726_820127.png", "Ver Imagen")</f>
        <v>Ver Imagen</v>
      </c>
      <c r="P3025" t="str">
        <f>HYPERLINK("NO\A-490\A-490__603.png", "Ver Imagen")</f>
        <v>Ver Imagen</v>
      </c>
    </row>
    <row r="3026" spans="1:16" x14ac:dyDescent="0.25">
      <c r="A3026">
        <v>2549</v>
      </c>
      <c r="B3026" t="s">
        <v>5111</v>
      </c>
      <c r="C3026">
        <v>37.492807629700003</v>
      </c>
      <c r="D3026">
        <v>-7.2625681552000003</v>
      </c>
      <c r="E3026">
        <v>2</v>
      </c>
      <c r="F3026">
        <v>3</v>
      </c>
      <c r="G3026">
        <v>3</v>
      </c>
      <c r="J3026" t="s">
        <v>15</v>
      </c>
      <c r="K3026">
        <v>3</v>
      </c>
      <c r="L3026">
        <v>2.71</v>
      </c>
      <c r="M3026">
        <v>0</v>
      </c>
      <c r="N3026" t="s">
        <v>10018</v>
      </c>
      <c r="O3026" t="str">
        <f>HYPERLINK("3\1\marker_893_820151.png", "Ver Imagen")</f>
        <v>Ver Imagen</v>
      </c>
      <c r="P3026" t="str">
        <f>HYPERLINK("NO\A-490\A-490__605.png", "Ver Imagen")</f>
        <v>Ver Imagen</v>
      </c>
    </row>
    <row r="3027" spans="1:16" x14ac:dyDescent="0.25">
      <c r="A3027">
        <v>2550</v>
      </c>
      <c r="B3027" t="s">
        <v>5113</v>
      </c>
      <c r="C3027">
        <v>37.494305867100003</v>
      </c>
      <c r="D3027">
        <v>-7.2658538807599999</v>
      </c>
      <c r="E3027">
        <v>2</v>
      </c>
      <c r="F3027">
        <v>3</v>
      </c>
      <c r="G3027">
        <v>3</v>
      </c>
      <c r="J3027" t="s">
        <v>15</v>
      </c>
      <c r="K3027">
        <v>3</v>
      </c>
      <c r="L3027">
        <v>2.8620000000000001</v>
      </c>
      <c r="M3027">
        <v>0</v>
      </c>
      <c r="N3027" t="s">
        <v>10019</v>
      </c>
      <c r="O3027" t="str">
        <f>HYPERLINK("3\1\marker_534_820311.png", "Ver Imagen")</f>
        <v>Ver Imagen</v>
      </c>
      <c r="P3027" t="str">
        <f>HYPERLINK("NO\A-490\A-490__620.png", "Ver Imagen")</f>
        <v>Ver Imagen</v>
      </c>
    </row>
    <row r="3028" spans="1:16" x14ac:dyDescent="0.25">
      <c r="A3028">
        <v>2551</v>
      </c>
      <c r="B3028" t="s">
        <v>5115</v>
      </c>
      <c r="C3028">
        <v>37.494771061100003</v>
      </c>
      <c r="D3028">
        <v>-7.2666468292299999</v>
      </c>
      <c r="E3028">
        <v>2</v>
      </c>
      <c r="F3028">
        <v>3</v>
      </c>
      <c r="G3028">
        <v>3</v>
      </c>
      <c r="J3028" t="s">
        <v>15</v>
      </c>
      <c r="K3028">
        <v>3</v>
      </c>
      <c r="L3028">
        <v>3.1459999999999999</v>
      </c>
      <c r="M3028">
        <v>0</v>
      </c>
      <c r="N3028" t="s">
        <v>10019</v>
      </c>
      <c r="O3028" t="str">
        <f>HYPERLINK("3\1\marker_794_820353.png", "Ver Imagen")</f>
        <v>Ver Imagen</v>
      </c>
      <c r="P3028" t="str">
        <f>HYPERLINK("NO\A-490\A-490__624.png", "Ver Imagen")</f>
        <v>Ver Imagen</v>
      </c>
    </row>
    <row r="3029" spans="1:16" x14ac:dyDescent="0.25">
      <c r="A3029">
        <v>2552</v>
      </c>
      <c r="B3029" t="s">
        <v>5117</v>
      </c>
      <c r="C3029">
        <v>37.278967000400002</v>
      </c>
      <c r="D3029">
        <v>-6.9943703490300004</v>
      </c>
      <c r="E3029">
        <v>3</v>
      </c>
      <c r="F3029">
        <v>2</v>
      </c>
      <c r="G3029">
        <v>3</v>
      </c>
      <c r="J3029" t="s">
        <v>15</v>
      </c>
      <c r="K3029">
        <v>3</v>
      </c>
      <c r="L3029">
        <v>2.9380000000000002</v>
      </c>
      <c r="M3029">
        <v>0</v>
      </c>
      <c r="N3029" t="s">
        <v>10019</v>
      </c>
      <c r="O3029" t="str">
        <f>HYPERLINK("3\1\marker_651_822938.png", "Ver Imagen")</f>
        <v>Ver Imagen</v>
      </c>
      <c r="P3029" t="str">
        <f>HYPERLINK("SE\A-492\A-492__45.png", "Ver Imagen")</f>
        <v>Ver Imagen</v>
      </c>
    </row>
    <row r="3030" spans="1:16" x14ac:dyDescent="0.25">
      <c r="A3030">
        <v>2553</v>
      </c>
      <c r="B3030" t="s">
        <v>5119</v>
      </c>
      <c r="C3030">
        <v>37.279123802199997</v>
      </c>
      <c r="D3030">
        <v>-6.9949128760999999</v>
      </c>
      <c r="E3030">
        <v>3</v>
      </c>
      <c r="F3030">
        <v>2</v>
      </c>
      <c r="G3030">
        <v>3</v>
      </c>
      <c r="J3030" t="s">
        <v>15</v>
      </c>
      <c r="K3030">
        <v>3</v>
      </c>
      <c r="L3030">
        <v>2.8620000000000001</v>
      </c>
      <c r="M3030">
        <v>0</v>
      </c>
      <c r="N3030" t="s">
        <v>10019</v>
      </c>
      <c r="O3030" t="str">
        <f>HYPERLINK("3\1\marker_772_822963.png", "Ver Imagen")</f>
        <v>Ver Imagen</v>
      </c>
      <c r="P3030" t="str">
        <f>HYPERLINK("SE\A-492\A-492__47.png", "Ver Imagen")</f>
        <v>Ver Imagen</v>
      </c>
    </row>
    <row r="3031" spans="1:16" x14ac:dyDescent="0.25">
      <c r="A3031">
        <v>2554</v>
      </c>
      <c r="B3031" t="s">
        <v>5121</v>
      </c>
      <c r="C3031">
        <v>37.280490479900003</v>
      </c>
      <c r="D3031">
        <v>-7.0017311546699998</v>
      </c>
      <c r="E3031">
        <v>3</v>
      </c>
      <c r="F3031">
        <v>2</v>
      </c>
      <c r="G3031">
        <v>3</v>
      </c>
      <c r="J3031" t="s">
        <v>15</v>
      </c>
      <c r="K3031">
        <v>3</v>
      </c>
      <c r="L3031">
        <v>2.7570000000000001</v>
      </c>
      <c r="M3031">
        <v>0</v>
      </c>
      <c r="N3031" t="s">
        <v>10019</v>
      </c>
      <c r="O3031" t="str">
        <f>HYPERLINK("3\1\marker_749_823431.png", "Ver Imagen")</f>
        <v>Ver Imagen</v>
      </c>
      <c r="P3031" t="str">
        <f>HYPERLINK("SE\A-492\A-492__77.png", "Ver Imagen")</f>
        <v>Ver Imagen</v>
      </c>
    </row>
    <row r="3032" spans="1:16" x14ac:dyDescent="0.25">
      <c r="A3032">
        <v>2557</v>
      </c>
      <c r="B3032" t="s">
        <v>5127</v>
      </c>
      <c r="C3032">
        <v>37.280613454700003</v>
      </c>
      <c r="D3032">
        <v>-7.0042658254900001</v>
      </c>
      <c r="E3032">
        <v>3</v>
      </c>
      <c r="F3032">
        <v>2</v>
      </c>
      <c r="G3032">
        <v>3</v>
      </c>
      <c r="J3032" t="s">
        <v>15</v>
      </c>
      <c r="K3032">
        <v>3</v>
      </c>
      <c r="L3032">
        <v>2.6819999999999999</v>
      </c>
      <c r="M3032">
        <v>0</v>
      </c>
      <c r="N3032" t="s">
        <v>10019</v>
      </c>
      <c r="O3032" t="str">
        <f>HYPERLINK("3\1\marker_113_823579.png", "Ver Imagen")</f>
        <v>Ver Imagen</v>
      </c>
      <c r="P3032" t="str">
        <f>HYPERLINK("SE\A-492\A-492__87.png", "Ver Imagen")</f>
        <v>Ver Imagen</v>
      </c>
    </row>
    <row r="3033" spans="1:16" x14ac:dyDescent="0.25">
      <c r="A3033">
        <v>2558</v>
      </c>
      <c r="B3033" t="s">
        <v>5129</v>
      </c>
      <c r="C3033">
        <v>37.280554469000002</v>
      </c>
      <c r="D3033">
        <v>-7.0045083011199996</v>
      </c>
      <c r="E3033">
        <v>2</v>
      </c>
      <c r="F3033">
        <v>3</v>
      </c>
      <c r="G3033">
        <v>3</v>
      </c>
      <c r="J3033" t="s">
        <v>15</v>
      </c>
      <c r="K3033">
        <v>3</v>
      </c>
      <c r="L3033">
        <v>2.7370000000000001</v>
      </c>
      <c r="M3033">
        <v>0</v>
      </c>
      <c r="N3033" t="s">
        <v>10019</v>
      </c>
      <c r="O3033" t="str">
        <f>HYPERLINK("3\1\marker_589_823593.png", "Ver Imagen")</f>
        <v>Ver Imagen</v>
      </c>
      <c r="P3033" t="str">
        <f>HYPERLINK("SE\A-492\A-492__88.png", "Ver Imagen")</f>
        <v>Ver Imagen</v>
      </c>
    </row>
    <row r="3034" spans="1:16" x14ac:dyDescent="0.25">
      <c r="A3034">
        <v>2559</v>
      </c>
      <c r="B3034" t="s">
        <v>5131</v>
      </c>
      <c r="C3034">
        <v>37.279777252499997</v>
      </c>
      <c r="D3034">
        <v>-7.0065722388099996</v>
      </c>
      <c r="E3034">
        <v>2</v>
      </c>
      <c r="F3034">
        <v>3</v>
      </c>
      <c r="G3034">
        <v>3</v>
      </c>
      <c r="J3034" t="s">
        <v>15</v>
      </c>
      <c r="K3034">
        <v>3</v>
      </c>
      <c r="L3034">
        <v>2.6230000000000002</v>
      </c>
      <c r="M3034">
        <v>0</v>
      </c>
      <c r="N3034" t="s">
        <v>10019</v>
      </c>
      <c r="O3034" t="str">
        <f>HYPERLINK("3\1\marker_882_823725.png", "Ver Imagen")</f>
        <v>Ver Imagen</v>
      </c>
      <c r="P3034" t="str">
        <f>HYPERLINK("SE\A-492\A-492__97.png", "Ver Imagen")</f>
        <v>Ver Imagen</v>
      </c>
    </row>
    <row r="3035" spans="1:16" x14ac:dyDescent="0.25">
      <c r="A3035">
        <v>2560</v>
      </c>
      <c r="B3035" t="s">
        <v>5133</v>
      </c>
      <c r="C3035">
        <v>37.278787954099997</v>
      </c>
      <c r="D3035">
        <v>-7.0091002787900001</v>
      </c>
      <c r="E3035">
        <v>2</v>
      </c>
      <c r="F3035">
        <v>3</v>
      </c>
      <c r="G3035">
        <v>3</v>
      </c>
      <c r="J3035" t="s">
        <v>15</v>
      </c>
      <c r="K3035">
        <v>3</v>
      </c>
      <c r="L3035">
        <v>3.1150000000000002</v>
      </c>
      <c r="M3035">
        <v>0</v>
      </c>
      <c r="N3035" t="s">
        <v>10019</v>
      </c>
      <c r="O3035" t="str">
        <f>HYPERLINK("3\1\marker_702_824269.png", "Ver Imagen")</f>
        <v>Ver Imagen</v>
      </c>
      <c r="P3035" t="str">
        <f>HYPERLINK("SE\A-492\A-492__108.png", "Ver Imagen")</f>
        <v>Ver Imagen</v>
      </c>
    </row>
    <row r="3036" spans="1:16" x14ac:dyDescent="0.25">
      <c r="A3036">
        <v>2561</v>
      </c>
      <c r="B3036" t="s">
        <v>5135</v>
      </c>
      <c r="C3036">
        <v>37.278700416500001</v>
      </c>
      <c r="D3036">
        <v>-7.0093146314699997</v>
      </c>
      <c r="E3036">
        <v>2</v>
      </c>
      <c r="F3036">
        <v>3</v>
      </c>
      <c r="G3036">
        <v>3</v>
      </c>
      <c r="J3036" t="s">
        <v>15</v>
      </c>
      <c r="K3036">
        <v>3</v>
      </c>
      <c r="L3036">
        <v>3.0289999999999999</v>
      </c>
      <c r="M3036">
        <v>0</v>
      </c>
      <c r="N3036" t="s">
        <v>10017</v>
      </c>
      <c r="O3036" t="str">
        <f>HYPERLINK("3\1\marker_849_824280.png", "Ver Imagen")</f>
        <v>Ver Imagen</v>
      </c>
      <c r="P3036" t="str">
        <f>HYPERLINK("SE\A-492\A-492__109.png", "Ver Imagen")</f>
        <v>Ver Imagen</v>
      </c>
    </row>
    <row r="3037" spans="1:16" x14ac:dyDescent="0.25">
      <c r="A3037">
        <v>2562</v>
      </c>
      <c r="B3037" t="s">
        <v>5137</v>
      </c>
      <c r="C3037">
        <v>37.278294437699998</v>
      </c>
      <c r="D3037">
        <v>-7.0101823527000002</v>
      </c>
      <c r="E3037">
        <v>2</v>
      </c>
      <c r="F3037">
        <v>3</v>
      </c>
      <c r="G3037">
        <v>3</v>
      </c>
      <c r="J3037" t="s">
        <v>15</v>
      </c>
      <c r="K3037">
        <v>3</v>
      </c>
      <c r="L3037">
        <v>3.0249999999999999</v>
      </c>
      <c r="M3037">
        <v>0</v>
      </c>
      <c r="N3037" t="s">
        <v>10019</v>
      </c>
      <c r="O3037" t="str">
        <f>HYPERLINK("3\1\marker_289_824324.png", "Ver Imagen")</f>
        <v>Ver Imagen</v>
      </c>
      <c r="P3037" t="str">
        <f>HYPERLINK("SE\A-492\A-492__113.png", "Ver Imagen")</f>
        <v>Ver Imagen</v>
      </c>
    </row>
    <row r="3038" spans="1:16" x14ac:dyDescent="0.25">
      <c r="A3038">
        <v>2563</v>
      </c>
      <c r="B3038" t="s">
        <v>5139</v>
      </c>
      <c r="C3038">
        <v>37.278060780700002</v>
      </c>
      <c r="D3038">
        <v>-7.0106176331899999</v>
      </c>
      <c r="E3038">
        <v>2</v>
      </c>
      <c r="F3038">
        <v>3</v>
      </c>
      <c r="G3038">
        <v>3</v>
      </c>
      <c r="J3038" t="s">
        <v>15</v>
      </c>
      <c r="K3038">
        <v>3</v>
      </c>
      <c r="L3038">
        <v>2.911</v>
      </c>
      <c r="M3038">
        <v>0</v>
      </c>
      <c r="N3038" t="s">
        <v>10019</v>
      </c>
      <c r="O3038" t="str">
        <f>HYPERLINK("3\1\marker_148_824349.png", "Ver Imagen")</f>
        <v>Ver Imagen</v>
      </c>
      <c r="P3038" t="str">
        <f>HYPERLINK("SE\A-492\A-492__115.png", "Ver Imagen")</f>
        <v>Ver Imagen</v>
      </c>
    </row>
    <row r="3039" spans="1:16" x14ac:dyDescent="0.25">
      <c r="A3039">
        <v>2564</v>
      </c>
      <c r="B3039" t="s">
        <v>5141</v>
      </c>
      <c r="C3039">
        <v>37.277852503399998</v>
      </c>
      <c r="D3039">
        <v>-7.0109955715599996</v>
      </c>
      <c r="E3039">
        <v>2</v>
      </c>
      <c r="F3039">
        <v>3</v>
      </c>
      <c r="G3039">
        <v>3</v>
      </c>
      <c r="J3039" t="s">
        <v>15</v>
      </c>
      <c r="K3039">
        <v>3</v>
      </c>
      <c r="L3039">
        <v>2.9449999999999998</v>
      </c>
      <c r="M3039">
        <v>0</v>
      </c>
      <c r="N3039" t="s">
        <v>10019</v>
      </c>
      <c r="O3039" t="str">
        <f>HYPERLINK("3\1\marker_137_824372.png", "Ver Imagen")</f>
        <v>Ver Imagen</v>
      </c>
      <c r="P3039" t="str">
        <f>HYPERLINK("SE\A-492\A-492__117.png", "Ver Imagen")</f>
        <v>Ver Imagen</v>
      </c>
    </row>
    <row r="3040" spans="1:16" x14ac:dyDescent="0.25">
      <c r="A3040">
        <v>2565</v>
      </c>
      <c r="B3040" t="s">
        <v>5143</v>
      </c>
      <c r="C3040">
        <v>37.277735413199999</v>
      </c>
      <c r="D3040">
        <v>-7.0112077986700001</v>
      </c>
      <c r="E3040">
        <v>2</v>
      </c>
      <c r="F3040">
        <v>3</v>
      </c>
      <c r="G3040">
        <v>3</v>
      </c>
      <c r="J3040" t="s">
        <v>15</v>
      </c>
      <c r="K3040">
        <v>3</v>
      </c>
      <c r="L3040">
        <v>2.9060000000000001</v>
      </c>
      <c r="M3040">
        <v>0</v>
      </c>
      <c r="N3040" t="s">
        <v>10019</v>
      </c>
      <c r="O3040" t="str">
        <f>HYPERLINK("3\1\marker_937_824400.png", "Ver Imagen")</f>
        <v>Ver Imagen</v>
      </c>
      <c r="P3040" t="str">
        <f>HYPERLINK("SE\A-492\A-492__118.png", "Ver Imagen")</f>
        <v>Ver Imagen</v>
      </c>
    </row>
    <row r="3041" spans="1:16" x14ac:dyDescent="0.25">
      <c r="A3041">
        <v>2566</v>
      </c>
      <c r="B3041" t="s">
        <v>5145</v>
      </c>
      <c r="C3041">
        <v>37.277606653100001</v>
      </c>
      <c r="D3041">
        <v>-7.0114421553600002</v>
      </c>
      <c r="E3041">
        <v>2</v>
      </c>
      <c r="F3041">
        <v>3</v>
      </c>
      <c r="G3041">
        <v>3</v>
      </c>
      <c r="J3041" t="s">
        <v>15</v>
      </c>
      <c r="K3041">
        <v>3</v>
      </c>
      <c r="L3041">
        <v>2.8780000000000001</v>
      </c>
      <c r="M3041">
        <v>0</v>
      </c>
      <c r="N3041" t="s">
        <v>10019</v>
      </c>
      <c r="O3041" t="str">
        <f>HYPERLINK("3\1\marker_740_824413.png", "Ver Imagen")</f>
        <v>Ver Imagen</v>
      </c>
      <c r="P3041" t="str">
        <f>HYPERLINK("SE\A-492\A-492__119.png", "Ver Imagen")</f>
        <v>Ver Imagen</v>
      </c>
    </row>
    <row r="3042" spans="1:16" x14ac:dyDescent="0.25">
      <c r="A3042">
        <v>2567</v>
      </c>
      <c r="B3042" t="s">
        <v>5147</v>
      </c>
      <c r="C3042">
        <v>37.277382656199997</v>
      </c>
      <c r="D3042">
        <v>-7.0118551267499996</v>
      </c>
      <c r="E3042">
        <v>2</v>
      </c>
      <c r="F3042">
        <v>3</v>
      </c>
      <c r="G3042">
        <v>3</v>
      </c>
      <c r="J3042" t="s">
        <v>15</v>
      </c>
      <c r="K3042">
        <v>3</v>
      </c>
      <c r="L3042">
        <v>3.2679999999999998</v>
      </c>
      <c r="M3042">
        <v>0</v>
      </c>
      <c r="N3042" t="s">
        <v>10019</v>
      </c>
      <c r="O3042" t="str">
        <f>HYPERLINK("3\1\marker_431_824432.png", "Ver Imagen")</f>
        <v>Ver Imagen</v>
      </c>
      <c r="P3042" t="str">
        <f>HYPERLINK("SE\A-492\A-492__121.png", "Ver Imagen")</f>
        <v>Ver Imagen</v>
      </c>
    </row>
    <row r="3043" spans="1:16" x14ac:dyDescent="0.25">
      <c r="A3043">
        <v>2568</v>
      </c>
      <c r="B3043" t="s">
        <v>5149</v>
      </c>
      <c r="C3043">
        <v>37.277165786300003</v>
      </c>
      <c r="D3043">
        <v>-7.0122478991300001</v>
      </c>
      <c r="E3043">
        <v>3</v>
      </c>
      <c r="F3043">
        <v>3</v>
      </c>
      <c r="G3043">
        <v>4</v>
      </c>
      <c r="J3043" t="s">
        <v>15</v>
      </c>
      <c r="K3043">
        <v>3</v>
      </c>
      <c r="L3043">
        <v>2.8740000000000001</v>
      </c>
      <c r="M3043">
        <v>0</v>
      </c>
      <c r="N3043" t="s">
        <v>10017</v>
      </c>
      <c r="O3043" t="str">
        <f>HYPERLINK("3\1\marker_234_824457.png", "Ver Imagen")</f>
        <v>Ver Imagen</v>
      </c>
      <c r="P3043" t="str">
        <f>HYPERLINK("SE\A-492\A-492__123.png", "Ver Imagen")</f>
        <v>Ver Imagen</v>
      </c>
    </row>
    <row r="3044" spans="1:16" x14ac:dyDescent="0.25">
      <c r="A3044">
        <v>2569</v>
      </c>
      <c r="B3044" t="s">
        <v>5151</v>
      </c>
      <c r="C3044">
        <v>37.276926983400003</v>
      </c>
      <c r="D3044">
        <v>-7.0126833454200002</v>
      </c>
      <c r="E3044">
        <v>2</v>
      </c>
      <c r="F3044">
        <v>3</v>
      </c>
      <c r="G3044">
        <v>3</v>
      </c>
      <c r="J3044" t="s">
        <v>15</v>
      </c>
      <c r="K3044">
        <v>3</v>
      </c>
      <c r="L3044">
        <v>2.8929999999999998</v>
      </c>
      <c r="M3044">
        <v>0</v>
      </c>
      <c r="N3044" t="s">
        <v>10019</v>
      </c>
      <c r="O3044" t="str">
        <f>HYPERLINK("3\1\marker_106_824477.png", "Ver Imagen")</f>
        <v>Ver Imagen</v>
      </c>
      <c r="P3044" t="str">
        <f>HYPERLINK("SE\A-492\A-492__125.png", "Ver Imagen")</f>
        <v>Ver Imagen</v>
      </c>
    </row>
    <row r="3045" spans="1:16" x14ac:dyDescent="0.25">
      <c r="A3045">
        <v>2570</v>
      </c>
      <c r="B3045" t="s">
        <v>5153</v>
      </c>
      <c r="C3045">
        <v>37.276596556900003</v>
      </c>
      <c r="D3045">
        <v>-7.0133098115100001</v>
      </c>
      <c r="E3045">
        <v>2</v>
      </c>
      <c r="F3045">
        <v>3</v>
      </c>
      <c r="G3045">
        <v>3</v>
      </c>
      <c r="J3045" t="s">
        <v>15</v>
      </c>
      <c r="K3045">
        <v>3</v>
      </c>
      <c r="L3045">
        <v>2.8149999999999999</v>
      </c>
      <c r="M3045">
        <v>0</v>
      </c>
      <c r="N3045" t="s">
        <v>10019</v>
      </c>
      <c r="O3045" t="str">
        <f>HYPERLINK("3\1\marker_826_824513.png", "Ver Imagen")</f>
        <v>Ver Imagen</v>
      </c>
      <c r="P3045" t="str">
        <f>HYPERLINK("SE\A-492\A-492__128.png", "Ver Imagen")</f>
        <v>Ver Imagen</v>
      </c>
    </row>
    <row r="3046" spans="1:16" x14ac:dyDescent="0.25">
      <c r="A3046">
        <v>2571</v>
      </c>
      <c r="B3046" t="s">
        <v>5155</v>
      </c>
      <c r="C3046">
        <v>37.275929684899999</v>
      </c>
      <c r="D3046">
        <v>-7.0150846867899999</v>
      </c>
      <c r="E3046">
        <v>2</v>
      </c>
      <c r="F3046">
        <v>3</v>
      </c>
      <c r="G3046">
        <v>3</v>
      </c>
      <c r="J3046" t="s">
        <v>15</v>
      </c>
      <c r="K3046">
        <v>3</v>
      </c>
      <c r="L3046">
        <v>2.911</v>
      </c>
      <c r="M3046">
        <v>0</v>
      </c>
      <c r="N3046" t="s">
        <v>10019</v>
      </c>
      <c r="O3046" t="str">
        <f>HYPERLINK("3\1\marker_234_824617.png", "Ver Imagen")</f>
        <v>Ver Imagen</v>
      </c>
      <c r="P3046" t="str">
        <f>HYPERLINK("SE\A-492\A-492__136.png", "Ver Imagen")</f>
        <v>Ver Imagen</v>
      </c>
    </row>
    <row r="3047" spans="1:16" x14ac:dyDescent="0.25">
      <c r="A3047">
        <v>2572</v>
      </c>
      <c r="B3047" t="s">
        <v>5157</v>
      </c>
      <c r="C3047">
        <v>37.275509760799999</v>
      </c>
      <c r="D3047">
        <v>-7.0158111511900003</v>
      </c>
      <c r="E3047">
        <v>2</v>
      </c>
      <c r="F3047">
        <v>3</v>
      </c>
      <c r="G3047">
        <v>3</v>
      </c>
      <c r="J3047" t="s">
        <v>15</v>
      </c>
      <c r="K3047">
        <v>3</v>
      </c>
      <c r="L3047">
        <v>2.8079999999999998</v>
      </c>
      <c r="M3047">
        <v>0</v>
      </c>
      <c r="N3047" t="s">
        <v>10019</v>
      </c>
      <c r="O3047" t="str">
        <f>HYPERLINK("3\1\marker_994_824673.png", "Ver Imagen")</f>
        <v>Ver Imagen</v>
      </c>
      <c r="P3047" t="str">
        <f>HYPERLINK("SE\A-492\A-492__140.png", "Ver Imagen")</f>
        <v>Ver Imagen</v>
      </c>
    </row>
    <row r="3048" spans="1:16" x14ac:dyDescent="0.25">
      <c r="A3048">
        <v>2576</v>
      </c>
      <c r="B3048" t="s">
        <v>5165</v>
      </c>
      <c r="C3048">
        <v>37.287883465500002</v>
      </c>
      <c r="D3048">
        <v>-7.0423764918099998</v>
      </c>
      <c r="E3048">
        <v>2</v>
      </c>
      <c r="F3048">
        <v>3</v>
      </c>
      <c r="G3048">
        <v>3</v>
      </c>
      <c r="J3048" t="s">
        <v>15</v>
      </c>
      <c r="K3048">
        <v>3</v>
      </c>
      <c r="L3048">
        <v>2.9159999999999999</v>
      </c>
      <c r="M3048">
        <v>0</v>
      </c>
      <c r="N3048" t="s">
        <v>10019</v>
      </c>
      <c r="O3048" t="str">
        <f>HYPERLINK("3\1\marker_142_836827.png", "Ver Imagen")</f>
        <v>Ver Imagen</v>
      </c>
      <c r="P3048" t="str">
        <f>HYPERLINK("SE\A-492\A-492__273.png", "Ver Imagen")</f>
        <v>Ver Imagen</v>
      </c>
    </row>
    <row r="3049" spans="1:16" x14ac:dyDescent="0.25">
      <c r="A3049">
        <v>2577</v>
      </c>
      <c r="B3049" t="s">
        <v>5167</v>
      </c>
      <c r="C3049">
        <v>37.289779324000001</v>
      </c>
      <c r="D3049">
        <v>-7.0445998672399996</v>
      </c>
      <c r="E3049">
        <v>2</v>
      </c>
      <c r="F3049">
        <v>3</v>
      </c>
      <c r="G3049">
        <v>3</v>
      </c>
      <c r="J3049" t="s">
        <v>15</v>
      </c>
      <c r="K3049">
        <v>3</v>
      </c>
      <c r="L3049">
        <v>2.9790000000000001</v>
      </c>
      <c r="M3049">
        <v>0</v>
      </c>
      <c r="N3049" t="s">
        <v>10019</v>
      </c>
      <c r="O3049" t="str">
        <f>HYPERLINK("3\1\marker_606_837369.png", "Ver Imagen")</f>
        <v>Ver Imagen</v>
      </c>
      <c r="P3049" t="str">
        <f>HYPERLINK("SE\A-492\A-492__286.png", "Ver Imagen")</f>
        <v>Ver Imagen</v>
      </c>
    </row>
    <row r="3050" spans="1:16" x14ac:dyDescent="0.25">
      <c r="A3050">
        <v>2578</v>
      </c>
      <c r="B3050" t="s">
        <v>5169</v>
      </c>
      <c r="C3050">
        <v>37.295492651700002</v>
      </c>
      <c r="D3050">
        <v>-7.0492134110900002</v>
      </c>
      <c r="E3050">
        <v>2</v>
      </c>
      <c r="F3050">
        <v>3</v>
      </c>
      <c r="G3050">
        <v>3</v>
      </c>
      <c r="J3050" t="s">
        <v>15</v>
      </c>
      <c r="K3050">
        <v>3</v>
      </c>
      <c r="L3050">
        <v>3.0819999999999999</v>
      </c>
      <c r="M3050">
        <v>0</v>
      </c>
      <c r="N3050" t="s">
        <v>10019</v>
      </c>
      <c r="O3050" t="str">
        <f>HYPERLINK("3\1\marker_542_837961.png", "Ver Imagen")</f>
        <v>Ver Imagen</v>
      </c>
      <c r="P3050" t="str">
        <f>HYPERLINK("SE\A-492\A-492__321.png", "Ver Imagen")</f>
        <v>Ver Imagen</v>
      </c>
    </row>
    <row r="3051" spans="1:16" x14ac:dyDescent="0.25">
      <c r="A3051">
        <v>2579</v>
      </c>
      <c r="B3051" t="s">
        <v>5171</v>
      </c>
      <c r="C3051">
        <v>37.3003968206</v>
      </c>
      <c r="D3051">
        <v>-7.0556882051800001</v>
      </c>
      <c r="E3051">
        <v>2</v>
      </c>
      <c r="F3051">
        <v>3</v>
      </c>
      <c r="G3051">
        <v>3</v>
      </c>
      <c r="J3051" t="s">
        <v>15</v>
      </c>
      <c r="K3051">
        <v>3</v>
      </c>
      <c r="L3051">
        <v>2.8730000000000002</v>
      </c>
      <c r="M3051">
        <v>0</v>
      </c>
      <c r="N3051" t="s">
        <v>10019</v>
      </c>
      <c r="O3051" t="str">
        <f>HYPERLINK("3\1\marker_849_838595.png", "Ver Imagen")</f>
        <v>Ver Imagen</v>
      </c>
      <c r="P3051" t="str">
        <f>HYPERLINK("SE\A-492\A-492__357.png", "Ver Imagen")</f>
        <v>Ver Imagen</v>
      </c>
    </row>
    <row r="3052" spans="1:16" x14ac:dyDescent="0.25">
      <c r="A3052">
        <v>2580</v>
      </c>
      <c r="B3052" t="s">
        <v>5173</v>
      </c>
      <c r="C3052">
        <v>37.300546538299997</v>
      </c>
      <c r="D3052">
        <v>-7.0558285290600002</v>
      </c>
      <c r="E3052">
        <v>2</v>
      </c>
      <c r="F3052">
        <v>3</v>
      </c>
      <c r="G3052">
        <v>3</v>
      </c>
      <c r="J3052" t="s">
        <v>15</v>
      </c>
      <c r="K3052">
        <v>3</v>
      </c>
      <c r="L3052">
        <v>3.3</v>
      </c>
      <c r="M3052">
        <v>0</v>
      </c>
      <c r="N3052" t="s">
        <v>10019</v>
      </c>
      <c r="O3052" t="str">
        <f>HYPERLINK("3\1\marker_377_838605.png", "Ver Imagen")</f>
        <v>Ver Imagen</v>
      </c>
      <c r="P3052" t="str">
        <f>HYPERLINK("SE\A-492\A-492__358.png", "Ver Imagen")</f>
        <v>Ver Imagen</v>
      </c>
    </row>
    <row r="3053" spans="1:16" x14ac:dyDescent="0.25">
      <c r="A3053">
        <v>2582</v>
      </c>
      <c r="B3053" t="s">
        <v>5177</v>
      </c>
      <c r="C3053">
        <v>37.448526607700003</v>
      </c>
      <c r="D3053">
        <v>-7.10961518538</v>
      </c>
      <c r="E3053">
        <v>2</v>
      </c>
      <c r="F3053">
        <v>3</v>
      </c>
      <c r="G3053">
        <v>3</v>
      </c>
      <c r="J3053" t="s">
        <v>15</v>
      </c>
      <c r="K3053">
        <v>3</v>
      </c>
      <c r="L3053">
        <v>2.5419999999999998</v>
      </c>
      <c r="M3053">
        <v>0</v>
      </c>
      <c r="N3053" t="s">
        <v>10018</v>
      </c>
      <c r="O3053" t="str">
        <f>HYPERLINK("3\1\marker_147_936741.png", "Ver Imagen")</f>
        <v>Ver Imagen</v>
      </c>
      <c r="P3053" t="str">
        <f>HYPERLINK("NE\A-495R\A-495R__19.png", "Ver Imagen")</f>
        <v>Ver Imagen</v>
      </c>
    </row>
    <row r="3054" spans="1:16" x14ac:dyDescent="0.25">
      <c r="A3054">
        <v>2583</v>
      </c>
      <c r="B3054" t="s">
        <v>5179</v>
      </c>
      <c r="C3054">
        <v>37.447814085300003</v>
      </c>
      <c r="D3054">
        <v>-7.1091824524799998</v>
      </c>
      <c r="E3054">
        <v>2</v>
      </c>
      <c r="F3054">
        <v>3</v>
      </c>
      <c r="G3054">
        <v>3</v>
      </c>
      <c r="J3054" t="s">
        <v>15</v>
      </c>
      <c r="K3054">
        <v>3</v>
      </c>
      <c r="L3054">
        <v>2.9649999999999999</v>
      </c>
      <c r="M3054">
        <v>0</v>
      </c>
      <c r="N3054" t="s">
        <v>10019</v>
      </c>
      <c r="O3054" t="str">
        <f>HYPERLINK("3\1\marker_263_936851.png", "Ver Imagen")</f>
        <v>Ver Imagen</v>
      </c>
      <c r="P3054" t="str">
        <f>HYPERLINK("NE\A-495R\A-495R__15.png", "Ver Imagen")</f>
        <v>Ver Imagen</v>
      </c>
    </row>
    <row r="3055" spans="1:16" x14ac:dyDescent="0.25">
      <c r="A3055">
        <v>2584</v>
      </c>
      <c r="B3055" t="s">
        <v>5181</v>
      </c>
      <c r="C3055">
        <v>37.447615256100001</v>
      </c>
      <c r="D3055">
        <v>-7.1090368606299998</v>
      </c>
      <c r="E3055">
        <v>2</v>
      </c>
      <c r="F3055">
        <v>3</v>
      </c>
      <c r="G3055">
        <v>3</v>
      </c>
      <c r="J3055" t="s">
        <v>15</v>
      </c>
      <c r="K3055">
        <v>3</v>
      </c>
      <c r="L3055">
        <v>3.3610000000000002</v>
      </c>
      <c r="M3055">
        <v>0</v>
      </c>
      <c r="N3055" t="s">
        <v>10019</v>
      </c>
      <c r="O3055" t="str">
        <f>HYPERLINK("3\1\marker_825_936865.png", "Ver Imagen")</f>
        <v>Ver Imagen</v>
      </c>
      <c r="P3055" t="str">
        <f>HYPERLINK("NE\A-495R\A-495R__14.png", "Ver Imagen")</f>
        <v>Ver Imagen</v>
      </c>
    </row>
    <row r="3056" spans="1:16" x14ac:dyDescent="0.25">
      <c r="A3056">
        <v>2585</v>
      </c>
      <c r="B3056" t="s">
        <v>5183</v>
      </c>
      <c r="C3056">
        <v>37.447447056100003</v>
      </c>
      <c r="D3056">
        <v>-7.1089148688200003</v>
      </c>
      <c r="E3056">
        <v>2</v>
      </c>
      <c r="F3056">
        <v>3</v>
      </c>
      <c r="G3056">
        <v>3</v>
      </c>
      <c r="J3056" t="s">
        <v>15</v>
      </c>
      <c r="K3056">
        <v>3</v>
      </c>
      <c r="L3056">
        <v>3.0030000000000001</v>
      </c>
      <c r="M3056">
        <v>0</v>
      </c>
      <c r="N3056" t="s">
        <v>10019</v>
      </c>
      <c r="O3056" t="str">
        <f>HYPERLINK("3\1\marker_503_936874.png", "Ver Imagen")</f>
        <v>Ver Imagen</v>
      </c>
      <c r="P3056" t="str">
        <f>HYPERLINK("NE\A-495R\A-495R__13.png", "Ver Imagen")</f>
        <v>Ver Imagen</v>
      </c>
    </row>
    <row r="3057" spans="1:16" x14ac:dyDescent="0.25">
      <c r="A3057">
        <v>2586</v>
      </c>
      <c r="B3057" t="s">
        <v>5185</v>
      </c>
      <c r="C3057">
        <v>37.447277436299998</v>
      </c>
      <c r="D3057">
        <v>-7.1087893756799998</v>
      </c>
      <c r="E3057">
        <v>2</v>
      </c>
      <c r="F3057">
        <v>3</v>
      </c>
      <c r="G3057">
        <v>3</v>
      </c>
      <c r="J3057" t="s">
        <v>15</v>
      </c>
      <c r="K3057">
        <v>3</v>
      </c>
      <c r="L3057">
        <v>2.746</v>
      </c>
      <c r="M3057">
        <v>0</v>
      </c>
      <c r="N3057" t="s">
        <v>10019</v>
      </c>
      <c r="O3057" t="str">
        <f>HYPERLINK("3\1\marker_845_936898.png", "Ver Imagen")</f>
        <v>Ver Imagen</v>
      </c>
      <c r="P3057" t="str">
        <f>HYPERLINK("NE\A-495R\A-495R__12.png", "Ver Imagen")</f>
        <v>Ver Imagen</v>
      </c>
    </row>
    <row r="3058" spans="1:16" x14ac:dyDescent="0.25">
      <c r="A3058">
        <v>2587</v>
      </c>
      <c r="B3058" t="s">
        <v>5187</v>
      </c>
      <c r="C3058">
        <v>37.4471408008</v>
      </c>
      <c r="D3058">
        <v>-7.1086538800100003</v>
      </c>
      <c r="E3058">
        <v>2</v>
      </c>
      <c r="F3058">
        <v>3</v>
      </c>
      <c r="G3058">
        <v>3</v>
      </c>
      <c r="J3058" t="s">
        <v>15</v>
      </c>
      <c r="K3058">
        <v>3</v>
      </c>
      <c r="L3058">
        <v>2.7869999999999999</v>
      </c>
      <c r="M3058">
        <v>0</v>
      </c>
      <c r="N3058" t="s">
        <v>10019</v>
      </c>
      <c r="O3058" t="str">
        <f>HYPERLINK("3\1\marker_697_936909.png", "Ver Imagen")</f>
        <v>Ver Imagen</v>
      </c>
      <c r="P3058" t="str">
        <f>HYPERLINK("NE\A-495R\A-495R__11.png", "Ver Imagen")</f>
        <v>Ver Imagen</v>
      </c>
    </row>
    <row r="3059" spans="1:16" x14ac:dyDescent="0.25">
      <c r="A3059">
        <v>2588</v>
      </c>
      <c r="B3059" t="s">
        <v>5189</v>
      </c>
      <c r="C3059">
        <v>37.447007541200001</v>
      </c>
      <c r="D3059">
        <v>-7.1084376199300001</v>
      </c>
      <c r="E3059">
        <v>2</v>
      </c>
      <c r="F3059">
        <v>3</v>
      </c>
      <c r="G3059">
        <v>3</v>
      </c>
      <c r="J3059" t="s">
        <v>15</v>
      </c>
      <c r="K3059">
        <v>3</v>
      </c>
      <c r="L3059">
        <v>2.8090000000000002</v>
      </c>
      <c r="M3059">
        <v>0</v>
      </c>
      <c r="N3059" t="s">
        <v>10019</v>
      </c>
      <c r="O3059" t="str">
        <f>HYPERLINK("3\1\marker_886_936926.png", "Ver Imagen")</f>
        <v>Ver Imagen</v>
      </c>
      <c r="P3059" t="str">
        <f>HYPERLINK("NE\A-495R\A-495R__10.png", "Ver Imagen")</f>
        <v>Ver Imagen</v>
      </c>
    </row>
    <row r="3060" spans="1:16" x14ac:dyDescent="0.25">
      <c r="A3060">
        <v>2589</v>
      </c>
      <c r="B3060" t="s">
        <v>5191</v>
      </c>
      <c r="C3060">
        <v>37.269619190900002</v>
      </c>
      <c r="D3060">
        <v>-6.9781350029000002</v>
      </c>
      <c r="E3060">
        <v>3</v>
      </c>
      <c r="F3060">
        <v>4</v>
      </c>
      <c r="G3060">
        <v>3</v>
      </c>
      <c r="J3060" t="s">
        <v>15</v>
      </c>
      <c r="K3060">
        <v>3</v>
      </c>
      <c r="L3060">
        <v>2.8410000000000002</v>
      </c>
      <c r="M3060">
        <v>0</v>
      </c>
      <c r="N3060" t="s">
        <v>10019</v>
      </c>
      <c r="O3060" t="str">
        <f>HYPERLINK("3\1\marker_558_937311.png", "Ver Imagen")</f>
        <v>Ver Imagen</v>
      </c>
      <c r="P3060" t="str">
        <f>HYPERLINK("SE\A-497\A-497__90.png", "Ver Imagen")</f>
        <v>Ver Imagen</v>
      </c>
    </row>
    <row r="3061" spans="1:16" x14ac:dyDescent="0.25">
      <c r="A3061">
        <v>2590</v>
      </c>
      <c r="B3061" t="s">
        <v>5193</v>
      </c>
      <c r="C3061">
        <v>37.2681097233</v>
      </c>
      <c r="D3061">
        <v>-6.9715278035499999</v>
      </c>
      <c r="E3061">
        <v>3</v>
      </c>
      <c r="F3061">
        <v>4</v>
      </c>
      <c r="G3061">
        <v>3</v>
      </c>
      <c r="J3061" t="s">
        <v>15</v>
      </c>
      <c r="K3061">
        <v>3</v>
      </c>
      <c r="L3061">
        <v>2.9129999999999998</v>
      </c>
      <c r="M3061">
        <v>0</v>
      </c>
      <c r="N3061" t="s">
        <v>10019</v>
      </c>
      <c r="O3061" t="str">
        <f>HYPERLINK("3\1\marker_744_938226.png", "Ver Imagen")</f>
        <v>Ver Imagen</v>
      </c>
      <c r="P3061" t="str">
        <f>HYPERLINK("SE\A-497\A-497__63.png", "Ver Imagen")</f>
        <v>Ver Imagen</v>
      </c>
    </row>
    <row r="3062" spans="1:16" x14ac:dyDescent="0.25">
      <c r="A3062">
        <v>2591</v>
      </c>
      <c r="B3062" t="s">
        <v>5195</v>
      </c>
      <c r="C3062">
        <v>37.268082097499999</v>
      </c>
      <c r="D3062">
        <v>-6.9713472310900002</v>
      </c>
      <c r="E3062">
        <v>3</v>
      </c>
      <c r="F3062">
        <v>4</v>
      </c>
      <c r="G3062">
        <v>3</v>
      </c>
      <c r="J3062" t="s">
        <v>15</v>
      </c>
      <c r="K3062">
        <v>3</v>
      </c>
      <c r="L3062">
        <v>3.1320000000000001</v>
      </c>
      <c r="M3062">
        <v>0</v>
      </c>
      <c r="N3062" t="s">
        <v>10019</v>
      </c>
      <c r="O3062" t="str">
        <f>HYPERLINK("3\1\marker_482_938242.png", "Ver Imagen")</f>
        <v>Ver Imagen</v>
      </c>
      <c r="P3062" t="str">
        <f>HYPERLINK("SE\A-497\A-497__62.png", "Ver Imagen")</f>
        <v>Ver Imagen</v>
      </c>
    </row>
    <row r="3063" spans="1:16" x14ac:dyDescent="0.25">
      <c r="A3063">
        <v>2592</v>
      </c>
      <c r="B3063" t="s">
        <v>5197</v>
      </c>
      <c r="C3063">
        <v>37.268043832799997</v>
      </c>
      <c r="D3063">
        <v>-6.9710907453699997</v>
      </c>
      <c r="E3063">
        <v>3</v>
      </c>
      <c r="F3063">
        <v>4</v>
      </c>
      <c r="G3063">
        <v>3</v>
      </c>
      <c r="J3063" t="s">
        <v>15</v>
      </c>
      <c r="K3063">
        <v>3</v>
      </c>
      <c r="L3063">
        <v>3.2349999999999999</v>
      </c>
      <c r="M3063">
        <v>0</v>
      </c>
      <c r="N3063" t="s">
        <v>10019</v>
      </c>
      <c r="O3063" t="str">
        <f>HYPERLINK("3\1\marker_152_938251.png", "Ver Imagen")</f>
        <v>Ver Imagen</v>
      </c>
      <c r="P3063" t="str">
        <f>HYPERLINK("SE\A-497\A-497__61.png", "Ver Imagen")</f>
        <v>Ver Imagen</v>
      </c>
    </row>
    <row r="3064" spans="1:16" x14ac:dyDescent="0.25">
      <c r="A3064">
        <v>2593</v>
      </c>
      <c r="B3064" t="s">
        <v>5199</v>
      </c>
      <c r="C3064">
        <v>37.267488290400003</v>
      </c>
      <c r="D3064">
        <v>-6.9625142702199998</v>
      </c>
      <c r="E3064">
        <v>2</v>
      </c>
      <c r="F3064">
        <v>3</v>
      </c>
      <c r="G3064">
        <v>3</v>
      </c>
      <c r="J3064" t="s">
        <v>15</v>
      </c>
      <c r="K3064">
        <v>3</v>
      </c>
      <c r="L3064">
        <v>3.1219999999999999</v>
      </c>
      <c r="M3064">
        <v>0</v>
      </c>
      <c r="N3064" t="s">
        <v>10019</v>
      </c>
      <c r="O3064" t="str">
        <f>HYPERLINK("3\1\marker_709_940902.png", "Ver Imagen")</f>
        <v>Ver Imagen</v>
      </c>
      <c r="P3064" t="str">
        <f>HYPERLINK("SE\A-497\A-497__27.png", "Ver Imagen")</f>
        <v>Ver Imagen</v>
      </c>
    </row>
    <row r="3065" spans="1:16" x14ac:dyDescent="0.25">
      <c r="A3065">
        <v>2594</v>
      </c>
      <c r="B3065" t="s">
        <v>5201</v>
      </c>
      <c r="C3065">
        <v>37.267283633200002</v>
      </c>
      <c r="D3065">
        <v>-6.9600016035800003</v>
      </c>
      <c r="E3065">
        <v>2</v>
      </c>
      <c r="F3065">
        <v>3</v>
      </c>
      <c r="G3065">
        <v>3</v>
      </c>
      <c r="J3065" t="s">
        <v>15</v>
      </c>
      <c r="K3065">
        <v>3</v>
      </c>
      <c r="L3065">
        <v>2.8940000000000001</v>
      </c>
      <c r="M3065">
        <v>0</v>
      </c>
      <c r="N3065" t="s">
        <v>10019</v>
      </c>
      <c r="O3065" t="str">
        <f>HYPERLINK("3\1\marker_236_943812.png", "Ver Imagen")</f>
        <v>Ver Imagen</v>
      </c>
      <c r="P3065" t="str">
        <f>HYPERLINK("SE\A-497\A-497__17.png", "Ver Imagen")</f>
        <v>Ver Imagen</v>
      </c>
    </row>
    <row r="3066" spans="1:16" x14ac:dyDescent="0.25">
      <c r="A3066">
        <v>2595</v>
      </c>
      <c r="B3066" t="s">
        <v>5203</v>
      </c>
      <c r="C3066">
        <v>37.266991732199998</v>
      </c>
      <c r="D3066">
        <v>-6.9585729871000002</v>
      </c>
      <c r="E3066">
        <v>2</v>
      </c>
      <c r="F3066">
        <v>3</v>
      </c>
      <c r="G3066">
        <v>3</v>
      </c>
      <c r="J3066" t="s">
        <v>15</v>
      </c>
      <c r="K3066">
        <v>3</v>
      </c>
      <c r="L3066">
        <v>2.879</v>
      </c>
      <c r="M3066">
        <v>0</v>
      </c>
      <c r="N3066" t="s">
        <v>10019</v>
      </c>
      <c r="O3066" t="str">
        <f>HYPERLINK("3\1\marker_253_943964.png", "Ver Imagen")</f>
        <v>Ver Imagen</v>
      </c>
      <c r="P3066" t="str">
        <f>HYPERLINK("SE\A-497\A-497__11.png", "Ver Imagen")</f>
        <v>Ver Imagen</v>
      </c>
    </row>
    <row r="3067" spans="1:16" x14ac:dyDescent="0.25">
      <c r="A3067">
        <v>2596</v>
      </c>
      <c r="B3067" t="s">
        <v>5205</v>
      </c>
      <c r="C3067">
        <v>37.266895071900002</v>
      </c>
      <c r="D3067">
        <v>-6.9583543140900002</v>
      </c>
      <c r="E3067">
        <v>3</v>
      </c>
      <c r="F3067">
        <v>4</v>
      </c>
      <c r="G3067">
        <v>3</v>
      </c>
      <c r="J3067" t="s">
        <v>15</v>
      </c>
      <c r="K3067">
        <v>3</v>
      </c>
      <c r="L3067">
        <v>2.8439999999999999</v>
      </c>
      <c r="M3067">
        <v>0</v>
      </c>
      <c r="N3067" t="s">
        <v>10017</v>
      </c>
      <c r="O3067" t="str">
        <f>HYPERLINK("3\1\marker_314_943975.png", "Ver Imagen")</f>
        <v>Ver Imagen</v>
      </c>
      <c r="P3067" t="str">
        <f>HYPERLINK("SE\A-497\A-497__10.png", "Ver Imagen")</f>
        <v>Ver Imagen</v>
      </c>
    </row>
    <row r="3068" spans="1:16" x14ac:dyDescent="0.25">
      <c r="A3068">
        <v>2597</v>
      </c>
      <c r="B3068" t="s">
        <v>5207</v>
      </c>
      <c r="C3068">
        <v>37.266601190300001</v>
      </c>
      <c r="D3068">
        <v>-6.9577077168999999</v>
      </c>
      <c r="E3068">
        <v>2</v>
      </c>
      <c r="F3068">
        <v>3</v>
      </c>
      <c r="G3068">
        <v>3</v>
      </c>
      <c r="J3068" t="s">
        <v>15</v>
      </c>
      <c r="K3068">
        <v>3</v>
      </c>
      <c r="L3068">
        <v>3.4060000000000001</v>
      </c>
      <c r="M3068">
        <v>0</v>
      </c>
      <c r="N3068" t="s">
        <v>10018</v>
      </c>
      <c r="O3068" t="str">
        <f>HYPERLINK("3\1\marker_825_944007.png", "Ver Imagen")</f>
        <v>Ver Imagen</v>
      </c>
      <c r="P3068" t="str">
        <f>HYPERLINK("SE\A-497\A-497__7.png", "Ver Imagen")</f>
        <v>Ver Imagen</v>
      </c>
    </row>
    <row r="3069" spans="1:16" x14ac:dyDescent="0.25">
      <c r="A3069">
        <v>2598</v>
      </c>
      <c r="B3069" t="s">
        <v>5209</v>
      </c>
      <c r="C3069">
        <v>37.189878800099997</v>
      </c>
      <c r="D3069">
        <v>-6.9885615094200002</v>
      </c>
      <c r="E3069">
        <v>2</v>
      </c>
      <c r="F3069">
        <v>3</v>
      </c>
      <c r="G3069">
        <v>3</v>
      </c>
      <c r="J3069" t="s">
        <v>15</v>
      </c>
      <c r="K3069">
        <v>3</v>
      </c>
      <c r="L3069">
        <v>2.7440000000000002</v>
      </c>
      <c r="M3069">
        <v>0</v>
      </c>
      <c r="N3069" t="s">
        <v>10019</v>
      </c>
      <c r="O3069" t="str">
        <f>HYPERLINK("3\1\marker_946_944153.png", "Ver Imagen")</f>
        <v>Ver Imagen</v>
      </c>
      <c r="P3069" t="str">
        <f>HYPERLINK("SE\A-5050\A-5050__182.png", "Ver Imagen")</f>
        <v>Ver Imagen</v>
      </c>
    </row>
    <row r="3070" spans="1:16" x14ac:dyDescent="0.25">
      <c r="A3070">
        <v>2599</v>
      </c>
      <c r="B3070" t="s">
        <v>5211</v>
      </c>
      <c r="C3070">
        <v>37.190182440800001</v>
      </c>
      <c r="D3070">
        <v>-6.9892408010100002</v>
      </c>
      <c r="E3070">
        <v>2</v>
      </c>
      <c r="F3070">
        <v>3</v>
      </c>
      <c r="G3070">
        <v>3</v>
      </c>
      <c r="J3070" t="s">
        <v>15</v>
      </c>
      <c r="K3070">
        <v>3</v>
      </c>
      <c r="L3070">
        <v>2.9630000000000001</v>
      </c>
      <c r="M3070">
        <v>0</v>
      </c>
      <c r="N3070" t="s">
        <v>10019</v>
      </c>
      <c r="O3070" t="str">
        <f>HYPERLINK("3\1\marker_265_944183.png", "Ver Imagen")</f>
        <v>Ver Imagen</v>
      </c>
      <c r="P3070" t="str">
        <f>HYPERLINK("SE\A-5050\A-5050__179.png", "Ver Imagen")</f>
        <v>Ver Imagen</v>
      </c>
    </row>
    <row r="3071" spans="1:16" x14ac:dyDescent="0.25">
      <c r="A3071">
        <v>2600</v>
      </c>
      <c r="B3071" t="s">
        <v>5213</v>
      </c>
      <c r="C3071">
        <v>37.190288133899998</v>
      </c>
      <c r="D3071">
        <v>-6.9894765304900002</v>
      </c>
      <c r="E3071">
        <v>2</v>
      </c>
      <c r="F3071">
        <v>3</v>
      </c>
      <c r="G3071">
        <v>3</v>
      </c>
      <c r="J3071" t="s">
        <v>15</v>
      </c>
      <c r="K3071">
        <v>3</v>
      </c>
      <c r="L3071">
        <v>2.891</v>
      </c>
      <c r="M3071">
        <v>0</v>
      </c>
      <c r="N3071" t="s">
        <v>10019</v>
      </c>
      <c r="O3071" t="str">
        <f>HYPERLINK("3\1\marker_965_944201.png", "Ver Imagen")</f>
        <v>Ver Imagen</v>
      </c>
      <c r="P3071" t="str">
        <f>HYPERLINK("SE\A-5050\A-5050__178.png", "Ver Imagen")</f>
        <v>Ver Imagen</v>
      </c>
    </row>
    <row r="3072" spans="1:16" x14ac:dyDescent="0.25">
      <c r="A3072">
        <v>2602</v>
      </c>
      <c r="B3072" t="s">
        <v>5217</v>
      </c>
      <c r="C3072">
        <v>37.190473603299999</v>
      </c>
      <c r="D3072">
        <v>-6.9898789545</v>
      </c>
      <c r="E3072">
        <v>2</v>
      </c>
      <c r="F3072">
        <v>3</v>
      </c>
      <c r="G3072">
        <v>3</v>
      </c>
      <c r="J3072" t="s">
        <v>15</v>
      </c>
      <c r="K3072">
        <v>3</v>
      </c>
      <c r="L3072">
        <v>2.7749999999999999</v>
      </c>
      <c r="M3072">
        <v>0</v>
      </c>
      <c r="N3072" t="s">
        <v>10019</v>
      </c>
      <c r="O3072" t="str">
        <f>HYPERLINK("3\1\marker_466_944221.png", "Ver Imagen")</f>
        <v>Ver Imagen</v>
      </c>
      <c r="P3072" t="str">
        <f>HYPERLINK("SE\A-5050\A-5050__176.png", "Ver Imagen")</f>
        <v>Ver Imagen</v>
      </c>
    </row>
    <row r="3073" spans="1:16" x14ac:dyDescent="0.25">
      <c r="A3073">
        <v>2604</v>
      </c>
      <c r="B3073" t="s">
        <v>5221</v>
      </c>
      <c r="C3073">
        <v>37.192040092200003</v>
      </c>
      <c r="D3073">
        <v>-6.9931427337400001</v>
      </c>
      <c r="E3073">
        <v>2</v>
      </c>
      <c r="F3073">
        <v>3</v>
      </c>
      <c r="G3073">
        <v>3</v>
      </c>
      <c r="J3073" t="s">
        <v>15</v>
      </c>
      <c r="K3073">
        <v>3</v>
      </c>
      <c r="L3073">
        <v>2.9249999999999998</v>
      </c>
      <c r="M3073">
        <v>0</v>
      </c>
      <c r="N3073" t="s">
        <v>10019</v>
      </c>
      <c r="O3073" t="str">
        <f>HYPERLINK("3\1\marker_904_944679.png", "Ver Imagen")</f>
        <v>Ver Imagen</v>
      </c>
      <c r="P3073" t="str">
        <f>HYPERLINK("SE\A-5050\A-5050__161.png", "Ver Imagen")</f>
        <v>Ver Imagen</v>
      </c>
    </row>
    <row r="3074" spans="1:16" x14ac:dyDescent="0.25">
      <c r="A3074">
        <v>2605</v>
      </c>
      <c r="B3074" t="s">
        <v>5223</v>
      </c>
      <c r="C3074">
        <v>37.192550029700001</v>
      </c>
      <c r="D3074">
        <v>-6.9942323210200001</v>
      </c>
      <c r="E3074">
        <v>3</v>
      </c>
      <c r="F3074">
        <v>3</v>
      </c>
      <c r="G3074">
        <v>4</v>
      </c>
      <c r="J3074" t="s">
        <v>15</v>
      </c>
      <c r="K3074">
        <v>3</v>
      </c>
      <c r="L3074">
        <v>2.7989999999999999</v>
      </c>
      <c r="M3074">
        <v>0</v>
      </c>
      <c r="N3074" t="s">
        <v>10017</v>
      </c>
      <c r="O3074" t="str">
        <f>HYPERLINK("3\1\marker_497_945302.png", "Ver Imagen")</f>
        <v>Ver Imagen</v>
      </c>
      <c r="P3074" t="str">
        <f>HYPERLINK("SE\A-5050\A-5050__156.png", "Ver Imagen")</f>
        <v>Ver Imagen</v>
      </c>
    </row>
    <row r="3075" spans="1:16" x14ac:dyDescent="0.25">
      <c r="A3075">
        <v>2606</v>
      </c>
      <c r="B3075" t="s">
        <v>5225</v>
      </c>
      <c r="C3075">
        <v>37.192743650499999</v>
      </c>
      <c r="D3075">
        <v>-6.9946794028400001</v>
      </c>
      <c r="E3075">
        <v>2</v>
      </c>
      <c r="F3075">
        <v>3</v>
      </c>
      <c r="G3075">
        <v>3</v>
      </c>
      <c r="J3075" t="s">
        <v>15</v>
      </c>
      <c r="K3075">
        <v>3</v>
      </c>
      <c r="L3075">
        <v>2.7909999999999999</v>
      </c>
      <c r="M3075">
        <v>0</v>
      </c>
      <c r="N3075" t="s">
        <v>10019</v>
      </c>
      <c r="O3075" t="str">
        <f>HYPERLINK("3\1\marker_954_945330.png", "Ver Imagen")</f>
        <v>Ver Imagen</v>
      </c>
      <c r="P3075" t="str">
        <f>HYPERLINK("SE\A-5050\A-5050__154.png", "Ver Imagen")</f>
        <v>Ver Imagen</v>
      </c>
    </row>
    <row r="3076" spans="1:16" x14ac:dyDescent="0.25">
      <c r="A3076">
        <v>2607</v>
      </c>
      <c r="B3076" t="s">
        <v>5227</v>
      </c>
      <c r="C3076">
        <v>37.193199168699998</v>
      </c>
      <c r="D3076">
        <v>-6.9958156984600004</v>
      </c>
      <c r="E3076">
        <v>2</v>
      </c>
      <c r="F3076">
        <v>3</v>
      </c>
      <c r="G3076">
        <v>3</v>
      </c>
      <c r="J3076" t="s">
        <v>15</v>
      </c>
      <c r="K3076">
        <v>3</v>
      </c>
      <c r="L3076">
        <v>2.7519999999999998</v>
      </c>
      <c r="M3076">
        <v>0</v>
      </c>
      <c r="N3076" t="s">
        <v>10019</v>
      </c>
      <c r="O3076" t="str">
        <f>HYPERLINK("3\1\marker_109_945402.png", "Ver Imagen")</f>
        <v>Ver Imagen</v>
      </c>
      <c r="P3076" t="str">
        <f>HYPERLINK("SE\A-5050\A-5050__149.png", "Ver Imagen")</f>
        <v>Ver Imagen</v>
      </c>
    </row>
    <row r="3077" spans="1:16" x14ac:dyDescent="0.25">
      <c r="A3077">
        <v>2608</v>
      </c>
      <c r="B3077" t="s">
        <v>5229</v>
      </c>
      <c r="C3077">
        <v>37.1938583194</v>
      </c>
      <c r="D3077">
        <v>-6.9973673977699997</v>
      </c>
      <c r="E3077">
        <v>3</v>
      </c>
      <c r="F3077">
        <v>2</v>
      </c>
      <c r="G3077">
        <v>3</v>
      </c>
      <c r="J3077" t="s">
        <v>15</v>
      </c>
      <c r="K3077">
        <v>3</v>
      </c>
      <c r="L3077">
        <v>3.036</v>
      </c>
      <c r="M3077">
        <v>0</v>
      </c>
      <c r="N3077" t="s">
        <v>10019</v>
      </c>
      <c r="O3077" t="str">
        <f>HYPERLINK("3\1\marker_192_945819.png", "Ver Imagen")</f>
        <v>Ver Imagen</v>
      </c>
      <c r="P3077" t="str">
        <f>HYPERLINK("SE\A-5050\A-5050__142.png", "Ver Imagen")</f>
        <v>Ver Imagen</v>
      </c>
    </row>
    <row r="3078" spans="1:16" x14ac:dyDescent="0.25">
      <c r="A3078">
        <v>2609</v>
      </c>
      <c r="B3078" t="s">
        <v>5231</v>
      </c>
      <c r="C3078">
        <v>37.194963737000002</v>
      </c>
      <c r="D3078">
        <v>-7.0000576704700004</v>
      </c>
      <c r="E3078">
        <v>2</v>
      </c>
      <c r="F3078">
        <v>3</v>
      </c>
      <c r="G3078">
        <v>3</v>
      </c>
      <c r="J3078" t="s">
        <v>15</v>
      </c>
      <c r="K3078">
        <v>3</v>
      </c>
      <c r="L3078">
        <v>2.8980000000000001</v>
      </c>
      <c r="M3078">
        <v>0</v>
      </c>
      <c r="N3078" t="s">
        <v>10019</v>
      </c>
      <c r="O3078" t="str">
        <f>HYPERLINK("3\1\marker_444_945945.png", "Ver Imagen")</f>
        <v>Ver Imagen</v>
      </c>
      <c r="P3078" t="str">
        <f>HYPERLINK("SE\A-5050\A-5050__130.png", "Ver Imagen")</f>
        <v>Ver Imagen</v>
      </c>
    </row>
    <row r="3079" spans="1:16" x14ac:dyDescent="0.25">
      <c r="A3079">
        <v>2610</v>
      </c>
      <c r="B3079" t="s">
        <v>5233</v>
      </c>
      <c r="C3079">
        <v>37.195345455199998</v>
      </c>
      <c r="D3079">
        <v>-7.0009859156400003</v>
      </c>
      <c r="E3079">
        <v>2</v>
      </c>
      <c r="F3079">
        <v>3</v>
      </c>
      <c r="G3079">
        <v>3</v>
      </c>
      <c r="J3079" t="s">
        <v>15</v>
      </c>
      <c r="K3079">
        <v>3</v>
      </c>
      <c r="L3079">
        <v>3.0409999999999999</v>
      </c>
      <c r="M3079">
        <v>0</v>
      </c>
      <c r="N3079" t="s">
        <v>10019</v>
      </c>
      <c r="O3079" t="str">
        <f>HYPERLINK("3\1\marker_754_946353.png", "Ver Imagen")</f>
        <v>Ver Imagen</v>
      </c>
      <c r="P3079" t="str">
        <f>HYPERLINK("SE\A-5050\A-5050__126.png", "Ver Imagen")</f>
        <v>Ver Imagen</v>
      </c>
    </row>
    <row r="3080" spans="1:16" x14ac:dyDescent="0.25">
      <c r="A3080">
        <v>2611</v>
      </c>
      <c r="B3080" t="s">
        <v>5235</v>
      </c>
      <c r="C3080">
        <v>37.197103212599998</v>
      </c>
      <c r="D3080">
        <v>-7.0051994618300002</v>
      </c>
      <c r="E3080">
        <v>2</v>
      </c>
      <c r="F3080">
        <v>3</v>
      </c>
      <c r="G3080">
        <v>3</v>
      </c>
      <c r="J3080" t="s">
        <v>15</v>
      </c>
      <c r="K3080">
        <v>3</v>
      </c>
      <c r="L3080">
        <v>2.806</v>
      </c>
      <c r="M3080">
        <v>0</v>
      </c>
      <c r="N3080" t="s">
        <v>10019</v>
      </c>
      <c r="O3080" t="str">
        <f>HYPERLINK("3\1\marker_341_946696.png", "Ver Imagen")</f>
        <v>Ver Imagen</v>
      </c>
      <c r="P3080" t="str">
        <f>HYPERLINK("SE\A-5050\A-5050__107.png", "Ver Imagen")</f>
        <v>Ver Imagen</v>
      </c>
    </row>
    <row r="3081" spans="1:16" x14ac:dyDescent="0.25">
      <c r="A3081">
        <v>2613</v>
      </c>
      <c r="B3081" t="s">
        <v>5239</v>
      </c>
      <c r="C3081">
        <v>37.199280020499998</v>
      </c>
      <c r="D3081">
        <v>-7.00957166272</v>
      </c>
      <c r="E3081">
        <v>2</v>
      </c>
      <c r="F3081">
        <v>3</v>
      </c>
      <c r="G3081">
        <v>3</v>
      </c>
      <c r="J3081" t="s">
        <v>15</v>
      </c>
      <c r="K3081">
        <v>3</v>
      </c>
      <c r="L3081">
        <v>2.7909999999999999</v>
      </c>
      <c r="M3081">
        <v>0</v>
      </c>
      <c r="N3081" t="s">
        <v>10017</v>
      </c>
      <c r="O3081" t="str">
        <f>HYPERLINK("3\1\marker_888_947448.png", "Ver Imagen")</f>
        <v>Ver Imagen</v>
      </c>
      <c r="P3081" t="str">
        <f>HYPERLINK("SE\A-5050\A-5050__87.png", "Ver Imagen")</f>
        <v>Ver Imagen</v>
      </c>
    </row>
    <row r="3082" spans="1:16" x14ac:dyDescent="0.25">
      <c r="A3082">
        <v>2614</v>
      </c>
      <c r="B3082" t="s">
        <v>5241</v>
      </c>
      <c r="C3082">
        <v>37.199499263200003</v>
      </c>
      <c r="D3082">
        <v>-7.0099395570900001</v>
      </c>
      <c r="E3082">
        <v>2</v>
      </c>
      <c r="F3082">
        <v>3</v>
      </c>
      <c r="G3082">
        <v>3</v>
      </c>
      <c r="J3082" t="s">
        <v>15</v>
      </c>
      <c r="K3082">
        <v>3</v>
      </c>
      <c r="L3082">
        <v>2.8479999999999999</v>
      </c>
      <c r="M3082">
        <v>0</v>
      </c>
      <c r="N3082" t="s">
        <v>10018</v>
      </c>
      <c r="O3082" t="str">
        <f>HYPERLINK("3\1\marker_908_948399.png", "Ver Imagen")</f>
        <v>Ver Imagen</v>
      </c>
      <c r="P3082" t="str">
        <f>HYPERLINK("SE\A-5050\A-5050__85.png", "Ver Imagen")</f>
        <v>Ver Imagen</v>
      </c>
    </row>
    <row r="3083" spans="1:16" x14ac:dyDescent="0.25">
      <c r="A3083">
        <v>2615</v>
      </c>
      <c r="B3083" t="s">
        <v>5243</v>
      </c>
      <c r="C3083">
        <v>37.199902033999997</v>
      </c>
      <c r="D3083">
        <v>-7.0105976676499999</v>
      </c>
      <c r="E3083">
        <v>2</v>
      </c>
      <c r="F3083">
        <v>3</v>
      </c>
      <c r="G3083">
        <v>3</v>
      </c>
      <c r="J3083" t="s">
        <v>15</v>
      </c>
      <c r="K3083">
        <v>3</v>
      </c>
      <c r="L3083">
        <v>3.258</v>
      </c>
      <c r="M3083">
        <v>0</v>
      </c>
      <c r="N3083" t="s">
        <v>10018</v>
      </c>
      <c r="O3083" t="str">
        <f>HYPERLINK("3\1\marker_325_948746.png", "Ver Imagen")</f>
        <v>Ver Imagen</v>
      </c>
      <c r="P3083" t="str">
        <f>HYPERLINK("SE\A-5050\A-5050__82.png", "Ver Imagen")</f>
        <v>Ver Imagen</v>
      </c>
    </row>
    <row r="3084" spans="1:16" x14ac:dyDescent="0.25">
      <c r="A3084">
        <v>2616</v>
      </c>
      <c r="B3084" t="s">
        <v>5245</v>
      </c>
      <c r="C3084">
        <v>37.2007601014</v>
      </c>
      <c r="D3084">
        <v>-7.0119208250299998</v>
      </c>
      <c r="E3084">
        <v>3</v>
      </c>
      <c r="F3084">
        <v>3</v>
      </c>
      <c r="G3084">
        <v>4</v>
      </c>
      <c r="J3084" t="s">
        <v>15</v>
      </c>
      <c r="K3084">
        <v>3</v>
      </c>
      <c r="L3084">
        <v>3.266</v>
      </c>
      <c r="M3084">
        <v>0</v>
      </c>
      <c r="N3084" t="s">
        <v>10017</v>
      </c>
      <c r="O3084" t="str">
        <f>HYPERLINK("3\1\marker_205_948826.png", "Ver Imagen")</f>
        <v>Ver Imagen</v>
      </c>
      <c r="P3084" t="str">
        <f>HYPERLINK("SE\A-5050\A-5050__75.png", "Ver Imagen")</f>
        <v>Ver Imagen</v>
      </c>
    </row>
    <row r="3085" spans="1:16" x14ac:dyDescent="0.25">
      <c r="A3085">
        <v>2617</v>
      </c>
      <c r="B3085" t="s">
        <v>5247</v>
      </c>
      <c r="C3085">
        <v>37.202933248699999</v>
      </c>
      <c r="D3085">
        <v>-7.0152530350399998</v>
      </c>
      <c r="E3085">
        <v>3</v>
      </c>
      <c r="F3085">
        <v>3</v>
      </c>
      <c r="G3085">
        <v>4</v>
      </c>
      <c r="J3085" t="s">
        <v>15</v>
      </c>
      <c r="K3085">
        <v>3</v>
      </c>
      <c r="L3085">
        <v>3.2029999999999998</v>
      </c>
      <c r="M3085">
        <v>0</v>
      </c>
      <c r="N3085" t="s">
        <v>10019</v>
      </c>
      <c r="O3085" t="str">
        <f>HYPERLINK("3\1\marker_762_949062.png", "Ver Imagen")</f>
        <v>Ver Imagen</v>
      </c>
      <c r="P3085" t="str">
        <f>HYPERLINK("SE\A-5050\A-5050__58.png", "Ver Imagen")</f>
        <v>Ver Imagen</v>
      </c>
    </row>
    <row r="3086" spans="1:16" x14ac:dyDescent="0.25">
      <c r="A3086">
        <v>2619</v>
      </c>
      <c r="B3086" t="s">
        <v>5251</v>
      </c>
      <c r="C3086">
        <v>37.203584536599998</v>
      </c>
      <c r="D3086">
        <v>-7.0162474191399999</v>
      </c>
      <c r="E3086">
        <v>3</v>
      </c>
      <c r="F3086">
        <v>4</v>
      </c>
      <c r="G3086">
        <v>3</v>
      </c>
      <c r="J3086" t="s">
        <v>15</v>
      </c>
      <c r="K3086">
        <v>3</v>
      </c>
      <c r="L3086">
        <v>2.9740000000000002</v>
      </c>
      <c r="M3086">
        <v>0</v>
      </c>
      <c r="N3086" t="s">
        <v>10019</v>
      </c>
      <c r="O3086" t="str">
        <f>HYPERLINK("3\1\marker_920_949128.png", "Ver Imagen")</f>
        <v>Ver Imagen</v>
      </c>
      <c r="P3086" t="str">
        <f>HYPERLINK("SE\A-5050\A-5050__53.png", "Ver Imagen")</f>
        <v>Ver Imagen</v>
      </c>
    </row>
    <row r="3087" spans="1:16" x14ac:dyDescent="0.25">
      <c r="A3087">
        <v>2620</v>
      </c>
      <c r="B3087" t="s">
        <v>5253</v>
      </c>
      <c r="C3087">
        <v>37.204459720999999</v>
      </c>
      <c r="D3087">
        <v>-7.0176023543200001</v>
      </c>
      <c r="E3087">
        <v>3</v>
      </c>
      <c r="F3087">
        <v>4</v>
      </c>
      <c r="G3087">
        <v>3</v>
      </c>
      <c r="J3087" t="s">
        <v>15</v>
      </c>
      <c r="K3087">
        <v>3</v>
      </c>
      <c r="L3087">
        <v>2.6560000000000001</v>
      </c>
      <c r="M3087">
        <v>0</v>
      </c>
      <c r="N3087" t="s">
        <v>10019</v>
      </c>
      <c r="O3087" t="str">
        <f>HYPERLINK("3\1\marker_542_949192.png", "Ver Imagen")</f>
        <v>Ver Imagen</v>
      </c>
      <c r="P3087" t="str">
        <f>HYPERLINK("SE\A-5050\A-5050__46.png", "Ver Imagen")</f>
        <v>Ver Imagen</v>
      </c>
    </row>
    <row r="3088" spans="1:16" x14ac:dyDescent="0.25">
      <c r="A3088">
        <v>2621</v>
      </c>
      <c r="B3088" t="s">
        <v>5255</v>
      </c>
      <c r="C3088">
        <v>37.205202839199998</v>
      </c>
      <c r="D3088">
        <v>-7.01874923988</v>
      </c>
      <c r="E3088">
        <v>3</v>
      </c>
      <c r="F3088">
        <v>4</v>
      </c>
      <c r="G3088">
        <v>3</v>
      </c>
      <c r="J3088" t="s">
        <v>15</v>
      </c>
      <c r="K3088">
        <v>3</v>
      </c>
      <c r="L3088">
        <v>2.992</v>
      </c>
      <c r="M3088">
        <v>0</v>
      </c>
      <c r="N3088" t="s">
        <v>10019</v>
      </c>
      <c r="O3088" t="str">
        <f>HYPERLINK("3\1\marker_702_949249.png", "Ver Imagen")</f>
        <v>Ver Imagen</v>
      </c>
      <c r="P3088" t="str">
        <f>HYPERLINK("SE\A-5050\A-5050__40.png", "Ver Imagen")</f>
        <v>Ver Imagen</v>
      </c>
    </row>
    <row r="3089" spans="1:16" x14ac:dyDescent="0.25">
      <c r="A3089">
        <v>2622</v>
      </c>
      <c r="B3089" t="s">
        <v>5257</v>
      </c>
      <c r="C3089">
        <v>37.205866202800003</v>
      </c>
      <c r="D3089">
        <v>-7.0197985599399999</v>
      </c>
      <c r="E3089">
        <v>2</v>
      </c>
      <c r="F3089">
        <v>3</v>
      </c>
      <c r="G3089">
        <v>3</v>
      </c>
      <c r="J3089" t="s">
        <v>15</v>
      </c>
      <c r="K3089">
        <v>3</v>
      </c>
      <c r="L3089">
        <v>3.29</v>
      </c>
      <c r="M3089">
        <v>0</v>
      </c>
      <c r="N3089" t="s">
        <v>10019</v>
      </c>
      <c r="O3089" t="str">
        <f>HYPERLINK("3\1\marker_901_949309.png", "Ver Imagen")</f>
        <v>Ver Imagen</v>
      </c>
      <c r="P3089" t="str">
        <f>HYPERLINK("SE\A-5050\A-5050__35.png", "Ver Imagen")</f>
        <v>Ver Imagen</v>
      </c>
    </row>
    <row r="3090" spans="1:16" x14ac:dyDescent="0.25">
      <c r="A3090">
        <v>2625</v>
      </c>
      <c r="B3090" t="s">
        <v>5263</v>
      </c>
      <c r="C3090">
        <v>37.218263229100003</v>
      </c>
      <c r="D3090">
        <v>-7.1231866562199997</v>
      </c>
      <c r="E3090">
        <v>3</v>
      </c>
      <c r="F3090">
        <v>3</v>
      </c>
      <c r="G3090">
        <v>4</v>
      </c>
      <c r="J3090" t="s">
        <v>15</v>
      </c>
      <c r="K3090">
        <v>3</v>
      </c>
      <c r="L3090">
        <v>3.3250000000000002</v>
      </c>
      <c r="M3090">
        <v>0</v>
      </c>
      <c r="N3090" t="s">
        <v>10019</v>
      </c>
      <c r="O3090" t="str">
        <f>HYPERLINK("3\1\marker_373_950033.png", "Ver Imagen")</f>
        <v>Ver Imagen</v>
      </c>
      <c r="P3090" t="str">
        <f>HYPERLINK("SO\A-5052\A-5052__11.png", "Ver Imagen")</f>
        <v>Ver Imagen</v>
      </c>
    </row>
    <row r="3091" spans="1:16" x14ac:dyDescent="0.25">
      <c r="A3091">
        <v>2627</v>
      </c>
      <c r="B3091" t="s">
        <v>5267</v>
      </c>
      <c r="C3091">
        <v>37.217582298899998</v>
      </c>
      <c r="D3091">
        <v>-7.1117272315799998</v>
      </c>
      <c r="E3091">
        <v>2</v>
      </c>
      <c r="F3091">
        <v>3</v>
      </c>
      <c r="G3091">
        <v>3</v>
      </c>
      <c r="J3091" t="s">
        <v>15</v>
      </c>
      <c r="K3091">
        <v>3</v>
      </c>
      <c r="L3091">
        <v>2.81</v>
      </c>
      <c r="M3091">
        <v>0</v>
      </c>
      <c r="N3091" t="s">
        <v>10019</v>
      </c>
      <c r="O3091" t="str">
        <f>HYPERLINK("3\1\marker_332_957006.png", "Ver Imagen")</f>
        <v>Ver Imagen</v>
      </c>
      <c r="P3091" t="str">
        <f>HYPERLINK("SO\A-5052\A-5052__57.png", "Ver Imagen")</f>
        <v>Ver Imagen</v>
      </c>
    </row>
    <row r="3092" spans="1:16" x14ac:dyDescent="0.25">
      <c r="A3092">
        <v>2628</v>
      </c>
      <c r="B3092" t="s">
        <v>5269</v>
      </c>
      <c r="C3092">
        <v>37.216646697900003</v>
      </c>
      <c r="D3092">
        <v>-7.0938896504500004</v>
      </c>
      <c r="E3092">
        <v>2</v>
      </c>
      <c r="F3092">
        <v>3</v>
      </c>
      <c r="G3092">
        <v>3</v>
      </c>
      <c r="J3092" t="s">
        <v>15</v>
      </c>
      <c r="K3092">
        <v>3</v>
      </c>
      <c r="L3092">
        <v>3.05</v>
      </c>
      <c r="M3092">
        <v>0</v>
      </c>
      <c r="N3092" t="s">
        <v>10017</v>
      </c>
      <c r="O3092" t="str">
        <f>HYPERLINK("3\1\marker_446_958062.png", "Ver Imagen")</f>
        <v>Ver Imagen</v>
      </c>
      <c r="P3092" t="str">
        <f>HYPERLINK("SO\A-5052\A-5052__128.png", "Ver Imagen")</f>
        <v>Ver Imagen</v>
      </c>
    </row>
    <row r="3093" spans="1:16" x14ac:dyDescent="0.25">
      <c r="A3093">
        <v>2629</v>
      </c>
      <c r="B3093" t="s">
        <v>5271</v>
      </c>
      <c r="C3093">
        <v>37.216306555599999</v>
      </c>
      <c r="D3093">
        <v>-7.0914515532599998</v>
      </c>
      <c r="E3093">
        <v>2</v>
      </c>
      <c r="F3093">
        <v>3</v>
      </c>
      <c r="G3093">
        <v>3</v>
      </c>
      <c r="J3093" t="s">
        <v>15</v>
      </c>
      <c r="K3093">
        <v>3</v>
      </c>
      <c r="L3093">
        <v>2.8119999999999998</v>
      </c>
      <c r="M3093">
        <v>0</v>
      </c>
      <c r="N3093" t="s">
        <v>10019</v>
      </c>
      <c r="O3093" t="str">
        <f>HYPERLINK("3\1\marker_901_958195.png", "Ver Imagen")</f>
        <v>Ver Imagen</v>
      </c>
      <c r="P3093" t="str">
        <f>HYPERLINK("SE\A-5052\A-5052__138.png", "Ver Imagen")</f>
        <v>Ver Imagen</v>
      </c>
    </row>
    <row r="3094" spans="1:16" x14ac:dyDescent="0.25">
      <c r="A3094">
        <v>2629</v>
      </c>
      <c r="B3094" t="s">
        <v>5271</v>
      </c>
      <c r="C3094">
        <v>37.216306555599999</v>
      </c>
      <c r="D3094">
        <v>-7.0914515532599998</v>
      </c>
      <c r="E3094">
        <v>2</v>
      </c>
      <c r="F3094">
        <v>3</v>
      </c>
      <c r="G3094">
        <v>3</v>
      </c>
      <c r="J3094" t="s">
        <v>15</v>
      </c>
      <c r="K3094">
        <v>3</v>
      </c>
      <c r="L3094">
        <v>2.8660000000000001</v>
      </c>
      <c r="M3094">
        <v>0</v>
      </c>
      <c r="N3094" t="s">
        <v>10019</v>
      </c>
      <c r="O3094" t="str">
        <f>HYPERLINK("3\1\marker_901_958195.png", "Ver Imagen")</f>
        <v>Ver Imagen</v>
      </c>
      <c r="P3094" t="str">
        <f>HYPERLINK("SO\A-5052\A-5052__138.png", "Ver Imagen")</f>
        <v>Ver Imagen</v>
      </c>
    </row>
    <row r="3095" spans="1:16" x14ac:dyDescent="0.25">
      <c r="A3095">
        <v>2631</v>
      </c>
      <c r="B3095" t="s">
        <v>5275</v>
      </c>
      <c r="C3095">
        <v>37.211164817399997</v>
      </c>
      <c r="D3095">
        <v>-7.0555505721599996</v>
      </c>
      <c r="E3095">
        <v>2</v>
      </c>
      <c r="F3095">
        <v>3</v>
      </c>
      <c r="G3095">
        <v>3</v>
      </c>
      <c r="J3095" t="s">
        <v>15</v>
      </c>
      <c r="K3095">
        <v>3</v>
      </c>
      <c r="L3095">
        <v>2.5019999999999998</v>
      </c>
      <c r="M3095">
        <v>0</v>
      </c>
      <c r="N3095" t="s">
        <v>10017</v>
      </c>
      <c r="O3095" t="str">
        <f>HYPERLINK("3\1\marker_102_960571.png", "Ver Imagen")</f>
        <v>Ver Imagen</v>
      </c>
      <c r="P3095" t="str">
        <f>HYPERLINK("SE\A-5052\A-5052__284.png", "Ver Imagen")</f>
        <v>Ver Imagen</v>
      </c>
    </row>
    <row r="3096" spans="1:16" x14ac:dyDescent="0.25">
      <c r="A3096">
        <v>2632</v>
      </c>
      <c r="B3096" t="s">
        <v>5277</v>
      </c>
      <c r="C3096">
        <v>37.210791743999998</v>
      </c>
      <c r="D3096">
        <v>-7.05306888458</v>
      </c>
      <c r="E3096">
        <v>3</v>
      </c>
      <c r="F3096">
        <v>4</v>
      </c>
      <c r="G3096">
        <v>3</v>
      </c>
      <c r="J3096" t="s">
        <v>15</v>
      </c>
      <c r="K3096">
        <v>3</v>
      </c>
      <c r="L3096">
        <v>2.73</v>
      </c>
      <c r="M3096">
        <v>0</v>
      </c>
      <c r="N3096" t="s">
        <v>10019</v>
      </c>
      <c r="O3096" t="str">
        <f>HYPERLINK("3\1\marker_769_960752.png", "Ver Imagen")</f>
        <v>Ver Imagen</v>
      </c>
      <c r="P3096" t="str">
        <f>HYPERLINK("SE\A-5052\A-5052__294.png", "Ver Imagen")</f>
        <v>Ver Imagen</v>
      </c>
    </row>
    <row r="3097" spans="1:16" x14ac:dyDescent="0.25">
      <c r="A3097">
        <v>2633</v>
      </c>
      <c r="B3097" t="s">
        <v>5279</v>
      </c>
      <c r="C3097">
        <v>37.2111125853</v>
      </c>
      <c r="D3097">
        <v>-7.0505557362999998</v>
      </c>
      <c r="E3097">
        <v>2</v>
      </c>
      <c r="F3097">
        <v>3</v>
      </c>
      <c r="G3097">
        <v>3</v>
      </c>
      <c r="J3097" t="s">
        <v>15</v>
      </c>
      <c r="K3097">
        <v>3</v>
      </c>
      <c r="L3097">
        <v>3.4329999999999998</v>
      </c>
      <c r="M3097">
        <v>0</v>
      </c>
      <c r="N3097" t="s">
        <v>10019</v>
      </c>
      <c r="O3097" t="str">
        <f>HYPERLINK("3\1\marker_167_960972.png", "Ver Imagen")</f>
        <v>Ver Imagen</v>
      </c>
      <c r="P3097" t="str">
        <f>HYPERLINK("SE\A-5052\A-5052__304.png", "Ver Imagen")</f>
        <v>Ver Imagen</v>
      </c>
    </row>
    <row r="3098" spans="1:16" x14ac:dyDescent="0.25">
      <c r="A3098">
        <v>2635</v>
      </c>
      <c r="B3098" t="s">
        <v>5283</v>
      </c>
      <c r="C3098">
        <v>37.211264413499997</v>
      </c>
      <c r="D3098">
        <v>-7.04522350417</v>
      </c>
      <c r="E3098">
        <v>3</v>
      </c>
      <c r="F3098">
        <v>4</v>
      </c>
      <c r="G3098">
        <v>3</v>
      </c>
      <c r="J3098" t="s">
        <v>15</v>
      </c>
      <c r="K3098">
        <v>3</v>
      </c>
      <c r="L3098">
        <v>2.9609999999999999</v>
      </c>
      <c r="M3098">
        <v>0</v>
      </c>
      <c r="N3098" t="s">
        <v>10018</v>
      </c>
      <c r="O3098" t="str">
        <f>HYPERLINK("3\1\marker_781_961440.png", "Ver Imagen")</f>
        <v>Ver Imagen</v>
      </c>
      <c r="P3098" t="str">
        <f>HYPERLINK("SE\A-5052\A-5052__326.png", "Ver Imagen")</f>
        <v>Ver Imagen</v>
      </c>
    </row>
    <row r="3099" spans="1:16" x14ac:dyDescent="0.25">
      <c r="A3099">
        <v>2636</v>
      </c>
      <c r="B3099" t="s">
        <v>5285</v>
      </c>
      <c r="C3099">
        <v>37.210365585600002</v>
      </c>
      <c r="D3099">
        <v>-7.0427242462599997</v>
      </c>
      <c r="E3099">
        <v>3</v>
      </c>
      <c r="F3099">
        <v>4</v>
      </c>
      <c r="G3099">
        <v>3</v>
      </c>
      <c r="J3099" t="s">
        <v>15</v>
      </c>
      <c r="K3099">
        <v>3</v>
      </c>
      <c r="L3099">
        <v>3.161</v>
      </c>
      <c r="M3099">
        <v>0</v>
      </c>
      <c r="N3099" t="s">
        <v>10019</v>
      </c>
      <c r="O3099" t="str">
        <f>HYPERLINK("3\1\marker_314_961579.png", "Ver Imagen")</f>
        <v>Ver Imagen</v>
      </c>
      <c r="P3099" t="str">
        <f>HYPERLINK("SE\A-5052\A-5052__337.png", "Ver Imagen")</f>
        <v>Ver Imagen</v>
      </c>
    </row>
    <row r="3100" spans="1:16" x14ac:dyDescent="0.25">
      <c r="A3100">
        <v>2637</v>
      </c>
      <c r="B3100" t="s">
        <v>5287</v>
      </c>
      <c r="C3100">
        <v>37.208973028300001</v>
      </c>
      <c r="D3100">
        <v>-7.0390393813200003</v>
      </c>
      <c r="E3100">
        <v>3</v>
      </c>
      <c r="F3100">
        <v>3</v>
      </c>
      <c r="G3100">
        <v>4</v>
      </c>
      <c r="J3100" t="s">
        <v>15</v>
      </c>
      <c r="K3100">
        <v>3</v>
      </c>
      <c r="L3100">
        <v>3.1520000000000001</v>
      </c>
      <c r="M3100">
        <v>0</v>
      </c>
      <c r="N3100" t="s">
        <v>10019</v>
      </c>
      <c r="O3100" t="str">
        <f>HYPERLINK("3\1\marker_143_961776.png", "Ver Imagen")</f>
        <v>Ver Imagen</v>
      </c>
      <c r="P3100" t="str">
        <f>HYPERLINK("SE\A-5052\A-5052__353.png", "Ver Imagen")</f>
        <v>Ver Imagen</v>
      </c>
    </row>
    <row r="3101" spans="1:16" x14ac:dyDescent="0.25">
      <c r="A3101">
        <v>2639</v>
      </c>
      <c r="B3101" t="s">
        <v>5291</v>
      </c>
      <c r="C3101">
        <v>37.206604644700001</v>
      </c>
      <c r="D3101">
        <v>-7.0329082924900002</v>
      </c>
      <c r="E3101">
        <v>3</v>
      </c>
      <c r="F3101">
        <v>3</v>
      </c>
      <c r="G3101">
        <v>4</v>
      </c>
      <c r="J3101" t="s">
        <v>15</v>
      </c>
      <c r="K3101">
        <v>3</v>
      </c>
      <c r="L3101">
        <v>2.8690000000000002</v>
      </c>
      <c r="M3101">
        <v>0</v>
      </c>
      <c r="N3101" t="s">
        <v>10019</v>
      </c>
      <c r="O3101" t="str">
        <f>HYPERLINK("3\1\marker_269_962475.png", "Ver Imagen")</f>
        <v>Ver Imagen</v>
      </c>
      <c r="P3101" t="str">
        <f>HYPERLINK("SE\A-5052\A-5052__380.png", "Ver Imagen")</f>
        <v>Ver Imagen</v>
      </c>
    </row>
    <row r="3102" spans="1:16" x14ac:dyDescent="0.25">
      <c r="A3102">
        <v>2641</v>
      </c>
      <c r="B3102" t="s">
        <v>5295</v>
      </c>
      <c r="C3102">
        <v>37.278972728699998</v>
      </c>
      <c r="D3102">
        <v>-7.1445904049999998</v>
      </c>
      <c r="E3102">
        <v>3</v>
      </c>
      <c r="F3102">
        <v>4</v>
      </c>
      <c r="G3102">
        <v>3</v>
      </c>
      <c r="J3102" t="s">
        <v>15</v>
      </c>
      <c r="K3102">
        <v>3</v>
      </c>
      <c r="L3102">
        <v>2.6440000000000001</v>
      </c>
      <c r="M3102">
        <v>0</v>
      </c>
      <c r="N3102" t="s">
        <v>10019</v>
      </c>
      <c r="O3102" t="str">
        <f>HYPERLINK("3\1\marker_796_964518.png", "Ver Imagen")</f>
        <v>Ver Imagen</v>
      </c>
      <c r="P3102" t="str">
        <f>HYPERLINK("SO\A-5053\A-5053__325.png", "Ver Imagen")</f>
        <v>Ver Imagen</v>
      </c>
    </row>
    <row r="3103" spans="1:16" x14ac:dyDescent="0.25">
      <c r="A3103">
        <v>2642</v>
      </c>
      <c r="B3103" t="s">
        <v>5297</v>
      </c>
      <c r="C3103">
        <v>37.278074316400001</v>
      </c>
      <c r="D3103">
        <v>-7.1439059360800004</v>
      </c>
      <c r="E3103">
        <v>3</v>
      </c>
      <c r="F3103">
        <v>4</v>
      </c>
      <c r="G3103">
        <v>3</v>
      </c>
      <c r="J3103" t="s">
        <v>15</v>
      </c>
      <c r="K3103">
        <v>3</v>
      </c>
      <c r="L3103">
        <v>2.7130000000000001</v>
      </c>
      <c r="M3103">
        <v>0</v>
      </c>
      <c r="N3103" t="s">
        <v>10019</v>
      </c>
      <c r="O3103" t="str">
        <f>HYPERLINK("3\1\marker_581_964573.png", "Ver Imagen")</f>
        <v>Ver Imagen</v>
      </c>
      <c r="P3103" t="str">
        <f>HYPERLINK("SO\A-5053\A-5053__320.png", "Ver Imagen")</f>
        <v>Ver Imagen</v>
      </c>
    </row>
    <row r="3104" spans="1:16" x14ac:dyDescent="0.25">
      <c r="A3104">
        <v>2643</v>
      </c>
      <c r="B3104" t="s">
        <v>5299</v>
      </c>
      <c r="C3104">
        <v>37.272591361000003</v>
      </c>
      <c r="D3104">
        <v>-7.1415587489699996</v>
      </c>
      <c r="E3104">
        <v>3</v>
      </c>
      <c r="F3104">
        <v>4</v>
      </c>
      <c r="G3104">
        <v>3</v>
      </c>
      <c r="J3104" t="s">
        <v>15</v>
      </c>
      <c r="K3104">
        <v>3</v>
      </c>
      <c r="L3104">
        <v>3.15</v>
      </c>
      <c r="M3104">
        <v>0</v>
      </c>
      <c r="N3104" t="s">
        <v>10019</v>
      </c>
      <c r="O3104" t="str">
        <f>HYPERLINK("3\1\marker_437_964949.png", "Ver Imagen")</f>
        <v>Ver Imagen</v>
      </c>
      <c r="P3104" t="str">
        <f>HYPERLINK("SO\A-5053\A-5053__291.png", "Ver Imagen")</f>
        <v>Ver Imagen</v>
      </c>
    </row>
    <row r="3105" spans="1:16" x14ac:dyDescent="0.25">
      <c r="A3105">
        <v>2644</v>
      </c>
      <c r="B3105" t="s">
        <v>5301</v>
      </c>
      <c r="C3105">
        <v>37.271200797100001</v>
      </c>
      <c r="D3105">
        <v>-7.1404659523699996</v>
      </c>
      <c r="E3105">
        <v>3</v>
      </c>
      <c r="F3105">
        <v>2</v>
      </c>
      <c r="G3105">
        <v>3</v>
      </c>
      <c r="J3105" t="s">
        <v>15</v>
      </c>
      <c r="K3105">
        <v>3</v>
      </c>
      <c r="L3105">
        <v>3.1840000000000002</v>
      </c>
      <c r="M3105">
        <v>0</v>
      </c>
      <c r="N3105" t="s">
        <v>10019</v>
      </c>
      <c r="O3105" t="str">
        <f>HYPERLINK("3\1\marker_370_965032.png", "Ver Imagen")</f>
        <v>Ver Imagen</v>
      </c>
      <c r="P3105" t="str">
        <f>HYPERLINK("SO\A-5053\A-5053__283.png", "Ver Imagen")</f>
        <v>Ver Imagen</v>
      </c>
    </row>
    <row r="3106" spans="1:16" x14ac:dyDescent="0.25">
      <c r="A3106">
        <v>2645</v>
      </c>
      <c r="B3106" t="s">
        <v>5303</v>
      </c>
      <c r="C3106">
        <v>37.270510628799997</v>
      </c>
      <c r="D3106">
        <v>-7.1399408145400001</v>
      </c>
      <c r="E3106">
        <v>3</v>
      </c>
      <c r="F3106">
        <v>4</v>
      </c>
      <c r="G3106">
        <v>3</v>
      </c>
      <c r="J3106" t="s">
        <v>15</v>
      </c>
      <c r="K3106">
        <v>3</v>
      </c>
      <c r="L3106">
        <v>2.9910000000000001</v>
      </c>
      <c r="M3106">
        <v>0</v>
      </c>
      <c r="N3106" t="s">
        <v>10019</v>
      </c>
      <c r="O3106" t="str">
        <f>HYPERLINK("3\1\marker_588_965069.png", "Ver Imagen")</f>
        <v>Ver Imagen</v>
      </c>
      <c r="P3106" t="str">
        <f>HYPERLINK("SO\A-5053\A-5053__279.png", "Ver Imagen")</f>
        <v>Ver Imagen</v>
      </c>
    </row>
    <row r="3107" spans="1:16" x14ac:dyDescent="0.25">
      <c r="A3107">
        <v>2646</v>
      </c>
      <c r="B3107" t="s">
        <v>5305</v>
      </c>
      <c r="C3107">
        <v>37.264116595899999</v>
      </c>
      <c r="D3107">
        <v>-7.13167178458</v>
      </c>
      <c r="E3107">
        <v>3</v>
      </c>
      <c r="F3107">
        <v>4</v>
      </c>
      <c r="G3107">
        <v>3</v>
      </c>
      <c r="J3107" t="s">
        <v>15</v>
      </c>
      <c r="K3107">
        <v>3</v>
      </c>
      <c r="L3107">
        <v>3.0670000000000002</v>
      </c>
      <c r="M3107">
        <v>0</v>
      </c>
      <c r="N3107" t="s">
        <v>10019</v>
      </c>
      <c r="O3107" t="str">
        <f>HYPERLINK("3\1\marker_208_965585.png", "Ver Imagen")</f>
        <v>Ver Imagen</v>
      </c>
      <c r="P3107" t="str">
        <f>HYPERLINK("SO\A-5053\A-5053__231.png", "Ver Imagen")</f>
        <v>Ver Imagen</v>
      </c>
    </row>
    <row r="3108" spans="1:16" x14ac:dyDescent="0.25">
      <c r="A3108">
        <v>2647</v>
      </c>
      <c r="B3108" t="s">
        <v>5307</v>
      </c>
      <c r="C3108">
        <v>37.262132517300003</v>
      </c>
      <c r="D3108">
        <v>-7.1304248109300001</v>
      </c>
      <c r="E3108">
        <v>3</v>
      </c>
      <c r="F3108">
        <v>4</v>
      </c>
      <c r="G3108">
        <v>3</v>
      </c>
      <c r="J3108" t="s">
        <v>15</v>
      </c>
      <c r="K3108">
        <v>3</v>
      </c>
      <c r="L3108">
        <v>2.722</v>
      </c>
      <c r="M3108">
        <v>0</v>
      </c>
      <c r="N3108" t="s">
        <v>10019</v>
      </c>
      <c r="O3108" t="str">
        <f>HYPERLINK("3\1\marker_343_965687.png", "Ver Imagen")</f>
        <v>Ver Imagen</v>
      </c>
      <c r="P3108" t="str">
        <f>HYPERLINK("SO\A-5053\A-5053__220.png", "Ver Imagen")</f>
        <v>Ver Imagen</v>
      </c>
    </row>
    <row r="3109" spans="1:16" x14ac:dyDescent="0.25">
      <c r="A3109">
        <v>2648</v>
      </c>
      <c r="B3109" t="s">
        <v>5309</v>
      </c>
      <c r="C3109">
        <v>37.261781155800001</v>
      </c>
      <c r="D3109">
        <v>-7.1302030624399997</v>
      </c>
      <c r="E3109">
        <v>3</v>
      </c>
      <c r="F3109">
        <v>4</v>
      </c>
      <c r="G3109">
        <v>3</v>
      </c>
      <c r="J3109" t="s">
        <v>15</v>
      </c>
      <c r="K3109">
        <v>3</v>
      </c>
      <c r="L3109">
        <v>3.0310000000000001</v>
      </c>
      <c r="M3109">
        <v>0</v>
      </c>
      <c r="N3109" t="s">
        <v>10019</v>
      </c>
      <c r="O3109" t="str">
        <f>HYPERLINK("3\1\marker_611_965709.png", "Ver Imagen")</f>
        <v>Ver Imagen</v>
      </c>
      <c r="P3109" t="str">
        <f>HYPERLINK("SO\A-5053\A-5053__218.png", "Ver Imagen")</f>
        <v>Ver Imagen</v>
      </c>
    </row>
    <row r="3110" spans="1:16" x14ac:dyDescent="0.25">
      <c r="A3110">
        <v>2649</v>
      </c>
      <c r="B3110" t="s">
        <v>5311</v>
      </c>
      <c r="C3110">
        <v>37.261291098800001</v>
      </c>
      <c r="D3110">
        <v>-7.1297951528499999</v>
      </c>
      <c r="E3110">
        <v>4</v>
      </c>
      <c r="F3110">
        <v>3</v>
      </c>
      <c r="G3110">
        <v>3</v>
      </c>
      <c r="J3110" t="s">
        <v>15</v>
      </c>
      <c r="K3110">
        <v>3</v>
      </c>
      <c r="L3110">
        <v>3.1520000000000001</v>
      </c>
      <c r="M3110">
        <v>0</v>
      </c>
      <c r="N3110" t="s">
        <v>10019</v>
      </c>
      <c r="O3110" t="str">
        <f>HYPERLINK("3\1\marker_649_965737.png", "Ver Imagen")</f>
        <v>Ver Imagen</v>
      </c>
      <c r="P3110" t="str">
        <f>HYPERLINK("SO\A-5053\A-5053__215.png", "Ver Imagen")</f>
        <v>Ver Imagen</v>
      </c>
    </row>
    <row r="3111" spans="1:16" x14ac:dyDescent="0.25">
      <c r="A3111">
        <v>2650</v>
      </c>
      <c r="B3111" t="s">
        <v>5313</v>
      </c>
      <c r="C3111">
        <v>37.260910159300003</v>
      </c>
      <c r="D3111">
        <v>-7.1295693149600003</v>
      </c>
      <c r="E3111">
        <v>4</v>
      </c>
      <c r="F3111">
        <v>3</v>
      </c>
      <c r="G3111">
        <v>3</v>
      </c>
      <c r="J3111" t="s">
        <v>15</v>
      </c>
      <c r="K3111">
        <v>3</v>
      </c>
      <c r="L3111">
        <v>2.9580000000000002</v>
      </c>
      <c r="M3111">
        <v>0</v>
      </c>
      <c r="N3111" t="s">
        <v>10019</v>
      </c>
      <c r="O3111" t="str">
        <f>HYPERLINK("3\1\marker_959_965758.png", "Ver Imagen")</f>
        <v>Ver Imagen</v>
      </c>
      <c r="P3111" t="str">
        <f>HYPERLINK("SO\A-5053\A-5053__213.png", "Ver Imagen")</f>
        <v>Ver Imagen</v>
      </c>
    </row>
    <row r="3112" spans="1:16" x14ac:dyDescent="0.25">
      <c r="A3112">
        <v>2651</v>
      </c>
      <c r="B3112" t="s">
        <v>5315</v>
      </c>
      <c r="C3112">
        <v>37.260134261200001</v>
      </c>
      <c r="D3112">
        <v>-7.1291543153300001</v>
      </c>
      <c r="E3112">
        <v>3</v>
      </c>
      <c r="F3112">
        <v>3</v>
      </c>
      <c r="G3112">
        <v>2</v>
      </c>
      <c r="J3112" t="s">
        <v>15</v>
      </c>
      <c r="K3112">
        <v>3</v>
      </c>
      <c r="L3112">
        <v>2.8780000000000001</v>
      </c>
      <c r="M3112">
        <v>0</v>
      </c>
      <c r="N3112" t="s">
        <v>10019</v>
      </c>
      <c r="O3112" t="str">
        <f>HYPERLINK("3\1\marker_102_965801.png", "Ver Imagen")</f>
        <v>Ver Imagen</v>
      </c>
      <c r="P3112" t="str">
        <f>HYPERLINK("SO\A-5053\A-5053__209.png", "Ver Imagen")</f>
        <v>Ver Imagen</v>
      </c>
    </row>
    <row r="3113" spans="1:16" x14ac:dyDescent="0.25">
      <c r="A3113">
        <v>2652</v>
      </c>
      <c r="B3113" t="s">
        <v>5317</v>
      </c>
      <c r="C3113">
        <v>37.249305960299999</v>
      </c>
      <c r="D3113">
        <v>-7.1273858109499999</v>
      </c>
      <c r="E3113">
        <v>3</v>
      </c>
      <c r="F3113">
        <v>2</v>
      </c>
      <c r="G3113">
        <v>3</v>
      </c>
      <c r="J3113" t="s">
        <v>15</v>
      </c>
      <c r="K3113">
        <v>3</v>
      </c>
      <c r="L3113">
        <v>2.98</v>
      </c>
      <c r="M3113">
        <v>0</v>
      </c>
      <c r="N3113" t="s">
        <v>10019</v>
      </c>
      <c r="O3113" t="str">
        <f>HYPERLINK("3\1\marker_783_966358.png", "Ver Imagen")</f>
        <v>Ver Imagen</v>
      </c>
      <c r="P3113" t="str">
        <f>HYPERLINK("SO\A-5053\A-5053__153.png", "Ver Imagen")</f>
        <v>Ver Imagen</v>
      </c>
    </row>
    <row r="3114" spans="1:16" x14ac:dyDescent="0.25">
      <c r="A3114">
        <v>2653</v>
      </c>
      <c r="B3114" t="s">
        <v>5319</v>
      </c>
      <c r="C3114">
        <v>37.238428462599998</v>
      </c>
      <c r="D3114">
        <v>-7.1284173978599998</v>
      </c>
      <c r="E3114">
        <v>3</v>
      </c>
      <c r="F3114">
        <v>2</v>
      </c>
      <c r="G3114">
        <v>3</v>
      </c>
      <c r="J3114" t="s">
        <v>15</v>
      </c>
      <c r="K3114">
        <v>3</v>
      </c>
      <c r="L3114">
        <v>2.794</v>
      </c>
      <c r="M3114">
        <v>0</v>
      </c>
      <c r="N3114" t="s">
        <v>10019</v>
      </c>
      <c r="O3114" t="str">
        <f>HYPERLINK("3\1\marker_686_019823.png", "Ver Imagen")</f>
        <v>Ver Imagen</v>
      </c>
      <c r="P3114" t="str">
        <f>HYPERLINK("SO\A-5053\A-5053__99.png", "Ver Imagen")</f>
        <v>Ver Imagen</v>
      </c>
    </row>
    <row r="3115" spans="1:16" x14ac:dyDescent="0.25">
      <c r="A3115">
        <v>2654</v>
      </c>
      <c r="B3115" t="s">
        <v>5321</v>
      </c>
      <c r="C3115">
        <v>37.2280631609</v>
      </c>
      <c r="D3115">
        <v>-7.12674873942</v>
      </c>
      <c r="E3115">
        <v>4</v>
      </c>
      <c r="F3115">
        <v>3</v>
      </c>
      <c r="G3115">
        <v>3</v>
      </c>
      <c r="J3115" t="s">
        <v>15</v>
      </c>
      <c r="K3115">
        <v>3</v>
      </c>
      <c r="L3115">
        <v>2.883</v>
      </c>
      <c r="M3115">
        <v>0</v>
      </c>
      <c r="N3115" t="s">
        <v>10019</v>
      </c>
      <c r="O3115" t="str">
        <f>HYPERLINK("3\1\marker_271_021029.png", "Ver Imagen")</f>
        <v>Ver Imagen</v>
      </c>
      <c r="P3115" t="str">
        <f>HYPERLINK("SO\A-5053\A-5053__47.png", "Ver Imagen")</f>
        <v>Ver Imagen</v>
      </c>
    </row>
    <row r="3116" spans="1:16" x14ac:dyDescent="0.25">
      <c r="A3116">
        <v>2655</v>
      </c>
      <c r="B3116" t="s">
        <v>5323</v>
      </c>
      <c r="C3116">
        <v>37.221297019700003</v>
      </c>
      <c r="D3116">
        <v>-7.1256420818499997</v>
      </c>
      <c r="E3116">
        <v>4</v>
      </c>
      <c r="F3116">
        <v>3</v>
      </c>
      <c r="G3116">
        <v>3</v>
      </c>
      <c r="J3116" t="s">
        <v>15</v>
      </c>
      <c r="K3116">
        <v>3</v>
      </c>
      <c r="L3116">
        <v>2.762</v>
      </c>
      <c r="M3116">
        <v>0</v>
      </c>
      <c r="N3116" t="s">
        <v>10019</v>
      </c>
      <c r="O3116" t="str">
        <f>HYPERLINK("3\1\marker_802_025082.png", "Ver Imagen")</f>
        <v>Ver Imagen</v>
      </c>
      <c r="P3116" t="str">
        <f>HYPERLINK("SO\A-5053\A-5053__12.png", "Ver Imagen")</f>
        <v>Ver Imagen</v>
      </c>
    </row>
    <row r="3117" spans="1:16" x14ac:dyDescent="0.25">
      <c r="A3117">
        <v>2656</v>
      </c>
      <c r="B3117" t="s">
        <v>5325</v>
      </c>
      <c r="C3117">
        <v>37.443407327300001</v>
      </c>
      <c r="D3117">
        <v>-7.0955173474000004</v>
      </c>
      <c r="E3117">
        <v>3</v>
      </c>
      <c r="F3117">
        <v>2</v>
      </c>
      <c r="G3117">
        <v>3</v>
      </c>
      <c r="J3117" t="s">
        <v>15</v>
      </c>
      <c r="K3117">
        <v>3</v>
      </c>
      <c r="L3117">
        <v>2.8039999999999998</v>
      </c>
      <c r="M3117">
        <v>0</v>
      </c>
      <c r="N3117" t="s">
        <v>10019</v>
      </c>
      <c r="O3117" t="str">
        <f>HYPERLINK("3\1\marker_606_381265.png", "Ver Imagen")</f>
        <v>Ver Imagen</v>
      </c>
      <c r="P3117" t="str">
        <f>HYPERLINK("NE\A-495\A-495__20.png", "Ver Imagen")</f>
        <v>Ver Imagen</v>
      </c>
    </row>
    <row r="3118" spans="1:16" x14ac:dyDescent="0.25">
      <c r="A3118">
        <v>2657</v>
      </c>
      <c r="B3118" t="s">
        <v>5327</v>
      </c>
      <c r="C3118">
        <v>37.441371554299998</v>
      </c>
      <c r="D3118">
        <v>-7.0905430911899998</v>
      </c>
      <c r="E3118">
        <v>3</v>
      </c>
      <c r="F3118">
        <v>2</v>
      </c>
      <c r="G3118">
        <v>3</v>
      </c>
      <c r="J3118" t="s">
        <v>15</v>
      </c>
      <c r="K3118">
        <v>3</v>
      </c>
      <c r="L3118">
        <v>3.01</v>
      </c>
      <c r="M3118">
        <v>0</v>
      </c>
      <c r="N3118" t="s">
        <v>10019</v>
      </c>
      <c r="O3118" t="str">
        <f>HYPERLINK("3\1\marker_206_381530.png", "Ver Imagen")</f>
        <v>Ver Imagen</v>
      </c>
      <c r="P3118" t="str">
        <f>HYPERLINK("NE\A-495\A-495__42.png", "Ver Imagen")</f>
        <v>Ver Imagen</v>
      </c>
    </row>
    <row r="3119" spans="1:16" x14ac:dyDescent="0.25">
      <c r="A3119">
        <v>2658</v>
      </c>
      <c r="B3119" t="s">
        <v>5329</v>
      </c>
      <c r="C3119">
        <v>37.441269656199999</v>
      </c>
      <c r="D3119">
        <v>-7.0903248826</v>
      </c>
      <c r="E3119">
        <v>3</v>
      </c>
      <c r="F3119">
        <v>2</v>
      </c>
      <c r="G3119">
        <v>3</v>
      </c>
      <c r="J3119" t="s">
        <v>15</v>
      </c>
      <c r="K3119">
        <v>3</v>
      </c>
      <c r="L3119">
        <v>2.7970000000000002</v>
      </c>
      <c r="M3119">
        <v>0</v>
      </c>
      <c r="N3119" t="s">
        <v>10019</v>
      </c>
      <c r="O3119" t="str">
        <f>HYPERLINK("3\1\marker_469_381543.png", "Ver Imagen")</f>
        <v>Ver Imagen</v>
      </c>
      <c r="P3119" t="str">
        <f>HYPERLINK("NE\A-495\A-495__43.png", "Ver Imagen")</f>
        <v>Ver Imagen</v>
      </c>
    </row>
    <row r="3120" spans="1:16" x14ac:dyDescent="0.25">
      <c r="A3120">
        <v>2659</v>
      </c>
      <c r="B3120" t="s">
        <v>5331</v>
      </c>
      <c r="C3120">
        <v>37.227130243300003</v>
      </c>
      <c r="D3120">
        <v>-7.0607849171600003</v>
      </c>
      <c r="E3120">
        <v>3</v>
      </c>
      <c r="F3120">
        <v>2</v>
      </c>
      <c r="G3120">
        <v>3</v>
      </c>
      <c r="J3120" t="s">
        <v>15</v>
      </c>
      <c r="K3120">
        <v>3</v>
      </c>
      <c r="L3120">
        <v>3.11</v>
      </c>
      <c r="M3120">
        <v>0</v>
      </c>
      <c r="N3120" t="s">
        <v>10019</v>
      </c>
      <c r="O3120" t="str">
        <f>HYPERLINK("3\1\marker_244_379286.png", "Ver Imagen")</f>
        <v>Ver Imagen</v>
      </c>
      <c r="P3120" t="str">
        <f>HYPERLINK("SE\A-5059\A-5059__41.png", "Ver Imagen")</f>
        <v>Ver Imagen</v>
      </c>
    </row>
    <row r="3121" spans="1:16" x14ac:dyDescent="0.25">
      <c r="A3121">
        <v>2660</v>
      </c>
      <c r="B3121" t="s">
        <v>5333</v>
      </c>
      <c r="C3121">
        <v>37.227505252699999</v>
      </c>
      <c r="D3121">
        <v>-7.0609610149500002</v>
      </c>
      <c r="E3121">
        <v>3</v>
      </c>
      <c r="F3121">
        <v>2</v>
      </c>
      <c r="G3121">
        <v>3</v>
      </c>
      <c r="J3121" t="s">
        <v>15</v>
      </c>
      <c r="K3121">
        <v>3</v>
      </c>
      <c r="L3121">
        <v>2.9540000000000002</v>
      </c>
      <c r="M3121">
        <v>0</v>
      </c>
      <c r="N3121" t="s">
        <v>10017</v>
      </c>
      <c r="O3121" t="str">
        <f>HYPERLINK("3\1\marker_168_379304.png", "Ver Imagen")</f>
        <v>Ver Imagen</v>
      </c>
      <c r="P3121" t="str">
        <f>HYPERLINK("SE\A-5059\A-5059__39.png", "Ver Imagen")</f>
        <v>Ver Imagen</v>
      </c>
    </row>
    <row r="3122" spans="1:16" x14ac:dyDescent="0.25">
      <c r="A3122">
        <v>2661</v>
      </c>
      <c r="B3122" t="s">
        <v>5335</v>
      </c>
      <c r="C3122">
        <v>37.229101829599998</v>
      </c>
      <c r="D3122">
        <v>-7.0625196492400004</v>
      </c>
      <c r="E3122">
        <v>3</v>
      </c>
      <c r="F3122">
        <v>2</v>
      </c>
      <c r="G3122">
        <v>3</v>
      </c>
      <c r="J3122" t="s">
        <v>15</v>
      </c>
      <c r="K3122">
        <v>3</v>
      </c>
      <c r="L3122">
        <v>2.7930000000000001</v>
      </c>
      <c r="M3122">
        <v>0</v>
      </c>
      <c r="N3122" t="s">
        <v>10019</v>
      </c>
      <c r="O3122" t="str">
        <f>HYPERLINK("3\1\marker_659_379413.png", "Ver Imagen")</f>
        <v>Ver Imagen</v>
      </c>
      <c r="P3122" t="str">
        <f>HYPERLINK("SE\A-5059\A-5059__29.png", "Ver Imagen")</f>
        <v>Ver Imagen</v>
      </c>
    </row>
    <row r="3123" spans="1:16" x14ac:dyDescent="0.25">
      <c r="A3123">
        <v>2662</v>
      </c>
      <c r="B3123" t="s">
        <v>5337</v>
      </c>
      <c r="C3123">
        <v>37.229217987299997</v>
      </c>
      <c r="D3123">
        <v>-7.0626515380599999</v>
      </c>
      <c r="E3123">
        <v>3</v>
      </c>
      <c r="F3123">
        <v>2</v>
      </c>
      <c r="G3123">
        <v>3</v>
      </c>
      <c r="J3123" t="s">
        <v>15</v>
      </c>
      <c r="K3123">
        <v>3</v>
      </c>
      <c r="L3123">
        <v>2.8849999999999998</v>
      </c>
      <c r="M3123">
        <v>0</v>
      </c>
      <c r="N3123" t="s">
        <v>10019</v>
      </c>
      <c r="O3123" t="str">
        <f>HYPERLINK("3\1\marker_200_379421.png", "Ver Imagen")</f>
        <v>Ver Imagen</v>
      </c>
      <c r="P3123" t="str">
        <f>HYPERLINK("SE\A-5059\A-5059__28.png", "Ver Imagen")</f>
        <v>Ver Imagen</v>
      </c>
    </row>
    <row r="3124" spans="1:16" x14ac:dyDescent="0.25">
      <c r="A3124">
        <v>2663</v>
      </c>
      <c r="B3124" t="s">
        <v>5339</v>
      </c>
      <c r="C3124">
        <v>37.229564044999996</v>
      </c>
      <c r="D3124">
        <v>-7.0629851321299997</v>
      </c>
      <c r="E3124">
        <v>3</v>
      </c>
      <c r="F3124">
        <v>2</v>
      </c>
      <c r="G3124">
        <v>3</v>
      </c>
      <c r="J3124" t="s">
        <v>15</v>
      </c>
      <c r="K3124">
        <v>3</v>
      </c>
      <c r="L3124">
        <v>2.9820000000000002</v>
      </c>
      <c r="M3124">
        <v>0</v>
      </c>
      <c r="N3124" t="s">
        <v>10019</v>
      </c>
      <c r="O3124" t="str">
        <f>HYPERLINK("3\1\marker_428_379439.png", "Ver Imagen")</f>
        <v>Ver Imagen</v>
      </c>
      <c r="P3124" t="str">
        <f>HYPERLINK("SE\A-5059\A-5059__26.png", "Ver Imagen")</f>
        <v>Ver Imagen</v>
      </c>
    </row>
    <row r="3125" spans="1:16" x14ac:dyDescent="0.25">
      <c r="A3125">
        <v>2664</v>
      </c>
      <c r="B3125" t="s">
        <v>5341</v>
      </c>
      <c r="C3125">
        <v>37.2299189473</v>
      </c>
      <c r="D3125">
        <v>-7.0632038130900003</v>
      </c>
      <c r="E3125">
        <v>3</v>
      </c>
      <c r="F3125">
        <v>2</v>
      </c>
      <c r="G3125">
        <v>3</v>
      </c>
      <c r="J3125" t="s">
        <v>15</v>
      </c>
      <c r="K3125">
        <v>3</v>
      </c>
      <c r="L3125">
        <v>3.0350000000000001</v>
      </c>
      <c r="M3125">
        <v>0</v>
      </c>
      <c r="N3125" t="s">
        <v>10019</v>
      </c>
      <c r="O3125" t="str">
        <f>HYPERLINK("3\1\marker_780_379456.png", "Ver Imagen")</f>
        <v>Ver Imagen</v>
      </c>
      <c r="P3125" t="str">
        <f>HYPERLINK("SE\A-5059\A-5059__24.png", "Ver Imagen")</f>
        <v>Ver Imagen</v>
      </c>
    </row>
    <row r="3126" spans="1:16" x14ac:dyDescent="0.25">
      <c r="A3126">
        <v>2665</v>
      </c>
      <c r="B3126" t="s">
        <v>5343</v>
      </c>
      <c r="C3126">
        <v>37.2301140629</v>
      </c>
      <c r="D3126">
        <v>-7.0632771997299999</v>
      </c>
      <c r="E3126">
        <v>3</v>
      </c>
      <c r="F3126">
        <v>2</v>
      </c>
      <c r="G3126">
        <v>3</v>
      </c>
      <c r="J3126" t="s">
        <v>15</v>
      </c>
      <c r="K3126">
        <v>3</v>
      </c>
      <c r="L3126">
        <v>2.7189999999999999</v>
      </c>
      <c r="M3126">
        <v>0</v>
      </c>
      <c r="N3126" t="s">
        <v>10019</v>
      </c>
      <c r="O3126" t="str">
        <f>HYPERLINK("3\1\marker_225_379465.png", "Ver Imagen")</f>
        <v>Ver Imagen</v>
      </c>
      <c r="P3126" t="str">
        <f>HYPERLINK("SE\A-5059\A-5059__23.png", "Ver Imagen")</f>
        <v>Ver Imagen</v>
      </c>
    </row>
    <row r="3127" spans="1:16" x14ac:dyDescent="0.25">
      <c r="A3127">
        <v>2667</v>
      </c>
      <c r="B3127" t="s">
        <v>5347</v>
      </c>
      <c r="C3127">
        <v>37.231834302199999</v>
      </c>
      <c r="D3127">
        <v>-7.0639694935800001</v>
      </c>
      <c r="E3127">
        <v>3</v>
      </c>
      <c r="F3127">
        <v>2</v>
      </c>
      <c r="G3127">
        <v>3</v>
      </c>
      <c r="J3127" t="s">
        <v>15</v>
      </c>
      <c r="K3127">
        <v>3</v>
      </c>
      <c r="L3127">
        <v>3.1379999999999999</v>
      </c>
      <c r="M3127">
        <v>0</v>
      </c>
      <c r="N3127" t="s">
        <v>10019</v>
      </c>
      <c r="O3127" t="str">
        <f>HYPERLINK("3\1\marker_345_379545.png", "Ver Imagen")</f>
        <v>Ver Imagen</v>
      </c>
      <c r="P3127" t="str">
        <f>HYPERLINK("SE\A-5059\A-5059__14.png", "Ver Imagen")</f>
        <v>Ver Imagen</v>
      </c>
    </row>
    <row r="3128" spans="1:16" x14ac:dyDescent="0.25">
      <c r="A3128">
        <v>2668</v>
      </c>
      <c r="B3128" t="s">
        <v>5349</v>
      </c>
      <c r="C3128">
        <v>37.232424460899999</v>
      </c>
      <c r="D3128">
        <v>-7.0646542853899996</v>
      </c>
      <c r="E3128">
        <v>3</v>
      </c>
      <c r="F3128">
        <v>2</v>
      </c>
      <c r="G3128">
        <v>3</v>
      </c>
      <c r="J3128" t="s">
        <v>15</v>
      </c>
      <c r="K3128">
        <v>3</v>
      </c>
      <c r="L3128">
        <v>2.754</v>
      </c>
      <c r="M3128">
        <v>0</v>
      </c>
      <c r="N3128" t="s">
        <v>10017</v>
      </c>
      <c r="O3128" t="str">
        <f>HYPERLINK("3\1\marker_509_379582.png", "Ver Imagen")</f>
        <v>Ver Imagen</v>
      </c>
      <c r="P3128" t="str">
        <f>HYPERLINK("SE\A-5059\A-5059__10.png", "Ver Imagen")</f>
        <v>Ver Imagen</v>
      </c>
    </row>
    <row r="3129" spans="1:16" x14ac:dyDescent="0.25">
      <c r="A3129">
        <v>2669</v>
      </c>
      <c r="B3129" t="s">
        <v>5351</v>
      </c>
      <c r="C3129">
        <v>37.432503064199999</v>
      </c>
      <c r="D3129">
        <v>-7.0639438059400002</v>
      </c>
      <c r="E3129">
        <v>3</v>
      </c>
      <c r="F3129">
        <v>4</v>
      </c>
      <c r="G3129">
        <v>3</v>
      </c>
      <c r="J3129" t="s">
        <v>15</v>
      </c>
      <c r="K3129">
        <v>3</v>
      </c>
      <c r="L3129">
        <v>2.7850000000000001</v>
      </c>
      <c r="M3129">
        <v>0</v>
      </c>
      <c r="N3129" t="s">
        <v>10019</v>
      </c>
      <c r="O3129" t="str">
        <f>HYPERLINK("3\1\marker_607_382792.png", "Ver Imagen")</f>
        <v>Ver Imagen</v>
      </c>
      <c r="P3129" t="str">
        <f>HYPERLINK("NE\A-495\A-495__159.png", "Ver Imagen")</f>
        <v>Ver Imagen</v>
      </c>
    </row>
    <row r="3130" spans="1:16" x14ac:dyDescent="0.25">
      <c r="A3130">
        <v>2670</v>
      </c>
      <c r="B3130" t="s">
        <v>5353</v>
      </c>
      <c r="C3130">
        <v>37.225321264800002</v>
      </c>
      <c r="D3130">
        <v>-7.0290248911699997</v>
      </c>
      <c r="E3130">
        <v>3</v>
      </c>
      <c r="F3130">
        <v>2</v>
      </c>
      <c r="G3130">
        <v>3</v>
      </c>
      <c r="J3130" t="s">
        <v>15</v>
      </c>
      <c r="K3130">
        <v>3</v>
      </c>
      <c r="L3130">
        <v>2.6120000000000001</v>
      </c>
      <c r="M3130">
        <v>0</v>
      </c>
      <c r="N3130" t="s">
        <v>10018</v>
      </c>
      <c r="O3130" t="str">
        <f>HYPERLINK("3\1\marker_908_379881.png", "Ver Imagen")</f>
        <v>Ver Imagen</v>
      </c>
      <c r="P3130" t="str">
        <f>HYPERLINK("SE\A-5058\A-5058__7.png", "Ver Imagen")</f>
        <v>Ver Imagen</v>
      </c>
    </row>
    <row r="3131" spans="1:16" x14ac:dyDescent="0.25">
      <c r="A3131">
        <v>2671</v>
      </c>
      <c r="B3131" t="s">
        <v>5355</v>
      </c>
      <c r="C3131">
        <v>37.225298379999998</v>
      </c>
      <c r="D3131">
        <v>-7.0310635133400003</v>
      </c>
      <c r="E3131">
        <v>3</v>
      </c>
      <c r="F3131">
        <v>2</v>
      </c>
      <c r="G3131">
        <v>3</v>
      </c>
      <c r="J3131" t="s">
        <v>15</v>
      </c>
      <c r="K3131">
        <v>3</v>
      </c>
      <c r="L3131">
        <v>3.2410000000000001</v>
      </c>
      <c r="M3131">
        <v>0</v>
      </c>
      <c r="N3131" t="s">
        <v>10019</v>
      </c>
      <c r="O3131" t="str">
        <f>HYPERLINK("3\1\marker_351_379993.png", "Ver Imagen")</f>
        <v>Ver Imagen</v>
      </c>
      <c r="P3131" t="str">
        <f>HYPERLINK("SE\A-5058\A-5058__15.png", "Ver Imagen")</f>
        <v>Ver Imagen</v>
      </c>
    </row>
    <row r="3132" spans="1:16" x14ac:dyDescent="0.25">
      <c r="A3132">
        <v>2672</v>
      </c>
      <c r="B3132" t="s">
        <v>5357</v>
      </c>
      <c r="C3132">
        <v>37.224901430899997</v>
      </c>
      <c r="D3132">
        <v>-7.03352448463</v>
      </c>
      <c r="E3132">
        <v>3</v>
      </c>
      <c r="F3132">
        <v>2</v>
      </c>
      <c r="G3132">
        <v>3</v>
      </c>
      <c r="J3132" t="s">
        <v>15</v>
      </c>
      <c r="K3132">
        <v>3</v>
      </c>
      <c r="L3132">
        <v>2.72</v>
      </c>
      <c r="M3132">
        <v>0</v>
      </c>
      <c r="N3132" t="s">
        <v>10017</v>
      </c>
      <c r="O3132" t="str">
        <f>HYPERLINK("3\1\marker_366_380136.png", "Ver Imagen")</f>
        <v>Ver Imagen</v>
      </c>
      <c r="P3132" t="str">
        <f>HYPERLINK("SE\A-5058\A-5058__25.png", "Ver Imagen")</f>
        <v>Ver Imagen</v>
      </c>
    </row>
    <row r="3133" spans="1:16" x14ac:dyDescent="0.25">
      <c r="A3133">
        <v>2674</v>
      </c>
      <c r="B3133" t="s">
        <v>5361</v>
      </c>
      <c r="C3133">
        <v>37.224641961700002</v>
      </c>
      <c r="D3133">
        <v>-7.0353407971699999</v>
      </c>
      <c r="E3133">
        <v>4</v>
      </c>
      <c r="F3133">
        <v>3</v>
      </c>
      <c r="G3133">
        <v>3</v>
      </c>
      <c r="J3133" t="s">
        <v>15</v>
      </c>
      <c r="K3133">
        <v>3</v>
      </c>
      <c r="L3133">
        <v>3.4359999999999999</v>
      </c>
      <c r="M3133">
        <v>0</v>
      </c>
      <c r="N3133" t="s">
        <v>10017</v>
      </c>
      <c r="O3133" t="str">
        <f>HYPERLINK("3\1\marker_163_380223.png", "Ver Imagen")</f>
        <v>Ver Imagen</v>
      </c>
      <c r="P3133" t="str">
        <f>HYPERLINK("SE\A-5058\A-5058__33.png", "Ver Imagen")</f>
        <v>Ver Imagen</v>
      </c>
    </row>
    <row r="3134" spans="1:16" x14ac:dyDescent="0.25">
      <c r="A3134">
        <v>2675</v>
      </c>
      <c r="B3134" t="s">
        <v>5363</v>
      </c>
      <c r="C3134">
        <v>37.224651399300001</v>
      </c>
      <c r="D3134">
        <v>-7.0355992339800002</v>
      </c>
      <c r="E3134">
        <v>4</v>
      </c>
      <c r="F3134">
        <v>3</v>
      </c>
      <c r="G3134">
        <v>3</v>
      </c>
      <c r="J3134" t="s">
        <v>15</v>
      </c>
      <c r="K3134">
        <v>3</v>
      </c>
      <c r="L3134">
        <v>2.8490000000000002</v>
      </c>
      <c r="M3134">
        <v>0</v>
      </c>
      <c r="N3134" t="s">
        <v>10019</v>
      </c>
      <c r="O3134" t="str">
        <f>HYPERLINK("3\1\marker_967_380234.png", "Ver Imagen")</f>
        <v>Ver Imagen</v>
      </c>
      <c r="P3134" t="str">
        <f>HYPERLINK("SE\A-5058\A-5058__34.png", "Ver Imagen")</f>
        <v>Ver Imagen</v>
      </c>
    </row>
    <row r="3135" spans="1:16" x14ac:dyDescent="0.25">
      <c r="A3135">
        <v>2676</v>
      </c>
      <c r="B3135" t="s">
        <v>5365</v>
      </c>
      <c r="C3135">
        <v>37.224585938799997</v>
      </c>
      <c r="D3135">
        <v>-7.0357880652900002</v>
      </c>
      <c r="E3135">
        <v>4</v>
      </c>
      <c r="F3135">
        <v>3</v>
      </c>
      <c r="G3135">
        <v>3</v>
      </c>
      <c r="J3135" t="s">
        <v>15</v>
      </c>
      <c r="K3135">
        <v>3</v>
      </c>
      <c r="L3135">
        <v>2.9630000000000001</v>
      </c>
      <c r="M3135">
        <v>0</v>
      </c>
      <c r="N3135" t="s">
        <v>10019</v>
      </c>
      <c r="O3135" t="str">
        <f>HYPERLINK("3\1\marker_680_380244.png", "Ver Imagen")</f>
        <v>Ver Imagen</v>
      </c>
      <c r="P3135" t="str">
        <f>HYPERLINK("SE\A-5058\A-5058__35.png", "Ver Imagen")</f>
        <v>Ver Imagen</v>
      </c>
    </row>
    <row r="3136" spans="1:16" x14ac:dyDescent="0.25">
      <c r="A3136">
        <v>2677</v>
      </c>
      <c r="B3136" t="s">
        <v>5367</v>
      </c>
      <c r="C3136">
        <v>37.224564197500001</v>
      </c>
      <c r="D3136">
        <v>-7.0362266139500003</v>
      </c>
      <c r="E3136">
        <v>3</v>
      </c>
      <c r="F3136">
        <v>2</v>
      </c>
      <c r="G3136">
        <v>3</v>
      </c>
      <c r="J3136" t="s">
        <v>15</v>
      </c>
      <c r="K3136">
        <v>3</v>
      </c>
      <c r="L3136">
        <v>2.9580000000000002</v>
      </c>
      <c r="M3136">
        <v>0</v>
      </c>
      <c r="N3136" t="s">
        <v>10017</v>
      </c>
      <c r="O3136" t="str">
        <f>HYPERLINK("3\1\marker_168_380265.png", "Ver Imagen")</f>
        <v>Ver Imagen</v>
      </c>
      <c r="P3136" t="str">
        <f>HYPERLINK("SE\A-5058\A-5058__37.png", "Ver Imagen")</f>
        <v>Ver Imagen</v>
      </c>
    </row>
    <row r="3137" spans="1:16" x14ac:dyDescent="0.25">
      <c r="A3137">
        <v>2678</v>
      </c>
      <c r="B3137" t="s">
        <v>5369</v>
      </c>
      <c r="C3137">
        <v>37.224636143300003</v>
      </c>
      <c r="D3137">
        <v>-7.0377520217800003</v>
      </c>
      <c r="E3137">
        <v>3</v>
      </c>
      <c r="F3137">
        <v>2</v>
      </c>
      <c r="G3137">
        <v>3</v>
      </c>
      <c r="J3137" t="s">
        <v>15</v>
      </c>
      <c r="K3137">
        <v>3</v>
      </c>
      <c r="L3137">
        <v>2.8809999999999998</v>
      </c>
      <c r="M3137">
        <v>0</v>
      </c>
      <c r="N3137" t="s">
        <v>10019</v>
      </c>
      <c r="O3137" t="str">
        <f>HYPERLINK("3\1\marker_758_380453.png", "Ver Imagen")</f>
        <v>Ver Imagen</v>
      </c>
      <c r="P3137" t="str">
        <f>HYPERLINK("SE\A-5058\A-5058__43.png", "Ver Imagen")</f>
        <v>Ver Imagen</v>
      </c>
    </row>
    <row r="3138" spans="1:16" x14ac:dyDescent="0.25">
      <c r="A3138">
        <v>2679</v>
      </c>
      <c r="B3138" t="s">
        <v>5371</v>
      </c>
      <c r="C3138">
        <v>37.2247203752</v>
      </c>
      <c r="D3138">
        <v>-7.0387813335800002</v>
      </c>
      <c r="E3138">
        <v>3</v>
      </c>
      <c r="F3138">
        <v>2</v>
      </c>
      <c r="G3138">
        <v>3</v>
      </c>
      <c r="J3138" t="s">
        <v>15</v>
      </c>
      <c r="K3138">
        <v>3</v>
      </c>
      <c r="L3138">
        <v>2.6360000000000001</v>
      </c>
      <c r="M3138">
        <v>0</v>
      </c>
      <c r="N3138" t="s">
        <v>10019</v>
      </c>
      <c r="O3138" t="str">
        <f>HYPERLINK("3\1\marker_727_380501.png", "Ver Imagen")</f>
        <v>Ver Imagen</v>
      </c>
      <c r="P3138" t="str">
        <f>HYPERLINK("SE\A-5058\A-5058__47.png", "Ver Imagen")</f>
        <v>Ver Imagen</v>
      </c>
    </row>
    <row r="3139" spans="1:16" x14ac:dyDescent="0.25">
      <c r="A3139">
        <v>2680</v>
      </c>
      <c r="B3139" t="s">
        <v>5373</v>
      </c>
      <c r="C3139">
        <v>37.227244379399998</v>
      </c>
      <c r="D3139">
        <v>-7.0449938906799998</v>
      </c>
      <c r="E3139">
        <v>3</v>
      </c>
      <c r="F3139">
        <v>2</v>
      </c>
      <c r="G3139">
        <v>3</v>
      </c>
      <c r="J3139" t="s">
        <v>15</v>
      </c>
      <c r="K3139">
        <v>3</v>
      </c>
      <c r="L3139">
        <v>2.5409999999999999</v>
      </c>
      <c r="M3139">
        <v>0</v>
      </c>
      <c r="N3139" t="s">
        <v>10018</v>
      </c>
      <c r="O3139" t="str">
        <f>HYPERLINK("3\1\marker_287_380809.png", "Ver Imagen")</f>
        <v>Ver Imagen</v>
      </c>
      <c r="P3139" t="str">
        <f>HYPERLINK("SE\A-5058\A-5058__75.png", "Ver Imagen")</f>
        <v>Ver Imagen</v>
      </c>
    </row>
    <row r="3140" spans="1:16" x14ac:dyDescent="0.25">
      <c r="A3140">
        <v>2681</v>
      </c>
      <c r="B3140" t="s">
        <v>5375</v>
      </c>
      <c r="C3140">
        <v>37.227893678100003</v>
      </c>
      <c r="D3140">
        <v>-7.0456150640499997</v>
      </c>
      <c r="E3140">
        <v>3</v>
      </c>
      <c r="F3140">
        <v>2</v>
      </c>
      <c r="G3140">
        <v>3</v>
      </c>
      <c r="J3140" t="s">
        <v>15</v>
      </c>
      <c r="K3140">
        <v>3</v>
      </c>
      <c r="L3140">
        <v>2.6429999999999998</v>
      </c>
      <c r="M3140">
        <v>0</v>
      </c>
      <c r="N3140" t="s">
        <v>10019</v>
      </c>
      <c r="O3140" t="str">
        <f>HYPERLINK("3\1\marker_670_380848.png", "Ver Imagen")</f>
        <v>Ver Imagen</v>
      </c>
      <c r="P3140" t="str">
        <f>HYPERLINK("SE\A-5058\A-5058__79.png", "Ver Imagen")</f>
        <v>Ver Imagen</v>
      </c>
    </row>
    <row r="3141" spans="1:16" x14ac:dyDescent="0.25">
      <c r="A3141">
        <v>2682</v>
      </c>
      <c r="B3141" t="s">
        <v>5377</v>
      </c>
      <c r="C3141">
        <v>37.230108500199997</v>
      </c>
      <c r="D3141">
        <v>-7.0488874373900003</v>
      </c>
      <c r="E3141">
        <v>3</v>
      </c>
      <c r="F3141">
        <v>2</v>
      </c>
      <c r="G3141">
        <v>3</v>
      </c>
      <c r="J3141" t="s">
        <v>15</v>
      </c>
      <c r="K3141">
        <v>3</v>
      </c>
      <c r="L3141">
        <v>2.952</v>
      </c>
      <c r="M3141">
        <v>0</v>
      </c>
      <c r="N3141" t="s">
        <v>10019</v>
      </c>
      <c r="O3141" t="str">
        <f>HYPERLINK("3\1\marker_829_381071.png", "Ver Imagen")</f>
        <v>Ver Imagen</v>
      </c>
      <c r="P3141" t="str">
        <f>HYPERLINK("SE\A-5058\A-5058__96.png", "Ver Imagen")</f>
        <v>Ver Imagen</v>
      </c>
    </row>
    <row r="3142" spans="1:16" x14ac:dyDescent="0.25">
      <c r="A3142">
        <v>2683</v>
      </c>
      <c r="B3142" t="s">
        <v>5379</v>
      </c>
      <c r="C3142">
        <v>37.230592009900001</v>
      </c>
      <c r="D3142">
        <v>-7.0496984983199997</v>
      </c>
      <c r="E3142">
        <v>3</v>
      </c>
      <c r="F3142">
        <v>2</v>
      </c>
      <c r="G3142">
        <v>3</v>
      </c>
      <c r="J3142" t="s">
        <v>15</v>
      </c>
      <c r="K3142">
        <v>3</v>
      </c>
      <c r="L3142">
        <v>2.863</v>
      </c>
      <c r="M3142">
        <v>0</v>
      </c>
      <c r="N3142" t="s">
        <v>10019</v>
      </c>
      <c r="O3142" t="str">
        <f>HYPERLINK("3\1\marker_566_381110.png", "Ver Imagen")</f>
        <v>Ver Imagen</v>
      </c>
      <c r="P3142" t="str">
        <f>HYPERLINK("SE\A-5058\A-5058__100.png", "Ver Imagen")</f>
        <v>Ver Imagen</v>
      </c>
    </row>
    <row r="3143" spans="1:16" x14ac:dyDescent="0.25">
      <c r="A3143">
        <v>2685</v>
      </c>
      <c r="B3143" t="s">
        <v>5383</v>
      </c>
      <c r="C3143">
        <v>37.231391572600003</v>
      </c>
      <c r="D3143">
        <v>-7.0511606149199997</v>
      </c>
      <c r="E3143">
        <v>3</v>
      </c>
      <c r="F3143">
        <v>2</v>
      </c>
      <c r="G3143">
        <v>3</v>
      </c>
      <c r="J3143" t="s">
        <v>15</v>
      </c>
      <c r="K3143">
        <v>3</v>
      </c>
      <c r="L3143">
        <v>3.0830000000000002</v>
      </c>
      <c r="M3143">
        <v>0</v>
      </c>
      <c r="N3143" t="s">
        <v>10019</v>
      </c>
      <c r="O3143" t="str">
        <f>HYPERLINK("3\1\marker_230_381210.png", "Ver Imagen")</f>
        <v>Ver Imagen</v>
      </c>
      <c r="P3143" t="str">
        <f>HYPERLINK("SE\A-5058\A-5058__107.png", "Ver Imagen")</f>
        <v>Ver Imagen</v>
      </c>
    </row>
    <row r="3144" spans="1:16" x14ac:dyDescent="0.25">
      <c r="A3144">
        <v>2686</v>
      </c>
      <c r="B3144" t="s">
        <v>5385</v>
      </c>
      <c r="C3144">
        <v>37.231618343599997</v>
      </c>
      <c r="D3144">
        <v>-7.0515879204700003</v>
      </c>
      <c r="E3144">
        <v>3</v>
      </c>
      <c r="F3144">
        <v>2</v>
      </c>
      <c r="G3144">
        <v>3</v>
      </c>
      <c r="J3144" t="s">
        <v>15</v>
      </c>
      <c r="K3144">
        <v>3</v>
      </c>
      <c r="L3144">
        <v>3.0950000000000002</v>
      </c>
      <c r="M3144">
        <v>0</v>
      </c>
      <c r="N3144" t="s">
        <v>10019</v>
      </c>
      <c r="O3144" t="str">
        <f>HYPERLINK("3\1\marker_198_381229.png", "Ver Imagen")</f>
        <v>Ver Imagen</v>
      </c>
      <c r="P3144" t="str">
        <f>HYPERLINK("SE\A-5058\A-5058__109.png", "Ver Imagen")</f>
        <v>Ver Imagen</v>
      </c>
    </row>
    <row r="3145" spans="1:16" x14ac:dyDescent="0.25">
      <c r="A3145">
        <v>2687</v>
      </c>
      <c r="B3145" t="s">
        <v>5387</v>
      </c>
      <c r="C3145">
        <v>37.231734164000002</v>
      </c>
      <c r="D3145">
        <v>-7.0517983132299999</v>
      </c>
      <c r="E3145">
        <v>3</v>
      </c>
      <c r="F3145">
        <v>2</v>
      </c>
      <c r="G3145">
        <v>3</v>
      </c>
      <c r="J3145" t="s">
        <v>15</v>
      </c>
      <c r="K3145">
        <v>3</v>
      </c>
      <c r="L3145">
        <v>2.9220000000000002</v>
      </c>
      <c r="M3145">
        <v>0</v>
      </c>
      <c r="N3145" t="s">
        <v>10019</v>
      </c>
      <c r="O3145" t="str">
        <f>HYPERLINK("3\1\marker_886_381240.png", "Ver Imagen")</f>
        <v>Ver Imagen</v>
      </c>
      <c r="P3145" t="str">
        <f>HYPERLINK("SE\A-5058\A-5058__110.png", "Ver Imagen")</f>
        <v>Ver Imagen</v>
      </c>
    </row>
    <row r="3146" spans="1:16" x14ac:dyDescent="0.25">
      <c r="A3146">
        <v>2688</v>
      </c>
      <c r="B3146" t="s">
        <v>5389</v>
      </c>
      <c r="C3146">
        <v>37.2319482292</v>
      </c>
      <c r="D3146">
        <v>-7.0522005671799999</v>
      </c>
      <c r="E3146">
        <v>3</v>
      </c>
      <c r="F3146">
        <v>2</v>
      </c>
      <c r="G3146">
        <v>3</v>
      </c>
      <c r="J3146" t="s">
        <v>15</v>
      </c>
      <c r="K3146">
        <v>3</v>
      </c>
      <c r="L3146">
        <v>2.7549999999999999</v>
      </c>
      <c r="M3146">
        <v>0</v>
      </c>
      <c r="N3146" t="s">
        <v>10019</v>
      </c>
      <c r="O3146" t="str">
        <f>HYPERLINK("3\1\marker_280_381261.png", "Ver Imagen")</f>
        <v>Ver Imagen</v>
      </c>
      <c r="P3146" t="str">
        <f>HYPERLINK("SE\A-5058\A-5058__112.png", "Ver Imagen")</f>
        <v>Ver Imagen</v>
      </c>
    </row>
    <row r="3147" spans="1:16" x14ac:dyDescent="0.25">
      <c r="A3147">
        <v>2689</v>
      </c>
      <c r="B3147" t="s">
        <v>5391</v>
      </c>
      <c r="C3147">
        <v>37.232070579599998</v>
      </c>
      <c r="D3147">
        <v>-7.0524309907999996</v>
      </c>
      <c r="E3147">
        <v>3</v>
      </c>
      <c r="F3147">
        <v>2</v>
      </c>
      <c r="G3147">
        <v>3</v>
      </c>
      <c r="J3147" t="s">
        <v>15</v>
      </c>
      <c r="K3147">
        <v>3</v>
      </c>
      <c r="L3147">
        <v>2.8479999999999999</v>
      </c>
      <c r="M3147">
        <v>0</v>
      </c>
      <c r="N3147" t="s">
        <v>10019</v>
      </c>
      <c r="O3147" t="str">
        <f>HYPERLINK("3\1\marker_702_381271.png", "Ver Imagen")</f>
        <v>Ver Imagen</v>
      </c>
      <c r="P3147" t="str">
        <f>HYPERLINK("SE\A-5058\A-5058__113.png", "Ver Imagen")</f>
        <v>Ver Imagen</v>
      </c>
    </row>
    <row r="3148" spans="1:16" x14ac:dyDescent="0.25">
      <c r="A3148">
        <v>2690</v>
      </c>
      <c r="B3148" t="s">
        <v>5393</v>
      </c>
      <c r="C3148">
        <v>37.232401727000003</v>
      </c>
      <c r="D3148">
        <v>-7.0530398982199998</v>
      </c>
      <c r="E3148">
        <v>3</v>
      </c>
      <c r="F3148">
        <v>2</v>
      </c>
      <c r="G3148">
        <v>3</v>
      </c>
      <c r="J3148" t="s">
        <v>15</v>
      </c>
      <c r="K3148">
        <v>3</v>
      </c>
      <c r="L3148">
        <v>3.1320000000000001</v>
      </c>
      <c r="M3148">
        <v>0</v>
      </c>
      <c r="N3148" t="s">
        <v>10019</v>
      </c>
      <c r="O3148" t="str">
        <f>HYPERLINK("3\1\marker_698_381305.png", "Ver Imagen")</f>
        <v>Ver Imagen</v>
      </c>
      <c r="P3148" t="str">
        <f>HYPERLINK("SE\A-5058\A-5058__116.png", "Ver Imagen")</f>
        <v>Ver Imagen</v>
      </c>
    </row>
    <row r="3149" spans="1:16" x14ac:dyDescent="0.25">
      <c r="A3149">
        <v>2691</v>
      </c>
      <c r="B3149" t="s">
        <v>5395</v>
      </c>
      <c r="C3149">
        <v>37.233151241599998</v>
      </c>
      <c r="D3149">
        <v>-7.0548621537400003</v>
      </c>
      <c r="E3149">
        <v>3</v>
      </c>
      <c r="F3149">
        <v>2</v>
      </c>
      <c r="G3149">
        <v>3</v>
      </c>
      <c r="J3149" t="s">
        <v>15</v>
      </c>
      <c r="K3149">
        <v>3</v>
      </c>
      <c r="L3149">
        <v>3.0059999999999998</v>
      </c>
      <c r="M3149">
        <v>0</v>
      </c>
      <c r="N3149" t="s">
        <v>10019</v>
      </c>
      <c r="O3149" t="str">
        <f>HYPERLINK("3\1\marker_245_381378.png", "Ver Imagen")</f>
        <v>Ver Imagen</v>
      </c>
      <c r="P3149" t="str">
        <f>HYPERLINK("SE\A-5058\A-5058__124.png", "Ver Imagen")</f>
        <v>Ver Imagen</v>
      </c>
    </row>
    <row r="3150" spans="1:16" x14ac:dyDescent="0.25">
      <c r="A3150">
        <v>2692</v>
      </c>
      <c r="B3150" t="s">
        <v>5397</v>
      </c>
      <c r="C3150">
        <v>37.233396789899999</v>
      </c>
      <c r="D3150">
        <v>-7.05580807744</v>
      </c>
      <c r="E3150">
        <v>3</v>
      </c>
      <c r="F3150">
        <v>2</v>
      </c>
      <c r="G3150">
        <v>3</v>
      </c>
      <c r="J3150" t="s">
        <v>15</v>
      </c>
      <c r="K3150">
        <v>3</v>
      </c>
      <c r="L3150">
        <v>2.9180000000000001</v>
      </c>
      <c r="M3150">
        <v>0</v>
      </c>
      <c r="N3150" t="s">
        <v>10019</v>
      </c>
      <c r="O3150" t="str">
        <f>HYPERLINK("3\1\marker_407_381434.png", "Ver Imagen")</f>
        <v>Ver Imagen</v>
      </c>
      <c r="P3150" t="str">
        <f>HYPERLINK("SE\A-5058\A-5058__128.png", "Ver Imagen")</f>
        <v>Ver Imagen</v>
      </c>
    </row>
    <row r="3151" spans="1:16" x14ac:dyDescent="0.25">
      <c r="A3151">
        <v>2693</v>
      </c>
      <c r="B3151" t="s">
        <v>5399</v>
      </c>
      <c r="C3151">
        <v>37.233526442699997</v>
      </c>
      <c r="D3151">
        <v>-7.0563040798200003</v>
      </c>
      <c r="E3151">
        <v>3</v>
      </c>
      <c r="F3151">
        <v>2</v>
      </c>
      <c r="G3151">
        <v>3</v>
      </c>
      <c r="J3151" t="s">
        <v>15</v>
      </c>
      <c r="K3151">
        <v>3</v>
      </c>
      <c r="L3151">
        <v>2.915</v>
      </c>
      <c r="M3151">
        <v>0</v>
      </c>
      <c r="N3151" t="s">
        <v>10019</v>
      </c>
      <c r="O3151" t="str">
        <f>HYPERLINK("3\1\marker_907_381456.png", "Ver Imagen")</f>
        <v>Ver Imagen</v>
      </c>
      <c r="P3151" t="str">
        <f>HYPERLINK("SE\A-5058\A-5058__130.png", "Ver Imagen")</f>
        <v>Ver Imagen</v>
      </c>
    </row>
    <row r="3152" spans="1:16" x14ac:dyDescent="0.25">
      <c r="A3152">
        <v>2694</v>
      </c>
      <c r="B3152" t="s">
        <v>5401</v>
      </c>
      <c r="C3152">
        <v>37.233903140499997</v>
      </c>
      <c r="D3152">
        <v>-7.0577444211499998</v>
      </c>
      <c r="E3152">
        <v>3</v>
      </c>
      <c r="F3152">
        <v>2</v>
      </c>
      <c r="G3152">
        <v>3</v>
      </c>
      <c r="J3152" t="s">
        <v>15</v>
      </c>
      <c r="K3152">
        <v>3</v>
      </c>
      <c r="L3152">
        <v>3.0579999999999998</v>
      </c>
      <c r="M3152">
        <v>0</v>
      </c>
      <c r="N3152" t="s">
        <v>10019</v>
      </c>
      <c r="O3152" t="str">
        <f>HYPERLINK("3\1\marker_826_381527.png", "Ver Imagen")</f>
        <v>Ver Imagen</v>
      </c>
      <c r="P3152" t="str">
        <f>HYPERLINK("SE\A-5058\A-5058__136.png", "Ver Imagen")</f>
        <v>Ver Imagen</v>
      </c>
    </row>
    <row r="3153" spans="1:16" x14ac:dyDescent="0.25">
      <c r="A3153">
        <v>2695</v>
      </c>
      <c r="B3153" t="s">
        <v>5403</v>
      </c>
      <c r="C3153">
        <v>37.233957095500003</v>
      </c>
      <c r="D3153">
        <v>-7.0579820822799997</v>
      </c>
      <c r="E3153">
        <v>3</v>
      </c>
      <c r="F3153">
        <v>2</v>
      </c>
      <c r="G3153">
        <v>3</v>
      </c>
      <c r="J3153" t="s">
        <v>15</v>
      </c>
      <c r="K3153">
        <v>3</v>
      </c>
      <c r="L3153">
        <v>2.734</v>
      </c>
      <c r="M3153">
        <v>0</v>
      </c>
      <c r="N3153" t="s">
        <v>10019</v>
      </c>
      <c r="O3153" t="str">
        <f>HYPERLINK("3\1\marker_624_381537.png", "Ver Imagen")</f>
        <v>Ver Imagen</v>
      </c>
      <c r="P3153" t="str">
        <f>HYPERLINK("SE\A-5058\A-5058__137.png", "Ver Imagen")</f>
        <v>Ver Imagen</v>
      </c>
    </row>
    <row r="3154" spans="1:16" x14ac:dyDescent="0.25">
      <c r="A3154">
        <v>2696</v>
      </c>
      <c r="B3154" t="s">
        <v>5405</v>
      </c>
      <c r="C3154">
        <v>37.234012880400002</v>
      </c>
      <c r="D3154">
        <v>-7.0582528469300003</v>
      </c>
      <c r="E3154">
        <v>3</v>
      </c>
      <c r="F3154">
        <v>2</v>
      </c>
      <c r="G3154">
        <v>3</v>
      </c>
      <c r="J3154" t="s">
        <v>15</v>
      </c>
      <c r="K3154">
        <v>3</v>
      </c>
      <c r="L3154">
        <v>3.2440000000000002</v>
      </c>
      <c r="M3154">
        <v>0</v>
      </c>
      <c r="N3154" t="s">
        <v>10019</v>
      </c>
      <c r="O3154" t="str">
        <f>HYPERLINK("3\1\marker_262_381552.png", "Ver Imagen")</f>
        <v>Ver Imagen</v>
      </c>
      <c r="P3154" t="str">
        <f>HYPERLINK("SE\A-5058\A-5058__138.png", "Ver Imagen")</f>
        <v>Ver Imagen</v>
      </c>
    </row>
    <row r="3155" spans="1:16" x14ac:dyDescent="0.25">
      <c r="A3155">
        <v>2697</v>
      </c>
      <c r="B3155" t="s">
        <v>5407</v>
      </c>
      <c r="C3155">
        <v>37.234055238099998</v>
      </c>
      <c r="D3155">
        <v>-7.0584848521300003</v>
      </c>
      <c r="E3155">
        <v>3</v>
      </c>
      <c r="F3155">
        <v>2</v>
      </c>
      <c r="G3155">
        <v>3</v>
      </c>
      <c r="J3155" t="s">
        <v>15</v>
      </c>
      <c r="K3155">
        <v>3</v>
      </c>
      <c r="L3155">
        <v>2.9020000000000001</v>
      </c>
      <c r="M3155">
        <v>0</v>
      </c>
      <c r="N3155" t="s">
        <v>10019</v>
      </c>
      <c r="O3155" t="str">
        <f>HYPERLINK("3\1\marker_494_381561.png", "Ver Imagen")</f>
        <v>Ver Imagen</v>
      </c>
      <c r="P3155" t="str">
        <f>HYPERLINK("SE\A-5058\A-5058__139.png", "Ver Imagen")</f>
        <v>Ver Imagen</v>
      </c>
    </row>
    <row r="3156" spans="1:16" x14ac:dyDescent="0.25">
      <c r="A3156">
        <v>2698</v>
      </c>
      <c r="B3156" t="s">
        <v>5409</v>
      </c>
      <c r="C3156">
        <v>37.234132292300004</v>
      </c>
      <c r="D3156">
        <v>-7.0592410957</v>
      </c>
      <c r="E3156">
        <v>3</v>
      </c>
      <c r="F3156">
        <v>2</v>
      </c>
      <c r="G3156">
        <v>3</v>
      </c>
      <c r="J3156" t="s">
        <v>15</v>
      </c>
      <c r="K3156">
        <v>3</v>
      </c>
      <c r="L3156">
        <v>3.0539999999999998</v>
      </c>
      <c r="M3156">
        <v>0</v>
      </c>
      <c r="N3156" t="s">
        <v>10019</v>
      </c>
      <c r="O3156" t="str">
        <f>HYPERLINK("3\1\marker_718_381605.png", "Ver Imagen")</f>
        <v>Ver Imagen</v>
      </c>
      <c r="P3156" t="str">
        <f>HYPERLINK("SE\A-5058\A-5058__142.png", "Ver Imagen")</f>
        <v>Ver Imagen</v>
      </c>
    </row>
    <row r="3157" spans="1:16" x14ac:dyDescent="0.25">
      <c r="A3157">
        <v>2699</v>
      </c>
      <c r="B3157" t="s">
        <v>5411</v>
      </c>
      <c r="C3157">
        <v>37.234130123500002</v>
      </c>
      <c r="D3157">
        <v>-7.0602595507699997</v>
      </c>
      <c r="E3157">
        <v>3</v>
      </c>
      <c r="F3157">
        <v>2</v>
      </c>
      <c r="G3157">
        <v>3</v>
      </c>
      <c r="J3157" t="s">
        <v>15</v>
      </c>
      <c r="K3157">
        <v>3</v>
      </c>
      <c r="L3157">
        <v>3.3460000000000001</v>
      </c>
      <c r="M3157">
        <v>0</v>
      </c>
      <c r="N3157" t="s">
        <v>10019</v>
      </c>
      <c r="O3157" t="str">
        <f>HYPERLINK("3\1\marker_152_381655.png", "Ver Imagen")</f>
        <v>Ver Imagen</v>
      </c>
      <c r="P3157" t="str">
        <f>HYPERLINK("SE\A-5058\A-5058__146.png", "Ver Imagen")</f>
        <v>Ver Imagen</v>
      </c>
    </row>
    <row r="3158" spans="1:16" x14ac:dyDescent="0.25">
      <c r="A3158">
        <v>2700</v>
      </c>
      <c r="B3158" t="s">
        <v>5413</v>
      </c>
      <c r="C3158">
        <v>37.234126956700003</v>
      </c>
      <c r="D3158">
        <v>-7.0605111001300003</v>
      </c>
      <c r="E3158">
        <v>3</v>
      </c>
      <c r="F3158">
        <v>2</v>
      </c>
      <c r="G3158">
        <v>3</v>
      </c>
      <c r="J3158" t="s">
        <v>15</v>
      </c>
      <c r="K3158">
        <v>3</v>
      </c>
      <c r="L3158">
        <v>2.903</v>
      </c>
      <c r="M3158">
        <v>0</v>
      </c>
      <c r="N3158" t="s">
        <v>10019</v>
      </c>
      <c r="O3158" t="str">
        <f>HYPERLINK("3\1\marker_498_381665.png", "Ver Imagen")</f>
        <v>Ver Imagen</v>
      </c>
      <c r="P3158" t="str">
        <f>HYPERLINK("SE\A-5058\A-5058__147.png", "Ver Imagen")</f>
        <v>Ver Imagen</v>
      </c>
    </row>
    <row r="3159" spans="1:16" x14ac:dyDescent="0.25">
      <c r="A3159">
        <v>2701</v>
      </c>
      <c r="B3159" t="s">
        <v>5415</v>
      </c>
      <c r="C3159">
        <v>37.234123336800003</v>
      </c>
      <c r="D3159">
        <v>-7.0607671142699999</v>
      </c>
      <c r="E3159">
        <v>3</v>
      </c>
      <c r="F3159">
        <v>2</v>
      </c>
      <c r="G3159">
        <v>3</v>
      </c>
      <c r="J3159" t="s">
        <v>15</v>
      </c>
      <c r="K3159">
        <v>3</v>
      </c>
      <c r="L3159">
        <v>3.05</v>
      </c>
      <c r="M3159">
        <v>0</v>
      </c>
      <c r="N3159" t="s">
        <v>10017</v>
      </c>
      <c r="O3159" t="str">
        <f>HYPERLINK("3\1\marker_636_381682.png", "Ver Imagen")</f>
        <v>Ver Imagen</v>
      </c>
      <c r="P3159" t="str">
        <f>HYPERLINK("SE\A-5058\A-5058__148.png", "Ver Imagen")</f>
        <v>Ver Imagen</v>
      </c>
    </row>
    <row r="3160" spans="1:16" x14ac:dyDescent="0.25">
      <c r="A3160">
        <v>2702</v>
      </c>
      <c r="B3160" t="s">
        <v>5417</v>
      </c>
      <c r="C3160">
        <v>37.2341152455</v>
      </c>
      <c r="D3160">
        <v>-7.0612776784499998</v>
      </c>
      <c r="E3160">
        <v>3</v>
      </c>
      <c r="F3160">
        <v>4</v>
      </c>
      <c r="G3160">
        <v>3</v>
      </c>
      <c r="J3160" t="s">
        <v>15</v>
      </c>
      <c r="K3160">
        <v>3</v>
      </c>
      <c r="L3160">
        <v>2.5150000000000001</v>
      </c>
      <c r="M3160">
        <v>0</v>
      </c>
      <c r="N3160" t="s">
        <v>10017</v>
      </c>
      <c r="O3160" t="str">
        <f>HYPERLINK("3\1\marker_417_381707.png", "Ver Imagen")</f>
        <v>Ver Imagen</v>
      </c>
      <c r="P3160" t="str">
        <f>HYPERLINK("SE\A-5058\A-5058__150.png", "Ver Imagen")</f>
        <v>Ver Imagen</v>
      </c>
    </row>
    <row r="3161" spans="1:16" x14ac:dyDescent="0.25">
      <c r="A3161">
        <v>2703</v>
      </c>
      <c r="B3161" t="s">
        <v>5419</v>
      </c>
      <c r="C3161">
        <v>37.234005001600003</v>
      </c>
      <c r="D3161">
        <v>-7.06457878382</v>
      </c>
      <c r="E3161">
        <v>3</v>
      </c>
      <c r="F3161">
        <v>2</v>
      </c>
      <c r="G3161">
        <v>3</v>
      </c>
      <c r="J3161" t="s">
        <v>15</v>
      </c>
      <c r="K3161">
        <v>3</v>
      </c>
      <c r="L3161">
        <v>3.1720000000000002</v>
      </c>
      <c r="M3161">
        <v>0</v>
      </c>
      <c r="N3161" t="s">
        <v>10019</v>
      </c>
      <c r="O3161" t="str">
        <f>HYPERLINK("3\1\marker_401_381857.png", "Ver Imagen")</f>
        <v>Ver Imagen</v>
      </c>
      <c r="P3161" t="str">
        <f>HYPERLINK("SE\A-5058\A-5058__163.png", "Ver Imagen")</f>
        <v>Ver Imagen</v>
      </c>
    </row>
    <row r="3162" spans="1:16" x14ac:dyDescent="0.25">
      <c r="A3162">
        <v>2704</v>
      </c>
      <c r="B3162" t="s">
        <v>5421</v>
      </c>
      <c r="C3162">
        <v>37.233594963900003</v>
      </c>
      <c r="D3162">
        <v>-7.0681204840699996</v>
      </c>
      <c r="E3162">
        <v>3</v>
      </c>
      <c r="F3162">
        <v>2</v>
      </c>
      <c r="G3162">
        <v>3</v>
      </c>
      <c r="J3162" t="s">
        <v>15</v>
      </c>
      <c r="K3162">
        <v>3</v>
      </c>
      <c r="L3162">
        <v>2.8860000000000001</v>
      </c>
      <c r="M3162">
        <v>0</v>
      </c>
      <c r="N3162" t="s">
        <v>10019</v>
      </c>
      <c r="O3162" t="str">
        <f>HYPERLINK("3\1\marker_484_382516.png", "Ver Imagen")</f>
        <v>Ver Imagen</v>
      </c>
      <c r="P3162" t="str">
        <f>HYPERLINK("SE\A-5058\A-5058__178.png", "Ver Imagen")</f>
        <v>Ver Imagen</v>
      </c>
    </row>
    <row r="3163" spans="1:16" x14ac:dyDescent="0.25">
      <c r="A3163">
        <v>2706</v>
      </c>
      <c r="B3163" t="s">
        <v>5425</v>
      </c>
      <c r="C3163">
        <v>37.233843606699999</v>
      </c>
      <c r="D3163">
        <v>-7.0691180347699998</v>
      </c>
      <c r="E3163">
        <v>3</v>
      </c>
      <c r="F3163">
        <v>2</v>
      </c>
      <c r="G3163">
        <v>3</v>
      </c>
      <c r="J3163" t="s">
        <v>15</v>
      </c>
      <c r="K3163">
        <v>3</v>
      </c>
      <c r="L3163">
        <v>3.1160000000000001</v>
      </c>
      <c r="M3163">
        <v>0</v>
      </c>
      <c r="N3163" t="s">
        <v>10017</v>
      </c>
      <c r="O3163" t="str">
        <f>HYPERLINK("3\1\marker_303_382680.png", "Ver Imagen")</f>
        <v>Ver Imagen</v>
      </c>
      <c r="P3163" t="str">
        <f>HYPERLINK("SE\A-5058\A-5058__182.png", "Ver Imagen")</f>
        <v>Ver Imagen</v>
      </c>
    </row>
    <row r="3164" spans="1:16" x14ac:dyDescent="0.25">
      <c r="A3164">
        <v>2707</v>
      </c>
      <c r="B3164" t="s">
        <v>5427</v>
      </c>
      <c r="C3164">
        <v>37.233898835399998</v>
      </c>
      <c r="D3164">
        <v>-7.0693160054300002</v>
      </c>
      <c r="E3164">
        <v>3</v>
      </c>
      <c r="F3164">
        <v>2</v>
      </c>
      <c r="G3164">
        <v>3</v>
      </c>
      <c r="J3164" t="s">
        <v>15</v>
      </c>
      <c r="K3164">
        <v>3</v>
      </c>
      <c r="L3164">
        <v>3.1440000000000001</v>
      </c>
      <c r="M3164">
        <v>0</v>
      </c>
      <c r="N3164" t="s">
        <v>10019</v>
      </c>
      <c r="O3164" t="str">
        <f>HYPERLINK("3\1\marker_459_382697.png", "Ver Imagen")</f>
        <v>Ver Imagen</v>
      </c>
      <c r="P3164" t="str">
        <f>HYPERLINK("SE\A-5058\A-5058__183.png", "Ver Imagen")</f>
        <v>Ver Imagen</v>
      </c>
    </row>
    <row r="3165" spans="1:16" x14ac:dyDescent="0.25">
      <c r="A3165">
        <v>2708</v>
      </c>
      <c r="B3165" t="s">
        <v>5429</v>
      </c>
      <c r="C3165">
        <v>37.234041052999999</v>
      </c>
      <c r="D3165">
        <v>-7.0698200525199999</v>
      </c>
      <c r="E3165">
        <v>3</v>
      </c>
      <c r="F3165">
        <v>2</v>
      </c>
      <c r="G3165">
        <v>3</v>
      </c>
      <c r="J3165" t="s">
        <v>15</v>
      </c>
      <c r="K3165">
        <v>3</v>
      </c>
      <c r="L3165">
        <v>3.0209999999999999</v>
      </c>
      <c r="M3165">
        <v>0</v>
      </c>
      <c r="N3165" t="s">
        <v>10018</v>
      </c>
      <c r="O3165" t="str">
        <f>HYPERLINK("3\1\marker_450_382727.png", "Ver Imagen")</f>
        <v>Ver Imagen</v>
      </c>
      <c r="P3165" t="str">
        <f>HYPERLINK("SE\A-5058\A-5058__185.png", "Ver Imagen")</f>
        <v>Ver Imagen</v>
      </c>
    </row>
    <row r="3166" spans="1:16" x14ac:dyDescent="0.25">
      <c r="A3166">
        <v>2709</v>
      </c>
      <c r="B3166" t="s">
        <v>5431</v>
      </c>
      <c r="C3166">
        <v>37.234103578499997</v>
      </c>
      <c r="D3166">
        <v>-7.0700413705900003</v>
      </c>
      <c r="E3166">
        <v>3</v>
      </c>
      <c r="F3166">
        <v>2</v>
      </c>
      <c r="G3166">
        <v>3</v>
      </c>
      <c r="J3166" t="s">
        <v>15</v>
      </c>
      <c r="K3166">
        <v>3</v>
      </c>
      <c r="L3166">
        <v>2.964</v>
      </c>
      <c r="M3166">
        <v>0</v>
      </c>
      <c r="N3166" t="s">
        <v>10019</v>
      </c>
      <c r="O3166" t="str">
        <f>HYPERLINK("3\1\marker_357_382737.png", "Ver Imagen")</f>
        <v>Ver Imagen</v>
      </c>
      <c r="P3166" t="str">
        <f>HYPERLINK("SE\A-5058\A-5058__186.png", "Ver Imagen")</f>
        <v>Ver Imagen</v>
      </c>
    </row>
    <row r="3167" spans="1:16" x14ac:dyDescent="0.25">
      <c r="A3167">
        <v>2710</v>
      </c>
      <c r="B3167" t="s">
        <v>5433</v>
      </c>
      <c r="C3167">
        <v>37.234376339199997</v>
      </c>
      <c r="D3167">
        <v>-7.0710143722799996</v>
      </c>
      <c r="E3167">
        <v>3</v>
      </c>
      <c r="F3167">
        <v>2</v>
      </c>
      <c r="G3167">
        <v>3</v>
      </c>
      <c r="J3167" t="s">
        <v>15</v>
      </c>
      <c r="K3167">
        <v>3</v>
      </c>
      <c r="L3167">
        <v>3.0129999999999999</v>
      </c>
      <c r="M3167">
        <v>0</v>
      </c>
      <c r="N3167" t="s">
        <v>10019</v>
      </c>
      <c r="O3167" t="str">
        <f>HYPERLINK("3\1\marker_432_382780.png", "Ver Imagen")</f>
        <v>Ver Imagen</v>
      </c>
      <c r="P3167" t="str">
        <f>HYPERLINK("SE\A-5058\A-5058__190.png", "Ver Imagen")</f>
        <v>Ver Imagen</v>
      </c>
    </row>
    <row r="3168" spans="1:16" x14ac:dyDescent="0.25">
      <c r="A3168">
        <v>2711</v>
      </c>
      <c r="B3168" t="s">
        <v>5435</v>
      </c>
      <c r="C3168">
        <v>37.234437210599999</v>
      </c>
      <c r="D3168">
        <v>-7.0712332825399997</v>
      </c>
      <c r="E3168">
        <v>3</v>
      </c>
      <c r="F3168">
        <v>2</v>
      </c>
      <c r="G3168">
        <v>3</v>
      </c>
      <c r="J3168" t="s">
        <v>15</v>
      </c>
      <c r="K3168">
        <v>3</v>
      </c>
      <c r="L3168">
        <v>3.0169999999999999</v>
      </c>
      <c r="M3168">
        <v>0</v>
      </c>
      <c r="N3168" t="s">
        <v>10019</v>
      </c>
      <c r="O3168" t="str">
        <f>HYPERLINK("3\1\marker_389_382793.png", "Ver Imagen")</f>
        <v>Ver Imagen</v>
      </c>
      <c r="P3168" t="str">
        <f>HYPERLINK("SE\A-5058\A-5058__191.png", "Ver Imagen")</f>
        <v>Ver Imagen</v>
      </c>
    </row>
    <row r="3169" spans="1:16" x14ac:dyDescent="0.25">
      <c r="A3169">
        <v>2712</v>
      </c>
      <c r="B3169" t="s">
        <v>5437</v>
      </c>
      <c r="C3169">
        <v>37.234783281799999</v>
      </c>
      <c r="D3169">
        <v>-7.0724344955199996</v>
      </c>
      <c r="E3169">
        <v>3</v>
      </c>
      <c r="F3169">
        <v>2</v>
      </c>
      <c r="G3169">
        <v>3</v>
      </c>
      <c r="J3169" t="s">
        <v>15</v>
      </c>
      <c r="K3169">
        <v>3</v>
      </c>
      <c r="L3169">
        <v>2.7869999999999999</v>
      </c>
      <c r="M3169">
        <v>0</v>
      </c>
      <c r="N3169" t="s">
        <v>10017</v>
      </c>
      <c r="O3169" t="str">
        <f>HYPERLINK("3\1\marker_249_382847.png", "Ver Imagen")</f>
        <v>Ver Imagen</v>
      </c>
      <c r="P3169" t="str">
        <f>HYPERLINK("SE\A-5058\A-5058__196.png", "Ver Imagen")</f>
        <v>Ver Imagen</v>
      </c>
    </row>
    <row r="3170" spans="1:16" x14ac:dyDescent="0.25">
      <c r="A3170">
        <v>2713</v>
      </c>
      <c r="B3170" t="s">
        <v>5439</v>
      </c>
      <c r="C3170">
        <v>37.237235805799997</v>
      </c>
      <c r="D3170">
        <v>-7.0770221982299999</v>
      </c>
      <c r="E3170">
        <v>3</v>
      </c>
      <c r="F3170">
        <v>3</v>
      </c>
      <c r="G3170">
        <v>4</v>
      </c>
      <c r="J3170" t="s">
        <v>15</v>
      </c>
      <c r="K3170">
        <v>3</v>
      </c>
      <c r="L3170">
        <v>2.9340000000000002</v>
      </c>
      <c r="M3170">
        <v>0</v>
      </c>
      <c r="N3170" t="s">
        <v>10018</v>
      </c>
      <c r="O3170" t="str">
        <f>HYPERLINK("3\1\marker_391_383100.png", "Ver Imagen")</f>
        <v>Ver Imagen</v>
      </c>
      <c r="P3170" t="str">
        <f>HYPERLINK("SE\A-5058\A-5058__218.png", "Ver Imagen")</f>
        <v>Ver Imagen</v>
      </c>
    </row>
    <row r="3171" spans="1:16" x14ac:dyDescent="0.25">
      <c r="A3171">
        <v>2713</v>
      </c>
      <c r="B3171" t="s">
        <v>5439</v>
      </c>
      <c r="C3171">
        <v>37.237235805799997</v>
      </c>
      <c r="D3171">
        <v>-7.0770221982299999</v>
      </c>
      <c r="E3171">
        <v>3</v>
      </c>
      <c r="F3171">
        <v>3</v>
      </c>
      <c r="G3171">
        <v>4</v>
      </c>
      <c r="J3171" t="s">
        <v>15</v>
      </c>
      <c r="K3171">
        <v>3</v>
      </c>
      <c r="L3171">
        <v>3.2829999999999999</v>
      </c>
      <c r="M3171">
        <v>0</v>
      </c>
      <c r="N3171" t="s">
        <v>10018</v>
      </c>
      <c r="O3171" t="str">
        <f>HYPERLINK("3\1\marker_391_383100.png", "Ver Imagen")</f>
        <v>Ver Imagen</v>
      </c>
      <c r="P3171" t="str">
        <f>HYPERLINK("SO\A-5058\A-5058__218.png", "Ver Imagen")</f>
        <v>Ver Imagen</v>
      </c>
    </row>
    <row r="3172" spans="1:16" x14ac:dyDescent="0.25">
      <c r="A3172">
        <v>2714</v>
      </c>
      <c r="B3172" t="s">
        <v>5441</v>
      </c>
      <c r="C3172">
        <v>37.238592279300001</v>
      </c>
      <c r="D3172">
        <v>-7.0792715994300002</v>
      </c>
      <c r="E3172">
        <v>3</v>
      </c>
      <c r="F3172">
        <v>2</v>
      </c>
      <c r="G3172">
        <v>3</v>
      </c>
      <c r="J3172" t="s">
        <v>15</v>
      </c>
      <c r="K3172">
        <v>3</v>
      </c>
      <c r="L3172">
        <v>3.056</v>
      </c>
      <c r="M3172">
        <v>0</v>
      </c>
      <c r="N3172" t="s">
        <v>10019</v>
      </c>
      <c r="O3172" t="str">
        <f>HYPERLINK("3\1\marker_616_383234.png", "Ver Imagen")</f>
        <v>Ver Imagen</v>
      </c>
      <c r="P3172" t="str">
        <f>HYPERLINK("SE\A-5058\A-5058__229.png", "Ver Imagen")</f>
        <v>Ver Imagen</v>
      </c>
    </row>
    <row r="3173" spans="1:16" x14ac:dyDescent="0.25">
      <c r="A3173">
        <v>2714</v>
      </c>
      <c r="B3173" t="s">
        <v>5441</v>
      </c>
      <c r="C3173">
        <v>37.238592279300001</v>
      </c>
      <c r="D3173">
        <v>-7.0792715994300002</v>
      </c>
      <c r="E3173">
        <v>3</v>
      </c>
      <c r="F3173">
        <v>2</v>
      </c>
      <c r="G3173">
        <v>3</v>
      </c>
      <c r="J3173" t="s">
        <v>15</v>
      </c>
      <c r="K3173">
        <v>3</v>
      </c>
      <c r="L3173">
        <v>3.0680000000000001</v>
      </c>
      <c r="M3173">
        <v>0</v>
      </c>
      <c r="N3173" t="s">
        <v>10019</v>
      </c>
      <c r="O3173" t="str">
        <f>HYPERLINK("3\1\marker_616_383234.png", "Ver Imagen")</f>
        <v>Ver Imagen</v>
      </c>
      <c r="P3173" t="str">
        <f>HYPERLINK("SO\A-5058\A-5058__229.png", "Ver Imagen")</f>
        <v>Ver Imagen</v>
      </c>
    </row>
    <row r="3174" spans="1:16" x14ac:dyDescent="0.25">
      <c r="A3174">
        <v>2715</v>
      </c>
      <c r="B3174" t="s">
        <v>5443</v>
      </c>
      <c r="C3174">
        <v>37.238857200799998</v>
      </c>
      <c r="D3174">
        <v>-7.0796668302499999</v>
      </c>
      <c r="E3174">
        <v>3</v>
      </c>
      <c r="F3174">
        <v>2</v>
      </c>
      <c r="G3174">
        <v>3</v>
      </c>
      <c r="J3174" t="s">
        <v>15</v>
      </c>
      <c r="K3174">
        <v>3</v>
      </c>
      <c r="L3174">
        <v>3.0470000000000002</v>
      </c>
      <c r="M3174">
        <v>0</v>
      </c>
      <c r="N3174" t="s">
        <v>10019</v>
      </c>
      <c r="O3174" t="str">
        <f>HYPERLINK("3\1\marker_138_383264.png", "Ver Imagen")</f>
        <v>Ver Imagen</v>
      </c>
      <c r="P3174" t="str">
        <f>HYPERLINK("SE\A-5058\A-5058__231.png", "Ver Imagen")</f>
        <v>Ver Imagen</v>
      </c>
    </row>
    <row r="3175" spans="1:16" x14ac:dyDescent="0.25">
      <c r="A3175">
        <v>2715</v>
      </c>
      <c r="B3175" t="s">
        <v>5443</v>
      </c>
      <c r="C3175">
        <v>37.238857200799998</v>
      </c>
      <c r="D3175">
        <v>-7.0796668302499999</v>
      </c>
      <c r="E3175">
        <v>3</v>
      </c>
      <c r="F3175">
        <v>2</v>
      </c>
      <c r="G3175">
        <v>3</v>
      </c>
      <c r="J3175" t="s">
        <v>15</v>
      </c>
      <c r="K3175">
        <v>3</v>
      </c>
      <c r="L3175">
        <v>3.028</v>
      </c>
      <c r="M3175">
        <v>0</v>
      </c>
      <c r="N3175" t="s">
        <v>10019</v>
      </c>
      <c r="O3175" t="str">
        <f>HYPERLINK("3\1\marker_138_383264.png", "Ver Imagen")</f>
        <v>Ver Imagen</v>
      </c>
      <c r="P3175" t="str">
        <f>HYPERLINK("SO\A-5058\A-5058__231.png", "Ver Imagen")</f>
        <v>Ver Imagen</v>
      </c>
    </row>
    <row r="3176" spans="1:16" x14ac:dyDescent="0.25">
      <c r="A3176">
        <v>2716</v>
      </c>
      <c r="B3176" t="s">
        <v>5445</v>
      </c>
      <c r="C3176">
        <v>37.238996068799999</v>
      </c>
      <c r="D3176">
        <v>-7.0798744333099997</v>
      </c>
      <c r="E3176">
        <v>3</v>
      </c>
      <c r="F3176">
        <v>2</v>
      </c>
      <c r="G3176">
        <v>3</v>
      </c>
      <c r="J3176" t="s">
        <v>15</v>
      </c>
      <c r="K3176">
        <v>3</v>
      </c>
      <c r="L3176">
        <v>2.7290000000000001</v>
      </c>
      <c r="M3176">
        <v>0</v>
      </c>
      <c r="N3176" t="s">
        <v>10017</v>
      </c>
      <c r="O3176" t="str">
        <f>HYPERLINK("3\1\marker_247_383282.png", "Ver Imagen")</f>
        <v>Ver Imagen</v>
      </c>
      <c r="P3176" t="str">
        <f>HYPERLINK("SE\A-5058\A-5058__232.png", "Ver Imagen")</f>
        <v>Ver Imagen</v>
      </c>
    </row>
    <row r="3177" spans="1:16" x14ac:dyDescent="0.25">
      <c r="A3177">
        <v>2716</v>
      </c>
      <c r="B3177" t="s">
        <v>5445</v>
      </c>
      <c r="C3177">
        <v>37.238996068799999</v>
      </c>
      <c r="D3177">
        <v>-7.0798744333099997</v>
      </c>
      <c r="E3177">
        <v>3</v>
      </c>
      <c r="F3177">
        <v>2</v>
      </c>
      <c r="G3177">
        <v>3</v>
      </c>
      <c r="J3177" t="s">
        <v>15</v>
      </c>
      <c r="K3177">
        <v>3</v>
      </c>
      <c r="L3177">
        <v>2.7970000000000002</v>
      </c>
      <c r="M3177">
        <v>0</v>
      </c>
      <c r="N3177" t="s">
        <v>10017</v>
      </c>
      <c r="O3177" t="str">
        <f>HYPERLINK("3\1\marker_247_383282.png", "Ver Imagen")</f>
        <v>Ver Imagen</v>
      </c>
      <c r="P3177" t="str">
        <f>HYPERLINK("SO\A-5058\A-5058__232.png", "Ver Imagen")</f>
        <v>Ver Imagen</v>
      </c>
    </row>
    <row r="3178" spans="1:16" x14ac:dyDescent="0.25">
      <c r="A3178">
        <v>2717</v>
      </c>
      <c r="B3178" t="s">
        <v>5447</v>
      </c>
      <c r="C3178">
        <v>37.239618916300003</v>
      </c>
      <c r="D3178">
        <v>-7.0808220888799998</v>
      </c>
      <c r="E3178">
        <v>3</v>
      </c>
      <c r="F3178">
        <v>2</v>
      </c>
      <c r="G3178">
        <v>3</v>
      </c>
      <c r="J3178" t="s">
        <v>15</v>
      </c>
      <c r="K3178">
        <v>3</v>
      </c>
      <c r="L3178">
        <v>2.8929999999999998</v>
      </c>
      <c r="M3178">
        <v>0</v>
      </c>
      <c r="N3178" t="s">
        <v>10017</v>
      </c>
      <c r="O3178" t="str">
        <f>HYPERLINK("3\1\marker_330_383333.png", "Ver Imagen")</f>
        <v>Ver Imagen</v>
      </c>
      <c r="P3178" t="str">
        <f>HYPERLINK("SE\A-5058\A-5058__237.png", "Ver Imagen")</f>
        <v>Ver Imagen</v>
      </c>
    </row>
    <row r="3179" spans="1:16" x14ac:dyDescent="0.25">
      <c r="A3179">
        <v>2717</v>
      </c>
      <c r="B3179" t="s">
        <v>5447</v>
      </c>
      <c r="C3179">
        <v>37.239618916300003</v>
      </c>
      <c r="D3179">
        <v>-7.0808220888799998</v>
      </c>
      <c r="E3179">
        <v>3</v>
      </c>
      <c r="F3179">
        <v>2</v>
      </c>
      <c r="G3179">
        <v>3</v>
      </c>
      <c r="J3179" t="s">
        <v>15</v>
      </c>
      <c r="K3179">
        <v>3</v>
      </c>
      <c r="L3179">
        <v>2.819</v>
      </c>
      <c r="M3179">
        <v>0</v>
      </c>
      <c r="N3179" t="s">
        <v>10017</v>
      </c>
      <c r="O3179" t="str">
        <f>HYPERLINK("3\1\marker_330_383333.png", "Ver Imagen")</f>
        <v>Ver Imagen</v>
      </c>
      <c r="P3179" t="str">
        <f>HYPERLINK("SO\A-5058\A-5058__237.png", "Ver Imagen")</f>
        <v>Ver Imagen</v>
      </c>
    </row>
    <row r="3180" spans="1:16" x14ac:dyDescent="0.25">
      <c r="A3180">
        <v>2718</v>
      </c>
      <c r="B3180" t="s">
        <v>5449</v>
      </c>
      <c r="C3180">
        <v>37.240009768500002</v>
      </c>
      <c r="D3180">
        <v>-7.0814169842999997</v>
      </c>
      <c r="E3180">
        <v>3</v>
      </c>
      <c r="F3180">
        <v>2</v>
      </c>
      <c r="G3180">
        <v>3</v>
      </c>
      <c r="J3180" t="s">
        <v>15</v>
      </c>
      <c r="K3180">
        <v>3</v>
      </c>
      <c r="L3180">
        <v>3.0019999999999998</v>
      </c>
      <c r="M3180">
        <v>0</v>
      </c>
      <c r="N3180" t="s">
        <v>10019</v>
      </c>
      <c r="O3180" t="str">
        <f>HYPERLINK("3\1\marker_359_383365.png", "Ver Imagen")</f>
        <v>Ver Imagen</v>
      </c>
      <c r="P3180" t="str">
        <f>HYPERLINK("SE\A-5058\A-5058__240.png", "Ver Imagen")</f>
        <v>Ver Imagen</v>
      </c>
    </row>
    <row r="3181" spans="1:16" x14ac:dyDescent="0.25">
      <c r="A3181">
        <v>2718</v>
      </c>
      <c r="B3181" t="s">
        <v>5449</v>
      </c>
      <c r="C3181">
        <v>37.240009768500002</v>
      </c>
      <c r="D3181">
        <v>-7.0814169842999997</v>
      </c>
      <c r="E3181">
        <v>3</v>
      </c>
      <c r="F3181">
        <v>2</v>
      </c>
      <c r="G3181">
        <v>3</v>
      </c>
      <c r="J3181" t="s">
        <v>15</v>
      </c>
      <c r="K3181">
        <v>3</v>
      </c>
      <c r="L3181">
        <v>2.879</v>
      </c>
      <c r="M3181">
        <v>0</v>
      </c>
      <c r="N3181" t="s">
        <v>10019</v>
      </c>
      <c r="O3181" t="str">
        <f>HYPERLINK("3\1\marker_359_383365.png", "Ver Imagen")</f>
        <v>Ver Imagen</v>
      </c>
      <c r="P3181" t="str">
        <f>HYPERLINK("SO\A-5058\A-5058__240.png", "Ver Imagen")</f>
        <v>Ver Imagen</v>
      </c>
    </row>
    <row r="3182" spans="1:16" x14ac:dyDescent="0.25">
      <c r="A3182">
        <v>2719</v>
      </c>
      <c r="B3182" t="s">
        <v>5451</v>
      </c>
      <c r="C3182">
        <v>37.241159995399997</v>
      </c>
      <c r="D3182">
        <v>-7.0831583312699999</v>
      </c>
      <c r="E3182">
        <v>3</v>
      </c>
      <c r="F3182">
        <v>2</v>
      </c>
      <c r="G3182">
        <v>3</v>
      </c>
      <c r="J3182" t="s">
        <v>15</v>
      </c>
      <c r="K3182">
        <v>3</v>
      </c>
      <c r="L3182">
        <v>2.9950000000000001</v>
      </c>
      <c r="M3182">
        <v>0</v>
      </c>
      <c r="N3182" t="s">
        <v>10019</v>
      </c>
      <c r="O3182" t="str">
        <f>HYPERLINK("3\1\marker_217_383491.png", "Ver Imagen")</f>
        <v>Ver Imagen</v>
      </c>
      <c r="P3182" t="str">
        <f>HYPERLINK("SE\A-5058\A-5058__249.png", "Ver Imagen")</f>
        <v>Ver Imagen</v>
      </c>
    </row>
    <row r="3183" spans="1:16" x14ac:dyDescent="0.25">
      <c r="A3183">
        <v>2719</v>
      </c>
      <c r="B3183" t="s">
        <v>5451</v>
      </c>
      <c r="C3183">
        <v>37.241159995399997</v>
      </c>
      <c r="D3183">
        <v>-7.0831583312699999</v>
      </c>
      <c r="E3183">
        <v>3</v>
      </c>
      <c r="F3183">
        <v>2</v>
      </c>
      <c r="G3183">
        <v>3</v>
      </c>
      <c r="J3183" t="s">
        <v>15</v>
      </c>
      <c r="K3183">
        <v>3</v>
      </c>
      <c r="L3183">
        <v>2.8380000000000001</v>
      </c>
      <c r="M3183">
        <v>0</v>
      </c>
      <c r="N3183" t="s">
        <v>10019</v>
      </c>
      <c r="O3183" t="str">
        <f>HYPERLINK("3\1\marker_217_383491.png", "Ver Imagen")</f>
        <v>Ver Imagen</v>
      </c>
      <c r="P3183" t="str">
        <f>HYPERLINK("SO\A-5058\A-5058__249.png", "Ver Imagen")</f>
        <v>Ver Imagen</v>
      </c>
    </row>
    <row r="3184" spans="1:16" x14ac:dyDescent="0.25">
      <c r="A3184">
        <v>2720</v>
      </c>
      <c r="B3184" t="s">
        <v>5453</v>
      </c>
      <c r="C3184">
        <v>37.2412968322</v>
      </c>
      <c r="D3184">
        <v>-7.0833672127399998</v>
      </c>
      <c r="E3184">
        <v>3</v>
      </c>
      <c r="F3184">
        <v>2</v>
      </c>
      <c r="G3184">
        <v>3</v>
      </c>
      <c r="J3184" t="s">
        <v>15</v>
      </c>
      <c r="K3184">
        <v>3</v>
      </c>
      <c r="L3184">
        <v>3.0720000000000001</v>
      </c>
      <c r="M3184">
        <v>0</v>
      </c>
      <c r="N3184" t="s">
        <v>10019</v>
      </c>
      <c r="O3184" t="str">
        <f>HYPERLINK("3\1\marker_154_383517.png", "Ver Imagen")</f>
        <v>Ver Imagen</v>
      </c>
      <c r="P3184" t="str">
        <f>HYPERLINK("SE\A-5058\A-5058__250.png", "Ver Imagen")</f>
        <v>Ver Imagen</v>
      </c>
    </row>
    <row r="3185" spans="1:16" x14ac:dyDescent="0.25">
      <c r="A3185">
        <v>2720</v>
      </c>
      <c r="B3185" t="s">
        <v>5453</v>
      </c>
      <c r="C3185">
        <v>37.2412968322</v>
      </c>
      <c r="D3185">
        <v>-7.0833672127399998</v>
      </c>
      <c r="E3185">
        <v>3</v>
      </c>
      <c r="F3185">
        <v>2</v>
      </c>
      <c r="G3185">
        <v>3</v>
      </c>
      <c r="J3185" t="s">
        <v>15</v>
      </c>
      <c r="K3185">
        <v>3</v>
      </c>
      <c r="L3185">
        <v>3.0030000000000001</v>
      </c>
      <c r="M3185">
        <v>0</v>
      </c>
      <c r="N3185" t="s">
        <v>10019</v>
      </c>
      <c r="O3185" t="str">
        <f>HYPERLINK("3\1\marker_154_383517.png", "Ver Imagen")</f>
        <v>Ver Imagen</v>
      </c>
      <c r="P3185" t="str">
        <f>HYPERLINK("SO\A-5058\A-5058__250.png", "Ver Imagen")</f>
        <v>Ver Imagen</v>
      </c>
    </row>
    <row r="3186" spans="1:16" x14ac:dyDescent="0.25">
      <c r="A3186">
        <v>2721</v>
      </c>
      <c r="B3186" t="s">
        <v>5455</v>
      </c>
      <c r="C3186">
        <v>37.242296242499997</v>
      </c>
      <c r="D3186">
        <v>-7.0852770678199999</v>
      </c>
      <c r="E3186">
        <v>3</v>
      </c>
      <c r="F3186">
        <v>2</v>
      </c>
      <c r="G3186">
        <v>3</v>
      </c>
      <c r="J3186" t="s">
        <v>15</v>
      </c>
      <c r="K3186">
        <v>3</v>
      </c>
      <c r="L3186">
        <v>3.0960000000000001</v>
      </c>
      <c r="M3186">
        <v>0</v>
      </c>
      <c r="N3186" t="s">
        <v>10019</v>
      </c>
      <c r="O3186" t="str">
        <f>HYPERLINK("3\1\marker_243_383651.png", "Ver Imagen")</f>
        <v>Ver Imagen</v>
      </c>
      <c r="P3186" t="str">
        <f>HYPERLINK("SE\A-5058\A-5058__259.png", "Ver Imagen")</f>
        <v>Ver Imagen</v>
      </c>
    </row>
    <row r="3187" spans="1:16" x14ac:dyDescent="0.25">
      <c r="A3187">
        <v>2721</v>
      </c>
      <c r="B3187" t="s">
        <v>5455</v>
      </c>
      <c r="C3187">
        <v>37.242296242499997</v>
      </c>
      <c r="D3187">
        <v>-7.0852770678199999</v>
      </c>
      <c r="E3187">
        <v>3</v>
      </c>
      <c r="F3187">
        <v>2</v>
      </c>
      <c r="G3187">
        <v>3</v>
      </c>
      <c r="J3187" t="s">
        <v>15</v>
      </c>
      <c r="K3187">
        <v>3</v>
      </c>
      <c r="L3187">
        <v>3.133</v>
      </c>
      <c r="M3187">
        <v>0</v>
      </c>
      <c r="N3187" t="s">
        <v>10019</v>
      </c>
      <c r="O3187" t="str">
        <f>HYPERLINK("3\1\marker_243_383651.png", "Ver Imagen")</f>
        <v>Ver Imagen</v>
      </c>
      <c r="P3187" t="str">
        <f>HYPERLINK("SO\A-5058\A-5058__259.png", "Ver Imagen")</f>
        <v>Ver Imagen</v>
      </c>
    </row>
    <row r="3188" spans="1:16" x14ac:dyDescent="0.25">
      <c r="A3188">
        <v>2722</v>
      </c>
      <c r="B3188" t="s">
        <v>5457</v>
      </c>
      <c r="C3188">
        <v>37.242363970500001</v>
      </c>
      <c r="D3188">
        <v>-7.08549437869</v>
      </c>
      <c r="E3188">
        <v>3</v>
      </c>
      <c r="F3188">
        <v>2</v>
      </c>
      <c r="G3188">
        <v>3</v>
      </c>
      <c r="J3188" t="s">
        <v>15</v>
      </c>
      <c r="K3188">
        <v>3</v>
      </c>
      <c r="L3188">
        <v>3.0670000000000002</v>
      </c>
      <c r="M3188">
        <v>0</v>
      </c>
      <c r="N3188" t="s">
        <v>10019</v>
      </c>
      <c r="O3188" t="str">
        <f>HYPERLINK("3\1\marker_419_383666.png", "Ver Imagen")</f>
        <v>Ver Imagen</v>
      </c>
      <c r="P3188" t="str">
        <f>HYPERLINK("SE\A-5058\A-5058__260.png", "Ver Imagen")</f>
        <v>Ver Imagen</v>
      </c>
    </row>
    <row r="3189" spans="1:16" x14ac:dyDescent="0.25">
      <c r="A3189">
        <v>2722</v>
      </c>
      <c r="B3189" t="s">
        <v>5457</v>
      </c>
      <c r="C3189">
        <v>37.242363970500001</v>
      </c>
      <c r="D3189">
        <v>-7.08549437869</v>
      </c>
      <c r="E3189">
        <v>3</v>
      </c>
      <c r="F3189">
        <v>2</v>
      </c>
      <c r="G3189">
        <v>3</v>
      </c>
      <c r="J3189" t="s">
        <v>15</v>
      </c>
      <c r="K3189">
        <v>3</v>
      </c>
      <c r="L3189">
        <v>3.097</v>
      </c>
      <c r="M3189">
        <v>0</v>
      </c>
      <c r="N3189" t="s">
        <v>10019</v>
      </c>
      <c r="O3189" t="str">
        <f>HYPERLINK("3\1\marker_419_383666.png", "Ver Imagen")</f>
        <v>Ver Imagen</v>
      </c>
      <c r="P3189" t="str">
        <f>HYPERLINK("SO\A-5058\A-5058__260.png", "Ver Imagen")</f>
        <v>Ver Imagen</v>
      </c>
    </row>
    <row r="3190" spans="1:16" x14ac:dyDescent="0.25">
      <c r="A3190">
        <v>2723</v>
      </c>
      <c r="B3190" t="s">
        <v>5459</v>
      </c>
      <c r="C3190">
        <v>37.242433225500001</v>
      </c>
      <c r="D3190">
        <v>-7.0857355844500001</v>
      </c>
      <c r="E3190">
        <v>3</v>
      </c>
      <c r="F3190">
        <v>2</v>
      </c>
      <c r="G3190">
        <v>3</v>
      </c>
      <c r="J3190" t="s">
        <v>15</v>
      </c>
      <c r="K3190">
        <v>3</v>
      </c>
      <c r="L3190">
        <v>3.0329999999999999</v>
      </c>
      <c r="M3190">
        <v>0</v>
      </c>
      <c r="N3190" t="s">
        <v>10019</v>
      </c>
      <c r="O3190" t="str">
        <f>HYPERLINK("3\1\marker_282_383676.png", "Ver Imagen")</f>
        <v>Ver Imagen</v>
      </c>
      <c r="P3190" t="str">
        <f>HYPERLINK("SE\A-5058\A-5058__261.png", "Ver Imagen")</f>
        <v>Ver Imagen</v>
      </c>
    </row>
    <row r="3191" spans="1:16" x14ac:dyDescent="0.25">
      <c r="A3191">
        <v>2723</v>
      </c>
      <c r="B3191" t="s">
        <v>5459</v>
      </c>
      <c r="C3191">
        <v>37.242433225500001</v>
      </c>
      <c r="D3191">
        <v>-7.0857355844500001</v>
      </c>
      <c r="E3191">
        <v>3</v>
      </c>
      <c r="F3191">
        <v>2</v>
      </c>
      <c r="G3191">
        <v>3</v>
      </c>
      <c r="J3191" t="s">
        <v>15</v>
      </c>
      <c r="K3191">
        <v>3</v>
      </c>
      <c r="L3191">
        <v>3.07</v>
      </c>
      <c r="M3191">
        <v>0</v>
      </c>
      <c r="N3191" t="s">
        <v>10019</v>
      </c>
      <c r="O3191" t="str">
        <f>HYPERLINK("3\1\marker_282_383676.png", "Ver Imagen")</f>
        <v>Ver Imagen</v>
      </c>
      <c r="P3191" t="str">
        <f>HYPERLINK("SO\A-5058\A-5058__261.png", "Ver Imagen")</f>
        <v>Ver Imagen</v>
      </c>
    </row>
    <row r="3192" spans="1:16" x14ac:dyDescent="0.25">
      <c r="A3192">
        <v>2724</v>
      </c>
      <c r="B3192" t="s">
        <v>5461</v>
      </c>
      <c r="C3192">
        <v>37.242496654299998</v>
      </c>
      <c r="D3192">
        <v>-7.0859673193999999</v>
      </c>
      <c r="E3192">
        <v>3</v>
      </c>
      <c r="F3192">
        <v>2</v>
      </c>
      <c r="G3192">
        <v>3</v>
      </c>
      <c r="J3192" t="s">
        <v>15</v>
      </c>
      <c r="K3192">
        <v>3</v>
      </c>
      <c r="L3192">
        <v>2.6930000000000001</v>
      </c>
      <c r="M3192">
        <v>0</v>
      </c>
      <c r="N3192" t="s">
        <v>10017</v>
      </c>
      <c r="O3192" t="str">
        <f>HYPERLINK("3\1\marker_275_383686.png", "Ver Imagen")</f>
        <v>Ver Imagen</v>
      </c>
      <c r="P3192" t="str">
        <f>HYPERLINK("SE\A-5058\A-5058__262.png", "Ver Imagen")</f>
        <v>Ver Imagen</v>
      </c>
    </row>
    <row r="3193" spans="1:16" x14ac:dyDescent="0.25">
      <c r="A3193">
        <v>2724</v>
      </c>
      <c r="B3193" t="s">
        <v>5461</v>
      </c>
      <c r="C3193">
        <v>37.242496654299998</v>
      </c>
      <c r="D3193">
        <v>-7.0859673193999999</v>
      </c>
      <c r="E3193">
        <v>3</v>
      </c>
      <c r="F3193">
        <v>2</v>
      </c>
      <c r="G3193">
        <v>3</v>
      </c>
      <c r="J3193" t="s">
        <v>15</v>
      </c>
      <c r="K3193">
        <v>3</v>
      </c>
      <c r="L3193">
        <v>2.8079999999999998</v>
      </c>
      <c r="M3193">
        <v>0</v>
      </c>
      <c r="N3193" t="s">
        <v>10017</v>
      </c>
      <c r="O3193" t="str">
        <f>HYPERLINK("3\1\marker_275_383686.png", "Ver Imagen")</f>
        <v>Ver Imagen</v>
      </c>
      <c r="P3193" t="str">
        <f>HYPERLINK("SO\A-5058\A-5058__262.png", "Ver Imagen")</f>
        <v>Ver Imagen</v>
      </c>
    </row>
    <row r="3194" spans="1:16" x14ac:dyDescent="0.25">
      <c r="A3194">
        <v>2725</v>
      </c>
      <c r="B3194" t="s">
        <v>5463</v>
      </c>
      <c r="C3194">
        <v>37.242624181799997</v>
      </c>
      <c r="D3194">
        <v>-7.0864505742099997</v>
      </c>
      <c r="E3194">
        <v>4</v>
      </c>
      <c r="F3194">
        <v>3</v>
      </c>
      <c r="G3194">
        <v>3</v>
      </c>
      <c r="J3194" t="s">
        <v>15</v>
      </c>
      <c r="K3194">
        <v>3</v>
      </c>
      <c r="L3194">
        <v>2.8149999999999999</v>
      </c>
      <c r="M3194">
        <v>0</v>
      </c>
      <c r="N3194" t="s">
        <v>10019</v>
      </c>
      <c r="O3194" t="str">
        <f>HYPERLINK("3\1\marker_575_383727.png", "Ver Imagen")</f>
        <v>Ver Imagen</v>
      </c>
      <c r="P3194" t="str">
        <f>HYPERLINK("SE\A-5058\A-5058__264.png", "Ver Imagen")</f>
        <v>Ver Imagen</v>
      </c>
    </row>
    <row r="3195" spans="1:16" x14ac:dyDescent="0.25">
      <c r="A3195">
        <v>2725</v>
      </c>
      <c r="B3195" t="s">
        <v>5463</v>
      </c>
      <c r="C3195">
        <v>37.242624181799997</v>
      </c>
      <c r="D3195">
        <v>-7.0864505742099997</v>
      </c>
      <c r="E3195">
        <v>4</v>
      </c>
      <c r="F3195">
        <v>3</v>
      </c>
      <c r="G3195">
        <v>3</v>
      </c>
      <c r="J3195" t="s">
        <v>15</v>
      </c>
      <c r="K3195">
        <v>3</v>
      </c>
      <c r="L3195">
        <v>2.698</v>
      </c>
      <c r="M3195">
        <v>0</v>
      </c>
      <c r="N3195" t="s">
        <v>10019</v>
      </c>
      <c r="O3195" t="str">
        <f>HYPERLINK("3\1\marker_575_383727.png", "Ver Imagen")</f>
        <v>Ver Imagen</v>
      </c>
      <c r="P3195" t="str">
        <f>HYPERLINK("SO\A-5058\A-5058__264.png", "Ver Imagen")</f>
        <v>Ver Imagen</v>
      </c>
    </row>
    <row r="3196" spans="1:16" x14ac:dyDescent="0.25">
      <c r="A3196">
        <v>2726</v>
      </c>
      <c r="B3196" t="s">
        <v>5465</v>
      </c>
      <c r="C3196">
        <v>37.242693774999999</v>
      </c>
      <c r="D3196">
        <v>-7.0867106147000003</v>
      </c>
      <c r="E3196">
        <v>3</v>
      </c>
      <c r="F3196">
        <v>4</v>
      </c>
      <c r="G3196">
        <v>3</v>
      </c>
      <c r="J3196" t="s">
        <v>15</v>
      </c>
      <c r="K3196">
        <v>3</v>
      </c>
      <c r="L3196">
        <v>3.0569999999999999</v>
      </c>
      <c r="M3196">
        <v>0</v>
      </c>
      <c r="N3196" t="s">
        <v>10017</v>
      </c>
      <c r="O3196" t="str">
        <f>HYPERLINK("3\1\marker_420_383740.png", "Ver Imagen")</f>
        <v>Ver Imagen</v>
      </c>
      <c r="P3196" t="str">
        <f>HYPERLINK("SE\A-5058\A-5058__265.png", "Ver Imagen")</f>
        <v>Ver Imagen</v>
      </c>
    </row>
    <row r="3197" spans="1:16" x14ac:dyDescent="0.25">
      <c r="A3197">
        <v>2726</v>
      </c>
      <c r="B3197" t="s">
        <v>5465</v>
      </c>
      <c r="C3197">
        <v>37.242693774999999</v>
      </c>
      <c r="D3197">
        <v>-7.0867106147000003</v>
      </c>
      <c r="E3197">
        <v>3</v>
      </c>
      <c r="F3197">
        <v>4</v>
      </c>
      <c r="G3197">
        <v>3</v>
      </c>
      <c r="J3197" t="s">
        <v>15</v>
      </c>
      <c r="K3197">
        <v>3</v>
      </c>
      <c r="L3197">
        <v>3.0030000000000001</v>
      </c>
      <c r="M3197">
        <v>0</v>
      </c>
      <c r="N3197" t="s">
        <v>10017</v>
      </c>
      <c r="O3197" t="str">
        <f>HYPERLINK("3\1\marker_420_383740.png", "Ver Imagen")</f>
        <v>Ver Imagen</v>
      </c>
      <c r="P3197" t="str">
        <f>HYPERLINK("SO\A-5058\A-5058__265.png", "Ver Imagen")</f>
        <v>Ver Imagen</v>
      </c>
    </row>
    <row r="3198" spans="1:16" x14ac:dyDescent="0.25">
      <c r="A3198">
        <v>2727</v>
      </c>
      <c r="B3198" t="s">
        <v>5467</v>
      </c>
      <c r="C3198">
        <v>37.242752666000001</v>
      </c>
      <c r="D3198">
        <v>-7.0869305524100001</v>
      </c>
      <c r="E3198">
        <v>4</v>
      </c>
      <c r="F3198">
        <v>3</v>
      </c>
      <c r="G3198">
        <v>3</v>
      </c>
      <c r="J3198" t="s">
        <v>15</v>
      </c>
      <c r="K3198">
        <v>3</v>
      </c>
      <c r="L3198">
        <v>2.9769999999999999</v>
      </c>
      <c r="M3198">
        <v>0</v>
      </c>
      <c r="N3198" t="s">
        <v>10019</v>
      </c>
      <c r="O3198" t="str">
        <f>HYPERLINK("3\1\marker_131_383750.png", "Ver Imagen")</f>
        <v>Ver Imagen</v>
      </c>
      <c r="P3198" t="str">
        <f>HYPERLINK("SE\A-5058\A-5058__266.png", "Ver Imagen")</f>
        <v>Ver Imagen</v>
      </c>
    </row>
    <row r="3199" spans="1:16" x14ac:dyDescent="0.25">
      <c r="A3199">
        <v>2727</v>
      </c>
      <c r="B3199" t="s">
        <v>5467</v>
      </c>
      <c r="C3199">
        <v>37.242752666000001</v>
      </c>
      <c r="D3199">
        <v>-7.0869305524100001</v>
      </c>
      <c r="E3199">
        <v>4</v>
      </c>
      <c r="F3199">
        <v>3</v>
      </c>
      <c r="G3199">
        <v>3</v>
      </c>
      <c r="J3199" t="s">
        <v>15</v>
      </c>
      <c r="K3199">
        <v>3</v>
      </c>
      <c r="L3199">
        <v>3.1589999999999998</v>
      </c>
      <c r="M3199">
        <v>0</v>
      </c>
      <c r="N3199" t="s">
        <v>10019</v>
      </c>
      <c r="O3199" t="str">
        <f>HYPERLINK("3\1\marker_131_383750.png", "Ver Imagen")</f>
        <v>Ver Imagen</v>
      </c>
      <c r="P3199" t="str">
        <f>HYPERLINK("SO\A-5058\A-5058__266.png", "Ver Imagen")</f>
        <v>Ver Imagen</v>
      </c>
    </row>
    <row r="3200" spans="1:16" x14ac:dyDescent="0.25">
      <c r="A3200">
        <v>2728</v>
      </c>
      <c r="B3200" t="s">
        <v>5469</v>
      </c>
      <c r="C3200">
        <v>37.2428256225</v>
      </c>
      <c r="D3200">
        <v>-7.08720015935</v>
      </c>
      <c r="E3200">
        <v>3</v>
      </c>
      <c r="F3200">
        <v>2</v>
      </c>
      <c r="G3200">
        <v>3</v>
      </c>
      <c r="J3200" t="s">
        <v>15</v>
      </c>
      <c r="K3200">
        <v>3</v>
      </c>
      <c r="L3200">
        <v>3.0710000000000002</v>
      </c>
      <c r="M3200">
        <v>0</v>
      </c>
      <c r="N3200" t="s">
        <v>10019</v>
      </c>
      <c r="O3200" t="str">
        <f>HYPERLINK("3\1\marker_704_383762.png", "Ver Imagen")</f>
        <v>Ver Imagen</v>
      </c>
      <c r="P3200" t="str">
        <f>HYPERLINK("SE\A-5058\A-5058__267.png", "Ver Imagen")</f>
        <v>Ver Imagen</v>
      </c>
    </row>
    <row r="3201" spans="1:16" x14ac:dyDescent="0.25">
      <c r="A3201">
        <v>2728</v>
      </c>
      <c r="B3201" t="s">
        <v>5469</v>
      </c>
      <c r="C3201">
        <v>37.2428256225</v>
      </c>
      <c r="D3201">
        <v>-7.08720015935</v>
      </c>
      <c r="E3201">
        <v>3</v>
      </c>
      <c r="F3201">
        <v>2</v>
      </c>
      <c r="G3201">
        <v>3</v>
      </c>
      <c r="J3201" t="s">
        <v>15</v>
      </c>
      <c r="K3201">
        <v>3</v>
      </c>
      <c r="L3201">
        <v>3.3450000000000002</v>
      </c>
      <c r="M3201">
        <v>0</v>
      </c>
      <c r="N3201" t="s">
        <v>10019</v>
      </c>
      <c r="O3201" t="str">
        <f>HYPERLINK("3\1\marker_704_383762.png", "Ver Imagen")</f>
        <v>Ver Imagen</v>
      </c>
      <c r="P3201" t="str">
        <f>HYPERLINK("SO\A-5058\A-5058__267.png", "Ver Imagen")</f>
        <v>Ver Imagen</v>
      </c>
    </row>
    <row r="3202" spans="1:16" x14ac:dyDescent="0.25">
      <c r="A3202">
        <v>2729</v>
      </c>
      <c r="B3202" t="s">
        <v>5471</v>
      </c>
      <c r="C3202">
        <v>37.243615869199999</v>
      </c>
      <c r="D3202">
        <v>-7.0892050207499997</v>
      </c>
      <c r="E3202">
        <v>3</v>
      </c>
      <c r="F3202">
        <v>2</v>
      </c>
      <c r="G3202">
        <v>3</v>
      </c>
      <c r="J3202" t="s">
        <v>15</v>
      </c>
      <c r="K3202">
        <v>3</v>
      </c>
      <c r="L3202">
        <v>2.9169999999999998</v>
      </c>
      <c r="M3202">
        <v>0</v>
      </c>
      <c r="N3202" t="s">
        <v>10019</v>
      </c>
      <c r="O3202" t="str">
        <f>HYPERLINK("3\1\marker_763_383990.png", "Ver Imagen")</f>
        <v>Ver Imagen</v>
      </c>
      <c r="P3202" t="str">
        <f>HYPERLINK("SE\A-5058\A-5058__276.png", "Ver Imagen")</f>
        <v>Ver Imagen</v>
      </c>
    </row>
    <row r="3203" spans="1:16" x14ac:dyDescent="0.25">
      <c r="A3203">
        <v>2729</v>
      </c>
      <c r="B3203" t="s">
        <v>5471</v>
      </c>
      <c r="C3203">
        <v>37.243615869199999</v>
      </c>
      <c r="D3203">
        <v>-7.0892050207499997</v>
      </c>
      <c r="E3203">
        <v>3</v>
      </c>
      <c r="F3203">
        <v>2</v>
      </c>
      <c r="G3203">
        <v>3</v>
      </c>
      <c r="J3203" t="s">
        <v>15</v>
      </c>
      <c r="K3203">
        <v>3</v>
      </c>
      <c r="L3203">
        <v>2.9580000000000002</v>
      </c>
      <c r="M3203">
        <v>0</v>
      </c>
      <c r="N3203" t="s">
        <v>10019</v>
      </c>
      <c r="O3203" t="str">
        <f>HYPERLINK("3\1\marker_763_383990.png", "Ver Imagen")</f>
        <v>Ver Imagen</v>
      </c>
      <c r="P3203" t="str">
        <f>HYPERLINK("SO\A-5058\A-5058__276.png", "Ver Imagen")</f>
        <v>Ver Imagen</v>
      </c>
    </row>
    <row r="3204" spans="1:16" x14ac:dyDescent="0.25">
      <c r="A3204">
        <v>2730</v>
      </c>
      <c r="B3204" t="s">
        <v>5473</v>
      </c>
      <c r="C3204">
        <v>37.244917190700001</v>
      </c>
      <c r="D3204">
        <v>-7.0917921425500001</v>
      </c>
      <c r="E3204">
        <v>3</v>
      </c>
      <c r="F3204">
        <v>2</v>
      </c>
      <c r="G3204">
        <v>3</v>
      </c>
      <c r="J3204" t="s">
        <v>15</v>
      </c>
      <c r="K3204">
        <v>3</v>
      </c>
      <c r="L3204">
        <v>2.8380000000000001</v>
      </c>
      <c r="M3204">
        <v>0</v>
      </c>
      <c r="N3204" t="s">
        <v>10019</v>
      </c>
      <c r="O3204" t="str">
        <f>HYPERLINK("3\1\marker_155_384126.png", "Ver Imagen")</f>
        <v>Ver Imagen</v>
      </c>
      <c r="P3204" t="str">
        <f>HYPERLINK("SE\A-5058\A-5058__288.png", "Ver Imagen")</f>
        <v>Ver Imagen</v>
      </c>
    </row>
    <row r="3205" spans="1:16" x14ac:dyDescent="0.25">
      <c r="A3205">
        <v>2730</v>
      </c>
      <c r="B3205" t="s">
        <v>5473</v>
      </c>
      <c r="C3205">
        <v>37.244917190700001</v>
      </c>
      <c r="D3205">
        <v>-7.0917921425500001</v>
      </c>
      <c r="E3205">
        <v>3</v>
      </c>
      <c r="F3205">
        <v>2</v>
      </c>
      <c r="G3205">
        <v>3</v>
      </c>
      <c r="J3205" t="s">
        <v>15</v>
      </c>
      <c r="K3205">
        <v>3</v>
      </c>
      <c r="L3205">
        <v>2.9409999999999998</v>
      </c>
      <c r="M3205">
        <v>0</v>
      </c>
      <c r="N3205" t="s">
        <v>10019</v>
      </c>
      <c r="O3205" t="str">
        <f>HYPERLINK("3\1\marker_155_384126.png", "Ver Imagen")</f>
        <v>Ver Imagen</v>
      </c>
      <c r="P3205" t="str">
        <f>HYPERLINK("SO\A-5058\A-5058__288.png", "Ver Imagen")</f>
        <v>Ver Imagen</v>
      </c>
    </row>
    <row r="3206" spans="1:16" x14ac:dyDescent="0.25">
      <c r="A3206">
        <v>2731</v>
      </c>
      <c r="B3206" t="s">
        <v>5475</v>
      </c>
      <c r="C3206">
        <v>37.2454909665</v>
      </c>
      <c r="D3206">
        <v>-7.0947425147400001</v>
      </c>
      <c r="E3206">
        <v>3</v>
      </c>
      <c r="F3206">
        <v>3</v>
      </c>
      <c r="G3206">
        <v>4</v>
      </c>
      <c r="J3206" t="s">
        <v>15</v>
      </c>
      <c r="K3206">
        <v>3</v>
      </c>
      <c r="L3206">
        <v>2.9319999999999999</v>
      </c>
      <c r="M3206">
        <v>0</v>
      </c>
      <c r="N3206" t="s">
        <v>10018</v>
      </c>
      <c r="O3206" t="str">
        <f>HYPERLINK("3\1\marker_860_384272.png", "Ver Imagen")</f>
        <v>Ver Imagen</v>
      </c>
      <c r="P3206" t="str">
        <f>HYPERLINK("SE\A-5058\A-5058__300.png", "Ver Imagen")</f>
        <v>Ver Imagen</v>
      </c>
    </row>
    <row r="3207" spans="1:16" x14ac:dyDescent="0.25">
      <c r="A3207">
        <v>2731</v>
      </c>
      <c r="B3207" t="s">
        <v>5475</v>
      </c>
      <c r="C3207">
        <v>37.2454909665</v>
      </c>
      <c r="D3207">
        <v>-7.0947425147400001</v>
      </c>
      <c r="E3207">
        <v>3</v>
      </c>
      <c r="F3207">
        <v>3</v>
      </c>
      <c r="G3207">
        <v>4</v>
      </c>
      <c r="J3207" t="s">
        <v>15</v>
      </c>
      <c r="K3207">
        <v>3</v>
      </c>
      <c r="L3207">
        <v>2.8519999999999999</v>
      </c>
      <c r="M3207">
        <v>0</v>
      </c>
      <c r="N3207" t="s">
        <v>10018</v>
      </c>
      <c r="O3207" t="str">
        <f>HYPERLINK("3\1\marker_860_384272.png", "Ver Imagen")</f>
        <v>Ver Imagen</v>
      </c>
      <c r="P3207" t="str">
        <f>HYPERLINK("SO\A-5058\A-5058__300.png", "Ver Imagen")</f>
        <v>Ver Imagen</v>
      </c>
    </row>
    <row r="3208" spans="1:16" x14ac:dyDescent="0.25">
      <c r="A3208">
        <v>2732</v>
      </c>
      <c r="B3208" t="s">
        <v>5477</v>
      </c>
      <c r="C3208">
        <v>37.2455075198</v>
      </c>
      <c r="D3208">
        <v>-7.0949578503500002</v>
      </c>
      <c r="E3208">
        <v>3</v>
      </c>
      <c r="F3208">
        <v>2</v>
      </c>
      <c r="G3208">
        <v>3</v>
      </c>
      <c r="J3208" t="s">
        <v>15</v>
      </c>
      <c r="K3208">
        <v>3</v>
      </c>
      <c r="L3208">
        <v>2.9180000000000001</v>
      </c>
      <c r="M3208">
        <v>0</v>
      </c>
      <c r="N3208" t="s">
        <v>10018</v>
      </c>
      <c r="O3208" t="str">
        <f>HYPERLINK("3\1\marker_770_384282.png", "Ver Imagen")</f>
        <v>Ver Imagen</v>
      </c>
      <c r="P3208" t="str">
        <f>HYPERLINK("SE\A-5058\A-5058__301.png", "Ver Imagen")</f>
        <v>Ver Imagen</v>
      </c>
    </row>
    <row r="3209" spans="1:16" x14ac:dyDescent="0.25">
      <c r="A3209">
        <v>2732</v>
      </c>
      <c r="B3209" t="s">
        <v>5477</v>
      </c>
      <c r="C3209">
        <v>37.2455075198</v>
      </c>
      <c r="D3209">
        <v>-7.0949578503500002</v>
      </c>
      <c r="E3209">
        <v>3</v>
      </c>
      <c r="F3209">
        <v>2</v>
      </c>
      <c r="G3209">
        <v>3</v>
      </c>
      <c r="J3209" t="s">
        <v>15</v>
      </c>
      <c r="K3209">
        <v>3</v>
      </c>
      <c r="L3209">
        <v>3.0939999999999999</v>
      </c>
      <c r="M3209">
        <v>0</v>
      </c>
      <c r="N3209" t="s">
        <v>10018</v>
      </c>
      <c r="O3209" t="str">
        <f>HYPERLINK("3\1\marker_770_384282.png", "Ver Imagen")</f>
        <v>Ver Imagen</v>
      </c>
      <c r="P3209" t="str">
        <f>HYPERLINK("SO\A-5058\A-5058__301.png", "Ver Imagen")</f>
        <v>Ver Imagen</v>
      </c>
    </row>
    <row r="3210" spans="1:16" x14ac:dyDescent="0.25">
      <c r="A3210">
        <v>2733</v>
      </c>
      <c r="B3210" t="s">
        <v>5479</v>
      </c>
      <c r="C3210">
        <v>37.245527760900003</v>
      </c>
      <c r="D3210">
        <v>-7.0952193838099999</v>
      </c>
      <c r="E3210">
        <v>3</v>
      </c>
      <c r="F3210">
        <v>2</v>
      </c>
      <c r="G3210">
        <v>3</v>
      </c>
      <c r="J3210" t="s">
        <v>15</v>
      </c>
      <c r="K3210">
        <v>3</v>
      </c>
      <c r="L3210">
        <v>3.1419999999999999</v>
      </c>
      <c r="M3210">
        <v>0</v>
      </c>
      <c r="N3210" t="s">
        <v>10019</v>
      </c>
      <c r="O3210" t="str">
        <f>HYPERLINK("3\1\marker_151_384298.png", "Ver Imagen")</f>
        <v>Ver Imagen</v>
      </c>
      <c r="P3210" t="str">
        <f>HYPERLINK("SE\A-5058\A-5058__302.png", "Ver Imagen")</f>
        <v>Ver Imagen</v>
      </c>
    </row>
    <row r="3211" spans="1:16" x14ac:dyDescent="0.25">
      <c r="A3211">
        <v>2733</v>
      </c>
      <c r="B3211" t="s">
        <v>5479</v>
      </c>
      <c r="C3211">
        <v>37.245527760900003</v>
      </c>
      <c r="D3211">
        <v>-7.0952193838099999</v>
      </c>
      <c r="E3211">
        <v>3</v>
      </c>
      <c r="F3211">
        <v>2</v>
      </c>
      <c r="G3211">
        <v>3</v>
      </c>
      <c r="J3211" t="s">
        <v>15</v>
      </c>
      <c r="K3211">
        <v>3</v>
      </c>
      <c r="L3211">
        <v>2.944</v>
      </c>
      <c r="M3211">
        <v>0</v>
      </c>
      <c r="N3211" t="s">
        <v>10019</v>
      </c>
      <c r="O3211" t="str">
        <f>HYPERLINK("3\1\marker_151_384298.png", "Ver Imagen")</f>
        <v>Ver Imagen</v>
      </c>
      <c r="P3211" t="str">
        <f>HYPERLINK("SO\A-5058\A-5058__302.png", "Ver Imagen")</f>
        <v>Ver Imagen</v>
      </c>
    </row>
    <row r="3212" spans="1:16" x14ac:dyDescent="0.25">
      <c r="A3212">
        <v>2734</v>
      </c>
      <c r="B3212" t="s">
        <v>5481</v>
      </c>
      <c r="C3212">
        <v>37.245605848700002</v>
      </c>
      <c r="D3212">
        <v>-7.0962431815700002</v>
      </c>
      <c r="E3212">
        <v>3</v>
      </c>
      <c r="F3212">
        <v>2</v>
      </c>
      <c r="G3212">
        <v>3</v>
      </c>
      <c r="J3212" t="s">
        <v>15</v>
      </c>
      <c r="K3212">
        <v>3</v>
      </c>
      <c r="L3212">
        <v>2.9079999999999999</v>
      </c>
      <c r="M3212">
        <v>0</v>
      </c>
      <c r="N3212" t="s">
        <v>10019</v>
      </c>
      <c r="O3212" t="str">
        <f>HYPERLINK("3\1\marker_697_384341.png", "Ver Imagen")</f>
        <v>Ver Imagen</v>
      </c>
      <c r="P3212" t="str">
        <f>HYPERLINK("SE\A-5058\A-5058__306.png", "Ver Imagen")</f>
        <v>Ver Imagen</v>
      </c>
    </row>
    <row r="3213" spans="1:16" x14ac:dyDescent="0.25">
      <c r="A3213">
        <v>2734</v>
      </c>
      <c r="B3213" t="s">
        <v>5481</v>
      </c>
      <c r="C3213">
        <v>37.245605848700002</v>
      </c>
      <c r="D3213">
        <v>-7.0962431815700002</v>
      </c>
      <c r="E3213">
        <v>3</v>
      </c>
      <c r="F3213">
        <v>2</v>
      </c>
      <c r="G3213">
        <v>3</v>
      </c>
      <c r="J3213" t="s">
        <v>15</v>
      </c>
      <c r="K3213">
        <v>3</v>
      </c>
      <c r="L3213">
        <v>2.8889999999999998</v>
      </c>
      <c r="M3213">
        <v>0</v>
      </c>
      <c r="N3213" t="s">
        <v>10019</v>
      </c>
      <c r="O3213" t="str">
        <f>HYPERLINK("3\1\marker_697_384341.png", "Ver Imagen")</f>
        <v>Ver Imagen</v>
      </c>
      <c r="P3213" t="str">
        <f>HYPERLINK("SO\A-5058\A-5058__306.png", "Ver Imagen")</f>
        <v>Ver Imagen</v>
      </c>
    </row>
    <row r="3214" spans="1:16" x14ac:dyDescent="0.25">
      <c r="A3214">
        <v>2735</v>
      </c>
      <c r="B3214" t="s">
        <v>5483</v>
      </c>
      <c r="C3214">
        <v>37.245627061900002</v>
      </c>
      <c r="D3214">
        <v>-7.0965061692100004</v>
      </c>
      <c r="E3214">
        <v>3</v>
      </c>
      <c r="F3214">
        <v>2</v>
      </c>
      <c r="G3214">
        <v>3</v>
      </c>
      <c r="J3214" t="s">
        <v>15</v>
      </c>
      <c r="K3214">
        <v>3</v>
      </c>
      <c r="L3214">
        <v>3.0979999999999999</v>
      </c>
      <c r="M3214">
        <v>0</v>
      </c>
      <c r="N3214" t="s">
        <v>10019</v>
      </c>
      <c r="O3214" t="str">
        <f>HYPERLINK("3\1\marker_393_384362.png", "Ver Imagen")</f>
        <v>Ver Imagen</v>
      </c>
      <c r="P3214" t="str">
        <f>HYPERLINK("SE\A-5058\A-5058__307.png", "Ver Imagen")</f>
        <v>Ver Imagen</v>
      </c>
    </row>
    <row r="3215" spans="1:16" x14ac:dyDescent="0.25">
      <c r="A3215">
        <v>2735</v>
      </c>
      <c r="B3215" t="s">
        <v>5483</v>
      </c>
      <c r="C3215">
        <v>37.245627061900002</v>
      </c>
      <c r="D3215">
        <v>-7.0965061692100004</v>
      </c>
      <c r="E3215">
        <v>3</v>
      </c>
      <c r="F3215">
        <v>2</v>
      </c>
      <c r="G3215">
        <v>3</v>
      </c>
      <c r="J3215" t="s">
        <v>15</v>
      </c>
      <c r="K3215">
        <v>3</v>
      </c>
      <c r="L3215">
        <v>3.0990000000000002</v>
      </c>
      <c r="M3215">
        <v>0</v>
      </c>
      <c r="N3215" t="s">
        <v>10019</v>
      </c>
      <c r="O3215" t="str">
        <f>HYPERLINK("3\1\marker_393_384362.png", "Ver Imagen")</f>
        <v>Ver Imagen</v>
      </c>
      <c r="P3215" t="str">
        <f>HYPERLINK("SO\A-5058\A-5058__307.png", "Ver Imagen")</f>
        <v>Ver Imagen</v>
      </c>
    </row>
    <row r="3216" spans="1:16" x14ac:dyDescent="0.25">
      <c r="A3216">
        <v>2736</v>
      </c>
      <c r="B3216" t="s">
        <v>5485</v>
      </c>
      <c r="C3216">
        <v>37.245713421799998</v>
      </c>
      <c r="D3216">
        <v>-7.0972526185899998</v>
      </c>
      <c r="E3216">
        <v>3</v>
      </c>
      <c r="F3216">
        <v>3</v>
      </c>
      <c r="G3216">
        <v>4</v>
      </c>
      <c r="J3216" t="s">
        <v>15</v>
      </c>
      <c r="K3216">
        <v>3</v>
      </c>
      <c r="L3216">
        <v>2.839</v>
      </c>
      <c r="M3216">
        <v>0</v>
      </c>
      <c r="N3216" t="s">
        <v>10019</v>
      </c>
      <c r="O3216" t="str">
        <f>HYPERLINK("3\1\marker_639_384393.png", "Ver Imagen")</f>
        <v>Ver Imagen</v>
      </c>
      <c r="P3216" t="str">
        <f>HYPERLINK("SE\A-5058\A-5058__310.png", "Ver Imagen")</f>
        <v>Ver Imagen</v>
      </c>
    </row>
    <row r="3217" spans="1:16" x14ac:dyDescent="0.25">
      <c r="A3217">
        <v>2736</v>
      </c>
      <c r="B3217" t="s">
        <v>5485</v>
      </c>
      <c r="C3217">
        <v>37.245713421799998</v>
      </c>
      <c r="D3217">
        <v>-7.0972526185899998</v>
      </c>
      <c r="E3217">
        <v>3</v>
      </c>
      <c r="F3217">
        <v>3</v>
      </c>
      <c r="G3217">
        <v>4</v>
      </c>
      <c r="J3217" t="s">
        <v>15</v>
      </c>
      <c r="K3217">
        <v>3</v>
      </c>
      <c r="L3217">
        <v>2.9140000000000001</v>
      </c>
      <c r="M3217">
        <v>0</v>
      </c>
      <c r="N3217" t="s">
        <v>10019</v>
      </c>
      <c r="O3217" t="str">
        <f>HYPERLINK("3\1\marker_639_384393.png", "Ver Imagen")</f>
        <v>Ver Imagen</v>
      </c>
      <c r="P3217" t="str">
        <f>HYPERLINK("SO\A-5058\A-5058__310.png", "Ver Imagen")</f>
        <v>Ver Imagen</v>
      </c>
    </row>
    <row r="3218" spans="1:16" x14ac:dyDescent="0.25">
      <c r="A3218">
        <v>2737</v>
      </c>
      <c r="B3218" t="s">
        <v>5487</v>
      </c>
      <c r="C3218">
        <v>37.245808928499997</v>
      </c>
      <c r="D3218">
        <v>-7.0977237127199997</v>
      </c>
      <c r="E3218">
        <v>3</v>
      </c>
      <c r="F3218">
        <v>2</v>
      </c>
      <c r="G3218">
        <v>3</v>
      </c>
      <c r="J3218" t="s">
        <v>15</v>
      </c>
      <c r="K3218">
        <v>3</v>
      </c>
      <c r="L3218">
        <v>2.988</v>
      </c>
      <c r="M3218">
        <v>0</v>
      </c>
      <c r="N3218" t="s">
        <v>10019</v>
      </c>
      <c r="O3218" t="str">
        <f>HYPERLINK("3\1\marker_674_384413.png", "Ver Imagen")</f>
        <v>Ver Imagen</v>
      </c>
      <c r="P3218" t="str">
        <f>HYPERLINK("SE\A-5058\A-5058__312.png", "Ver Imagen")</f>
        <v>Ver Imagen</v>
      </c>
    </row>
    <row r="3219" spans="1:16" x14ac:dyDescent="0.25">
      <c r="A3219">
        <v>2737</v>
      </c>
      <c r="B3219" t="s">
        <v>5487</v>
      </c>
      <c r="C3219">
        <v>37.245808928499997</v>
      </c>
      <c r="D3219">
        <v>-7.0977237127199997</v>
      </c>
      <c r="E3219">
        <v>3</v>
      </c>
      <c r="F3219">
        <v>2</v>
      </c>
      <c r="G3219">
        <v>3</v>
      </c>
      <c r="J3219" t="s">
        <v>15</v>
      </c>
      <c r="K3219">
        <v>3</v>
      </c>
      <c r="L3219">
        <v>2.8969999999999998</v>
      </c>
      <c r="M3219">
        <v>0</v>
      </c>
      <c r="N3219" t="s">
        <v>10019</v>
      </c>
      <c r="O3219" t="str">
        <f>HYPERLINK("3\1\marker_674_384413.png", "Ver Imagen")</f>
        <v>Ver Imagen</v>
      </c>
      <c r="P3219" t="str">
        <f>HYPERLINK("SO\A-5058\A-5058__312.png", "Ver Imagen")</f>
        <v>Ver Imagen</v>
      </c>
    </row>
    <row r="3220" spans="1:16" x14ac:dyDescent="0.25">
      <c r="A3220">
        <v>2738</v>
      </c>
      <c r="B3220" t="s">
        <v>5489</v>
      </c>
      <c r="C3220">
        <v>37.245954150400003</v>
      </c>
      <c r="D3220">
        <v>-7.0981629163199997</v>
      </c>
      <c r="E3220">
        <v>3</v>
      </c>
      <c r="F3220">
        <v>2</v>
      </c>
      <c r="G3220">
        <v>3</v>
      </c>
      <c r="J3220" t="s">
        <v>15</v>
      </c>
      <c r="K3220">
        <v>3</v>
      </c>
      <c r="L3220">
        <v>3.415</v>
      </c>
      <c r="M3220">
        <v>0</v>
      </c>
      <c r="N3220" t="s">
        <v>10019</v>
      </c>
      <c r="O3220" t="str">
        <f>HYPERLINK("3\1\marker_486_384440.png", "Ver Imagen")</f>
        <v>Ver Imagen</v>
      </c>
      <c r="P3220" t="str">
        <f>HYPERLINK("SE\A-5058\A-5058__314.png", "Ver Imagen")</f>
        <v>Ver Imagen</v>
      </c>
    </row>
    <row r="3221" spans="1:16" x14ac:dyDescent="0.25">
      <c r="A3221">
        <v>2738</v>
      </c>
      <c r="B3221" t="s">
        <v>5489</v>
      </c>
      <c r="C3221">
        <v>37.245954150400003</v>
      </c>
      <c r="D3221">
        <v>-7.0981629163199997</v>
      </c>
      <c r="E3221">
        <v>3</v>
      </c>
      <c r="F3221">
        <v>2</v>
      </c>
      <c r="G3221">
        <v>3</v>
      </c>
      <c r="J3221" t="s">
        <v>15</v>
      </c>
      <c r="K3221">
        <v>3</v>
      </c>
      <c r="L3221">
        <v>3.2120000000000002</v>
      </c>
      <c r="M3221">
        <v>0</v>
      </c>
      <c r="N3221" t="s">
        <v>10019</v>
      </c>
      <c r="O3221" t="str">
        <f>HYPERLINK("3\1\marker_486_384440.png", "Ver Imagen")</f>
        <v>Ver Imagen</v>
      </c>
      <c r="P3221" t="str">
        <f>HYPERLINK("SO\A-5058\A-5058__314.png", "Ver Imagen")</f>
        <v>Ver Imagen</v>
      </c>
    </row>
    <row r="3222" spans="1:16" x14ac:dyDescent="0.25">
      <c r="A3222">
        <v>2739</v>
      </c>
      <c r="B3222" t="s">
        <v>5491</v>
      </c>
      <c r="C3222">
        <v>37.246410426099999</v>
      </c>
      <c r="D3222">
        <v>-7.0990385589100002</v>
      </c>
      <c r="E3222">
        <v>3</v>
      </c>
      <c r="F3222">
        <v>2</v>
      </c>
      <c r="G3222">
        <v>3</v>
      </c>
      <c r="J3222" t="s">
        <v>15</v>
      </c>
      <c r="K3222">
        <v>3</v>
      </c>
      <c r="L3222">
        <v>3.125</v>
      </c>
      <c r="M3222">
        <v>0</v>
      </c>
      <c r="N3222" t="s">
        <v>10019</v>
      </c>
      <c r="O3222" t="str">
        <f>HYPERLINK("3\1\marker_331_384477.png", "Ver Imagen")</f>
        <v>Ver Imagen</v>
      </c>
      <c r="P3222" t="str">
        <f>HYPERLINK("SE\A-5058\A-5058__318.png", "Ver Imagen")</f>
        <v>Ver Imagen</v>
      </c>
    </row>
    <row r="3223" spans="1:16" x14ac:dyDescent="0.25">
      <c r="A3223">
        <v>2739</v>
      </c>
      <c r="B3223" t="s">
        <v>5491</v>
      </c>
      <c r="C3223">
        <v>37.246410426099999</v>
      </c>
      <c r="D3223">
        <v>-7.0990385589100002</v>
      </c>
      <c r="E3223">
        <v>3</v>
      </c>
      <c r="F3223">
        <v>2</v>
      </c>
      <c r="G3223">
        <v>3</v>
      </c>
      <c r="J3223" t="s">
        <v>15</v>
      </c>
      <c r="K3223">
        <v>3</v>
      </c>
      <c r="L3223">
        <v>3.0379999999999998</v>
      </c>
      <c r="M3223">
        <v>0</v>
      </c>
      <c r="N3223" t="s">
        <v>10019</v>
      </c>
      <c r="O3223" t="str">
        <f>HYPERLINK("3\1\marker_331_384477.png", "Ver Imagen")</f>
        <v>Ver Imagen</v>
      </c>
      <c r="P3223" t="str">
        <f>HYPERLINK("SO\A-5058\A-5058__318.png", "Ver Imagen")</f>
        <v>Ver Imagen</v>
      </c>
    </row>
    <row r="3224" spans="1:16" x14ac:dyDescent="0.25">
      <c r="A3224">
        <v>2740</v>
      </c>
      <c r="B3224" t="s">
        <v>5493</v>
      </c>
      <c r="C3224">
        <v>37.246535139199999</v>
      </c>
      <c r="D3224">
        <v>-7.0992355996700001</v>
      </c>
      <c r="E3224">
        <v>3</v>
      </c>
      <c r="F3224">
        <v>2</v>
      </c>
      <c r="G3224">
        <v>3</v>
      </c>
      <c r="J3224" t="s">
        <v>15</v>
      </c>
      <c r="K3224">
        <v>3</v>
      </c>
      <c r="L3224">
        <v>3.0550000000000002</v>
      </c>
      <c r="M3224">
        <v>0</v>
      </c>
      <c r="N3224" t="s">
        <v>10019</v>
      </c>
      <c r="O3224" t="str">
        <f>HYPERLINK("3\1\marker_156_384486.png", "Ver Imagen")</f>
        <v>Ver Imagen</v>
      </c>
      <c r="P3224" t="str">
        <f>HYPERLINK("SE\A-5058\A-5058__319.png", "Ver Imagen")</f>
        <v>Ver Imagen</v>
      </c>
    </row>
    <row r="3225" spans="1:16" x14ac:dyDescent="0.25">
      <c r="A3225">
        <v>2740</v>
      </c>
      <c r="B3225" t="s">
        <v>5493</v>
      </c>
      <c r="C3225">
        <v>37.246535139199999</v>
      </c>
      <c r="D3225">
        <v>-7.0992355996700001</v>
      </c>
      <c r="E3225">
        <v>3</v>
      </c>
      <c r="F3225">
        <v>2</v>
      </c>
      <c r="G3225">
        <v>3</v>
      </c>
      <c r="J3225" t="s">
        <v>15</v>
      </c>
      <c r="K3225">
        <v>3</v>
      </c>
      <c r="L3225">
        <v>3.181</v>
      </c>
      <c r="M3225">
        <v>0</v>
      </c>
      <c r="N3225" t="s">
        <v>10019</v>
      </c>
      <c r="O3225" t="str">
        <f>HYPERLINK("3\1\marker_156_384486.png", "Ver Imagen")</f>
        <v>Ver Imagen</v>
      </c>
      <c r="P3225" t="str">
        <f>HYPERLINK("SO\A-5058\A-5058__319.png", "Ver Imagen")</f>
        <v>Ver Imagen</v>
      </c>
    </row>
    <row r="3226" spans="1:16" x14ac:dyDescent="0.25">
      <c r="A3226">
        <v>2741</v>
      </c>
      <c r="B3226" t="s">
        <v>5495</v>
      </c>
      <c r="C3226">
        <v>37.246916054000003</v>
      </c>
      <c r="D3226">
        <v>-7.09981862293</v>
      </c>
      <c r="E3226">
        <v>3</v>
      </c>
      <c r="F3226">
        <v>2</v>
      </c>
      <c r="G3226">
        <v>3</v>
      </c>
      <c r="J3226" t="s">
        <v>15</v>
      </c>
      <c r="K3226">
        <v>3</v>
      </c>
      <c r="L3226">
        <v>2.9689999999999999</v>
      </c>
      <c r="M3226">
        <v>0</v>
      </c>
      <c r="N3226" t="s">
        <v>10019</v>
      </c>
      <c r="O3226" t="str">
        <f>HYPERLINK("3\1\marker_256_384519.png", "Ver Imagen")</f>
        <v>Ver Imagen</v>
      </c>
      <c r="P3226" t="str">
        <f>HYPERLINK("SE\A-5058\A-5058__322.png", "Ver Imagen")</f>
        <v>Ver Imagen</v>
      </c>
    </row>
    <row r="3227" spans="1:16" x14ac:dyDescent="0.25">
      <c r="A3227">
        <v>2741</v>
      </c>
      <c r="B3227" t="s">
        <v>5495</v>
      </c>
      <c r="C3227">
        <v>37.246916054000003</v>
      </c>
      <c r="D3227">
        <v>-7.09981862293</v>
      </c>
      <c r="E3227">
        <v>3</v>
      </c>
      <c r="F3227">
        <v>2</v>
      </c>
      <c r="G3227">
        <v>3</v>
      </c>
      <c r="J3227" t="s">
        <v>15</v>
      </c>
      <c r="K3227">
        <v>3</v>
      </c>
      <c r="L3227">
        <v>3.0529999999999999</v>
      </c>
      <c r="M3227">
        <v>0</v>
      </c>
      <c r="N3227" t="s">
        <v>10019</v>
      </c>
      <c r="O3227" t="str">
        <f>HYPERLINK("3\1\marker_256_384519.png", "Ver Imagen")</f>
        <v>Ver Imagen</v>
      </c>
      <c r="P3227" t="str">
        <f>HYPERLINK("SO\A-5058\A-5058__322.png", "Ver Imagen")</f>
        <v>Ver Imagen</v>
      </c>
    </row>
    <row r="3228" spans="1:16" x14ac:dyDescent="0.25">
      <c r="A3228">
        <v>2742</v>
      </c>
      <c r="B3228" t="s">
        <v>5497</v>
      </c>
      <c r="C3228">
        <v>37.247167129899999</v>
      </c>
      <c r="D3228">
        <v>-7.10019974181</v>
      </c>
      <c r="E3228">
        <v>3</v>
      </c>
      <c r="F3228">
        <v>2</v>
      </c>
      <c r="G3228">
        <v>3</v>
      </c>
      <c r="J3228" t="s">
        <v>15</v>
      </c>
      <c r="K3228">
        <v>3</v>
      </c>
      <c r="L3228">
        <v>2.931</v>
      </c>
      <c r="M3228">
        <v>0</v>
      </c>
      <c r="N3228" t="s">
        <v>10019</v>
      </c>
      <c r="O3228" t="str">
        <f>HYPERLINK("3\1\marker_378_384551.png", "Ver Imagen")</f>
        <v>Ver Imagen</v>
      </c>
      <c r="P3228" t="str">
        <f>HYPERLINK("SE\A-5058\A-5058__324.png", "Ver Imagen")</f>
        <v>Ver Imagen</v>
      </c>
    </row>
    <row r="3229" spans="1:16" x14ac:dyDescent="0.25">
      <c r="A3229">
        <v>2742</v>
      </c>
      <c r="B3229" t="s">
        <v>5497</v>
      </c>
      <c r="C3229">
        <v>37.247167129899999</v>
      </c>
      <c r="D3229">
        <v>-7.10019974181</v>
      </c>
      <c r="E3229">
        <v>3</v>
      </c>
      <c r="F3229">
        <v>2</v>
      </c>
      <c r="G3229">
        <v>3</v>
      </c>
      <c r="J3229" t="s">
        <v>15</v>
      </c>
      <c r="K3229">
        <v>3</v>
      </c>
      <c r="L3229">
        <v>2.8319999999999999</v>
      </c>
      <c r="M3229">
        <v>0</v>
      </c>
      <c r="N3229" t="s">
        <v>10019</v>
      </c>
      <c r="O3229" t="str">
        <f>HYPERLINK("3\1\marker_378_384551.png", "Ver Imagen")</f>
        <v>Ver Imagen</v>
      </c>
      <c r="P3229" t="str">
        <f>HYPERLINK("SO\A-5058\A-5058__324.png", "Ver Imagen")</f>
        <v>Ver Imagen</v>
      </c>
    </row>
    <row r="3230" spans="1:16" x14ac:dyDescent="0.25">
      <c r="A3230">
        <v>2743</v>
      </c>
      <c r="B3230" t="s">
        <v>5499</v>
      </c>
      <c r="C3230">
        <v>37.247954064699996</v>
      </c>
      <c r="D3230">
        <v>-7.1013748857200003</v>
      </c>
      <c r="E3230">
        <v>3</v>
      </c>
      <c r="F3230">
        <v>2</v>
      </c>
      <c r="G3230">
        <v>3</v>
      </c>
      <c r="J3230" t="s">
        <v>15</v>
      </c>
      <c r="K3230">
        <v>3</v>
      </c>
      <c r="L3230">
        <v>2.972</v>
      </c>
      <c r="M3230">
        <v>0</v>
      </c>
      <c r="N3230" t="s">
        <v>10019</v>
      </c>
      <c r="O3230" t="str">
        <f>HYPERLINK("3\1\marker_254_384633.png", "Ver Imagen")</f>
        <v>Ver Imagen</v>
      </c>
      <c r="P3230" t="str">
        <f>HYPERLINK("SE\A-5058\A-5058__330.png", "Ver Imagen")</f>
        <v>Ver Imagen</v>
      </c>
    </row>
    <row r="3231" spans="1:16" x14ac:dyDescent="0.25">
      <c r="A3231">
        <v>2743</v>
      </c>
      <c r="B3231" t="s">
        <v>5499</v>
      </c>
      <c r="C3231">
        <v>37.247954064699996</v>
      </c>
      <c r="D3231">
        <v>-7.1013748857200003</v>
      </c>
      <c r="E3231">
        <v>3</v>
      </c>
      <c r="F3231">
        <v>2</v>
      </c>
      <c r="G3231">
        <v>3</v>
      </c>
      <c r="J3231" t="s">
        <v>15</v>
      </c>
      <c r="K3231">
        <v>3</v>
      </c>
      <c r="L3231">
        <v>3.2050000000000001</v>
      </c>
      <c r="M3231">
        <v>0</v>
      </c>
      <c r="N3231" t="s">
        <v>10019</v>
      </c>
      <c r="O3231" t="str">
        <f>HYPERLINK("3\1\marker_254_384633.png", "Ver Imagen")</f>
        <v>Ver Imagen</v>
      </c>
      <c r="P3231" t="str">
        <f>HYPERLINK("SO\A-5058\A-5058__330.png", "Ver Imagen")</f>
        <v>Ver Imagen</v>
      </c>
    </row>
    <row r="3232" spans="1:16" x14ac:dyDescent="0.25">
      <c r="A3232">
        <v>2744</v>
      </c>
      <c r="B3232" t="s">
        <v>5501</v>
      </c>
      <c r="C3232">
        <v>37.248577746899997</v>
      </c>
      <c r="D3232">
        <v>-7.1019946979700004</v>
      </c>
      <c r="E3232">
        <v>3</v>
      </c>
      <c r="F3232">
        <v>2</v>
      </c>
      <c r="G3232">
        <v>3</v>
      </c>
      <c r="J3232" t="s">
        <v>15</v>
      </c>
      <c r="K3232">
        <v>3</v>
      </c>
      <c r="L3232">
        <v>3.323</v>
      </c>
      <c r="M3232">
        <v>0</v>
      </c>
      <c r="N3232" t="s">
        <v>10019</v>
      </c>
      <c r="O3232" t="str">
        <f>HYPERLINK("3\1\marker_120_384693.png", "Ver Imagen")</f>
        <v>Ver Imagen</v>
      </c>
      <c r="P3232" t="str">
        <f>HYPERLINK("SE\A-5058\A-5058__334.png", "Ver Imagen")</f>
        <v>Ver Imagen</v>
      </c>
    </row>
    <row r="3233" spans="1:16" x14ac:dyDescent="0.25">
      <c r="A3233">
        <v>2744</v>
      </c>
      <c r="B3233" t="s">
        <v>5501</v>
      </c>
      <c r="C3233">
        <v>37.248577746899997</v>
      </c>
      <c r="D3233">
        <v>-7.1019946979700004</v>
      </c>
      <c r="E3233">
        <v>3</v>
      </c>
      <c r="F3233">
        <v>2</v>
      </c>
      <c r="G3233">
        <v>3</v>
      </c>
      <c r="J3233" t="s">
        <v>15</v>
      </c>
      <c r="K3233">
        <v>3</v>
      </c>
      <c r="L3233">
        <v>3.2029999999999998</v>
      </c>
      <c r="M3233">
        <v>0</v>
      </c>
      <c r="N3233" t="s">
        <v>10019</v>
      </c>
      <c r="O3233" t="str">
        <f>HYPERLINK("3\1\marker_120_384693.png", "Ver Imagen")</f>
        <v>Ver Imagen</v>
      </c>
      <c r="P3233" t="str">
        <f>HYPERLINK("SO\A-5058\A-5058__334.png", "Ver Imagen")</f>
        <v>Ver Imagen</v>
      </c>
    </row>
    <row r="3234" spans="1:16" x14ac:dyDescent="0.25">
      <c r="A3234">
        <v>2745</v>
      </c>
      <c r="B3234" t="s">
        <v>5503</v>
      </c>
      <c r="C3234">
        <v>37.249489062000002</v>
      </c>
      <c r="D3234">
        <v>-7.1025365969200003</v>
      </c>
      <c r="E3234">
        <v>3</v>
      </c>
      <c r="F3234">
        <v>2</v>
      </c>
      <c r="G3234">
        <v>3</v>
      </c>
      <c r="J3234" t="s">
        <v>15</v>
      </c>
      <c r="K3234">
        <v>3</v>
      </c>
      <c r="L3234">
        <v>2.798</v>
      </c>
      <c r="M3234">
        <v>0</v>
      </c>
      <c r="N3234" t="s">
        <v>10017</v>
      </c>
      <c r="O3234" t="str">
        <f>HYPERLINK("3\1\marker_641_384744.png", "Ver Imagen")</f>
        <v>Ver Imagen</v>
      </c>
      <c r="P3234" t="str">
        <f>HYPERLINK("SE\A-5058\A-5058__339.png", "Ver Imagen")</f>
        <v>Ver Imagen</v>
      </c>
    </row>
    <row r="3235" spans="1:16" x14ac:dyDescent="0.25">
      <c r="A3235">
        <v>2745</v>
      </c>
      <c r="B3235" t="s">
        <v>5503</v>
      </c>
      <c r="C3235">
        <v>37.249489062000002</v>
      </c>
      <c r="D3235">
        <v>-7.1025365969200003</v>
      </c>
      <c r="E3235">
        <v>3</v>
      </c>
      <c r="F3235">
        <v>2</v>
      </c>
      <c r="G3235">
        <v>3</v>
      </c>
      <c r="J3235" t="s">
        <v>15</v>
      </c>
      <c r="K3235">
        <v>3</v>
      </c>
      <c r="L3235">
        <v>3.1539999999999999</v>
      </c>
      <c r="M3235">
        <v>0</v>
      </c>
      <c r="N3235" t="s">
        <v>10017</v>
      </c>
      <c r="O3235" t="str">
        <f>HYPERLINK("3\1\marker_641_384744.png", "Ver Imagen")</f>
        <v>Ver Imagen</v>
      </c>
      <c r="P3235" t="str">
        <f>HYPERLINK("SO\A-5058\A-5058__339.png", "Ver Imagen")</f>
        <v>Ver Imagen</v>
      </c>
    </row>
    <row r="3236" spans="1:16" x14ac:dyDescent="0.25">
      <c r="A3236">
        <v>2746</v>
      </c>
      <c r="B3236" t="s">
        <v>5505</v>
      </c>
      <c r="C3236">
        <v>37.249688032999998</v>
      </c>
      <c r="D3236">
        <v>-7.10265237646</v>
      </c>
      <c r="E3236">
        <v>3</v>
      </c>
      <c r="F3236">
        <v>2</v>
      </c>
      <c r="G3236">
        <v>3</v>
      </c>
      <c r="J3236" t="s">
        <v>15</v>
      </c>
      <c r="K3236">
        <v>3</v>
      </c>
      <c r="L3236">
        <v>3.2250000000000001</v>
      </c>
      <c r="M3236">
        <v>0</v>
      </c>
      <c r="N3236" t="s">
        <v>10019</v>
      </c>
      <c r="O3236" t="str">
        <f>HYPERLINK("3\1\marker_724_384764.png", "Ver Imagen")</f>
        <v>Ver Imagen</v>
      </c>
      <c r="P3236" t="str">
        <f>HYPERLINK("SE\A-5058\A-5058__340.png", "Ver Imagen")</f>
        <v>Ver Imagen</v>
      </c>
    </row>
    <row r="3237" spans="1:16" x14ac:dyDescent="0.25">
      <c r="A3237">
        <v>2746</v>
      </c>
      <c r="B3237" t="s">
        <v>5505</v>
      </c>
      <c r="C3237">
        <v>37.249688032999998</v>
      </c>
      <c r="D3237">
        <v>-7.10265237646</v>
      </c>
      <c r="E3237">
        <v>3</v>
      </c>
      <c r="F3237">
        <v>2</v>
      </c>
      <c r="G3237">
        <v>3</v>
      </c>
      <c r="J3237" t="s">
        <v>15</v>
      </c>
      <c r="K3237">
        <v>3</v>
      </c>
      <c r="L3237">
        <v>3.2610000000000001</v>
      </c>
      <c r="M3237">
        <v>0</v>
      </c>
      <c r="N3237" t="s">
        <v>10019</v>
      </c>
      <c r="O3237" t="str">
        <f>HYPERLINK("3\1\marker_724_384764.png", "Ver Imagen")</f>
        <v>Ver Imagen</v>
      </c>
      <c r="P3237" t="str">
        <f>HYPERLINK("SO\A-5058\A-5058__340.png", "Ver Imagen")</f>
        <v>Ver Imagen</v>
      </c>
    </row>
    <row r="3238" spans="1:16" x14ac:dyDescent="0.25">
      <c r="A3238">
        <v>2747</v>
      </c>
      <c r="B3238" t="s">
        <v>5507</v>
      </c>
      <c r="C3238">
        <v>37.250415972500001</v>
      </c>
      <c r="D3238">
        <v>-7.1030724884299996</v>
      </c>
      <c r="E3238">
        <v>3</v>
      </c>
      <c r="F3238">
        <v>2</v>
      </c>
      <c r="G3238">
        <v>3</v>
      </c>
      <c r="J3238" t="s">
        <v>15</v>
      </c>
      <c r="K3238">
        <v>3</v>
      </c>
      <c r="L3238">
        <v>3.13</v>
      </c>
      <c r="M3238">
        <v>0</v>
      </c>
      <c r="N3238" t="s">
        <v>10019</v>
      </c>
      <c r="O3238" t="str">
        <f>HYPERLINK("3\1\marker_356_384805.png", "Ver Imagen")</f>
        <v>Ver Imagen</v>
      </c>
      <c r="P3238" t="str">
        <f>HYPERLINK("SE\A-5058\A-5058__344.png", "Ver Imagen")</f>
        <v>Ver Imagen</v>
      </c>
    </row>
    <row r="3239" spans="1:16" x14ac:dyDescent="0.25">
      <c r="A3239">
        <v>2747</v>
      </c>
      <c r="B3239" t="s">
        <v>5507</v>
      </c>
      <c r="C3239">
        <v>37.250415972500001</v>
      </c>
      <c r="D3239">
        <v>-7.1030724884299996</v>
      </c>
      <c r="E3239">
        <v>3</v>
      </c>
      <c r="F3239">
        <v>2</v>
      </c>
      <c r="G3239">
        <v>3</v>
      </c>
      <c r="J3239" t="s">
        <v>15</v>
      </c>
      <c r="K3239">
        <v>3</v>
      </c>
      <c r="L3239">
        <v>2.964</v>
      </c>
      <c r="M3239">
        <v>0</v>
      </c>
      <c r="N3239" t="s">
        <v>10019</v>
      </c>
      <c r="O3239" t="str">
        <f>HYPERLINK("3\1\marker_356_384805.png", "Ver Imagen")</f>
        <v>Ver Imagen</v>
      </c>
      <c r="P3239" t="str">
        <f>HYPERLINK("SO\A-5058\A-5058__344.png", "Ver Imagen")</f>
        <v>Ver Imagen</v>
      </c>
    </row>
    <row r="3240" spans="1:16" x14ac:dyDescent="0.25">
      <c r="A3240">
        <v>2748</v>
      </c>
      <c r="B3240" t="s">
        <v>5509</v>
      </c>
      <c r="C3240">
        <v>37.250609882900001</v>
      </c>
      <c r="D3240">
        <v>-7.1031863121600001</v>
      </c>
      <c r="E3240">
        <v>3</v>
      </c>
      <c r="F3240">
        <v>2</v>
      </c>
      <c r="G3240">
        <v>3</v>
      </c>
      <c r="J3240" t="s">
        <v>15</v>
      </c>
      <c r="K3240">
        <v>3</v>
      </c>
      <c r="L3240">
        <v>2.9369999999999998</v>
      </c>
      <c r="M3240">
        <v>0</v>
      </c>
      <c r="N3240" t="s">
        <v>10017</v>
      </c>
      <c r="O3240" t="str">
        <f>HYPERLINK("3\1\marker_123_384817.png", "Ver Imagen")</f>
        <v>Ver Imagen</v>
      </c>
      <c r="P3240" t="str">
        <f>HYPERLINK("SO\A-5058\A-5058__345.png", "Ver Imagen")</f>
        <v>Ver Imagen</v>
      </c>
    </row>
    <row r="3241" spans="1:16" x14ac:dyDescent="0.25">
      <c r="A3241">
        <v>2749</v>
      </c>
      <c r="B3241" t="s">
        <v>5511</v>
      </c>
      <c r="C3241">
        <v>37.250783235900002</v>
      </c>
      <c r="D3241">
        <v>-7.1032883613299997</v>
      </c>
      <c r="E3241">
        <v>3</v>
      </c>
      <c r="F3241">
        <v>2</v>
      </c>
      <c r="G3241">
        <v>3</v>
      </c>
      <c r="J3241" t="s">
        <v>15</v>
      </c>
      <c r="K3241">
        <v>3</v>
      </c>
      <c r="L3241">
        <v>3.056</v>
      </c>
      <c r="M3241">
        <v>0</v>
      </c>
      <c r="N3241" t="s">
        <v>10019</v>
      </c>
      <c r="O3241" t="str">
        <f>HYPERLINK("3\1\marker_383_384827.png", "Ver Imagen")</f>
        <v>Ver Imagen</v>
      </c>
      <c r="P3241" t="str">
        <f>HYPERLINK("SO\A-5058\A-5058__346.png", "Ver Imagen")</f>
        <v>Ver Imagen</v>
      </c>
    </row>
    <row r="3242" spans="1:16" x14ac:dyDescent="0.25">
      <c r="A3242">
        <v>2750</v>
      </c>
      <c r="B3242" t="s">
        <v>5513</v>
      </c>
      <c r="C3242">
        <v>37.250963473200002</v>
      </c>
      <c r="D3242">
        <v>-7.1033929370899997</v>
      </c>
      <c r="E3242">
        <v>3</v>
      </c>
      <c r="F3242">
        <v>2</v>
      </c>
      <c r="G3242">
        <v>3</v>
      </c>
      <c r="J3242" t="s">
        <v>15</v>
      </c>
      <c r="K3242">
        <v>3</v>
      </c>
      <c r="L3242">
        <v>3.2109999999999999</v>
      </c>
      <c r="M3242">
        <v>0</v>
      </c>
      <c r="N3242" t="s">
        <v>10019</v>
      </c>
      <c r="O3242" t="str">
        <f>HYPERLINK("3\1\marker_277_384837.png", "Ver Imagen")</f>
        <v>Ver Imagen</v>
      </c>
      <c r="P3242" t="str">
        <f>HYPERLINK("SO\A-5058\A-5058__347.png", "Ver Imagen")</f>
        <v>Ver Imagen</v>
      </c>
    </row>
    <row r="3243" spans="1:16" x14ac:dyDescent="0.25">
      <c r="A3243">
        <v>2751</v>
      </c>
      <c r="B3243" t="s">
        <v>5515</v>
      </c>
      <c r="C3243">
        <v>37.252954905499998</v>
      </c>
      <c r="D3243">
        <v>-7.1057576353099998</v>
      </c>
      <c r="E3243">
        <v>3</v>
      </c>
      <c r="F3243">
        <v>2</v>
      </c>
      <c r="G3243">
        <v>3</v>
      </c>
      <c r="J3243" t="s">
        <v>15</v>
      </c>
      <c r="K3243">
        <v>3</v>
      </c>
      <c r="L3243">
        <v>2.823</v>
      </c>
      <c r="M3243">
        <v>0</v>
      </c>
      <c r="N3243" t="s">
        <v>10019</v>
      </c>
      <c r="O3243" t="str">
        <f>HYPERLINK("3\1\marker_313_384983.png", "Ver Imagen")</f>
        <v>Ver Imagen</v>
      </c>
      <c r="P3243" t="str">
        <f>HYPERLINK("SO\A-5058\A-5058__361.png", "Ver Imagen")</f>
        <v>Ver Imagen</v>
      </c>
    </row>
    <row r="3244" spans="1:16" x14ac:dyDescent="0.25">
      <c r="A3244">
        <v>2752</v>
      </c>
      <c r="B3244" t="s">
        <v>5517</v>
      </c>
      <c r="C3244">
        <v>37.253952870799999</v>
      </c>
      <c r="D3244">
        <v>-7.1076319977500004</v>
      </c>
      <c r="E3244">
        <v>3</v>
      </c>
      <c r="F3244">
        <v>2</v>
      </c>
      <c r="G3244">
        <v>3</v>
      </c>
      <c r="J3244" t="s">
        <v>15</v>
      </c>
      <c r="K3244">
        <v>3</v>
      </c>
      <c r="L3244">
        <v>3.1539999999999999</v>
      </c>
      <c r="M3244">
        <v>0</v>
      </c>
      <c r="N3244" t="s">
        <v>10019</v>
      </c>
      <c r="O3244" t="str">
        <f>HYPERLINK("3\1\marker_311_385073.png", "Ver Imagen")</f>
        <v>Ver Imagen</v>
      </c>
      <c r="P3244" t="str">
        <f>HYPERLINK("SO\A-5058\A-5058__370.png", "Ver Imagen")</f>
        <v>Ver Imagen</v>
      </c>
    </row>
    <row r="3245" spans="1:16" x14ac:dyDescent="0.25">
      <c r="A3245">
        <v>2753</v>
      </c>
      <c r="B3245" t="s">
        <v>5519</v>
      </c>
      <c r="C3245">
        <v>37.254112090100001</v>
      </c>
      <c r="D3245">
        <v>-7.1078386561200002</v>
      </c>
      <c r="E3245">
        <v>3</v>
      </c>
      <c r="F3245">
        <v>2</v>
      </c>
      <c r="G3245">
        <v>3</v>
      </c>
      <c r="J3245" t="s">
        <v>15</v>
      </c>
      <c r="K3245">
        <v>3</v>
      </c>
      <c r="L3245">
        <v>2.8359999999999999</v>
      </c>
      <c r="M3245">
        <v>0</v>
      </c>
      <c r="N3245" t="s">
        <v>10019</v>
      </c>
      <c r="O3245" t="str">
        <f>HYPERLINK("3\1\marker_275_385085.png", "Ver Imagen")</f>
        <v>Ver Imagen</v>
      </c>
      <c r="P3245" t="str">
        <f>HYPERLINK("SO\A-5058\A-5058__371.png", "Ver Imagen")</f>
        <v>Ver Imagen</v>
      </c>
    </row>
    <row r="3246" spans="1:16" x14ac:dyDescent="0.25">
      <c r="A3246">
        <v>2754</v>
      </c>
      <c r="B3246" t="s">
        <v>5521</v>
      </c>
      <c r="C3246">
        <v>37.2542400301</v>
      </c>
      <c r="D3246">
        <v>-7.1080040440200003</v>
      </c>
      <c r="E3246">
        <v>3</v>
      </c>
      <c r="F3246">
        <v>2</v>
      </c>
      <c r="G3246">
        <v>3</v>
      </c>
      <c r="J3246" t="s">
        <v>15</v>
      </c>
      <c r="K3246">
        <v>3</v>
      </c>
      <c r="L3246">
        <v>2.8029999999999999</v>
      </c>
      <c r="M3246">
        <v>0</v>
      </c>
      <c r="N3246" t="s">
        <v>10019</v>
      </c>
      <c r="O3246" t="str">
        <f>HYPERLINK("3\1\marker_905_385095.png", "Ver Imagen")</f>
        <v>Ver Imagen</v>
      </c>
      <c r="P3246" t="str">
        <f>HYPERLINK("SO\A-5058\A-5058__372.png", "Ver Imagen")</f>
        <v>Ver Imagen</v>
      </c>
    </row>
    <row r="3247" spans="1:16" x14ac:dyDescent="0.25">
      <c r="A3247">
        <v>2755</v>
      </c>
      <c r="B3247" t="s">
        <v>5523</v>
      </c>
      <c r="C3247">
        <v>37.255017230299998</v>
      </c>
      <c r="D3247">
        <v>-7.1090050800200002</v>
      </c>
      <c r="E3247">
        <v>3</v>
      </c>
      <c r="F3247">
        <v>2</v>
      </c>
      <c r="G3247">
        <v>3</v>
      </c>
      <c r="J3247" t="s">
        <v>15</v>
      </c>
      <c r="K3247">
        <v>3</v>
      </c>
      <c r="L3247">
        <v>2.766</v>
      </c>
      <c r="M3247">
        <v>0</v>
      </c>
      <c r="N3247" t="s">
        <v>10017</v>
      </c>
      <c r="O3247" t="str">
        <f>HYPERLINK("3\1\marker_681_385174.png", "Ver Imagen")</f>
        <v>Ver Imagen</v>
      </c>
      <c r="P3247" t="str">
        <f>HYPERLINK("SO\A-5058\A-5058__378.png", "Ver Imagen")</f>
        <v>Ver Imagen</v>
      </c>
    </row>
    <row r="3248" spans="1:16" x14ac:dyDescent="0.25">
      <c r="A3248">
        <v>2756</v>
      </c>
      <c r="B3248" t="s">
        <v>5525</v>
      </c>
      <c r="C3248">
        <v>37.2553552575</v>
      </c>
      <c r="D3248">
        <v>-7.1114229986300002</v>
      </c>
      <c r="E3248">
        <v>3</v>
      </c>
      <c r="F3248">
        <v>2</v>
      </c>
      <c r="G3248">
        <v>3</v>
      </c>
      <c r="J3248" t="s">
        <v>15</v>
      </c>
      <c r="K3248">
        <v>3</v>
      </c>
      <c r="L3248">
        <v>2.7440000000000002</v>
      </c>
      <c r="M3248">
        <v>0</v>
      </c>
      <c r="N3248" t="s">
        <v>10019</v>
      </c>
      <c r="O3248" t="str">
        <f>HYPERLINK("3\1\marker_529_385286.png", "Ver Imagen")</f>
        <v>Ver Imagen</v>
      </c>
      <c r="P3248" t="str">
        <f>HYPERLINK("SO\A-5058\A-5058__388.png", "Ver Imagen")</f>
        <v>Ver Imagen</v>
      </c>
    </row>
    <row r="3249" spans="1:16" x14ac:dyDescent="0.25">
      <c r="A3249">
        <v>2757</v>
      </c>
      <c r="B3249" t="s">
        <v>5527</v>
      </c>
      <c r="C3249">
        <v>37.2552290609</v>
      </c>
      <c r="D3249">
        <v>-7.1121757000799999</v>
      </c>
      <c r="E3249">
        <v>3</v>
      </c>
      <c r="F3249">
        <v>2</v>
      </c>
      <c r="G3249">
        <v>3</v>
      </c>
      <c r="J3249" t="s">
        <v>15</v>
      </c>
      <c r="K3249">
        <v>3</v>
      </c>
      <c r="L3249">
        <v>2.8980000000000001</v>
      </c>
      <c r="M3249">
        <v>0</v>
      </c>
      <c r="N3249" t="s">
        <v>10019</v>
      </c>
      <c r="O3249" t="str">
        <f>HYPERLINK("3\1\marker_467_385314.png", "Ver Imagen")</f>
        <v>Ver Imagen</v>
      </c>
      <c r="P3249" t="str">
        <f>HYPERLINK("SO\A-5058\A-5058__391.png", "Ver Imagen")</f>
        <v>Ver Imagen</v>
      </c>
    </row>
    <row r="3250" spans="1:16" x14ac:dyDescent="0.25">
      <c r="A3250">
        <v>2758</v>
      </c>
      <c r="B3250" t="s">
        <v>5529</v>
      </c>
      <c r="C3250">
        <v>37.255176644599999</v>
      </c>
      <c r="D3250">
        <v>-7.1124121644300002</v>
      </c>
      <c r="E3250">
        <v>3</v>
      </c>
      <c r="F3250">
        <v>2</v>
      </c>
      <c r="G3250">
        <v>3</v>
      </c>
      <c r="J3250" t="s">
        <v>15</v>
      </c>
      <c r="K3250">
        <v>3</v>
      </c>
      <c r="L3250">
        <v>2.9289999999999998</v>
      </c>
      <c r="M3250">
        <v>0</v>
      </c>
      <c r="N3250" t="s">
        <v>10019</v>
      </c>
      <c r="O3250" t="str">
        <f>HYPERLINK("3\1\marker_754_385322.png", "Ver Imagen")</f>
        <v>Ver Imagen</v>
      </c>
      <c r="P3250" t="str">
        <f>HYPERLINK("SO\A-5058\A-5058__392.png", "Ver Imagen")</f>
        <v>Ver Imagen</v>
      </c>
    </row>
    <row r="3251" spans="1:16" x14ac:dyDescent="0.25">
      <c r="A3251">
        <v>2759</v>
      </c>
      <c r="B3251" t="s">
        <v>5531</v>
      </c>
      <c r="C3251">
        <v>37.254816972</v>
      </c>
      <c r="D3251">
        <v>-7.1138695318899998</v>
      </c>
      <c r="E3251">
        <v>3</v>
      </c>
      <c r="F3251">
        <v>2</v>
      </c>
      <c r="G3251">
        <v>3</v>
      </c>
      <c r="J3251" t="s">
        <v>15</v>
      </c>
      <c r="K3251">
        <v>3</v>
      </c>
      <c r="L3251">
        <v>2.8380000000000001</v>
      </c>
      <c r="M3251">
        <v>0</v>
      </c>
      <c r="N3251" t="s">
        <v>10019</v>
      </c>
      <c r="O3251" t="str">
        <f>HYPERLINK("3\1\marker_357_385404.png", "Ver Imagen")</f>
        <v>Ver Imagen</v>
      </c>
      <c r="P3251" t="str">
        <f>HYPERLINK("SO\A-5058\A-5058__398.png", "Ver Imagen")</f>
        <v>Ver Imagen</v>
      </c>
    </row>
    <row r="3252" spans="1:16" x14ac:dyDescent="0.25">
      <c r="A3252">
        <v>2760</v>
      </c>
      <c r="B3252" t="s">
        <v>5533</v>
      </c>
      <c r="C3252">
        <v>37.254654361999997</v>
      </c>
      <c r="D3252">
        <v>-7.1145888346900001</v>
      </c>
      <c r="E3252">
        <v>3</v>
      </c>
      <c r="F3252">
        <v>2</v>
      </c>
      <c r="G3252">
        <v>3</v>
      </c>
      <c r="J3252" t="s">
        <v>15</v>
      </c>
      <c r="K3252">
        <v>3</v>
      </c>
      <c r="L3252">
        <v>3.02</v>
      </c>
      <c r="M3252">
        <v>0</v>
      </c>
      <c r="N3252" t="s">
        <v>10019</v>
      </c>
      <c r="O3252" t="str">
        <f>HYPERLINK("3\1\marker_480_388073.png", "Ver Imagen")</f>
        <v>Ver Imagen</v>
      </c>
      <c r="P3252" t="str">
        <f>HYPERLINK("SO\A-5058\A-5058__401.png", "Ver Imagen")</f>
        <v>Ver Imagen</v>
      </c>
    </row>
    <row r="3253" spans="1:16" x14ac:dyDescent="0.25">
      <c r="A3253">
        <v>2761</v>
      </c>
      <c r="B3253" t="s">
        <v>5535</v>
      </c>
      <c r="C3253">
        <v>37.254586906500002</v>
      </c>
      <c r="D3253">
        <v>-7.11508469334</v>
      </c>
      <c r="E3253">
        <v>3</v>
      </c>
      <c r="F3253">
        <v>2</v>
      </c>
      <c r="G3253">
        <v>3</v>
      </c>
      <c r="J3253" t="s">
        <v>15</v>
      </c>
      <c r="K3253">
        <v>3</v>
      </c>
      <c r="L3253">
        <v>2.91</v>
      </c>
      <c r="M3253">
        <v>0</v>
      </c>
      <c r="N3253" t="s">
        <v>10019</v>
      </c>
      <c r="O3253" t="str">
        <f>HYPERLINK("3\1\marker_392_388527.png", "Ver Imagen")</f>
        <v>Ver Imagen</v>
      </c>
      <c r="P3253" t="str">
        <f>HYPERLINK("SO\A-5058\A-5058__403.png", "Ver Imagen")</f>
        <v>Ver Imagen</v>
      </c>
    </row>
    <row r="3254" spans="1:16" x14ac:dyDescent="0.25">
      <c r="A3254">
        <v>2762</v>
      </c>
      <c r="B3254" t="s">
        <v>5537</v>
      </c>
      <c r="C3254">
        <v>37.254587540499998</v>
      </c>
      <c r="D3254">
        <v>-7.1158222197400001</v>
      </c>
      <c r="E3254">
        <v>3</v>
      </c>
      <c r="F3254">
        <v>2</v>
      </c>
      <c r="G3254">
        <v>3</v>
      </c>
      <c r="J3254" t="s">
        <v>15</v>
      </c>
      <c r="K3254">
        <v>3</v>
      </c>
      <c r="L3254">
        <v>2.8220000000000001</v>
      </c>
      <c r="M3254">
        <v>0</v>
      </c>
      <c r="N3254" t="s">
        <v>10019</v>
      </c>
      <c r="O3254" t="str">
        <f>HYPERLINK("3\1\marker_518_388603.png", "Ver Imagen")</f>
        <v>Ver Imagen</v>
      </c>
      <c r="P3254" t="str">
        <f>HYPERLINK("SO\A-5058\A-5058__406.png", "Ver Imagen")</f>
        <v>Ver Imagen</v>
      </c>
    </row>
    <row r="3255" spans="1:16" x14ac:dyDescent="0.25">
      <c r="A3255">
        <v>2763</v>
      </c>
      <c r="B3255" t="s">
        <v>5539</v>
      </c>
      <c r="C3255">
        <v>37.254725580600002</v>
      </c>
      <c r="D3255">
        <v>-7.1165572179099996</v>
      </c>
      <c r="E3255">
        <v>3</v>
      </c>
      <c r="F3255">
        <v>2</v>
      </c>
      <c r="G3255">
        <v>3</v>
      </c>
      <c r="J3255" t="s">
        <v>15</v>
      </c>
      <c r="K3255">
        <v>3</v>
      </c>
      <c r="L3255">
        <v>2.9929999999999999</v>
      </c>
      <c r="M3255">
        <v>0</v>
      </c>
      <c r="N3255" t="s">
        <v>10019</v>
      </c>
      <c r="O3255" t="str">
        <f>HYPERLINK("3\1\marker_402_388638.png", "Ver Imagen")</f>
        <v>Ver Imagen</v>
      </c>
      <c r="P3255" t="str">
        <f>HYPERLINK("SO\A-5058\A-5058__409.png", "Ver Imagen")</f>
        <v>Ver Imagen</v>
      </c>
    </row>
    <row r="3256" spans="1:16" x14ac:dyDescent="0.25">
      <c r="A3256">
        <v>2764</v>
      </c>
      <c r="B3256" t="s">
        <v>5541</v>
      </c>
      <c r="C3256">
        <v>37.254796602799999</v>
      </c>
      <c r="D3256">
        <v>-7.1167805174699996</v>
      </c>
      <c r="E3256">
        <v>3</v>
      </c>
      <c r="F3256">
        <v>2</v>
      </c>
      <c r="G3256">
        <v>3</v>
      </c>
      <c r="J3256" t="s">
        <v>15</v>
      </c>
      <c r="K3256">
        <v>3</v>
      </c>
      <c r="L3256">
        <v>2.8</v>
      </c>
      <c r="M3256">
        <v>0</v>
      </c>
      <c r="N3256" t="s">
        <v>10019</v>
      </c>
      <c r="O3256" t="str">
        <f>HYPERLINK("3\1\marker_498_388648.png", "Ver Imagen")</f>
        <v>Ver Imagen</v>
      </c>
      <c r="P3256" t="str">
        <f>HYPERLINK("SO\A-5058\A-5058__410.png", "Ver Imagen")</f>
        <v>Ver Imagen</v>
      </c>
    </row>
    <row r="3257" spans="1:16" x14ac:dyDescent="0.25">
      <c r="A3257">
        <v>2765</v>
      </c>
      <c r="B3257" t="s">
        <v>5543</v>
      </c>
      <c r="C3257">
        <v>37.2548965744</v>
      </c>
      <c r="D3257">
        <v>-7.1170327351999996</v>
      </c>
      <c r="E3257">
        <v>3</v>
      </c>
      <c r="F3257">
        <v>2</v>
      </c>
      <c r="G3257">
        <v>3</v>
      </c>
      <c r="J3257" t="s">
        <v>15</v>
      </c>
      <c r="K3257">
        <v>3</v>
      </c>
      <c r="L3257">
        <v>2.9319999999999999</v>
      </c>
      <c r="M3257">
        <v>0</v>
      </c>
      <c r="N3257" t="s">
        <v>10019</v>
      </c>
      <c r="O3257" t="str">
        <f>HYPERLINK("3\1\marker_981_388659.png", "Ver Imagen")</f>
        <v>Ver Imagen</v>
      </c>
      <c r="P3257" t="str">
        <f>HYPERLINK("SO\A-5058\A-5058__411.png", "Ver Imagen")</f>
        <v>Ver Imagen</v>
      </c>
    </row>
    <row r="3258" spans="1:16" x14ac:dyDescent="0.25">
      <c r="A3258">
        <v>2766</v>
      </c>
      <c r="B3258" t="s">
        <v>5545</v>
      </c>
      <c r="C3258">
        <v>37.255688388800003</v>
      </c>
      <c r="D3258">
        <v>-7.1181386727399998</v>
      </c>
      <c r="E3258">
        <v>3</v>
      </c>
      <c r="F3258">
        <v>2</v>
      </c>
      <c r="G3258">
        <v>3</v>
      </c>
      <c r="J3258" t="s">
        <v>15</v>
      </c>
      <c r="K3258">
        <v>3</v>
      </c>
      <c r="L3258">
        <v>2.8319999999999999</v>
      </c>
      <c r="M3258">
        <v>0</v>
      </c>
      <c r="N3258" t="s">
        <v>10019</v>
      </c>
      <c r="O3258" t="str">
        <f>HYPERLINK("3\1\marker_377_388715.png", "Ver Imagen")</f>
        <v>Ver Imagen</v>
      </c>
      <c r="P3258" t="str">
        <f>HYPERLINK("SO\A-5058\A-5058__417.png", "Ver Imagen")</f>
        <v>Ver Imagen</v>
      </c>
    </row>
    <row r="3259" spans="1:16" x14ac:dyDescent="0.25">
      <c r="A3259">
        <v>2767</v>
      </c>
      <c r="B3259" t="s">
        <v>5547</v>
      </c>
      <c r="C3259">
        <v>37.256728768999999</v>
      </c>
      <c r="D3259">
        <v>-7.1189304981300001</v>
      </c>
      <c r="E3259">
        <v>3</v>
      </c>
      <c r="F3259">
        <v>3</v>
      </c>
      <c r="G3259">
        <v>4</v>
      </c>
      <c r="J3259" t="s">
        <v>15</v>
      </c>
      <c r="K3259">
        <v>3</v>
      </c>
      <c r="L3259">
        <v>3.0089999999999999</v>
      </c>
      <c r="M3259">
        <v>0</v>
      </c>
      <c r="N3259" t="s">
        <v>10019</v>
      </c>
      <c r="O3259" t="str">
        <f>HYPERLINK("3\1\marker_340_388782.png", "Ver Imagen")</f>
        <v>Ver Imagen</v>
      </c>
      <c r="P3259" t="str">
        <f>HYPERLINK("SO\A-5058\A-5058__423.png", "Ver Imagen")</f>
        <v>Ver Imagen</v>
      </c>
    </row>
    <row r="3260" spans="1:16" x14ac:dyDescent="0.25">
      <c r="A3260">
        <v>2768</v>
      </c>
      <c r="B3260" t="s">
        <v>5549</v>
      </c>
      <c r="C3260">
        <v>37.258379206299999</v>
      </c>
      <c r="D3260">
        <v>-7.1203471930399997</v>
      </c>
      <c r="E3260">
        <v>3</v>
      </c>
      <c r="F3260">
        <v>2</v>
      </c>
      <c r="G3260">
        <v>3</v>
      </c>
      <c r="J3260" t="s">
        <v>15</v>
      </c>
      <c r="K3260">
        <v>3</v>
      </c>
      <c r="L3260">
        <v>3.004</v>
      </c>
      <c r="M3260">
        <v>0</v>
      </c>
      <c r="N3260" t="s">
        <v>10019</v>
      </c>
      <c r="O3260" t="str">
        <f>HYPERLINK("3\1\marker_433_388891.png", "Ver Imagen")</f>
        <v>Ver Imagen</v>
      </c>
      <c r="P3260" t="str">
        <f>HYPERLINK("SO\A-5058\A-5058__433.png", "Ver Imagen")</f>
        <v>Ver Imagen</v>
      </c>
    </row>
    <row r="3261" spans="1:16" x14ac:dyDescent="0.25">
      <c r="A3261">
        <v>2769</v>
      </c>
      <c r="B3261" t="s">
        <v>5551</v>
      </c>
      <c r="C3261">
        <v>37.258771158199998</v>
      </c>
      <c r="D3261">
        <v>-7.12205072241</v>
      </c>
      <c r="E3261">
        <v>3</v>
      </c>
      <c r="F3261">
        <v>3</v>
      </c>
      <c r="G3261">
        <v>4</v>
      </c>
      <c r="J3261" t="s">
        <v>15</v>
      </c>
      <c r="K3261">
        <v>3</v>
      </c>
      <c r="L3261">
        <v>3.2090000000000001</v>
      </c>
      <c r="M3261">
        <v>0</v>
      </c>
      <c r="N3261" t="s">
        <v>10019</v>
      </c>
      <c r="O3261" t="str">
        <f>HYPERLINK("3\1\marker_983_388969.png", "Ver Imagen")</f>
        <v>Ver Imagen</v>
      </c>
      <c r="P3261" t="str">
        <f>HYPERLINK("SO\A-5058\A-5058__440.png", "Ver Imagen")</f>
        <v>Ver Imagen</v>
      </c>
    </row>
    <row r="3262" spans="1:16" x14ac:dyDescent="0.25">
      <c r="A3262">
        <v>2770</v>
      </c>
      <c r="B3262" t="s">
        <v>5553</v>
      </c>
      <c r="C3262">
        <v>37.258814873699997</v>
      </c>
      <c r="D3262">
        <v>-7.1225588864400002</v>
      </c>
      <c r="E3262">
        <v>3</v>
      </c>
      <c r="F3262">
        <v>2</v>
      </c>
      <c r="G3262">
        <v>3</v>
      </c>
      <c r="J3262" t="s">
        <v>15</v>
      </c>
      <c r="K3262">
        <v>3</v>
      </c>
      <c r="L3262">
        <v>3.14</v>
      </c>
      <c r="M3262">
        <v>0</v>
      </c>
      <c r="N3262" t="s">
        <v>10019</v>
      </c>
      <c r="O3262" t="str">
        <f>HYPERLINK("3\1\marker_729_389003.png", "Ver Imagen")</f>
        <v>Ver Imagen</v>
      </c>
      <c r="P3262" t="str">
        <f>HYPERLINK("SO\A-5058\A-5058__442.png", "Ver Imagen")</f>
        <v>Ver Imagen</v>
      </c>
    </row>
    <row r="3263" spans="1:16" x14ac:dyDescent="0.25">
      <c r="A3263">
        <v>2771</v>
      </c>
      <c r="B3263" t="s">
        <v>5555</v>
      </c>
      <c r="C3263">
        <v>37.259451672899999</v>
      </c>
      <c r="D3263">
        <v>-7.1259461872100003</v>
      </c>
      <c r="E3263">
        <v>3</v>
      </c>
      <c r="F3263">
        <v>2</v>
      </c>
      <c r="G3263">
        <v>3</v>
      </c>
      <c r="J3263" t="s">
        <v>15</v>
      </c>
      <c r="K3263">
        <v>3</v>
      </c>
      <c r="L3263">
        <v>3.0939999999999999</v>
      </c>
      <c r="M3263">
        <v>0</v>
      </c>
      <c r="N3263" t="s">
        <v>10019</v>
      </c>
      <c r="O3263" t="str">
        <f>HYPERLINK("3\1\marker_744_389152.png", "Ver Imagen")</f>
        <v>Ver Imagen</v>
      </c>
      <c r="P3263" t="str">
        <f>HYPERLINK("SO\A-5058\A-5058__456.png", "Ver Imagen")</f>
        <v>Ver Imagen</v>
      </c>
    </row>
    <row r="3264" spans="1:16" x14ac:dyDescent="0.25">
      <c r="A3264">
        <v>2772</v>
      </c>
      <c r="B3264" t="s">
        <v>5557</v>
      </c>
      <c r="C3264">
        <v>37.259588233300001</v>
      </c>
      <c r="D3264">
        <v>-7.12614345187</v>
      </c>
      <c r="E3264">
        <v>3</v>
      </c>
      <c r="F3264">
        <v>2</v>
      </c>
      <c r="G3264">
        <v>3</v>
      </c>
      <c r="J3264" t="s">
        <v>15</v>
      </c>
      <c r="K3264">
        <v>3</v>
      </c>
      <c r="L3264">
        <v>3.141</v>
      </c>
      <c r="M3264">
        <v>0</v>
      </c>
      <c r="N3264" t="s">
        <v>10019</v>
      </c>
      <c r="O3264" t="str">
        <f>HYPERLINK("3\1\marker_629_389163.png", "Ver Imagen")</f>
        <v>Ver Imagen</v>
      </c>
      <c r="P3264" t="str">
        <f>HYPERLINK("SO\A-5058\A-5058__457.png", "Ver Imagen")</f>
        <v>Ver Imagen</v>
      </c>
    </row>
    <row r="3265" spans="1:16" x14ac:dyDescent="0.25">
      <c r="A3265">
        <v>2773</v>
      </c>
      <c r="B3265" t="s">
        <v>5559</v>
      </c>
      <c r="C3265">
        <v>37.2600381142</v>
      </c>
      <c r="D3265">
        <v>-7.12663906496</v>
      </c>
      <c r="E3265">
        <v>3</v>
      </c>
      <c r="F3265">
        <v>2</v>
      </c>
      <c r="G3265">
        <v>3</v>
      </c>
      <c r="J3265" t="s">
        <v>15</v>
      </c>
      <c r="K3265">
        <v>3</v>
      </c>
      <c r="L3265">
        <v>3.0489999999999999</v>
      </c>
      <c r="M3265">
        <v>0</v>
      </c>
      <c r="N3265" t="s">
        <v>10019</v>
      </c>
      <c r="O3265" t="str">
        <f>HYPERLINK("3\1\marker_779_389316.png", "Ver Imagen")</f>
        <v>Ver Imagen</v>
      </c>
      <c r="P3265" t="str">
        <f>HYPERLINK("SO\A-5058\A-5058__460.png", "Ver Imagen")</f>
        <v>Ver Imagen</v>
      </c>
    </row>
    <row r="3266" spans="1:16" x14ac:dyDescent="0.25">
      <c r="A3266">
        <v>2774</v>
      </c>
      <c r="B3266" t="s">
        <v>5561</v>
      </c>
      <c r="C3266">
        <v>37.260214742599999</v>
      </c>
      <c r="D3266">
        <v>-7.1268130864600003</v>
      </c>
      <c r="E3266">
        <v>3</v>
      </c>
      <c r="F3266">
        <v>2</v>
      </c>
      <c r="G3266">
        <v>3</v>
      </c>
      <c r="J3266" t="s">
        <v>15</v>
      </c>
      <c r="K3266">
        <v>3</v>
      </c>
      <c r="L3266">
        <v>2.6539999999999999</v>
      </c>
      <c r="M3266">
        <v>0</v>
      </c>
      <c r="N3266" t="s">
        <v>10017</v>
      </c>
      <c r="O3266" t="str">
        <f>HYPERLINK("3\1\marker_497_389325.png", "Ver Imagen")</f>
        <v>Ver Imagen</v>
      </c>
      <c r="P3266" t="str">
        <f>HYPERLINK("SO\A-5058\A-5058__461.png", "Ver Imagen")</f>
        <v>Ver Imagen</v>
      </c>
    </row>
    <row r="3267" spans="1:16" x14ac:dyDescent="0.25">
      <c r="A3267">
        <v>2775</v>
      </c>
      <c r="B3267" t="s">
        <v>5563</v>
      </c>
      <c r="C3267">
        <v>37.261088552399997</v>
      </c>
      <c r="D3267">
        <v>-7.12838764378</v>
      </c>
      <c r="E3267">
        <v>3</v>
      </c>
      <c r="F3267">
        <v>2</v>
      </c>
      <c r="G3267">
        <v>3</v>
      </c>
      <c r="J3267" t="s">
        <v>15</v>
      </c>
      <c r="K3267">
        <v>3</v>
      </c>
      <c r="L3267">
        <v>2.6360000000000001</v>
      </c>
      <c r="M3267">
        <v>0</v>
      </c>
      <c r="N3267" t="s">
        <v>10019</v>
      </c>
      <c r="O3267" t="str">
        <f>HYPERLINK("3\1\marker_631_389394.png", "Ver Imagen")</f>
        <v>Ver Imagen</v>
      </c>
      <c r="P3267" t="str">
        <f>HYPERLINK("SO\A-5058\A-5058__469.png", "Ver Imagen")</f>
        <v>Ver Imagen</v>
      </c>
    </row>
    <row r="3268" spans="1:16" x14ac:dyDescent="0.25">
      <c r="A3268">
        <v>2776</v>
      </c>
      <c r="B3268" t="s">
        <v>5565</v>
      </c>
      <c r="C3268">
        <v>37.444067727300002</v>
      </c>
      <c r="D3268">
        <v>-7.0997454269300002</v>
      </c>
      <c r="E3268">
        <v>3</v>
      </c>
      <c r="F3268">
        <v>2</v>
      </c>
      <c r="G3268">
        <v>3</v>
      </c>
      <c r="J3268" t="s">
        <v>15</v>
      </c>
      <c r="K3268">
        <v>3</v>
      </c>
      <c r="L3268">
        <v>2.9180000000000001</v>
      </c>
      <c r="M3268">
        <v>0</v>
      </c>
      <c r="N3268" t="s">
        <v>10019</v>
      </c>
      <c r="O3268" t="str">
        <f>HYPERLINK("3\1\marker_542_380997.png", "Ver Imagen")</f>
        <v>Ver Imagen</v>
      </c>
      <c r="P3268" t="str">
        <f>HYPERLINK("NE\A-495\A-495__3.png", "Ver Imagen")</f>
        <v>Ver Imagen</v>
      </c>
    </row>
    <row r="3269" spans="1:16" x14ac:dyDescent="0.25">
      <c r="A3269">
        <v>2777</v>
      </c>
      <c r="B3269" t="s">
        <v>5567</v>
      </c>
      <c r="C3269">
        <v>37.444056271999997</v>
      </c>
      <c r="D3269">
        <v>-7.0994268940899996</v>
      </c>
      <c r="E3269">
        <v>3</v>
      </c>
      <c r="F3269">
        <v>2</v>
      </c>
      <c r="G3269">
        <v>3</v>
      </c>
      <c r="J3269" t="s">
        <v>15</v>
      </c>
      <c r="K3269">
        <v>3</v>
      </c>
      <c r="L3269">
        <v>3.04</v>
      </c>
      <c r="M3269">
        <v>0</v>
      </c>
      <c r="N3269" t="s">
        <v>10019</v>
      </c>
      <c r="O3269" t="str">
        <f>HYPERLINK("3\1\marker_513_381018.png", "Ver Imagen")</f>
        <v>Ver Imagen</v>
      </c>
      <c r="P3269" t="str">
        <f>HYPERLINK("NE\A-495\A-495__4.png", "Ver Imagen")</f>
        <v>Ver Imagen</v>
      </c>
    </row>
    <row r="3270" spans="1:16" x14ac:dyDescent="0.25">
      <c r="A3270">
        <v>2778</v>
      </c>
      <c r="B3270" t="s">
        <v>5569</v>
      </c>
      <c r="C3270">
        <v>37.444032081000003</v>
      </c>
      <c r="D3270">
        <v>-7.0989607720199999</v>
      </c>
      <c r="E3270">
        <v>3</v>
      </c>
      <c r="F3270">
        <v>2</v>
      </c>
      <c r="G3270">
        <v>3</v>
      </c>
      <c r="J3270" t="s">
        <v>15</v>
      </c>
      <c r="K3270">
        <v>3</v>
      </c>
      <c r="L3270">
        <v>2.738</v>
      </c>
      <c r="M3270">
        <v>0</v>
      </c>
      <c r="N3270" t="s">
        <v>10018</v>
      </c>
      <c r="O3270" t="str">
        <f>HYPERLINK("3\1\marker_676_381039.png", "Ver Imagen")</f>
        <v>Ver Imagen</v>
      </c>
      <c r="P3270" t="str">
        <f>HYPERLINK("NE\A-495\A-495__6.png", "Ver Imagen")</f>
        <v>Ver Imagen</v>
      </c>
    </row>
    <row r="3271" spans="1:16" x14ac:dyDescent="0.25">
      <c r="A3271">
        <v>2779</v>
      </c>
      <c r="B3271" t="s">
        <v>5571</v>
      </c>
      <c r="C3271">
        <v>37.4440136849</v>
      </c>
      <c r="D3271">
        <v>-7.0986537733399997</v>
      </c>
      <c r="E3271">
        <v>3</v>
      </c>
      <c r="F3271">
        <v>2</v>
      </c>
      <c r="G3271">
        <v>3</v>
      </c>
      <c r="J3271" t="s">
        <v>15</v>
      </c>
      <c r="K3271">
        <v>3</v>
      </c>
      <c r="L3271">
        <v>2.9809999999999999</v>
      </c>
      <c r="M3271">
        <v>0</v>
      </c>
      <c r="N3271" t="s">
        <v>10019</v>
      </c>
      <c r="O3271" t="str">
        <f>HYPERLINK("3\1\marker_682_381048.png", "Ver Imagen")</f>
        <v>Ver Imagen</v>
      </c>
      <c r="P3271" t="str">
        <f>HYPERLINK("NE\A-495\A-495__7.png", "Ver Imagen")</f>
        <v>Ver Imagen</v>
      </c>
    </row>
    <row r="3272" spans="1:16" x14ac:dyDescent="0.25">
      <c r="A3272">
        <v>2780</v>
      </c>
      <c r="B3272" t="s">
        <v>5573</v>
      </c>
      <c r="C3272">
        <v>37.443965066300002</v>
      </c>
      <c r="D3272">
        <v>-7.0976954789500004</v>
      </c>
      <c r="E3272">
        <v>3</v>
      </c>
      <c r="F3272">
        <v>2</v>
      </c>
      <c r="G3272">
        <v>3</v>
      </c>
      <c r="J3272" t="s">
        <v>15</v>
      </c>
      <c r="K3272">
        <v>3</v>
      </c>
      <c r="L3272">
        <v>2.5579999999999998</v>
      </c>
      <c r="M3272">
        <v>0</v>
      </c>
      <c r="N3272" t="s">
        <v>10017</v>
      </c>
      <c r="O3272" t="str">
        <f>HYPERLINK("3\1\marker_703_381171.png", "Ver Imagen")</f>
        <v>Ver Imagen</v>
      </c>
      <c r="P3272" t="str">
        <f>HYPERLINK("NE\A-495\A-495__11.png", "Ver Imagen")</f>
        <v>Ver Imagen</v>
      </c>
    </row>
    <row r="3273" spans="1:16" x14ac:dyDescent="0.25">
      <c r="A3273">
        <v>2782</v>
      </c>
      <c r="B3273" t="s">
        <v>5577</v>
      </c>
      <c r="C3273">
        <v>37.476360260600003</v>
      </c>
      <c r="D3273">
        <v>-7.1257605256899996</v>
      </c>
      <c r="E3273">
        <v>3</v>
      </c>
      <c r="F3273">
        <v>2</v>
      </c>
      <c r="G3273">
        <v>3</v>
      </c>
      <c r="J3273" t="s">
        <v>15</v>
      </c>
      <c r="K3273">
        <v>3</v>
      </c>
      <c r="L3273">
        <v>3.2090000000000001</v>
      </c>
      <c r="M3273">
        <v>0</v>
      </c>
      <c r="N3273" t="s">
        <v>10019</v>
      </c>
      <c r="O3273" t="str">
        <f>HYPERLINK("3\1\marker_652_384273.png", "Ver Imagen")</f>
        <v>Ver Imagen</v>
      </c>
      <c r="P3273" t="str">
        <f>HYPERLINK("NE\A-495_1\A-495_1__147.png", "Ver Imagen")</f>
        <v>Ver Imagen</v>
      </c>
    </row>
    <row r="3274" spans="1:16" x14ac:dyDescent="0.25">
      <c r="A3274">
        <v>2783</v>
      </c>
      <c r="B3274" t="s">
        <v>5579</v>
      </c>
      <c r="C3274">
        <v>37.475561131600003</v>
      </c>
      <c r="D3274">
        <v>-7.1258819838700003</v>
      </c>
      <c r="E3274">
        <v>3</v>
      </c>
      <c r="F3274">
        <v>2</v>
      </c>
      <c r="G3274">
        <v>3</v>
      </c>
      <c r="J3274" t="s">
        <v>15</v>
      </c>
      <c r="K3274">
        <v>3</v>
      </c>
      <c r="L3274">
        <v>3.1989999999999998</v>
      </c>
      <c r="M3274">
        <v>0</v>
      </c>
      <c r="N3274" t="s">
        <v>10019</v>
      </c>
      <c r="O3274" t="str">
        <f>HYPERLINK("3\1\marker_808_384323.png", "Ver Imagen")</f>
        <v>Ver Imagen</v>
      </c>
      <c r="P3274" t="str">
        <f>HYPERLINK("NE\A-495_1\A-495_1__143.png", "Ver Imagen")</f>
        <v>Ver Imagen</v>
      </c>
    </row>
    <row r="3275" spans="1:16" x14ac:dyDescent="0.25">
      <c r="A3275">
        <v>2784</v>
      </c>
      <c r="B3275" t="s">
        <v>5581</v>
      </c>
      <c r="C3275">
        <v>37.473942855099999</v>
      </c>
      <c r="D3275">
        <v>-7.12623591955</v>
      </c>
      <c r="E3275">
        <v>3</v>
      </c>
      <c r="F3275">
        <v>2</v>
      </c>
      <c r="G3275">
        <v>3</v>
      </c>
      <c r="J3275" t="s">
        <v>15</v>
      </c>
      <c r="K3275">
        <v>3</v>
      </c>
      <c r="L3275">
        <v>2.5910000000000002</v>
      </c>
      <c r="M3275">
        <v>0</v>
      </c>
      <c r="N3275" t="s">
        <v>10019</v>
      </c>
      <c r="O3275" t="str">
        <f>HYPERLINK("3\1\marker_779_384422.png", "Ver Imagen")</f>
        <v>Ver Imagen</v>
      </c>
      <c r="P3275" t="str">
        <f>HYPERLINK("NE\A-495_1\A-495_1__135.png", "Ver Imagen")</f>
        <v>Ver Imagen</v>
      </c>
    </row>
    <row r="3276" spans="1:16" x14ac:dyDescent="0.25">
      <c r="A3276">
        <v>2785</v>
      </c>
      <c r="B3276" t="s">
        <v>5583</v>
      </c>
      <c r="C3276">
        <v>37.472171039300001</v>
      </c>
      <c r="D3276">
        <v>-7.1262922658000001</v>
      </c>
      <c r="E3276">
        <v>3</v>
      </c>
      <c r="F3276">
        <v>2</v>
      </c>
      <c r="G3276">
        <v>3</v>
      </c>
      <c r="J3276" t="s">
        <v>15</v>
      </c>
      <c r="K3276">
        <v>3</v>
      </c>
      <c r="L3276">
        <v>2.9140000000000001</v>
      </c>
      <c r="M3276">
        <v>0</v>
      </c>
      <c r="N3276" t="s">
        <v>10019</v>
      </c>
      <c r="O3276" t="str">
        <f>HYPERLINK("3\1\marker_331_384512.png", "Ver Imagen")</f>
        <v>Ver Imagen</v>
      </c>
      <c r="P3276" t="str">
        <f>HYPERLINK("NE\A-495_1\A-495_1__126.png", "Ver Imagen")</f>
        <v>Ver Imagen</v>
      </c>
    </row>
    <row r="3277" spans="1:16" x14ac:dyDescent="0.25">
      <c r="A3277">
        <v>2786</v>
      </c>
      <c r="B3277" t="s">
        <v>5585</v>
      </c>
      <c r="C3277">
        <v>37.468133165899999</v>
      </c>
      <c r="D3277">
        <v>-7.1233786173900002</v>
      </c>
      <c r="E3277">
        <v>3</v>
      </c>
      <c r="F3277">
        <v>4</v>
      </c>
      <c r="G3277">
        <v>3</v>
      </c>
      <c r="J3277" t="s">
        <v>15</v>
      </c>
      <c r="K3277">
        <v>3</v>
      </c>
      <c r="L3277">
        <v>2.8490000000000002</v>
      </c>
      <c r="M3277">
        <v>0</v>
      </c>
      <c r="N3277" t="s">
        <v>10019</v>
      </c>
      <c r="O3277" t="str">
        <f>HYPERLINK("3\1\marker_486_384969.png", "Ver Imagen")</f>
        <v>Ver Imagen</v>
      </c>
      <c r="P3277" t="str">
        <f>HYPERLINK("NE\A-495_1\A-495_1__103.png", "Ver Imagen")</f>
        <v>Ver Imagen</v>
      </c>
    </row>
    <row r="3278" spans="1:16" x14ac:dyDescent="0.25">
      <c r="A3278">
        <v>2788</v>
      </c>
      <c r="B3278" t="s">
        <v>5589</v>
      </c>
      <c r="C3278">
        <v>37.4499114969</v>
      </c>
      <c r="D3278">
        <v>-7.1272149496599999</v>
      </c>
      <c r="E3278">
        <v>3</v>
      </c>
      <c r="F3278">
        <v>2</v>
      </c>
      <c r="G3278">
        <v>3</v>
      </c>
      <c r="J3278" t="s">
        <v>15</v>
      </c>
      <c r="K3278">
        <v>3</v>
      </c>
      <c r="L3278">
        <v>2.8359999999999999</v>
      </c>
      <c r="M3278">
        <v>0</v>
      </c>
      <c r="N3278" t="s">
        <v>10017</v>
      </c>
      <c r="O3278" t="str">
        <f>HYPERLINK("3\1\marker_691_386227.png", "Ver Imagen")</f>
        <v>Ver Imagen</v>
      </c>
      <c r="P3278" t="str">
        <f>HYPERLINK("NE\A-495_1\A-495_1__10.png", "Ver Imagen")</f>
        <v>Ver Imagen</v>
      </c>
    </row>
    <row r="3279" spans="1:16" x14ac:dyDescent="0.25">
      <c r="A3279">
        <v>2791</v>
      </c>
      <c r="B3279" t="s">
        <v>5595</v>
      </c>
      <c r="C3279">
        <v>37.495489126700001</v>
      </c>
      <c r="D3279">
        <v>-7.2697268885500002</v>
      </c>
      <c r="E3279">
        <v>3</v>
      </c>
      <c r="F3279">
        <v>2</v>
      </c>
      <c r="G3279">
        <v>3</v>
      </c>
      <c r="J3279" t="s">
        <v>15</v>
      </c>
      <c r="K3279">
        <v>3</v>
      </c>
      <c r="L3279">
        <v>2.8730000000000002</v>
      </c>
      <c r="M3279">
        <v>0</v>
      </c>
      <c r="N3279" t="s">
        <v>10019</v>
      </c>
      <c r="O3279" t="str">
        <f>HYPERLINK("3\1\marker_561_535198.png", "Ver Imagen")</f>
        <v>Ver Imagen</v>
      </c>
      <c r="P3279" t="str">
        <f>HYPERLINK("NO\A-499\A-499__72.png", "Ver Imagen")</f>
        <v>Ver Imagen</v>
      </c>
    </row>
    <row r="3280" spans="1:16" x14ac:dyDescent="0.25">
      <c r="A3280">
        <v>2792</v>
      </c>
      <c r="B3280" t="s">
        <v>5597</v>
      </c>
      <c r="C3280">
        <v>37.495482569300002</v>
      </c>
      <c r="D3280">
        <v>-7.2694470668199997</v>
      </c>
      <c r="E3280">
        <v>3</v>
      </c>
      <c r="F3280">
        <v>3</v>
      </c>
      <c r="G3280">
        <v>4</v>
      </c>
      <c r="J3280" t="s">
        <v>15</v>
      </c>
      <c r="K3280">
        <v>3</v>
      </c>
      <c r="L3280">
        <v>2.637</v>
      </c>
      <c r="M3280">
        <v>0</v>
      </c>
      <c r="N3280" t="s">
        <v>10019</v>
      </c>
      <c r="O3280" t="str">
        <f>HYPERLINK("3\1\marker_552_788823.png", "Ver Imagen")</f>
        <v>Ver Imagen</v>
      </c>
      <c r="P3280" t="str">
        <f>HYPERLINK("NO\A-499\A-499__73.png", "Ver Imagen")</f>
        <v>Ver Imagen</v>
      </c>
    </row>
    <row r="3281" spans="1:16" x14ac:dyDescent="0.25">
      <c r="A3281">
        <v>2793</v>
      </c>
      <c r="B3281" t="s">
        <v>5599</v>
      </c>
      <c r="C3281">
        <v>37.495389189400001</v>
      </c>
      <c r="D3281">
        <v>-7.2686925486999998</v>
      </c>
      <c r="E3281">
        <v>3</v>
      </c>
      <c r="F3281">
        <v>3</v>
      </c>
      <c r="G3281">
        <v>4</v>
      </c>
      <c r="J3281" t="s">
        <v>15</v>
      </c>
      <c r="K3281">
        <v>3</v>
      </c>
      <c r="L3281">
        <v>3.1970000000000001</v>
      </c>
      <c r="M3281">
        <v>0</v>
      </c>
      <c r="N3281" t="s">
        <v>10019</v>
      </c>
      <c r="O3281" t="str">
        <f>HYPERLINK("3\1\marker_943_789177.png", "Ver Imagen")</f>
        <v>Ver Imagen</v>
      </c>
      <c r="P3281" t="str">
        <f>HYPERLINK("NO\A-499\A-499__76.png", "Ver Imagen")</f>
        <v>Ver Imagen</v>
      </c>
    </row>
    <row r="3282" spans="1:16" x14ac:dyDescent="0.25">
      <c r="A3282">
        <v>2794</v>
      </c>
      <c r="B3282" t="s">
        <v>5601</v>
      </c>
      <c r="C3282">
        <v>37.495305291400001</v>
      </c>
      <c r="D3282">
        <v>-7.2682363706000004</v>
      </c>
      <c r="E3282">
        <v>4</v>
      </c>
      <c r="F3282">
        <v>3</v>
      </c>
      <c r="G3282">
        <v>3</v>
      </c>
      <c r="J3282" t="s">
        <v>15</v>
      </c>
      <c r="K3282">
        <v>3</v>
      </c>
      <c r="L3282">
        <v>3.3759999999999999</v>
      </c>
      <c r="M3282">
        <v>0</v>
      </c>
      <c r="N3282" t="s">
        <v>10019</v>
      </c>
      <c r="O3282" t="str">
        <f>HYPERLINK("3\1\marker_731_789221.png", "Ver Imagen")</f>
        <v>Ver Imagen</v>
      </c>
      <c r="P3282" t="str">
        <f>HYPERLINK("NO\A-499\A-499__78.png", "Ver Imagen")</f>
        <v>Ver Imagen</v>
      </c>
    </row>
    <row r="3283" spans="1:16" x14ac:dyDescent="0.25">
      <c r="A3283">
        <v>2796</v>
      </c>
      <c r="B3283" t="s">
        <v>5605</v>
      </c>
      <c r="C3283">
        <v>37.497427849600001</v>
      </c>
      <c r="D3283">
        <v>-7.2679834810099999</v>
      </c>
      <c r="E3283">
        <v>3</v>
      </c>
      <c r="F3283">
        <v>3</v>
      </c>
      <c r="G3283">
        <v>2</v>
      </c>
      <c r="J3283" t="s">
        <v>15</v>
      </c>
      <c r="K3283">
        <v>3</v>
      </c>
      <c r="L3283">
        <v>2.6880000000000002</v>
      </c>
      <c r="M3283">
        <v>0</v>
      </c>
      <c r="N3283" t="s">
        <v>10019</v>
      </c>
      <c r="O3283" t="str">
        <f>HYPERLINK("3\1\marker_715_793096.png", "Ver Imagen")</f>
        <v>Ver Imagen</v>
      </c>
      <c r="P3283" t="str">
        <f>HYPERLINK("NO\A-499\A-499__93.png", "Ver Imagen")</f>
        <v>Ver Imagen</v>
      </c>
    </row>
    <row r="3284" spans="1:16" x14ac:dyDescent="0.25">
      <c r="A3284">
        <v>2797</v>
      </c>
      <c r="B3284" t="s">
        <v>5607</v>
      </c>
      <c r="C3284">
        <v>37.497824212899999</v>
      </c>
      <c r="D3284">
        <v>-7.2678467386700003</v>
      </c>
      <c r="E3284">
        <v>3</v>
      </c>
      <c r="F3284">
        <v>3</v>
      </c>
      <c r="G3284">
        <v>2</v>
      </c>
      <c r="J3284" t="s">
        <v>15</v>
      </c>
      <c r="K3284">
        <v>3</v>
      </c>
      <c r="L3284">
        <v>3.2509999999999999</v>
      </c>
      <c r="M3284">
        <v>0</v>
      </c>
      <c r="N3284" t="s">
        <v>10019</v>
      </c>
      <c r="O3284" t="str">
        <f>HYPERLINK("3\1\marker_693_793137.png", "Ver Imagen")</f>
        <v>Ver Imagen</v>
      </c>
      <c r="P3284" t="str">
        <f>HYPERLINK("NO\A-499\A-499__95.png", "Ver Imagen")</f>
        <v>Ver Imagen</v>
      </c>
    </row>
    <row r="3285" spans="1:16" x14ac:dyDescent="0.25">
      <c r="A3285">
        <v>2798</v>
      </c>
      <c r="B3285" t="s">
        <v>5609</v>
      </c>
      <c r="C3285">
        <v>37.198990172899997</v>
      </c>
      <c r="D3285">
        <v>-6.9828264921900001</v>
      </c>
      <c r="E3285">
        <v>3</v>
      </c>
      <c r="F3285">
        <v>2</v>
      </c>
      <c r="G3285">
        <v>3</v>
      </c>
      <c r="J3285" t="s">
        <v>15</v>
      </c>
      <c r="K3285">
        <v>3</v>
      </c>
      <c r="L3285">
        <v>2.6909999999999998</v>
      </c>
      <c r="M3285">
        <v>0</v>
      </c>
      <c r="N3285" t="s">
        <v>10018</v>
      </c>
      <c r="O3285" t="str">
        <f>HYPERLINK("3\1\marker_529_367586.png", "Ver Imagen")</f>
        <v>Ver Imagen</v>
      </c>
      <c r="P3285" t="str">
        <f>HYPERLINK("SE\A-497\A-497__836.png", "Ver Imagen")</f>
        <v>Ver Imagen</v>
      </c>
    </row>
    <row r="3286" spans="1:16" x14ac:dyDescent="0.25">
      <c r="A3286">
        <v>2799</v>
      </c>
      <c r="B3286" t="s">
        <v>5611</v>
      </c>
      <c r="C3286">
        <v>37.198621598400003</v>
      </c>
      <c r="D3286">
        <v>-6.9818994653799997</v>
      </c>
      <c r="E3286">
        <v>3</v>
      </c>
      <c r="F3286">
        <v>2</v>
      </c>
      <c r="G3286">
        <v>3</v>
      </c>
      <c r="J3286" t="s">
        <v>15</v>
      </c>
      <c r="K3286">
        <v>3</v>
      </c>
      <c r="L3286">
        <v>2.9660000000000002</v>
      </c>
      <c r="M3286">
        <v>0</v>
      </c>
      <c r="N3286" t="s">
        <v>10017</v>
      </c>
      <c r="O3286" t="str">
        <f>HYPERLINK("3\1\marker_131_367629.png", "Ver Imagen")</f>
        <v>Ver Imagen</v>
      </c>
      <c r="P3286" t="str">
        <f>HYPERLINK("SE\A-497\A-497__832.png", "Ver Imagen")</f>
        <v>Ver Imagen</v>
      </c>
    </row>
    <row r="3287" spans="1:16" x14ac:dyDescent="0.25">
      <c r="A3287">
        <v>2800</v>
      </c>
      <c r="B3287" t="s">
        <v>5613</v>
      </c>
      <c r="C3287">
        <v>37.197951912900002</v>
      </c>
      <c r="D3287">
        <v>-6.9806417667299998</v>
      </c>
      <c r="E3287">
        <v>3</v>
      </c>
      <c r="F3287">
        <v>2</v>
      </c>
      <c r="G3287">
        <v>3</v>
      </c>
      <c r="J3287" t="s">
        <v>15</v>
      </c>
      <c r="K3287">
        <v>3</v>
      </c>
      <c r="L3287">
        <v>3.4209999999999998</v>
      </c>
      <c r="M3287">
        <v>0</v>
      </c>
      <c r="N3287" t="s">
        <v>10019</v>
      </c>
      <c r="O3287" t="str">
        <f>HYPERLINK("3\1\marker_203_367688.png", "Ver Imagen")</f>
        <v>Ver Imagen</v>
      </c>
      <c r="P3287" t="str">
        <f>HYPERLINK("SE\A-497\A-497__826.png", "Ver Imagen")</f>
        <v>Ver Imagen</v>
      </c>
    </row>
    <row r="3288" spans="1:16" x14ac:dyDescent="0.25">
      <c r="A3288">
        <v>2801</v>
      </c>
      <c r="B3288" t="s">
        <v>5615</v>
      </c>
      <c r="C3288">
        <v>37.197411216399999</v>
      </c>
      <c r="D3288">
        <v>-6.9799110143699998</v>
      </c>
      <c r="E3288">
        <v>3</v>
      </c>
      <c r="F3288">
        <v>2</v>
      </c>
      <c r="G3288">
        <v>3</v>
      </c>
      <c r="J3288" t="s">
        <v>15</v>
      </c>
      <c r="K3288">
        <v>3</v>
      </c>
      <c r="L3288">
        <v>3.1480000000000001</v>
      </c>
      <c r="M3288">
        <v>0</v>
      </c>
      <c r="N3288" t="s">
        <v>10019</v>
      </c>
      <c r="O3288" t="str">
        <f>HYPERLINK("3\1\marker_342_367734.png", "Ver Imagen")</f>
        <v>Ver Imagen</v>
      </c>
      <c r="P3288" t="str">
        <f>HYPERLINK("SE\A-497\A-497__822.png", "Ver Imagen")</f>
        <v>Ver Imagen</v>
      </c>
    </row>
    <row r="3289" spans="1:16" x14ac:dyDescent="0.25">
      <c r="A3289">
        <v>2802</v>
      </c>
      <c r="B3289" t="s">
        <v>5617</v>
      </c>
      <c r="C3289">
        <v>37.196783906100002</v>
      </c>
      <c r="D3289">
        <v>-6.9792484460799997</v>
      </c>
      <c r="E3289">
        <v>3</v>
      </c>
      <c r="F3289">
        <v>2</v>
      </c>
      <c r="G3289">
        <v>3</v>
      </c>
      <c r="J3289" t="s">
        <v>15</v>
      </c>
      <c r="K3289">
        <v>3</v>
      </c>
      <c r="L3289">
        <v>2.8479999999999999</v>
      </c>
      <c r="M3289">
        <v>0</v>
      </c>
      <c r="N3289" t="s">
        <v>10019</v>
      </c>
      <c r="O3289" t="str">
        <f>HYPERLINK("3\1\marker_352_367775.png", "Ver Imagen")</f>
        <v>Ver Imagen</v>
      </c>
      <c r="P3289" t="str">
        <f>HYPERLINK("SE\A-497\A-497__818.png", "Ver Imagen")</f>
        <v>Ver Imagen</v>
      </c>
    </row>
    <row r="3290" spans="1:16" x14ac:dyDescent="0.25">
      <c r="A3290">
        <v>2803</v>
      </c>
      <c r="B3290" t="s">
        <v>5619</v>
      </c>
      <c r="C3290">
        <v>37.196298318700002</v>
      </c>
      <c r="D3290">
        <v>-6.9788396672199999</v>
      </c>
      <c r="E3290">
        <v>3</v>
      </c>
      <c r="F3290">
        <v>2</v>
      </c>
      <c r="G3290">
        <v>3</v>
      </c>
      <c r="J3290" t="s">
        <v>15</v>
      </c>
      <c r="K3290">
        <v>3</v>
      </c>
      <c r="L3290">
        <v>3.23</v>
      </c>
      <c r="M3290">
        <v>0</v>
      </c>
      <c r="N3290" t="s">
        <v>10019</v>
      </c>
      <c r="O3290" t="str">
        <f>HYPERLINK("3\1\marker_815_367801.png", "Ver Imagen")</f>
        <v>Ver Imagen</v>
      </c>
      <c r="P3290" t="str">
        <f>HYPERLINK("SE\A-497\A-497__815.png", "Ver Imagen")</f>
        <v>Ver Imagen</v>
      </c>
    </row>
    <row r="3291" spans="1:16" x14ac:dyDescent="0.25">
      <c r="A3291">
        <v>2804</v>
      </c>
      <c r="B3291" t="s">
        <v>5621</v>
      </c>
      <c r="C3291">
        <v>37.195922554600003</v>
      </c>
      <c r="D3291">
        <v>-6.9785745236499999</v>
      </c>
      <c r="E3291">
        <v>3</v>
      </c>
      <c r="F3291">
        <v>2</v>
      </c>
      <c r="G3291">
        <v>3</v>
      </c>
      <c r="J3291" t="s">
        <v>15</v>
      </c>
      <c r="K3291">
        <v>3</v>
      </c>
      <c r="L3291">
        <v>2.69</v>
      </c>
      <c r="M3291">
        <v>0</v>
      </c>
      <c r="N3291" t="s">
        <v>10019</v>
      </c>
      <c r="O3291" t="str">
        <f>HYPERLINK("3\1\marker_204_367818.png", "Ver Imagen")</f>
        <v>Ver Imagen</v>
      </c>
      <c r="P3291" t="str">
        <f>HYPERLINK("SE\A-497\A-497__813.png", "Ver Imagen")</f>
        <v>Ver Imagen</v>
      </c>
    </row>
    <row r="3292" spans="1:16" x14ac:dyDescent="0.25">
      <c r="A3292">
        <v>2805</v>
      </c>
      <c r="B3292" t="s">
        <v>5623</v>
      </c>
      <c r="C3292">
        <v>37.195574657100003</v>
      </c>
      <c r="D3292">
        <v>-6.9783590176699999</v>
      </c>
      <c r="E3292">
        <v>3</v>
      </c>
      <c r="F3292">
        <v>2</v>
      </c>
      <c r="G3292">
        <v>3</v>
      </c>
      <c r="J3292" t="s">
        <v>15</v>
      </c>
      <c r="K3292">
        <v>3</v>
      </c>
      <c r="L3292">
        <v>2.76</v>
      </c>
      <c r="M3292">
        <v>0</v>
      </c>
      <c r="N3292" t="s">
        <v>10019</v>
      </c>
      <c r="O3292" t="str">
        <f>HYPERLINK("3\1\marker_194_367839.png", "Ver Imagen")</f>
        <v>Ver Imagen</v>
      </c>
      <c r="P3292" t="str">
        <f>HYPERLINK("SE\A-497\A-497__811.png", "Ver Imagen")</f>
        <v>Ver Imagen</v>
      </c>
    </row>
    <row r="3293" spans="1:16" x14ac:dyDescent="0.25">
      <c r="A3293">
        <v>2806</v>
      </c>
      <c r="B3293" t="s">
        <v>5625</v>
      </c>
      <c r="C3293">
        <v>37.1910143964</v>
      </c>
      <c r="D3293">
        <v>-6.9778787971999998</v>
      </c>
      <c r="E3293">
        <v>3</v>
      </c>
      <c r="F3293">
        <v>2</v>
      </c>
      <c r="G3293">
        <v>3</v>
      </c>
      <c r="J3293" t="s">
        <v>15</v>
      </c>
      <c r="K3293">
        <v>3</v>
      </c>
      <c r="L3293">
        <v>3.0840000000000001</v>
      </c>
      <c r="M3293">
        <v>0</v>
      </c>
      <c r="N3293" t="s">
        <v>10019</v>
      </c>
      <c r="O3293" t="str">
        <f>HYPERLINK("3\1\marker_478_368083.png", "Ver Imagen")</f>
        <v>Ver Imagen</v>
      </c>
      <c r="P3293" t="str">
        <f>HYPERLINK("SE\A-497\A-497__788.png", "Ver Imagen")</f>
        <v>Ver Imagen</v>
      </c>
    </row>
    <row r="3294" spans="1:16" x14ac:dyDescent="0.25">
      <c r="A3294">
        <v>2807</v>
      </c>
      <c r="B3294" t="s">
        <v>5627</v>
      </c>
      <c r="C3294">
        <v>37.189045760200003</v>
      </c>
      <c r="D3294">
        <v>-6.9784106759700002</v>
      </c>
      <c r="E3294">
        <v>3</v>
      </c>
      <c r="F3294">
        <v>2</v>
      </c>
      <c r="G3294">
        <v>3</v>
      </c>
      <c r="J3294" t="s">
        <v>15</v>
      </c>
      <c r="K3294">
        <v>3</v>
      </c>
      <c r="L3294">
        <v>2.722</v>
      </c>
      <c r="M3294">
        <v>0</v>
      </c>
      <c r="N3294" t="s">
        <v>10019</v>
      </c>
      <c r="O3294" t="str">
        <f>HYPERLINK("3\1\marker_150_368185.png", "Ver Imagen")</f>
        <v>Ver Imagen</v>
      </c>
      <c r="P3294" t="str">
        <f>HYPERLINK("SE\A-497\A-497__778.png", "Ver Imagen")</f>
        <v>Ver Imagen</v>
      </c>
    </row>
    <row r="3295" spans="1:16" x14ac:dyDescent="0.25">
      <c r="A3295">
        <v>2808</v>
      </c>
      <c r="B3295" t="s">
        <v>5629</v>
      </c>
      <c r="C3295">
        <v>37.188833348700001</v>
      </c>
      <c r="D3295">
        <v>-6.9784718893299997</v>
      </c>
      <c r="E3295">
        <v>3</v>
      </c>
      <c r="F3295">
        <v>2</v>
      </c>
      <c r="G3295">
        <v>3</v>
      </c>
      <c r="J3295" t="s">
        <v>15</v>
      </c>
      <c r="K3295">
        <v>3</v>
      </c>
      <c r="L3295">
        <v>2.7559999999999998</v>
      </c>
      <c r="M3295">
        <v>0</v>
      </c>
      <c r="N3295" t="s">
        <v>10017</v>
      </c>
      <c r="O3295" t="str">
        <f>HYPERLINK("3\1\marker_158_368199.png", "Ver Imagen")</f>
        <v>Ver Imagen</v>
      </c>
      <c r="P3295" t="str">
        <f>HYPERLINK("SE\A-497\A-497__777.png", "Ver Imagen")</f>
        <v>Ver Imagen</v>
      </c>
    </row>
    <row r="3296" spans="1:16" x14ac:dyDescent="0.25">
      <c r="A3296">
        <v>2809</v>
      </c>
      <c r="B3296" t="s">
        <v>5631</v>
      </c>
      <c r="C3296">
        <v>37.501148951499999</v>
      </c>
      <c r="D3296">
        <v>-7.2667086270199999</v>
      </c>
      <c r="E3296">
        <v>3</v>
      </c>
      <c r="F3296">
        <v>2</v>
      </c>
      <c r="G3296">
        <v>3</v>
      </c>
      <c r="J3296" t="s">
        <v>15</v>
      </c>
      <c r="K3296">
        <v>3</v>
      </c>
      <c r="L3296">
        <v>3.1859999999999999</v>
      </c>
      <c r="M3296">
        <v>0</v>
      </c>
      <c r="N3296" t="s">
        <v>10019</v>
      </c>
      <c r="O3296" t="str">
        <f>HYPERLINK("3\1\marker_462_793433.png", "Ver Imagen")</f>
        <v>Ver Imagen</v>
      </c>
      <c r="P3296" t="str">
        <f>HYPERLINK("NO\A-499\A-499__112.png", "Ver Imagen")</f>
        <v>Ver Imagen</v>
      </c>
    </row>
    <row r="3297" spans="1:16" x14ac:dyDescent="0.25">
      <c r="A3297">
        <v>2811</v>
      </c>
      <c r="B3297" t="s">
        <v>5635</v>
      </c>
      <c r="C3297">
        <v>37.502505083499997</v>
      </c>
      <c r="D3297">
        <v>-7.2662434218899996</v>
      </c>
      <c r="E3297">
        <v>2</v>
      </c>
      <c r="F3297">
        <v>3</v>
      </c>
      <c r="G3297">
        <v>3</v>
      </c>
      <c r="J3297" t="s">
        <v>15</v>
      </c>
      <c r="K3297">
        <v>3</v>
      </c>
      <c r="L3297">
        <v>2.5579999999999998</v>
      </c>
      <c r="M3297">
        <v>0</v>
      </c>
      <c r="N3297" t="s">
        <v>10019</v>
      </c>
      <c r="O3297" t="str">
        <f>HYPERLINK("3\1\marker_711_793576.png", "Ver Imagen")</f>
        <v>Ver Imagen</v>
      </c>
      <c r="P3297" t="str">
        <f>HYPERLINK("NO\A-499\A-499__119.png", "Ver Imagen")</f>
        <v>Ver Imagen</v>
      </c>
    </row>
    <row r="3298" spans="1:16" x14ac:dyDescent="0.25">
      <c r="A3298">
        <v>2813</v>
      </c>
      <c r="B3298" t="s">
        <v>5639</v>
      </c>
      <c r="C3298">
        <v>37.515280651899999</v>
      </c>
      <c r="D3298">
        <v>-7.2685338613299999</v>
      </c>
      <c r="E3298">
        <v>3</v>
      </c>
      <c r="F3298">
        <v>2</v>
      </c>
      <c r="G3298">
        <v>3</v>
      </c>
      <c r="J3298" t="s">
        <v>15</v>
      </c>
      <c r="K3298">
        <v>3</v>
      </c>
      <c r="L3298">
        <v>2.9689999999999999</v>
      </c>
      <c r="M3298">
        <v>0</v>
      </c>
      <c r="N3298" t="s">
        <v>10019</v>
      </c>
      <c r="O3298" t="str">
        <f>HYPERLINK("3\1\marker_322_795747.png", "Ver Imagen")</f>
        <v>Ver Imagen</v>
      </c>
      <c r="P3298" t="str">
        <f>HYPERLINK("NO\A-499\A-499__186.png", "Ver Imagen")</f>
        <v>Ver Imagen</v>
      </c>
    </row>
    <row r="3299" spans="1:16" x14ac:dyDescent="0.25">
      <c r="A3299">
        <v>2814</v>
      </c>
      <c r="B3299" t="s">
        <v>5641</v>
      </c>
      <c r="C3299">
        <v>37.267678553099998</v>
      </c>
      <c r="D3299">
        <v>-6.9653188999999998</v>
      </c>
      <c r="E3299">
        <v>3</v>
      </c>
      <c r="F3299">
        <v>2</v>
      </c>
      <c r="G3299">
        <v>3</v>
      </c>
      <c r="J3299" t="s">
        <v>15</v>
      </c>
      <c r="K3299">
        <v>3</v>
      </c>
      <c r="L3299">
        <v>3.0289999999999999</v>
      </c>
      <c r="M3299">
        <v>0</v>
      </c>
      <c r="N3299" t="s">
        <v>10017</v>
      </c>
      <c r="O3299" t="str">
        <f>HYPERLINK("3\1\marker_563_654516.png", "Ver Imagen")</f>
        <v>Ver Imagen</v>
      </c>
      <c r="P3299" t="str">
        <f>HYPERLINK("SE\A-497_2C\A-497_2C__33.png", "Ver Imagen")</f>
        <v>Ver Imagen</v>
      </c>
    </row>
    <row r="3300" spans="1:16" x14ac:dyDescent="0.25">
      <c r="A3300">
        <v>2816</v>
      </c>
      <c r="B3300" t="s">
        <v>5645</v>
      </c>
      <c r="C3300">
        <v>37.267835831200003</v>
      </c>
      <c r="D3300">
        <v>-6.9681257138800001</v>
      </c>
      <c r="E3300">
        <v>3</v>
      </c>
      <c r="F3300">
        <v>2</v>
      </c>
      <c r="G3300">
        <v>3</v>
      </c>
      <c r="J3300" t="s">
        <v>15</v>
      </c>
      <c r="K3300">
        <v>3</v>
      </c>
      <c r="L3300">
        <v>3.1589999999999998</v>
      </c>
      <c r="M3300">
        <v>0</v>
      </c>
      <c r="N3300" t="s">
        <v>10017</v>
      </c>
      <c r="O3300" t="str">
        <f>HYPERLINK("3\1\marker_778_654683.png", "Ver Imagen")</f>
        <v>Ver Imagen</v>
      </c>
      <c r="P3300" t="str">
        <f>HYPERLINK("SE\A-497_2C\A-497_2C__44.png", "Ver Imagen")</f>
        <v>Ver Imagen</v>
      </c>
    </row>
    <row r="3301" spans="1:16" x14ac:dyDescent="0.25">
      <c r="A3301">
        <v>2817</v>
      </c>
      <c r="B3301" t="s">
        <v>5647</v>
      </c>
      <c r="C3301">
        <v>37.267859732300003</v>
      </c>
      <c r="D3301">
        <v>-6.96838096902</v>
      </c>
      <c r="E3301">
        <v>3</v>
      </c>
      <c r="F3301">
        <v>2</v>
      </c>
      <c r="G3301">
        <v>3</v>
      </c>
      <c r="J3301" t="s">
        <v>15</v>
      </c>
      <c r="K3301">
        <v>3</v>
      </c>
      <c r="L3301">
        <v>3.069</v>
      </c>
      <c r="M3301">
        <v>0</v>
      </c>
      <c r="N3301" t="s">
        <v>10018</v>
      </c>
      <c r="O3301" t="str">
        <f>HYPERLINK("3\1\marker_738_654691.png", "Ver Imagen")</f>
        <v>Ver Imagen</v>
      </c>
      <c r="P3301" t="str">
        <f>HYPERLINK("SE\A-497_2C\A-497_2C__45.png", "Ver Imagen")</f>
        <v>Ver Imagen</v>
      </c>
    </row>
    <row r="3302" spans="1:16" x14ac:dyDescent="0.25">
      <c r="A3302">
        <v>2818</v>
      </c>
      <c r="B3302" t="s">
        <v>5649</v>
      </c>
      <c r="C3302">
        <v>37.267905306899998</v>
      </c>
      <c r="D3302">
        <v>-6.9688716192499998</v>
      </c>
      <c r="E3302">
        <v>3</v>
      </c>
      <c r="F3302">
        <v>2</v>
      </c>
      <c r="G3302">
        <v>3</v>
      </c>
      <c r="J3302" t="s">
        <v>15</v>
      </c>
      <c r="K3302">
        <v>3</v>
      </c>
      <c r="L3302">
        <v>3.0529999999999999</v>
      </c>
      <c r="M3302">
        <v>0</v>
      </c>
      <c r="N3302" t="s">
        <v>10019</v>
      </c>
      <c r="O3302" t="str">
        <f>HYPERLINK("3\1\marker_694_654707.png", "Ver Imagen")</f>
        <v>Ver Imagen</v>
      </c>
      <c r="P3302" t="str">
        <f>HYPERLINK("SE\A-497_2C\A-497_2C__47.png", "Ver Imagen")</f>
        <v>Ver Imagen</v>
      </c>
    </row>
    <row r="3303" spans="1:16" x14ac:dyDescent="0.25">
      <c r="A3303">
        <v>2819</v>
      </c>
      <c r="B3303" t="s">
        <v>5651</v>
      </c>
      <c r="C3303">
        <v>37.268042982600001</v>
      </c>
      <c r="D3303">
        <v>-6.9701391304799998</v>
      </c>
      <c r="E3303">
        <v>3</v>
      </c>
      <c r="F3303">
        <v>2</v>
      </c>
      <c r="G3303">
        <v>3</v>
      </c>
      <c r="J3303" t="s">
        <v>15</v>
      </c>
      <c r="K3303">
        <v>3</v>
      </c>
      <c r="L3303">
        <v>3.0209999999999999</v>
      </c>
      <c r="M3303">
        <v>0</v>
      </c>
      <c r="N3303" t="s">
        <v>10017</v>
      </c>
      <c r="O3303" t="str">
        <f>HYPERLINK("3\1\marker_137_654774.png", "Ver Imagen")</f>
        <v>Ver Imagen</v>
      </c>
      <c r="P3303" t="str">
        <f>HYPERLINK("SE\A-497_2C\A-497_2C__52.png", "Ver Imagen")</f>
        <v>Ver Imagen</v>
      </c>
    </row>
    <row r="3304" spans="1:16" x14ac:dyDescent="0.25">
      <c r="A3304">
        <v>2820</v>
      </c>
      <c r="B3304" t="s">
        <v>5653</v>
      </c>
      <c r="C3304">
        <v>37.268137602199999</v>
      </c>
      <c r="D3304">
        <v>-6.9708761877200001</v>
      </c>
      <c r="E3304">
        <v>3</v>
      </c>
      <c r="F3304">
        <v>2</v>
      </c>
      <c r="G3304">
        <v>3</v>
      </c>
      <c r="J3304" t="s">
        <v>15</v>
      </c>
      <c r="K3304">
        <v>3</v>
      </c>
      <c r="L3304">
        <v>2.726</v>
      </c>
      <c r="M3304">
        <v>0</v>
      </c>
      <c r="N3304" t="s">
        <v>10017</v>
      </c>
      <c r="O3304" t="str">
        <f>HYPERLINK("3\1\marker_591_654804.png", "Ver Imagen")</f>
        <v>Ver Imagen</v>
      </c>
      <c r="P3304" t="str">
        <f>HYPERLINK("SE\A-497_2C\A-497_2C__55.png", "Ver Imagen")</f>
        <v>Ver Imagen</v>
      </c>
    </row>
    <row r="3305" spans="1:16" x14ac:dyDescent="0.25">
      <c r="A3305">
        <v>2821</v>
      </c>
      <c r="B3305" t="s">
        <v>5655</v>
      </c>
      <c r="C3305">
        <v>37.268174433799999</v>
      </c>
      <c r="D3305">
        <v>-6.97113955796</v>
      </c>
      <c r="E3305">
        <v>3</v>
      </c>
      <c r="F3305">
        <v>2</v>
      </c>
      <c r="G3305">
        <v>3</v>
      </c>
      <c r="J3305" t="s">
        <v>15</v>
      </c>
      <c r="K3305">
        <v>3</v>
      </c>
      <c r="L3305">
        <v>2.8719999999999999</v>
      </c>
      <c r="M3305">
        <v>0</v>
      </c>
      <c r="N3305" t="s">
        <v>10019</v>
      </c>
      <c r="O3305" t="str">
        <f>HYPERLINK("3\1\marker_260_654813.png", "Ver Imagen")</f>
        <v>Ver Imagen</v>
      </c>
      <c r="P3305" t="str">
        <f>HYPERLINK("SE\A-497_2C\A-497_2C__56.png", "Ver Imagen")</f>
        <v>Ver Imagen</v>
      </c>
    </row>
    <row r="3306" spans="1:16" x14ac:dyDescent="0.25">
      <c r="A3306">
        <v>2822</v>
      </c>
      <c r="B3306" t="s">
        <v>5657</v>
      </c>
      <c r="C3306">
        <v>37.268249733600001</v>
      </c>
      <c r="D3306">
        <v>-6.9716441256300001</v>
      </c>
      <c r="E3306">
        <v>3</v>
      </c>
      <c r="F3306">
        <v>2</v>
      </c>
      <c r="G3306">
        <v>3</v>
      </c>
      <c r="J3306" t="s">
        <v>15</v>
      </c>
      <c r="K3306">
        <v>3</v>
      </c>
      <c r="L3306">
        <v>3.2810000000000001</v>
      </c>
      <c r="M3306">
        <v>0</v>
      </c>
      <c r="N3306" t="s">
        <v>10017</v>
      </c>
      <c r="O3306" t="str">
        <f>HYPERLINK("3\1\marker_350_654855.png", "Ver Imagen")</f>
        <v>Ver Imagen</v>
      </c>
      <c r="P3306" t="str">
        <f>HYPERLINK("SE\A-497_2C\A-497_2C__58.png", "Ver Imagen")</f>
        <v>Ver Imagen</v>
      </c>
    </row>
    <row r="3307" spans="1:16" x14ac:dyDescent="0.25">
      <c r="A3307">
        <v>2823</v>
      </c>
      <c r="B3307" t="s">
        <v>5659</v>
      </c>
      <c r="C3307">
        <v>37.2683320963</v>
      </c>
      <c r="D3307">
        <v>-6.9721470653099997</v>
      </c>
      <c r="E3307">
        <v>3</v>
      </c>
      <c r="F3307">
        <v>2</v>
      </c>
      <c r="G3307">
        <v>3</v>
      </c>
      <c r="J3307" t="s">
        <v>15</v>
      </c>
      <c r="K3307">
        <v>3</v>
      </c>
      <c r="L3307">
        <v>3.1269999999999998</v>
      </c>
      <c r="M3307">
        <v>0</v>
      </c>
      <c r="N3307" t="s">
        <v>10019</v>
      </c>
      <c r="O3307" t="str">
        <f>HYPERLINK("3\1\marker_476_654875.png", "Ver Imagen")</f>
        <v>Ver Imagen</v>
      </c>
      <c r="P3307" t="str">
        <f>HYPERLINK("SE\A-497_2C\A-497_2C__60.png", "Ver Imagen")</f>
        <v>Ver Imagen</v>
      </c>
    </row>
    <row r="3308" spans="1:16" x14ac:dyDescent="0.25">
      <c r="A3308">
        <v>2824</v>
      </c>
      <c r="B3308" t="s">
        <v>5661</v>
      </c>
      <c r="C3308">
        <v>37.268605840799999</v>
      </c>
      <c r="D3308">
        <v>-6.97361999545</v>
      </c>
      <c r="E3308">
        <v>3</v>
      </c>
      <c r="F3308">
        <v>2</v>
      </c>
      <c r="G3308">
        <v>3</v>
      </c>
      <c r="J3308" t="s">
        <v>15</v>
      </c>
      <c r="K3308">
        <v>3</v>
      </c>
      <c r="L3308">
        <v>3.1120000000000001</v>
      </c>
      <c r="M3308">
        <v>0</v>
      </c>
      <c r="N3308" t="s">
        <v>10019</v>
      </c>
      <c r="O3308" t="str">
        <f>HYPERLINK("3\1\marker_623_654929.png", "Ver Imagen")</f>
        <v>Ver Imagen</v>
      </c>
      <c r="P3308" t="str">
        <f>HYPERLINK("SE\A-497_2C\A-497_2C__66.png", "Ver Imagen")</f>
        <v>Ver Imagen</v>
      </c>
    </row>
    <row r="3309" spans="1:16" x14ac:dyDescent="0.25">
      <c r="A3309">
        <v>2825</v>
      </c>
      <c r="B3309" t="s">
        <v>5663</v>
      </c>
      <c r="C3309">
        <v>37.268657247299998</v>
      </c>
      <c r="D3309">
        <v>-6.9738755429900001</v>
      </c>
      <c r="E3309">
        <v>3</v>
      </c>
      <c r="F3309">
        <v>2</v>
      </c>
      <c r="G3309">
        <v>3</v>
      </c>
      <c r="J3309" t="s">
        <v>15</v>
      </c>
      <c r="K3309">
        <v>3</v>
      </c>
      <c r="L3309">
        <v>3.2930000000000001</v>
      </c>
      <c r="M3309">
        <v>0</v>
      </c>
      <c r="N3309" t="s">
        <v>10019</v>
      </c>
      <c r="O3309" t="str">
        <f>HYPERLINK("3\1\marker_612_654937.png", "Ver Imagen")</f>
        <v>Ver Imagen</v>
      </c>
      <c r="P3309" t="str">
        <f>HYPERLINK("SE\A-497_2C\A-497_2C__67.png", "Ver Imagen")</f>
        <v>Ver Imagen</v>
      </c>
    </row>
    <row r="3310" spans="1:16" x14ac:dyDescent="0.25">
      <c r="A3310">
        <v>2826</v>
      </c>
      <c r="B3310" t="s">
        <v>5665</v>
      </c>
      <c r="C3310">
        <v>37.268863150000001</v>
      </c>
      <c r="D3310">
        <v>-6.9748269972700001</v>
      </c>
      <c r="E3310">
        <v>3</v>
      </c>
      <c r="F3310">
        <v>2</v>
      </c>
      <c r="G3310">
        <v>3</v>
      </c>
      <c r="J3310" t="s">
        <v>15</v>
      </c>
      <c r="K3310">
        <v>3</v>
      </c>
      <c r="L3310">
        <v>2.9180000000000001</v>
      </c>
      <c r="M3310">
        <v>0</v>
      </c>
      <c r="N3310" t="s">
        <v>10019</v>
      </c>
      <c r="O3310" t="str">
        <f>HYPERLINK("3\1\marker_564_655048.png", "Ver Imagen")</f>
        <v>Ver Imagen</v>
      </c>
      <c r="P3310" t="str">
        <f>HYPERLINK("SE\A-497_2C\A-497_2C__71.png", "Ver Imagen")</f>
        <v>Ver Imagen</v>
      </c>
    </row>
    <row r="3311" spans="1:16" x14ac:dyDescent="0.25">
      <c r="A3311">
        <v>2827</v>
      </c>
      <c r="B3311" t="s">
        <v>5667</v>
      </c>
      <c r="C3311">
        <v>37.268976842999997</v>
      </c>
      <c r="D3311">
        <v>-6.9753189862699996</v>
      </c>
      <c r="E3311">
        <v>3</v>
      </c>
      <c r="F3311">
        <v>2</v>
      </c>
      <c r="G3311">
        <v>3</v>
      </c>
      <c r="J3311" t="s">
        <v>15</v>
      </c>
      <c r="K3311">
        <v>3</v>
      </c>
      <c r="L3311">
        <v>2.8279999999999998</v>
      </c>
      <c r="M3311">
        <v>0</v>
      </c>
      <c r="N3311" t="s">
        <v>10019</v>
      </c>
      <c r="O3311" t="str">
        <f>HYPERLINK("3\1\marker_680_655064.png", "Ver Imagen")</f>
        <v>Ver Imagen</v>
      </c>
      <c r="P3311" t="str">
        <f>HYPERLINK("SE\A-497_2C\A-497_2C__73.png", "Ver Imagen")</f>
        <v>Ver Imagen</v>
      </c>
    </row>
    <row r="3312" spans="1:16" x14ac:dyDescent="0.25">
      <c r="A3312">
        <v>2828</v>
      </c>
      <c r="B3312" t="s">
        <v>5669</v>
      </c>
      <c r="C3312">
        <v>37.2693508642</v>
      </c>
      <c r="D3312">
        <v>-6.9767622329999996</v>
      </c>
      <c r="E3312">
        <v>4</v>
      </c>
      <c r="F3312">
        <v>3</v>
      </c>
      <c r="G3312">
        <v>3</v>
      </c>
      <c r="J3312" t="s">
        <v>15</v>
      </c>
      <c r="K3312">
        <v>3</v>
      </c>
      <c r="L3312">
        <v>2.8119999999999998</v>
      </c>
      <c r="M3312">
        <v>0</v>
      </c>
      <c r="N3312" t="s">
        <v>10019</v>
      </c>
      <c r="O3312" t="str">
        <f>HYPERLINK("3\1\marker_206_655117.png", "Ver Imagen")</f>
        <v>Ver Imagen</v>
      </c>
      <c r="P3312" t="str">
        <f>HYPERLINK("SE\A-497_2C\A-497_2C__79.png", "Ver Imagen")</f>
        <v>Ver Imagen</v>
      </c>
    </row>
    <row r="3313" spans="1:16" x14ac:dyDescent="0.25">
      <c r="A3313">
        <v>2829</v>
      </c>
      <c r="B3313" t="s">
        <v>5671</v>
      </c>
      <c r="C3313">
        <v>37.2696839356</v>
      </c>
      <c r="D3313">
        <v>-6.9779340045899998</v>
      </c>
      <c r="E3313">
        <v>3</v>
      </c>
      <c r="F3313">
        <v>2</v>
      </c>
      <c r="G3313">
        <v>3</v>
      </c>
      <c r="J3313" t="s">
        <v>15</v>
      </c>
      <c r="K3313">
        <v>3</v>
      </c>
      <c r="L3313">
        <v>3.0009999999999999</v>
      </c>
      <c r="M3313">
        <v>0</v>
      </c>
      <c r="N3313" t="s">
        <v>10019</v>
      </c>
      <c r="O3313" t="str">
        <f>HYPERLINK("3\1\marker_734_655201.png", "Ver Imagen")</f>
        <v>Ver Imagen</v>
      </c>
      <c r="P3313" t="str">
        <f>HYPERLINK("SE\A-497_2C\A-497_2C__84.png", "Ver Imagen")</f>
        <v>Ver Imagen</v>
      </c>
    </row>
    <row r="3314" spans="1:16" x14ac:dyDescent="0.25">
      <c r="A3314">
        <v>2830</v>
      </c>
      <c r="B3314" t="s">
        <v>5673</v>
      </c>
      <c r="C3314">
        <v>37.269959131699999</v>
      </c>
      <c r="D3314">
        <v>-6.9789007970399997</v>
      </c>
      <c r="E3314">
        <v>3</v>
      </c>
      <c r="F3314">
        <v>4</v>
      </c>
      <c r="G3314">
        <v>3</v>
      </c>
      <c r="J3314" t="s">
        <v>15</v>
      </c>
      <c r="K3314">
        <v>3</v>
      </c>
      <c r="L3314">
        <v>3.0369999999999999</v>
      </c>
      <c r="M3314">
        <v>0</v>
      </c>
      <c r="N3314" t="s">
        <v>10019</v>
      </c>
      <c r="O3314" t="str">
        <f>HYPERLINK("3\1\marker_996_655262.png", "Ver Imagen")</f>
        <v>Ver Imagen</v>
      </c>
      <c r="P3314" t="str">
        <f>HYPERLINK("SE\A-497_2C\A-497_2C__88.png", "Ver Imagen")</f>
        <v>Ver Imagen</v>
      </c>
    </row>
    <row r="3315" spans="1:16" x14ac:dyDescent="0.25">
      <c r="A3315">
        <v>2831</v>
      </c>
      <c r="B3315" t="s">
        <v>5675</v>
      </c>
      <c r="C3315">
        <v>37.270718996900001</v>
      </c>
      <c r="D3315">
        <v>-6.9815457567600001</v>
      </c>
      <c r="E3315">
        <v>3</v>
      </c>
      <c r="F3315">
        <v>2</v>
      </c>
      <c r="G3315">
        <v>3</v>
      </c>
      <c r="J3315" t="s">
        <v>15</v>
      </c>
      <c r="K3315">
        <v>3</v>
      </c>
      <c r="L3315">
        <v>2.7360000000000002</v>
      </c>
      <c r="M3315">
        <v>0</v>
      </c>
      <c r="N3315" t="s">
        <v>10019</v>
      </c>
      <c r="O3315" t="str">
        <f>HYPERLINK("3\1\marker_736_655433.png", "Ver Imagen")</f>
        <v>Ver Imagen</v>
      </c>
      <c r="P3315" t="str">
        <f>HYPERLINK("SE\A-497_2C\A-497_2C__99.png", "Ver Imagen")</f>
        <v>Ver Imagen</v>
      </c>
    </row>
    <row r="3316" spans="1:16" x14ac:dyDescent="0.25">
      <c r="A3316">
        <v>2832</v>
      </c>
      <c r="B3316" t="s">
        <v>5677</v>
      </c>
      <c r="C3316">
        <v>37.270850531199997</v>
      </c>
      <c r="D3316">
        <v>-6.9819992399400004</v>
      </c>
      <c r="E3316">
        <v>3</v>
      </c>
      <c r="F3316">
        <v>2</v>
      </c>
      <c r="G3316">
        <v>3</v>
      </c>
      <c r="J3316" t="s">
        <v>15</v>
      </c>
      <c r="K3316">
        <v>3</v>
      </c>
      <c r="L3316">
        <v>2.9470000000000001</v>
      </c>
      <c r="M3316">
        <v>0</v>
      </c>
      <c r="N3316" t="s">
        <v>10019</v>
      </c>
      <c r="O3316" t="str">
        <f>HYPERLINK("3\1\marker_717_655450.png", "Ver Imagen")</f>
        <v>Ver Imagen</v>
      </c>
      <c r="P3316" t="str">
        <f>HYPERLINK("SE\A-497_2C\A-497_2C__101.png", "Ver Imagen")</f>
        <v>Ver Imagen</v>
      </c>
    </row>
    <row r="3317" spans="1:16" x14ac:dyDescent="0.25">
      <c r="A3317">
        <v>2833</v>
      </c>
      <c r="B3317" t="s">
        <v>5679</v>
      </c>
      <c r="C3317">
        <v>37.271593564600003</v>
      </c>
      <c r="D3317">
        <v>-6.98462235567</v>
      </c>
      <c r="E3317">
        <v>3</v>
      </c>
      <c r="F3317">
        <v>2</v>
      </c>
      <c r="G3317">
        <v>3</v>
      </c>
      <c r="J3317" t="s">
        <v>15</v>
      </c>
      <c r="K3317">
        <v>3</v>
      </c>
      <c r="L3317">
        <v>3.1059999999999999</v>
      </c>
      <c r="M3317">
        <v>0</v>
      </c>
      <c r="N3317" t="s">
        <v>10019</v>
      </c>
      <c r="O3317" t="str">
        <f>HYPERLINK("3\1\marker_256_655556.png", "Ver Imagen")</f>
        <v>Ver Imagen</v>
      </c>
      <c r="P3317" t="str">
        <f>HYPERLINK("SE\A-497_2C\A-497_2C__112.png", "Ver Imagen")</f>
        <v>Ver Imagen</v>
      </c>
    </row>
    <row r="3318" spans="1:16" x14ac:dyDescent="0.25">
      <c r="A3318">
        <v>2834</v>
      </c>
      <c r="B3318" t="s">
        <v>5681</v>
      </c>
      <c r="C3318">
        <v>37.271665345400002</v>
      </c>
      <c r="D3318">
        <v>-6.9849204882400002</v>
      </c>
      <c r="E3318">
        <v>3</v>
      </c>
      <c r="F3318">
        <v>2</v>
      </c>
      <c r="G3318">
        <v>3</v>
      </c>
      <c r="J3318" t="s">
        <v>15</v>
      </c>
      <c r="K3318">
        <v>3</v>
      </c>
      <c r="L3318">
        <v>2.9209999999999998</v>
      </c>
      <c r="M3318">
        <v>0</v>
      </c>
      <c r="N3318" t="s">
        <v>10019</v>
      </c>
      <c r="O3318" t="str">
        <f>HYPERLINK("3\1\marker_192_655617.png", "Ver Imagen")</f>
        <v>Ver Imagen</v>
      </c>
      <c r="P3318" t="str">
        <f>HYPERLINK("SE\A-497_2C\A-497_2C__113.png", "Ver Imagen")</f>
        <v>Ver Imagen</v>
      </c>
    </row>
    <row r="3319" spans="1:16" x14ac:dyDescent="0.25">
      <c r="A3319">
        <v>2835</v>
      </c>
      <c r="B3319" t="s">
        <v>5683</v>
      </c>
      <c r="C3319">
        <v>37.268703606899997</v>
      </c>
      <c r="D3319">
        <v>-6.99055964232</v>
      </c>
      <c r="E3319">
        <v>3</v>
      </c>
      <c r="F3319">
        <v>2</v>
      </c>
      <c r="G3319">
        <v>3</v>
      </c>
      <c r="J3319" t="s">
        <v>15</v>
      </c>
      <c r="K3319">
        <v>3</v>
      </c>
      <c r="L3319">
        <v>3.1509999999999998</v>
      </c>
      <c r="M3319">
        <v>0</v>
      </c>
      <c r="N3319" t="s">
        <v>10019</v>
      </c>
      <c r="O3319" t="str">
        <f>HYPERLINK("3\1\marker_688_655897.png", "Ver Imagen")</f>
        <v>Ver Imagen</v>
      </c>
      <c r="P3319" t="str">
        <f>HYPERLINK("SE\A-497_2C\A-497_2C__143.png", "Ver Imagen")</f>
        <v>Ver Imagen</v>
      </c>
    </row>
    <row r="3320" spans="1:16" x14ac:dyDescent="0.25">
      <c r="A3320">
        <v>2836</v>
      </c>
      <c r="B3320" t="s">
        <v>5685</v>
      </c>
      <c r="C3320">
        <v>37.187960210200004</v>
      </c>
      <c r="D3320">
        <v>-6.9782808227800004</v>
      </c>
      <c r="E3320">
        <v>3</v>
      </c>
      <c r="F3320">
        <v>2</v>
      </c>
      <c r="G3320">
        <v>3</v>
      </c>
      <c r="J3320" t="s">
        <v>15</v>
      </c>
      <c r="K3320">
        <v>3</v>
      </c>
      <c r="L3320">
        <v>2.9249999999999998</v>
      </c>
      <c r="M3320">
        <v>0</v>
      </c>
      <c r="N3320" t="s">
        <v>10019</v>
      </c>
      <c r="O3320" t="str">
        <f>HYPERLINK("3\1\marker_542_368760.png", "Ver Imagen")</f>
        <v>Ver Imagen</v>
      </c>
      <c r="P3320" t="str">
        <f>HYPERLINK("SE\A-497\A-497__745.png", "Ver Imagen")</f>
        <v>Ver Imagen</v>
      </c>
    </row>
    <row r="3321" spans="1:16" x14ac:dyDescent="0.25">
      <c r="A3321">
        <v>2837</v>
      </c>
      <c r="B3321" t="s">
        <v>5687</v>
      </c>
      <c r="C3321">
        <v>37.191556838799997</v>
      </c>
      <c r="D3321">
        <v>-6.9775947251000003</v>
      </c>
      <c r="E3321">
        <v>3</v>
      </c>
      <c r="F3321">
        <v>2</v>
      </c>
      <c r="G3321">
        <v>3</v>
      </c>
      <c r="J3321" t="s">
        <v>15</v>
      </c>
      <c r="K3321">
        <v>3</v>
      </c>
      <c r="L3321">
        <v>2.8340000000000001</v>
      </c>
      <c r="M3321">
        <v>0</v>
      </c>
      <c r="N3321" t="s">
        <v>10019</v>
      </c>
      <c r="O3321" t="str">
        <f>HYPERLINK("3\1\marker_197_368993.png", "Ver Imagen")</f>
        <v>Ver Imagen</v>
      </c>
      <c r="P3321" t="str">
        <f>HYPERLINK("SE\A-497\A-497__727.png", "Ver Imagen")</f>
        <v>Ver Imagen</v>
      </c>
    </row>
    <row r="3322" spans="1:16" x14ac:dyDescent="0.25">
      <c r="A3322">
        <v>2838</v>
      </c>
      <c r="B3322" t="s">
        <v>5689</v>
      </c>
      <c r="C3322">
        <v>37.192578635799997</v>
      </c>
      <c r="D3322">
        <v>-6.9774802319499996</v>
      </c>
      <c r="E3322">
        <v>3</v>
      </c>
      <c r="F3322">
        <v>2</v>
      </c>
      <c r="G3322">
        <v>3</v>
      </c>
      <c r="J3322" t="s">
        <v>15</v>
      </c>
      <c r="K3322">
        <v>3</v>
      </c>
      <c r="L3322">
        <v>2.9780000000000002</v>
      </c>
      <c r="M3322">
        <v>0</v>
      </c>
      <c r="N3322" t="s">
        <v>10019</v>
      </c>
      <c r="O3322" t="str">
        <f>HYPERLINK("3\1\marker_129_369043.png", "Ver Imagen")</f>
        <v>Ver Imagen</v>
      </c>
      <c r="P3322" t="str">
        <f>HYPERLINK("SE\A-497\A-497__722.png", "Ver Imagen")</f>
        <v>Ver Imagen</v>
      </c>
    </row>
    <row r="3323" spans="1:16" x14ac:dyDescent="0.25">
      <c r="A3323">
        <v>2839</v>
      </c>
      <c r="B3323" t="s">
        <v>5691</v>
      </c>
      <c r="C3323">
        <v>37.193002683300001</v>
      </c>
      <c r="D3323">
        <v>-6.9774731311</v>
      </c>
      <c r="E3323">
        <v>3</v>
      </c>
      <c r="F3323">
        <v>2</v>
      </c>
      <c r="G3323">
        <v>3</v>
      </c>
      <c r="J3323" t="s">
        <v>15</v>
      </c>
      <c r="K3323">
        <v>3</v>
      </c>
      <c r="L3323">
        <v>2.9860000000000002</v>
      </c>
      <c r="M3323">
        <v>0</v>
      </c>
      <c r="N3323" t="s">
        <v>10019</v>
      </c>
      <c r="O3323" t="str">
        <f>HYPERLINK("3\1\marker_497_369062.png", "Ver Imagen")</f>
        <v>Ver Imagen</v>
      </c>
      <c r="P3323" t="str">
        <f>HYPERLINK("SE\A-497\A-497__720.png", "Ver Imagen")</f>
        <v>Ver Imagen</v>
      </c>
    </row>
    <row r="3324" spans="1:16" x14ac:dyDescent="0.25">
      <c r="A3324">
        <v>2840</v>
      </c>
      <c r="B3324" t="s">
        <v>5693</v>
      </c>
      <c r="C3324">
        <v>37.194583534300001</v>
      </c>
      <c r="D3324">
        <v>-6.9777407389099997</v>
      </c>
      <c r="E3324">
        <v>3</v>
      </c>
      <c r="F3324">
        <v>2</v>
      </c>
      <c r="G3324">
        <v>3</v>
      </c>
      <c r="J3324" t="s">
        <v>15</v>
      </c>
      <c r="K3324">
        <v>3</v>
      </c>
      <c r="L3324">
        <v>3.01</v>
      </c>
      <c r="M3324">
        <v>0</v>
      </c>
      <c r="N3324" t="s">
        <v>10019</v>
      </c>
      <c r="O3324" t="str">
        <f>HYPERLINK("3\1\marker_812_369151.png", "Ver Imagen")</f>
        <v>Ver Imagen</v>
      </c>
      <c r="P3324" t="str">
        <f>HYPERLINK("SE\A-497\A-497__712.png", "Ver Imagen")</f>
        <v>Ver Imagen</v>
      </c>
    </row>
    <row r="3325" spans="1:16" x14ac:dyDescent="0.25">
      <c r="A3325">
        <v>2841</v>
      </c>
      <c r="B3325" t="s">
        <v>5695</v>
      </c>
      <c r="C3325">
        <v>37.1949727983</v>
      </c>
      <c r="D3325">
        <v>-6.9778822308999997</v>
      </c>
      <c r="E3325">
        <v>3</v>
      </c>
      <c r="F3325">
        <v>2</v>
      </c>
      <c r="G3325">
        <v>3</v>
      </c>
      <c r="J3325" t="s">
        <v>15</v>
      </c>
      <c r="K3325">
        <v>3</v>
      </c>
      <c r="L3325">
        <v>3.14</v>
      </c>
      <c r="M3325">
        <v>0</v>
      </c>
      <c r="N3325" t="s">
        <v>10017</v>
      </c>
      <c r="O3325" t="str">
        <f>HYPERLINK("3\1\marker_616_370268.png", "Ver Imagen")</f>
        <v>Ver Imagen</v>
      </c>
      <c r="P3325" t="str">
        <f>HYPERLINK("SE\A-497\A-497__710.png", "Ver Imagen")</f>
        <v>Ver Imagen</v>
      </c>
    </row>
    <row r="3326" spans="1:16" x14ac:dyDescent="0.25">
      <c r="A3326">
        <v>2842</v>
      </c>
      <c r="B3326" t="s">
        <v>5697</v>
      </c>
      <c r="C3326">
        <v>37.195335816700002</v>
      </c>
      <c r="D3326">
        <v>-6.9780419018300002</v>
      </c>
      <c r="E3326">
        <v>3</v>
      </c>
      <c r="F3326">
        <v>2</v>
      </c>
      <c r="G3326">
        <v>3</v>
      </c>
      <c r="J3326" t="s">
        <v>15</v>
      </c>
      <c r="K3326">
        <v>3</v>
      </c>
      <c r="L3326">
        <v>2.9460000000000002</v>
      </c>
      <c r="M3326">
        <v>0</v>
      </c>
      <c r="N3326" t="s">
        <v>10019</v>
      </c>
      <c r="O3326" t="str">
        <f>HYPERLINK("3\1\marker_390_370297.png", "Ver Imagen")</f>
        <v>Ver Imagen</v>
      </c>
      <c r="P3326" t="str">
        <f>HYPERLINK("SE\A-497\A-497__708.png", "Ver Imagen")</f>
        <v>Ver Imagen</v>
      </c>
    </row>
    <row r="3327" spans="1:16" x14ac:dyDescent="0.25">
      <c r="A3327">
        <v>2843</v>
      </c>
      <c r="B3327" t="s">
        <v>5699</v>
      </c>
      <c r="C3327">
        <v>37.264733328200002</v>
      </c>
      <c r="D3327">
        <v>-7.0004177923200004</v>
      </c>
      <c r="E3327">
        <v>3</v>
      </c>
      <c r="F3327">
        <v>2</v>
      </c>
      <c r="G3327">
        <v>3</v>
      </c>
      <c r="J3327" t="s">
        <v>15</v>
      </c>
      <c r="K3327">
        <v>3</v>
      </c>
      <c r="L3327">
        <v>3.032</v>
      </c>
      <c r="M3327">
        <v>0</v>
      </c>
      <c r="N3327" t="s">
        <v>10019</v>
      </c>
      <c r="O3327" t="str">
        <f>HYPERLINK("3\1\marker_434_656411.png", "Ver Imagen")</f>
        <v>Ver Imagen</v>
      </c>
      <c r="P3327" t="str">
        <f>HYPERLINK("SE\A-497_2C\A-497_2C__189.png", "Ver Imagen")</f>
        <v>Ver Imagen</v>
      </c>
    </row>
    <row r="3328" spans="1:16" x14ac:dyDescent="0.25">
      <c r="A3328">
        <v>2844</v>
      </c>
      <c r="B3328" t="s">
        <v>5701</v>
      </c>
      <c r="C3328">
        <v>37.264466559200002</v>
      </c>
      <c r="D3328">
        <v>-7.0019072257600001</v>
      </c>
      <c r="E3328">
        <v>3</v>
      </c>
      <c r="F3328">
        <v>2</v>
      </c>
      <c r="G3328">
        <v>3</v>
      </c>
      <c r="J3328" t="s">
        <v>15</v>
      </c>
      <c r="K3328">
        <v>3</v>
      </c>
      <c r="L3328">
        <v>2.9039999999999999</v>
      </c>
      <c r="M3328">
        <v>0</v>
      </c>
      <c r="N3328" t="s">
        <v>10019</v>
      </c>
      <c r="O3328" t="str">
        <f>HYPERLINK("3\1\marker_262_656471.png", "Ver Imagen")</f>
        <v>Ver Imagen</v>
      </c>
      <c r="P3328" t="str">
        <f>HYPERLINK("SE\A-497_2C\A-497_2C__195.png", "Ver Imagen")</f>
        <v>Ver Imagen</v>
      </c>
    </row>
    <row r="3329" spans="1:16" x14ac:dyDescent="0.25">
      <c r="A3329">
        <v>2845</v>
      </c>
      <c r="B3329" t="s">
        <v>5703</v>
      </c>
      <c r="C3329">
        <v>37.264375147599999</v>
      </c>
      <c r="D3329">
        <v>-7.0024154019999996</v>
      </c>
      <c r="E3329">
        <v>3</v>
      </c>
      <c r="F3329">
        <v>2</v>
      </c>
      <c r="G3329">
        <v>3</v>
      </c>
      <c r="J3329" t="s">
        <v>15</v>
      </c>
      <c r="K3329">
        <v>3</v>
      </c>
      <c r="L3329">
        <v>3.1779999999999999</v>
      </c>
      <c r="M3329">
        <v>0</v>
      </c>
      <c r="N3329" t="s">
        <v>10019</v>
      </c>
      <c r="O3329" t="str">
        <f>HYPERLINK("3\1\marker_168_656490.png", "Ver Imagen")</f>
        <v>Ver Imagen</v>
      </c>
      <c r="P3329" t="str">
        <f>HYPERLINK("SE\A-497_2C\A-497_2C__197.png", "Ver Imagen")</f>
        <v>Ver Imagen</v>
      </c>
    </row>
    <row r="3330" spans="1:16" x14ac:dyDescent="0.25">
      <c r="A3330">
        <v>2846</v>
      </c>
      <c r="B3330" t="s">
        <v>5705</v>
      </c>
      <c r="C3330">
        <v>37.264331405199997</v>
      </c>
      <c r="D3330">
        <v>-7.0026575428499997</v>
      </c>
      <c r="E3330">
        <v>3</v>
      </c>
      <c r="F3330">
        <v>2</v>
      </c>
      <c r="G3330">
        <v>3</v>
      </c>
      <c r="J3330" t="s">
        <v>15</v>
      </c>
      <c r="K3330">
        <v>3</v>
      </c>
      <c r="L3330">
        <v>2.8239999999999998</v>
      </c>
      <c r="M3330">
        <v>0</v>
      </c>
      <c r="N3330" t="s">
        <v>10019</v>
      </c>
      <c r="O3330" t="str">
        <f>HYPERLINK("3\1\marker_185_656503.png", "Ver Imagen")</f>
        <v>Ver Imagen</v>
      </c>
      <c r="P3330" t="str">
        <f>HYPERLINK("SE\A-497_2C\A-497_2C__198.png", "Ver Imagen")</f>
        <v>Ver Imagen</v>
      </c>
    </row>
    <row r="3331" spans="1:16" x14ac:dyDescent="0.25">
      <c r="A3331">
        <v>2847</v>
      </c>
      <c r="B3331" t="s">
        <v>5707</v>
      </c>
      <c r="C3331">
        <v>37.263974182600002</v>
      </c>
      <c r="D3331">
        <v>-7.0046766522299997</v>
      </c>
      <c r="E3331">
        <v>3</v>
      </c>
      <c r="F3331">
        <v>2</v>
      </c>
      <c r="G3331">
        <v>3</v>
      </c>
      <c r="J3331" t="s">
        <v>15</v>
      </c>
      <c r="K3331">
        <v>3</v>
      </c>
      <c r="L3331">
        <v>2.8420000000000001</v>
      </c>
      <c r="M3331">
        <v>0</v>
      </c>
      <c r="N3331" t="s">
        <v>10019</v>
      </c>
      <c r="O3331" t="str">
        <f>HYPERLINK("3\1\marker_711_656611.png", "Ver Imagen")</f>
        <v>Ver Imagen</v>
      </c>
      <c r="P3331" t="str">
        <f>HYPERLINK("SE\A-497_2C\A-497_2C__206.png", "Ver Imagen")</f>
        <v>Ver Imagen</v>
      </c>
    </row>
    <row r="3332" spans="1:16" x14ac:dyDescent="0.25">
      <c r="A3332">
        <v>2848</v>
      </c>
      <c r="B3332" t="s">
        <v>5709</v>
      </c>
      <c r="C3332">
        <v>37.197695508700001</v>
      </c>
      <c r="D3332">
        <v>-6.9800010811600002</v>
      </c>
      <c r="E3332">
        <v>3</v>
      </c>
      <c r="F3332">
        <v>2</v>
      </c>
      <c r="G3332">
        <v>3</v>
      </c>
      <c r="J3332" t="s">
        <v>15</v>
      </c>
      <c r="K3332">
        <v>3</v>
      </c>
      <c r="L3332">
        <v>3.0430000000000001</v>
      </c>
      <c r="M3332">
        <v>0</v>
      </c>
      <c r="N3332" t="s">
        <v>10019</v>
      </c>
      <c r="O3332" t="str">
        <f>HYPERLINK("3\1\marker_422_370439.png", "Ver Imagen")</f>
        <v>Ver Imagen</v>
      </c>
      <c r="P3332" t="str">
        <f>HYPERLINK("SE\A-497\A-497__694.png", "Ver Imagen")</f>
        <v>Ver Imagen</v>
      </c>
    </row>
    <row r="3333" spans="1:16" x14ac:dyDescent="0.25">
      <c r="A3333">
        <v>2849</v>
      </c>
      <c r="B3333" t="s">
        <v>5711</v>
      </c>
      <c r="C3333">
        <v>37.197834299100002</v>
      </c>
      <c r="D3333">
        <v>-6.9801853060400001</v>
      </c>
      <c r="E3333">
        <v>3</v>
      </c>
      <c r="F3333">
        <v>2</v>
      </c>
      <c r="G3333">
        <v>3</v>
      </c>
      <c r="J3333" t="s">
        <v>15</v>
      </c>
      <c r="K3333">
        <v>3</v>
      </c>
      <c r="L3333">
        <v>3.1520000000000001</v>
      </c>
      <c r="M3333">
        <v>0</v>
      </c>
      <c r="N3333" t="s">
        <v>10019</v>
      </c>
      <c r="O3333" t="str">
        <f>HYPERLINK("3\1\marker_600_370447.png", "Ver Imagen")</f>
        <v>Ver Imagen</v>
      </c>
      <c r="P3333" t="str">
        <f>HYPERLINK("SE\A-497\A-497__693.png", "Ver Imagen")</f>
        <v>Ver Imagen</v>
      </c>
    </row>
    <row r="3334" spans="1:16" x14ac:dyDescent="0.25">
      <c r="A3334">
        <v>2850</v>
      </c>
      <c r="B3334" t="s">
        <v>5713</v>
      </c>
      <c r="C3334">
        <v>37.197961111399998</v>
      </c>
      <c r="D3334">
        <v>-6.98036584927</v>
      </c>
      <c r="E3334">
        <v>3</v>
      </c>
      <c r="F3334">
        <v>2</v>
      </c>
      <c r="G3334">
        <v>3</v>
      </c>
      <c r="J3334" t="s">
        <v>15</v>
      </c>
      <c r="K3334">
        <v>3</v>
      </c>
      <c r="L3334">
        <v>2.9159999999999999</v>
      </c>
      <c r="M3334">
        <v>0</v>
      </c>
      <c r="N3334" t="s">
        <v>10019</v>
      </c>
      <c r="O3334" t="str">
        <f>HYPERLINK("3\1\marker_254_370455.png", "Ver Imagen")</f>
        <v>Ver Imagen</v>
      </c>
      <c r="P3334" t="str">
        <f>HYPERLINK("SE\A-497\A-497__692.png", "Ver Imagen")</f>
        <v>Ver Imagen</v>
      </c>
    </row>
    <row r="3335" spans="1:16" x14ac:dyDescent="0.25">
      <c r="A3335">
        <v>2851</v>
      </c>
      <c r="B3335" t="s">
        <v>5715</v>
      </c>
      <c r="C3335">
        <v>37.263477325499998</v>
      </c>
      <c r="D3335">
        <v>-7.0073702726400002</v>
      </c>
      <c r="E3335">
        <v>3</v>
      </c>
      <c r="F3335">
        <v>2</v>
      </c>
      <c r="G3335">
        <v>3</v>
      </c>
      <c r="J3335" t="s">
        <v>15</v>
      </c>
      <c r="K3335">
        <v>3</v>
      </c>
      <c r="L3335">
        <v>2.8279999999999998</v>
      </c>
      <c r="M3335">
        <v>0</v>
      </c>
      <c r="N3335" t="s">
        <v>10019</v>
      </c>
      <c r="O3335" t="str">
        <f>HYPERLINK("3\1\marker_780_656727.png", "Ver Imagen")</f>
        <v>Ver Imagen</v>
      </c>
      <c r="P3335" t="str">
        <f>HYPERLINK("SE\A-497_2C\A-497_2C__217.png", "Ver Imagen")</f>
        <v>Ver Imagen</v>
      </c>
    </row>
    <row r="3336" spans="1:16" x14ac:dyDescent="0.25">
      <c r="A3336">
        <v>2852</v>
      </c>
      <c r="B3336" t="s">
        <v>5717</v>
      </c>
      <c r="C3336">
        <v>37.198555369899999</v>
      </c>
      <c r="D3336">
        <v>-6.9813837614500001</v>
      </c>
      <c r="E3336">
        <v>3</v>
      </c>
      <c r="F3336">
        <v>2</v>
      </c>
      <c r="G3336">
        <v>3</v>
      </c>
      <c r="J3336" t="s">
        <v>15</v>
      </c>
      <c r="K3336">
        <v>3</v>
      </c>
      <c r="L3336">
        <v>2.5049999999999999</v>
      </c>
      <c r="M3336">
        <v>0</v>
      </c>
      <c r="N3336" t="s">
        <v>10017</v>
      </c>
      <c r="O3336" t="str">
        <f>HYPERLINK("3\1\marker_619_370504.png", "Ver Imagen")</f>
        <v>Ver Imagen</v>
      </c>
      <c r="P3336" t="str">
        <f>HYPERLINK("SE\A-497\A-497__687.png", "Ver Imagen")</f>
        <v>Ver Imagen</v>
      </c>
    </row>
    <row r="3337" spans="1:16" x14ac:dyDescent="0.25">
      <c r="A3337">
        <v>2853</v>
      </c>
      <c r="B3337" t="s">
        <v>5719</v>
      </c>
      <c r="C3337">
        <v>37.2625507383</v>
      </c>
      <c r="D3337">
        <v>-7.0095936112599997</v>
      </c>
      <c r="E3337">
        <v>3</v>
      </c>
      <c r="F3337">
        <v>2</v>
      </c>
      <c r="G3337">
        <v>3</v>
      </c>
      <c r="J3337" t="s">
        <v>15</v>
      </c>
      <c r="K3337">
        <v>3</v>
      </c>
      <c r="L3337">
        <v>3.274</v>
      </c>
      <c r="M3337">
        <v>0</v>
      </c>
      <c r="N3337" t="s">
        <v>10019</v>
      </c>
      <c r="O3337" t="str">
        <f>HYPERLINK("3\1\marker_560_656856.png", "Ver Imagen")</f>
        <v>Ver Imagen</v>
      </c>
      <c r="P3337" t="str">
        <f>HYPERLINK("SE\A-497_2C\A-497_2C__227.png", "Ver Imagen")</f>
        <v>Ver Imagen</v>
      </c>
    </row>
    <row r="3338" spans="1:16" x14ac:dyDescent="0.25">
      <c r="A3338">
        <v>2854</v>
      </c>
      <c r="B3338" t="s">
        <v>5721</v>
      </c>
      <c r="C3338">
        <v>37.260612697299997</v>
      </c>
      <c r="D3338">
        <v>-7.0113186504299998</v>
      </c>
      <c r="E3338">
        <v>3</v>
      </c>
      <c r="F3338">
        <v>2</v>
      </c>
      <c r="G3338">
        <v>3</v>
      </c>
      <c r="J3338" t="s">
        <v>15</v>
      </c>
      <c r="K3338">
        <v>3</v>
      </c>
      <c r="L3338">
        <v>2.8359999999999999</v>
      </c>
      <c r="M3338">
        <v>0</v>
      </c>
      <c r="N3338" t="s">
        <v>10019</v>
      </c>
      <c r="O3338" t="str">
        <f>HYPERLINK("3\1\marker_173_656982.png", "Ver Imagen")</f>
        <v>Ver Imagen</v>
      </c>
      <c r="P3338" t="str">
        <f>HYPERLINK("SE\A-497_2C\A-497_2C__239.png", "Ver Imagen")</f>
        <v>Ver Imagen</v>
      </c>
    </row>
    <row r="3339" spans="1:16" x14ac:dyDescent="0.25">
      <c r="A3339">
        <v>2855</v>
      </c>
      <c r="B3339" t="s">
        <v>5723</v>
      </c>
      <c r="C3339">
        <v>37.200065760999998</v>
      </c>
      <c r="D3339">
        <v>-6.9861054334199997</v>
      </c>
      <c r="E3339">
        <v>3</v>
      </c>
      <c r="F3339">
        <v>2</v>
      </c>
      <c r="G3339">
        <v>3</v>
      </c>
      <c r="J3339" t="s">
        <v>15</v>
      </c>
      <c r="K3339">
        <v>3</v>
      </c>
      <c r="L3339">
        <v>3.0640000000000001</v>
      </c>
      <c r="M3339">
        <v>0</v>
      </c>
      <c r="N3339" t="s">
        <v>10019</v>
      </c>
      <c r="O3339" t="str">
        <f>HYPERLINK("3\1\marker_119_371051.png", "Ver Imagen")</f>
        <v>Ver Imagen</v>
      </c>
      <c r="P3339" t="str">
        <f>HYPERLINK("SE\A-497\A-497__667.png", "Ver Imagen")</f>
        <v>Ver Imagen</v>
      </c>
    </row>
    <row r="3340" spans="1:16" x14ac:dyDescent="0.25">
      <c r="A3340">
        <v>2856</v>
      </c>
      <c r="B3340" t="s">
        <v>5725</v>
      </c>
      <c r="C3340">
        <v>37.2001359673</v>
      </c>
      <c r="D3340">
        <v>-6.9863942763700004</v>
      </c>
      <c r="E3340">
        <v>3</v>
      </c>
      <c r="F3340">
        <v>2</v>
      </c>
      <c r="G3340">
        <v>3</v>
      </c>
      <c r="J3340" t="s">
        <v>15</v>
      </c>
      <c r="K3340">
        <v>3</v>
      </c>
      <c r="L3340">
        <v>2.9590000000000001</v>
      </c>
      <c r="M3340">
        <v>0</v>
      </c>
      <c r="N3340" t="s">
        <v>10019</v>
      </c>
      <c r="O3340" t="str">
        <f>HYPERLINK("3\1\marker_198_371060.png", "Ver Imagen")</f>
        <v>Ver Imagen</v>
      </c>
      <c r="P3340" t="str">
        <f>HYPERLINK("SE\A-497\A-497__666.png", "Ver Imagen")</f>
        <v>Ver Imagen</v>
      </c>
    </row>
    <row r="3341" spans="1:16" x14ac:dyDescent="0.25">
      <c r="A3341">
        <v>2857</v>
      </c>
      <c r="B3341" t="s">
        <v>5727</v>
      </c>
      <c r="C3341">
        <v>37.200627330000003</v>
      </c>
      <c r="D3341">
        <v>-6.9885026841900002</v>
      </c>
      <c r="E3341">
        <v>3</v>
      </c>
      <c r="F3341">
        <v>2</v>
      </c>
      <c r="G3341">
        <v>3</v>
      </c>
      <c r="J3341" t="s">
        <v>15</v>
      </c>
      <c r="K3341">
        <v>3</v>
      </c>
      <c r="L3341">
        <v>2.984</v>
      </c>
      <c r="M3341">
        <v>0</v>
      </c>
      <c r="N3341" t="s">
        <v>10019</v>
      </c>
      <c r="O3341" t="str">
        <f>HYPERLINK("3\1\marker_430_371174.png", "Ver Imagen")</f>
        <v>Ver Imagen</v>
      </c>
      <c r="P3341" t="str">
        <f>HYPERLINK("SE\A-497\A-497__657.png", "Ver Imagen")</f>
        <v>Ver Imagen</v>
      </c>
    </row>
    <row r="3342" spans="1:16" x14ac:dyDescent="0.25">
      <c r="A3342">
        <v>2858</v>
      </c>
      <c r="B3342" t="s">
        <v>5729</v>
      </c>
      <c r="C3342">
        <v>37.258070909099999</v>
      </c>
      <c r="D3342">
        <v>-7.0129360719199996</v>
      </c>
      <c r="E3342">
        <v>3</v>
      </c>
      <c r="F3342">
        <v>2</v>
      </c>
      <c r="G3342">
        <v>3</v>
      </c>
      <c r="J3342" t="s">
        <v>15</v>
      </c>
      <c r="K3342">
        <v>3</v>
      </c>
      <c r="L3342">
        <v>3.09</v>
      </c>
      <c r="M3342">
        <v>0</v>
      </c>
      <c r="N3342" t="s">
        <v>10019</v>
      </c>
      <c r="O3342" t="str">
        <f>HYPERLINK("3\1\marker_213_319432.png", "Ver Imagen")</f>
        <v>Ver Imagen</v>
      </c>
      <c r="P3342" t="str">
        <f>HYPERLINK("SE\A-497_2C\A-497_2C__253.png", "Ver Imagen")</f>
        <v>Ver Imagen</v>
      </c>
    </row>
    <row r="3343" spans="1:16" x14ac:dyDescent="0.25">
      <c r="A3343">
        <v>2859</v>
      </c>
      <c r="B3343" t="s">
        <v>5731</v>
      </c>
      <c r="C3343">
        <v>37.2015302816</v>
      </c>
      <c r="D3343">
        <v>-6.9928766203599997</v>
      </c>
      <c r="E3343">
        <v>3</v>
      </c>
      <c r="F3343">
        <v>2</v>
      </c>
      <c r="G3343">
        <v>3</v>
      </c>
      <c r="J3343" t="s">
        <v>15</v>
      </c>
      <c r="K3343">
        <v>3</v>
      </c>
      <c r="L3343">
        <v>2.6920000000000002</v>
      </c>
      <c r="M3343">
        <v>0</v>
      </c>
      <c r="N3343" t="s">
        <v>10018</v>
      </c>
      <c r="O3343" t="str">
        <f>HYPERLINK("3\1\marker_189_371338.png", "Ver Imagen")</f>
        <v>Ver Imagen</v>
      </c>
      <c r="P3343" t="str">
        <f>HYPERLINK("SE\A-497\A-497__639.png", "Ver Imagen")</f>
        <v>Ver Imagen</v>
      </c>
    </row>
    <row r="3344" spans="1:16" x14ac:dyDescent="0.25">
      <c r="A3344">
        <v>2860</v>
      </c>
      <c r="B3344" t="s">
        <v>5733</v>
      </c>
      <c r="C3344">
        <v>37.2024821917</v>
      </c>
      <c r="D3344">
        <v>-6.9986748037400002</v>
      </c>
      <c r="E3344">
        <v>3</v>
      </c>
      <c r="F3344">
        <v>2</v>
      </c>
      <c r="G3344">
        <v>3</v>
      </c>
      <c r="J3344" t="s">
        <v>15</v>
      </c>
      <c r="K3344">
        <v>3</v>
      </c>
      <c r="L3344">
        <v>2.6659999999999999</v>
      </c>
      <c r="M3344">
        <v>0</v>
      </c>
      <c r="N3344" t="s">
        <v>10019</v>
      </c>
      <c r="O3344" t="str">
        <f>HYPERLINK("3\1\marker_733_371567.png", "Ver Imagen")</f>
        <v>Ver Imagen</v>
      </c>
      <c r="P3344" t="str">
        <f>HYPERLINK("SE\A-497\A-497__616.png", "Ver Imagen")</f>
        <v>Ver Imagen</v>
      </c>
    </row>
    <row r="3345" spans="1:16" x14ac:dyDescent="0.25">
      <c r="A3345">
        <v>2861</v>
      </c>
      <c r="B3345" t="s">
        <v>5735</v>
      </c>
      <c r="C3345">
        <v>37.202708907500003</v>
      </c>
      <c r="D3345">
        <v>-7.0003853579699999</v>
      </c>
      <c r="E3345">
        <v>3</v>
      </c>
      <c r="F3345">
        <v>2</v>
      </c>
      <c r="G3345">
        <v>3</v>
      </c>
      <c r="J3345" t="s">
        <v>15</v>
      </c>
      <c r="K3345">
        <v>3</v>
      </c>
      <c r="L3345">
        <v>2.8889999999999998</v>
      </c>
      <c r="M3345">
        <v>0</v>
      </c>
      <c r="N3345" t="s">
        <v>10019</v>
      </c>
      <c r="O3345" t="str">
        <f>HYPERLINK("3\1\marker_110_371630.png", "Ver Imagen")</f>
        <v>Ver Imagen</v>
      </c>
      <c r="P3345" t="str">
        <f>HYPERLINK("SE\A-497\A-497__609.png", "Ver Imagen")</f>
        <v>Ver Imagen</v>
      </c>
    </row>
    <row r="3346" spans="1:16" x14ac:dyDescent="0.25">
      <c r="A3346">
        <v>2862</v>
      </c>
      <c r="B3346" t="s">
        <v>5737</v>
      </c>
      <c r="C3346">
        <v>37.202943020299998</v>
      </c>
      <c r="D3346">
        <v>-7.0024085283700002</v>
      </c>
      <c r="E3346">
        <v>3</v>
      </c>
      <c r="F3346">
        <v>2</v>
      </c>
      <c r="G3346">
        <v>3</v>
      </c>
      <c r="J3346" t="s">
        <v>15</v>
      </c>
      <c r="K3346">
        <v>3</v>
      </c>
      <c r="L3346">
        <v>3.0459999999999998</v>
      </c>
      <c r="M3346">
        <v>0</v>
      </c>
      <c r="N3346" t="s">
        <v>10017</v>
      </c>
      <c r="O3346" t="str">
        <f>HYPERLINK("3\1\marker_504_371704.png", "Ver Imagen")</f>
        <v>Ver Imagen</v>
      </c>
      <c r="P3346" t="str">
        <f>HYPERLINK("SE\A-497\A-497__601.png", "Ver Imagen")</f>
        <v>Ver Imagen</v>
      </c>
    </row>
    <row r="3347" spans="1:16" x14ac:dyDescent="0.25">
      <c r="A3347">
        <v>2863</v>
      </c>
      <c r="B3347" t="s">
        <v>5739</v>
      </c>
      <c r="C3347">
        <v>37.2029952352</v>
      </c>
      <c r="D3347">
        <v>-7.0029104334200003</v>
      </c>
      <c r="E3347">
        <v>3</v>
      </c>
      <c r="F3347">
        <v>2</v>
      </c>
      <c r="G3347">
        <v>3</v>
      </c>
      <c r="J3347" t="s">
        <v>15</v>
      </c>
      <c r="K3347">
        <v>3</v>
      </c>
      <c r="L3347">
        <v>2.7829999999999999</v>
      </c>
      <c r="M3347">
        <v>0</v>
      </c>
      <c r="N3347" t="s">
        <v>10018</v>
      </c>
      <c r="O3347" t="str">
        <f>HYPERLINK("3\1\marker_154_371722.png", "Ver Imagen")</f>
        <v>Ver Imagen</v>
      </c>
      <c r="P3347" t="str">
        <f>HYPERLINK("SE\A-497\A-497__599.png", "Ver Imagen")</f>
        <v>Ver Imagen</v>
      </c>
    </row>
    <row r="3348" spans="1:16" x14ac:dyDescent="0.25">
      <c r="A3348">
        <v>2865</v>
      </c>
      <c r="B3348" t="s">
        <v>5743</v>
      </c>
      <c r="C3348">
        <v>37.251588218599998</v>
      </c>
      <c r="D3348">
        <v>-7.0170801896099997</v>
      </c>
      <c r="E3348">
        <v>3</v>
      </c>
      <c r="F3348">
        <v>3</v>
      </c>
      <c r="G3348">
        <v>4</v>
      </c>
      <c r="J3348" t="s">
        <v>15</v>
      </c>
      <c r="K3348">
        <v>3</v>
      </c>
      <c r="L3348">
        <v>3.0329999999999999</v>
      </c>
      <c r="M3348">
        <v>0</v>
      </c>
      <c r="N3348" t="s">
        <v>10018</v>
      </c>
      <c r="O3348" t="str">
        <f>HYPERLINK("3\1\marker_269_320063.png", "Ver Imagen")</f>
        <v>Ver Imagen</v>
      </c>
      <c r="P3348" t="str">
        <f>HYPERLINK("SE\A-497_2C\A-497_2C__289.png", "Ver Imagen")</f>
        <v>Ver Imagen</v>
      </c>
    </row>
    <row r="3349" spans="1:16" x14ac:dyDescent="0.25">
      <c r="A3349">
        <v>2866</v>
      </c>
      <c r="B3349" t="s">
        <v>5745</v>
      </c>
      <c r="C3349">
        <v>37.2510372144</v>
      </c>
      <c r="D3349">
        <v>-7.0174289313199996</v>
      </c>
      <c r="E3349">
        <v>3</v>
      </c>
      <c r="F3349">
        <v>4</v>
      </c>
      <c r="G3349">
        <v>3</v>
      </c>
      <c r="J3349" t="s">
        <v>15</v>
      </c>
      <c r="K3349">
        <v>3</v>
      </c>
      <c r="L3349">
        <v>3.137</v>
      </c>
      <c r="M3349">
        <v>0</v>
      </c>
      <c r="N3349" t="s">
        <v>10019</v>
      </c>
      <c r="O3349" t="str">
        <f>HYPERLINK("3\1\marker_911_320093.png", "Ver Imagen")</f>
        <v>Ver Imagen</v>
      </c>
      <c r="P3349" t="str">
        <f>HYPERLINK("SE\A-497_2C\A-497_2C__292.png", "Ver Imagen")</f>
        <v>Ver Imagen</v>
      </c>
    </row>
    <row r="3350" spans="1:16" x14ac:dyDescent="0.25">
      <c r="A3350">
        <v>2867</v>
      </c>
      <c r="B3350" t="s">
        <v>5747</v>
      </c>
      <c r="C3350">
        <v>37.250866284799997</v>
      </c>
      <c r="D3350">
        <v>-7.0175347979499998</v>
      </c>
      <c r="E3350">
        <v>3</v>
      </c>
      <c r="F3350">
        <v>4</v>
      </c>
      <c r="G3350">
        <v>3</v>
      </c>
      <c r="J3350" t="s">
        <v>15</v>
      </c>
      <c r="K3350">
        <v>3</v>
      </c>
      <c r="L3350">
        <v>3.113</v>
      </c>
      <c r="M3350">
        <v>0</v>
      </c>
      <c r="N3350" t="s">
        <v>10019</v>
      </c>
      <c r="O3350" t="str">
        <f>HYPERLINK("3\1\marker_231_320101.png", "Ver Imagen")</f>
        <v>Ver Imagen</v>
      </c>
      <c r="P3350" t="str">
        <f>HYPERLINK("SE\A-497_2C\A-497_2C__293.png", "Ver Imagen")</f>
        <v>Ver Imagen</v>
      </c>
    </row>
    <row r="3351" spans="1:16" x14ac:dyDescent="0.25">
      <c r="A3351">
        <v>2868</v>
      </c>
      <c r="B3351" t="s">
        <v>5749</v>
      </c>
      <c r="C3351">
        <v>37.250290999500002</v>
      </c>
      <c r="D3351">
        <v>-7.0178755766099998</v>
      </c>
      <c r="E3351">
        <v>3</v>
      </c>
      <c r="F3351">
        <v>2</v>
      </c>
      <c r="G3351">
        <v>3</v>
      </c>
      <c r="J3351" t="s">
        <v>15</v>
      </c>
      <c r="K3351">
        <v>3</v>
      </c>
      <c r="L3351">
        <v>3.0369999999999999</v>
      </c>
      <c r="M3351">
        <v>0</v>
      </c>
      <c r="N3351" t="s">
        <v>10019</v>
      </c>
      <c r="O3351" t="str">
        <f>HYPERLINK("3\1\marker_319_320131.png", "Ver Imagen")</f>
        <v>Ver Imagen</v>
      </c>
      <c r="P3351" t="str">
        <f>HYPERLINK("SE\A-497_2C\A-497_2C__296.png", "Ver Imagen")</f>
        <v>Ver Imagen</v>
      </c>
    </row>
    <row r="3352" spans="1:16" x14ac:dyDescent="0.25">
      <c r="A3352">
        <v>2870</v>
      </c>
      <c r="B3352" t="s">
        <v>5753</v>
      </c>
      <c r="C3352">
        <v>37.246324725599997</v>
      </c>
      <c r="D3352">
        <v>-7.0184401426100003</v>
      </c>
      <c r="E3352">
        <v>3</v>
      </c>
      <c r="F3352">
        <v>4</v>
      </c>
      <c r="G3352">
        <v>3</v>
      </c>
      <c r="J3352" t="s">
        <v>15</v>
      </c>
      <c r="K3352">
        <v>3</v>
      </c>
      <c r="L3352">
        <v>2.9340000000000002</v>
      </c>
      <c r="M3352">
        <v>0</v>
      </c>
      <c r="N3352" t="s">
        <v>10019</v>
      </c>
      <c r="O3352" t="str">
        <f>HYPERLINK("3\1\marker_997_361888.png", "Ver Imagen")</f>
        <v>Ver Imagen</v>
      </c>
      <c r="P3352" t="str">
        <f>HYPERLINK("SE\A-497_2C\A-497_2C__316.png", "Ver Imagen")</f>
        <v>Ver Imagen</v>
      </c>
    </row>
    <row r="3353" spans="1:16" x14ac:dyDescent="0.25">
      <c r="A3353">
        <v>2871</v>
      </c>
      <c r="B3353" t="s">
        <v>5755</v>
      </c>
      <c r="C3353">
        <v>37.244061971699999</v>
      </c>
      <c r="D3353">
        <v>-7.0185229368800002</v>
      </c>
      <c r="E3353">
        <v>3</v>
      </c>
      <c r="F3353">
        <v>4</v>
      </c>
      <c r="G3353">
        <v>3</v>
      </c>
      <c r="J3353" t="s">
        <v>15</v>
      </c>
      <c r="K3353">
        <v>3</v>
      </c>
      <c r="L3353">
        <v>3.194</v>
      </c>
      <c r="M3353">
        <v>0</v>
      </c>
      <c r="N3353" t="s">
        <v>10019</v>
      </c>
      <c r="O3353" t="str">
        <f>HYPERLINK("3\1\marker_710_361991.png", "Ver Imagen")</f>
        <v>Ver Imagen</v>
      </c>
      <c r="P3353" t="str">
        <f>HYPERLINK("SE\A-497_2C\A-497_2C__327.png", "Ver Imagen")</f>
        <v>Ver Imagen</v>
      </c>
    </row>
    <row r="3354" spans="1:16" x14ac:dyDescent="0.25">
      <c r="A3354">
        <v>2872</v>
      </c>
      <c r="B3354" t="s">
        <v>5757</v>
      </c>
      <c r="C3354">
        <v>37.242448543400002</v>
      </c>
      <c r="D3354">
        <v>-7.0185817286500001</v>
      </c>
      <c r="E3354">
        <v>3</v>
      </c>
      <c r="F3354">
        <v>4</v>
      </c>
      <c r="G3354">
        <v>3</v>
      </c>
      <c r="J3354" t="s">
        <v>15</v>
      </c>
      <c r="K3354">
        <v>3</v>
      </c>
      <c r="L3354">
        <v>3.157</v>
      </c>
      <c r="M3354">
        <v>0</v>
      </c>
      <c r="N3354" t="s">
        <v>10019</v>
      </c>
      <c r="O3354" t="str">
        <f>HYPERLINK("3\1\marker_369_362070.png", "Ver Imagen")</f>
        <v>Ver Imagen</v>
      </c>
      <c r="P3354" t="str">
        <f>HYPERLINK("SE\A-497_2C\A-497_2C__335.png", "Ver Imagen")</f>
        <v>Ver Imagen</v>
      </c>
    </row>
    <row r="3355" spans="1:16" x14ac:dyDescent="0.25">
      <c r="A3355">
        <v>2873</v>
      </c>
      <c r="B3355" t="s">
        <v>5759</v>
      </c>
      <c r="C3355">
        <v>37.205299790200002</v>
      </c>
      <c r="D3355">
        <v>-7.0170003252399997</v>
      </c>
      <c r="E3355">
        <v>3</v>
      </c>
      <c r="F3355">
        <v>2</v>
      </c>
      <c r="G3355">
        <v>3</v>
      </c>
      <c r="J3355" t="s">
        <v>15</v>
      </c>
      <c r="K3355">
        <v>3</v>
      </c>
      <c r="L3355">
        <v>2.8559999999999999</v>
      </c>
      <c r="M3355">
        <v>0</v>
      </c>
      <c r="N3355" t="s">
        <v>10019</v>
      </c>
      <c r="O3355" t="str">
        <f>HYPERLINK("3\1\marker_323_372357.png", "Ver Imagen")</f>
        <v>Ver Imagen</v>
      </c>
      <c r="P3355" t="str">
        <f>HYPERLINK("SE\A-497\A-497__542.png", "Ver Imagen")</f>
        <v>Ver Imagen</v>
      </c>
    </row>
    <row r="3356" spans="1:16" x14ac:dyDescent="0.25">
      <c r="A3356">
        <v>2874</v>
      </c>
      <c r="B3356" t="s">
        <v>5761</v>
      </c>
      <c r="C3356">
        <v>37.205845673299997</v>
      </c>
      <c r="D3356">
        <v>-7.01885605932</v>
      </c>
      <c r="E3356">
        <v>3</v>
      </c>
      <c r="F3356">
        <v>2</v>
      </c>
      <c r="G3356">
        <v>3</v>
      </c>
      <c r="J3356" t="s">
        <v>15</v>
      </c>
      <c r="K3356">
        <v>3</v>
      </c>
      <c r="L3356">
        <v>2.9209999999999998</v>
      </c>
      <c r="M3356">
        <v>0</v>
      </c>
      <c r="N3356" t="s">
        <v>10019</v>
      </c>
      <c r="O3356" t="str">
        <f>HYPERLINK("3\1\marker_668_372456.png", "Ver Imagen")</f>
        <v>Ver Imagen</v>
      </c>
      <c r="P3356" t="str">
        <f>HYPERLINK("SE\A-497\A-497__534.png", "Ver Imagen")</f>
        <v>Ver Imagen</v>
      </c>
    </row>
    <row r="3357" spans="1:16" x14ac:dyDescent="0.25">
      <c r="A3357">
        <v>2877</v>
      </c>
      <c r="B3357" t="s">
        <v>5767</v>
      </c>
      <c r="C3357">
        <v>37.206459425699997</v>
      </c>
      <c r="D3357">
        <v>-7.0202497103499999</v>
      </c>
      <c r="E3357">
        <v>3</v>
      </c>
      <c r="F3357">
        <v>2</v>
      </c>
      <c r="G3357">
        <v>3</v>
      </c>
      <c r="J3357" t="s">
        <v>15</v>
      </c>
      <c r="K3357">
        <v>3</v>
      </c>
      <c r="L3357">
        <v>2.556</v>
      </c>
      <c r="M3357">
        <v>0</v>
      </c>
      <c r="N3357" t="s">
        <v>10019</v>
      </c>
      <c r="O3357" t="str">
        <f>HYPERLINK("3\1\marker_555_372520.png", "Ver Imagen")</f>
        <v>Ver Imagen</v>
      </c>
      <c r="P3357" t="str">
        <f>HYPERLINK("SE\A-497\A-497__528.png", "Ver Imagen")</f>
        <v>Ver Imagen</v>
      </c>
    </row>
    <row r="3358" spans="1:16" x14ac:dyDescent="0.25">
      <c r="A3358">
        <v>2878</v>
      </c>
      <c r="B3358" t="s">
        <v>5769</v>
      </c>
      <c r="C3358">
        <v>37.206674054899999</v>
      </c>
      <c r="D3358">
        <v>-7.0206331214800004</v>
      </c>
      <c r="E3358">
        <v>3</v>
      </c>
      <c r="F3358">
        <v>2</v>
      </c>
      <c r="G3358">
        <v>3</v>
      </c>
      <c r="J3358" t="s">
        <v>15</v>
      </c>
      <c r="K3358">
        <v>3</v>
      </c>
      <c r="L3358">
        <v>2.899</v>
      </c>
      <c r="M3358">
        <v>0</v>
      </c>
      <c r="N3358" t="s">
        <v>10019</v>
      </c>
      <c r="O3358" t="str">
        <f>HYPERLINK("3\1\marker_998_372537.png", "Ver Imagen")</f>
        <v>Ver Imagen</v>
      </c>
      <c r="P3358" t="str">
        <f>HYPERLINK("SE\A-497\A-497__526.png", "Ver Imagen")</f>
        <v>Ver Imagen</v>
      </c>
    </row>
    <row r="3359" spans="1:16" x14ac:dyDescent="0.25">
      <c r="A3359">
        <v>2879</v>
      </c>
      <c r="B3359" t="s">
        <v>5771</v>
      </c>
      <c r="C3359">
        <v>37.237180452499999</v>
      </c>
      <c r="D3359">
        <v>-7.0187395444999998</v>
      </c>
      <c r="E3359">
        <v>3</v>
      </c>
      <c r="F3359">
        <v>2</v>
      </c>
      <c r="G3359">
        <v>3</v>
      </c>
      <c r="J3359" t="s">
        <v>15</v>
      </c>
      <c r="K3359">
        <v>3</v>
      </c>
      <c r="L3359">
        <v>3.0209999999999999</v>
      </c>
      <c r="M3359">
        <v>0</v>
      </c>
      <c r="N3359" t="s">
        <v>10019</v>
      </c>
      <c r="O3359" t="str">
        <f>HYPERLINK("3\1\marker_348_362341.png", "Ver Imagen")</f>
        <v>Ver Imagen</v>
      </c>
      <c r="P3359" t="str">
        <f>HYPERLINK("SE\A-497_2C\A-497_2C__361.png", "Ver Imagen")</f>
        <v>Ver Imagen</v>
      </c>
    </row>
    <row r="3360" spans="1:16" x14ac:dyDescent="0.25">
      <c r="A3360">
        <v>2880</v>
      </c>
      <c r="B3360" t="s">
        <v>5773</v>
      </c>
      <c r="C3360">
        <v>37.207068436699998</v>
      </c>
      <c r="D3360">
        <v>-7.0212217284899996</v>
      </c>
      <c r="E3360">
        <v>3</v>
      </c>
      <c r="F3360">
        <v>2</v>
      </c>
      <c r="G3360">
        <v>3</v>
      </c>
      <c r="J3360" t="s">
        <v>15</v>
      </c>
      <c r="K3360">
        <v>3</v>
      </c>
      <c r="L3360">
        <v>2.9630000000000001</v>
      </c>
      <c r="M3360">
        <v>0</v>
      </c>
      <c r="N3360" t="s">
        <v>10019</v>
      </c>
      <c r="O3360" t="str">
        <f>HYPERLINK("3\1\marker_298_372567.png", "Ver Imagen")</f>
        <v>Ver Imagen</v>
      </c>
      <c r="P3360" t="str">
        <f>HYPERLINK("SE\A-497\A-497__523.png", "Ver Imagen")</f>
        <v>Ver Imagen</v>
      </c>
    </row>
    <row r="3361" spans="1:16" x14ac:dyDescent="0.25">
      <c r="A3361">
        <v>2881</v>
      </c>
      <c r="B3361" t="s">
        <v>5775</v>
      </c>
      <c r="C3361">
        <v>37.2075087009</v>
      </c>
      <c r="D3361">
        <v>-7.0217587009900004</v>
      </c>
      <c r="E3361">
        <v>3</v>
      </c>
      <c r="F3361">
        <v>2</v>
      </c>
      <c r="G3361">
        <v>3</v>
      </c>
      <c r="J3361" t="s">
        <v>15</v>
      </c>
      <c r="K3361">
        <v>3</v>
      </c>
      <c r="L3361">
        <v>3.004</v>
      </c>
      <c r="M3361">
        <v>0</v>
      </c>
      <c r="N3361" t="s">
        <v>10019</v>
      </c>
      <c r="O3361" t="str">
        <f>HYPERLINK("3\1\marker_125_372594.png", "Ver Imagen")</f>
        <v>Ver Imagen</v>
      </c>
      <c r="P3361" t="str">
        <f>HYPERLINK("SE\A-497\A-497__520.png", "Ver Imagen")</f>
        <v>Ver Imagen</v>
      </c>
    </row>
    <row r="3362" spans="1:16" x14ac:dyDescent="0.25">
      <c r="A3362">
        <v>2882</v>
      </c>
      <c r="B3362" t="s">
        <v>5777</v>
      </c>
      <c r="C3362">
        <v>37.234341001600001</v>
      </c>
      <c r="D3362">
        <v>-7.0181751767399998</v>
      </c>
      <c r="E3362">
        <v>3</v>
      </c>
      <c r="F3362">
        <v>2</v>
      </c>
      <c r="G3362">
        <v>3</v>
      </c>
      <c r="J3362" t="s">
        <v>15</v>
      </c>
      <c r="K3362">
        <v>3</v>
      </c>
      <c r="L3362">
        <v>3.194</v>
      </c>
      <c r="M3362">
        <v>0</v>
      </c>
      <c r="N3362" t="s">
        <v>10019</v>
      </c>
      <c r="O3362" t="str">
        <f>HYPERLINK("3\1\marker_498_362571.png", "Ver Imagen")</f>
        <v>Ver Imagen</v>
      </c>
      <c r="P3362" t="str">
        <f>HYPERLINK("SE\A-497_2C\A-497_2C__375.png", "Ver Imagen")</f>
        <v>Ver Imagen</v>
      </c>
    </row>
    <row r="3363" spans="1:16" x14ac:dyDescent="0.25">
      <c r="A3363">
        <v>2883</v>
      </c>
      <c r="B3363" t="s">
        <v>5779</v>
      </c>
      <c r="C3363">
        <v>37.2076581261</v>
      </c>
      <c r="D3363">
        <v>-7.0219216384800003</v>
      </c>
      <c r="E3363">
        <v>3</v>
      </c>
      <c r="F3363">
        <v>2</v>
      </c>
      <c r="G3363">
        <v>3</v>
      </c>
      <c r="J3363" t="s">
        <v>15</v>
      </c>
      <c r="K3363">
        <v>3</v>
      </c>
      <c r="L3363">
        <v>2.7330000000000001</v>
      </c>
      <c r="M3363">
        <v>0</v>
      </c>
      <c r="N3363" t="s">
        <v>10018</v>
      </c>
      <c r="O3363" t="str">
        <f>HYPERLINK("3\1\marker_968_372604.png", "Ver Imagen")</f>
        <v>Ver Imagen</v>
      </c>
      <c r="P3363" t="str">
        <f>HYPERLINK("SE\A-497\A-497__519.png", "Ver Imagen")</f>
        <v>Ver Imagen</v>
      </c>
    </row>
    <row r="3364" spans="1:16" x14ac:dyDescent="0.25">
      <c r="A3364">
        <v>2884</v>
      </c>
      <c r="B3364" t="s">
        <v>5781</v>
      </c>
      <c r="C3364">
        <v>37.207818056199997</v>
      </c>
      <c r="D3364">
        <v>-7.0220860638999998</v>
      </c>
      <c r="E3364">
        <v>3</v>
      </c>
      <c r="F3364">
        <v>2</v>
      </c>
      <c r="G3364">
        <v>3</v>
      </c>
      <c r="J3364" t="s">
        <v>15</v>
      </c>
      <c r="K3364">
        <v>3</v>
      </c>
      <c r="L3364">
        <v>2.6909999999999998</v>
      </c>
      <c r="M3364">
        <v>0</v>
      </c>
      <c r="N3364" t="s">
        <v>10019</v>
      </c>
      <c r="O3364" t="str">
        <f>HYPERLINK("3\1\marker_501_372614.png", "Ver Imagen")</f>
        <v>Ver Imagen</v>
      </c>
      <c r="P3364" t="str">
        <f>HYPERLINK("SE\A-497\A-497__518.png", "Ver Imagen")</f>
        <v>Ver Imagen</v>
      </c>
    </row>
    <row r="3365" spans="1:16" x14ac:dyDescent="0.25">
      <c r="A3365">
        <v>2886</v>
      </c>
      <c r="B3365" t="s">
        <v>5785</v>
      </c>
      <c r="C3365">
        <v>37.2339818847</v>
      </c>
      <c r="D3365">
        <v>-7.0181703141599998</v>
      </c>
      <c r="E3365">
        <v>3</v>
      </c>
      <c r="F3365">
        <v>2</v>
      </c>
      <c r="G3365">
        <v>3</v>
      </c>
      <c r="J3365" t="s">
        <v>15</v>
      </c>
      <c r="K3365">
        <v>3</v>
      </c>
      <c r="L3365">
        <v>2.9239999999999999</v>
      </c>
      <c r="M3365">
        <v>0</v>
      </c>
      <c r="N3365" t="s">
        <v>10019</v>
      </c>
      <c r="O3365" t="str">
        <f>HYPERLINK("3\1\marker_145_362596.png", "Ver Imagen")</f>
        <v>Ver Imagen</v>
      </c>
      <c r="P3365" t="str">
        <f>HYPERLINK("SE\A-497_2C\A-497_2C__377.png", "Ver Imagen")</f>
        <v>Ver Imagen</v>
      </c>
    </row>
    <row r="3366" spans="1:16" x14ac:dyDescent="0.25">
      <c r="A3366">
        <v>2887</v>
      </c>
      <c r="B3366" t="s">
        <v>5787</v>
      </c>
      <c r="C3366">
        <v>37.233596052700001</v>
      </c>
      <c r="D3366">
        <v>-7.01821236319</v>
      </c>
      <c r="E3366">
        <v>3</v>
      </c>
      <c r="F3366">
        <v>2</v>
      </c>
      <c r="G3366">
        <v>3</v>
      </c>
      <c r="J3366" t="s">
        <v>15</v>
      </c>
      <c r="K3366">
        <v>3</v>
      </c>
      <c r="L3366">
        <v>2.8239999999999998</v>
      </c>
      <c r="M3366">
        <v>0</v>
      </c>
      <c r="N3366" t="s">
        <v>10019</v>
      </c>
      <c r="O3366" t="str">
        <f>HYPERLINK("3\1\marker_504_362694.png", "Ver Imagen")</f>
        <v>Ver Imagen</v>
      </c>
      <c r="P3366" t="str">
        <f>HYPERLINK("SE\A-497_2C\A-497_2C__379.png", "Ver Imagen")</f>
        <v>Ver Imagen</v>
      </c>
    </row>
    <row r="3367" spans="1:16" x14ac:dyDescent="0.25">
      <c r="A3367">
        <v>2888</v>
      </c>
      <c r="B3367" t="s">
        <v>5789</v>
      </c>
      <c r="C3367">
        <v>37.2333846756</v>
      </c>
      <c r="D3367">
        <v>-7.0182559701200002</v>
      </c>
      <c r="E3367">
        <v>3</v>
      </c>
      <c r="F3367">
        <v>2</v>
      </c>
      <c r="G3367">
        <v>3</v>
      </c>
      <c r="J3367" t="s">
        <v>15</v>
      </c>
      <c r="K3367">
        <v>3</v>
      </c>
      <c r="L3367">
        <v>3.1339999999999999</v>
      </c>
      <c r="M3367">
        <v>0</v>
      </c>
      <c r="N3367" t="s">
        <v>10019</v>
      </c>
      <c r="O3367" t="str">
        <f>HYPERLINK("3\1\marker_839_362704.png", "Ver Imagen")</f>
        <v>Ver Imagen</v>
      </c>
      <c r="P3367" t="str">
        <f>HYPERLINK("SE\A-497_2C\A-497_2C__380.png", "Ver Imagen")</f>
        <v>Ver Imagen</v>
      </c>
    </row>
    <row r="3368" spans="1:16" x14ac:dyDescent="0.25">
      <c r="A3368">
        <v>2889</v>
      </c>
      <c r="B3368" t="s">
        <v>5791</v>
      </c>
      <c r="C3368">
        <v>37.208337096800001</v>
      </c>
      <c r="D3368">
        <v>-7.0225510706599996</v>
      </c>
      <c r="E3368">
        <v>3</v>
      </c>
      <c r="F3368">
        <v>2</v>
      </c>
      <c r="G3368">
        <v>3</v>
      </c>
      <c r="J3368" t="s">
        <v>15</v>
      </c>
      <c r="K3368">
        <v>3</v>
      </c>
      <c r="L3368">
        <v>3.0739999999999998</v>
      </c>
      <c r="M3368">
        <v>0</v>
      </c>
      <c r="N3368" t="s">
        <v>10019</v>
      </c>
      <c r="O3368" t="str">
        <f>HYPERLINK("3\1\marker_762_372643.png", "Ver Imagen")</f>
        <v>Ver Imagen</v>
      </c>
      <c r="P3368" t="str">
        <f>HYPERLINK("SE\A-497\A-497__515.png", "Ver Imagen")</f>
        <v>Ver Imagen</v>
      </c>
    </row>
    <row r="3369" spans="1:16" x14ac:dyDescent="0.25">
      <c r="A3369">
        <v>2890</v>
      </c>
      <c r="B3369" t="s">
        <v>5793</v>
      </c>
      <c r="C3369">
        <v>37.232974668499999</v>
      </c>
      <c r="D3369">
        <v>-7.0183853213500003</v>
      </c>
      <c r="E3369">
        <v>3</v>
      </c>
      <c r="F3369">
        <v>2</v>
      </c>
      <c r="G3369">
        <v>3</v>
      </c>
      <c r="J3369" t="s">
        <v>15</v>
      </c>
      <c r="K3369">
        <v>3</v>
      </c>
      <c r="L3369">
        <v>2.581</v>
      </c>
      <c r="M3369">
        <v>0</v>
      </c>
      <c r="N3369" t="s">
        <v>10018</v>
      </c>
      <c r="O3369" t="str">
        <f>HYPERLINK("3\1\marker_227_362721.png", "Ver Imagen")</f>
        <v>Ver Imagen</v>
      </c>
      <c r="P3369" t="str">
        <f>HYPERLINK("SE\A-497_2C\A-497_2C__382.png", "Ver Imagen")</f>
        <v>Ver Imagen</v>
      </c>
    </row>
    <row r="3370" spans="1:16" x14ac:dyDescent="0.25">
      <c r="A3370">
        <v>2891</v>
      </c>
      <c r="B3370" t="s">
        <v>5795</v>
      </c>
      <c r="C3370">
        <v>37.208506923199998</v>
      </c>
      <c r="D3370">
        <v>-7.0226829518600002</v>
      </c>
      <c r="E3370">
        <v>3</v>
      </c>
      <c r="F3370">
        <v>2</v>
      </c>
      <c r="G3370">
        <v>3</v>
      </c>
      <c r="J3370" t="s">
        <v>15</v>
      </c>
      <c r="K3370">
        <v>3</v>
      </c>
      <c r="L3370">
        <v>3.0960000000000001</v>
      </c>
      <c r="M3370">
        <v>0</v>
      </c>
      <c r="N3370" t="s">
        <v>10018</v>
      </c>
      <c r="O3370" t="str">
        <f>HYPERLINK("3\1\marker_288_372651.png", "Ver Imagen")</f>
        <v>Ver Imagen</v>
      </c>
      <c r="P3370" t="str">
        <f>HYPERLINK("SE\A-497\A-497__514.png", "Ver Imagen")</f>
        <v>Ver Imagen</v>
      </c>
    </row>
    <row r="3371" spans="1:16" x14ac:dyDescent="0.25">
      <c r="A3371">
        <v>2892</v>
      </c>
      <c r="B3371" t="s">
        <v>5797</v>
      </c>
      <c r="C3371">
        <v>37.209020329799998</v>
      </c>
      <c r="D3371">
        <v>-7.0230304808600001</v>
      </c>
      <c r="E3371">
        <v>3</v>
      </c>
      <c r="F3371">
        <v>2</v>
      </c>
      <c r="G3371">
        <v>3</v>
      </c>
      <c r="J3371" t="s">
        <v>15</v>
      </c>
      <c r="K3371">
        <v>3</v>
      </c>
      <c r="L3371">
        <v>2.7549999999999999</v>
      </c>
      <c r="M3371">
        <v>0</v>
      </c>
      <c r="N3371" t="s">
        <v>10019</v>
      </c>
      <c r="O3371" t="str">
        <f>HYPERLINK("3\1\marker_245_372682.png", "Ver Imagen")</f>
        <v>Ver Imagen</v>
      </c>
      <c r="P3371" t="str">
        <f>HYPERLINK("SE\A-497\A-497__511.png", "Ver Imagen")</f>
        <v>Ver Imagen</v>
      </c>
    </row>
    <row r="3372" spans="1:16" x14ac:dyDescent="0.25">
      <c r="A3372">
        <v>2893</v>
      </c>
      <c r="B3372" t="s">
        <v>5799</v>
      </c>
      <c r="C3372">
        <v>37.209368559600001</v>
      </c>
      <c r="D3372">
        <v>-7.0232268542799998</v>
      </c>
      <c r="E3372">
        <v>3</v>
      </c>
      <c r="F3372">
        <v>4</v>
      </c>
      <c r="G3372">
        <v>3</v>
      </c>
      <c r="J3372" t="s">
        <v>15</v>
      </c>
      <c r="K3372">
        <v>3</v>
      </c>
      <c r="L3372">
        <v>2.5190000000000001</v>
      </c>
      <c r="M3372">
        <v>0</v>
      </c>
      <c r="N3372" t="s">
        <v>10017</v>
      </c>
      <c r="O3372" t="str">
        <f>HYPERLINK("3\1\marker_608_372702.png", "Ver Imagen")</f>
        <v>Ver Imagen</v>
      </c>
      <c r="P3372" t="str">
        <f>HYPERLINK("SE\A-497\A-497__509.png", "Ver Imagen")</f>
        <v>Ver Imagen</v>
      </c>
    </row>
    <row r="3373" spans="1:16" x14ac:dyDescent="0.25">
      <c r="A3373">
        <v>2894</v>
      </c>
      <c r="B3373" t="s">
        <v>5801</v>
      </c>
      <c r="C3373">
        <v>37.209761997100003</v>
      </c>
      <c r="D3373">
        <v>-7.02341573098</v>
      </c>
      <c r="E3373">
        <v>3</v>
      </c>
      <c r="F3373">
        <v>2</v>
      </c>
      <c r="G3373">
        <v>3</v>
      </c>
      <c r="J3373" t="s">
        <v>15</v>
      </c>
      <c r="K3373">
        <v>3</v>
      </c>
      <c r="L3373">
        <v>2.863</v>
      </c>
      <c r="M3373">
        <v>0</v>
      </c>
      <c r="N3373" t="s">
        <v>10019</v>
      </c>
      <c r="O3373" t="str">
        <f>HYPERLINK("3\1\marker_476_372724.png", "Ver Imagen")</f>
        <v>Ver Imagen</v>
      </c>
      <c r="P3373" t="str">
        <f>HYPERLINK("SE\A-497\A-497__507.png", "Ver Imagen")</f>
        <v>Ver Imagen</v>
      </c>
    </row>
    <row r="3374" spans="1:16" x14ac:dyDescent="0.25">
      <c r="A3374">
        <v>2895</v>
      </c>
      <c r="B3374" t="s">
        <v>5803</v>
      </c>
      <c r="C3374">
        <v>37.209973606399998</v>
      </c>
      <c r="D3374">
        <v>-7.0235018669100002</v>
      </c>
      <c r="E3374">
        <v>3</v>
      </c>
      <c r="F3374">
        <v>2</v>
      </c>
      <c r="G3374">
        <v>3</v>
      </c>
      <c r="J3374" t="s">
        <v>15</v>
      </c>
      <c r="K3374">
        <v>3</v>
      </c>
      <c r="L3374">
        <v>2.89</v>
      </c>
      <c r="M3374">
        <v>0</v>
      </c>
      <c r="N3374" t="s">
        <v>10019</v>
      </c>
      <c r="O3374" t="str">
        <f>HYPERLINK("3\1\marker_260_372733.png", "Ver Imagen")</f>
        <v>Ver Imagen</v>
      </c>
      <c r="P3374" t="str">
        <f>HYPERLINK("SE\A-497\A-497__506.png", "Ver Imagen")</f>
        <v>Ver Imagen</v>
      </c>
    </row>
    <row r="3375" spans="1:16" x14ac:dyDescent="0.25">
      <c r="A3375">
        <v>2896</v>
      </c>
      <c r="B3375" t="s">
        <v>5805</v>
      </c>
      <c r="C3375">
        <v>37.210150144099998</v>
      </c>
      <c r="D3375">
        <v>-7.02356558433</v>
      </c>
      <c r="E3375">
        <v>3</v>
      </c>
      <c r="F3375">
        <v>2</v>
      </c>
      <c r="G3375">
        <v>3</v>
      </c>
      <c r="J3375" t="s">
        <v>15</v>
      </c>
      <c r="K3375">
        <v>3</v>
      </c>
      <c r="L3375">
        <v>2.9710000000000001</v>
      </c>
      <c r="M3375">
        <v>0</v>
      </c>
      <c r="N3375" t="s">
        <v>10019</v>
      </c>
      <c r="O3375" t="str">
        <f>HYPERLINK("3\1\marker_386_372747.png", "Ver Imagen")</f>
        <v>Ver Imagen</v>
      </c>
      <c r="P3375" t="str">
        <f>HYPERLINK("SE\A-497\A-497__505.png", "Ver Imagen")</f>
        <v>Ver Imagen</v>
      </c>
    </row>
    <row r="3376" spans="1:16" x14ac:dyDescent="0.25">
      <c r="A3376">
        <v>2897</v>
      </c>
      <c r="B3376" t="s">
        <v>5807</v>
      </c>
      <c r="C3376">
        <v>37.230474979100002</v>
      </c>
      <c r="D3376">
        <v>-7.0201035453699996</v>
      </c>
      <c r="E3376">
        <v>3</v>
      </c>
      <c r="F3376">
        <v>2</v>
      </c>
      <c r="G3376">
        <v>3</v>
      </c>
      <c r="J3376" t="s">
        <v>15</v>
      </c>
      <c r="K3376">
        <v>3</v>
      </c>
      <c r="L3376">
        <v>3.2749999999999999</v>
      </c>
      <c r="M3376">
        <v>0</v>
      </c>
      <c r="N3376" t="s">
        <v>10019</v>
      </c>
      <c r="O3376" t="str">
        <f>HYPERLINK("3\1\marker_317_362866.png", "Ver Imagen")</f>
        <v>Ver Imagen</v>
      </c>
      <c r="P3376" t="str">
        <f>HYPERLINK("SE\A-497_2C\A-497_2C__396.png", "Ver Imagen")</f>
        <v>Ver Imagen</v>
      </c>
    </row>
    <row r="3377" spans="1:16" x14ac:dyDescent="0.25">
      <c r="A3377">
        <v>2898</v>
      </c>
      <c r="B3377" t="s">
        <v>5809</v>
      </c>
      <c r="C3377">
        <v>37.230165210300001</v>
      </c>
      <c r="D3377">
        <v>-7.0203406303099998</v>
      </c>
      <c r="E3377">
        <v>3</v>
      </c>
      <c r="F3377">
        <v>2</v>
      </c>
      <c r="G3377">
        <v>3</v>
      </c>
      <c r="J3377" t="s">
        <v>15</v>
      </c>
      <c r="K3377">
        <v>3</v>
      </c>
      <c r="L3377">
        <v>2.9060000000000001</v>
      </c>
      <c r="M3377">
        <v>0</v>
      </c>
      <c r="N3377" t="s">
        <v>10019</v>
      </c>
      <c r="O3377" t="str">
        <f>HYPERLINK("3\1\marker_668_362887.png", "Ver Imagen")</f>
        <v>Ver Imagen</v>
      </c>
      <c r="P3377" t="str">
        <f>HYPERLINK("SE\A-497_2C\A-497_2C__398.png", "Ver Imagen")</f>
        <v>Ver Imagen</v>
      </c>
    </row>
    <row r="3378" spans="1:16" x14ac:dyDescent="0.25">
      <c r="A3378">
        <v>2900</v>
      </c>
      <c r="B3378" t="s">
        <v>5813</v>
      </c>
      <c r="C3378">
        <v>37.211560065500002</v>
      </c>
      <c r="D3378">
        <v>-7.0238501792700001</v>
      </c>
      <c r="E3378">
        <v>3</v>
      </c>
      <c r="F3378">
        <v>4</v>
      </c>
      <c r="G3378">
        <v>3</v>
      </c>
      <c r="J3378" t="s">
        <v>15</v>
      </c>
      <c r="K3378">
        <v>3</v>
      </c>
      <c r="L3378">
        <v>3.0209999999999999</v>
      </c>
      <c r="M3378">
        <v>0</v>
      </c>
      <c r="N3378" t="s">
        <v>10019</v>
      </c>
      <c r="O3378" t="str">
        <f>HYPERLINK("3\1\marker_845_376122.png", "Ver Imagen")</f>
        <v>Ver Imagen</v>
      </c>
      <c r="P3378" t="str">
        <f>HYPERLINK("SE\A-497\A-497__498.png", "Ver Imagen")</f>
        <v>Ver Imagen</v>
      </c>
    </row>
    <row r="3379" spans="1:16" x14ac:dyDescent="0.25">
      <c r="A3379">
        <v>2901</v>
      </c>
      <c r="B3379" t="s">
        <v>5815</v>
      </c>
      <c r="C3379">
        <v>37.226487021300002</v>
      </c>
      <c r="D3379">
        <v>-7.02299945685</v>
      </c>
      <c r="E3379">
        <v>3</v>
      </c>
      <c r="F3379">
        <v>2</v>
      </c>
      <c r="G3379">
        <v>3</v>
      </c>
      <c r="J3379" t="s">
        <v>15</v>
      </c>
      <c r="K3379">
        <v>3</v>
      </c>
      <c r="L3379">
        <v>2.7349999999999999</v>
      </c>
      <c r="M3379">
        <v>0</v>
      </c>
      <c r="N3379" t="s">
        <v>10018</v>
      </c>
      <c r="O3379" t="str">
        <f>HYPERLINK("3\1\marker_731_363103.png", "Ver Imagen")</f>
        <v>Ver Imagen</v>
      </c>
      <c r="P3379" t="str">
        <f>HYPERLINK("SE\A-497_2C\A-497_2C__419.png", "Ver Imagen")</f>
        <v>Ver Imagen</v>
      </c>
    </row>
    <row r="3380" spans="1:16" x14ac:dyDescent="0.25">
      <c r="A3380">
        <v>2902</v>
      </c>
      <c r="B3380" t="s">
        <v>5817</v>
      </c>
      <c r="C3380">
        <v>37.216576795100003</v>
      </c>
      <c r="D3380">
        <v>-7.0231259990100003</v>
      </c>
      <c r="E3380">
        <v>3</v>
      </c>
      <c r="F3380">
        <v>2</v>
      </c>
      <c r="G3380">
        <v>3</v>
      </c>
      <c r="J3380" t="s">
        <v>15</v>
      </c>
      <c r="K3380">
        <v>3</v>
      </c>
      <c r="L3380">
        <v>3.1739999999999999</v>
      </c>
      <c r="M3380">
        <v>0</v>
      </c>
      <c r="N3380" t="s">
        <v>10019</v>
      </c>
      <c r="O3380" t="str">
        <f>HYPERLINK("3\1\marker_304_376395.png", "Ver Imagen")</f>
        <v>Ver Imagen</v>
      </c>
      <c r="P3380" t="str">
        <f>HYPERLINK("SE\A-497\A-497__473.png", "Ver Imagen")</f>
        <v>Ver Imagen</v>
      </c>
    </row>
    <row r="3381" spans="1:16" x14ac:dyDescent="0.25">
      <c r="A3381">
        <v>2903</v>
      </c>
      <c r="B3381" t="s">
        <v>5819</v>
      </c>
      <c r="C3381">
        <v>37.218635501999998</v>
      </c>
      <c r="D3381">
        <v>-7.0229887236600002</v>
      </c>
      <c r="E3381">
        <v>3</v>
      </c>
      <c r="F3381">
        <v>2</v>
      </c>
      <c r="G3381">
        <v>3</v>
      </c>
      <c r="J3381" t="s">
        <v>15</v>
      </c>
      <c r="K3381">
        <v>3</v>
      </c>
      <c r="L3381">
        <v>3.0339999999999998</v>
      </c>
      <c r="M3381">
        <v>0</v>
      </c>
      <c r="N3381" t="s">
        <v>10017</v>
      </c>
      <c r="O3381" t="str">
        <f>HYPERLINK("3\1\marker_478_363508.png", "Ver Imagen")</f>
        <v>Ver Imagen</v>
      </c>
      <c r="P3381" t="str">
        <f>HYPERLINK("SE\A-497_2C\A-497_2C__458.png", "Ver Imagen")</f>
        <v>Ver Imagen</v>
      </c>
    </row>
    <row r="3382" spans="1:16" x14ac:dyDescent="0.25">
      <c r="A3382">
        <v>2904</v>
      </c>
      <c r="B3382" t="s">
        <v>5821</v>
      </c>
      <c r="C3382">
        <v>37.218002416300003</v>
      </c>
      <c r="D3382">
        <v>-7.0230672170200004</v>
      </c>
      <c r="E3382">
        <v>3</v>
      </c>
      <c r="F3382">
        <v>2</v>
      </c>
      <c r="G3382">
        <v>3</v>
      </c>
      <c r="J3382" t="s">
        <v>15</v>
      </c>
      <c r="K3382">
        <v>3</v>
      </c>
      <c r="L3382">
        <v>3.1230000000000002</v>
      </c>
      <c r="M3382">
        <v>0</v>
      </c>
      <c r="N3382" t="s">
        <v>10019</v>
      </c>
      <c r="O3382" t="str">
        <f>HYPERLINK("3\1\marker_194_363545.png", "Ver Imagen")</f>
        <v>Ver Imagen</v>
      </c>
      <c r="P3382" t="str">
        <f>HYPERLINK("SE\A-497_2C\A-497_2C__461.png", "Ver Imagen")</f>
        <v>Ver Imagen</v>
      </c>
    </row>
    <row r="3383" spans="1:16" x14ac:dyDescent="0.25">
      <c r="A3383">
        <v>2905</v>
      </c>
      <c r="B3383" t="s">
        <v>5823</v>
      </c>
      <c r="C3383">
        <v>37.216629225600002</v>
      </c>
      <c r="D3383">
        <v>-7.0233053535299996</v>
      </c>
      <c r="E3383">
        <v>3</v>
      </c>
      <c r="F3383">
        <v>2</v>
      </c>
      <c r="G3383">
        <v>3</v>
      </c>
      <c r="J3383" t="s">
        <v>15</v>
      </c>
      <c r="K3383">
        <v>3</v>
      </c>
      <c r="L3383">
        <v>3.202</v>
      </c>
      <c r="M3383">
        <v>0</v>
      </c>
      <c r="N3383" t="s">
        <v>10019</v>
      </c>
      <c r="O3383" t="str">
        <f>HYPERLINK("3\1\marker_885_363618.png", "Ver Imagen")</f>
        <v>Ver Imagen</v>
      </c>
      <c r="P3383" t="str">
        <f>HYPERLINK("SE\A-497_2C\A-497_2C__468.png", "Ver Imagen")</f>
        <v>Ver Imagen</v>
      </c>
    </row>
    <row r="3384" spans="1:16" x14ac:dyDescent="0.25">
      <c r="A3384">
        <v>2906</v>
      </c>
      <c r="B3384" t="s">
        <v>5825</v>
      </c>
      <c r="C3384">
        <v>37.216207804600003</v>
      </c>
      <c r="D3384">
        <v>-7.0233793119700003</v>
      </c>
      <c r="E3384">
        <v>3</v>
      </c>
      <c r="F3384">
        <v>2</v>
      </c>
      <c r="G3384">
        <v>3</v>
      </c>
      <c r="J3384" t="s">
        <v>15</v>
      </c>
      <c r="K3384">
        <v>3</v>
      </c>
      <c r="L3384">
        <v>3.1779999999999999</v>
      </c>
      <c r="M3384">
        <v>0</v>
      </c>
      <c r="N3384" t="s">
        <v>10019</v>
      </c>
      <c r="O3384" t="str">
        <f>HYPERLINK("3\1\marker_622_363638.png", "Ver Imagen")</f>
        <v>Ver Imagen</v>
      </c>
      <c r="P3384" t="str">
        <f>HYPERLINK("SE\A-497_2C\A-497_2C__470.png", "Ver Imagen")</f>
        <v>Ver Imagen</v>
      </c>
    </row>
    <row r="3385" spans="1:16" x14ac:dyDescent="0.25">
      <c r="A3385">
        <v>2907</v>
      </c>
      <c r="B3385" t="s">
        <v>5827</v>
      </c>
      <c r="C3385">
        <v>37.217733217800003</v>
      </c>
      <c r="D3385">
        <v>-7.0229236803699999</v>
      </c>
      <c r="E3385">
        <v>3</v>
      </c>
      <c r="F3385">
        <v>2</v>
      </c>
      <c r="G3385">
        <v>3</v>
      </c>
      <c r="J3385" t="s">
        <v>15</v>
      </c>
      <c r="K3385">
        <v>3</v>
      </c>
      <c r="L3385">
        <v>3</v>
      </c>
      <c r="M3385">
        <v>0</v>
      </c>
      <c r="N3385" t="s">
        <v>10019</v>
      </c>
      <c r="O3385" t="str">
        <f>HYPERLINK("3\1\marker_179_376498.png", "Ver Imagen")</f>
        <v>Ver Imagen</v>
      </c>
      <c r="P3385" t="str">
        <f>HYPERLINK("SE\A-497\A-497__467.png", "Ver Imagen")</f>
        <v>Ver Imagen</v>
      </c>
    </row>
    <row r="3386" spans="1:16" x14ac:dyDescent="0.25">
      <c r="A3386">
        <v>2909</v>
      </c>
      <c r="B3386" t="s">
        <v>5831</v>
      </c>
      <c r="C3386">
        <v>37.213199316500003</v>
      </c>
      <c r="D3386">
        <v>-7.0239102839900003</v>
      </c>
      <c r="E3386">
        <v>3</v>
      </c>
      <c r="F3386">
        <v>2</v>
      </c>
      <c r="G3386">
        <v>3</v>
      </c>
      <c r="J3386" t="s">
        <v>15</v>
      </c>
      <c r="K3386">
        <v>3</v>
      </c>
      <c r="L3386">
        <v>2.84</v>
      </c>
      <c r="M3386">
        <v>0</v>
      </c>
      <c r="N3386" t="s">
        <v>10019</v>
      </c>
      <c r="O3386" t="str">
        <f>HYPERLINK("3\1\marker_226_363822.png", "Ver Imagen")</f>
        <v>Ver Imagen</v>
      </c>
      <c r="P3386" t="str">
        <f>HYPERLINK("SE\A-497_2C\A-497_2C__485.png", "Ver Imagen")</f>
        <v>Ver Imagen</v>
      </c>
    </row>
    <row r="3387" spans="1:16" x14ac:dyDescent="0.25">
      <c r="A3387">
        <v>2910</v>
      </c>
      <c r="B3387" t="s">
        <v>5833</v>
      </c>
      <c r="C3387">
        <v>37.212812055199997</v>
      </c>
      <c r="D3387">
        <v>-7.0239696189699998</v>
      </c>
      <c r="E3387">
        <v>3</v>
      </c>
      <c r="F3387">
        <v>2</v>
      </c>
      <c r="G3387">
        <v>3</v>
      </c>
      <c r="J3387" t="s">
        <v>15</v>
      </c>
      <c r="K3387">
        <v>3</v>
      </c>
      <c r="L3387">
        <v>2.7709999999999999</v>
      </c>
      <c r="M3387">
        <v>0</v>
      </c>
      <c r="N3387" t="s">
        <v>10019</v>
      </c>
      <c r="O3387" t="str">
        <f>HYPERLINK("3\1\marker_488_363842.png", "Ver Imagen")</f>
        <v>Ver Imagen</v>
      </c>
      <c r="P3387" t="str">
        <f>HYPERLINK("SE\A-497_2C\A-497_2C__487.png", "Ver Imagen")</f>
        <v>Ver Imagen</v>
      </c>
    </row>
    <row r="3388" spans="1:16" x14ac:dyDescent="0.25">
      <c r="A3388">
        <v>2911</v>
      </c>
      <c r="B3388" t="s">
        <v>5835</v>
      </c>
      <c r="C3388">
        <v>37.2121819774</v>
      </c>
      <c r="D3388">
        <v>-7.0240384970800003</v>
      </c>
      <c r="E3388">
        <v>3</v>
      </c>
      <c r="F3388">
        <v>2</v>
      </c>
      <c r="G3388">
        <v>3</v>
      </c>
      <c r="J3388" t="s">
        <v>15</v>
      </c>
      <c r="K3388">
        <v>3</v>
      </c>
      <c r="L3388">
        <v>3.097</v>
      </c>
      <c r="M3388">
        <v>0</v>
      </c>
      <c r="N3388" t="s">
        <v>10019</v>
      </c>
      <c r="O3388" t="str">
        <f>HYPERLINK("3\1\marker_590_363892.png", "Ver Imagen")</f>
        <v>Ver Imagen</v>
      </c>
      <c r="P3388" t="str">
        <f>HYPERLINK("SE\A-497_2C\A-497_2C__490.png", "Ver Imagen")</f>
        <v>Ver Imagen</v>
      </c>
    </row>
    <row r="3389" spans="1:16" x14ac:dyDescent="0.25">
      <c r="A3389">
        <v>2913</v>
      </c>
      <c r="B3389" t="s">
        <v>5839</v>
      </c>
      <c r="C3389">
        <v>37.211559921599999</v>
      </c>
      <c r="D3389">
        <v>-7.02404260454</v>
      </c>
      <c r="E3389">
        <v>3</v>
      </c>
      <c r="F3389">
        <v>2</v>
      </c>
      <c r="G3389">
        <v>3</v>
      </c>
      <c r="J3389" t="s">
        <v>15</v>
      </c>
      <c r="K3389">
        <v>3</v>
      </c>
      <c r="L3389">
        <v>2.8380000000000001</v>
      </c>
      <c r="M3389">
        <v>0</v>
      </c>
      <c r="N3389" t="s">
        <v>10019</v>
      </c>
      <c r="O3389" t="str">
        <f>HYPERLINK("3\1\marker_800_363930.png", "Ver Imagen")</f>
        <v>Ver Imagen</v>
      </c>
      <c r="P3389" t="str">
        <f>HYPERLINK("SE\A-497_2C\A-497_2C__493.png", "Ver Imagen")</f>
        <v>Ver Imagen</v>
      </c>
    </row>
    <row r="3390" spans="1:16" x14ac:dyDescent="0.25">
      <c r="A3390">
        <v>2914</v>
      </c>
      <c r="B3390" t="s">
        <v>5841</v>
      </c>
      <c r="C3390">
        <v>37.210383307800001</v>
      </c>
      <c r="D3390">
        <v>-7.0238446035399997</v>
      </c>
      <c r="E3390">
        <v>3</v>
      </c>
      <c r="F3390">
        <v>2</v>
      </c>
      <c r="G3390">
        <v>3</v>
      </c>
      <c r="J3390" t="s">
        <v>15</v>
      </c>
      <c r="K3390">
        <v>3</v>
      </c>
      <c r="L3390">
        <v>3.2629999999999999</v>
      </c>
      <c r="M3390">
        <v>0</v>
      </c>
      <c r="N3390" t="s">
        <v>10019</v>
      </c>
      <c r="O3390" t="str">
        <f>HYPERLINK("3\1\marker_491_364052.png", "Ver Imagen")</f>
        <v>Ver Imagen</v>
      </c>
      <c r="P3390" t="str">
        <f>HYPERLINK("SE\A-497_2C\A-497_2C__499.png", "Ver Imagen")</f>
        <v>Ver Imagen</v>
      </c>
    </row>
    <row r="3391" spans="1:16" x14ac:dyDescent="0.25">
      <c r="A3391">
        <v>2915</v>
      </c>
      <c r="B3391" t="s">
        <v>5843</v>
      </c>
      <c r="C3391">
        <v>37.205001162000002</v>
      </c>
      <c r="D3391">
        <v>-7.0163498184300002</v>
      </c>
      <c r="E3391">
        <v>3</v>
      </c>
      <c r="F3391">
        <v>4</v>
      </c>
      <c r="G3391">
        <v>3</v>
      </c>
      <c r="J3391" t="s">
        <v>15</v>
      </c>
      <c r="K3391">
        <v>3</v>
      </c>
      <c r="L3391">
        <v>2.5640000000000001</v>
      </c>
      <c r="M3391">
        <v>0</v>
      </c>
      <c r="N3391" t="s">
        <v>10017</v>
      </c>
      <c r="O3391" t="str">
        <f>HYPERLINK("3\1\marker_993_364552.png", "Ver Imagen")</f>
        <v>Ver Imagen</v>
      </c>
      <c r="P3391" t="str">
        <f>HYPERLINK("SE\A-497_2C\A-497_2C__541.png", "Ver Imagen")</f>
        <v>Ver Imagen</v>
      </c>
    </row>
    <row r="3392" spans="1:16" x14ac:dyDescent="0.25">
      <c r="A3392">
        <v>2916</v>
      </c>
      <c r="B3392" t="s">
        <v>5845</v>
      </c>
      <c r="C3392">
        <v>37.204882421299999</v>
      </c>
      <c r="D3392">
        <v>-7.0157898492199999</v>
      </c>
      <c r="E3392">
        <v>3</v>
      </c>
      <c r="F3392">
        <v>2</v>
      </c>
      <c r="G3392">
        <v>3</v>
      </c>
      <c r="J3392" t="s">
        <v>15</v>
      </c>
      <c r="K3392">
        <v>3</v>
      </c>
      <c r="L3392">
        <v>3.137</v>
      </c>
      <c r="M3392">
        <v>0</v>
      </c>
      <c r="N3392" t="s">
        <v>10019</v>
      </c>
      <c r="O3392" t="str">
        <f>HYPERLINK("3\1\marker_654_364619.png", "Ver Imagen")</f>
        <v>Ver Imagen</v>
      </c>
      <c r="P3392" t="str">
        <f>HYPERLINK("SE\A-497_2C\A-497_2C__544.png", "Ver Imagen")</f>
        <v>Ver Imagen</v>
      </c>
    </row>
    <row r="3393" spans="1:16" x14ac:dyDescent="0.25">
      <c r="A3393">
        <v>2918</v>
      </c>
      <c r="B3393" t="s">
        <v>5849</v>
      </c>
      <c r="C3393">
        <v>37.204583348200003</v>
      </c>
      <c r="D3393">
        <v>-7.0143003134899997</v>
      </c>
      <c r="E3393">
        <v>3</v>
      </c>
      <c r="F3393">
        <v>2</v>
      </c>
      <c r="G3393">
        <v>3</v>
      </c>
      <c r="J3393" t="s">
        <v>15</v>
      </c>
      <c r="K3393">
        <v>3</v>
      </c>
      <c r="L3393">
        <v>2.8620000000000001</v>
      </c>
      <c r="M3393">
        <v>0</v>
      </c>
      <c r="N3393" t="s">
        <v>10019</v>
      </c>
      <c r="O3393" t="str">
        <f>HYPERLINK("3\1\marker_133_364684.png", "Ver Imagen")</f>
        <v>Ver Imagen</v>
      </c>
      <c r="P3393" t="str">
        <f>HYPERLINK("SE\A-497_2C\A-497_2C__550.png", "Ver Imagen")</f>
        <v>Ver Imagen</v>
      </c>
    </row>
    <row r="3394" spans="1:16" x14ac:dyDescent="0.25">
      <c r="A3394">
        <v>2919</v>
      </c>
      <c r="B3394" t="s">
        <v>5851</v>
      </c>
      <c r="C3394">
        <v>37.204301169799997</v>
      </c>
      <c r="D3394">
        <v>-7.01280888402</v>
      </c>
      <c r="E3394">
        <v>3</v>
      </c>
      <c r="F3394">
        <v>2</v>
      </c>
      <c r="G3394">
        <v>3</v>
      </c>
      <c r="J3394" t="s">
        <v>15</v>
      </c>
      <c r="K3394">
        <v>3</v>
      </c>
      <c r="L3394">
        <v>3.3239999999999998</v>
      </c>
      <c r="M3394">
        <v>0</v>
      </c>
      <c r="N3394" t="s">
        <v>10019</v>
      </c>
      <c r="O3394" t="str">
        <f>HYPERLINK("3\1\marker_775_366337.png", "Ver Imagen")</f>
        <v>Ver Imagen</v>
      </c>
      <c r="P3394" t="str">
        <f>HYPERLINK("SE\A-497_2C\A-497_2C__556.png", "Ver Imagen")</f>
        <v>Ver Imagen</v>
      </c>
    </row>
    <row r="3395" spans="1:16" x14ac:dyDescent="0.25">
      <c r="A3395">
        <v>2920</v>
      </c>
      <c r="B3395" t="s">
        <v>5853</v>
      </c>
      <c r="C3395">
        <v>37.204132792000003</v>
      </c>
      <c r="D3395">
        <v>-7.0118776354200003</v>
      </c>
      <c r="E3395">
        <v>3</v>
      </c>
      <c r="F3395">
        <v>2</v>
      </c>
      <c r="G3395">
        <v>3</v>
      </c>
      <c r="J3395" t="s">
        <v>15</v>
      </c>
      <c r="K3395">
        <v>3</v>
      </c>
      <c r="L3395">
        <v>3.0859999999999999</v>
      </c>
      <c r="M3395">
        <v>0</v>
      </c>
      <c r="N3395" t="s">
        <v>10019</v>
      </c>
      <c r="O3395" t="str">
        <f>HYPERLINK("3\1\marker_428_366377.png", "Ver Imagen")</f>
        <v>Ver Imagen</v>
      </c>
      <c r="P3395" t="str">
        <f>HYPERLINK("SE\A-497_2C\A-497_2C__560.png", "Ver Imagen")</f>
        <v>Ver Imagen</v>
      </c>
    </row>
    <row r="3396" spans="1:16" x14ac:dyDescent="0.25">
      <c r="A3396">
        <v>2921</v>
      </c>
      <c r="B3396" t="s">
        <v>5855</v>
      </c>
      <c r="C3396">
        <v>37.204077603000002</v>
      </c>
      <c r="D3396">
        <v>-7.0115639296200003</v>
      </c>
      <c r="E3396">
        <v>3</v>
      </c>
      <c r="F3396">
        <v>2</v>
      </c>
      <c r="G3396">
        <v>3</v>
      </c>
      <c r="J3396" t="s">
        <v>15</v>
      </c>
      <c r="K3396">
        <v>3</v>
      </c>
      <c r="L3396">
        <v>3.2320000000000002</v>
      </c>
      <c r="M3396">
        <v>0</v>
      </c>
      <c r="N3396" t="s">
        <v>10019</v>
      </c>
      <c r="O3396" t="str">
        <f>HYPERLINK("3\1\marker_604_366386.png", "Ver Imagen")</f>
        <v>Ver Imagen</v>
      </c>
      <c r="P3396" t="str">
        <f>HYPERLINK("SE\A-497_2C\A-497_2C__561.png", "Ver Imagen")</f>
        <v>Ver Imagen</v>
      </c>
    </row>
    <row r="3397" spans="1:16" x14ac:dyDescent="0.25">
      <c r="A3397">
        <v>2922</v>
      </c>
      <c r="B3397" t="s">
        <v>5857</v>
      </c>
      <c r="C3397">
        <v>37.204038603199997</v>
      </c>
      <c r="D3397">
        <v>-7.0113392813599997</v>
      </c>
      <c r="E3397">
        <v>3</v>
      </c>
      <c r="F3397">
        <v>2</v>
      </c>
      <c r="G3397">
        <v>3</v>
      </c>
      <c r="J3397" t="s">
        <v>15</v>
      </c>
      <c r="K3397">
        <v>3</v>
      </c>
      <c r="L3397">
        <v>2.742</v>
      </c>
      <c r="M3397">
        <v>0</v>
      </c>
      <c r="N3397" t="s">
        <v>10019</v>
      </c>
      <c r="O3397" t="str">
        <f>HYPERLINK("3\1\marker_207_366394.png", "Ver Imagen")</f>
        <v>Ver Imagen</v>
      </c>
      <c r="P3397" t="str">
        <f>HYPERLINK("SE\A-497_2C\A-497_2C__562.png", "Ver Imagen")</f>
        <v>Ver Imagen</v>
      </c>
    </row>
    <row r="3398" spans="1:16" x14ac:dyDescent="0.25">
      <c r="A3398">
        <v>2923</v>
      </c>
      <c r="B3398" t="s">
        <v>5859</v>
      </c>
      <c r="C3398">
        <v>37.203946246000001</v>
      </c>
      <c r="D3398">
        <v>-7.0107927564099999</v>
      </c>
      <c r="E3398">
        <v>3</v>
      </c>
      <c r="F3398">
        <v>2</v>
      </c>
      <c r="G3398">
        <v>3</v>
      </c>
      <c r="J3398" t="s">
        <v>15</v>
      </c>
      <c r="K3398">
        <v>3</v>
      </c>
      <c r="L3398">
        <v>3.0449999999999999</v>
      </c>
      <c r="M3398">
        <v>0</v>
      </c>
      <c r="N3398" t="s">
        <v>10019</v>
      </c>
      <c r="O3398" t="str">
        <f>HYPERLINK("3\1\marker_492_366424.png", "Ver Imagen")</f>
        <v>Ver Imagen</v>
      </c>
      <c r="P3398" t="str">
        <f>HYPERLINK("SE\A-497_2C\A-497_2C__564.png", "Ver Imagen")</f>
        <v>Ver Imagen</v>
      </c>
    </row>
    <row r="3399" spans="1:16" x14ac:dyDescent="0.25">
      <c r="A3399">
        <v>2924</v>
      </c>
      <c r="B3399" t="s">
        <v>5861</v>
      </c>
      <c r="C3399">
        <v>37.203551142899997</v>
      </c>
      <c r="D3399">
        <v>-7.0083290005199999</v>
      </c>
      <c r="E3399">
        <v>3</v>
      </c>
      <c r="F3399">
        <v>2</v>
      </c>
      <c r="G3399">
        <v>3</v>
      </c>
      <c r="J3399" t="s">
        <v>15</v>
      </c>
      <c r="K3399">
        <v>3</v>
      </c>
      <c r="L3399">
        <v>3.1160000000000001</v>
      </c>
      <c r="M3399">
        <v>0</v>
      </c>
      <c r="N3399" t="s">
        <v>10019</v>
      </c>
      <c r="O3399" t="str">
        <f>HYPERLINK("3\1\marker_996_366519.png", "Ver Imagen")</f>
        <v>Ver Imagen</v>
      </c>
      <c r="P3399" t="str">
        <f>HYPERLINK("SE\A-497_2C\A-497_2C__574.png", "Ver Imagen")</f>
        <v>Ver Imagen</v>
      </c>
    </row>
    <row r="3400" spans="1:16" x14ac:dyDescent="0.25">
      <c r="A3400">
        <v>2925</v>
      </c>
      <c r="B3400" t="s">
        <v>5863</v>
      </c>
      <c r="C3400">
        <v>37.2034434734</v>
      </c>
      <c r="D3400">
        <v>-7.0075970023799998</v>
      </c>
      <c r="E3400">
        <v>3</v>
      </c>
      <c r="F3400">
        <v>2</v>
      </c>
      <c r="G3400">
        <v>3</v>
      </c>
      <c r="J3400" t="s">
        <v>15</v>
      </c>
      <c r="K3400">
        <v>3</v>
      </c>
      <c r="L3400">
        <v>2.9289999999999998</v>
      </c>
      <c r="M3400">
        <v>0</v>
      </c>
      <c r="N3400" t="s">
        <v>10019</v>
      </c>
      <c r="O3400" t="str">
        <f>HYPERLINK("3\1\marker_550_366547.png", "Ver Imagen")</f>
        <v>Ver Imagen</v>
      </c>
      <c r="P3400" t="str">
        <f>HYPERLINK("SE\A-497_2C\A-497_2C__577.png", "Ver Imagen")</f>
        <v>Ver Imagen</v>
      </c>
    </row>
    <row r="3401" spans="1:16" x14ac:dyDescent="0.25">
      <c r="A3401">
        <v>2926</v>
      </c>
      <c r="B3401" t="s">
        <v>5865</v>
      </c>
      <c r="C3401">
        <v>37.203077956400001</v>
      </c>
      <c r="D3401">
        <v>-7.0049017941500002</v>
      </c>
      <c r="E3401">
        <v>3</v>
      </c>
      <c r="F3401">
        <v>2</v>
      </c>
      <c r="G3401">
        <v>3</v>
      </c>
      <c r="J3401" t="s">
        <v>15</v>
      </c>
      <c r="K3401">
        <v>3</v>
      </c>
      <c r="L3401">
        <v>2.9809999999999999</v>
      </c>
      <c r="M3401">
        <v>0</v>
      </c>
      <c r="N3401" t="s">
        <v>10019</v>
      </c>
      <c r="O3401" t="str">
        <f>HYPERLINK("3\1\marker_316_366650.png", "Ver Imagen")</f>
        <v>Ver Imagen</v>
      </c>
      <c r="P3401" t="str">
        <f>HYPERLINK("SE\A-497_2C\A-497_2C__588.png", "Ver Imagen")</f>
        <v>Ver Imagen</v>
      </c>
    </row>
    <row r="3402" spans="1:16" x14ac:dyDescent="0.25">
      <c r="A3402">
        <v>2927</v>
      </c>
      <c r="B3402" t="s">
        <v>5867</v>
      </c>
      <c r="C3402">
        <v>37.202874740299997</v>
      </c>
      <c r="D3402">
        <v>-7.0031298404999998</v>
      </c>
      <c r="E3402">
        <v>3</v>
      </c>
      <c r="F3402">
        <v>2</v>
      </c>
      <c r="G3402">
        <v>3</v>
      </c>
      <c r="J3402" t="s">
        <v>15</v>
      </c>
      <c r="K3402">
        <v>3</v>
      </c>
      <c r="L3402">
        <v>2.7839999999999998</v>
      </c>
      <c r="M3402">
        <v>0</v>
      </c>
      <c r="N3402" t="s">
        <v>10018</v>
      </c>
      <c r="O3402" t="str">
        <f>HYPERLINK("3\1\marker_697_366716.png", "Ver Imagen")</f>
        <v>Ver Imagen</v>
      </c>
      <c r="P3402" t="str">
        <f>HYPERLINK("SE\A-497_2C\A-497_2C__595.png", "Ver Imagen")</f>
        <v>Ver Imagen</v>
      </c>
    </row>
    <row r="3403" spans="1:16" x14ac:dyDescent="0.25">
      <c r="A3403">
        <v>2928</v>
      </c>
      <c r="B3403" t="s">
        <v>5869</v>
      </c>
      <c r="C3403">
        <v>37.202815866800002</v>
      </c>
      <c r="D3403">
        <v>-7.0025989196199996</v>
      </c>
      <c r="E3403">
        <v>3</v>
      </c>
      <c r="F3403">
        <v>2</v>
      </c>
      <c r="G3403">
        <v>3</v>
      </c>
      <c r="J3403" t="s">
        <v>15</v>
      </c>
      <c r="K3403">
        <v>3</v>
      </c>
      <c r="L3403">
        <v>3.3180000000000001</v>
      </c>
      <c r="M3403">
        <v>0</v>
      </c>
      <c r="N3403" t="s">
        <v>10019</v>
      </c>
      <c r="O3403" t="str">
        <f>HYPERLINK("3\1\marker_728_366734.png", "Ver Imagen")</f>
        <v>Ver Imagen</v>
      </c>
      <c r="P3403" t="str">
        <f>HYPERLINK("SE\A-497_2C\A-497_2C__597.png", "Ver Imagen")</f>
        <v>Ver Imagen</v>
      </c>
    </row>
    <row r="3404" spans="1:16" x14ac:dyDescent="0.25">
      <c r="A3404">
        <v>2929</v>
      </c>
      <c r="B3404" t="s">
        <v>5871</v>
      </c>
      <c r="C3404">
        <v>37.202701565600002</v>
      </c>
      <c r="D3404">
        <v>-7.00158992227</v>
      </c>
      <c r="E3404">
        <v>3</v>
      </c>
      <c r="F3404">
        <v>2</v>
      </c>
      <c r="G3404">
        <v>3</v>
      </c>
      <c r="J3404" t="s">
        <v>15</v>
      </c>
      <c r="K3404">
        <v>3</v>
      </c>
      <c r="L3404">
        <v>3.2090000000000001</v>
      </c>
      <c r="M3404">
        <v>0</v>
      </c>
      <c r="N3404" t="s">
        <v>10019</v>
      </c>
      <c r="O3404" t="str">
        <f>HYPERLINK("3\1\marker_249_366773.png", "Ver Imagen")</f>
        <v>Ver Imagen</v>
      </c>
      <c r="P3404" t="str">
        <f>HYPERLINK("SE\A-497_2C\A-497_2C__601.png", "Ver Imagen")</f>
        <v>Ver Imagen</v>
      </c>
    </row>
    <row r="3405" spans="1:16" x14ac:dyDescent="0.25">
      <c r="A3405">
        <v>2930</v>
      </c>
      <c r="B3405" t="s">
        <v>5873</v>
      </c>
      <c r="C3405">
        <v>37.2025453324</v>
      </c>
      <c r="D3405">
        <v>-7.0003124478199998</v>
      </c>
      <c r="E3405">
        <v>3</v>
      </c>
      <c r="F3405">
        <v>4</v>
      </c>
      <c r="G3405">
        <v>3</v>
      </c>
      <c r="J3405" t="s">
        <v>15</v>
      </c>
      <c r="K3405">
        <v>3</v>
      </c>
      <c r="L3405">
        <v>3.47</v>
      </c>
      <c r="M3405">
        <v>0</v>
      </c>
      <c r="N3405" t="s">
        <v>10019</v>
      </c>
      <c r="O3405" t="str">
        <f>HYPERLINK("3\1\marker_604_366833.png", "Ver Imagen")</f>
        <v>Ver Imagen</v>
      </c>
      <c r="P3405" t="str">
        <f>HYPERLINK("SE\A-497_2C\A-497_2C__606.png", "Ver Imagen")</f>
        <v>Ver Imagen</v>
      </c>
    </row>
    <row r="3406" spans="1:16" x14ac:dyDescent="0.25">
      <c r="A3406">
        <v>2931</v>
      </c>
      <c r="B3406" t="s">
        <v>5875</v>
      </c>
      <c r="C3406">
        <v>37.202483947600001</v>
      </c>
      <c r="D3406">
        <v>-6.9998381511099996</v>
      </c>
      <c r="E3406">
        <v>3</v>
      </c>
      <c r="F3406">
        <v>2</v>
      </c>
      <c r="G3406">
        <v>3</v>
      </c>
      <c r="J3406" t="s">
        <v>15</v>
      </c>
      <c r="K3406">
        <v>3</v>
      </c>
      <c r="L3406">
        <v>3.27</v>
      </c>
      <c r="M3406">
        <v>0</v>
      </c>
      <c r="N3406" t="s">
        <v>10019</v>
      </c>
      <c r="O3406" t="str">
        <f>HYPERLINK("3\1\marker_498_366853.png", "Ver Imagen")</f>
        <v>Ver Imagen</v>
      </c>
      <c r="P3406" t="str">
        <f>HYPERLINK("SE\A-497_2C\A-497_2C__608.png", "Ver Imagen")</f>
        <v>Ver Imagen</v>
      </c>
    </row>
    <row r="3407" spans="1:16" x14ac:dyDescent="0.25">
      <c r="A3407">
        <v>2932</v>
      </c>
      <c r="B3407" t="s">
        <v>5877</v>
      </c>
      <c r="C3407">
        <v>37.202449208300003</v>
      </c>
      <c r="D3407">
        <v>-6.99956855835</v>
      </c>
      <c r="E3407">
        <v>3</v>
      </c>
      <c r="F3407">
        <v>2</v>
      </c>
      <c r="G3407">
        <v>3</v>
      </c>
      <c r="J3407" t="s">
        <v>15</v>
      </c>
      <c r="K3407">
        <v>3</v>
      </c>
      <c r="L3407">
        <v>3.1179999999999999</v>
      </c>
      <c r="M3407">
        <v>0</v>
      </c>
      <c r="N3407" t="s">
        <v>10019</v>
      </c>
      <c r="O3407" t="str">
        <f>HYPERLINK("3\1\marker_554_366862.png", "Ver Imagen")</f>
        <v>Ver Imagen</v>
      </c>
      <c r="P3407" t="str">
        <f>HYPERLINK("SE\A-497_2C\A-497_2C__609.png", "Ver Imagen")</f>
        <v>Ver Imagen</v>
      </c>
    </row>
    <row r="3408" spans="1:16" x14ac:dyDescent="0.25">
      <c r="A3408">
        <v>2933</v>
      </c>
      <c r="B3408" t="s">
        <v>5879</v>
      </c>
      <c r="C3408">
        <v>37.202181177299998</v>
      </c>
      <c r="D3408">
        <v>-6.9976539211800004</v>
      </c>
      <c r="E3408">
        <v>3</v>
      </c>
      <c r="F3408">
        <v>2</v>
      </c>
      <c r="G3408">
        <v>3</v>
      </c>
      <c r="J3408" t="s">
        <v>15</v>
      </c>
      <c r="K3408">
        <v>3</v>
      </c>
      <c r="L3408">
        <v>3.2789999999999999</v>
      </c>
      <c r="M3408">
        <v>0</v>
      </c>
      <c r="N3408" t="s">
        <v>10018</v>
      </c>
      <c r="O3408" t="str">
        <f>HYPERLINK("3\1\marker_118_366951.png", "Ver Imagen")</f>
        <v>Ver Imagen</v>
      </c>
      <c r="P3408" t="str">
        <f>HYPERLINK("SE\A-497_2C\A-497_2C__617.png", "Ver Imagen")</f>
        <v>Ver Imagen</v>
      </c>
    </row>
    <row r="3409" spans="1:16" x14ac:dyDescent="0.25">
      <c r="A3409">
        <v>2934</v>
      </c>
      <c r="B3409" t="s">
        <v>5881</v>
      </c>
      <c r="C3409">
        <v>37.202058905500003</v>
      </c>
      <c r="D3409">
        <v>-6.9968312822899996</v>
      </c>
      <c r="E3409">
        <v>3</v>
      </c>
      <c r="F3409">
        <v>2</v>
      </c>
      <c r="G3409">
        <v>3</v>
      </c>
      <c r="J3409" t="s">
        <v>15</v>
      </c>
      <c r="K3409">
        <v>3</v>
      </c>
      <c r="L3409">
        <v>3.4350000000000001</v>
      </c>
      <c r="M3409">
        <v>0</v>
      </c>
      <c r="N3409" t="s">
        <v>10019</v>
      </c>
      <c r="O3409" t="str">
        <f>HYPERLINK("3\1\marker_407_366981.png", "Ver Imagen")</f>
        <v>Ver Imagen</v>
      </c>
      <c r="P3409" t="str">
        <f>HYPERLINK("SE\A-497_2C\A-497_2C__620.png", "Ver Imagen")</f>
        <v>Ver Imagen</v>
      </c>
    </row>
    <row r="3410" spans="1:16" x14ac:dyDescent="0.25">
      <c r="A3410">
        <v>2935</v>
      </c>
      <c r="B3410" t="s">
        <v>5883</v>
      </c>
      <c r="C3410">
        <v>37.201895373500001</v>
      </c>
      <c r="D3410">
        <v>-6.99581356765</v>
      </c>
      <c r="E3410">
        <v>3</v>
      </c>
      <c r="F3410">
        <v>2</v>
      </c>
      <c r="G3410">
        <v>3</v>
      </c>
      <c r="J3410" t="s">
        <v>15</v>
      </c>
      <c r="K3410">
        <v>3</v>
      </c>
      <c r="L3410">
        <v>3.069</v>
      </c>
      <c r="M3410">
        <v>0</v>
      </c>
      <c r="N3410" t="s">
        <v>10019</v>
      </c>
      <c r="O3410" t="str">
        <f>HYPERLINK("3\1\marker_286_367026.png", "Ver Imagen")</f>
        <v>Ver Imagen</v>
      </c>
      <c r="P3410" t="str">
        <f>HYPERLINK("SE\A-497_2C\A-497_2C__624.png", "Ver Imagen")</f>
        <v>Ver Imagen</v>
      </c>
    </row>
    <row r="3411" spans="1:16" x14ac:dyDescent="0.25">
      <c r="A3411">
        <v>2936</v>
      </c>
      <c r="B3411" t="s">
        <v>5885</v>
      </c>
      <c r="C3411">
        <v>37.229712780500002</v>
      </c>
      <c r="D3411">
        <v>-7.0204774312199998</v>
      </c>
      <c r="E3411">
        <v>3</v>
      </c>
      <c r="F3411">
        <v>2</v>
      </c>
      <c r="G3411">
        <v>3</v>
      </c>
      <c r="J3411" t="s">
        <v>15</v>
      </c>
      <c r="K3411">
        <v>3</v>
      </c>
      <c r="L3411">
        <v>3.347</v>
      </c>
      <c r="M3411">
        <v>0</v>
      </c>
      <c r="N3411" t="s">
        <v>10019</v>
      </c>
      <c r="O3411" t="str">
        <f>HYPERLINK("3\1\marker_901_377146.png", "Ver Imagen")</f>
        <v>Ver Imagen</v>
      </c>
      <c r="P3411" t="str">
        <f>HYPERLINK("SE\A-497\A-497__405.png", "Ver Imagen")</f>
        <v>Ver Imagen</v>
      </c>
    </row>
    <row r="3412" spans="1:16" x14ac:dyDescent="0.25">
      <c r="A3412">
        <v>2937</v>
      </c>
      <c r="B3412" t="s">
        <v>5887</v>
      </c>
      <c r="C3412">
        <v>37.231100651299997</v>
      </c>
      <c r="D3412">
        <v>-7.01941132372</v>
      </c>
      <c r="E3412">
        <v>3</v>
      </c>
      <c r="F3412">
        <v>2</v>
      </c>
      <c r="G3412">
        <v>3</v>
      </c>
      <c r="J3412" t="s">
        <v>15</v>
      </c>
      <c r="K3412">
        <v>3</v>
      </c>
      <c r="L3412">
        <v>3.4489999999999998</v>
      </c>
      <c r="M3412">
        <v>0</v>
      </c>
      <c r="N3412" t="s">
        <v>10017</v>
      </c>
      <c r="O3412" t="str">
        <f>HYPERLINK("3\1\marker_511_377220.png", "Ver Imagen")</f>
        <v>Ver Imagen</v>
      </c>
      <c r="P3412" t="str">
        <f>HYPERLINK("SE\A-497\A-497__397.png", "Ver Imagen")</f>
        <v>Ver Imagen</v>
      </c>
    </row>
    <row r="3413" spans="1:16" x14ac:dyDescent="0.25">
      <c r="A3413">
        <v>2938</v>
      </c>
      <c r="B3413" t="s">
        <v>5889</v>
      </c>
      <c r="C3413">
        <v>37.231268142600001</v>
      </c>
      <c r="D3413">
        <v>-7.01928384037</v>
      </c>
      <c r="E3413">
        <v>3</v>
      </c>
      <c r="F3413">
        <v>2</v>
      </c>
      <c r="G3413">
        <v>3</v>
      </c>
      <c r="J3413" t="s">
        <v>15</v>
      </c>
      <c r="K3413">
        <v>3</v>
      </c>
      <c r="L3413">
        <v>2.8490000000000002</v>
      </c>
      <c r="M3413">
        <v>0</v>
      </c>
      <c r="N3413" t="s">
        <v>10019</v>
      </c>
      <c r="O3413" t="str">
        <f>HYPERLINK("3\1\marker_205_377228.png", "Ver Imagen")</f>
        <v>Ver Imagen</v>
      </c>
      <c r="P3413" t="str">
        <f>HYPERLINK("SE\A-497\A-497__396.png", "Ver Imagen")</f>
        <v>Ver Imagen</v>
      </c>
    </row>
    <row r="3414" spans="1:16" x14ac:dyDescent="0.25">
      <c r="A3414">
        <v>2939</v>
      </c>
      <c r="B3414" t="s">
        <v>5891</v>
      </c>
      <c r="C3414">
        <v>37.231845788800001</v>
      </c>
      <c r="D3414">
        <v>-7.0188480891699996</v>
      </c>
      <c r="E3414">
        <v>3</v>
      </c>
      <c r="F3414">
        <v>2</v>
      </c>
      <c r="G3414">
        <v>3</v>
      </c>
      <c r="J3414" t="s">
        <v>15</v>
      </c>
      <c r="K3414">
        <v>3</v>
      </c>
      <c r="L3414">
        <v>3.488</v>
      </c>
      <c r="M3414">
        <v>0</v>
      </c>
      <c r="N3414" t="s">
        <v>10019</v>
      </c>
      <c r="O3414" t="str">
        <f>HYPERLINK("3\1\marker_103_377257.png", "Ver Imagen")</f>
        <v>Ver Imagen</v>
      </c>
      <c r="P3414" t="str">
        <f>HYPERLINK("SE\A-497\A-497__393.png", "Ver Imagen")</f>
        <v>Ver Imagen</v>
      </c>
    </row>
    <row r="3415" spans="1:16" x14ac:dyDescent="0.25">
      <c r="A3415">
        <v>2941</v>
      </c>
      <c r="B3415" t="s">
        <v>5895</v>
      </c>
      <c r="C3415">
        <v>37.232321732599999</v>
      </c>
      <c r="D3415">
        <v>-7.0185277478700003</v>
      </c>
      <c r="E3415">
        <v>3</v>
      </c>
      <c r="F3415">
        <v>2</v>
      </c>
      <c r="G3415">
        <v>3</v>
      </c>
      <c r="J3415" t="s">
        <v>15</v>
      </c>
      <c r="K3415">
        <v>3</v>
      </c>
      <c r="L3415">
        <v>3.08</v>
      </c>
      <c r="M3415">
        <v>0</v>
      </c>
      <c r="N3415" t="s">
        <v>10019</v>
      </c>
      <c r="O3415" t="str">
        <f>HYPERLINK("3\1\marker_316_377285.png", "Ver Imagen")</f>
        <v>Ver Imagen</v>
      </c>
      <c r="P3415" t="str">
        <f>HYPERLINK("SE\A-497\A-497__390.png", "Ver Imagen")</f>
        <v>Ver Imagen</v>
      </c>
    </row>
    <row r="3416" spans="1:16" x14ac:dyDescent="0.25">
      <c r="A3416">
        <v>2942</v>
      </c>
      <c r="B3416" t="s">
        <v>5897</v>
      </c>
      <c r="C3416">
        <v>37.232530187999998</v>
      </c>
      <c r="D3416">
        <v>-7.0184073494400003</v>
      </c>
      <c r="E3416">
        <v>3</v>
      </c>
      <c r="F3416">
        <v>2</v>
      </c>
      <c r="G3416">
        <v>3</v>
      </c>
      <c r="J3416" t="s">
        <v>15</v>
      </c>
      <c r="K3416">
        <v>3</v>
      </c>
      <c r="L3416">
        <v>3.11</v>
      </c>
      <c r="M3416">
        <v>0</v>
      </c>
      <c r="N3416" t="s">
        <v>10019</v>
      </c>
      <c r="O3416" t="str">
        <f>HYPERLINK("3\1\marker_319_377293.png", "Ver Imagen")</f>
        <v>Ver Imagen</v>
      </c>
      <c r="P3416" t="str">
        <f>HYPERLINK("SE\A-497\A-497__389.png", "Ver Imagen")</f>
        <v>Ver Imagen</v>
      </c>
    </row>
    <row r="3417" spans="1:16" x14ac:dyDescent="0.25">
      <c r="A3417">
        <v>2944</v>
      </c>
      <c r="B3417" t="s">
        <v>5901</v>
      </c>
      <c r="C3417">
        <v>37.244779089200001</v>
      </c>
      <c r="D3417">
        <v>-7.01830828719</v>
      </c>
      <c r="E3417">
        <v>3</v>
      </c>
      <c r="F3417">
        <v>2</v>
      </c>
      <c r="G3417">
        <v>3</v>
      </c>
      <c r="J3417" t="s">
        <v>15</v>
      </c>
      <c r="K3417">
        <v>3</v>
      </c>
      <c r="L3417">
        <v>3.34</v>
      </c>
      <c r="M3417">
        <v>0</v>
      </c>
      <c r="N3417" t="s">
        <v>10019</v>
      </c>
      <c r="O3417" t="str">
        <f>HYPERLINK("3\1\marker_474_377890.png", "Ver Imagen")</f>
        <v>Ver Imagen</v>
      </c>
      <c r="P3417" t="str">
        <f>HYPERLINK("SE\A-497\A-497__328.png", "Ver Imagen")</f>
        <v>Ver Imagen</v>
      </c>
    </row>
    <row r="3418" spans="1:16" x14ac:dyDescent="0.25">
      <c r="A3418">
        <v>2945</v>
      </c>
      <c r="B3418" t="s">
        <v>5903</v>
      </c>
      <c r="C3418">
        <v>37.245194982699999</v>
      </c>
      <c r="D3418">
        <v>-7.0182902267099996</v>
      </c>
      <c r="E3418">
        <v>3</v>
      </c>
      <c r="F3418">
        <v>2</v>
      </c>
      <c r="G3418">
        <v>3</v>
      </c>
      <c r="J3418" t="s">
        <v>15</v>
      </c>
      <c r="K3418">
        <v>3</v>
      </c>
      <c r="L3418">
        <v>3.2309999999999999</v>
      </c>
      <c r="M3418">
        <v>0</v>
      </c>
      <c r="N3418" t="s">
        <v>10019</v>
      </c>
      <c r="O3418" t="str">
        <f>HYPERLINK("3\1\marker_237_377908.png", "Ver Imagen")</f>
        <v>Ver Imagen</v>
      </c>
      <c r="P3418" t="str">
        <f>HYPERLINK("SE\A-497\A-497__326.png", "Ver Imagen")</f>
        <v>Ver Imagen</v>
      </c>
    </row>
    <row r="3419" spans="1:16" x14ac:dyDescent="0.25">
      <c r="A3419">
        <v>2946</v>
      </c>
      <c r="B3419" t="s">
        <v>5905</v>
      </c>
      <c r="C3419">
        <v>37.246231611799999</v>
      </c>
      <c r="D3419">
        <v>-7.0182530231299998</v>
      </c>
      <c r="E3419">
        <v>4</v>
      </c>
      <c r="F3419">
        <v>3</v>
      </c>
      <c r="G3419">
        <v>3</v>
      </c>
      <c r="J3419" t="s">
        <v>15</v>
      </c>
      <c r="K3419">
        <v>3</v>
      </c>
      <c r="L3419">
        <v>2.7719999999999998</v>
      </c>
      <c r="M3419">
        <v>0</v>
      </c>
      <c r="N3419" t="s">
        <v>10019</v>
      </c>
      <c r="O3419" t="str">
        <f>HYPERLINK("3\1\marker_619_377954.png", "Ver Imagen")</f>
        <v>Ver Imagen</v>
      </c>
      <c r="P3419" t="str">
        <f>HYPERLINK("SE\A-497\A-497__321.png", "Ver Imagen")</f>
        <v>Ver Imagen</v>
      </c>
    </row>
    <row r="3420" spans="1:16" x14ac:dyDescent="0.25">
      <c r="A3420">
        <v>2947</v>
      </c>
      <c r="B3420" t="s">
        <v>5907</v>
      </c>
      <c r="C3420">
        <v>37.247413547199997</v>
      </c>
      <c r="D3420">
        <v>-7.0182111454399996</v>
      </c>
      <c r="E3420">
        <v>3</v>
      </c>
      <c r="F3420">
        <v>2</v>
      </c>
      <c r="G3420">
        <v>3</v>
      </c>
      <c r="J3420" t="s">
        <v>15</v>
      </c>
      <c r="K3420">
        <v>3</v>
      </c>
      <c r="L3420">
        <v>3.2029999999999998</v>
      </c>
      <c r="M3420">
        <v>0</v>
      </c>
      <c r="N3420" t="s">
        <v>10019</v>
      </c>
      <c r="O3420" t="str">
        <f>HYPERLINK("3\1\marker_253_378020.png", "Ver Imagen")</f>
        <v>Ver Imagen</v>
      </c>
      <c r="P3420" t="str">
        <f>HYPERLINK("SE\A-497\A-497__315.png", "Ver Imagen")</f>
        <v>Ver Imagen</v>
      </c>
    </row>
    <row r="3421" spans="1:16" x14ac:dyDescent="0.25">
      <c r="A3421">
        <v>2948</v>
      </c>
      <c r="B3421" t="s">
        <v>5909</v>
      </c>
      <c r="C3421">
        <v>37.248636921500001</v>
      </c>
      <c r="D3421">
        <v>-7.01814732273</v>
      </c>
      <c r="E3421">
        <v>3</v>
      </c>
      <c r="F3421">
        <v>2</v>
      </c>
      <c r="G3421">
        <v>3</v>
      </c>
      <c r="J3421" t="s">
        <v>15</v>
      </c>
      <c r="K3421">
        <v>3</v>
      </c>
      <c r="L3421">
        <v>3.2690000000000001</v>
      </c>
      <c r="M3421">
        <v>0</v>
      </c>
      <c r="N3421" t="s">
        <v>10019</v>
      </c>
      <c r="O3421" t="str">
        <f>HYPERLINK("3\1\marker_641_378110.png", "Ver Imagen")</f>
        <v>Ver Imagen</v>
      </c>
      <c r="P3421" t="str">
        <f>HYPERLINK("SE\A-497\A-497__309.png", "Ver Imagen")</f>
        <v>Ver Imagen</v>
      </c>
    </row>
    <row r="3422" spans="1:16" x14ac:dyDescent="0.25">
      <c r="A3422">
        <v>2950</v>
      </c>
      <c r="B3422" t="s">
        <v>5913</v>
      </c>
      <c r="C3422">
        <v>37.251994833200001</v>
      </c>
      <c r="D3422">
        <v>-7.0166043863200001</v>
      </c>
      <c r="E3422">
        <v>3</v>
      </c>
      <c r="F3422">
        <v>2</v>
      </c>
      <c r="G3422">
        <v>3</v>
      </c>
      <c r="J3422" t="s">
        <v>15</v>
      </c>
      <c r="K3422">
        <v>3</v>
      </c>
      <c r="L3422">
        <v>3.206</v>
      </c>
      <c r="M3422">
        <v>0</v>
      </c>
      <c r="N3422" t="s">
        <v>10019</v>
      </c>
      <c r="O3422" t="str">
        <f>HYPERLINK("3\1\marker_271_378343.png", "Ver Imagen")</f>
        <v>Ver Imagen</v>
      </c>
      <c r="P3422" t="str">
        <f>HYPERLINK("SE\A-497\A-497__291.png", "Ver Imagen")</f>
        <v>Ver Imagen</v>
      </c>
    </row>
    <row r="3423" spans="1:16" x14ac:dyDescent="0.25">
      <c r="A3423">
        <v>2951</v>
      </c>
      <c r="B3423" t="s">
        <v>5915</v>
      </c>
      <c r="C3423">
        <v>37.2529135057</v>
      </c>
      <c r="D3423">
        <v>-7.0160238571000004</v>
      </c>
      <c r="E3423">
        <v>3</v>
      </c>
      <c r="F3423">
        <v>4</v>
      </c>
      <c r="G3423">
        <v>3</v>
      </c>
      <c r="J3423" t="s">
        <v>15</v>
      </c>
      <c r="K3423">
        <v>3</v>
      </c>
      <c r="L3423">
        <v>3.2690000000000001</v>
      </c>
      <c r="M3423">
        <v>0</v>
      </c>
      <c r="N3423" t="s">
        <v>10019</v>
      </c>
      <c r="O3423" t="str">
        <f>HYPERLINK("3\1\marker_393_378406.png", "Ver Imagen")</f>
        <v>Ver Imagen</v>
      </c>
      <c r="P3423" t="str">
        <f>HYPERLINK("SE\A-497\A-497__286.png", "Ver Imagen")</f>
        <v>Ver Imagen</v>
      </c>
    </row>
    <row r="3424" spans="1:16" x14ac:dyDescent="0.25">
      <c r="A3424">
        <v>2952</v>
      </c>
      <c r="B3424" t="s">
        <v>5917</v>
      </c>
      <c r="C3424">
        <v>37.257242016699998</v>
      </c>
      <c r="D3424">
        <v>-7.0132654354900001</v>
      </c>
      <c r="E3424">
        <v>3</v>
      </c>
      <c r="F3424">
        <v>2</v>
      </c>
      <c r="G3424">
        <v>3</v>
      </c>
      <c r="J3424" t="s">
        <v>15</v>
      </c>
      <c r="K3424">
        <v>3</v>
      </c>
      <c r="L3424">
        <v>3.1819999999999999</v>
      </c>
      <c r="M3424">
        <v>0</v>
      </c>
      <c r="N3424" t="s">
        <v>10019</v>
      </c>
      <c r="O3424" t="str">
        <f>HYPERLINK("3\1\marker_234_378658.png", "Ver Imagen")</f>
        <v>Ver Imagen</v>
      </c>
      <c r="P3424" t="str">
        <f>HYPERLINK("SE\A-497\A-497__262.png", "Ver Imagen")</f>
        <v>Ver Imagen</v>
      </c>
    </row>
    <row r="3425" spans="1:16" x14ac:dyDescent="0.25">
      <c r="A3425">
        <v>2953</v>
      </c>
      <c r="B3425" t="s">
        <v>5919</v>
      </c>
      <c r="C3425">
        <v>37.260148153300001</v>
      </c>
      <c r="D3425">
        <v>-7.01141302045</v>
      </c>
      <c r="E3425">
        <v>3</v>
      </c>
      <c r="F3425">
        <v>2</v>
      </c>
      <c r="G3425">
        <v>3</v>
      </c>
      <c r="J3425" t="s">
        <v>15</v>
      </c>
      <c r="K3425">
        <v>3</v>
      </c>
      <c r="L3425">
        <v>3.3260000000000001</v>
      </c>
      <c r="M3425">
        <v>0</v>
      </c>
      <c r="N3425" t="s">
        <v>10019</v>
      </c>
      <c r="O3425" t="str">
        <f>HYPERLINK("3\1\marker_160_378821.png", "Ver Imagen")</f>
        <v>Ver Imagen</v>
      </c>
      <c r="P3425" t="str">
        <f>HYPERLINK("SE\A-497\A-497__246.png", "Ver Imagen")</f>
        <v>Ver Imagen</v>
      </c>
    </row>
    <row r="3426" spans="1:16" x14ac:dyDescent="0.25">
      <c r="A3426">
        <v>2954</v>
      </c>
      <c r="B3426" t="s">
        <v>5921</v>
      </c>
      <c r="C3426">
        <v>37.260656330099998</v>
      </c>
      <c r="D3426">
        <v>-7.01109060838</v>
      </c>
      <c r="E3426">
        <v>3</v>
      </c>
      <c r="F3426">
        <v>2</v>
      </c>
      <c r="G3426">
        <v>3</v>
      </c>
      <c r="J3426" t="s">
        <v>15</v>
      </c>
      <c r="K3426">
        <v>3</v>
      </c>
      <c r="L3426">
        <v>3</v>
      </c>
      <c r="M3426">
        <v>0</v>
      </c>
      <c r="N3426" t="s">
        <v>10019</v>
      </c>
      <c r="O3426" t="str">
        <f>HYPERLINK("3\1\marker_791_378853.png", "Ver Imagen")</f>
        <v>Ver Imagen</v>
      </c>
      <c r="P3426" t="str">
        <f>HYPERLINK("SE\A-497\A-497__243.png", "Ver Imagen")</f>
        <v>Ver Imagen</v>
      </c>
    </row>
    <row r="3427" spans="1:16" x14ac:dyDescent="0.25">
      <c r="A3427">
        <v>2955</v>
      </c>
      <c r="B3427" t="s">
        <v>5923</v>
      </c>
      <c r="C3427">
        <v>37.2613770237</v>
      </c>
      <c r="D3427">
        <v>-7.01060373421</v>
      </c>
      <c r="E3427">
        <v>3</v>
      </c>
      <c r="F3427">
        <v>3</v>
      </c>
      <c r="G3427">
        <v>4</v>
      </c>
      <c r="J3427" t="s">
        <v>15</v>
      </c>
      <c r="K3427">
        <v>3</v>
      </c>
      <c r="L3427">
        <v>3.097</v>
      </c>
      <c r="M3427">
        <v>0</v>
      </c>
      <c r="N3427" t="s">
        <v>10019</v>
      </c>
      <c r="O3427" t="str">
        <f>HYPERLINK("3\1\marker_881_378927.png", "Ver Imagen")</f>
        <v>Ver Imagen</v>
      </c>
      <c r="P3427" t="str">
        <f>HYPERLINK("SE\A-497\A-497__239.png", "Ver Imagen")</f>
        <v>Ver Imagen</v>
      </c>
    </row>
    <row r="3428" spans="1:16" x14ac:dyDescent="0.25">
      <c r="A3428">
        <v>2956</v>
      </c>
      <c r="B3428" t="s">
        <v>5925</v>
      </c>
      <c r="C3428">
        <v>37.261543360600001</v>
      </c>
      <c r="D3428">
        <v>-7.0104719576300001</v>
      </c>
      <c r="E3428">
        <v>3</v>
      </c>
      <c r="F3428">
        <v>2</v>
      </c>
      <c r="G3428">
        <v>3</v>
      </c>
      <c r="J3428" t="s">
        <v>15</v>
      </c>
      <c r="K3428">
        <v>3</v>
      </c>
      <c r="L3428">
        <v>2.9319999999999999</v>
      </c>
      <c r="M3428">
        <v>0</v>
      </c>
      <c r="N3428" t="s">
        <v>10019</v>
      </c>
      <c r="O3428" t="str">
        <f>HYPERLINK("3\1\marker_674_378936.png", "Ver Imagen")</f>
        <v>Ver Imagen</v>
      </c>
      <c r="P3428" t="str">
        <f>HYPERLINK("SE\A-497\A-497__238.png", "Ver Imagen")</f>
        <v>Ver Imagen</v>
      </c>
    </row>
    <row r="3429" spans="1:16" x14ac:dyDescent="0.25">
      <c r="A3429">
        <v>2957</v>
      </c>
      <c r="B3429" t="s">
        <v>5927</v>
      </c>
      <c r="C3429">
        <v>37.2634333954</v>
      </c>
      <c r="D3429">
        <v>-7.0070244875199998</v>
      </c>
      <c r="E3429">
        <v>3</v>
      </c>
      <c r="F3429">
        <v>2</v>
      </c>
      <c r="G3429">
        <v>3</v>
      </c>
      <c r="J3429" t="s">
        <v>15</v>
      </c>
      <c r="K3429">
        <v>3</v>
      </c>
      <c r="L3429">
        <v>3.0819999999999999</v>
      </c>
      <c r="M3429">
        <v>0</v>
      </c>
      <c r="N3429" t="s">
        <v>10019</v>
      </c>
      <c r="O3429" t="str">
        <f>HYPERLINK("3\1\marker_235_379131.png", "Ver Imagen")</f>
        <v>Ver Imagen</v>
      </c>
      <c r="P3429" t="str">
        <f>HYPERLINK("SE\A-497\A-497__221.png", "Ver Imagen")</f>
        <v>Ver Imagen</v>
      </c>
    </row>
    <row r="3430" spans="1:16" x14ac:dyDescent="0.25">
      <c r="A3430">
        <v>2958</v>
      </c>
      <c r="B3430" t="s">
        <v>5929</v>
      </c>
      <c r="C3430">
        <v>37.263832135000001</v>
      </c>
      <c r="D3430">
        <v>-7.0048089822800002</v>
      </c>
      <c r="E3430">
        <v>3</v>
      </c>
      <c r="F3430">
        <v>2</v>
      </c>
      <c r="G3430">
        <v>3</v>
      </c>
      <c r="J3430" t="s">
        <v>15</v>
      </c>
      <c r="K3430">
        <v>3</v>
      </c>
      <c r="L3430">
        <v>2.7589999999999999</v>
      </c>
      <c r="M3430">
        <v>0</v>
      </c>
      <c r="N3430" t="s">
        <v>10019</v>
      </c>
      <c r="O3430" t="str">
        <f>HYPERLINK("3\1\marker_283_379237.png", "Ver Imagen")</f>
        <v>Ver Imagen</v>
      </c>
      <c r="P3430" t="str">
        <f>HYPERLINK("SE\A-497\A-497__212.png", "Ver Imagen")</f>
        <v>Ver Imagen</v>
      </c>
    </row>
    <row r="3431" spans="1:16" x14ac:dyDescent="0.25">
      <c r="A3431">
        <v>2959</v>
      </c>
      <c r="B3431" t="s">
        <v>5931</v>
      </c>
      <c r="C3431">
        <v>37.264104275100003</v>
      </c>
      <c r="D3431">
        <v>-7.0032679283299997</v>
      </c>
      <c r="E3431">
        <v>3</v>
      </c>
      <c r="F3431">
        <v>2</v>
      </c>
      <c r="G3431">
        <v>3</v>
      </c>
      <c r="J3431" t="s">
        <v>15</v>
      </c>
      <c r="K3431">
        <v>3</v>
      </c>
      <c r="L3431">
        <v>2.5750000000000002</v>
      </c>
      <c r="M3431">
        <v>0</v>
      </c>
      <c r="N3431" t="s">
        <v>10018</v>
      </c>
      <c r="O3431" t="str">
        <f>HYPERLINK("3\1\marker_850_379312.png", "Ver Imagen")</f>
        <v>Ver Imagen</v>
      </c>
      <c r="P3431" t="str">
        <f>HYPERLINK("SE\A-497\A-497__206.png", "Ver Imagen")</f>
        <v>Ver Imagen</v>
      </c>
    </row>
    <row r="3432" spans="1:16" x14ac:dyDescent="0.25">
      <c r="A3432">
        <v>2960</v>
      </c>
      <c r="B3432" t="s">
        <v>5933</v>
      </c>
      <c r="C3432">
        <v>37.264192128300003</v>
      </c>
      <c r="D3432">
        <v>-7.00276927126</v>
      </c>
      <c r="E3432">
        <v>3</v>
      </c>
      <c r="F3432">
        <v>4</v>
      </c>
      <c r="G3432">
        <v>3</v>
      </c>
      <c r="J3432" t="s">
        <v>15</v>
      </c>
      <c r="K3432">
        <v>3</v>
      </c>
      <c r="L3432">
        <v>3.05</v>
      </c>
      <c r="M3432">
        <v>0</v>
      </c>
      <c r="N3432" t="s">
        <v>10019</v>
      </c>
      <c r="O3432" t="str">
        <f>HYPERLINK("3\1\marker_273_379334.png", "Ver Imagen")</f>
        <v>Ver Imagen</v>
      </c>
      <c r="P3432" t="str">
        <f>HYPERLINK("SE\A-497\A-497__204.png", "Ver Imagen")</f>
        <v>Ver Imagen</v>
      </c>
    </row>
    <row r="3433" spans="1:16" x14ac:dyDescent="0.25">
      <c r="A3433">
        <v>2961</v>
      </c>
      <c r="B3433" t="s">
        <v>5935</v>
      </c>
      <c r="C3433">
        <v>37.264237007699997</v>
      </c>
      <c r="D3433">
        <v>-7.0025164228700003</v>
      </c>
      <c r="E3433">
        <v>3</v>
      </c>
      <c r="F3433">
        <v>4</v>
      </c>
      <c r="G3433">
        <v>3</v>
      </c>
      <c r="J3433" t="s">
        <v>15</v>
      </c>
      <c r="K3433">
        <v>3</v>
      </c>
      <c r="L3433">
        <v>2.8540000000000001</v>
      </c>
      <c r="M3433">
        <v>0</v>
      </c>
      <c r="N3433" t="s">
        <v>10019</v>
      </c>
      <c r="O3433" t="str">
        <f>HYPERLINK("3\1\marker_173_379382.png", "Ver Imagen")</f>
        <v>Ver Imagen</v>
      </c>
      <c r="P3433" t="str">
        <f>HYPERLINK("SE\A-497\A-497__203.png", "Ver Imagen")</f>
        <v>Ver Imagen</v>
      </c>
    </row>
    <row r="3434" spans="1:16" x14ac:dyDescent="0.25">
      <c r="A3434">
        <v>2962</v>
      </c>
      <c r="B3434" t="s">
        <v>5937</v>
      </c>
      <c r="C3434">
        <v>37.264445895999998</v>
      </c>
      <c r="D3434">
        <v>-7.0013509647800003</v>
      </c>
      <c r="E3434">
        <v>3</v>
      </c>
      <c r="F3434">
        <v>2</v>
      </c>
      <c r="G3434">
        <v>3</v>
      </c>
      <c r="J3434" t="s">
        <v>15</v>
      </c>
      <c r="K3434">
        <v>3</v>
      </c>
      <c r="L3434">
        <v>3.069</v>
      </c>
      <c r="M3434">
        <v>0</v>
      </c>
      <c r="N3434" t="s">
        <v>10019</v>
      </c>
      <c r="O3434" t="str">
        <f>HYPERLINK("3\1\marker_105_379431.png", "Ver Imagen")</f>
        <v>Ver Imagen</v>
      </c>
      <c r="P3434" t="str">
        <f>HYPERLINK("SE\A-497\A-497__198.png", "Ver Imagen")</f>
        <v>Ver Imagen</v>
      </c>
    </row>
    <row r="3435" spans="1:16" x14ac:dyDescent="0.25">
      <c r="A3435">
        <v>2963</v>
      </c>
      <c r="B3435" t="s">
        <v>5939</v>
      </c>
      <c r="C3435">
        <v>37.2644998468</v>
      </c>
      <c r="D3435">
        <v>-7.0010525490299997</v>
      </c>
      <c r="E3435">
        <v>3</v>
      </c>
      <c r="F3435">
        <v>2</v>
      </c>
      <c r="G3435">
        <v>3</v>
      </c>
      <c r="J3435" t="s">
        <v>15</v>
      </c>
      <c r="K3435">
        <v>3</v>
      </c>
      <c r="L3435">
        <v>3.1960000000000002</v>
      </c>
      <c r="M3435">
        <v>0</v>
      </c>
      <c r="N3435" t="s">
        <v>10018</v>
      </c>
      <c r="O3435" t="str">
        <f>HYPERLINK("3\1\marker_297_379439.png", "Ver Imagen")</f>
        <v>Ver Imagen</v>
      </c>
      <c r="P3435" t="str">
        <f>HYPERLINK("SE\A-497\A-497__197.png", "Ver Imagen")</f>
        <v>Ver Imagen</v>
      </c>
    </row>
    <row r="3436" spans="1:16" x14ac:dyDescent="0.25">
      <c r="A3436">
        <v>2964</v>
      </c>
      <c r="B3436" t="s">
        <v>5941</v>
      </c>
      <c r="C3436">
        <v>37.264547414699997</v>
      </c>
      <c r="D3436">
        <v>-7.0007903007900003</v>
      </c>
      <c r="E3436">
        <v>3</v>
      </c>
      <c r="F3436">
        <v>2</v>
      </c>
      <c r="G3436">
        <v>3</v>
      </c>
      <c r="J3436" t="s">
        <v>15</v>
      </c>
      <c r="K3436">
        <v>3</v>
      </c>
      <c r="L3436">
        <v>2.9020000000000001</v>
      </c>
      <c r="M3436">
        <v>0</v>
      </c>
      <c r="N3436" t="s">
        <v>10018</v>
      </c>
      <c r="O3436" t="str">
        <f>HYPERLINK("3\1\marker_478_379450.png", "Ver Imagen")</f>
        <v>Ver Imagen</v>
      </c>
      <c r="P3436" t="str">
        <f>HYPERLINK("SE\A-497\A-497__196.png", "Ver Imagen")</f>
        <v>Ver Imagen</v>
      </c>
    </row>
    <row r="3437" spans="1:16" x14ac:dyDescent="0.25">
      <c r="A3437">
        <v>2965</v>
      </c>
      <c r="B3437" t="s">
        <v>5943</v>
      </c>
      <c r="C3437">
        <v>37.264586087399998</v>
      </c>
      <c r="D3437">
        <v>-7.00057605687</v>
      </c>
      <c r="E3437">
        <v>3</v>
      </c>
      <c r="F3437">
        <v>2</v>
      </c>
      <c r="G3437">
        <v>3</v>
      </c>
      <c r="J3437" t="s">
        <v>15</v>
      </c>
      <c r="K3437">
        <v>3</v>
      </c>
      <c r="L3437">
        <v>3.0449999999999999</v>
      </c>
      <c r="M3437">
        <v>0</v>
      </c>
      <c r="N3437" t="s">
        <v>10019</v>
      </c>
      <c r="O3437" t="str">
        <f>HYPERLINK("3\1\marker_300_379460.png", "Ver Imagen")</f>
        <v>Ver Imagen</v>
      </c>
      <c r="P3437" t="str">
        <f>HYPERLINK("SE\A-497\A-497__195.png", "Ver Imagen")</f>
        <v>Ver Imagen</v>
      </c>
    </row>
    <row r="3438" spans="1:16" x14ac:dyDescent="0.25">
      <c r="A3438">
        <v>2966</v>
      </c>
      <c r="B3438" t="s">
        <v>5945</v>
      </c>
      <c r="C3438">
        <v>37.2651108831</v>
      </c>
      <c r="D3438">
        <v>-6.9976024792200002</v>
      </c>
      <c r="E3438">
        <v>3</v>
      </c>
      <c r="F3438">
        <v>2</v>
      </c>
      <c r="G3438">
        <v>3</v>
      </c>
      <c r="J3438" t="s">
        <v>15</v>
      </c>
      <c r="K3438">
        <v>3</v>
      </c>
      <c r="L3438">
        <v>2.8849999999999998</v>
      </c>
      <c r="M3438">
        <v>0</v>
      </c>
      <c r="N3438" t="s">
        <v>10019</v>
      </c>
      <c r="O3438" t="str">
        <f>HYPERLINK("3\1\marker_169_379608.png", "Ver Imagen")</f>
        <v>Ver Imagen</v>
      </c>
      <c r="P3438" t="str">
        <f>HYPERLINK("SE\A-497\A-497__183.png", "Ver Imagen")</f>
        <v>Ver Imagen</v>
      </c>
    </row>
    <row r="3439" spans="1:16" x14ac:dyDescent="0.25">
      <c r="A3439">
        <v>2967</v>
      </c>
      <c r="B3439" t="s">
        <v>5947</v>
      </c>
      <c r="C3439">
        <v>37.2656917236</v>
      </c>
      <c r="D3439">
        <v>-6.9943890461100002</v>
      </c>
      <c r="E3439">
        <v>3</v>
      </c>
      <c r="F3439">
        <v>4</v>
      </c>
      <c r="G3439">
        <v>3</v>
      </c>
      <c r="J3439" t="s">
        <v>15</v>
      </c>
      <c r="K3439">
        <v>3</v>
      </c>
      <c r="L3439">
        <v>2.8919999999999999</v>
      </c>
      <c r="M3439">
        <v>0</v>
      </c>
      <c r="N3439" t="s">
        <v>10019</v>
      </c>
      <c r="O3439" t="str">
        <f>HYPERLINK("3\1\marker_734_379858.png", "Ver Imagen")</f>
        <v>Ver Imagen</v>
      </c>
      <c r="P3439" t="str">
        <f>HYPERLINK("SE\A-497\A-497__170.png", "Ver Imagen")</f>
        <v>Ver Imagen</v>
      </c>
    </row>
    <row r="3440" spans="1:16" x14ac:dyDescent="0.25">
      <c r="A3440">
        <v>2968</v>
      </c>
      <c r="B3440" t="s">
        <v>5949</v>
      </c>
      <c r="C3440">
        <v>37.265973768400002</v>
      </c>
      <c r="D3440">
        <v>-6.9934207651899998</v>
      </c>
      <c r="E3440">
        <v>3</v>
      </c>
      <c r="F3440">
        <v>2</v>
      </c>
      <c r="G3440">
        <v>3</v>
      </c>
      <c r="J3440" t="s">
        <v>15</v>
      </c>
      <c r="K3440">
        <v>3</v>
      </c>
      <c r="L3440">
        <v>3.1579999999999999</v>
      </c>
      <c r="M3440">
        <v>0</v>
      </c>
      <c r="N3440" t="s">
        <v>10019</v>
      </c>
      <c r="O3440" t="str">
        <f>HYPERLINK("3\1\marker_158_380192.png", "Ver Imagen")</f>
        <v>Ver Imagen</v>
      </c>
      <c r="P3440" t="str">
        <f>HYPERLINK("SE\A-497\A-497__166.png", "Ver Imagen")</f>
        <v>Ver Imagen</v>
      </c>
    </row>
    <row r="3441" spans="1:16" x14ac:dyDescent="0.25">
      <c r="A3441">
        <v>2969</v>
      </c>
      <c r="B3441" t="s">
        <v>5951</v>
      </c>
      <c r="C3441">
        <v>37.266515052400003</v>
      </c>
      <c r="D3441">
        <v>-6.9923389282699997</v>
      </c>
      <c r="E3441">
        <v>3</v>
      </c>
      <c r="F3441">
        <v>2</v>
      </c>
      <c r="G3441">
        <v>3</v>
      </c>
      <c r="J3441" t="s">
        <v>15</v>
      </c>
      <c r="K3441">
        <v>3</v>
      </c>
      <c r="L3441">
        <v>3.0350000000000001</v>
      </c>
      <c r="M3441">
        <v>0</v>
      </c>
      <c r="N3441" t="s">
        <v>10019</v>
      </c>
      <c r="O3441" t="str">
        <f>HYPERLINK("3\1\marker_762_380243.png", "Ver Imagen")</f>
        <v>Ver Imagen</v>
      </c>
      <c r="P3441" t="str">
        <f>HYPERLINK("SE\A-497\A-497__161.png", "Ver Imagen")</f>
        <v>Ver Imagen</v>
      </c>
    </row>
    <row r="3442" spans="1:16" x14ac:dyDescent="0.25">
      <c r="A3442">
        <v>2970</v>
      </c>
      <c r="B3442" t="s">
        <v>5953</v>
      </c>
      <c r="C3442">
        <v>37.2666456328</v>
      </c>
      <c r="D3442">
        <v>-6.9921486560600004</v>
      </c>
      <c r="E3442">
        <v>3</v>
      </c>
      <c r="F3442">
        <v>2</v>
      </c>
      <c r="G3442">
        <v>3</v>
      </c>
      <c r="J3442" t="s">
        <v>15</v>
      </c>
      <c r="K3442">
        <v>3</v>
      </c>
      <c r="L3442">
        <v>3.2909999999999999</v>
      </c>
      <c r="M3442">
        <v>0</v>
      </c>
      <c r="N3442" t="s">
        <v>10019</v>
      </c>
      <c r="O3442" t="str">
        <f>HYPERLINK("3\1\marker_301_380251.png", "Ver Imagen")</f>
        <v>Ver Imagen</v>
      </c>
      <c r="P3442" t="str">
        <f>HYPERLINK("SE\A-497\A-497__160.png", "Ver Imagen")</f>
        <v>Ver Imagen</v>
      </c>
    </row>
    <row r="3443" spans="1:16" x14ac:dyDescent="0.25">
      <c r="A3443">
        <v>2971</v>
      </c>
      <c r="B3443" t="s">
        <v>5955</v>
      </c>
      <c r="C3443">
        <v>37.267370447200001</v>
      </c>
      <c r="D3443">
        <v>-6.9913587702299997</v>
      </c>
      <c r="E3443">
        <v>3</v>
      </c>
      <c r="F3443">
        <v>2</v>
      </c>
      <c r="G3443">
        <v>3</v>
      </c>
      <c r="J3443" t="s">
        <v>15</v>
      </c>
      <c r="K3443">
        <v>3</v>
      </c>
      <c r="L3443">
        <v>2.968</v>
      </c>
      <c r="M3443">
        <v>0</v>
      </c>
      <c r="N3443" t="s">
        <v>10019</v>
      </c>
      <c r="O3443" t="str">
        <f>HYPERLINK("3\1\marker_436_380296.png", "Ver Imagen")</f>
        <v>Ver Imagen</v>
      </c>
      <c r="P3443" t="str">
        <f>HYPERLINK("SE\A-497\A-497__155.png", "Ver Imagen")</f>
        <v>Ver Imagen</v>
      </c>
    </row>
    <row r="3444" spans="1:16" x14ac:dyDescent="0.25">
      <c r="A3444">
        <v>2972</v>
      </c>
      <c r="B3444" t="s">
        <v>5957</v>
      </c>
      <c r="C3444">
        <v>37.267552246000001</v>
      </c>
      <c r="D3444">
        <v>-6.9912110651299999</v>
      </c>
      <c r="E3444">
        <v>3</v>
      </c>
      <c r="F3444">
        <v>2</v>
      </c>
      <c r="G3444">
        <v>3</v>
      </c>
      <c r="J3444" t="s">
        <v>15</v>
      </c>
      <c r="K3444">
        <v>3</v>
      </c>
      <c r="L3444">
        <v>3.194</v>
      </c>
      <c r="M3444">
        <v>0</v>
      </c>
      <c r="N3444" t="s">
        <v>10019</v>
      </c>
      <c r="O3444" t="str">
        <f>HYPERLINK("3\1\marker_715_380305.png", "Ver Imagen")</f>
        <v>Ver Imagen</v>
      </c>
      <c r="P3444" t="str">
        <f>HYPERLINK("SE\A-497\A-497__154.png", "Ver Imagen")</f>
        <v>Ver Imagen</v>
      </c>
    </row>
    <row r="3445" spans="1:16" x14ac:dyDescent="0.25">
      <c r="A3445">
        <v>2973</v>
      </c>
      <c r="B3445" t="s">
        <v>5959</v>
      </c>
      <c r="C3445">
        <v>37.267734505699998</v>
      </c>
      <c r="D3445">
        <v>-6.9910727974400002</v>
      </c>
      <c r="E3445">
        <v>3</v>
      </c>
      <c r="F3445">
        <v>2</v>
      </c>
      <c r="G3445">
        <v>3</v>
      </c>
      <c r="J3445" t="s">
        <v>15</v>
      </c>
      <c r="K3445">
        <v>3</v>
      </c>
      <c r="L3445">
        <v>2.5099999999999998</v>
      </c>
      <c r="M3445">
        <v>0</v>
      </c>
      <c r="N3445" t="s">
        <v>10018</v>
      </c>
      <c r="O3445" t="str">
        <f>HYPERLINK("3\1\marker_636_380315.png", "Ver Imagen")</f>
        <v>Ver Imagen</v>
      </c>
      <c r="P3445" t="str">
        <f>HYPERLINK("SE\A-497\A-497__153.png", "Ver Imagen")</f>
        <v>Ver Imagen</v>
      </c>
    </row>
    <row r="3446" spans="1:16" x14ac:dyDescent="0.25">
      <c r="A3446">
        <v>2974</v>
      </c>
      <c r="B3446" t="s">
        <v>5961</v>
      </c>
      <c r="C3446">
        <v>37.268604811499998</v>
      </c>
      <c r="D3446">
        <v>-6.9904494683799996</v>
      </c>
      <c r="E3446">
        <v>3</v>
      </c>
      <c r="F3446">
        <v>2</v>
      </c>
      <c r="G3446">
        <v>3</v>
      </c>
      <c r="J3446" t="s">
        <v>15</v>
      </c>
      <c r="K3446">
        <v>3</v>
      </c>
      <c r="L3446">
        <v>2.8319999999999999</v>
      </c>
      <c r="M3446">
        <v>0</v>
      </c>
      <c r="N3446" t="s">
        <v>10019</v>
      </c>
      <c r="O3446" t="str">
        <f>HYPERLINK("3\1\marker_168_380366.png", "Ver Imagen")</f>
        <v>Ver Imagen</v>
      </c>
      <c r="P3446" t="str">
        <f>HYPERLINK("SE\A-497\A-497__148.png", "Ver Imagen")</f>
        <v>Ver Imagen</v>
      </c>
    </row>
    <row r="3447" spans="1:16" x14ac:dyDescent="0.25">
      <c r="A3447">
        <v>2975</v>
      </c>
      <c r="B3447" t="s">
        <v>5963</v>
      </c>
      <c r="C3447">
        <v>37.268776866700001</v>
      </c>
      <c r="D3447">
        <v>-6.9903278068599999</v>
      </c>
      <c r="E3447">
        <v>3</v>
      </c>
      <c r="F3447">
        <v>2</v>
      </c>
      <c r="G3447">
        <v>3</v>
      </c>
      <c r="J3447" t="s">
        <v>15</v>
      </c>
      <c r="K3447">
        <v>3</v>
      </c>
      <c r="L3447">
        <v>2.8479999999999999</v>
      </c>
      <c r="M3447">
        <v>0</v>
      </c>
      <c r="N3447" t="s">
        <v>10019</v>
      </c>
      <c r="O3447" t="str">
        <f>HYPERLINK("3\1\marker_124_380377.png", "Ver Imagen")</f>
        <v>Ver Imagen</v>
      </c>
      <c r="P3447" t="str">
        <f>HYPERLINK("SE\A-497\A-497__147.png", "Ver Imagen")</f>
        <v>Ver Imagen</v>
      </c>
    </row>
    <row r="3448" spans="1:16" x14ac:dyDescent="0.25">
      <c r="A3448">
        <v>2976</v>
      </c>
      <c r="B3448" t="s">
        <v>5965</v>
      </c>
      <c r="C3448">
        <v>37.268968367799999</v>
      </c>
      <c r="D3448">
        <v>-6.99019252133</v>
      </c>
      <c r="E3448">
        <v>3</v>
      </c>
      <c r="F3448">
        <v>2</v>
      </c>
      <c r="G3448">
        <v>3</v>
      </c>
      <c r="J3448" t="s">
        <v>15</v>
      </c>
      <c r="K3448">
        <v>3</v>
      </c>
      <c r="L3448">
        <v>2.7919999999999998</v>
      </c>
      <c r="M3448">
        <v>0</v>
      </c>
      <c r="N3448" t="s">
        <v>10019</v>
      </c>
      <c r="O3448" t="str">
        <f>HYPERLINK("3\1\marker_576_380386.png", "Ver Imagen")</f>
        <v>Ver Imagen</v>
      </c>
      <c r="P3448" t="str">
        <f>HYPERLINK("SE\A-497\A-497__146.png", "Ver Imagen")</f>
        <v>Ver Imagen</v>
      </c>
    </row>
    <row r="3449" spans="1:16" x14ac:dyDescent="0.25">
      <c r="A3449">
        <v>2977</v>
      </c>
      <c r="B3449" t="s">
        <v>5967</v>
      </c>
      <c r="C3449">
        <v>37.269123647900003</v>
      </c>
      <c r="D3449">
        <v>-6.9900832151200003</v>
      </c>
      <c r="E3449">
        <v>3</v>
      </c>
      <c r="F3449">
        <v>2</v>
      </c>
      <c r="G3449">
        <v>3</v>
      </c>
      <c r="J3449" t="s">
        <v>15</v>
      </c>
      <c r="K3449">
        <v>3</v>
      </c>
      <c r="L3449">
        <v>3.0369999999999999</v>
      </c>
      <c r="M3449">
        <v>0</v>
      </c>
      <c r="N3449" t="s">
        <v>10019</v>
      </c>
      <c r="O3449" t="str">
        <f>HYPERLINK("3\1\marker_509_380394.png", "Ver Imagen")</f>
        <v>Ver Imagen</v>
      </c>
      <c r="P3449" t="str">
        <f>HYPERLINK("SE\A-497\A-497__145.png", "Ver Imagen")</f>
        <v>Ver Imagen</v>
      </c>
    </row>
    <row r="3450" spans="1:16" x14ac:dyDescent="0.25">
      <c r="A3450">
        <v>2978</v>
      </c>
      <c r="B3450" t="s">
        <v>5969</v>
      </c>
      <c r="C3450">
        <v>37.269310226899997</v>
      </c>
      <c r="D3450">
        <v>-6.98995241159</v>
      </c>
      <c r="E3450">
        <v>3</v>
      </c>
      <c r="F3450">
        <v>2</v>
      </c>
      <c r="G3450">
        <v>3</v>
      </c>
      <c r="J3450" t="s">
        <v>15</v>
      </c>
      <c r="K3450">
        <v>3</v>
      </c>
      <c r="L3450">
        <v>2.8980000000000001</v>
      </c>
      <c r="M3450">
        <v>0</v>
      </c>
      <c r="N3450" t="s">
        <v>10019</v>
      </c>
      <c r="O3450" t="str">
        <f>HYPERLINK("3\1\marker_670_380403.png", "Ver Imagen")</f>
        <v>Ver Imagen</v>
      </c>
      <c r="P3450" t="str">
        <f>HYPERLINK("SE\A-497\A-497__144.png", "Ver Imagen")</f>
        <v>Ver Imagen</v>
      </c>
    </row>
    <row r="3451" spans="1:16" x14ac:dyDescent="0.25">
      <c r="A3451">
        <v>2979</v>
      </c>
      <c r="B3451" t="s">
        <v>5971</v>
      </c>
      <c r="C3451">
        <v>37.2694828156</v>
      </c>
      <c r="D3451">
        <v>-6.9898315468999996</v>
      </c>
      <c r="E3451">
        <v>3</v>
      </c>
      <c r="F3451">
        <v>2</v>
      </c>
      <c r="G3451">
        <v>3</v>
      </c>
      <c r="J3451" t="s">
        <v>15</v>
      </c>
      <c r="K3451">
        <v>3</v>
      </c>
      <c r="L3451">
        <v>2.7570000000000001</v>
      </c>
      <c r="M3451">
        <v>0</v>
      </c>
      <c r="N3451" t="s">
        <v>10019</v>
      </c>
      <c r="O3451" t="str">
        <f>HYPERLINK("3\1\marker_330_380415.png", "Ver Imagen")</f>
        <v>Ver Imagen</v>
      </c>
      <c r="P3451" t="str">
        <f>HYPERLINK("SE\A-497\A-497__143.png", "Ver Imagen")</f>
        <v>Ver Imagen</v>
      </c>
    </row>
    <row r="3452" spans="1:16" x14ac:dyDescent="0.25">
      <c r="A3452">
        <v>2980</v>
      </c>
      <c r="B3452" t="s">
        <v>5973</v>
      </c>
      <c r="C3452">
        <v>37.269667501599997</v>
      </c>
      <c r="D3452">
        <v>-6.9897023945600001</v>
      </c>
      <c r="E3452">
        <v>3</v>
      </c>
      <c r="F3452">
        <v>2</v>
      </c>
      <c r="G3452">
        <v>3</v>
      </c>
      <c r="J3452" t="s">
        <v>15</v>
      </c>
      <c r="K3452">
        <v>3</v>
      </c>
      <c r="L3452">
        <v>3.1709999999999998</v>
      </c>
      <c r="M3452">
        <v>0</v>
      </c>
      <c r="N3452" t="s">
        <v>10019</v>
      </c>
      <c r="O3452" t="str">
        <f>HYPERLINK("3\1\marker_543_380423.png", "Ver Imagen")</f>
        <v>Ver Imagen</v>
      </c>
      <c r="P3452" t="str">
        <f>HYPERLINK("SE\A-497\A-497__142.png", "Ver Imagen")</f>
        <v>Ver Imagen</v>
      </c>
    </row>
    <row r="3453" spans="1:16" x14ac:dyDescent="0.25">
      <c r="A3453">
        <v>2981</v>
      </c>
      <c r="B3453" t="s">
        <v>5975</v>
      </c>
      <c r="C3453">
        <v>37.269841178599997</v>
      </c>
      <c r="D3453">
        <v>-6.9895818645099999</v>
      </c>
      <c r="E3453">
        <v>3</v>
      </c>
      <c r="F3453">
        <v>2</v>
      </c>
      <c r="G3453">
        <v>3</v>
      </c>
      <c r="J3453" t="s">
        <v>15</v>
      </c>
      <c r="K3453">
        <v>3</v>
      </c>
      <c r="L3453">
        <v>2.9209999999999998</v>
      </c>
      <c r="M3453">
        <v>0</v>
      </c>
      <c r="N3453" t="s">
        <v>10019</v>
      </c>
      <c r="O3453" t="str">
        <f>HYPERLINK("3\1\marker_309_380433.png", "Ver Imagen")</f>
        <v>Ver Imagen</v>
      </c>
      <c r="P3453" t="str">
        <f>HYPERLINK("SE\A-497\A-497__141.png", "Ver Imagen")</f>
        <v>Ver Imagen</v>
      </c>
    </row>
    <row r="3454" spans="1:16" x14ac:dyDescent="0.25">
      <c r="A3454">
        <v>2982</v>
      </c>
      <c r="B3454" t="s">
        <v>5977</v>
      </c>
      <c r="C3454">
        <v>37.2709370603</v>
      </c>
      <c r="D3454">
        <v>-6.9827359168900003</v>
      </c>
      <c r="E3454">
        <v>3</v>
      </c>
      <c r="F3454">
        <v>3</v>
      </c>
      <c r="G3454">
        <v>4</v>
      </c>
      <c r="J3454" t="s">
        <v>15</v>
      </c>
      <c r="K3454">
        <v>3</v>
      </c>
      <c r="L3454">
        <v>2.9649999999999999</v>
      </c>
      <c r="M3454">
        <v>0</v>
      </c>
      <c r="N3454" t="s">
        <v>10019</v>
      </c>
      <c r="O3454" t="str">
        <f>HYPERLINK("3\1\marker_442_380736.png", "Ver Imagen")</f>
        <v>Ver Imagen</v>
      </c>
      <c r="P3454" t="str">
        <f>HYPERLINK("SE\A-497\A-497__109.png", "Ver Imagen")</f>
        <v>Ver Imagen</v>
      </c>
    </row>
    <row r="3455" spans="1:16" x14ac:dyDescent="0.25">
      <c r="A3455">
        <v>2983</v>
      </c>
      <c r="B3455" t="s">
        <v>5979</v>
      </c>
      <c r="C3455">
        <v>37.270717278299998</v>
      </c>
      <c r="D3455">
        <v>-6.9819584714099996</v>
      </c>
      <c r="E3455">
        <v>3</v>
      </c>
      <c r="F3455">
        <v>3</v>
      </c>
      <c r="G3455">
        <v>4</v>
      </c>
      <c r="J3455" t="s">
        <v>15</v>
      </c>
      <c r="K3455">
        <v>3</v>
      </c>
      <c r="L3455">
        <v>2.847</v>
      </c>
      <c r="M3455">
        <v>0</v>
      </c>
      <c r="N3455" t="s">
        <v>10017</v>
      </c>
      <c r="O3455" t="str">
        <f>HYPERLINK("3\1\marker_834_380767.png", "Ver Imagen")</f>
        <v>Ver Imagen</v>
      </c>
      <c r="P3455" t="str">
        <f>HYPERLINK("SE\A-497\A-497__106.png", "Ver Imagen")</f>
        <v>Ver Imagen</v>
      </c>
    </row>
    <row r="3456" spans="1:16" x14ac:dyDescent="0.25">
      <c r="A3456">
        <v>2984</v>
      </c>
      <c r="B3456" t="s">
        <v>5981</v>
      </c>
      <c r="C3456">
        <v>37.2706603106</v>
      </c>
      <c r="D3456">
        <v>-6.9817556822500002</v>
      </c>
      <c r="E3456">
        <v>3</v>
      </c>
      <c r="F3456">
        <v>3</v>
      </c>
      <c r="G3456">
        <v>4</v>
      </c>
      <c r="J3456" t="s">
        <v>15</v>
      </c>
      <c r="K3456">
        <v>3</v>
      </c>
      <c r="L3456">
        <v>3.2160000000000002</v>
      </c>
      <c r="M3456">
        <v>0</v>
      </c>
      <c r="N3456" t="s">
        <v>10018</v>
      </c>
      <c r="O3456" t="str">
        <f>HYPERLINK("3\1\marker_478_380776.png", "Ver Imagen")</f>
        <v>Ver Imagen</v>
      </c>
      <c r="P3456" t="str">
        <f>HYPERLINK("SE\A-497\A-497__105.png", "Ver Imagen")</f>
        <v>Ver Imagen</v>
      </c>
    </row>
    <row r="3457" spans="1:16" x14ac:dyDescent="0.25">
      <c r="A3457">
        <v>2985</v>
      </c>
      <c r="B3457" t="s">
        <v>5983</v>
      </c>
      <c r="C3457">
        <v>37.2706000493</v>
      </c>
      <c r="D3457">
        <v>-6.9815468893899997</v>
      </c>
      <c r="E3457">
        <v>4</v>
      </c>
      <c r="F3457">
        <v>3</v>
      </c>
      <c r="G3457">
        <v>3</v>
      </c>
      <c r="J3457" t="s">
        <v>15</v>
      </c>
      <c r="K3457">
        <v>3</v>
      </c>
      <c r="L3457">
        <v>3.181</v>
      </c>
      <c r="M3457">
        <v>0</v>
      </c>
      <c r="N3457" t="s">
        <v>10018</v>
      </c>
      <c r="O3457" t="str">
        <f>HYPERLINK("3\1\marker_830_380787.png", "Ver Imagen")</f>
        <v>Ver Imagen</v>
      </c>
      <c r="P3457" t="str">
        <f>HYPERLINK("SE\A-497\A-497__104.png", "Ver Imagen")</f>
        <v>Ver Imagen</v>
      </c>
    </row>
    <row r="3458" spans="1:16" x14ac:dyDescent="0.25">
      <c r="A3458">
        <v>2986</v>
      </c>
      <c r="B3458" t="s">
        <v>5985</v>
      </c>
      <c r="C3458">
        <v>37.2703215931</v>
      </c>
      <c r="D3458">
        <v>-6.9805938245599997</v>
      </c>
      <c r="E3458">
        <v>3</v>
      </c>
      <c r="F3458">
        <v>4</v>
      </c>
      <c r="G3458">
        <v>3</v>
      </c>
      <c r="J3458" t="s">
        <v>15</v>
      </c>
      <c r="K3458">
        <v>3</v>
      </c>
      <c r="L3458">
        <v>2.9849999999999999</v>
      </c>
      <c r="M3458">
        <v>0</v>
      </c>
      <c r="N3458" t="s">
        <v>10019</v>
      </c>
      <c r="O3458" t="str">
        <f>HYPERLINK("3\1\marker_782_380837.png", "Ver Imagen")</f>
        <v>Ver Imagen</v>
      </c>
      <c r="P3458" t="str">
        <f>HYPERLINK("SE\A-497\A-497__100.png", "Ver Imagen")</f>
        <v>Ver Imagen</v>
      </c>
    </row>
    <row r="3459" spans="1:16" x14ac:dyDescent="0.25">
      <c r="A3459">
        <v>2987</v>
      </c>
      <c r="B3459" t="s">
        <v>5987</v>
      </c>
      <c r="C3459">
        <v>37.270048929700003</v>
      </c>
      <c r="D3459">
        <v>-6.9796345602800001</v>
      </c>
      <c r="E3459">
        <v>3</v>
      </c>
      <c r="F3459">
        <v>4</v>
      </c>
      <c r="G3459">
        <v>3</v>
      </c>
      <c r="J3459" t="s">
        <v>15</v>
      </c>
      <c r="K3459">
        <v>3</v>
      </c>
      <c r="L3459">
        <v>2.8239999999999998</v>
      </c>
      <c r="M3459">
        <v>0</v>
      </c>
      <c r="N3459" t="s">
        <v>10019</v>
      </c>
      <c r="O3459" t="str">
        <f>HYPERLINK("3\1\marker_323_380879.png", "Ver Imagen")</f>
        <v>Ver Imagen</v>
      </c>
      <c r="P3459" t="str">
        <f>HYPERLINK("SE\A-497\A-497__96.png", "Ver Imagen")</f>
        <v>Ver Imagen</v>
      </c>
    </row>
    <row r="3460" spans="1:16" x14ac:dyDescent="0.25">
      <c r="A3460">
        <v>2988</v>
      </c>
      <c r="B3460" t="s">
        <v>5989</v>
      </c>
      <c r="C3460">
        <v>37.269841174100002</v>
      </c>
      <c r="D3460">
        <v>-6.9789097988600002</v>
      </c>
      <c r="E3460">
        <v>4</v>
      </c>
      <c r="F3460">
        <v>3</v>
      </c>
      <c r="G3460">
        <v>3</v>
      </c>
      <c r="J3460" t="s">
        <v>15</v>
      </c>
      <c r="K3460">
        <v>3</v>
      </c>
      <c r="L3460">
        <v>2.8530000000000002</v>
      </c>
      <c r="M3460">
        <v>0</v>
      </c>
      <c r="N3460" t="s">
        <v>10019</v>
      </c>
      <c r="O3460" t="str">
        <f>HYPERLINK("3\1\marker_847_380906.png", "Ver Imagen")</f>
        <v>Ver Imagen</v>
      </c>
      <c r="P3460" t="str">
        <f>HYPERLINK("SE\A-497\A-497__93.png", "Ver Imagen")</f>
        <v>Ver Imagen</v>
      </c>
    </row>
    <row r="3461" spans="1:16" x14ac:dyDescent="0.25">
      <c r="A3461">
        <v>2990</v>
      </c>
      <c r="B3461" t="s">
        <v>5993</v>
      </c>
      <c r="C3461">
        <v>37.465830468999997</v>
      </c>
      <c r="D3461">
        <v>-7.1818630525199998</v>
      </c>
      <c r="E3461">
        <v>3</v>
      </c>
      <c r="F3461">
        <v>3</v>
      </c>
      <c r="G3461">
        <v>4</v>
      </c>
      <c r="J3461" t="s">
        <v>15</v>
      </c>
      <c r="K3461">
        <v>3</v>
      </c>
      <c r="L3461">
        <v>2.9540000000000002</v>
      </c>
      <c r="M3461">
        <v>0</v>
      </c>
      <c r="N3461" t="s">
        <v>10019</v>
      </c>
      <c r="O3461" t="str">
        <f>HYPERLINK("3\1\marker_912_749496.png", "Ver Imagen")</f>
        <v>Ver Imagen</v>
      </c>
      <c r="P3461" t="str">
        <f>HYPERLINK("NE\A-490\A-490__250.png", "Ver Imagen")</f>
        <v>Ver Imagen</v>
      </c>
    </row>
    <row r="3462" spans="1:16" x14ac:dyDescent="0.25">
      <c r="A3462">
        <v>2991</v>
      </c>
      <c r="B3462" t="s">
        <v>5995</v>
      </c>
      <c r="C3462">
        <v>37.466647160000001</v>
      </c>
      <c r="D3462">
        <v>-7.1833862572999996</v>
      </c>
      <c r="E3462">
        <v>3</v>
      </c>
      <c r="F3462">
        <v>3</v>
      </c>
      <c r="G3462">
        <v>4</v>
      </c>
      <c r="J3462" t="s">
        <v>15</v>
      </c>
      <c r="K3462">
        <v>3</v>
      </c>
      <c r="L3462">
        <v>3.2890000000000001</v>
      </c>
      <c r="M3462">
        <v>0</v>
      </c>
      <c r="N3462" t="s">
        <v>10018</v>
      </c>
      <c r="O3462" t="str">
        <f>HYPERLINK("3\1\marker_609_749644.png", "Ver Imagen")</f>
        <v>Ver Imagen</v>
      </c>
      <c r="P3462" t="str">
        <f>HYPERLINK("NO\A-490\A-490__257.png", "Ver Imagen")</f>
        <v>Ver Imagen</v>
      </c>
    </row>
    <row r="3463" spans="1:16" x14ac:dyDescent="0.25">
      <c r="A3463">
        <v>2994</v>
      </c>
      <c r="B3463" t="s">
        <v>6001</v>
      </c>
      <c r="C3463">
        <v>37.2751812829</v>
      </c>
      <c r="D3463">
        <v>-6.9911724057700004</v>
      </c>
      <c r="E3463">
        <v>3</v>
      </c>
      <c r="F3463">
        <v>3</v>
      </c>
      <c r="G3463">
        <v>4</v>
      </c>
      <c r="J3463" t="s">
        <v>15</v>
      </c>
      <c r="K3463">
        <v>3</v>
      </c>
      <c r="L3463">
        <v>3.2869999999999999</v>
      </c>
      <c r="M3463">
        <v>0</v>
      </c>
      <c r="N3463" t="s">
        <v>10019</v>
      </c>
      <c r="O3463" t="str">
        <f>HYPERLINK("3\1\marker_293_822009.png", "Ver Imagen")</f>
        <v>Ver Imagen</v>
      </c>
      <c r="P3463" t="str">
        <f>HYPERLINK("SE\A-492\A-492__19.png", "Ver Imagen")</f>
        <v>Ver Imagen</v>
      </c>
    </row>
    <row r="3464" spans="1:16" x14ac:dyDescent="0.25">
      <c r="A3464">
        <v>2996</v>
      </c>
      <c r="B3464" t="s">
        <v>6005</v>
      </c>
      <c r="C3464">
        <v>37.280036838699999</v>
      </c>
      <c r="D3464">
        <v>-6.9992572257700001</v>
      </c>
      <c r="E3464">
        <v>4</v>
      </c>
      <c r="F3464">
        <v>3</v>
      </c>
      <c r="G3464">
        <v>3</v>
      </c>
      <c r="J3464" t="s">
        <v>15</v>
      </c>
      <c r="K3464">
        <v>3</v>
      </c>
      <c r="L3464">
        <v>3.3069999999999999</v>
      </c>
      <c r="M3464">
        <v>0</v>
      </c>
      <c r="N3464" t="s">
        <v>10019</v>
      </c>
      <c r="O3464" t="str">
        <f>HYPERLINK("3\1\marker_197_823203.png", "Ver Imagen")</f>
        <v>Ver Imagen</v>
      </c>
      <c r="P3464" t="str">
        <f>HYPERLINK("SE\A-492\A-492__65.png", "Ver Imagen")</f>
        <v>Ver Imagen</v>
      </c>
    </row>
    <row r="3465" spans="1:16" x14ac:dyDescent="0.25">
      <c r="A3465">
        <v>2999</v>
      </c>
      <c r="B3465" t="s">
        <v>6011</v>
      </c>
      <c r="C3465">
        <v>37.280468127399999</v>
      </c>
      <c r="D3465">
        <v>-7.00149102567</v>
      </c>
      <c r="E3465">
        <v>3</v>
      </c>
      <c r="F3465">
        <v>3</v>
      </c>
      <c r="G3465">
        <v>4</v>
      </c>
      <c r="J3465" t="s">
        <v>15</v>
      </c>
      <c r="K3465">
        <v>3</v>
      </c>
      <c r="L3465">
        <v>2.6349999999999998</v>
      </c>
      <c r="M3465">
        <v>0</v>
      </c>
      <c r="N3465" t="s">
        <v>10019</v>
      </c>
      <c r="O3465" t="str">
        <f>HYPERLINK("3\1\marker_768_823421.png", "Ver Imagen")</f>
        <v>Ver Imagen</v>
      </c>
      <c r="P3465" t="str">
        <f>HYPERLINK("SE\A-492\A-492__76.png", "Ver Imagen")</f>
        <v>Ver Imagen</v>
      </c>
    </row>
    <row r="3466" spans="1:16" x14ac:dyDescent="0.25">
      <c r="A3466">
        <v>3000</v>
      </c>
      <c r="B3466" t="s">
        <v>6013</v>
      </c>
      <c r="C3466">
        <v>37.280320510199999</v>
      </c>
      <c r="D3466">
        <v>-7.0051893225899997</v>
      </c>
      <c r="E3466">
        <v>3</v>
      </c>
      <c r="F3466">
        <v>3</v>
      </c>
      <c r="G3466">
        <v>4</v>
      </c>
      <c r="J3466" t="s">
        <v>15</v>
      </c>
      <c r="K3466">
        <v>3</v>
      </c>
      <c r="L3466">
        <v>2.6469999999999998</v>
      </c>
      <c r="M3466">
        <v>0</v>
      </c>
      <c r="N3466" t="s">
        <v>10019</v>
      </c>
      <c r="O3466" t="str">
        <f>HYPERLINK("3\1\marker_725_823631.png", "Ver Imagen")</f>
        <v>Ver Imagen</v>
      </c>
      <c r="P3466" t="str">
        <f>HYPERLINK("SE\A-492\A-492__91.png", "Ver Imagen")</f>
        <v>Ver Imagen</v>
      </c>
    </row>
    <row r="3467" spans="1:16" x14ac:dyDescent="0.25">
      <c r="A3467">
        <v>3001</v>
      </c>
      <c r="B3467" t="s">
        <v>6015</v>
      </c>
      <c r="C3467">
        <v>37.284588433499998</v>
      </c>
      <c r="D3467">
        <v>-7.0390457021100001</v>
      </c>
      <c r="E3467">
        <v>3</v>
      </c>
      <c r="F3467">
        <v>3</v>
      </c>
      <c r="G3467">
        <v>4</v>
      </c>
      <c r="J3467" t="s">
        <v>15</v>
      </c>
      <c r="K3467">
        <v>3</v>
      </c>
      <c r="L3467">
        <v>3.1440000000000001</v>
      </c>
      <c r="M3467">
        <v>0</v>
      </c>
      <c r="N3467" t="s">
        <v>10019</v>
      </c>
      <c r="O3467" t="str">
        <f>HYPERLINK("3\1\marker_209_836109.png", "Ver Imagen")</f>
        <v>Ver Imagen</v>
      </c>
      <c r="P3467" t="str">
        <f>HYPERLINK("SE\A-492\A-492__251.png", "Ver Imagen")</f>
        <v>Ver Imagen</v>
      </c>
    </row>
    <row r="3468" spans="1:16" x14ac:dyDescent="0.25">
      <c r="A3468">
        <v>3002</v>
      </c>
      <c r="B3468" t="s">
        <v>6017</v>
      </c>
      <c r="C3468">
        <v>37.284658890999999</v>
      </c>
      <c r="D3468">
        <v>-7.0392955363700001</v>
      </c>
      <c r="E3468">
        <v>3</v>
      </c>
      <c r="F3468">
        <v>3</v>
      </c>
      <c r="G3468">
        <v>4</v>
      </c>
      <c r="J3468" t="s">
        <v>15</v>
      </c>
      <c r="K3468">
        <v>3</v>
      </c>
      <c r="L3468">
        <v>2.8980000000000001</v>
      </c>
      <c r="M3468">
        <v>0</v>
      </c>
      <c r="N3468" t="s">
        <v>10019</v>
      </c>
      <c r="O3468" t="str">
        <f>HYPERLINK("3\1\marker_856_836119.png", "Ver Imagen")</f>
        <v>Ver Imagen</v>
      </c>
      <c r="P3468" t="str">
        <f>HYPERLINK("SE\A-492\A-492__252.png", "Ver Imagen")</f>
        <v>Ver Imagen</v>
      </c>
    </row>
    <row r="3469" spans="1:16" x14ac:dyDescent="0.25">
      <c r="A3469">
        <v>3003</v>
      </c>
      <c r="B3469" t="s">
        <v>6019</v>
      </c>
      <c r="C3469">
        <v>37.295362398999998</v>
      </c>
      <c r="D3469">
        <v>-7.0490644856699998</v>
      </c>
      <c r="E3469">
        <v>3</v>
      </c>
      <c r="F3469">
        <v>3</v>
      </c>
      <c r="G3469">
        <v>4</v>
      </c>
      <c r="J3469" t="s">
        <v>15</v>
      </c>
      <c r="K3469">
        <v>3</v>
      </c>
      <c r="L3469">
        <v>2.827</v>
      </c>
      <c r="M3469">
        <v>0</v>
      </c>
      <c r="N3469" t="s">
        <v>10019</v>
      </c>
      <c r="O3469" t="str">
        <f>HYPERLINK("3\1\marker_631_837946.png", "Ver Imagen")</f>
        <v>Ver Imagen</v>
      </c>
      <c r="P3469" t="str">
        <f>HYPERLINK("SE\A-492\A-492__320.png", "Ver Imagen")</f>
        <v>Ver Imagen</v>
      </c>
    </row>
    <row r="3470" spans="1:16" x14ac:dyDescent="0.25">
      <c r="A3470">
        <v>3004</v>
      </c>
      <c r="B3470" t="s">
        <v>6021</v>
      </c>
      <c r="C3470">
        <v>37.318955542200001</v>
      </c>
      <c r="D3470">
        <v>-7.0714235301899997</v>
      </c>
      <c r="E3470">
        <v>3</v>
      </c>
      <c r="F3470">
        <v>3</v>
      </c>
      <c r="G3470">
        <v>4</v>
      </c>
      <c r="J3470" t="s">
        <v>15</v>
      </c>
      <c r="K3470">
        <v>3</v>
      </c>
      <c r="L3470">
        <v>2.806</v>
      </c>
      <c r="M3470">
        <v>0</v>
      </c>
      <c r="N3470" t="s">
        <v>10019</v>
      </c>
      <c r="O3470" t="str">
        <f>HYPERLINK("3\1\marker_288_840134.png", "Ver Imagen")</f>
        <v>Ver Imagen</v>
      </c>
      <c r="P3470" t="str">
        <f>HYPERLINK("SE\A-492\A-492__478.png", "Ver Imagen")</f>
        <v>Ver Imagen</v>
      </c>
    </row>
    <row r="3471" spans="1:16" x14ac:dyDescent="0.25">
      <c r="A3471">
        <v>3005</v>
      </c>
      <c r="B3471" t="s">
        <v>6023</v>
      </c>
      <c r="C3471">
        <v>37.319137690200002</v>
      </c>
      <c r="D3471">
        <v>-7.0714564003299998</v>
      </c>
      <c r="E3471">
        <v>3</v>
      </c>
      <c r="F3471">
        <v>3</v>
      </c>
      <c r="G3471">
        <v>4</v>
      </c>
      <c r="J3471" t="s">
        <v>15</v>
      </c>
      <c r="K3471">
        <v>3</v>
      </c>
      <c r="L3471">
        <v>2.552</v>
      </c>
      <c r="M3471">
        <v>0</v>
      </c>
      <c r="N3471" t="s">
        <v>10019</v>
      </c>
      <c r="O3471" t="str">
        <f>HYPERLINK("3\1\marker_984_840144.png", "Ver Imagen")</f>
        <v>Ver Imagen</v>
      </c>
      <c r="P3471" t="str">
        <f>HYPERLINK("SE\A-492\A-492__479.png", "Ver Imagen")</f>
        <v>Ver Imagen</v>
      </c>
    </row>
    <row r="3472" spans="1:16" x14ac:dyDescent="0.25">
      <c r="A3472">
        <v>3006</v>
      </c>
      <c r="B3472" t="s">
        <v>6025</v>
      </c>
      <c r="C3472">
        <v>37.453707767700003</v>
      </c>
      <c r="D3472">
        <v>-7.1124472433200001</v>
      </c>
      <c r="E3472">
        <v>4</v>
      </c>
      <c r="F3472">
        <v>3</v>
      </c>
      <c r="G3472">
        <v>3</v>
      </c>
      <c r="J3472" t="s">
        <v>15</v>
      </c>
      <c r="K3472">
        <v>3</v>
      </c>
      <c r="L3472">
        <v>3.2029999999999998</v>
      </c>
      <c r="M3472">
        <v>0</v>
      </c>
      <c r="N3472" t="s">
        <v>10019</v>
      </c>
      <c r="O3472" t="str">
        <f>HYPERLINK("3\1\marker_873_935694.png", "Ver Imagen")</f>
        <v>Ver Imagen</v>
      </c>
      <c r="P3472" t="str">
        <f>HYPERLINK("NE\A-495R\A-495R__47.png", "Ver Imagen")</f>
        <v>Ver Imagen</v>
      </c>
    </row>
    <row r="3473" spans="1:16" x14ac:dyDescent="0.25">
      <c r="A3473">
        <v>3007</v>
      </c>
      <c r="B3473" t="s">
        <v>6027</v>
      </c>
      <c r="C3473">
        <v>37.446967894499998</v>
      </c>
      <c r="D3473">
        <v>-7.10817475151</v>
      </c>
      <c r="E3473">
        <v>3</v>
      </c>
      <c r="F3473">
        <v>3</v>
      </c>
      <c r="G3473">
        <v>4</v>
      </c>
      <c r="J3473" t="s">
        <v>15</v>
      </c>
      <c r="K3473">
        <v>3</v>
      </c>
      <c r="L3473">
        <v>3.173</v>
      </c>
      <c r="M3473">
        <v>0</v>
      </c>
      <c r="N3473" t="s">
        <v>10019</v>
      </c>
      <c r="O3473" t="str">
        <f>HYPERLINK("3\1\marker_697_937016.png", "Ver Imagen")</f>
        <v>Ver Imagen</v>
      </c>
      <c r="P3473" t="str">
        <f>HYPERLINK("NE\A-495R\A-495R__9.png", "Ver Imagen")</f>
        <v>Ver Imagen</v>
      </c>
    </row>
    <row r="3474" spans="1:16" x14ac:dyDescent="0.25">
      <c r="A3474">
        <v>3009</v>
      </c>
      <c r="B3474" t="s">
        <v>6029</v>
      </c>
      <c r="C3474">
        <v>37.446815963299997</v>
      </c>
      <c r="D3474">
        <v>-7.1066775191299998</v>
      </c>
      <c r="E3474">
        <v>3</v>
      </c>
      <c r="F3474">
        <v>3</v>
      </c>
      <c r="G3474">
        <v>4</v>
      </c>
      <c r="J3474" t="s">
        <v>15</v>
      </c>
      <c r="K3474">
        <v>3</v>
      </c>
      <c r="L3474">
        <v>2.6219999999999999</v>
      </c>
      <c r="M3474">
        <v>0</v>
      </c>
      <c r="N3474" t="s">
        <v>10019</v>
      </c>
      <c r="O3474" t="str">
        <f>HYPERLINK("3\1\marker_535_937089.png", "Ver Imagen")</f>
        <v>Ver Imagen</v>
      </c>
      <c r="P3474" t="str">
        <f>HYPERLINK("NE\A-495R\A-495R__3.png", "Ver Imagen")</f>
        <v>Ver Imagen</v>
      </c>
    </row>
    <row r="3475" spans="1:16" x14ac:dyDescent="0.25">
      <c r="A3475">
        <v>3010</v>
      </c>
      <c r="B3475" t="s">
        <v>6031</v>
      </c>
      <c r="C3475">
        <v>37.267505345899998</v>
      </c>
      <c r="D3475">
        <v>-6.9632846695900001</v>
      </c>
      <c r="E3475">
        <v>3</v>
      </c>
      <c r="F3475">
        <v>3</v>
      </c>
      <c r="G3475">
        <v>4</v>
      </c>
      <c r="J3475" t="s">
        <v>15</v>
      </c>
      <c r="K3475">
        <v>3</v>
      </c>
      <c r="L3475">
        <v>2.8620000000000001</v>
      </c>
      <c r="M3475">
        <v>0</v>
      </c>
      <c r="N3475" t="s">
        <v>10019</v>
      </c>
      <c r="O3475" t="str">
        <f>HYPERLINK("3\1\marker_593_940802.png", "Ver Imagen")</f>
        <v>Ver Imagen</v>
      </c>
      <c r="P3475" t="str">
        <f>HYPERLINK("SE\A-497\A-497__30.png", "Ver Imagen")</f>
        <v>Ver Imagen</v>
      </c>
    </row>
    <row r="3476" spans="1:16" x14ac:dyDescent="0.25">
      <c r="A3476">
        <v>3011</v>
      </c>
      <c r="B3476" t="s">
        <v>6033</v>
      </c>
      <c r="C3476">
        <v>37.267477563900002</v>
      </c>
      <c r="D3476">
        <v>-6.9620167011999996</v>
      </c>
      <c r="E3476">
        <v>3</v>
      </c>
      <c r="F3476">
        <v>3</v>
      </c>
      <c r="G3476">
        <v>4</v>
      </c>
      <c r="J3476" t="s">
        <v>15</v>
      </c>
      <c r="K3476">
        <v>3</v>
      </c>
      <c r="L3476">
        <v>2.8140000000000001</v>
      </c>
      <c r="M3476">
        <v>0</v>
      </c>
      <c r="N3476" t="s">
        <v>10019</v>
      </c>
      <c r="O3476" t="str">
        <f>HYPERLINK("3\1\marker_723_943716.png", "Ver Imagen")</f>
        <v>Ver Imagen</v>
      </c>
      <c r="P3476" t="str">
        <f>HYPERLINK("SE\A-497\A-497__25.png", "Ver Imagen")</f>
        <v>Ver Imagen</v>
      </c>
    </row>
    <row r="3477" spans="1:16" x14ac:dyDescent="0.25">
      <c r="A3477">
        <v>3012</v>
      </c>
      <c r="B3477" t="s">
        <v>6035</v>
      </c>
      <c r="C3477">
        <v>37.446652515700002</v>
      </c>
      <c r="D3477">
        <v>-7.1317543164700004</v>
      </c>
      <c r="E3477">
        <v>2</v>
      </c>
      <c r="F3477">
        <v>3</v>
      </c>
      <c r="G3477">
        <v>3</v>
      </c>
      <c r="J3477" t="s">
        <v>15</v>
      </c>
      <c r="K3477">
        <v>3</v>
      </c>
      <c r="L3477">
        <v>2.91</v>
      </c>
      <c r="M3477">
        <v>0</v>
      </c>
      <c r="N3477" t="s">
        <v>10019</v>
      </c>
      <c r="O3477" t="str">
        <f>HYPERLINK("3\1\marker_772_730713.png", "Ver Imagen")</f>
        <v>Ver Imagen</v>
      </c>
      <c r="P3477" t="str">
        <f>HYPERLINK("NE\A-490\A-490__22.png", "Ver Imagen")</f>
        <v>Ver Imagen</v>
      </c>
    </row>
    <row r="3478" spans="1:16" x14ac:dyDescent="0.25">
      <c r="A3478">
        <v>3013</v>
      </c>
      <c r="B3478" t="s">
        <v>6037</v>
      </c>
      <c r="C3478">
        <v>37.446929449400002</v>
      </c>
      <c r="D3478">
        <v>-7.1390602795099998</v>
      </c>
      <c r="E3478">
        <v>2</v>
      </c>
      <c r="F3478">
        <v>3</v>
      </c>
      <c r="G3478">
        <v>3</v>
      </c>
      <c r="J3478" t="s">
        <v>15</v>
      </c>
      <c r="K3478">
        <v>3</v>
      </c>
      <c r="L3478">
        <v>2.9940000000000002</v>
      </c>
      <c r="M3478">
        <v>0</v>
      </c>
      <c r="N3478" t="s">
        <v>10019</v>
      </c>
      <c r="O3478" t="str">
        <f>HYPERLINK("3\1\marker_152_732343.png", "Ver Imagen")</f>
        <v>Ver Imagen</v>
      </c>
      <c r="P3478" t="str">
        <f>HYPERLINK("NE\A-490\A-490__52.png", "Ver Imagen")</f>
        <v>Ver Imagen</v>
      </c>
    </row>
    <row r="3479" spans="1:16" x14ac:dyDescent="0.25">
      <c r="A3479">
        <v>3014</v>
      </c>
      <c r="B3479" t="s">
        <v>6039</v>
      </c>
      <c r="C3479">
        <v>37.455290767199998</v>
      </c>
      <c r="D3479">
        <v>-7.1659316040999999</v>
      </c>
      <c r="E3479">
        <v>2</v>
      </c>
      <c r="F3479">
        <v>3</v>
      </c>
      <c r="G3479">
        <v>3</v>
      </c>
      <c r="J3479" t="s">
        <v>15</v>
      </c>
      <c r="K3479">
        <v>3</v>
      </c>
      <c r="L3479">
        <v>2.8</v>
      </c>
      <c r="M3479">
        <v>0</v>
      </c>
      <c r="N3479" t="s">
        <v>10019</v>
      </c>
      <c r="O3479" t="str">
        <f>HYPERLINK("3\1\marker_526_741425.png", "Ver Imagen")</f>
        <v>Ver Imagen</v>
      </c>
      <c r="P3479" t="str">
        <f>HYPERLINK("NE\A-490\A-490__168.png", "Ver Imagen")</f>
        <v>Ver Imagen</v>
      </c>
    </row>
    <row r="3480" spans="1:16" x14ac:dyDescent="0.25">
      <c r="A3480">
        <v>3015</v>
      </c>
      <c r="B3480" t="s">
        <v>6041</v>
      </c>
      <c r="C3480">
        <v>37.458314049499997</v>
      </c>
      <c r="D3480">
        <v>-7.1696500133800001</v>
      </c>
      <c r="E3480">
        <v>2</v>
      </c>
      <c r="F3480">
        <v>3</v>
      </c>
      <c r="G3480">
        <v>3</v>
      </c>
      <c r="J3480" t="s">
        <v>15</v>
      </c>
      <c r="K3480">
        <v>3</v>
      </c>
      <c r="L3480">
        <v>2.93</v>
      </c>
      <c r="M3480">
        <v>0</v>
      </c>
      <c r="N3480" t="s">
        <v>10019</v>
      </c>
      <c r="O3480" t="str">
        <f>HYPERLINK("3\1\marker_625_742023.png", "Ver Imagen")</f>
        <v>Ver Imagen</v>
      </c>
      <c r="P3480" t="str">
        <f>HYPERLINK("NE\A-490\A-490__189.png", "Ver Imagen")</f>
        <v>Ver Imagen</v>
      </c>
    </row>
    <row r="3481" spans="1:16" x14ac:dyDescent="0.25">
      <c r="A3481">
        <v>3016</v>
      </c>
      <c r="B3481" t="s">
        <v>6043</v>
      </c>
      <c r="C3481">
        <v>37.463424994500002</v>
      </c>
      <c r="D3481">
        <v>-7.1774631275600003</v>
      </c>
      <c r="E3481">
        <v>2</v>
      </c>
      <c r="F3481">
        <v>3</v>
      </c>
      <c r="G3481">
        <v>3</v>
      </c>
      <c r="J3481" t="s">
        <v>15</v>
      </c>
      <c r="K3481">
        <v>3</v>
      </c>
      <c r="L3481">
        <v>2.9780000000000002</v>
      </c>
      <c r="M3481">
        <v>0</v>
      </c>
      <c r="N3481" t="s">
        <v>10019</v>
      </c>
      <c r="O3481" t="str">
        <f>HYPERLINK("3\1\marker_146_743811.png", "Ver Imagen")</f>
        <v>Ver Imagen</v>
      </c>
      <c r="P3481" t="str">
        <f>HYPERLINK("NE\A-490\A-490__229.png", "Ver Imagen")</f>
        <v>Ver Imagen</v>
      </c>
    </row>
    <row r="3482" spans="1:16" x14ac:dyDescent="0.25">
      <c r="A3482">
        <v>3017</v>
      </c>
      <c r="B3482" t="s">
        <v>6045</v>
      </c>
      <c r="C3482">
        <v>37.466203720700001</v>
      </c>
      <c r="D3482">
        <v>-7.1825511755499996</v>
      </c>
      <c r="E3482">
        <v>2</v>
      </c>
      <c r="F3482">
        <v>3</v>
      </c>
      <c r="G3482">
        <v>3</v>
      </c>
      <c r="J3482" t="s">
        <v>15</v>
      </c>
      <c r="K3482">
        <v>3</v>
      </c>
      <c r="L3482">
        <v>2.8479999999999999</v>
      </c>
      <c r="M3482">
        <v>0</v>
      </c>
      <c r="N3482" t="s">
        <v>10017</v>
      </c>
      <c r="O3482" t="str">
        <f>HYPERLINK("3\1\marker_914_749567.png", "Ver Imagen")</f>
        <v>Ver Imagen</v>
      </c>
      <c r="P3482" t="str">
        <f>HYPERLINK("NE\A-490\A-490__253.png", "Ver Imagen")</f>
        <v>Ver Imagen</v>
      </c>
    </row>
    <row r="3483" spans="1:16" x14ac:dyDescent="0.25">
      <c r="A3483">
        <v>3017</v>
      </c>
      <c r="B3483" t="s">
        <v>6045</v>
      </c>
      <c r="C3483">
        <v>37.466203720700001</v>
      </c>
      <c r="D3483">
        <v>-7.1825511755499996</v>
      </c>
      <c r="E3483">
        <v>2</v>
      </c>
      <c r="F3483">
        <v>3</v>
      </c>
      <c r="G3483">
        <v>3</v>
      </c>
      <c r="J3483" t="s">
        <v>15</v>
      </c>
      <c r="K3483">
        <v>3</v>
      </c>
      <c r="L3483">
        <v>3.496</v>
      </c>
      <c r="M3483">
        <v>0</v>
      </c>
      <c r="N3483" t="s">
        <v>10017</v>
      </c>
      <c r="O3483" t="str">
        <f>HYPERLINK("3\1\marker_914_749567.png", "Ver Imagen")</f>
        <v>Ver Imagen</v>
      </c>
      <c r="P3483" t="str">
        <f>HYPERLINK("NO\A-490\A-490__253.png", "Ver Imagen")</f>
        <v>Ver Imagen</v>
      </c>
    </row>
    <row r="3484" spans="1:16" x14ac:dyDescent="0.25">
      <c r="A3484">
        <v>3018</v>
      </c>
      <c r="B3484" t="s">
        <v>6047</v>
      </c>
      <c r="C3484">
        <v>37.477173375500001</v>
      </c>
      <c r="D3484">
        <v>-7.2037935765099999</v>
      </c>
      <c r="E3484">
        <v>2</v>
      </c>
      <c r="F3484">
        <v>3</v>
      </c>
      <c r="G3484">
        <v>3</v>
      </c>
      <c r="J3484" t="s">
        <v>15</v>
      </c>
      <c r="K3484">
        <v>3</v>
      </c>
      <c r="L3484">
        <v>3.2639999999999998</v>
      </c>
      <c r="M3484">
        <v>0</v>
      </c>
      <c r="N3484" t="s">
        <v>10017</v>
      </c>
      <c r="O3484" t="str">
        <f>HYPERLINK("3\1\marker_989_751729.png", "Ver Imagen")</f>
        <v>Ver Imagen</v>
      </c>
      <c r="P3484" t="str">
        <f>HYPERLINK("NO\A-490\A-490__353.png", "Ver Imagen")</f>
        <v>Ver Imagen</v>
      </c>
    </row>
    <row r="3485" spans="1:16" x14ac:dyDescent="0.25">
      <c r="A3485">
        <v>3019</v>
      </c>
      <c r="B3485" t="s">
        <v>6049</v>
      </c>
      <c r="C3485">
        <v>37.477745734599999</v>
      </c>
      <c r="D3485">
        <v>-7.2051107966599997</v>
      </c>
      <c r="E3485">
        <v>2</v>
      </c>
      <c r="F3485">
        <v>3</v>
      </c>
      <c r="G3485">
        <v>3</v>
      </c>
      <c r="J3485" t="s">
        <v>15</v>
      </c>
      <c r="K3485">
        <v>3</v>
      </c>
      <c r="L3485">
        <v>3.0470000000000002</v>
      </c>
      <c r="M3485">
        <v>0</v>
      </c>
      <c r="N3485" t="s">
        <v>10019</v>
      </c>
      <c r="O3485" t="str">
        <f>HYPERLINK("3\1\marker_495_751861.png", "Ver Imagen")</f>
        <v>Ver Imagen</v>
      </c>
      <c r="P3485" t="str">
        <f>HYPERLINK("NO\A-490\A-490__359.png", "Ver Imagen")</f>
        <v>Ver Imagen</v>
      </c>
    </row>
    <row r="3486" spans="1:16" x14ac:dyDescent="0.25">
      <c r="A3486">
        <v>3020</v>
      </c>
      <c r="B3486" t="s">
        <v>6051</v>
      </c>
      <c r="C3486">
        <v>37.477843136799997</v>
      </c>
      <c r="D3486">
        <v>-7.2053393041999998</v>
      </c>
      <c r="E3486">
        <v>2</v>
      </c>
      <c r="F3486">
        <v>3</v>
      </c>
      <c r="G3486">
        <v>3</v>
      </c>
      <c r="J3486" t="s">
        <v>15</v>
      </c>
      <c r="K3486">
        <v>3</v>
      </c>
      <c r="L3486">
        <v>3.012</v>
      </c>
      <c r="M3486">
        <v>0</v>
      </c>
      <c r="N3486" t="s">
        <v>10019</v>
      </c>
      <c r="O3486" t="str">
        <f>HYPERLINK("3\1\marker_444_751877.png", "Ver Imagen")</f>
        <v>Ver Imagen</v>
      </c>
      <c r="P3486" t="str">
        <f>HYPERLINK("NO\A-490\A-490__360.png", "Ver Imagen")</f>
        <v>Ver Imagen</v>
      </c>
    </row>
    <row r="3487" spans="1:16" x14ac:dyDescent="0.25">
      <c r="A3487">
        <v>3021</v>
      </c>
      <c r="B3487" t="s">
        <v>6053</v>
      </c>
      <c r="C3487">
        <v>37.478045984200001</v>
      </c>
      <c r="D3487">
        <v>-7.2058110116999998</v>
      </c>
      <c r="E3487">
        <v>2</v>
      </c>
      <c r="F3487">
        <v>3</v>
      </c>
      <c r="G3487">
        <v>3</v>
      </c>
      <c r="J3487" t="s">
        <v>15</v>
      </c>
      <c r="K3487">
        <v>3</v>
      </c>
      <c r="L3487">
        <v>3.226</v>
      </c>
      <c r="M3487">
        <v>0</v>
      </c>
      <c r="N3487" t="s">
        <v>10019</v>
      </c>
      <c r="O3487" t="str">
        <f>HYPERLINK("3\1\marker_134_751926.png", "Ver Imagen")</f>
        <v>Ver Imagen</v>
      </c>
      <c r="P3487" t="str">
        <f>HYPERLINK("NO\A-490\A-490__362.png", "Ver Imagen")</f>
        <v>Ver Imagen</v>
      </c>
    </row>
    <row r="3488" spans="1:16" x14ac:dyDescent="0.25">
      <c r="A3488">
        <v>3022</v>
      </c>
      <c r="B3488" t="s">
        <v>6055</v>
      </c>
      <c r="C3488">
        <v>37.479180465500001</v>
      </c>
      <c r="D3488">
        <v>-7.2084676403100003</v>
      </c>
      <c r="E3488">
        <v>2</v>
      </c>
      <c r="F3488">
        <v>3</v>
      </c>
      <c r="G3488">
        <v>3</v>
      </c>
      <c r="J3488" t="s">
        <v>15</v>
      </c>
      <c r="K3488">
        <v>3</v>
      </c>
      <c r="L3488">
        <v>2.5910000000000002</v>
      </c>
      <c r="M3488">
        <v>0</v>
      </c>
      <c r="N3488" t="s">
        <v>10017</v>
      </c>
      <c r="O3488" t="str">
        <f>HYPERLINK("3\1\marker_245_752181.png", "Ver Imagen")</f>
        <v>Ver Imagen</v>
      </c>
      <c r="P3488" t="str">
        <f>HYPERLINK("NO\A-490\A-490__374.png", "Ver Imagen")</f>
        <v>Ver Imagen</v>
      </c>
    </row>
    <row r="3489" spans="1:16" x14ac:dyDescent="0.25">
      <c r="A3489">
        <v>3023</v>
      </c>
      <c r="B3489" t="s">
        <v>6057</v>
      </c>
      <c r="C3489">
        <v>37.479658635600003</v>
      </c>
      <c r="D3489">
        <v>-7.2095657903500001</v>
      </c>
      <c r="E3489">
        <v>2</v>
      </c>
      <c r="F3489">
        <v>3</v>
      </c>
      <c r="G3489">
        <v>3</v>
      </c>
      <c r="J3489" t="s">
        <v>15</v>
      </c>
      <c r="K3489">
        <v>3</v>
      </c>
      <c r="L3489">
        <v>3.0990000000000002</v>
      </c>
      <c r="M3489">
        <v>0</v>
      </c>
      <c r="N3489" t="s">
        <v>10019</v>
      </c>
      <c r="O3489" t="str">
        <f>HYPERLINK("3\1\marker_173_752315.png", "Ver Imagen")</f>
        <v>Ver Imagen</v>
      </c>
      <c r="P3489" t="str">
        <f>HYPERLINK("NO\A-490\A-490__379.png", "Ver Imagen")</f>
        <v>Ver Imagen</v>
      </c>
    </row>
    <row r="3490" spans="1:16" x14ac:dyDescent="0.25">
      <c r="A3490">
        <v>3024</v>
      </c>
      <c r="B3490" t="s">
        <v>6059</v>
      </c>
      <c r="C3490">
        <v>37.479885127000003</v>
      </c>
      <c r="D3490">
        <v>-7.2100866359899998</v>
      </c>
      <c r="E3490">
        <v>2</v>
      </c>
      <c r="F3490">
        <v>3</v>
      </c>
      <c r="G3490">
        <v>3</v>
      </c>
      <c r="J3490" t="s">
        <v>15</v>
      </c>
      <c r="K3490">
        <v>3</v>
      </c>
      <c r="L3490">
        <v>2.9369999999999998</v>
      </c>
      <c r="M3490">
        <v>0</v>
      </c>
      <c r="N3490" t="s">
        <v>10019</v>
      </c>
      <c r="O3490" t="str">
        <f>HYPERLINK("3\1\marker_684_752355.png", "Ver Imagen")</f>
        <v>Ver Imagen</v>
      </c>
      <c r="P3490" t="str">
        <f>HYPERLINK("NO\A-490\A-490__381.png", "Ver Imagen")</f>
        <v>Ver Imagen</v>
      </c>
    </row>
    <row r="3491" spans="1:16" x14ac:dyDescent="0.25">
      <c r="A3491">
        <v>3025</v>
      </c>
      <c r="B3491" t="s">
        <v>6061</v>
      </c>
      <c r="C3491">
        <v>37.480869485299998</v>
      </c>
      <c r="D3491">
        <v>-7.2124954739499998</v>
      </c>
      <c r="E3491">
        <v>2</v>
      </c>
      <c r="F3491">
        <v>3</v>
      </c>
      <c r="G3491">
        <v>3</v>
      </c>
      <c r="J3491" t="s">
        <v>15</v>
      </c>
      <c r="K3491">
        <v>3</v>
      </c>
      <c r="L3491">
        <v>2.7509999999999999</v>
      </c>
      <c r="M3491">
        <v>0</v>
      </c>
      <c r="N3491" t="s">
        <v>10019</v>
      </c>
      <c r="O3491" t="str">
        <f>HYPERLINK("3\1\marker_575_752591.png", "Ver Imagen")</f>
        <v>Ver Imagen</v>
      </c>
      <c r="P3491" t="str">
        <f>HYPERLINK("NO\A-490\A-490__392.png", "Ver Imagen")</f>
        <v>Ver Imagen</v>
      </c>
    </row>
    <row r="3492" spans="1:16" x14ac:dyDescent="0.25">
      <c r="A3492">
        <v>3026</v>
      </c>
      <c r="B3492" t="s">
        <v>6063</v>
      </c>
      <c r="C3492">
        <v>37.481050790200001</v>
      </c>
      <c r="D3492">
        <v>-7.2129871482099999</v>
      </c>
      <c r="E3492">
        <v>2</v>
      </c>
      <c r="F3492">
        <v>3</v>
      </c>
      <c r="G3492">
        <v>3</v>
      </c>
      <c r="J3492" t="s">
        <v>15</v>
      </c>
      <c r="K3492">
        <v>3</v>
      </c>
      <c r="L3492">
        <v>2.7879999999999998</v>
      </c>
      <c r="M3492">
        <v>0</v>
      </c>
      <c r="N3492" t="s">
        <v>10019</v>
      </c>
      <c r="O3492" t="str">
        <f>HYPERLINK("3\1\marker_564_752892.png", "Ver Imagen")</f>
        <v>Ver Imagen</v>
      </c>
      <c r="P3492" t="str">
        <f>HYPERLINK("NO\A-490\A-490__394.png", "Ver Imagen")</f>
        <v>Ver Imagen</v>
      </c>
    </row>
    <row r="3493" spans="1:16" x14ac:dyDescent="0.25">
      <c r="A3493">
        <v>3028</v>
      </c>
      <c r="B3493" t="s">
        <v>6067</v>
      </c>
      <c r="C3493">
        <v>37.484022080099997</v>
      </c>
      <c r="D3493">
        <v>-7.2254264071899996</v>
      </c>
      <c r="E3493">
        <v>2</v>
      </c>
      <c r="F3493">
        <v>3</v>
      </c>
      <c r="G3493">
        <v>3</v>
      </c>
      <c r="J3493" t="s">
        <v>15</v>
      </c>
      <c r="K3493">
        <v>3</v>
      </c>
      <c r="L3493">
        <v>3.0009999999999999</v>
      </c>
      <c r="M3493">
        <v>0</v>
      </c>
      <c r="N3493" t="s">
        <v>10019</v>
      </c>
      <c r="O3493" t="str">
        <f>HYPERLINK("3\1\marker_832_754859.png", "Ver Imagen")</f>
        <v>Ver Imagen</v>
      </c>
      <c r="P3493" t="str">
        <f>HYPERLINK("NO\A-490\A-490__445.png", "Ver Imagen")</f>
        <v>Ver Imagen</v>
      </c>
    </row>
    <row r="3494" spans="1:16" x14ac:dyDescent="0.25">
      <c r="A3494">
        <v>3029</v>
      </c>
      <c r="B3494" t="s">
        <v>6069</v>
      </c>
      <c r="C3494">
        <v>37.484725334799997</v>
      </c>
      <c r="D3494">
        <v>-7.2290316733999997</v>
      </c>
      <c r="E3494">
        <v>2</v>
      </c>
      <c r="F3494">
        <v>3</v>
      </c>
      <c r="G3494">
        <v>3</v>
      </c>
      <c r="J3494" t="s">
        <v>15</v>
      </c>
      <c r="K3494">
        <v>3</v>
      </c>
      <c r="L3494">
        <v>2.8969999999999998</v>
      </c>
      <c r="M3494">
        <v>0</v>
      </c>
      <c r="N3494" t="s">
        <v>10019</v>
      </c>
      <c r="O3494" t="str">
        <f>HYPERLINK("3\1\marker_419_755215.png", "Ver Imagen")</f>
        <v>Ver Imagen</v>
      </c>
      <c r="P3494" t="str">
        <f>HYPERLINK("NO\A-490\A-490__460.png", "Ver Imagen")</f>
        <v>Ver Imagen</v>
      </c>
    </row>
    <row r="3495" spans="1:16" x14ac:dyDescent="0.25">
      <c r="A3495">
        <v>3030</v>
      </c>
      <c r="B3495" t="s">
        <v>6071</v>
      </c>
      <c r="C3495">
        <v>37.487772406300003</v>
      </c>
      <c r="D3495">
        <v>-7.2448289483800004</v>
      </c>
      <c r="E3495">
        <v>2</v>
      </c>
      <c r="F3495">
        <v>3</v>
      </c>
      <c r="G3495">
        <v>3</v>
      </c>
      <c r="J3495" t="s">
        <v>15</v>
      </c>
      <c r="K3495">
        <v>3</v>
      </c>
      <c r="L3495">
        <v>2.8610000000000002</v>
      </c>
      <c r="M3495">
        <v>0</v>
      </c>
      <c r="N3495" t="s">
        <v>10019</v>
      </c>
      <c r="O3495" t="str">
        <f>HYPERLINK("3\1\marker_137_818112.png", "Ver Imagen")</f>
        <v>Ver Imagen</v>
      </c>
      <c r="P3495" t="str">
        <f>HYPERLINK("NO\A-490\A-490__524.png", "Ver Imagen")</f>
        <v>Ver Imagen</v>
      </c>
    </row>
    <row r="3496" spans="1:16" x14ac:dyDescent="0.25">
      <c r="A3496">
        <v>3031</v>
      </c>
      <c r="B3496" t="s">
        <v>6073</v>
      </c>
      <c r="C3496">
        <v>37.273221561500002</v>
      </c>
      <c r="D3496">
        <v>-6.9913425928199997</v>
      </c>
      <c r="E3496">
        <v>3</v>
      </c>
      <c r="F3496">
        <v>3</v>
      </c>
      <c r="G3496">
        <v>4</v>
      </c>
      <c r="J3496" t="s">
        <v>15</v>
      </c>
      <c r="K3496">
        <v>3</v>
      </c>
      <c r="L3496">
        <v>3.032</v>
      </c>
      <c r="M3496">
        <v>0</v>
      </c>
      <c r="N3496" t="s">
        <v>10019</v>
      </c>
      <c r="O3496" t="str">
        <f>HYPERLINK("3\1\marker_516_821869.png", "Ver Imagen")</f>
        <v>Ver Imagen</v>
      </c>
      <c r="P3496" t="str">
        <f>HYPERLINK("SE\A-492\A-492__9.png", "Ver Imagen")</f>
        <v>Ver Imagen</v>
      </c>
    </row>
    <row r="3497" spans="1:16" x14ac:dyDescent="0.25">
      <c r="A3497">
        <v>3032</v>
      </c>
      <c r="B3497" t="s">
        <v>6075</v>
      </c>
      <c r="C3497">
        <v>37.275379645400001</v>
      </c>
      <c r="D3497">
        <v>-6.9911496443100001</v>
      </c>
      <c r="E3497">
        <v>3</v>
      </c>
      <c r="F3497">
        <v>3</v>
      </c>
      <c r="G3497">
        <v>4</v>
      </c>
      <c r="J3497" t="s">
        <v>15</v>
      </c>
      <c r="K3497">
        <v>3</v>
      </c>
      <c r="L3497">
        <v>2.5840000000000001</v>
      </c>
      <c r="M3497">
        <v>0</v>
      </c>
      <c r="N3497" t="s">
        <v>10019</v>
      </c>
      <c r="O3497" t="str">
        <f>HYPERLINK("3\1\marker_647_822021.png", "Ver Imagen")</f>
        <v>Ver Imagen</v>
      </c>
      <c r="P3497" t="str">
        <f>HYPERLINK("SE\A-492\A-492__20.png", "Ver Imagen")</f>
        <v>Ver Imagen</v>
      </c>
    </row>
    <row r="3498" spans="1:16" x14ac:dyDescent="0.25">
      <c r="A3498">
        <v>3033</v>
      </c>
      <c r="B3498" t="s">
        <v>6077</v>
      </c>
      <c r="C3498">
        <v>37.276336976499998</v>
      </c>
      <c r="D3498">
        <v>-6.9911244036199998</v>
      </c>
      <c r="E3498">
        <v>2</v>
      </c>
      <c r="F3498">
        <v>3</v>
      </c>
      <c r="G3498">
        <v>3</v>
      </c>
      <c r="J3498" t="s">
        <v>15</v>
      </c>
      <c r="K3498">
        <v>3</v>
      </c>
      <c r="L3498">
        <v>3.081</v>
      </c>
      <c r="M3498">
        <v>0</v>
      </c>
      <c r="N3498" t="s">
        <v>10019</v>
      </c>
      <c r="O3498" t="str">
        <f>HYPERLINK("3\1\marker_420_822235.png", "Ver Imagen")</f>
        <v>Ver Imagen</v>
      </c>
      <c r="P3498" t="str">
        <f>HYPERLINK("SE\A-492\A-492__26.png", "Ver Imagen")</f>
        <v>Ver Imagen</v>
      </c>
    </row>
    <row r="3499" spans="1:16" x14ac:dyDescent="0.25">
      <c r="A3499">
        <v>3035</v>
      </c>
      <c r="B3499" t="s">
        <v>6081</v>
      </c>
      <c r="C3499">
        <v>37.276703674300002</v>
      </c>
      <c r="D3499">
        <v>-7.0131026703700003</v>
      </c>
      <c r="E3499">
        <v>2</v>
      </c>
      <c r="F3499">
        <v>3</v>
      </c>
      <c r="G3499">
        <v>3</v>
      </c>
      <c r="J3499" t="s">
        <v>15</v>
      </c>
      <c r="K3499">
        <v>3</v>
      </c>
      <c r="L3499">
        <v>2.9790000000000001</v>
      </c>
      <c r="M3499">
        <v>0</v>
      </c>
      <c r="N3499" t="s">
        <v>10019</v>
      </c>
      <c r="O3499" t="str">
        <f>HYPERLINK("3\1\marker_685_824502.png", "Ver Imagen")</f>
        <v>Ver Imagen</v>
      </c>
      <c r="P3499" t="str">
        <f>HYPERLINK("SE\A-492\A-492__127.png", "Ver Imagen")</f>
        <v>Ver Imagen</v>
      </c>
    </row>
    <row r="3500" spans="1:16" x14ac:dyDescent="0.25">
      <c r="A3500">
        <v>3037</v>
      </c>
      <c r="B3500" t="s">
        <v>6085</v>
      </c>
      <c r="C3500">
        <v>37.316178234299997</v>
      </c>
      <c r="D3500">
        <v>-7.0693596149599998</v>
      </c>
      <c r="E3500">
        <v>3</v>
      </c>
      <c r="F3500">
        <v>3</v>
      </c>
      <c r="G3500">
        <v>4</v>
      </c>
      <c r="J3500" t="s">
        <v>15</v>
      </c>
      <c r="K3500">
        <v>3</v>
      </c>
      <c r="L3500">
        <v>2.7730000000000001</v>
      </c>
      <c r="M3500">
        <v>0</v>
      </c>
      <c r="N3500" t="s">
        <v>10019</v>
      </c>
      <c r="O3500" t="str">
        <f>HYPERLINK("3\1\marker_488_839940.png", "Ver Imagen")</f>
        <v>Ver Imagen</v>
      </c>
      <c r="P3500" t="str">
        <f>HYPERLINK("SE\A-492\A-492__461.png", "Ver Imagen")</f>
        <v>Ver Imagen</v>
      </c>
    </row>
    <row r="3501" spans="1:16" x14ac:dyDescent="0.25">
      <c r="A3501">
        <v>3038</v>
      </c>
      <c r="B3501" t="s">
        <v>6087</v>
      </c>
      <c r="C3501">
        <v>37.316511183700001</v>
      </c>
      <c r="D3501">
        <v>-7.0700163630299997</v>
      </c>
      <c r="E3501">
        <v>3</v>
      </c>
      <c r="F3501">
        <v>3</v>
      </c>
      <c r="G3501">
        <v>4</v>
      </c>
      <c r="J3501" t="s">
        <v>15</v>
      </c>
      <c r="K3501">
        <v>3</v>
      </c>
      <c r="L3501">
        <v>2.9289999999999998</v>
      </c>
      <c r="M3501">
        <v>0</v>
      </c>
      <c r="N3501" t="s">
        <v>10019</v>
      </c>
      <c r="O3501" t="str">
        <f>HYPERLINK("3\1\marker_449_839971.png", "Ver Imagen")</f>
        <v>Ver Imagen</v>
      </c>
      <c r="P3501" t="str">
        <f>HYPERLINK("SE\A-492\A-492__464.png", "Ver Imagen")</f>
        <v>Ver Imagen</v>
      </c>
    </row>
    <row r="3502" spans="1:16" x14ac:dyDescent="0.25">
      <c r="A3502">
        <v>3040</v>
      </c>
      <c r="B3502" t="s">
        <v>6091</v>
      </c>
      <c r="C3502">
        <v>37.446854455599997</v>
      </c>
      <c r="D3502">
        <v>-7.1071662045600004</v>
      </c>
      <c r="E3502">
        <v>2</v>
      </c>
      <c r="F3502">
        <v>3</v>
      </c>
      <c r="G3502">
        <v>3</v>
      </c>
      <c r="J3502" t="s">
        <v>15</v>
      </c>
      <c r="K3502">
        <v>3</v>
      </c>
      <c r="L3502">
        <v>2.9889999999999999</v>
      </c>
      <c r="M3502">
        <v>0</v>
      </c>
      <c r="N3502" t="s">
        <v>10019</v>
      </c>
      <c r="O3502" t="str">
        <f>HYPERLINK("3\1\marker_523_937064.png", "Ver Imagen")</f>
        <v>Ver Imagen</v>
      </c>
      <c r="P3502" t="str">
        <f>HYPERLINK("NE\A-495R\A-495R__5.png", "Ver Imagen")</f>
        <v>Ver Imagen</v>
      </c>
    </row>
    <row r="3503" spans="1:16" x14ac:dyDescent="0.25">
      <c r="A3503">
        <v>3041</v>
      </c>
      <c r="B3503" t="s">
        <v>6093</v>
      </c>
      <c r="C3503">
        <v>37.268905995099999</v>
      </c>
      <c r="D3503">
        <v>-6.9755077269700001</v>
      </c>
      <c r="E3503">
        <v>3</v>
      </c>
      <c r="F3503">
        <v>3</v>
      </c>
      <c r="G3503">
        <v>4</v>
      </c>
      <c r="J3503" t="s">
        <v>15</v>
      </c>
      <c r="K3503">
        <v>3</v>
      </c>
      <c r="L3503">
        <v>2.7</v>
      </c>
      <c r="M3503">
        <v>0</v>
      </c>
      <c r="N3503" t="s">
        <v>10019</v>
      </c>
      <c r="O3503" t="str">
        <f>HYPERLINK("3\1\marker_802_937930.png", "Ver Imagen")</f>
        <v>Ver Imagen</v>
      </c>
      <c r="P3503" t="str">
        <f>HYPERLINK("SE\A-497\A-497__79.png", "Ver Imagen")</f>
        <v>Ver Imagen</v>
      </c>
    </row>
    <row r="3504" spans="1:16" x14ac:dyDescent="0.25">
      <c r="A3504">
        <v>3042</v>
      </c>
      <c r="B3504" t="s">
        <v>6095</v>
      </c>
      <c r="C3504">
        <v>37.268734260199999</v>
      </c>
      <c r="D3504">
        <v>-6.9747675231499997</v>
      </c>
      <c r="E3504">
        <v>3</v>
      </c>
      <c r="F3504">
        <v>3</v>
      </c>
      <c r="G3504">
        <v>4</v>
      </c>
      <c r="J3504" t="s">
        <v>15</v>
      </c>
      <c r="K3504">
        <v>3</v>
      </c>
      <c r="L3504">
        <v>3.226</v>
      </c>
      <c r="M3504">
        <v>0</v>
      </c>
      <c r="N3504" t="s">
        <v>10018</v>
      </c>
      <c r="O3504" t="str">
        <f>HYPERLINK("3\1\marker_968_937979.png", "Ver Imagen")</f>
        <v>Ver Imagen</v>
      </c>
      <c r="P3504" t="str">
        <f>HYPERLINK("SE\A-497\A-497__76.png", "Ver Imagen")</f>
        <v>Ver Imagen</v>
      </c>
    </row>
    <row r="3505" spans="1:16" x14ac:dyDescent="0.25">
      <c r="A3505">
        <v>3043</v>
      </c>
      <c r="B3505" t="s">
        <v>6097</v>
      </c>
      <c r="C3505">
        <v>37.268531533299999</v>
      </c>
      <c r="D3505">
        <v>-6.9738405700400001</v>
      </c>
      <c r="E3505">
        <v>2</v>
      </c>
      <c r="F3505">
        <v>3</v>
      </c>
      <c r="G3505">
        <v>3</v>
      </c>
      <c r="J3505" t="s">
        <v>15</v>
      </c>
      <c r="K3505">
        <v>3</v>
      </c>
      <c r="L3505">
        <v>3.1789999999999998</v>
      </c>
      <c r="M3505">
        <v>0</v>
      </c>
      <c r="N3505" t="s">
        <v>10019</v>
      </c>
      <c r="O3505" t="str">
        <f>HYPERLINK("3\1\marker_949_938025.png", "Ver Imagen")</f>
        <v>Ver Imagen</v>
      </c>
      <c r="P3505" t="str">
        <f>HYPERLINK("SE\A-497\A-497__72.png", "Ver Imagen")</f>
        <v>Ver Imagen</v>
      </c>
    </row>
    <row r="3506" spans="1:16" x14ac:dyDescent="0.25">
      <c r="A3506">
        <v>3044</v>
      </c>
      <c r="B3506" t="s">
        <v>6099</v>
      </c>
      <c r="C3506">
        <v>37.267934135099999</v>
      </c>
      <c r="D3506">
        <v>-6.97031000543</v>
      </c>
      <c r="E3506">
        <v>2</v>
      </c>
      <c r="F3506">
        <v>3</v>
      </c>
      <c r="G3506">
        <v>3</v>
      </c>
      <c r="J3506" t="s">
        <v>15</v>
      </c>
      <c r="K3506">
        <v>3</v>
      </c>
      <c r="L3506">
        <v>3.351</v>
      </c>
      <c r="M3506">
        <v>0</v>
      </c>
      <c r="N3506" t="s">
        <v>10019</v>
      </c>
      <c r="O3506" t="str">
        <f>HYPERLINK("3\1\marker_570_938284.png", "Ver Imagen")</f>
        <v>Ver Imagen</v>
      </c>
      <c r="P3506" t="str">
        <f>HYPERLINK("SE\A-497\A-497__58.png", "Ver Imagen")</f>
        <v>Ver Imagen</v>
      </c>
    </row>
    <row r="3507" spans="1:16" x14ac:dyDescent="0.25">
      <c r="A3507">
        <v>3045</v>
      </c>
      <c r="B3507" t="s">
        <v>6101</v>
      </c>
      <c r="C3507">
        <v>37.267906073200002</v>
      </c>
      <c r="D3507">
        <v>-6.9700915117399997</v>
      </c>
      <c r="E3507">
        <v>2</v>
      </c>
      <c r="F3507">
        <v>3</v>
      </c>
      <c r="G3507">
        <v>3</v>
      </c>
      <c r="J3507" t="s">
        <v>15</v>
      </c>
      <c r="K3507">
        <v>3</v>
      </c>
      <c r="L3507">
        <v>2.968</v>
      </c>
      <c r="M3507">
        <v>0</v>
      </c>
      <c r="N3507" t="s">
        <v>10019</v>
      </c>
      <c r="O3507" t="str">
        <f>HYPERLINK("3\1\marker_960_938295.png", "Ver Imagen")</f>
        <v>Ver Imagen</v>
      </c>
      <c r="P3507" t="str">
        <f>HYPERLINK("SE\A-497\A-497__57.png", "Ver Imagen")</f>
        <v>Ver Imagen</v>
      </c>
    </row>
    <row r="3508" spans="1:16" x14ac:dyDescent="0.25">
      <c r="A3508">
        <v>3046</v>
      </c>
      <c r="B3508" t="s">
        <v>6103</v>
      </c>
      <c r="C3508">
        <v>37.267809129900002</v>
      </c>
      <c r="D3508">
        <v>-6.9692800718700001</v>
      </c>
      <c r="E3508">
        <v>2</v>
      </c>
      <c r="F3508">
        <v>3</v>
      </c>
      <c r="G3508">
        <v>3</v>
      </c>
      <c r="J3508" t="s">
        <v>15</v>
      </c>
      <c r="K3508">
        <v>3</v>
      </c>
      <c r="L3508">
        <v>2.9689999999999999</v>
      </c>
      <c r="M3508">
        <v>0</v>
      </c>
      <c r="N3508" t="s">
        <v>10019</v>
      </c>
      <c r="O3508" t="str">
        <f>HYPERLINK("3\1\marker_670_938340.png", "Ver Imagen")</f>
        <v>Ver Imagen</v>
      </c>
      <c r="P3508" t="str">
        <f>HYPERLINK("SE\A-497\A-497__54.png", "Ver Imagen")</f>
        <v>Ver Imagen</v>
      </c>
    </row>
    <row r="3509" spans="1:16" x14ac:dyDescent="0.25">
      <c r="A3509">
        <v>3047</v>
      </c>
      <c r="B3509" t="s">
        <v>6105</v>
      </c>
      <c r="C3509">
        <v>37.267733807799999</v>
      </c>
      <c r="D3509">
        <v>-6.9685310670799998</v>
      </c>
      <c r="E3509">
        <v>2</v>
      </c>
      <c r="F3509">
        <v>3</v>
      </c>
      <c r="G3509">
        <v>3</v>
      </c>
      <c r="J3509" t="s">
        <v>15</v>
      </c>
      <c r="K3509">
        <v>3</v>
      </c>
      <c r="L3509">
        <v>3.0739999999999998</v>
      </c>
      <c r="M3509">
        <v>0</v>
      </c>
      <c r="N3509" t="s">
        <v>10019</v>
      </c>
      <c r="O3509" t="str">
        <f>HYPERLINK("3\1\marker_801_938376.png", "Ver Imagen")</f>
        <v>Ver Imagen</v>
      </c>
      <c r="P3509" t="str">
        <f>HYPERLINK("SE\A-497\A-497__51.png", "Ver Imagen")</f>
        <v>Ver Imagen</v>
      </c>
    </row>
    <row r="3510" spans="1:16" x14ac:dyDescent="0.25">
      <c r="A3510">
        <v>3048</v>
      </c>
      <c r="B3510" t="s">
        <v>6107</v>
      </c>
      <c r="C3510">
        <v>37.267692391899999</v>
      </c>
      <c r="D3510">
        <v>-6.9680662087499998</v>
      </c>
      <c r="E3510">
        <v>2</v>
      </c>
      <c r="F3510">
        <v>3</v>
      </c>
      <c r="G3510">
        <v>3</v>
      </c>
      <c r="J3510" t="s">
        <v>15</v>
      </c>
      <c r="K3510">
        <v>3</v>
      </c>
      <c r="L3510">
        <v>3.0960000000000001</v>
      </c>
      <c r="M3510">
        <v>0</v>
      </c>
      <c r="N3510" t="s">
        <v>10019</v>
      </c>
      <c r="O3510" t="str">
        <f>HYPERLINK("3\1\marker_735_938406.png", "Ver Imagen")</f>
        <v>Ver Imagen</v>
      </c>
      <c r="P3510" t="str">
        <f>HYPERLINK("SE\A-497\A-497__49.png", "Ver Imagen")</f>
        <v>Ver Imagen</v>
      </c>
    </row>
    <row r="3511" spans="1:16" x14ac:dyDescent="0.25">
      <c r="A3511">
        <v>3049</v>
      </c>
      <c r="B3511" t="s">
        <v>6109</v>
      </c>
      <c r="C3511">
        <v>37.2676364139</v>
      </c>
      <c r="D3511">
        <v>-6.9673345801200002</v>
      </c>
      <c r="E3511">
        <v>2</v>
      </c>
      <c r="F3511">
        <v>3</v>
      </c>
      <c r="G3511">
        <v>3</v>
      </c>
      <c r="J3511" t="s">
        <v>15</v>
      </c>
      <c r="K3511">
        <v>3</v>
      </c>
      <c r="L3511">
        <v>3.141</v>
      </c>
      <c r="M3511">
        <v>0</v>
      </c>
      <c r="N3511" t="s">
        <v>10019</v>
      </c>
      <c r="O3511" t="str">
        <f>HYPERLINK("3\1\marker_499_938439.png", "Ver Imagen")</f>
        <v>Ver Imagen</v>
      </c>
      <c r="P3511" t="str">
        <f>HYPERLINK("SE\A-497\A-497__46.png", "Ver Imagen")</f>
        <v>Ver Imagen</v>
      </c>
    </row>
    <row r="3512" spans="1:16" x14ac:dyDescent="0.25">
      <c r="A3512">
        <v>3050</v>
      </c>
      <c r="B3512" t="s">
        <v>6111</v>
      </c>
      <c r="C3512">
        <v>37.267619342800003</v>
      </c>
      <c r="D3512">
        <v>-6.9670607164499998</v>
      </c>
      <c r="E3512">
        <v>2</v>
      </c>
      <c r="F3512">
        <v>3</v>
      </c>
      <c r="G3512">
        <v>3</v>
      </c>
      <c r="J3512" t="s">
        <v>15</v>
      </c>
      <c r="K3512">
        <v>3</v>
      </c>
      <c r="L3512">
        <v>2.9590000000000001</v>
      </c>
      <c r="M3512">
        <v>0</v>
      </c>
      <c r="N3512" t="s">
        <v>10019</v>
      </c>
      <c r="O3512" t="str">
        <f>HYPERLINK("3\1\marker_658_938449.png", "Ver Imagen")</f>
        <v>Ver Imagen</v>
      </c>
      <c r="P3512" t="str">
        <f>HYPERLINK("SE\A-497\A-497__45.png", "Ver Imagen")</f>
        <v>Ver Imagen</v>
      </c>
    </row>
    <row r="3513" spans="1:16" x14ac:dyDescent="0.25">
      <c r="A3513">
        <v>3051</v>
      </c>
      <c r="B3513" t="s">
        <v>6113</v>
      </c>
      <c r="C3513">
        <v>37.267579004600002</v>
      </c>
      <c r="D3513">
        <v>-6.9662742793900003</v>
      </c>
      <c r="E3513">
        <v>2</v>
      </c>
      <c r="F3513">
        <v>3</v>
      </c>
      <c r="G3513">
        <v>3</v>
      </c>
      <c r="J3513" t="s">
        <v>15</v>
      </c>
      <c r="K3513">
        <v>3</v>
      </c>
      <c r="L3513">
        <v>2.9780000000000002</v>
      </c>
      <c r="M3513">
        <v>0</v>
      </c>
      <c r="N3513" t="s">
        <v>10019</v>
      </c>
      <c r="O3513" t="str">
        <f>HYPERLINK("3\1\marker_166_940255.png", "Ver Imagen")</f>
        <v>Ver Imagen</v>
      </c>
      <c r="P3513" t="str">
        <f>HYPERLINK("SE\A-497\A-497__42.png", "Ver Imagen")</f>
        <v>Ver Imagen</v>
      </c>
    </row>
    <row r="3514" spans="1:16" x14ac:dyDescent="0.25">
      <c r="A3514">
        <v>3052</v>
      </c>
      <c r="B3514" t="s">
        <v>6115</v>
      </c>
      <c r="C3514">
        <v>37.267546107400001</v>
      </c>
      <c r="D3514">
        <v>-6.9652955510199996</v>
      </c>
      <c r="E3514">
        <v>2</v>
      </c>
      <c r="F3514">
        <v>3</v>
      </c>
      <c r="G3514">
        <v>3</v>
      </c>
      <c r="J3514" t="s">
        <v>15</v>
      </c>
      <c r="K3514">
        <v>3</v>
      </c>
      <c r="L3514">
        <v>3.2989999999999999</v>
      </c>
      <c r="M3514">
        <v>0</v>
      </c>
      <c r="N3514" t="s">
        <v>10019</v>
      </c>
      <c r="O3514" t="str">
        <f>HYPERLINK("3\1\marker_234_940302.png", "Ver Imagen")</f>
        <v>Ver Imagen</v>
      </c>
      <c r="P3514" t="str">
        <f>HYPERLINK("SE\A-497\A-497__38.png", "Ver Imagen")</f>
        <v>Ver Imagen</v>
      </c>
    </row>
    <row r="3515" spans="1:16" x14ac:dyDescent="0.25">
      <c r="A3515">
        <v>3053</v>
      </c>
      <c r="B3515" t="s">
        <v>6117</v>
      </c>
      <c r="C3515">
        <v>37.267524944999998</v>
      </c>
      <c r="D3515">
        <v>-6.9642521329499996</v>
      </c>
      <c r="E3515">
        <v>3</v>
      </c>
      <c r="F3515">
        <v>3</v>
      </c>
      <c r="G3515">
        <v>4</v>
      </c>
      <c r="J3515" t="s">
        <v>15</v>
      </c>
      <c r="K3515">
        <v>3</v>
      </c>
      <c r="L3515">
        <v>2.923</v>
      </c>
      <c r="M3515">
        <v>0</v>
      </c>
      <c r="N3515" t="s">
        <v>10019</v>
      </c>
      <c r="O3515" t="str">
        <f>HYPERLINK("3\1\marker_306_940557.png", "Ver Imagen")</f>
        <v>Ver Imagen</v>
      </c>
      <c r="P3515" t="str">
        <f>HYPERLINK("SE\A-497\A-497__34.png", "Ver Imagen")</f>
        <v>Ver Imagen</v>
      </c>
    </row>
    <row r="3516" spans="1:16" x14ac:dyDescent="0.25">
      <c r="A3516">
        <v>3054</v>
      </c>
      <c r="B3516" t="s">
        <v>6119</v>
      </c>
      <c r="C3516">
        <v>37.267519643699998</v>
      </c>
      <c r="D3516">
        <v>-6.9639996854500001</v>
      </c>
      <c r="E3516">
        <v>2</v>
      </c>
      <c r="F3516">
        <v>3</v>
      </c>
      <c r="G3516">
        <v>3</v>
      </c>
      <c r="J3516" t="s">
        <v>15</v>
      </c>
      <c r="K3516">
        <v>3</v>
      </c>
      <c r="L3516">
        <v>3.1549999999999998</v>
      </c>
      <c r="M3516">
        <v>0</v>
      </c>
      <c r="N3516" t="s">
        <v>10018</v>
      </c>
      <c r="O3516" t="str">
        <f>HYPERLINK("3\1\marker_393_940568.png", "Ver Imagen")</f>
        <v>Ver Imagen</v>
      </c>
      <c r="P3516" t="str">
        <f>HYPERLINK("SE\A-497\A-497__33.png", "Ver Imagen")</f>
        <v>Ver Imagen</v>
      </c>
    </row>
    <row r="3517" spans="1:16" x14ac:dyDescent="0.25">
      <c r="A3517">
        <v>3055</v>
      </c>
      <c r="B3517" t="s">
        <v>6121</v>
      </c>
      <c r="C3517">
        <v>37.267510236200003</v>
      </c>
      <c r="D3517">
        <v>-6.9635126541799997</v>
      </c>
      <c r="E3517">
        <v>3</v>
      </c>
      <c r="F3517">
        <v>3</v>
      </c>
      <c r="G3517">
        <v>4</v>
      </c>
      <c r="J3517" t="s">
        <v>15</v>
      </c>
      <c r="K3517">
        <v>3</v>
      </c>
      <c r="L3517">
        <v>2.911</v>
      </c>
      <c r="M3517">
        <v>0</v>
      </c>
      <c r="N3517" t="s">
        <v>10019</v>
      </c>
      <c r="O3517" t="str">
        <f>HYPERLINK("3\1\marker_811_940683.png", "Ver Imagen")</f>
        <v>Ver Imagen</v>
      </c>
      <c r="P3517" t="str">
        <f>HYPERLINK("SE\A-497\A-497__31.png", "Ver Imagen")</f>
        <v>Ver Imagen</v>
      </c>
    </row>
    <row r="3518" spans="1:16" x14ac:dyDescent="0.25">
      <c r="A3518">
        <v>3056</v>
      </c>
      <c r="B3518" t="s">
        <v>6123</v>
      </c>
      <c r="C3518">
        <v>37.191182394199998</v>
      </c>
      <c r="D3518">
        <v>-6.9913677016799998</v>
      </c>
      <c r="E3518">
        <v>2</v>
      </c>
      <c r="F3518">
        <v>3</v>
      </c>
      <c r="G3518">
        <v>3</v>
      </c>
      <c r="J3518" t="s">
        <v>15</v>
      </c>
      <c r="K3518">
        <v>3</v>
      </c>
      <c r="L3518">
        <v>2.8010000000000002</v>
      </c>
      <c r="M3518">
        <v>0</v>
      </c>
      <c r="N3518" t="s">
        <v>10019</v>
      </c>
      <c r="O3518" t="str">
        <f>HYPERLINK("3\1\marker_842_944298.png", "Ver Imagen")</f>
        <v>Ver Imagen</v>
      </c>
      <c r="P3518" t="str">
        <f>HYPERLINK("SE\A-5050\A-5050__169.png", "Ver Imagen")</f>
        <v>Ver Imagen</v>
      </c>
    </row>
    <row r="3519" spans="1:16" x14ac:dyDescent="0.25">
      <c r="A3519">
        <v>3057</v>
      </c>
      <c r="B3519" t="s">
        <v>6125</v>
      </c>
      <c r="C3519">
        <v>37.1932924826</v>
      </c>
      <c r="D3519">
        <v>-6.9960381076699996</v>
      </c>
      <c r="E3519">
        <v>2</v>
      </c>
      <c r="F3519">
        <v>3</v>
      </c>
      <c r="G3519">
        <v>3</v>
      </c>
      <c r="J3519" t="s">
        <v>15</v>
      </c>
      <c r="K3519">
        <v>3</v>
      </c>
      <c r="L3519">
        <v>2.9</v>
      </c>
      <c r="M3519">
        <v>0</v>
      </c>
      <c r="N3519" t="s">
        <v>10019</v>
      </c>
      <c r="O3519" t="str">
        <f>HYPERLINK("3\1\marker_818_945420.png", "Ver Imagen")</f>
        <v>Ver Imagen</v>
      </c>
      <c r="P3519" t="str">
        <f>HYPERLINK("SE\A-5050\A-5050__148.png", "Ver Imagen")</f>
        <v>Ver Imagen</v>
      </c>
    </row>
    <row r="3520" spans="1:16" x14ac:dyDescent="0.25">
      <c r="A3520">
        <v>3058</v>
      </c>
      <c r="B3520" t="s">
        <v>6127</v>
      </c>
      <c r="C3520">
        <v>37.193964317099997</v>
      </c>
      <c r="D3520">
        <v>-6.9976217312899998</v>
      </c>
      <c r="E3520">
        <v>2</v>
      </c>
      <c r="F3520">
        <v>3</v>
      </c>
      <c r="G3520">
        <v>3</v>
      </c>
      <c r="J3520" t="s">
        <v>15</v>
      </c>
      <c r="K3520">
        <v>3</v>
      </c>
      <c r="L3520">
        <v>2.669</v>
      </c>
      <c r="M3520">
        <v>0</v>
      </c>
      <c r="N3520" t="s">
        <v>10019</v>
      </c>
      <c r="O3520" t="str">
        <f>HYPERLINK("3\1\marker_155_945829.png", "Ver Imagen")</f>
        <v>Ver Imagen</v>
      </c>
      <c r="P3520" t="str">
        <f>HYPERLINK("SE\A-5050\A-5050__141.png", "Ver Imagen")</f>
        <v>Ver Imagen</v>
      </c>
    </row>
    <row r="3521" spans="1:16" x14ac:dyDescent="0.25">
      <c r="A3521">
        <v>3059</v>
      </c>
      <c r="B3521" t="s">
        <v>6129</v>
      </c>
      <c r="C3521">
        <v>37.1977070895</v>
      </c>
      <c r="D3521">
        <v>-7.0065688884600004</v>
      </c>
      <c r="E3521">
        <v>2</v>
      </c>
      <c r="F3521">
        <v>3</v>
      </c>
      <c r="G3521">
        <v>3</v>
      </c>
      <c r="J3521" t="s">
        <v>15</v>
      </c>
      <c r="K3521">
        <v>3</v>
      </c>
      <c r="L3521">
        <v>3.05</v>
      </c>
      <c r="M3521">
        <v>0</v>
      </c>
      <c r="N3521" t="s">
        <v>10019</v>
      </c>
      <c r="O3521" t="str">
        <f>HYPERLINK("3\1\marker_632_946795.png", "Ver Imagen")</f>
        <v>Ver Imagen</v>
      </c>
      <c r="P3521" t="str">
        <f>HYPERLINK("SE\A-5050\A-5050__101.png", "Ver Imagen")</f>
        <v>Ver Imagen</v>
      </c>
    </row>
    <row r="3522" spans="1:16" x14ac:dyDescent="0.25">
      <c r="A3522">
        <v>3060</v>
      </c>
      <c r="B3522" t="s">
        <v>6131</v>
      </c>
      <c r="C3522">
        <v>37.199969767200002</v>
      </c>
      <c r="D3522">
        <v>-7.0107045831799999</v>
      </c>
      <c r="E3522">
        <v>3</v>
      </c>
      <c r="F3522">
        <v>3</v>
      </c>
      <c r="G3522">
        <v>4</v>
      </c>
      <c r="J3522" t="s">
        <v>15</v>
      </c>
      <c r="K3522">
        <v>3</v>
      </c>
      <c r="L3522">
        <v>2.8860000000000001</v>
      </c>
      <c r="M3522">
        <v>0</v>
      </c>
      <c r="N3522" t="s">
        <v>10019</v>
      </c>
      <c r="O3522" t="str">
        <f>HYPERLINK("3\1\marker_603_948761.png", "Ver Imagen")</f>
        <v>Ver Imagen</v>
      </c>
      <c r="P3522" t="str">
        <f>HYPERLINK("SE\A-5050\A-5050__81.png", "Ver Imagen")</f>
        <v>Ver Imagen</v>
      </c>
    </row>
    <row r="3523" spans="1:16" x14ac:dyDescent="0.25">
      <c r="A3523">
        <v>3061</v>
      </c>
      <c r="B3523" t="s">
        <v>6133</v>
      </c>
      <c r="C3523">
        <v>37.200249568700002</v>
      </c>
      <c r="D3523">
        <v>-7.0111414515500003</v>
      </c>
      <c r="E3523">
        <v>3</v>
      </c>
      <c r="F3523">
        <v>3</v>
      </c>
      <c r="G3523">
        <v>4</v>
      </c>
      <c r="J3523" t="s">
        <v>15</v>
      </c>
      <c r="K3523">
        <v>3</v>
      </c>
      <c r="L3523">
        <v>3.0510000000000002</v>
      </c>
      <c r="M3523">
        <v>0</v>
      </c>
      <c r="N3523" t="s">
        <v>10019</v>
      </c>
      <c r="O3523" t="str">
        <f>HYPERLINK("3\1\marker_518_948784.png", "Ver Imagen")</f>
        <v>Ver Imagen</v>
      </c>
      <c r="P3523" t="str">
        <f>HYPERLINK("SE\A-5050\A-5050__79.png", "Ver Imagen")</f>
        <v>Ver Imagen</v>
      </c>
    </row>
    <row r="3524" spans="1:16" x14ac:dyDescent="0.25">
      <c r="A3524">
        <v>3062</v>
      </c>
      <c r="B3524" t="s">
        <v>6135</v>
      </c>
      <c r="C3524">
        <v>37.207580591599999</v>
      </c>
      <c r="D3524">
        <v>-7.0222369320900002</v>
      </c>
      <c r="E3524">
        <v>3</v>
      </c>
      <c r="F3524">
        <v>3</v>
      </c>
      <c r="G3524">
        <v>4</v>
      </c>
      <c r="J3524" t="s">
        <v>15</v>
      </c>
      <c r="K3524">
        <v>3</v>
      </c>
      <c r="L3524">
        <v>3.0150000000000001</v>
      </c>
      <c r="M3524">
        <v>0</v>
      </c>
      <c r="N3524" t="s">
        <v>10019</v>
      </c>
      <c r="O3524" t="str">
        <f>HYPERLINK("3\1\marker_720_949439.png", "Ver Imagen")</f>
        <v>Ver Imagen</v>
      </c>
      <c r="P3524" t="str">
        <f>HYPERLINK("SE\A-5050\A-5050__22.png", "Ver Imagen")</f>
        <v>Ver Imagen</v>
      </c>
    </row>
    <row r="3525" spans="1:16" x14ac:dyDescent="0.25">
      <c r="A3525">
        <v>3063</v>
      </c>
      <c r="B3525" t="s">
        <v>6137</v>
      </c>
      <c r="C3525">
        <v>37.218384341499998</v>
      </c>
      <c r="D3525">
        <v>-7.1244703786399999</v>
      </c>
      <c r="E3525">
        <v>2</v>
      </c>
      <c r="F3525">
        <v>3</v>
      </c>
      <c r="G3525">
        <v>3</v>
      </c>
      <c r="J3525" t="s">
        <v>15</v>
      </c>
      <c r="K3525">
        <v>3</v>
      </c>
      <c r="L3525">
        <v>2.7679999999999998</v>
      </c>
      <c r="M3525">
        <v>0</v>
      </c>
      <c r="N3525" t="s">
        <v>10019</v>
      </c>
      <c r="O3525" t="str">
        <f>HYPERLINK("3\1\marker_310_949930.png", "Ver Imagen")</f>
        <v>Ver Imagen</v>
      </c>
      <c r="P3525" t="str">
        <f>HYPERLINK("SO\A-5052\A-5052__6.png", "Ver Imagen")</f>
        <v>Ver Imagen</v>
      </c>
    </row>
    <row r="3526" spans="1:16" x14ac:dyDescent="0.25">
      <c r="A3526">
        <v>3064</v>
      </c>
      <c r="B3526" t="s">
        <v>6139</v>
      </c>
      <c r="C3526">
        <v>37.218346566299999</v>
      </c>
      <c r="D3526">
        <v>-7.1237280009499999</v>
      </c>
      <c r="E3526">
        <v>3</v>
      </c>
      <c r="F3526">
        <v>3</v>
      </c>
      <c r="G3526">
        <v>4</v>
      </c>
      <c r="J3526" t="s">
        <v>15</v>
      </c>
      <c r="K3526">
        <v>3</v>
      </c>
      <c r="L3526">
        <v>3.04</v>
      </c>
      <c r="M3526">
        <v>0</v>
      </c>
      <c r="N3526" t="s">
        <v>10019</v>
      </c>
      <c r="O3526" t="str">
        <f>HYPERLINK("3\1\marker_970_950011.png", "Ver Imagen")</f>
        <v>Ver Imagen</v>
      </c>
      <c r="P3526" t="str">
        <f>HYPERLINK("SO\A-5052\A-5052__9.png", "Ver Imagen")</f>
        <v>Ver Imagen</v>
      </c>
    </row>
    <row r="3527" spans="1:16" x14ac:dyDescent="0.25">
      <c r="A3527">
        <v>3065</v>
      </c>
      <c r="B3527" t="s">
        <v>6141</v>
      </c>
      <c r="C3527">
        <v>37.218062607299998</v>
      </c>
      <c r="D3527">
        <v>-7.1224930077800002</v>
      </c>
      <c r="E3527">
        <v>2</v>
      </c>
      <c r="F3527">
        <v>3</v>
      </c>
      <c r="G3527">
        <v>3</v>
      </c>
      <c r="J3527" t="s">
        <v>15</v>
      </c>
      <c r="K3527">
        <v>3</v>
      </c>
      <c r="L3527">
        <v>2.8740000000000001</v>
      </c>
      <c r="M3527">
        <v>0</v>
      </c>
      <c r="N3527" t="s">
        <v>10019</v>
      </c>
      <c r="O3527" t="str">
        <f>HYPERLINK("3\1\marker_747_950145.png", "Ver Imagen")</f>
        <v>Ver Imagen</v>
      </c>
      <c r="P3527" t="str">
        <f>HYPERLINK("SO\A-5052\A-5052__14.png", "Ver Imagen")</f>
        <v>Ver Imagen</v>
      </c>
    </row>
    <row r="3528" spans="1:16" x14ac:dyDescent="0.25">
      <c r="A3528">
        <v>3066</v>
      </c>
      <c r="B3528" t="s">
        <v>6143</v>
      </c>
      <c r="C3528">
        <v>37.2176988063</v>
      </c>
      <c r="D3528">
        <v>-7.1154973301600002</v>
      </c>
      <c r="E3528">
        <v>3</v>
      </c>
      <c r="F3528">
        <v>3</v>
      </c>
      <c r="G3528">
        <v>2</v>
      </c>
      <c r="J3528" t="s">
        <v>15</v>
      </c>
      <c r="K3528">
        <v>3</v>
      </c>
      <c r="L3528">
        <v>2.7549999999999999</v>
      </c>
      <c r="M3528">
        <v>0</v>
      </c>
      <c r="N3528" t="s">
        <v>10019</v>
      </c>
      <c r="O3528" t="str">
        <f>HYPERLINK("3\1\marker_833_956832.png", "Ver Imagen")</f>
        <v>Ver Imagen</v>
      </c>
      <c r="P3528" t="str">
        <f>HYPERLINK("SO\A-5052\A-5052__42.png", "Ver Imagen")</f>
        <v>Ver Imagen</v>
      </c>
    </row>
    <row r="3529" spans="1:16" x14ac:dyDescent="0.25">
      <c r="A3529">
        <v>3067</v>
      </c>
      <c r="B3529" t="s">
        <v>6145</v>
      </c>
      <c r="C3529">
        <v>37.217645398199998</v>
      </c>
      <c r="D3529">
        <v>-7.1094557709300004</v>
      </c>
      <c r="E3529">
        <v>2</v>
      </c>
      <c r="F3529">
        <v>3</v>
      </c>
      <c r="G3529">
        <v>3</v>
      </c>
      <c r="J3529" t="s">
        <v>15</v>
      </c>
      <c r="K3529">
        <v>3</v>
      </c>
      <c r="L3529">
        <v>2.7269999999999999</v>
      </c>
      <c r="M3529">
        <v>0</v>
      </c>
      <c r="N3529" t="s">
        <v>10019</v>
      </c>
      <c r="O3529" t="str">
        <f>HYPERLINK("3\1\marker_187_957129.png", "Ver Imagen")</f>
        <v>Ver Imagen</v>
      </c>
      <c r="P3529" t="str">
        <f>HYPERLINK("SO\A-5052\A-5052__66.png", "Ver Imagen")</f>
        <v>Ver Imagen</v>
      </c>
    </row>
    <row r="3530" spans="1:16" x14ac:dyDescent="0.25">
      <c r="A3530">
        <v>3068</v>
      </c>
      <c r="B3530" t="s">
        <v>6147</v>
      </c>
      <c r="C3530">
        <v>37.216609273000003</v>
      </c>
      <c r="D3530">
        <v>-7.0934114730699998</v>
      </c>
      <c r="E3530">
        <v>2</v>
      </c>
      <c r="F3530">
        <v>3</v>
      </c>
      <c r="G3530">
        <v>3</v>
      </c>
      <c r="J3530" t="s">
        <v>15</v>
      </c>
      <c r="K3530">
        <v>3</v>
      </c>
      <c r="L3530">
        <v>3.1709999999999998</v>
      </c>
      <c r="M3530">
        <v>0</v>
      </c>
      <c r="N3530" t="s">
        <v>10019</v>
      </c>
      <c r="O3530" t="str">
        <f>HYPERLINK("3\1\marker_355_958109.png", "Ver Imagen")</f>
        <v>Ver Imagen</v>
      </c>
      <c r="P3530" t="str">
        <f>HYPERLINK("SE\A-5052\A-5052__130.png", "Ver Imagen")</f>
        <v>Ver Imagen</v>
      </c>
    </row>
    <row r="3531" spans="1:16" x14ac:dyDescent="0.25">
      <c r="A3531">
        <v>3068</v>
      </c>
      <c r="B3531" t="s">
        <v>6147</v>
      </c>
      <c r="C3531">
        <v>37.216609273000003</v>
      </c>
      <c r="D3531">
        <v>-7.0934114730699998</v>
      </c>
      <c r="E3531">
        <v>2</v>
      </c>
      <c r="F3531">
        <v>3</v>
      </c>
      <c r="G3531">
        <v>3</v>
      </c>
      <c r="J3531" t="s">
        <v>15</v>
      </c>
      <c r="K3531">
        <v>3</v>
      </c>
      <c r="L3531">
        <v>3.2610000000000001</v>
      </c>
      <c r="M3531">
        <v>0</v>
      </c>
      <c r="N3531" t="s">
        <v>10019</v>
      </c>
      <c r="O3531" t="str">
        <f>HYPERLINK("3\1\marker_355_958109.png", "Ver Imagen")</f>
        <v>Ver Imagen</v>
      </c>
      <c r="P3531" t="str">
        <f>HYPERLINK("SO\A-5052\A-5052__130.png", "Ver Imagen")</f>
        <v>Ver Imagen</v>
      </c>
    </row>
    <row r="3532" spans="1:16" x14ac:dyDescent="0.25">
      <c r="A3532">
        <v>3069</v>
      </c>
      <c r="B3532" t="s">
        <v>6149</v>
      </c>
      <c r="C3532">
        <v>37.216377036499999</v>
      </c>
      <c r="D3532">
        <v>-7.0918932248399997</v>
      </c>
      <c r="E3532">
        <v>2</v>
      </c>
      <c r="F3532">
        <v>3</v>
      </c>
      <c r="G3532">
        <v>3</v>
      </c>
      <c r="J3532" t="s">
        <v>15</v>
      </c>
      <c r="K3532">
        <v>3</v>
      </c>
      <c r="L3532">
        <v>3.048</v>
      </c>
      <c r="M3532">
        <v>0</v>
      </c>
      <c r="N3532" t="s">
        <v>10018</v>
      </c>
      <c r="O3532" t="str">
        <f>HYPERLINK("3\1\marker_825_958175.png", "Ver Imagen")</f>
        <v>Ver Imagen</v>
      </c>
      <c r="P3532" t="str">
        <f>HYPERLINK("SE\A-5052\A-5052__136.png", "Ver Imagen")</f>
        <v>Ver Imagen</v>
      </c>
    </row>
    <row r="3533" spans="1:16" x14ac:dyDescent="0.25">
      <c r="A3533">
        <v>3070</v>
      </c>
      <c r="B3533" t="s">
        <v>6151</v>
      </c>
      <c r="C3533">
        <v>37.216338716300001</v>
      </c>
      <c r="D3533">
        <v>-7.0916497947700003</v>
      </c>
      <c r="E3533">
        <v>2</v>
      </c>
      <c r="F3533">
        <v>3</v>
      </c>
      <c r="G3533">
        <v>3</v>
      </c>
      <c r="J3533" t="s">
        <v>15</v>
      </c>
      <c r="K3533">
        <v>3</v>
      </c>
      <c r="L3533">
        <v>2.8180000000000001</v>
      </c>
      <c r="M3533">
        <v>0</v>
      </c>
      <c r="N3533" t="s">
        <v>10019</v>
      </c>
      <c r="O3533" t="str">
        <f>HYPERLINK("3\1\marker_139_958186.png", "Ver Imagen")</f>
        <v>Ver Imagen</v>
      </c>
      <c r="P3533" t="str">
        <f>HYPERLINK("SE\A-5052\A-5052__137.png", "Ver Imagen")</f>
        <v>Ver Imagen</v>
      </c>
    </row>
    <row r="3534" spans="1:16" x14ac:dyDescent="0.25">
      <c r="A3534">
        <v>3070</v>
      </c>
      <c r="B3534" t="s">
        <v>6151</v>
      </c>
      <c r="C3534">
        <v>37.216338716300001</v>
      </c>
      <c r="D3534">
        <v>-7.0916497947700003</v>
      </c>
      <c r="E3534">
        <v>2</v>
      </c>
      <c r="F3534">
        <v>3</v>
      </c>
      <c r="G3534">
        <v>3</v>
      </c>
      <c r="J3534" t="s">
        <v>15</v>
      </c>
      <c r="K3534">
        <v>3</v>
      </c>
      <c r="L3534">
        <v>2.819</v>
      </c>
      <c r="M3534">
        <v>0</v>
      </c>
      <c r="N3534" t="s">
        <v>10019</v>
      </c>
      <c r="O3534" t="str">
        <f>HYPERLINK("3\1\marker_139_958186.png", "Ver Imagen")</f>
        <v>Ver Imagen</v>
      </c>
      <c r="P3534" t="str">
        <f>HYPERLINK("SO\A-5052\A-5052__137.png", "Ver Imagen")</f>
        <v>Ver Imagen</v>
      </c>
    </row>
    <row r="3535" spans="1:16" x14ac:dyDescent="0.25">
      <c r="A3535">
        <v>3071</v>
      </c>
      <c r="B3535" t="s">
        <v>6153</v>
      </c>
      <c r="C3535">
        <v>37.216197333300002</v>
      </c>
      <c r="D3535">
        <v>-7.0841126703599997</v>
      </c>
      <c r="E3535">
        <v>2</v>
      </c>
      <c r="F3535">
        <v>3</v>
      </c>
      <c r="G3535">
        <v>3</v>
      </c>
      <c r="J3535" t="s">
        <v>15</v>
      </c>
      <c r="K3535">
        <v>3</v>
      </c>
      <c r="L3535">
        <v>2.875</v>
      </c>
      <c r="M3535">
        <v>0</v>
      </c>
      <c r="N3535" t="s">
        <v>10019</v>
      </c>
      <c r="O3535" t="str">
        <f>HYPERLINK("3\1\marker_768_958921.png", "Ver Imagen")</f>
        <v>Ver Imagen</v>
      </c>
      <c r="P3535" t="str">
        <f>HYPERLINK("SE\A-5052\A-5052__167.png", "Ver Imagen")</f>
        <v>Ver Imagen</v>
      </c>
    </row>
    <row r="3536" spans="1:16" x14ac:dyDescent="0.25">
      <c r="A3536">
        <v>3071</v>
      </c>
      <c r="B3536" t="s">
        <v>6153</v>
      </c>
      <c r="C3536">
        <v>37.216197333300002</v>
      </c>
      <c r="D3536">
        <v>-7.0841126703599997</v>
      </c>
      <c r="E3536">
        <v>2</v>
      </c>
      <c r="F3536">
        <v>3</v>
      </c>
      <c r="G3536">
        <v>3</v>
      </c>
      <c r="J3536" t="s">
        <v>15</v>
      </c>
      <c r="K3536">
        <v>3</v>
      </c>
      <c r="L3536">
        <v>2.9319999999999999</v>
      </c>
      <c r="M3536">
        <v>0</v>
      </c>
      <c r="N3536" t="s">
        <v>10019</v>
      </c>
      <c r="O3536" t="str">
        <f>HYPERLINK("3\1\marker_768_958921.png", "Ver Imagen")</f>
        <v>Ver Imagen</v>
      </c>
      <c r="P3536" t="str">
        <f>HYPERLINK("SO\A-5052\A-5052__167.png", "Ver Imagen")</f>
        <v>Ver Imagen</v>
      </c>
    </row>
    <row r="3537" spans="1:16" x14ac:dyDescent="0.25">
      <c r="A3537">
        <v>3072</v>
      </c>
      <c r="B3537" t="s">
        <v>6155</v>
      </c>
      <c r="C3537">
        <v>37.214141253699999</v>
      </c>
      <c r="D3537">
        <v>-7.07515283625</v>
      </c>
      <c r="E3537">
        <v>2</v>
      </c>
      <c r="F3537">
        <v>3</v>
      </c>
      <c r="G3537">
        <v>3</v>
      </c>
      <c r="J3537" t="s">
        <v>15</v>
      </c>
      <c r="K3537">
        <v>3</v>
      </c>
      <c r="L3537">
        <v>2.8919999999999999</v>
      </c>
      <c r="M3537">
        <v>0</v>
      </c>
      <c r="N3537" t="s">
        <v>10018</v>
      </c>
      <c r="O3537" t="str">
        <f>HYPERLINK("3\1\marker_733_959511.png", "Ver Imagen")</f>
        <v>Ver Imagen</v>
      </c>
      <c r="P3537" t="str">
        <f>HYPERLINK("SE\A-5052\A-5052__204.png", "Ver Imagen")</f>
        <v>Ver Imagen</v>
      </c>
    </row>
    <row r="3538" spans="1:16" x14ac:dyDescent="0.25">
      <c r="A3538">
        <v>3072</v>
      </c>
      <c r="B3538" t="s">
        <v>6155</v>
      </c>
      <c r="C3538">
        <v>37.214141253699999</v>
      </c>
      <c r="D3538">
        <v>-7.07515283625</v>
      </c>
      <c r="E3538">
        <v>2</v>
      </c>
      <c r="F3538">
        <v>3</v>
      </c>
      <c r="G3538">
        <v>3</v>
      </c>
      <c r="J3538" t="s">
        <v>15</v>
      </c>
      <c r="K3538">
        <v>3</v>
      </c>
      <c r="L3538">
        <v>2.847</v>
      </c>
      <c r="M3538">
        <v>0</v>
      </c>
      <c r="N3538" t="s">
        <v>10018</v>
      </c>
      <c r="O3538" t="str">
        <f>HYPERLINK("3\1\marker_733_959511.png", "Ver Imagen")</f>
        <v>Ver Imagen</v>
      </c>
      <c r="P3538" t="str">
        <f>HYPERLINK("SO\A-5052\A-5052__204.png", "Ver Imagen")</f>
        <v>Ver Imagen</v>
      </c>
    </row>
    <row r="3539" spans="1:16" x14ac:dyDescent="0.25">
      <c r="A3539">
        <v>3073</v>
      </c>
      <c r="B3539" t="s">
        <v>6157</v>
      </c>
      <c r="C3539">
        <v>37.213295516899997</v>
      </c>
      <c r="D3539">
        <v>-7.0650942016</v>
      </c>
      <c r="E3539">
        <v>2</v>
      </c>
      <c r="F3539">
        <v>3</v>
      </c>
      <c r="G3539">
        <v>3</v>
      </c>
      <c r="J3539" t="s">
        <v>15</v>
      </c>
      <c r="K3539">
        <v>3</v>
      </c>
      <c r="L3539">
        <v>2.794</v>
      </c>
      <c r="M3539">
        <v>0</v>
      </c>
      <c r="N3539" t="s">
        <v>10019</v>
      </c>
      <c r="O3539" t="str">
        <f>HYPERLINK("3\1\marker_613_959999.png", "Ver Imagen")</f>
        <v>Ver Imagen</v>
      </c>
      <c r="P3539" t="str">
        <f>HYPERLINK("SE\A-5052\A-5052__244.png", "Ver Imagen")</f>
        <v>Ver Imagen</v>
      </c>
    </row>
    <row r="3540" spans="1:16" x14ac:dyDescent="0.25">
      <c r="A3540">
        <v>3074</v>
      </c>
      <c r="B3540" t="s">
        <v>6159</v>
      </c>
      <c r="C3540">
        <v>37.210812026399999</v>
      </c>
      <c r="D3540">
        <v>-7.0533065366800001</v>
      </c>
      <c r="E3540">
        <v>3</v>
      </c>
      <c r="F3540">
        <v>3</v>
      </c>
      <c r="G3540">
        <v>4</v>
      </c>
      <c r="J3540" t="s">
        <v>15</v>
      </c>
      <c r="K3540">
        <v>3</v>
      </c>
      <c r="L3540">
        <v>2.84</v>
      </c>
      <c r="M3540">
        <v>0</v>
      </c>
      <c r="N3540" t="s">
        <v>10019</v>
      </c>
      <c r="O3540" t="str">
        <f>HYPERLINK("3\1\marker_125_960742.png", "Ver Imagen")</f>
        <v>Ver Imagen</v>
      </c>
      <c r="P3540" t="str">
        <f>HYPERLINK("SE\A-5052\A-5052__293.png", "Ver Imagen")</f>
        <v>Ver Imagen</v>
      </c>
    </row>
    <row r="3541" spans="1:16" x14ac:dyDescent="0.25">
      <c r="A3541">
        <v>3075</v>
      </c>
      <c r="B3541" t="s">
        <v>6161</v>
      </c>
      <c r="C3541">
        <v>37.211403091599998</v>
      </c>
      <c r="D3541">
        <v>-7.0499384159799998</v>
      </c>
      <c r="E3541">
        <v>2</v>
      </c>
      <c r="F3541">
        <v>3</v>
      </c>
      <c r="G3541">
        <v>3</v>
      </c>
      <c r="J3541" t="s">
        <v>15</v>
      </c>
      <c r="K3541">
        <v>3</v>
      </c>
      <c r="L3541">
        <v>2.8170000000000002</v>
      </c>
      <c r="M3541">
        <v>0</v>
      </c>
      <c r="N3541" t="s">
        <v>10019</v>
      </c>
      <c r="O3541" t="str">
        <f>HYPERLINK("3\1\marker_515_961054.png", "Ver Imagen")</f>
        <v>Ver Imagen</v>
      </c>
      <c r="P3541" t="str">
        <f>HYPERLINK("SE\A-5052\A-5052__307.png", "Ver Imagen")</f>
        <v>Ver Imagen</v>
      </c>
    </row>
    <row r="3542" spans="1:16" x14ac:dyDescent="0.25">
      <c r="A3542">
        <v>3076</v>
      </c>
      <c r="B3542" t="s">
        <v>6163</v>
      </c>
      <c r="C3542">
        <v>37.208364788099999</v>
      </c>
      <c r="D3542">
        <v>-7.0374750337599998</v>
      </c>
      <c r="E3542">
        <v>3</v>
      </c>
      <c r="F3542">
        <v>3</v>
      </c>
      <c r="G3542">
        <v>4</v>
      </c>
      <c r="J3542" t="s">
        <v>15</v>
      </c>
      <c r="K3542">
        <v>3</v>
      </c>
      <c r="L3542">
        <v>2.87</v>
      </c>
      <c r="M3542">
        <v>0</v>
      </c>
      <c r="N3542" t="s">
        <v>10019</v>
      </c>
      <c r="O3542" t="str">
        <f>HYPERLINK("3\1\marker_201_961858.png", "Ver Imagen")</f>
        <v>Ver Imagen</v>
      </c>
      <c r="P3542" t="str">
        <f>HYPERLINK("SE\A-5052\A-5052__360.png", "Ver Imagen")</f>
        <v>Ver Imagen</v>
      </c>
    </row>
    <row r="3543" spans="1:16" x14ac:dyDescent="0.25">
      <c r="A3543">
        <v>3077</v>
      </c>
      <c r="B3543" t="s">
        <v>6165</v>
      </c>
      <c r="C3543">
        <v>37.208281735699998</v>
      </c>
      <c r="D3543">
        <v>-7.0372577744499996</v>
      </c>
      <c r="E3543">
        <v>3</v>
      </c>
      <c r="F3543">
        <v>3</v>
      </c>
      <c r="G3543">
        <v>4</v>
      </c>
      <c r="J3543" t="s">
        <v>15</v>
      </c>
      <c r="K3543">
        <v>3</v>
      </c>
      <c r="L3543">
        <v>2.633</v>
      </c>
      <c r="M3543">
        <v>0</v>
      </c>
      <c r="N3543" t="s">
        <v>10019</v>
      </c>
      <c r="O3543" t="str">
        <f>HYPERLINK("3\1\marker_442_961866.png", "Ver Imagen")</f>
        <v>Ver Imagen</v>
      </c>
      <c r="P3543" t="str">
        <f>HYPERLINK("SE\A-5052\A-5052__361.png", "Ver Imagen")</f>
        <v>Ver Imagen</v>
      </c>
    </row>
    <row r="3544" spans="1:16" x14ac:dyDescent="0.25">
      <c r="A3544">
        <v>3078</v>
      </c>
      <c r="B3544" t="s">
        <v>6167</v>
      </c>
      <c r="C3544">
        <v>37.207306945799999</v>
      </c>
      <c r="D3544">
        <v>-7.0347373834300004</v>
      </c>
      <c r="E3544">
        <v>3</v>
      </c>
      <c r="F3544">
        <v>3</v>
      </c>
      <c r="G3544">
        <v>2</v>
      </c>
      <c r="J3544" t="s">
        <v>15</v>
      </c>
      <c r="K3544">
        <v>3</v>
      </c>
      <c r="L3544">
        <v>2.8069999999999999</v>
      </c>
      <c r="M3544">
        <v>0</v>
      </c>
      <c r="N3544" t="s">
        <v>10019</v>
      </c>
      <c r="O3544" t="str">
        <f>HYPERLINK("3\1\marker_898_962313.png", "Ver Imagen")</f>
        <v>Ver Imagen</v>
      </c>
      <c r="P3544" t="str">
        <f>HYPERLINK("SE\A-5052\A-5052__372.png", "Ver Imagen")</f>
        <v>Ver Imagen</v>
      </c>
    </row>
    <row r="3545" spans="1:16" x14ac:dyDescent="0.25">
      <c r="A3545">
        <v>3079</v>
      </c>
      <c r="B3545" t="s">
        <v>6169</v>
      </c>
      <c r="C3545">
        <v>37.206867310500002</v>
      </c>
      <c r="D3545">
        <v>-7.0336002472699999</v>
      </c>
      <c r="E3545">
        <v>2</v>
      </c>
      <c r="F3545">
        <v>3</v>
      </c>
      <c r="G3545">
        <v>3</v>
      </c>
      <c r="J3545" t="s">
        <v>15</v>
      </c>
      <c r="K3545">
        <v>3</v>
      </c>
      <c r="L3545">
        <v>2.9540000000000002</v>
      </c>
      <c r="M3545">
        <v>0</v>
      </c>
      <c r="N3545" t="s">
        <v>10019</v>
      </c>
      <c r="O3545" t="str">
        <f>HYPERLINK("3\1\marker_663_962447.png", "Ver Imagen")</f>
        <v>Ver Imagen</v>
      </c>
      <c r="P3545" t="str">
        <f>HYPERLINK("SE\A-5052\A-5052__377.png", "Ver Imagen")</f>
        <v>Ver Imagen</v>
      </c>
    </row>
    <row r="3546" spans="1:16" x14ac:dyDescent="0.25">
      <c r="A3546">
        <v>3080</v>
      </c>
      <c r="B3546" t="s">
        <v>6171</v>
      </c>
      <c r="C3546">
        <v>37.206782137700003</v>
      </c>
      <c r="D3546">
        <v>-7.0333752188799998</v>
      </c>
      <c r="E3546">
        <v>2</v>
      </c>
      <c r="F3546">
        <v>3</v>
      </c>
      <c r="G3546">
        <v>3</v>
      </c>
      <c r="J3546" t="s">
        <v>15</v>
      </c>
      <c r="K3546">
        <v>3</v>
      </c>
      <c r="L3546">
        <v>3.0990000000000002</v>
      </c>
      <c r="M3546">
        <v>0</v>
      </c>
      <c r="N3546" t="s">
        <v>10019</v>
      </c>
      <c r="O3546" t="str">
        <f>HYPERLINK("3\1\marker_295_962456.png", "Ver Imagen")</f>
        <v>Ver Imagen</v>
      </c>
      <c r="P3546" t="str">
        <f>HYPERLINK("SE\A-5052\A-5052__378.png", "Ver Imagen")</f>
        <v>Ver Imagen</v>
      </c>
    </row>
    <row r="3547" spans="1:16" x14ac:dyDescent="0.25">
      <c r="A3547">
        <v>3081</v>
      </c>
      <c r="B3547" t="s">
        <v>6173</v>
      </c>
      <c r="C3547">
        <v>37.205805046400002</v>
      </c>
      <c r="D3547">
        <v>-7.03083514291</v>
      </c>
      <c r="E3547">
        <v>2</v>
      </c>
      <c r="F3547">
        <v>3</v>
      </c>
      <c r="G3547">
        <v>3</v>
      </c>
      <c r="J3547" t="s">
        <v>15</v>
      </c>
      <c r="K3547">
        <v>3</v>
      </c>
      <c r="L3547">
        <v>3.0640000000000001</v>
      </c>
      <c r="M3547">
        <v>0</v>
      </c>
      <c r="N3547" t="s">
        <v>10019</v>
      </c>
      <c r="O3547" t="str">
        <f>HYPERLINK("3\1\marker_201_962569.png", "Ver Imagen")</f>
        <v>Ver Imagen</v>
      </c>
      <c r="P3547" t="str">
        <f>HYPERLINK("SE\A-5052\A-5052__389.png", "Ver Imagen")</f>
        <v>Ver Imagen</v>
      </c>
    </row>
    <row r="3548" spans="1:16" x14ac:dyDescent="0.25">
      <c r="A3548">
        <v>3082</v>
      </c>
      <c r="B3548" t="s">
        <v>6175</v>
      </c>
      <c r="C3548">
        <v>37.205369057399999</v>
      </c>
      <c r="D3548">
        <v>-7.0296951681199999</v>
      </c>
      <c r="E3548">
        <v>3</v>
      </c>
      <c r="F3548">
        <v>3</v>
      </c>
      <c r="G3548">
        <v>4</v>
      </c>
      <c r="J3548" t="s">
        <v>15</v>
      </c>
      <c r="K3548">
        <v>3</v>
      </c>
      <c r="L3548">
        <v>3.2309999999999999</v>
      </c>
      <c r="M3548">
        <v>0</v>
      </c>
      <c r="N3548" t="s">
        <v>10019</v>
      </c>
      <c r="O3548" t="str">
        <f>HYPERLINK("3\1\marker_996_962613.png", "Ver Imagen")</f>
        <v>Ver Imagen</v>
      </c>
      <c r="P3548" t="str">
        <f>HYPERLINK("SE\A-5052\A-5052__394.png", "Ver Imagen")</f>
        <v>Ver Imagen</v>
      </c>
    </row>
    <row r="3549" spans="1:16" x14ac:dyDescent="0.25">
      <c r="A3549">
        <v>3083</v>
      </c>
      <c r="B3549" t="s">
        <v>6177</v>
      </c>
      <c r="C3549">
        <v>37.2042142158</v>
      </c>
      <c r="D3549">
        <v>-7.02681799399</v>
      </c>
      <c r="E3549">
        <v>3</v>
      </c>
      <c r="F3549">
        <v>3</v>
      </c>
      <c r="G3549">
        <v>4</v>
      </c>
      <c r="J3549" t="s">
        <v>15</v>
      </c>
      <c r="K3549">
        <v>3</v>
      </c>
      <c r="L3549">
        <v>2.8929999999999998</v>
      </c>
      <c r="M3549">
        <v>0</v>
      </c>
      <c r="N3549" t="s">
        <v>10017</v>
      </c>
      <c r="O3549" t="str">
        <f>HYPERLINK("3\1\marker_558_962746.png", "Ver Imagen")</f>
        <v>Ver Imagen</v>
      </c>
      <c r="P3549" t="str">
        <f>HYPERLINK("SE\A-5052\A-5052__407.png", "Ver Imagen")</f>
        <v>Ver Imagen</v>
      </c>
    </row>
    <row r="3550" spans="1:16" x14ac:dyDescent="0.25">
      <c r="A3550">
        <v>3084</v>
      </c>
      <c r="B3550" t="s">
        <v>6179</v>
      </c>
      <c r="C3550">
        <v>37.198648448</v>
      </c>
      <c r="D3550">
        <v>-7.0121844988799999</v>
      </c>
      <c r="E3550">
        <v>2</v>
      </c>
      <c r="F3550">
        <v>3</v>
      </c>
      <c r="G3550">
        <v>3</v>
      </c>
      <c r="J3550" t="s">
        <v>15</v>
      </c>
      <c r="K3550">
        <v>3</v>
      </c>
      <c r="L3550">
        <v>2.8039999999999998</v>
      </c>
      <c r="M3550">
        <v>0</v>
      </c>
      <c r="N3550" t="s">
        <v>10017</v>
      </c>
      <c r="O3550" t="str">
        <f>HYPERLINK("3\1\marker_398_963398.png", "Ver Imagen")</f>
        <v>Ver Imagen</v>
      </c>
      <c r="P3550" t="str">
        <f>HYPERLINK("SE\A-5052\A-5052__471.png", "Ver Imagen")</f>
        <v>Ver Imagen</v>
      </c>
    </row>
    <row r="3551" spans="1:16" x14ac:dyDescent="0.25">
      <c r="A3551">
        <v>3086</v>
      </c>
      <c r="B3551" t="s">
        <v>6183</v>
      </c>
      <c r="C3551">
        <v>37.196997182099999</v>
      </c>
      <c r="D3551">
        <v>-7.0057559185000002</v>
      </c>
      <c r="E3551">
        <v>2</v>
      </c>
      <c r="F3551">
        <v>3</v>
      </c>
      <c r="G3551">
        <v>3</v>
      </c>
      <c r="J3551" t="s">
        <v>15</v>
      </c>
      <c r="K3551">
        <v>3</v>
      </c>
      <c r="L3551">
        <v>2.903</v>
      </c>
      <c r="M3551">
        <v>0</v>
      </c>
      <c r="N3551" t="s">
        <v>10019</v>
      </c>
      <c r="O3551" t="str">
        <f>HYPERLINK("3\1\marker_766_963659.png", "Ver Imagen")</f>
        <v>Ver Imagen</v>
      </c>
      <c r="P3551" t="str">
        <f>HYPERLINK("SE\A-5052\A-5052__498.png", "Ver Imagen")</f>
        <v>Ver Imagen</v>
      </c>
    </row>
    <row r="3552" spans="1:16" x14ac:dyDescent="0.25">
      <c r="A3552">
        <v>3087</v>
      </c>
      <c r="B3552" t="s">
        <v>6185</v>
      </c>
      <c r="C3552">
        <v>37.196863298499999</v>
      </c>
      <c r="D3552">
        <v>-7.0052696471200004</v>
      </c>
      <c r="E3552">
        <v>2</v>
      </c>
      <c r="F3552">
        <v>3</v>
      </c>
      <c r="G3552">
        <v>3</v>
      </c>
      <c r="J3552" t="s">
        <v>15</v>
      </c>
      <c r="K3552">
        <v>3</v>
      </c>
      <c r="L3552">
        <v>3.0910000000000002</v>
      </c>
      <c r="M3552">
        <v>0</v>
      </c>
      <c r="N3552" t="s">
        <v>10019</v>
      </c>
      <c r="O3552" t="str">
        <f>HYPERLINK("3\1\marker_324_963680.png", "Ver Imagen")</f>
        <v>Ver Imagen</v>
      </c>
      <c r="P3552" t="str">
        <f>HYPERLINK("SE\A-5052\A-5052__500.png", "Ver Imagen")</f>
        <v>Ver Imagen</v>
      </c>
    </row>
    <row r="3553" spans="1:16" x14ac:dyDescent="0.25">
      <c r="A3553">
        <v>3088</v>
      </c>
      <c r="B3553" t="s">
        <v>6187</v>
      </c>
      <c r="C3553">
        <v>37.287049916599997</v>
      </c>
      <c r="D3553">
        <v>-7.1412638388699996</v>
      </c>
      <c r="E3553">
        <v>2</v>
      </c>
      <c r="F3553">
        <v>3</v>
      </c>
      <c r="G3553">
        <v>3</v>
      </c>
      <c r="J3553" t="s">
        <v>15</v>
      </c>
      <c r="K3553">
        <v>3</v>
      </c>
      <c r="L3553">
        <v>2.7970000000000002</v>
      </c>
      <c r="M3553">
        <v>0</v>
      </c>
      <c r="N3553" t="s">
        <v>10019</v>
      </c>
      <c r="O3553" t="str">
        <f>HYPERLINK("3\1\marker_889_963927.png", "Ver Imagen")</f>
        <v>Ver Imagen</v>
      </c>
      <c r="P3553" t="str">
        <f>HYPERLINK("SO\A-5053\A-5053__373.png", "Ver Imagen")</f>
        <v>Ver Imagen</v>
      </c>
    </row>
    <row r="3554" spans="1:16" x14ac:dyDescent="0.25">
      <c r="A3554">
        <v>3089</v>
      </c>
      <c r="B3554" t="s">
        <v>6189</v>
      </c>
      <c r="C3554">
        <v>37.286663564599998</v>
      </c>
      <c r="D3554">
        <v>-7.1414057224</v>
      </c>
      <c r="E3554">
        <v>2</v>
      </c>
      <c r="F3554">
        <v>3</v>
      </c>
      <c r="G3554">
        <v>3</v>
      </c>
      <c r="J3554" t="s">
        <v>15</v>
      </c>
      <c r="K3554">
        <v>3</v>
      </c>
      <c r="L3554">
        <v>2.5659999999999998</v>
      </c>
      <c r="M3554">
        <v>0</v>
      </c>
      <c r="N3554" t="s">
        <v>10019</v>
      </c>
      <c r="O3554" t="str">
        <f>HYPERLINK("3\1\marker_514_963948.png", "Ver Imagen")</f>
        <v>Ver Imagen</v>
      </c>
      <c r="P3554" t="str">
        <f>HYPERLINK("SO\A-5053\A-5053__371.png", "Ver Imagen")</f>
        <v>Ver Imagen</v>
      </c>
    </row>
    <row r="3555" spans="1:16" x14ac:dyDescent="0.25">
      <c r="A3555">
        <v>3090</v>
      </c>
      <c r="B3555" t="s">
        <v>6191</v>
      </c>
      <c r="C3555">
        <v>37.2809809671</v>
      </c>
      <c r="D3555">
        <v>-7.1448926936300001</v>
      </c>
      <c r="E3555">
        <v>2</v>
      </c>
      <c r="F3555">
        <v>3</v>
      </c>
      <c r="G3555">
        <v>3</v>
      </c>
      <c r="J3555" t="s">
        <v>15</v>
      </c>
      <c r="K3555">
        <v>3</v>
      </c>
      <c r="L3555">
        <v>2.7069999999999999</v>
      </c>
      <c r="M3555">
        <v>0</v>
      </c>
      <c r="N3555" t="s">
        <v>10019</v>
      </c>
      <c r="O3555" t="str">
        <f>HYPERLINK("3\1\marker_534_964361.png", "Ver Imagen")</f>
        <v>Ver Imagen</v>
      </c>
      <c r="P3555" t="str">
        <f>HYPERLINK("SO\A-5053\A-5053__339.png", "Ver Imagen")</f>
        <v>Ver Imagen</v>
      </c>
    </row>
    <row r="3556" spans="1:16" x14ac:dyDescent="0.25">
      <c r="A3556">
        <v>3091</v>
      </c>
      <c r="B3556" t="s">
        <v>6193</v>
      </c>
      <c r="C3556">
        <v>37.280821570900002</v>
      </c>
      <c r="D3556">
        <v>-7.1450011723899998</v>
      </c>
      <c r="E3556">
        <v>2</v>
      </c>
      <c r="F3556">
        <v>3</v>
      </c>
      <c r="G3556">
        <v>3</v>
      </c>
      <c r="J3556" t="s">
        <v>15</v>
      </c>
      <c r="K3556">
        <v>3</v>
      </c>
      <c r="L3556">
        <v>2.8490000000000002</v>
      </c>
      <c r="M3556">
        <v>0</v>
      </c>
      <c r="N3556" t="s">
        <v>10019</v>
      </c>
      <c r="O3556" t="str">
        <f>HYPERLINK("3\1\marker_303_964369.png", "Ver Imagen")</f>
        <v>Ver Imagen</v>
      </c>
      <c r="P3556" t="str">
        <f>HYPERLINK("SO\A-5053\A-5053__338.png", "Ver Imagen")</f>
        <v>Ver Imagen</v>
      </c>
    </row>
    <row r="3557" spans="1:16" x14ac:dyDescent="0.25">
      <c r="A3557">
        <v>3092</v>
      </c>
      <c r="B3557" t="s">
        <v>6195</v>
      </c>
      <c r="C3557">
        <v>37.280640208100003</v>
      </c>
      <c r="D3557">
        <v>-7.1451294496499997</v>
      </c>
      <c r="E3557">
        <v>2</v>
      </c>
      <c r="F3557">
        <v>3</v>
      </c>
      <c r="G3557">
        <v>3</v>
      </c>
      <c r="J3557" t="s">
        <v>15</v>
      </c>
      <c r="K3557">
        <v>3</v>
      </c>
      <c r="L3557">
        <v>3.0249999999999999</v>
      </c>
      <c r="M3557">
        <v>0</v>
      </c>
      <c r="N3557" t="s">
        <v>10019</v>
      </c>
      <c r="O3557" t="str">
        <f>HYPERLINK("3\1\marker_862_964378.png", "Ver Imagen")</f>
        <v>Ver Imagen</v>
      </c>
      <c r="P3557" t="str">
        <f>HYPERLINK("SO\A-5053\A-5053__337.png", "Ver Imagen")</f>
        <v>Ver Imagen</v>
      </c>
    </row>
    <row r="3558" spans="1:16" x14ac:dyDescent="0.25">
      <c r="A3558">
        <v>3093</v>
      </c>
      <c r="B3558" t="s">
        <v>6197</v>
      </c>
      <c r="C3558">
        <v>37.280480312000002</v>
      </c>
      <c r="D3558">
        <v>-7.1452459470600003</v>
      </c>
      <c r="E3558">
        <v>2</v>
      </c>
      <c r="F3558">
        <v>3</v>
      </c>
      <c r="G3558">
        <v>3</v>
      </c>
      <c r="J3558" t="s">
        <v>15</v>
      </c>
      <c r="K3558">
        <v>3</v>
      </c>
      <c r="L3558">
        <v>2.593</v>
      </c>
      <c r="M3558">
        <v>0</v>
      </c>
      <c r="N3558" t="s">
        <v>10019</v>
      </c>
      <c r="O3558" t="str">
        <f>HYPERLINK("3\1\marker_769_964389.png", "Ver Imagen")</f>
        <v>Ver Imagen</v>
      </c>
      <c r="P3558" t="str">
        <f>HYPERLINK("SO\A-5053\A-5053__336.png", "Ver Imagen")</f>
        <v>Ver Imagen</v>
      </c>
    </row>
    <row r="3559" spans="1:16" x14ac:dyDescent="0.25">
      <c r="A3559">
        <v>3094</v>
      </c>
      <c r="B3559" t="s">
        <v>6199</v>
      </c>
      <c r="C3559">
        <v>37.280302781700001</v>
      </c>
      <c r="D3559">
        <v>-7.1453907386399997</v>
      </c>
      <c r="E3559">
        <v>2</v>
      </c>
      <c r="F3559">
        <v>3</v>
      </c>
      <c r="G3559">
        <v>3</v>
      </c>
      <c r="J3559" t="s">
        <v>15</v>
      </c>
      <c r="K3559">
        <v>3</v>
      </c>
      <c r="L3559">
        <v>2.9820000000000002</v>
      </c>
      <c r="M3559">
        <v>0</v>
      </c>
      <c r="N3559" t="s">
        <v>10019</v>
      </c>
      <c r="O3559" t="str">
        <f>HYPERLINK("3\1\marker_801_964400.png", "Ver Imagen")</f>
        <v>Ver Imagen</v>
      </c>
      <c r="P3559" t="str">
        <f>HYPERLINK("SO\A-5053\A-5053__335.png", "Ver Imagen")</f>
        <v>Ver Imagen</v>
      </c>
    </row>
    <row r="3560" spans="1:16" x14ac:dyDescent="0.25">
      <c r="A3560">
        <v>3095</v>
      </c>
      <c r="B3560" t="s">
        <v>6201</v>
      </c>
      <c r="C3560">
        <v>37.280058510499998</v>
      </c>
      <c r="D3560">
        <v>-7.1458213294400004</v>
      </c>
      <c r="E3560">
        <v>2</v>
      </c>
      <c r="F3560">
        <v>3</v>
      </c>
      <c r="G3560">
        <v>3</v>
      </c>
      <c r="J3560" t="s">
        <v>15</v>
      </c>
      <c r="K3560">
        <v>3</v>
      </c>
      <c r="L3560">
        <v>3.0150000000000001</v>
      </c>
      <c r="M3560">
        <v>0</v>
      </c>
      <c r="N3560" t="s">
        <v>10019</v>
      </c>
      <c r="O3560" t="str">
        <f>HYPERLINK("3\1\marker_111_964425.png", "Ver Imagen")</f>
        <v>Ver Imagen</v>
      </c>
      <c r="P3560" t="str">
        <f>HYPERLINK("SO\A-5053\A-5053__333.png", "Ver Imagen")</f>
        <v>Ver Imagen</v>
      </c>
    </row>
    <row r="3561" spans="1:16" x14ac:dyDescent="0.25">
      <c r="A3561">
        <v>3096</v>
      </c>
      <c r="B3561" t="s">
        <v>6203</v>
      </c>
      <c r="C3561">
        <v>37.276983489300001</v>
      </c>
      <c r="D3561">
        <v>-7.1432362135099998</v>
      </c>
      <c r="E3561">
        <v>2</v>
      </c>
      <c r="F3561">
        <v>3</v>
      </c>
      <c r="G3561">
        <v>3</v>
      </c>
      <c r="J3561" t="s">
        <v>15</v>
      </c>
      <c r="K3561">
        <v>3</v>
      </c>
      <c r="L3561">
        <v>2.7229999999999999</v>
      </c>
      <c r="M3561">
        <v>0</v>
      </c>
      <c r="N3561" t="s">
        <v>10019</v>
      </c>
      <c r="O3561" t="str">
        <f>HYPERLINK("3\1\marker_946_964635.png", "Ver Imagen")</f>
        <v>Ver Imagen</v>
      </c>
      <c r="P3561" t="str">
        <f>HYPERLINK("SO\A-5053\A-5053__314.png", "Ver Imagen")</f>
        <v>Ver Imagen</v>
      </c>
    </row>
    <row r="3562" spans="1:16" x14ac:dyDescent="0.25">
      <c r="A3562">
        <v>3097</v>
      </c>
      <c r="B3562" t="s">
        <v>6205</v>
      </c>
      <c r="C3562">
        <v>37.2729496145</v>
      </c>
      <c r="D3562">
        <v>-7.1417535011900002</v>
      </c>
      <c r="E3562">
        <v>3</v>
      </c>
      <c r="F3562">
        <v>3</v>
      </c>
      <c r="G3562">
        <v>4</v>
      </c>
      <c r="J3562" t="s">
        <v>15</v>
      </c>
      <c r="K3562">
        <v>3</v>
      </c>
      <c r="L3562">
        <v>2.649</v>
      </c>
      <c r="M3562">
        <v>0</v>
      </c>
      <c r="N3562" t="s">
        <v>10019</v>
      </c>
      <c r="O3562" t="str">
        <f>HYPERLINK("3\1\marker_279_964931.png", "Ver Imagen")</f>
        <v>Ver Imagen</v>
      </c>
      <c r="P3562" t="str">
        <f>HYPERLINK("SO\A-5053\A-5053__293.png", "Ver Imagen")</f>
        <v>Ver Imagen</v>
      </c>
    </row>
    <row r="3563" spans="1:16" x14ac:dyDescent="0.25">
      <c r="A3563">
        <v>3098</v>
      </c>
      <c r="B3563" t="s">
        <v>6207</v>
      </c>
      <c r="C3563">
        <v>37.272390383000001</v>
      </c>
      <c r="D3563">
        <v>-7.1414362330800003</v>
      </c>
      <c r="E3563">
        <v>2</v>
      </c>
      <c r="F3563">
        <v>3</v>
      </c>
      <c r="G3563">
        <v>3</v>
      </c>
      <c r="J3563" t="s">
        <v>15</v>
      </c>
      <c r="K3563">
        <v>3</v>
      </c>
      <c r="L3563">
        <v>3.0750000000000002</v>
      </c>
      <c r="M3563">
        <v>0</v>
      </c>
      <c r="N3563" t="s">
        <v>10019</v>
      </c>
      <c r="O3563" t="str">
        <f>HYPERLINK("3\1\marker_891_964958.png", "Ver Imagen")</f>
        <v>Ver Imagen</v>
      </c>
      <c r="P3563" t="str">
        <f>HYPERLINK("SO\A-5053\A-5053__290.png", "Ver Imagen")</f>
        <v>Ver Imagen</v>
      </c>
    </row>
    <row r="3564" spans="1:16" x14ac:dyDescent="0.25">
      <c r="A3564">
        <v>3100</v>
      </c>
      <c r="B3564" t="s">
        <v>6211</v>
      </c>
      <c r="C3564">
        <v>37.2696357568</v>
      </c>
      <c r="D3564">
        <v>-7.1392967892700003</v>
      </c>
      <c r="E3564">
        <v>3</v>
      </c>
      <c r="F3564">
        <v>3</v>
      </c>
      <c r="G3564">
        <v>4</v>
      </c>
      <c r="J3564" t="s">
        <v>15</v>
      </c>
      <c r="K3564">
        <v>3</v>
      </c>
      <c r="L3564">
        <v>2.8420000000000001</v>
      </c>
      <c r="M3564">
        <v>0</v>
      </c>
      <c r="N3564" t="s">
        <v>10019</v>
      </c>
      <c r="O3564" t="str">
        <f>HYPERLINK("3\1\marker_959_965113.png", "Ver Imagen")</f>
        <v>Ver Imagen</v>
      </c>
      <c r="P3564" t="str">
        <f>HYPERLINK("SO\A-5053\A-5053__274.png", "Ver Imagen")</f>
        <v>Ver Imagen</v>
      </c>
    </row>
    <row r="3565" spans="1:16" x14ac:dyDescent="0.25">
      <c r="A3565">
        <v>3101</v>
      </c>
      <c r="B3565" t="s">
        <v>6213</v>
      </c>
      <c r="C3565">
        <v>37.269332920499998</v>
      </c>
      <c r="D3565">
        <v>-7.1389642668400004</v>
      </c>
      <c r="E3565">
        <v>3</v>
      </c>
      <c r="F3565">
        <v>3</v>
      </c>
      <c r="G3565">
        <v>4</v>
      </c>
      <c r="J3565" t="s">
        <v>15</v>
      </c>
      <c r="K3565">
        <v>3</v>
      </c>
      <c r="L3565">
        <v>2.7370000000000001</v>
      </c>
      <c r="M3565">
        <v>0</v>
      </c>
      <c r="N3565" t="s">
        <v>10019</v>
      </c>
      <c r="O3565" t="str">
        <f>HYPERLINK("3\1\marker_278_965131.png", "Ver Imagen")</f>
        <v>Ver Imagen</v>
      </c>
      <c r="P3565" t="str">
        <f>HYPERLINK("SO\A-5053\A-5053__272.png", "Ver Imagen")</f>
        <v>Ver Imagen</v>
      </c>
    </row>
    <row r="3566" spans="1:16" x14ac:dyDescent="0.25">
      <c r="A3566">
        <v>3102</v>
      </c>
      <c r="B3566" t="s">
        <v>6215</v>
      </c>
      <c r="C3566">
        <v>37.268269489700003</v>
      </c>
      <c r="D3566">
        <v>-7.1357255210400004</v>
      </c>
      <c r="E3566">
        <v>3</v>
      </c>
      <c r="F3566">
        <v>3</v>
      </c>
      <c r="G3566">
        <v>4</v>
      </c>
      <c r="J3566" t="s">
        <v>15</v>
      </c>
      <c r="K3566">
        <v>3</v>
      </c>
      <c r="L3566">
        <v>3.1949999999999998</v>
      </c>
      <c r="M3566">
        <v>0</v>
      </c>
      <c r="N3566" t="s">
        <v>10017</v>
      </c>
      <c r="O3566" t="str">
        <f>HYPERLINK("3\1\marker_564_965276.png", "Ver Imagen")</f>
        <v>Ver Imagen</v>
      </c>
      <c r="P3566" t="str">
        <f>HYPERLINK("SO\A-5053\A-5053__258.png", "Ver Imagen")</f>
        <v>Ver Imagen</v>
      </c>
    </row>
    <row r="3567" spans="1:16" x14ac:dyDescent="0.25">
      <c r="A3567">
        <v>3104</v>
      </c>
      <c r="B3567" t="s">
        <v>6219</v>
      </c>
      <c r="C3567">
        <v>37.266497530599999</v>
      </c>
      <c r="D3567">
        <v>-7.1331703049100001</v>
      </c>
      <c r="E3567">
        <v>4</v>
      </c>
      <c r="F3567">
        <v>3</v>
      </c>
      <c r="G3567">
        <v>3</v>
      </c>
      <c r="J3567" t="s">
        <v>15</v>
      </c>
      <c r="K3567">
        <v>3</v>
      </c>
      <c r="L3567">
        <v>2.9689999999999999</v>
      </c>
      <c r="M3567">
        <v>0</v>
      </c>
      <c r="N3567" t="s">
        <v>10019</v>
      </c>
      <c r="O3567" t="str">
        <f>HYPERLINK("3\1\marker_949_965463.png", "Ver Imagen")</f>
        <v>Ver Imagen</v>
      </c>
      <c r="P3567" t="str">
        <f>HYPERLINK("SO\A-5053\A-5053__244.png", "Ver Imagen")</f>
        <v>Ver Imagen</v>
      </c>
    </row>
    <row r="3568" spans="1:16" x14ac:dyDescent="0.25">
      <c r="A3568">
        <v>3106</v>
      </c>
      <c r="B3568" t="s">
        <v>6223</v>
      </c>
      <c r="C3568">
        <v>37.262848671999997</v>
      </c>
      <c r="D3568">
        <v>-7.1308700119699999</v>
      </c>
      <c r="E3568">
        <v>4</v>
      </c>
      <c r="F3568">
        <v>3</v>
      </c>
      <c r="G3568">
        <v>3</v>
      </c>
      <c r="J3568" t="s">
        <v>15</v>
      </c>
      <c r="K3568">
        <v>3</v>
      </c>
      <c r="L3568">
        <v>3.2970000000000002</v>
      </c>
      <c r="M3568">
        <v>0</v>
      </c>
      <c r="N3568" t="s">
        <v>10019</v>
      </c>
      <c r="O3568" t="str">
        <f>HYPERLINK("3\1\marker_380_965654.png", "Ver Imagen")</f>
        <v>Ver Imagen</v>
      </c>
      <c r="P3568" t="str">
        <f>HYPERLINK("SO\A-5053\A-5053__224.png", "Ver Imagen")</f>
        <v>Ver Imagen</v>
      </c>
    </row>
    <row r="3569" spans="1:16" x14ac:dyDescent="0.25">
      <c r="A3569">
        <v>3107</v>
      </c>
      <c r="B3569" t="s">
        <v>6225</v>
      </c>
      <c r="C3569">
        <v>37.262487162100001</v>
      </c>
      <c r="D3569">
        <v>-7.13064738978</v>
      </c>
      <c r="E3569">
        <v>4</v>
      </c>
      <c r="F3569">
        <v>3</v>
      </c>
      <c r="G3569">
        <v>3</v>
      </c>
      <c r="J3569" t="s">
        <v>15</v>
      </c>
      <c r="K3569">
        <v>3</v>
      </c>
      <c r="L3569">
        <v>2.669</v>
      </c>
      <c r="M3569">
        <v>0</v>
      </c>
      <c r="N3569" t="s">
        <v>10017</v>
      </c>
      <c r="O3569" t="str">
        <f>HYPERLINK("3\1\marker_816_965671.png", "Ver Imagen")</f>
        <v>Ver Imagen</v>
      </c>
      <c r="P3569" t="str">
        <f>HYPERLINK("SO\A-5053\A-5053__222.png", "Ver Imagen")</f>
        <v>Ver Imagen</v>
      </c>
    </row>
    <row r="3570" spans="1:16" x14ac:dyDescent="0.25">
      <c r="A3570">
        <v>3108</v>
      </c>
      <c r="B3570" t="s">
        <v>6227</v>
      </c>
      <c r="C3570">
        <v>37.2619707952</v>
      </c>
      <c r="D3570">
        <v>-7.1303237533399999</v>
      </c>
      <c r="E3570">
        <v>3</v>
      </c>
      <c r="F3570">
        <v>3</v>
      </c>
      <c r="G3570">
        <v>4</v>
      </c>
      <c r="J3570" t="s">
        <v>15</v>
      </c>
      <c r="K3570">
        <v>3</v>
      </c>
      <c r="L3570">
        <v>2.859</v>
      </c>
      <c r="M3570">
        <v>0</v>
      </c>
      <c r="N3570" t="s">
        <v>10019</v>
      </c>
      <c r="O3570" t="str">
        <f>HYPERLINK("3\1\marker_466_965698.png", "Ver Imagen")</f>
        <v>Ver Imagen</v>
      </c>
      <c r="P3570" t="str">
        <f>HYPERLINK("SO\A-5053\A-5053__219.png", "Ver Imagen")</f>
        <v>Ver Imagen</v>
      </c>
    </row>
    <row r="3571" spans="1:16" x14ac:dyDescent="0.25">
      <c r="A3571">
        <v>3110</v>
      </c>
      <c r="B3571" t="s">
        <v>6231</v>
      </c>
      <c r="C3571">
        <v>37.243077845899997</v>
      </c>
      <c r="D3571">
        <v>-7.12830369956</v>
      </c>
      <c r="E3571">
        <v>2</v>
      </c>
      <c r="F3571">
        <v>3</v>
      </c>
      <c r="G3571">
        <v>3</v>
      </c>
      <c r="J3571" t="s">
        <v>15</v>
      </c>
      <c r="K3571">
        <v>3</v>
      </c>
      <c r="L3571">
        <v>2.867</v>
      </c>
      <c r="M3571">
        <v>0</v>
      </c>
      <c r="N3571" t="s">
        <v>10019</v>
      </c>
      <c r="O3571" t="str">
        <f>HYPERLINK("3\1\marker_149_019570.png", "Ver Imagen")</f>
        <v>Ver Imagen</v>
      </c>
      <c r="P3571" t="str">
        <f>HYPERLINK("SO\A-5053\A-5053__122.png", "Ver Imagen")</f>
        <v>Ver Imagen</v>
      </c>
    </row>
    <row r="3572" spans="1:16" x14ac:dyDescent="0.25">
      <c r="A3572">
        <v>3111</v>
      </c>
      <c r="B3572" t="s">
        <v>6233</v>
      </c>
      <c r="C3572">
        <v>37.241035062400002</v>
      </c>
      <c r="D3572">
        <v>-7.1285898747600003</v>
      </c>
      <c r="E3572">
        <v>2</v>
      </c>
      <c r="F3572">
        <v>3</v>
      </c>
      <c r="G3572">
        <v>3</v>
      </c>
      <c r="J3572" t="s">
        <v>15</v>
      </c>
      <c r="K3572">
        <v>3</v>
      </c>
      <c r="L3572">
        <v>2.573</v>
      </c>
      <c r="M3572">
        <v>0</v>
      </c>
      <c r="N3572" t="s">
        <v>10018</v>
      </c>
      <c r="O3572" t="str">
        <f>HYPERLINK("3\1\marker_189_019683.png", "Ver Imagen")</f>
        <v>Ver Imagen</v>
      </c>
      <c r="P3572" t="str">
        <f>HYPERLINK("SO\A-5053\A-5053__112.png", "Ver Imagen")</f>
        <v>Ver Imagen</v>
      </c>
    </row>
    <row r="3573" spans="1:16" x14ac:dyDescent="0.25">
      <c r="A3573">
        <v>3113</v>
      </c>
      <c r="B3573" t="s">
        <v>6237</v>
      </c>
      <c r="C3573">
        <v>37.239621368599998</v>
      </c>
      <c r="D3573">
        <v>-7.1285352849799999</v>
      </c>
      <c r="E3573">
        <v>2</v>
      </c>
      <c r="F3573">
        <v>3</v>
      </c>
      <c r="G3573">
        <v>3</v>
      </c>
      <c r="J3573" t="s">
        <v>15</v>
      </c>
      <c r="K3573">
        <v>3</v>
      </c>
      <c r="L3573">
        <v>2.6389999999999998</v>
      </c>
      <c r="M3573">
        <v>0</v>
      </c>
      <c r="N3573" t="s">
        <v>10019</v>
      </c>
      <c r="O3573" t="str">
        <f>HYPERLINK("3\1\marker_574_019768.png", "Ver Imagen")</f>
        <v>Ver Imagen</v>
      </c>
      <c r="P3573" t="str">
        <f>HYPERLINK("SO\A-5053\A-5053__105.png", "Ver Imagen")</f>
        <v>Ver Imagen</v>
      </c>
    </row>
    <row r="3574" spans="1:16" x14ac:dyDescent="0.25">
      <c r="A3574">
        <v>3115</v>
      </c>
      <c r="B3574" t="s">
        <v>6241</v>
      </c>
      <c r="C3574">
        <v>37.237831522699999</v>
      </c>
      <c r="D3574">
        <v>-7.1283592178699999</v>
      </c>
      <c r="E3574">
        <v>2</v>
      </c>
      <c r="F3574">
        <v>3</v>
      </c>
      <c r="G3574">
        <v>3</v>
      </c>
      <c r="J3574" t="s">
        <v>15</v>
      </c>
      <c r="K3574">
        <v>3</v>
      </c>
      <c r="L3574">
        <v>2.8479999999999999</v>
      </c>
      <c r="M3574">
        <v>0</v>
      </c>
      <c r="N3574" t="s">
        <v>10019</v>
      </c>
      <c r="O3574" t="str">
        <f>HYPERLINK("3\1\marker_617_019851.png", "Ver Imagen")</f>
        <v>Ver Imagen</v>
      </c>
      <c r="P3574" t="str">
        <f>HYPERLINK("SO\A-5053\A-5053__96.png", "Ver Imagen")</f>
        <v>Ver Imagen</v>
      </c>
    </row>
    <row r="3575" spans="1:16" x14ac:dyDescent="0.25">
      <c r="A3575">
        <v>3116</v>
      </c>
      <c r="B3575" t="s">
        <v>6243</v>
      </c>
      <c r="C3575">
        <v>37.231266574999999</v>
      </c>
      <c r="D3575">
        <v>-7.1270803470199997</v>
      </c>
      <c r="E3575">
        <v>2</v>
      </c>
      <c r="F3575">
        <v>3</v>
      </c>
      <c r="G3575">
        <v>3</v>
      </c>
      <c r="J3575" t="s">
        <v>15</v>
      </c>
      <c r="K3575">
        <v>3</v>
      </c>
      <c r="L3575">
        <v>2.8809999999999998</v>
      </c>
      <c r="M3575">
        <v>0</v>
      </c>
      <c r="N3575" t="s">
        <v>10019</v>
      </c>
      <c r="O3575" t="str">
        <f>HYPERLINK("3\1\marker_415_020772.png", "Ver Imagen")</f>
        <v>Ver Imagen</v>
      </c>
      <c r="P3575" t="str">
        <f>HYPERLINK("SO\A-5053\A-5053__63.png", "Ver Imagen")</f>
        <v>Ver Imagen</v>
      </c>
    </row>
    <row r="3576" spans="1:16" x14ac:dyDescent="0.25">
      <c r="A3576">
        <v>3117</v>
      </c>
      <c r="B3576" t="s">
        <v>6245</v>
      </c>
      <c r="C3576">
        <v>37.230833903099999</v>
      </c>
      <c r="D3576">
        <v>-7.1270405569999999</v>
      </c>
      <c r="E3576">
        <v>2</v>
      </c>
      <c r="F3576">
        <v>3</v>
      </c>
      <c r="G3576">
        <v>3</v>
      </c>
      <c r="J3576" t="s">
        <v>15</v>
      </c>
      <c r="K3576">
        <v>3</v>
      </c>
      <c r="L3576">
        <v>3.0390000000000001</v>
      </c>
      <c r="M3576">
        <v>0</v>
      </c>
      <c r="N3576" t="s">
        <v>10019</v>
      </c>
      <c r="O3576" t="str">
        <f>HYPERLINK("3\1\marker_512_020793.png", "Ver Imagen")</f>
        <v>Ver Imagen</v>
      </c>
      <c r="P3576" t="str">
        <f>HYPERLINK("SO\A-5053\A-5053__61.png", "Ver Imagen")</f>
        <v>Ver Imagen</v>
      </c>
    </row>
    <row r="3577" spans="1:16" x14ac:dyDescent="0.25">
      <c r="A3577">
        <v>3118</v>
      </c>
      <c r="B3577" t="s">
        <v>6247</v>
      </c>
      <c r="C3577">
        <v>37.230660325800002</v>
      </c>
      <c r="D3577">
        <v>-7.1270239660300003</v>
      </c>
      <c r="E3577">
        <v>2</v>
      </c>
      <c r="F3577">
        <v>3</v>
      </c>
      <c r="G3577">
        <v>3</v>
      </c>
      <c r="J3577" t="s">
        <v>15</v>
      </c>
      <c r="K3577">
        <v>3</v>
      </c>
      <c r="L3577">
        <v>2.9140000000000001</v>
      </c>
      <c r="M3577">
        <v>0</v>
      </c>
      <c r="N3577" t="s">
        <v>10019</v>
      </c>
      <c r="O3577" t="str">
        <f>HYPERLINK("3\1\marker_436_020802.png", "Ver Imagen")</f>
        <v>Ver Imagen</v>
      </c>
      <c r="P3577" t="str">
        <f>HYPERLINK("SO\A-5053\A-5053__60.png", "Ver Imagen")</f>
        <v>Ver Imagen</v>
      </c>
    </row>
    <row r="3578" spans="1:16" x14ac:dyDescent="0.25">
      <c r="A3578">
        <v>3119</v>
      </c>
      <c r="B3578" t="s">
        <v>6249</v>
      </c>
      <c r="C3578">
        <v>37.230476460600002</v>
      </c>
      <c r="D3578">
        <v>-7.1270064160900004</v>
      </c>
      <c r="E3578">
        <v>2</v>
      </c>
      <c r="F3578">
        <v>3</v>
      </c>
      <c r="G3578">
        <v>3</v>
      </c>
      <c r="J3578" t="s">
        <v>15</v>
      </c>
      <c r="K3578">
        <v>3</v>
      </c>
      <c r="L3578">
        <v>2.8170000000000002</v>
      </c>
      <c r="M3578">
        <v>0</v>
      </c>
      <c r="N3578" t="s">
        <v>10019</v>
      </c>
      <c r="O3578" t="str">
        <f>HYPERLINK("3\1\marker_165_020894.png", "Ver Imagen")</f>
        <v>Ver Imagen</v>
      </c>
      <c r="P3578" t="str">
        <f>HYPERLINK("SO\A-5053\A-5053__59.png", "Ver Imagen")</f>
        <v>Ver Imagen</v>
      </c>
    </row>
    <row r="3579" spans="1:16" x14ac:dyDescent="0.25">
      <c r="A3579">
        <v>3120</v>
      </c>
      <c r="B3579" t="s">
        <v>6251</v>
      </c>
      <c r="C3579">
        <v>37.229267947700002</v>
      </c>
      <c r="D3579">
        <v>-7.1268900075800001</v>
      </c>
      <c r="E3579">
        <v>2</v>
      </c>
      <c r="F3579">
        <v>3</v>
      </c>
      <c r="G3579">
        <v>3</v>
      </c>
      <c r="J3579" t="s">
        <v>15</v>
      </c>
      <c r="K3579">
        <v>3</v>
      </c>
      <c r="L3579">
        <v>2.7050000000000001</v>
      </c>
      <c r="M3579">
        <v>0</v>
      </c>
      <c r="N3579" t="s">
        <v>10019</v>
      </c>
      <c r="O3579" t="str">
        <f>HYPERLINK("3\1\marker_255_020951.png", "Ver Imagen")</f>
        <v>Ver Imagen</v>
      </c>
      <c r="P3579" t="str">
        <f>HYPERLINK("SO\A-5053\A-5053__53.png", "Ver Imagen")</f>
        <v>Ver Imagen</v>
      </c>
    </row>
    <row r="3580" spans="1:16" x14ac:dyDescent="0.25">
      <c r="A3580">
        <v>3121</v>
      </c>
      <c r="B3580" t="s">
        <v>6253</v>
      </c>
      <c r="C3580">
        <v>37.229061129400002</v>
      </c>
      <c r="D3580">
        <v>-7.1268676971399998</v>
      </c>
      <c r="E3580">
        <v>2</v>
      </c>
      <c r="F3580">
        <v>3</v>
      </c>
      <c r="G3580">
        <v>3</v>
      </c>
      <c r="J3580" t="s">
        <v>15</v>
      </c>
      <c r="K3580">
        <v>3</v>
      </c>
      <c r="L3580">
        <v>2.5569999999999999</v>
      </c>
      <c r="M3580">
        <v>0</v>
      </c>
      <c r="N3580" t="s">
        <v>10019</v>
      </c>
      <c r="O3580" t="str">
        <f>HYPERLINK("3\1\marker_626_020974.png", "Ver Imagen")</f>
        <v>Ver Imagen</v>
      </c>
      <c r="P3580" t="str">
        <f>HYPERLINK("SO\A-5053\A-5053__52.png", "Ver Imagen")</f>
        <v>Ver Imagen</v>
      </c>
    </row>
    <row r="3581" spans="1:16" x14ac:dyDescent="0.25">
      <c r="A3581">
        <v>3122</v>
      </c>
      <c r="B3581" t="s">
        <v>6255</v>
      </c>
      <c r="C3581">
        <v>37.228862322300003</v>
      </c>
      <c r="D3581">
        <v>-7.1268411391899997</v>
      </c>
      <c r="E3581">
        <v>2</v>
      </c>
      <c r="F3581">
        <v>3</v>
      </c>
      <c r="G3581">
        <v>3</v>
      </c>
      <c r="J3581" t="s">
        <v>15</v>
      </c>
      <c r="K3581">
        <v>3</v>
      </c>
      <c r="L3581">
        <v>2.74</v>
      </c>
      <c r="M3581">
        <v>0</v>
      </c>
      <c r="N3581" t="s">
        <v>10019</v>
      </c>
      <c r="O3581" t="str">
        <f>HYPERLINK("3\1\marker_207_020983.png", "Ver Imagen")</f>
        <v>Ver Imagen</v>
      </c>
      <c r="P3581" t="str">
        <f>HYPERLINK("SO\A-5053\A-5053__51.png", "Ver Imagen")</f>
        <v>Ver Imagen</v>
      </c>
    </row>
    <row r="3582" spans="1:16" x14ac:dyDescent="0.25">
      <c r="A3582">
        <v>3124</v>
      </c>
      <c r="B3582" t="s">
        <v>6259</v>
      </c>
      <c r="C3582">
        <v>37.228262999800002</v>
      </c>
      <c r="D3582">
        <v>-7.1267390596400002</v>
      </c>
      <c r="E3582">
        <v>4</v>
      </c>
      <c r="F3582">
        <v>3</v>
      </c>
      <c r="G3582">
        <v>3</v>
      </c>
      <c r="J3582" t="s">
        <v>15</v>
      </c>
      <c r="K3582">
        <v>3</v>
      </c>
      <c r="L3582">
        <v>2.9769999999999999</v>
      </c>
      <c r="M3582">
        <v>0</v>
      </c>
      <c r="N3582" t="s">
        <v>10019</v>
      </c>
      <c r="O3582" t="str">
        <f>HYPERLINK("3\1\marker_648_021018.png", "Ver Imagen")</f>
        <v>Ver Imagen</v>
      </c>
      <c r="P3582" t="str">
        <f>HYPERLINK("SO\A-5053\A-5053__48.png", "Ver Imagen")</f>
        <v>Ver Imagen</v>
      </c>
    </row>
    <row r="3583" spans="1:16" x14ac:dyDescent="0.25">
      <c r="A3583">
        <v>3125</v>
      </c>
      <c r="B3583" t="s">
        <v>6261</v>
      </c>
      <c r="C3583">
        <v>37.226885824900002</v>
      </c>
      <c r="D3583">
        <v>-7.1263465607200001</v>
      </c>
      <c r="E3583">
        <v>3</v>
      </c>
      <c r="F3583">
        <v>3</v>
      </c>
      <c r="G3583">
        <v>4</v>
      </c>
      <c r="J3583" t="s">
        <v>15</v>
      </c>
      <c r="K3583">
        <v>3</v>
      </c>
      <c r="L3583">
        <v>3.081</v>
      </c>
      <c r="M3583">
        <v>0</v>
      </c>
      <c r="N3583" t="s">
        <v>10018</v>
      </c>
      <c r="O3583" t="str">
        <f>HYPERLINK("3\1\marker_847_021704.png", "Ver Imagen")</f>
        <v>Ver Imagen</v>
      </c>
      <c r="P3583" t="str">
        <f>HYPERLINK("SO\A-5053\A-5053__41.png", "Ver Imagen")</f>
        <v>Ver Imagen</v>
      </c>
    </row>
    <row r="3584" spans="1:16" x14ac:dyDescent="0.25">
      <c r="A3584">
        <v>3126</v>
      </c>
      <c r="B3584" t="s">
        <v>6263</v>
      </c>
      <c r="C3584">
        <v>37.223780396999999</v>
      </c>
      <c r="D3584">
        <v>-7.12519884575</v>
      </c>
      <c r="E3584">
        <v>4</v>
      </c>
      <c r="F3584">
        <v>3</v>
      </c>
      <c r="G3584">
        <v>3</v>
      </c>
      <c r="J3584" t="s">
        <v>15</v>
      </c>
      <c r="K3584">
        <v>3</v>
      </c>
      <c r="L3584">
        <v>2.76</v>
      </c>
      <c r="M3584">
        <v>0</v>
      </c>
      <c r="N3584" t="s">
        <v>10019</v>
      </c>
      <c r="O3584" t="str">
        <f>HYPERLINK("3\1\marker_457_022416.png", "Ver Imagen")</f>
        <v>Ver Imagen</v>
      </c>
      <c r="P3584" t="str">
        <f>HYPERLINK("SO\A-5053\A-5053__25.png", "Ver Imagen")</f>
        <v>Ver Imagen</v>
      </c>
    </row>
    <row r="3585" spans="1:16" x14ac:dyDescent="0.25">
      <c r="A3585">
        <v>3127</v>
      </c>
      <c r="B3585" t="s">
        <v>6265</v>
      </c>
      <c r="C3585">
        <v>37.221988221099998</v>
      </c>
      <c r="D3585">
        <v>-7.1251557483800001</v>
      </c>
      <c r="E3585">
        <v>2</v>
      </c>
      <c r="F3585">
        <v>3</v>
      </c>
      <c r="G3585">
        <v>3</v>
      </c>
      <c r="J3585" t="s">
        <v>15</v>
      </c>
      <c r="K3585">
        <v>3</v>
      </c>
      <c r="L3585">
        <v>3.0310000000000001</v>
      </c>
      <c r="M3585">
        <v>0</v>
      </c>
      <c r="N3585" t="s">
        <v>10019</v>
      </c>
      <c r="O3585" t="str">
        <f>HYPERLINK("3\1\marker_322_025042.png", "Ver Imagen")</f>
        <v>Ver Imagen</v>
      </c>
      <c r="P3585" t="str">
        <f>HYPERLINK("SO\A-5053\A-5053__16.png", "Ver Imagen")</f>
        <v>Ver Imagen</v>
      </c>
    </row>
    <row r="3586" spans="1:16" x14ac:dyDescent="0.25">
      <c r="A3586">
        <v>3128</v>
      </c>
      <c r="B3586" t="s">
        <v>6267</v>
      </c>
      <c r="C3586">
        <v>37.2216006425</v>
      </c>
      <c r="D3586">
        <v>-7.1253193462400004</v>
      </c>
      <c r="E3586">
        <v>2</v>
      </c>
      <c r="F3586">
        <v>3</v>
      </c>
      <c r="G3586">
        <v>3</v>
      </c>
      <c r="J3586" t="s">
        <v>15</v>
      </c>
      <c r="K3586">
        <v>3</v>
      </c>
      <c r="L3586">
        <v>2.883</v>
      </c>
      <c r="M3586">
        <v>0</v>
      </c>
      <c r="N3586" t="s">
        <v>10019</v>
      </c>
      <c r="O3586" t="str">
        <f>HYPERLINK("3\1\marker_506_025062.png", "Ver Imagen")</f>
        <v>Ver Imagen</v>
      </c>
      <c r="P3586" t="str">
        <f>HYPERLINK("SO\A-5053\A-5053__14.png", "Ver Imagen")</f>
        <v>Ver Imagen</v>
      </c>
    </row>
    <row r="3587" spans="1:16" x14ac:dyDescent="0.25">
      <c r="A3587">
        <v>3129</v>
      </c>
      <c r="B3587" t="s">
        <v>6269</v>
      </c>
      <c r="C3587">
        <v>37.443235650600002</v>
      </c>
      <c r="D3587">
        <v>-7.0950710855099999</v>
      </c>
      <c r="E3587">
        <v>2</v>
      </c>
      <c r="F3587">
        <v>3</v>
      </c>
      <c r="G3587">
        <v>3</v>
      </c>
      <c r="J3587" t="s">
        <v>15</v>
      </c>
      <c r="K3587">
        <v>3</v>
      </c>
      <c r="L3587">
        <v>2.887</v>
      </c>
      <c r="M3587">
        <v>0</v>
      </c>
      <c r="N3587" t="s">
        <v>10019</v>
      </c>
      <c r="O3587" t="str">
        <f>HYPERLINK("3\1\marker_682_381315.png", "Ver Imagen")</f>
        <v>Ver Imagen</v>
      </c>
      <c r="P3587" t="str">
        <f>HYPERLINK("NE\A-495\A-495__22.png", "Ver Imagen")</f>
        <v>Ver Imagen</v>
      </c>
    </row>
    <row r="3588" spans="1:16" x14ac:dyDescent="0.25">
      <c r="A3588">
        <v>3130</v>
      </c>
      <c r="B3588" t="s">
        <v>6271</v>
      </c>
      <c r="C3588">
        <v>37.4427074014</v>
      </c>
      <c r="D3588">
        <v>-7.0936930899000004</v>
      </c>
      <c r="E3588">
        <v>3</v>
      </c>
      <c r="F3588">
        <v>3</v>
      </c>
      <c r="G3588">
        <v>2</v>
      </c>
      <c r="J3588" t="s">
        <v>15</v>
      </c>
      <c r="K3588">
        <v>3</v>
      </c>
      <c r="L3588">
        <v>3.2469999999999999</v>
      </c>
      <c r="M3588">
        <v>0</v>
      </c>
      <c r="N3588" t="s">
        <v>10019</v>
      </c>
      <c r="O3588" t="str">
        <f>HYPERLINK("3\1\marker_667_381378.png", "Ver Imagen")</f>
        <v>Ver Imagen</v>
      </c>
      <c r="P3588" t="str">
        <f>HYPERLINK("NE\A-495\A-495__28.png", "Ver Imagen")</f>
        <v>Ver Imagen</v>
      </c>
    </row>
    <row r="3589" spans="1:16" x14ac:dyDescent="0.25">
      <c r="A3589">
        <v>3131</v>
      </c>
      <c r="B3589" t="s">
        <v>6273</v>
      </c>
      <c r="C3589">
        <v>37.442623770399997</v>
      </c>
      <c r="D3589">
        <v>-7.0934759620800003</v>
      </c>
      <c r="E3589">
        <v>3</v>
      </c>
      <c r="F3589">
        <v>3</v>
      </c>
      <c r="G3589">
        <v>2</v>
      </c>
      <c r="J3589" t="s">
        <v>15</v>
      </c>
      <c r="K3589">
        <v>3</v>
      </c>
      <c r="L3589">
        <v>2.7189999999999999</v>
      </c>
      <c r="M3589">
        <v>0</v>
      </c>
      <c r="N3589" t="s">
        <v>10017</v>
      </c>
      <c r="O3589" t="str">
        <f>HYPERLINK("3\1\marker_163_381388.png", "Ver Imagen")</f>
        <v>Ver Imagen</v>
      </c>
      <c r="P3589" t="str">
        <f>HYPERLINK("NE\A-495\A-495__29.png", "Ver Imagen")</f>
        <v>Ver Imagen</v>
      </c>
    </row>
    <row r="3590" spans="1:16" x14ac:dyDescent="0.25">
      <c r="A3590">
        <v>3132</v>
      </c>
      <c r="B3590" t="s">
        <v>6275</v>
      </c>
      <c r="C3590">
        <v>37.439934698499997</v>
      </c>
      <c r="D3590">
        <v>-7.0875200302000003</v>
      </c>
      <c r="E3590">
        <v>3</v>
      </c>
      <c r="F3590">
        <v>3</v>
      </c>
      <c r="G3590">
        <v>4</v>
      </c>
      <c r="J3590" t="s">
        <v>15</v>
      </c>
      <c r="K3590">
        <v>3</v>
      </c>
      <c r="L3590">
        <v>2.9860000000000002</v>
      </c>
      <c r="M3590">
        <v>0</v>
      </c>
      <c r="N3590" t="s">
        <v>10019</v>
      </c>
      <c r="O3590" t="str">
        <f>HYPERLINK("3\1\marker_490_381670.png", "Ver Imagen")</f>
        <v>Ver Imagen</v>
      </c>
      <c r="P3590" t="str">
        <f>HYPERLINK("NE\A-495\A-495__56.png", "Ver Imagen")</f>
        <v>Ver Imagen</v>
      </c>
    </row>
    <row r="3591" spans="1:16" x14ac:dyDescent="0.25">
      <c r="A3591">
        <v>3133</v>
      </c>
      <c r="B3591" t="s">
        <v>6277</v>
      </c>
      <c r="C3591">
        <v>37.4397336416</v>
      </c>
      <c r="D3591">
        <v>-7.0870989975800001</v>
      </c>
      <c r="E3591">
        <v>3</v>
      </c>
      <c r="F3591">
        <v>3</v>
      </c>
      <c r="G3591">
        <v>4</v>
      </c>
      <c r="J3591" t="s">
        <v>15</v>
      </c>
      <c r="K3591">
        <v>3</v>
      </c>
      <c r="L3591">
        <v>2.98</v>
      </c>
      <c r="M3591">
        <v>0</v>
      </c>
      <c r="N3591" t="s">
        <v>10019</v>
      </c>
      <c r="O3591" t="str">
        <f>HYPERLINK("3\1\marker_973_381692.png", "Ver Imagen")</f>
        <v>Ver Imagen</v>
      </c>
      <c r="P3591" t="str">
        <f>HYPERLINK("NE\A-495\A-495__58.png", "Ver Imagen")</f>
        <v>Ver Imagen</v>
      </c>
    </row>
    <row r="3592" spans="1:16" x14ac:dyDescent="0.25">
      <c r="A3592">
        <v>3134</v>
      </c>
      <c r="B3592" t="s">
        <v>6279</v>
      </c>
      <c r="C3592">
        <v>37.438823769800003</v>
      </c>
      <c r="D3592">
        <v>-7.0850827306699999</v>
      </c>
      <c r="E3592">
        <v>3</v>
      </c>
      <c r="F3592">
        <v>3</v>
      </c>
      <c r="G3592">
        <v>4</v>
      </c>
      <c r="J3592" t="s">
        <v>15</v>
      </c>
      <c r="K3592">
        <v>3</v>
      </c>
      <c r="L3592">
        <v>3.0680000000000001</v>
      </c>
      <c r="M3592">
        <v>0</v>
      </c>
      <c r="N3592" t="s">
        <v>10019</v>
      </c>
      <c r="O3592" t="str">
        <f>HYPERLINK("3\1\marker_180_381786.png", "Ver Imagen")</f>
        <v>Ver Imagen</v>
      </c>
      <c r="P3592" t="str">
        <f>HYPERLINK("NE\A-495\A-495__67.png", "Ver Imagen")</f>
        <v>Ver Imagen</v>
      </c>
    </row>
    <row r="3593" spans="1:16" x14ac:dyDescent="0.25">
      <c r="A3593">
        <v>3135</v>
      </c>
      <c r="B3593" t="s">
        <v>6281</v>
      </c>
      <c r="C3593">
        <v>37.438162409599997</v>
      </c>
      <c r="D3593">
        <v>-7.0832067469500002</v>
      </c>
      <c r="E3593">
        <v>3</v>
      </c>
      <c r="F3593">
        <v>3</v>
      </c>
      <c r="G3593">
        <v>4</v>
      </c>
      <c r="J3593" t="s">
        <v>15</v>
      </c>
      <c r="K3593">
        <v>3</v>
      </c>
      <c r="L3593">
        <v>2.9060000000000001</v>
      </c>
      <c r="M3593">
        <v>0</v>
      </c>
      <c r="N3593" t="s">
        <v>10019</v>
      </c>
      <c r="O3593" t="str">
        <f>HYPERLINK("3\1\marker_338_381867.png", "Ver Imagen")</f>
        <v>Ver Imagen</v>
      </c>
      <c r="P3593" t="str">
        <f>HYPERLINK("NE\A-495\A-495__75.png", "Ver Imagen")</f>
        <v>Ver Imagen</v>
      </c>
    </row>
    <row r="3594" spans="1:16" x14ac:dyDescent="0.25">
      <c r="A3594">
        <v>3136</v>
      </c>
      <c r="B3594" t="s">
        <v>6283</v>
      </c>
      <c r="C3594">
        <v>37.437778648699997</v>
      </c>
      <c r="D3594">
        <v>-7.0820720260199996</v>
      </c>
      <c r="E3594">
        <v>3</v>
      </c>
      <c r="F3594">
        <v>3</v>
      </c>
      <c r="G3594">
        <v>4</v>
      </c>
      <c r="J3594" t="s">
        <v>15</v>
      </c>
      <c r="K3594">
        <v>3</v>
      </c>
      <c r="L3594">
        <v>2.9279999999999999</v>
      </c>
      <c r="M3594">
        <v>0</v>
      </c>
      <c r="N3594" t="s">
        <v>10019</v>
      </c>
      <c r="O3594" t="str">
        <f>HYPERLINK("3\1\marker_947_381933.png", "Ver Imagen")</f>
        <v>Ver Imagen</v>
      </c>
      <c r="P3594" t="str">
        <f>HYPERLINK("NE\A-495\A-495__80.png", "Ver Imagen")</f>
        <v>Ver Imagen</v>
      </c>
    </row>
    <row r="3595" spans="1:16" x14ac:dyDescent="0.25">
      <c r="A3595">
        <v>3137</v>
      </c>
      <c r="B3595" t="s">
        <v>6285</v>
      </c>
      <c r="C3595">
        <v>37.437127642500002</v>
      </c>
      <c r="D3595">
        <v>-7.0805239784099996</v>
      </c>
      <c r="E3595">
        <v>3</v>
      </c>
      <c r="F3595">
        <v>3</v>
      </c>
      <c r="G3595">
        <v>4</v>
      </c>
      <c r="J3595" t="s">
        <v>15</v>
      </c>
      <c r="K3595">
        <v>3</v>
      </c>
      <c r="L3595">
        <v>3.0950000000000002</v>
      </c>
      <c r="M3595">
        <v>0</v>
      </c>
      <c r="N3595" t="s">
        <v>10019</v>
      </c>
      <c r="O3595" t="str">
        <f>HYPERLINK("3\1\marker_867_382013.png", "Ver Imagen")</f>
        <v>Ver Imagen</v>
      </c>
      <c r="P3595" t="str">
        <f>HYPERLINK("NE\A-495\A-495__87.png", "Ver Imagen")</f>
        <v>Ver Imagen</v>
      </c>
    </row>
    <row r="3596" spans="1:16" x14ac:dyDescent="0.25">
      <c r="A3596">
        <v>3138</v>
      </c>
      <c r="B3596" t="s">
        <v>6287</v>
      </c>
      <c r="C3596">
        <v>37.436606725499999</v>
      </c>
      <c r="D3596">
        <v>-7.0787276591200001</v>
      </c>
      <c r="E3596">
        <v>3</v>
      </c>
      <c r="F3596">
        <v>3</v>
      </c>
      <c r="G3596">
        <v>4</v>
      </c>
      <c r="J3596" t="s">
        <v>15</v>
      </c>
      <c r="K3596">
        <v>3</v>
      </c>
      <c r="L3596">
        <v>2.7749999999999999</v>
      </c>
      <c r="M3596">
        <v>0</v>
      </c>
      <c r="N3596" t="s">
        <v>10019</v>
      </c>
      <c r="O3596" t="str">
        <f>HYPERLINK("3\1\marker_746_382108.png", "Ver Imagen")</f>
        <v>Ver Imagen</v>
      </c>
      <c r="P3596" t="str">
        <f>HYPERLINK("NE\A-495\A-495__95.png", "Ver Imagen")</f>
        <v>Ver Imagen</v>
      </c>
    </row>
    <row r="3597" spans="1:16" x14ac:dyDescent="0.25">
      <c r="A3597">
        <v>3140</v>
      </c>
      <c r="B3597" t="s">
        <v>6291</v>
      </c>
      <c r="C3597">
        <v>37.221116780099997</v>
      </c>
      <c r="D3597">
        <v>-7.0537015379100003</v>
      </c>
      <c r="E3597">
        <v>4</v>
      </c>
      <c r="F3597">
        <v>3</v>
      </c>
      <c r="G3597">
        <v>3</v>
      </c>
      <c r="J3597" t="s">
        <v>15</v>
      </c>
      <c r="K3597">
        <v>3</v>
      </c>
      <c r="L3597">
        <v>3.1349999999999998</v>
      </c>
      <c r="M3597">
        <v>0</v>
      </c>
      <c r="N3597" t="s">
        <v>10019</v>
      </c>
      <c r="O3597" t="str">
        <f>HYPERLINK("3\1\marker_994_378694.png", "Ver Imagen")</f>
        <v>Ver Imagen</v>
      </c>
      <c r="P3597" t="str">
        <f>HYPERLINK("SE\A-5059\A-5059__83.png", "Ver Imagen")</f>
        <v>Ver Imagen</v>
      </c>
    </row>
    <row r="3598" spans="1:16" x14ac:dyDescent="0.25">
      <c r="A3598">
        <v>3141</v>
      </c>
      <c r="B3598" t="s">
        <v>6293</v>
      </c>
      <c r="C3598">
        <v>37.221419422899999</v>
      </c>
      <c r="D3598">
        <v>-7.0543462766999996</v>
      </c>
      <c r="E3598">
        <v>4</v>
      </c>
      <c r="F3598">
        <v>3</v>
      </c>
      <c r="G3598">
        <v>3</v>
      </c>
      <c r="J3598" t="s">
        <v>15</v>
      </c>
      <c r="K3598">
        <v>3</v>
      </c>
      <c r="L3598">
        <v>2.9260000000000002</v>
      </c>
      <c r="M3598">
        <v>0</v>
      </c>
      <c r="N3598" t="s">
        <v>10019</v>
      </c>
      <c r="O3598" t="str">
        <f>HYPERLINK("3\1\marker_647_378739.png", "Ver Imagen")</f>
        <v>Ver Imagen</v>
      </c>
      <c r="P3598" t="str">
        <f>HYPERLINK("SE\A-5059\A-5059__80.png", "Ver Imagen")</f>
        <v>Ver Imagen</v>
      </c>
    </row>
    <row r="3599" spans="1:16" x14ac:dyDescent="0.25">
      <c r="A3599">
        <v>3142</v>
      </c>
      <c r="B3599" t="s">
        <v>6295</v>
      </c>
      <c r="C3599">
        <v>37.435294996800003</v>
      </c>
      <c r="D3599">
        <v>-7.0717431854999999</v>
      </c>
      <c r="E3599">
        <v>4</v>
      </c>
      <c r="F3599">
        <v>3</v>
      </c>
      <c r="G3599">
        <v>3</v>
      </c>
      <c r="J3599" t="s">
        <v>15</v>
      </c>
      <c r="K3599">
        <v>3</v>
      </c>
      <c r="L3599">
        <v>3.2650000000000001</v>
      </c>
      <c r="M3599">
        <v>0</v>
      </c>
      <c r="N3599" t="s">
        <v>10018</v>
      </c>
      <c r="O3599" t="str">
        <f>HYPERLINK("3\1\marker_664_382423.png", "Ver Imagen")</f>
        <v>Ver Imagen</v>
      </c>
      <c r="P3599" t="str">
        <f>HYPERLINK("NE\A-495\A-495__125.png", "Ver Imagen")</f>
        <v>Ver Imagen</v>
      </c>
    </row>
    <row r="3600" spans="1:16" x14ac:dyDescent="0.25">
      <c r="A3600">
        <v>3143</v>
      </c>
      <c r="B3600" t="s">
        <v>6297</v>
      </c>
      <c r="C3600">
        <v>37.226774219399999</v>
      </c>
      <c r="D3600">
        <v>-7.0605493613099997</v>
      </c>
      <c r="E3600">
        <v>3</v>
      </c>
      <c r="F3600">
        <v>3</v>
      </c>
      <c r="G3600">
        <v>2</v>
      </c>
      <c r="J3600" t="s">
        <v>15</v>
      </c>
      <c r="K3600">
        <v>3</v>
      </c>
      <c r="L3600">
        <v>3.0910000000000002</v>
      </c>
      <c r="M3600">
        <v>0</v>
      </c>
      <c r="N3600" t="s">
        <v>10019</v>
      </c>
      <c r="O3600" t="str">
        <f>HYPERLINK("3\1\marker_469_379267.png", "Ver Imagen")</f>
        <v>Ver Imagen</v>
      </c>
      <c r="P3600" t="str">
        <f>HYPERLINK("SE\A-5059\A-5059__43.png", "Ver Imagen")</f>
        <v>Ver Imagen</v>
      </c>
    </row>
    <row r="3601" spans="1:16" x14ac:dyDescent="0.25">
      <c r="A3601">
        <v>3145</v>
      </c>
      <c r="B3601" t="s">
        <v>6301</v>
      </c>
      <c r="C3601">
        <v>37.233006024600002</v>
      </c>
      <c r="D3601">
        <v>-7.0656755652600003</v>
      </c>
      <c r="E3601">
        <v>3</v>
      </c>
      <c r="F3601">
        <v>3</v>
      </c>
      <c r="G3601">
        <v>4</v>
      </c>
      <c r="J3601" t="s">
        <v>15</v>
      </c>
      <c r="K3601">
        <v>3</v>
      </c>
      <c r="L3601">
        <v>2.9590000000000001</v>
      </c>
      <c r="M3601">
        <v>0</v>
      </c>
      <c r="N3601" t="s">
        <v>10019</v>
      </c>
      <c r="O3601" t="str">
        <f>HYPERLINK("3\1\marker_475_379626.png", "Ver Imagen")</f>
        <v>Ver Imagen</v>
      </c>
      <c r="P3601" t="str">
        <f>HYPERLINK("SE\A-5059\A-5059__5.png", "Ver Imagen")</f>
        <v>Ver Imagen</v>
      </c>
    </row>
    <row r="3602" spans="1:16" x14ac:dyDescent="0.25">
      <c r="A3602">
        <v>3146</v>
      </c>
      <c r="B3602" t="s">
        <v>6303</v>
      </c>
      <c r="C3602">
        <v>37.224536180999998</v>
      </c>
      <c r="D3602">
        <v>-7.0349205321800001</v>
      </c>
      <c r="E3602">
        <v>4</v>
      </c>
      <c r="F3602">
        <v>3</v>
      </c>
      <c r="G3602">
        <v>3</v>
      </c>
      <c r="J3602" t="s">
        <v>15</v>
      </c>
      <c r="K3602">
        <v>3</v>
      </c>
      <c r="L3602">
        <v>2.8730000000000002</v>
      </c>
      <c r="M3602">
        <v>0</v>
      </c>
      <c r="N3602" t="s">
        <v>10019</v>
      </c>
      <c r="O3602" t="str">
        <f>HYPERLINK("3\1\marker_464_380200.png", "Ver Imagen")</f>
        <v>Ver Imagen</v>
      </c>
      <c r="P3602" t="str">
        <f>HYPERLINK("SE\A-5058\A-5058__31.png", "Ver Imagen")</f>
        <v>Ver Imagen</v>
      </c>
    </row>
    <row r="3603" spans="1:16" x14ac:dyDescent="0.25">
      <c r="A3603">
        <v>3147</v>
      </c>
      <c r="B3603" t="s">
        <v>6305</v>
      </c>
      <c r="C3603">
        <v>37.224555806399998</v>
      </c>
      <c r="D3603">
        <v>-7.0351599573800003</v>
      </c>
      <c r="E3603">
        <v>4</v>
      </c>
      <c r="F3603">
        <v>3</v>
      </c>
      <c r="G3603">
        <v>3</v>
      </c>
      <c r="J3603" t="s">
        <v>15</v>
      </c>
      <c r="K3603">
        <v>3</v>
      </c>
      <c r="L3603">
        <v>3.36</v>
      </c>
      <c r="M3603">
        <v>0</v>
      </c>
      <c r="N3603" t="s">
        <v>10017</v>
      </c>
      <c r="O3603" t="str">
        <f>HYPERLINK("3\1\marker_207_380212.png", "Ver Imagen")</f>
        <v>Ver Imagen</v>
      </c>
      <c r="P3603" t="str">
        <f>HYPERLINK("SE\A-5058\A-5058__32.png", "Ver Imagen")</f>
        <v>Ver Imagen</v>
      </c>
    </row>
    <row r="3604" spans="1:16" x14ac:dyDescent="0.25">
      <c r="A3604">
        <v>3148</v>
      </c>
      <c r="B3604" t="s">
        <v>6307</v>
      </c>
      <c r="C3604">
        <v>37.2288894211</v>
      </c>
      <c r="D3604">
        <v>-7.0468658393699997</v>
      </c>
      <c r="E3604">
        <v>2</v>
      </c>
      <c r="F3604">
        <v>3</v>
      </c>
      <c r="G3604">
        <v>3</v>
      </c>
      <c r="J3604" t="s">
        <v>15</v>
      </c>
      <c r="K3604">
        <v>3</v>
      </c>
      <c r="L3604">
        <v>2.8889999999999998</v>
      </c>
      <c r="M3604">
        <v>0</v>
      </c>
      <c r="N3604" t="s">
        <v>10019</v>
      </c>
      <c r="O3604" t="str">
        <f>HYPERLINK("3\1\marker_716_380944.png", "Ver Imagen")</f>
        <v>Ver Imagen</v>
      </c>
      <c r="P3604" t="str">
        <f>HYPERLINK("SE\A-5058\A-5058__86.png", "Ver Imagen")</f>
        <v>Ver Imagen</v>
      </c>
    </row>
    <row r="3605" spans="1:16" x14ac:dyDescent="0.25">
      <c r="A3605">
        <v>3149</v>
      </c>
      <c r="B3605" t="s">
        <v>6309</v>
      </c>
      <c r="C3605">
        <v>37.230476833099999</v>
      </c>
      <c r="D3605">
        <v>-7.04950354179</v>
      </c>
      <c r="E3605">
        <v>2</v>
      </c>
      <c r="F3605">
        <v>3</v>
      </c>
      <c r="G3605">
        <v>3</v>
      </c>
      <c r="J3605" t="s">
        <v>15</v>
      </c>
      <c r="K3605">
        <v>3</v>
      </c>
      <c r="L3605">
        <v>2.9329999999999998</v>
      </c>
      <c r="M3605">
        <v>0</v>
      </c>
      <c r="N3605" t="s">
        <v>10019</v>
      </c>
      <c r="O3605" t="str">
        <f>HYPERLINK("3\1\marker_349_381099.png", "Ver Imagen")</f>
        <v>Ver Imagen</v>
      </c>
      <c r="P3605" t="str">
        <f>HYPERLINK("SE\A-5058\A-5058__99.png", "Ver Imagen")</f>
        <v>Ver Imagen</v>
      </c>
    </row>
    <row r="3606" spans="1:16" x14ac:dyDescent="0.25">
      <c r="A3606">
        <v>3150</v>
      </c>
      <c r="B3606" t="s">
        <v>6311</v>
      </c>
      <c r="C3606">
        <v>37.234090402299998</v>
      </c>
      <c r="D3606">
        <v>-7.0587176737400004</v>
      </c>
      <c r="E3606">
        <v>2</v>
      </c>
      <c r="F3606">
        <v>3</v>
      </c>
      <c r="G3606">
        <v>3</v>
      </c>
      <c r="J3606" t="s">
        <v>15</v>
      </c>
      <c r="K3606">
        <v>3</v>
      </c>
      <c r="L3606">
        <v>2.7149999999999999</v>
      </c>
      <c r="M3606">
        <v>0</v>
      </c>
      <c r="N3606" t="s">
        <v>10019</v>
      </c>
      <c r="O3606" t="str">
        <f>HYPERLINK("3\1\marker_130_381572.png", "Ver Imagen")</f>
        <v>Ver Imagen</v>
      </c>
      <c r="P3606" t="str">
        <f>HYPERLINK("SE\A-5058\A-5058__140.png", "Ver Imagen")</f>
        <v>Ver Imagen</v>
      </c>
    </row>
    <row r="3607" spans="1:16" x14ac:dyDescent="0.25">
      <c r="A3607">
        <v>3151</v>
      </c>
      <c r="B3607" t="s">
        <v>6313</v>
      </c>
      <c r="C3607">
        <v>37.234138223400002</v>
      </c>
      <c r="D3607">
        <v>-7.0595186324599997</v>
      </c>
      <c r="E3607">
        <v>3</v>
      </c>
      <c r="F3607">
        <v>3</v>
      </c>
      <c r="G3607">
        <v>4</v>
      </c>
      <c r="J3607" t="s">
        <v>15</v>
      </c>
      <c r="K3607">
        <v>3</v>
      </c>
      <c r="L3607">
        <v>3.1779999999999999</v>
      </c>
      <c r="M3607">
        <v>0</v>
      </c>
      <c r="N3607" t="s">
        <v>10019</v>
      </c>
      <c r="O3607" t="str">
        <f>HYPERLINK("3\1\marker_877_381622.png", "Ver Imagen")</f>
        <v>Ver Imagen</v>
      </c>
      <c r="P3607" t="str">
        <f>HYPERLINK("SE\A-5058\A-5058__143.png", "Ver Imagen")</f>
        <v>Ver Imagen</v>
      </c>
    </row>
    <row r="3608" spans="1:16" x14ac:dyDescent="0.25">
      <c r="A3608">
        <v>3153</v>
      </c>
      <c r="B3608" t="s">
        <v>6317</v>
      </c>
      <c r="C3608">
        <v>37.234067997499999</v>
      </c>
      <c r="D3608">
        <v>-7.0628059116799999</v>
      </c>
      <c r="E3608">
        <v>3</v>
      </c>
      <c r="F3608">
        <v>3</v>
      </c>
      <c r="G3608">
        <v>2</v>
      </c>
      <c r="J3608" t="s">
        <v>15</v>
      </c>
      <c r="K3608">
        <v>3</v>
      </c>
      <c r="L3608">
        <v>2.5830000000000002</v>
      </c>
      <c r="M3608">
        <v>0</v>
      </c>
      <c r="N3608" t="s">
        <v>10019</v>
      </c>
      <c r="O3608" t="str">
        <f>HYPERLINK("3\1\marker_211_381768.png", "Ver Imagen")</f>
        <v>Ver Imagen</v>
      </c>
      <c r="P3608" t="str">
        <f>HYPERLINK("SE\A-5058\A-5058__156.png", "Ver Imagen")</f>
        <v>Ver Imagen</v>
      </c>
    </row>
    <row r="3609" spans="1:16" x14ac:dyDescent="0.25">
      <c r="A3609">
        <v>3154</v>
      </c>
      <c r="B3609" t="s">
        <v>6319</v>
      </c>
      <c r="C3609">
        <v>37.233965251599997</v>
      </c>
      <c r="D3609">
        <v>-7.0650494694499999</v>
      </c>
      <c r="E3609">
        <v>3</v>
      </c>
      <c r="F3609">
        <v>3</v>
      </c>
      <c r="G3609">
        <v>4</v>
      </c>
      <c r="J3609" t="s">
        <v>15</v>
      </c>
      <c r="K3609">
        <v>3</v>
      </c>
      <c r="L3609">
        <v>2.931</v>
      </c>
      <c r="M3609">
        <v>0</v>
      </c>
      <c r="N3609" t="s">
        <v>10019</v>
      </c>
      <c r="O3609" t="str">
        <f>HYPERLINK("3\1\marker_651_381877.png", "Ver Imagen")</f>
        <v>Ver Imagen</v>
      </c>
      <c r="P3609" t="str">
        <f>HYPERLINK("SE\A-5058\A-5058__165.png", "Ver Imagen")</f>
        <v>Ver Imagen</v>
      </c>
    </row>
    <row r="3610" spans="1:16" x14ac:dyDescent="0.25">
      <c r="A3610">
        <v>3155</v>
      </c>
      <c r="B3610" t="s">
        <v>6321</v>
      </c>
      <c r="C3610">
        <v>37.233937310800002</v>
      </c>
      <c r="D3610">
        <v>-7.0653092644599997</v>
      </c>
      <c r="E3610">
        <v>3</v>
      </c>
      <c r="F3610">
        <v>3</v>
      </c>
      <c r="G3610">
        <v>4</v>
      </c>
      <c r="J3610" t="s">
        <v>15</v>
      </c>
      <c r="K3610">
        <v>3</v>
      </c>
      <c r="L3610">
        <v>2.9510000000000001</v>
      </c>
      <c r="M3610">
        <v>0</v>
      </c>
      <c r="N3610" t="s">
        <v>10019</v>
      </c>
      <c r="O3610" t="str">
        <f>HYPERLINK("3\1\marker_844_381887.png", "Ver Imagen")</f>
        <v>Ver Imagen</v>
      </c>
      <c r="P3610" t="str">
        <f>HYPERLINK("SE\A-5058\A-5058__166.png", "Ver Imagen")</f>
        <v>Ver Imagen</v>
      </c>
    </row>
    <row r="3611" spans="1:16" x14ac:dyDescent="0.25">
      <c r="A3611">
        <v>3156</v>
      </c>
      <c r="B3611" t="s">
        <v>6323</v>
      </c>
      <c r="C3611">
        <v>37.233874763199999</v>
      </c>
      <c r="D3611">
        <v>-7.0658079042699997</v>
      </c>
      <c r="E3611">
        <v>3</v>
      </c>
      <c r="F3611">
        <v>3</v>
      </c>
      <c r="G3611">
        <v>4</v>
      </c>
      <c r="J3611" t="s">
        <v>15</v>
      </c>
      <c r="K3611">
        <v>3</v>
      </c>
      <c r="L3611">
        <v>3.1309999999999998</v>
      </c>
      <c r="M3611">
        <v>0</v>
      </c>
      <c r="N3611" t="s">
        <v>10019</v>
      </c>
      <c r="O3611" t="str">
        <f>HYPERLINK("3\1\marker_689_382315.png", "Ver Imagen")</f>
        <v>Ver Imagen</v>
      </c>
      <c r="P3611" t="str">
        <f>HYPERLINK("SE\A-5058\A-5058__168.png", "Ver Imagen")</f>
        <v>Ver Imagen</v>
      </c>
    </row>
    <row r="3612" spans="1:16" x14ac:dyDescent="0.25">
      <c r="A3612">
        <v>3157</v>
      </c>
      <c r="B3612" t="s">
        <v>6325</v>
      </c>
      <c r="C3612">
        <v>37.233653413299997</v>
      </c>
      <c r="D3612">
        <v>-7.0671296232399996</v>
      </c>
      <c r="E3612">
        <v>3</v>
      </c>
      <c r="F3612">
        <v>3</v>
      </c>
      <c r="G3612">
        <v>4</v>
      </c>
      <c r="J3612" t="s">
        <v>15</v>
      </c>
      <c r="K3612">
        <v>3</v>
      </c>
      <c r="L3612">
        <v>3.38</v>
      </c>
      <c r="M3612">
        <v>0</v>
      </c>
      <c r="N3612" t="s">
        <v>10019</v>
      </c>
      <c r="O3612" t="str">
        <f>HYPERLINK("3\1\marker_870_382454.png", "Ver Imagen")</f>
        <v>Ver Imagen</v>
      </c>
      <c r="P3612" t="str">
        <f>HYPERLINK("SE\A-5058\A-5058__174.png", "Ver Imagen")</f>
        <v>Ver Imagen</v>
      </c>
    </row>
    <row r="3613" spans="1:16" x14ac:dyDescent="0.25">
      <c r="A3613">
        <v>3158</v>
      </c>
      <c r="B3613" t="s">
        <v>6327</v>
      </c>
      <c r="C3613">
        <v>37.233578762100002</v>
      </c>
      <c r="D3613">
        <v>-7.0676525701199999</v>
      </c>
      <c r="E3613">
        <v>3</v>
      </c>
      <c r="F3613">
        <v>3</v>
      </c>
      <c r="G3613">
        <v>4</v>
      </c>
      <c r="J3613" t="s">
        <v>15</v>
      </c>
      <c r="K3613">
        <v>3</v>
      </c>
      <c r="L3613">
        <v>3.01</v>
      </c>
      <c r="M3613">
        <v>0</v>
      </c>
      <c r="N3613" t="s">
        <v>10019</v>
      </c>
      <c r="O3613" t="str">
        <f>HYPERLINK("3\1\marker_236_382475.png", "Ver Imagen")</f>
        <v>Ver Imagen</v>
      </c>
      <c r="P3613" t="str">
        <f>HYPERLINK("SE\A-5058\A-5058__176.png", "Ver Imagen")</f>
        <v>Ver Imagen</v>
      </c>
    </row>
    <row r="3614" spans="1:16" x14ac:dyDescent="0.25">
      <c r="A3614">
        <v>3159</v>
      </c>
      <c r="B3614" t="s">
        <v>6329</v>
      </c>
      <c r="C3614">
        <v>37.233708377699998</v>
      </c>
      <c r="D3614">
        <v>-7.0686338577400001</v>
      </c>
      <c r="E3614">
        <v>3</v>
      </c>
      <c r="F3614">
        <v>3</v>
      </c>
      <c r="G3614">
        <v>4</v>
      </c>
      <c r="J3614" t="s">
        <v>15</v>
      </c>
      <c r="K3614">
        <v>3</v>
      </c>
      <c r="L3614">
        <v>3.004</v>
      </c>
      <c r="M3614">
        <v>0</v>
      </c>
      <c r="N3614" t="s">
        <v>10017</v>
      </c>
      <c r="O3614" t="str">
        <f>HYPERLINK("3\1\marker_208_382662.png", "Ver Imagen")</f>
        <v>Ver Imagen</v>
      </c>
      <c r="P3614" t="str">
        <f>HYPERLINK("SE\A-5058\A-5058__180.png", "Ver Imagen")</f>
        <v>Ver Imagen</v>
      </c>
    </row>
    <row r="3615" spans="1:16" x14ac:dyDescent="0.25">
      <c r="A3615">
        <v>3160</v>
      </c>
      <c r="B3615" t="s">
        <v>6331</v>
      </c>
      <c r="C3615">
        <v>37.233973524200003</v>
      </c>
      <c r="D3615">
        <v>-7.0695817060200001</v>
      </c>
      <c r="E3615">
        <v>2</v>
      </c>
      <c r="F3615">
        <v>3</v>
      </c>
      <c r="G3615">
        <v>3</v>
      </c>
      <c r="J3615" t="s">
        <v>15</v>
      </c>
      <c r="K3615">
        <v>3</v>
      </c>
      <c r="L3615">
        <v>2.8929999999999998</v>
      </c>
      <c r="M3615">
        <v>0</v>
      </c>
      <c r="N3615" t="s">
        <v>10019</v>
      </c>
      <c r="O3615" t="str">
        <f>HYPERLINK("3\1\marker_782_382717.png", "Ver Imagen")</f>
        <v>Ver Imagen</v>
      </c>
      <c r="P3615" t="str">
        <f>HYPERLINK("SE\A-5058\A-5058__184.png", "Ver Imagen")</f>
        <v>Ver Imagen</v>
      </c>
    </row>
    <row r="3616" spans="1:16" x14ac:dyDescent="0.25">
      <c r="A3616">
        <v>3161</v>
      </c>
      <c r="B3616" t="s">
        <v>6333</v>
      </c>
      <c r="C3616">
        <v>37.234234203699998</v>
      </c>
      <c r="D3616">
        <v>-7.0705075035</v>
      </c>
      <c r="E3616">
        <v>3</v>
      </c>
      <c r="F3616">
        <v>3</v>
      </c>
      <c r="G3616">
        <v>4</v>
      </c>
      <c r="J3616" t="s">
        <v>15</v>
      </c>
      <c r="K3616">
        <v>3</v>
      </c>
      <c r="L3616">
        <v>2.9239999999999999</v>
      </c>
      <c r="M3616">
        <v>0</v>
      </c>
      <c r="N3616" t="s">
        <v>10019</v>
      </c>
      <c r="O3616" t="str">
        <f>HYPERLINK("3\1\marker_993_382758.png", "Ver Imagen")</f>
        <v>Ver Imagen</v>
      </c>
      <c r="P3616" t="str">
        <f>HYPERLINK("SE\A-5058\A-5058__188.png", "Ver Imagen")</f>
        <v>Ver Imagen</v>
      </c>
    </row>
    <row r="3617" spans="1:16" x14ac:dyDescent="0.25">
      <c r="A3617">
        <v>3162</v>
      </c>
      <c r="B3617" t="s">
        <v>6335</v>
      </c>
      <c r="C3617">
        <v>37.234569107699997</v>
      </c>
      <c r="D3617">
        <v>-7.0717055689699997</v>
      </c>
      <c r="E3617">
        <v>3</v>
      </c>
      <c r="F3617">
        <v>3</v>
      </c>
      <c r="G3617">
        <v>4</v>
      </c>
      <c r="J3617" t="s">
        <v>15</v>
      </c>
      <c r="K3617">
        <v>3</v>
      </c>
      <c r="L3617">
        <v>3.0019999999999998</v>
      </c>
      <c r="M3617">
        <v>0</v>
      </c>
      <c r="N3617" t="s">
        <v>10019</v>
      </c>
      <c r="O3617" t="str">
        <f>HYPERLINK("3\1\marker_276_382814.png", "Ver Imagen")</f>
        <v>Ver Imagen</v>
      </c>
      <c r="P3617" t="str">
        <f>HYPERLINK("SE\A-5058\A-5058__193.png", "Ver Imagen")</f>
        <v>Ver Imagen</v>
      </c>
    </row>
    <row r="3618" spans="1:16" x14ac:dyDescent="0.25">
      <c r="A3618">
        <v>3163</v>
      </c>
      <c r="B3618" t="s">
        <v>6337</v>
      </c>
      <c r="C3618">
        <v>37.234707840900001</v>
      </c>
      <c r="D3618">
        <v>-7.0721948298799999</v>
      </c>
      <c r="E3618">
        <v>3</v>
      </c>
      <c r="F3618">
        <v>3</v>
      </c>
      <c r="G3618">
        <v>4</v>
      </c>
      <c r="J3618" t="s">
        <v>15</v>
      </c>
      <c r="K3618">
        <v>3</v>
      </c>
      <c r="L3618">
        <v>3.2509999999999999</v>
      </c>
      <c r="M3618">
        <v>0</v>
      </c>
      <c r="N3618" t="s">
        <v>10018</v>
      </c>
      <c r="O3618" t="str">
        <f>HYPERLINK("3\1\marker_150_382837.png", "Ver Imagen")</f>
        <v>Ver Imagen</v>
      </c>
      <c r="P3618" t="str">
        <f>HYPERLINK("SE\A-5058\A-5058__195.png", "Ver Imagen")</f>
        <v>Ver Imagen</v>
      </c>
    </row>
    <row r="3619" spans="1:16" x14ac:dyDescent="0.25">
      <c r="A3619">
        <v>3164</v>
      </c>
      <c r="B3619" t="s">
        <v>6339</v>
      </c>
      <c r="C3619">
        <v>37.234947099300001</v>
      </c>
      <c r="D3619">
        <v>-7.0728563474300001</v>
      </c>
      <c r="E3619">
        <v>3</v>
      </c>
      <c r="F3619">
        <v>3</v>
      </c>
      <c r="G3619">
        <v>4</v>
      </c>
      <c r="J3619" t="s">
        <v>15</v>
      </c>
      <c r="K3619">
        <v>3</v>
      </c>
      <c r="L3619">
        <v>3.0030000000000001</v>
      </c>
      <c r="M3619">
        <v>0</v>
      </c>
      <c r="N3619" t="s">
        <v>10019</v>
      </c>
      <c r="O3619" t="str">
        <f>HYPERLINK("3\1\marker_140_382870.png", "Ver Imagen")</f>
        <v>Ver Imagen</v>
      </c>
      <c r="P3619" t="str">
        <f>HYPERLINK("SE\A-5058\A-5058__198.png", "Ver Imagen")</f>
        <v>Ver Imagen</v>
      </c>
    </row>
    <row r="3620" spans="1:16" x14ac:dyDescent="0.25">
      <c r="A3620">
        <v>3165</v>
      </c>
      <c r="B3620" t="s">
        <v>6341</v>
      </c>
      <c r="C3620">
        <v>37.235058506100003</v>
      </c>
      <c r="D3620">
        <v>-7.0730990583900004</v>
      </c>
      <c r="E3620">
        <v>3</v>
      </c>
      <c r="F3620">
        <v>3</v>
      </c>
      <c r="G3620">
        <v>4</v>
      </c>
      <c r="J3620" t="s">
        <v>15</v>
      </c>
      <c r="K3620">
        <v>3</v>
      </c>
      <c r="L3620">
        <v>2.9180000000000001</v>
      </c>
      <c r="M3620">
        <v>0</v>
      </c>
      <c r="N3620" t="s">
        <v>10019</v>
      </c>
      <c r="O3620" t="str">
        <f>HYPERLINK("3\1\marker_970_382879.png", "Ver Imagen")</f>
        <v>Ver Imagen</v>
      </c>
      <c r="P3620" t="str">
        <f>HYPERLINK("SE\A-5058\A-5058__199.png", "Ver Imagen")</f>
        <v>Ver Imagen</v>
      </c>
    </row>
    <row r="3621" spans="1:16" x14ac:dyDescent="0.25">
      <c r="A3621">
        <v>3166</v>
      </c>
      <c r="B3621" t="s">
        <v>6343</v>
      </c>
      <c r="C3621">
        <v>37.235283984399999</v>
      </c>
      <c r="D3621">
        <v>-7.0735266716299998</v>
      </c>
      <c r="E3621">
        <v>3</v>
      </c>
      <c r="F3621">
        <v>3</v>
      </c>
      <c r="G3621">
        <v>4</v>
      </c>
      <c r="J3621" t="s">
        <v>15</v>
      </c>
      <c r="K3621">
        <v>3</v>
      </c>
      <c r="L3621">
        <v>2.7109999999999999</v>
      </c>
      <c r="M3621">
        <v>0</v>
      </c>
      <c r="N3621" t="s">
        <v>10019</v>
      </c>
      <c r="O3621" t="str">
        <f>HYPERLINK("3\1\marker_433_382903.png", "Ver Imagen")</f>
        <v>Ver Imagen</v>
      </c>
      <c r="P3621" t="str">
        <f>HYPERLINK("SE\A-5058\A-5058__201.png", "Ver Imagen")</f>
        <v>Ver Imagen</v>
      </c>
    </row>
    <row r="3622" spans="1:16" x14ac:dyDescent="0.25">
      <c r="A3622">
        <v>3166</v>
      </c>
      <c r="B3622" t="s">
        <v>6343</v>
      </c>
      <c r="C3622">
        <v>37.235283984399999</v>
      </c>
      <c r="D3622">
        <v>-7.0735266716299998</v>
      </c>
      <c r="E3622">
        <v>3</v>
      </c>
      <c r="F3622">
        <v>3</v>
      </c>
      <c r="G3622">
        <v>4</v>
      </c>
      <c r="J3622" t="s">
        <v>15</v>
      </c>
      <c r="K3622">
        <v>3</v>
      </c>
      <c r="L3622">
        <v>2.9689999999999999</v>
      </c>
      <c r="M3622">
        <v>0</v>
      </c>
      <c r="N3622" t="s">
        <v>10019</v>
      </c>
      <c r="O3622" t="str">
        <f>HYPERLINK("3\1\marker_433_382903.png", "Ver Imagen")</f>
        <v>Ver Imagen</v>
      </c>
      <c r="P3622" t="str">
        <f>HYPERLINK("SO\A-5058\A-5058__201.png", "Ver Imagen")</f>
        <v>Ver Imagen</v>
      </c>
    </row>
    <row r="3623" spans="1:16" x14ac:dyDescent="0.25">
      <c r="A3623">
        <v>3167</v>
      </c>
      <c r="B3623" t="s">
        <v>6345</v>
      </c>
      <c r="C3623">
        <v>37.235636056899999</v>
      </c>
      <c r="D3623">
        <v>-7.07415535162</v>
      </c>
      <c r="E3623">
        <v>3</v>
      </c>
      <c r="F3623">
        <v>3</v>
      </c>
      <c r="G3623">
        <v>4</v>
      </c>
      <c r="J3623" t="s">
        <v>15</v>
      </c>
      <c r="K3623">
        <v>3</v>
      </c>
      <c r="L3623">
        <v>2.9780000000000002</v>
      </c>
      <c r="M3623">
        <v>0</v>
      </c>
      <c r="N3623" t="s">
        <v>10019</v>
      </c>
      <c r="O3623" t="str">
        <f>HYPERLINK("3\1\marker_404_382931.png", "Ver Imagen")</f>
        <v>Ver Imagen</v>
      </c>
      <c r="P3623" t="str">
        <f>HYPERLINK("SE\A-5058\A-5058__204.png", "Ver Imagen")</f>
        <v>Ver Imagen</v>
      </c>
    </row>
    <row r="3624" spans="1:16" x14ac:dyDescent="0.25">
      <c r="A3624">
        <v>3167</v>
      </c>
      <c r="B3624" t="s">
        <v>6345</v>
      </c>
      <c r="C3624">
        <v>37.235636056899999</v>
      </c>
      <c r="D3624">
        <v>-7.07415535162</v>
      </c>
      <c r="E3624">
        <v>3</v>
      </c>
      <c r="F3624">
        <v>3</v>
      </c>
      <c r="G3624">
        <v>4</v>
      </c>
      <c r="J3624" t="s">
        <v>15</v>
      </c>
      <c r="K3624">
        <v>3</v>
      </c>
      <c r="L3624">
        <v>2.9159999999999999</v>
      </c>
      <c r="M3624">
        <v>0</v>
      </c>
      <c r="N3624" t="s">
        <v>10019</v>
      </c>
      <c r="O3624" t="str">
        <f>HYPERLINK("3\1\marker_404_382931.png", "Ver Imagen")</f>
        <v>Ver Imagen</v>
      </c>
      <c r="P3624" t="str">
        <f>HYPERLINK("SO\A-5058\A-5058__204.png", "Ver Imagen")</f>
        <v>Ver Imagen</v>
      </c>
    </row>
    <row r="3625" spans="1:16" x14ac:dyDescent="0.25">
      <c r="A3625">
        <v>3168</v>
      </c>
      <c r="B3625" t="s">
        <v>6347</v>
      </c>
      <c r="C3625">
        <v>37.235866307599998</v>
      </c>
      <c r="D3625">
        <v>-7.0745670601099997</v>
      </c>
      <c r="E3625">
        <v>3</v>
      </c>
      <c r="F3625">
        <v>3</v>
      </c>
      <c r="G3625">
        <v>4</v>
      </c>
      <c r="J3625" t="s">
        <v>15</v>
      </c>
      <c r="K3625">
        <v>3</v>
      </c>
      <c r="L3625">
        <v>2.9470000000000001</v>
      </c>
      <c r="M3625">
        <v>0</v>
      </c>
      <c r="N3625" t="s">
        <v>10019</v>
      </c>
      <c r="O3625" t="str">
        <f>HYPERLINK("3\1\marker_769_382969.png", "Ver Imagen")</f>
        <v>Ver Imagen</v>
      </c>
      <c r="P3625" t="str">
        <f>HYPERLINK("SE\A-5058\A-5058__206.png", "Ver Imagen")</f>
        <v>Ver Imagen</v>
      </c>
    </row>
    <row r="3626" spans="1:16" x14ac:dyDescent="0.25">
      <c r="A3626">
        <v>3168</v>
      </c>
      <c r="B3626" t="s">
        <v>6347</v>
      </c>
      <c r="C3626">
        <v>37.235866307599998</v>
      </c>
      <c r="D3626">
        <v>-7.0745670601099997</v>
      </c>
      <c r="E3626">
        <v>3</v>
      </c>
      <c r="F3626">
        <v>3</v>
      </c>
      <c r="G3626">
        <v>4</v>
      </c>
      <c r="J3626" t="s">
        <v>15</v>
      </c>
      <c r="K3626">
        <v>3</v>
      </c>
      <c r="L3626">
        <v>3.08</v>
      </c>
      <c r="M3626">
        <v>0</v>
      </c>
      <c r="N3626" t="s">
        <v>10019</v>
      </c>
      <c r="O3626" t="str">
        <f>HYPERLINK("3\1\marker_769_382969.png", "Ver Imagen")</f>
        <v>Ver Imagen</v>
      </c>
      <c r="P3626" t="str">
        <f>HYPERLINK("SO\A-5058\A-5058__206.png", "Ver Imagen")</f>
        <v>Ver Imagen</v>
      </c>
    </row>
    <row r="3627" spans="1:16" x14ac:dyDescent="0.25">
      <c r="A3627">
        <v>3169</v>
      </c>
      <c r="B3627" t="s">
        <v>6349</v>
      </c>
      <c r="C3627">
        <v>37.236095908000003</v>
      </c>
      <c r="D3627">
        <v>-7.0749751964999996</v>
      </c>
      <c r="E3627">
        <v>3</v>
      </c>
      <c r="F3627">
        <v>3</v>
      </c>
      <c r="G3627">
        <v>4</v>
      </c>
      <c r="J3627" t="s">
        <v>15</v>
      </c>
      <c r="K3627">
        <v>3</v>
      </c>
      <c r="L3627">
        <v>2.984</v>
      </c>
      <c r="M3627">
        <v>0</v>
      </c>
      <c r="N3627" t="s">
        <v>10017</v>
      </c>
      <c r="O3627" t="str">
        <f>HYPERLINK("3\1\marker_677_382989.png", "Ver Imagen")</f>
        <v>Ver Imagen</v>
      </c>
      <c r="P3627" t="str">
        <f>HYPERLINK("SE\A-5058\A-5058__208.png", "Ver Imagen")</f>
        <v>Ver Imagen</v>
      </c>
    </row>
    <row r="3628" spans="1:16" x14ac:dyDescent="0.25">
      <c r="A3628">
        <v>3169</v>
      </c>
      <c r="B3628" t="s">
        <v>6349</v>
      </c>
      <c r="C3628">
        <v>37.236095908000003</v>
      </c>
      <c r="D3628">
        <v>-7.0749751964999996</v>
      </c>
      <c r="E3628">
        <v>3</v>
      </c>
      <c r="F3628">
        <v>3</v>
      </c>
      <c r="G3628">
        <v>4</v>
      </c>
      <c r="J3628" t="s">
        <v>15</v>
      </c>
      <c r="K3628">
        <v>3</v>
      </c>
      <c r="L3628">
        <v>2.883</v>
      </c>
      <c r="M3628">
        <v>0</v>
      </c>
      <c r="N3628" t="s">
        <v>10017</v>
      </c>
      <c r="O3628" t="str">
        <f>HYPERLINK("3\1\marker_677_382989.png", "Ver Imagen")</f>
        <v>Ver Imagen</v>
      </c>
      <c r="P3628" t="str">
        <f>HYPERLINK("SO\A-5058\A-5058__208.png", "Ver Imagen")</f>
        <v>Ver Imagen</v>
      </c>
    </row>
    <row r="3629" spans="1:16" x14ac:dyDescent="0.25">
      <c r="A3629">
        <v>3170</v>
      </c>
      <c r="B3629" t="s">
        <v>6351</v>
      </c>
      <c r="C3629">
        <v>37.236317789300003</v>
      </c>
      <c r="D3629">
        <v>-7.0753706677599997</v>
      </c>
      <c r="E3629">
        <v>3</v>
      </c>
      <c r="F3629">
        <v>3</v>
      </c>
      <c r="G3629">
        <v>4</v>
      </c>
      <c r="J3629" t="s">
        <v>15</v>
      </c>
      <c r="K3629">
        <v>3</v>
      </c>
      <c r="L3629">
        <v>3.0209999999999999</v>
      </c>
      <c r="M3629">
        <v>0</v>
      </c>
      <c r="N3629" t="s">
        <v>10019</v>
      </c>
      <c r="O3629" t="str">
        <f>HYPERLINK("3\1\marker_128_383021.png", "Ver Imagen")</f>
        <v>Ver Imagen</v>
      </c>
      <c r="P3629" t="str">
        <f>HYPERLINK("SE\A-5058\A-5058__210.png", "Ver Imagen")</f>
        <v>Ver Imagen</v>
      </c>
    </row>
    <row r="3630" spans="1:16" x14ac:dyDescent="0.25">
      <c r="A3630">
        <v>3170</v>
      </c>
      <c r="B3630" t="s">
        <v>6351</v>
      </c>
      <c r="C3630">
        <v>37.236317789300003</v>
      </c>
      <c r="D3630">
        <v>-7.0753706677599997</v>
      </c>
      <c r="E3630">
        <v>3</v>
      </c>
      <c r="F3630">
        <v>3</v>
      </c>
      <c r="G3630">
        <v>4</v>
      </c>
      <c r="J3630" t="s">
        <v>15</v>
      </c>
      <c r="K3630">
        <v>3</v>
      </c>
      <c r="L3630">
        <v>3.008</v>
      </c>
      <c r="M3630">
        <v>0</v>
      </c>
      <c r="N3630" t="s">
        <v>10019</v>
      </c>
      <c r="O3630" t="str">
        <f>HYPERLINK("3\1\marker_128_383021.png", "Ver Imagen")</f>
        <v>Ver Imagen</v>
      </c>
      <c r="P3630" t="str">
        <f>HYPERLINK("SO\A-5058\A-5058__210.png", "Ver Imagen")</f>
        <v>Ver Imagen</v>
      </c>
    </row>
    <row r="3631" spans="1:16" x14ac:dyDescent="0.25">
      <c r="A3631">
        <v>3171</v>
      </c>
      <c r="B3631" t="s">
        <v>6353</v>
      </c>
      <c r="C3631">
        <v>37.2364453008</v>
      </c>
      <c r="D3631">
        <v>-7.0756030756900001</v>
      </c>
      <c r="E3631">
        <v>3</v>
      </c>
      <c r="F3631">
        <v>3</v>
      </c>
      <c r="G3631">
        <v>4</v>
      </c>
      <c r="J3631" t="s">
        <v>15</v>
      </c>
      <c r="K3631">
        <v>3</v>
      </c>
      <c r="L3631">
        <v>2.8439999999999999</v>
      </c>
      <c r="M3631">
        <v>0</v>
      </c>
      <c r="N3631" t="s">
        <v>10018</v>
      </c>
      <c r="O3631" t="str">
        <f>HYPERLINK("3\1\marker_457_383029.png", "Ver Imagen")</f>
        <v>Ver Imagen</v>
      </c>
      <c r="P3631" t="str">
        <f>HYPERLINK("SE\A-5058\A-5058__211.png", "Ver Imagen")</f>
        <v>Ver Imagen</v>
      </c>
    </row>
    <row r="3632" spans="1:16" x14ac:dyDescent="0.25">
      <c r="A3632">
        <v>3171</v>
      </c>
      <c r="B3632" t="s">
        <v>6353</v>
      </c>
      <c r="C3632">
        <v>37.2364453008</v>
      </c>
      <c r="D3632">
        <v>-7.0756030756900001</v>
      </c>
      <c r="E3632">
        <v>3</v>
      </c>
      <c r="F3632">
        <v>3</v>
      </c>
      <c r="G3632">
        <v>4</v>
      </c>
      <c r="J3632" t="s">
        <v>15</v>
      </c>
      <c r="K3632">
        <v>3</v>
      </c>
      <c r="L3632">
        <v>3.294</v>
      </c>
      <c r="M3632">
        <v>0</v>
      </c>
      <c r="N3632" t="s">
        <v>10018</v>
      </c>
      <c r="O3632" t="str">
        <f>HYPERLINK("3\1\marker_457_383029.png", "Ver Imagen")</f>
        <v>Ver Imagen</v>
      </c>
      <c r="P3632" t="str">
        <f>HYPERLINK("SO\A-5058\A-5058__211.png", "Ver Imagen")</f>
        <v>Ver Imagen</v>
      </c>
    </row>
    <row r="3633" spans="1:16" x14ac:dyDescent="0.25">
      <c r="A3633">
        <v>3172</v>
      </c>
      <c r="B3633" t="s">
        <v>6355</v>
      </c>
      <c r="C3633">
        <v>37.236554902800002</v>
      </c>
      <c r="D3633">
        <v>-7.0758011937500003</v>
      </c>
      <c r="E3633">
        <v>3</v>
      </c>
      <c r="F3633">
        <v>3</v>
      </c>
      <c r="G3633">
        <v>4</v>
      </c>
      <c r="J3633" t="s">
        <v>15</v>
      </c>
      <c r="K3633">
        <v>3</v>
      </c>
      <c r="L3633">
        <v>2.5609999999999999</v>
      </c>
      <c r="M3633">
        <v>0</v>
      </c>
      <c r="N3633" t="s">
        <v>10019</v>
      </c>
      <c r="O3633" t="str">
        <f>HYPERLINK("3\1\marker_262_383041.png", "Ver Imagen")</f>
        <v>Ver Imagen</v>
      </c>
      <c r="P3633" t="str">
        <f>HYPERLINK("SE\A-5058\A-5058__212.png", "Ver Imagen")</f>
        <v>Ver Imagen</v>
      </c>
    </row>
    <row r="3634" spans="1:16" x14ac:dyDescent="0.25">
      <c r="A3634">
        <v>3172</v>
      </c>
      <c r="B3634" t="s">
        <v>6355</v>
      </c>
      <c r="C3634">
        <v>37.236554902800002</v>
      </c>
      <c r="D3634">
        <v>-7.0758011937500003</v>
      </c>
      <c r="E3634">
        <v>3</v>
      </c>
      <c r="F3634">
        <v>3</v>
      </c>
      <c r="G3634">
        <v>4</v>
      </c>
      <c r="J3634" t="s">
        <v>15</v>
      </c>
      <c r="K3634">
        <v>3</v>
      </c>
      <c r="L3634">
        <v>2.778</v>
      </c>
      <c r="M3634">
        <v>0</v>
      </c>
      <c r="N3634" t="s">
        <v>10019</v>
      </c>
      <c r="O3634" t="str">
        <f>HYPERLINK("3\1\marker_262_383041.png", "Ver Imagen")</f>
        <v>Ver Imagen</v>
      </c>
      <c r="P3634" t="str">
        <f>HYPERLINK("SO\A-5058\A-5058__212.png", "Ver Imagen")</f>
        <v>Ver Imagen</v>
      </c>
    </row>
    <row r="3635" spans="1:16" x14ac:dyDescent="0.25">
      <c r="A3635">
        <v>3173</v>
      </c>
      <c r="B3635" t="s">
        <v>6357</v>
      </c>
      <c r="C3635">
        <v>37.236681061399999</v>
      </c>
      <c r="D3635">
        <v>-7.0760246108700002</v>
      </c>
      <c r="E3635">
        <v>3</v>
      </c>
      <c r="F3635">
        <v>3</v>
      </c>
      <c r="G3635">
        <v>4</v>
      </c>
      <c r="J3635" t="s">
        <v>15</v>
      </c>
      <c r="K3635">
        <v>3</v>
      </c>
      <c r="L3635">
        <v>2.5910000000000002</v>
      </c>
      <c r="M3635">
        <v>0</v>
      </c>
      <c r="N3635" t="s">
        <v>10019</v>
      </c>
      <c r="O3635" t="str">
        <f>HYPERLINK("3\1\marker_573_383052.png", "Ver Imagen")</f>
        <v>Ver Imagen</v>
      </c>
      <c r="P3635" t="str">
        <f>HYPERLINK("SE\A-5058\A-5058__213.png", "Ver Imagen")</f>
        <v>Ver Imagen</v>
      </c>
    </row>
    <row r="3636" spans="1:16" x14ac:dyDescent="0.25">
      <c r="A3636">
        <v>3173</v>
      </c>
      <c r="B3636" t="s">
        <v>6357</v>
      </c>
      <c r="C3636">
        <v>37.236681061399999</v>
      </c>
      <c r="D3636">
        <v>-7.0760246108700002</v>
      </c>
      <c r="E3636">
        <v>3</v>
      </c>
      <c r="F3636">
        <v>3</v>
      </c>
      <c r="G3636">
        <v>4</v>
      </c>
      <c r="J3636" t="s">
        <v>15</v>
      </c>
      <c r="K3636">
        <v>3</v>
      </c>
      <c r="L3636">
        <v>2.9369999999999998</v>
      </c>
      <c r="M3636">
        <v>0</v>
      </c>
      <c r="N3636" t="s">
        <v>10019</v>
      </c>
      <c r="O3636" t="str">
        <f>HYPERLINK("3\1\marker_573_383052.png", "Ver Imagen")</f>
        <v>Ver Imagen</v>
      </c>
      <c r="P3636" t="str">
        <f>HYPERLINK("SO\A-5058\A-5058__213.png", "Ver Imagen")</f>
        <v>Ver Imagen</v>
      </c>
    </row>
    <row r="3637" spans="1:16" x14ac:dyDescent="0.25">
      <c r="A3637">
        <v>3174</v>
      </c>
      <c r="B3637" t="s">
        <v>6359</v>
      </c>
      <c r="C3637">
        <v>37.236791544299997</v>
      </c>
      <c r="D3637">
        <v>-7.0762196691200003</v>
      </c>
      <c r="E3637">
        <v>3</v>
      </c>
      <c r="F3637">
        <v>3</v>
      </c>
      <c r="G3637">
        <v>4</v>
      </c>
      <c r="J3637" t="s">
        <v>15</v>
      </c>
      <c r="K3637">
        <v>3</v>
      </c>
      <c r="L3637">
        <v>2.7029999999999998</v>
      </c>
      <c r="M3637">
        <v>0</v>
      </c>
      <c r="N3637" t="s">
        <v>10019</v>
      </c>
      <c r="O3637" t="str">
        <f>HYPERLINK("3\1\marker_382_383062.png", "Ver Imagen")</f>
        <v>Ver Imagen</v>
      </c>
      <c r="P3637" t="str">
        <f>HYPERLINK("SE\A-5058\A-5058__214.png", "Ver Imagen")</f>
        <v>Ver Imagen</v>
      </c>
    </row>
    <row r="3638" spans="1:16" x14ac:dyDescent="0.25">
      <c r="A3638">
        <v>3174</v>
      </c>
      <c r="B3638" t="s">
        <v>6359</v>
      </c>
      <c r="C3638">
        <v>37.236791544299997</v>
      </c>
      <c r="D3638">
        <v>-7.0762196691200003</v>
      </c>
      <c r="E3638">
        <v>3</v>
      </c>
      <c r="F3638">
        <v>3</v>
      </c>
      <c r="G3638">
        <v>4</v>
      </c>
      <c r="J3638" t="s">
        <v>15</v>
      </c>
      <c r="K3638">
        <v>3</v>
      </c>
      <c r="L3638">
        <v>3.1379999999999999</v>
      </c>
      <c r="M3638">
        <v>0</v>
      </c>
      <c r="N3638" t="s">
        <v>10019</v>
      </c>
      <c r="O3638" t="str">
        <f>HYPERLINK("3\1\marker_382_383062.png", "Ver Imagen")</f>
        <v>Ver Imagen</v>
      </c>
      <c r="P3638" t="str">
        <f>HYPERLINK("SO\A-5058\A-5058__214.png", "Ver Imagen")</f>
        <v>Ver Imagen</v>
      </c>
    </row>
    <row r="3639" spans="1:16" x14ac:dyDescent="0.25">
      <c r="A3639">
        <v>3175</v>
      </c>
      <c r="B3639" t="s">
        <v>6361</v>
      </c>
      <c r="C3639">
        <v>37.236901845600002</v>
      </c>
      <c r="D3639">
        <v>-7.0764155946000002</v>
      </c>
      <c r="E3639">
        <v>3</v>
      </c>
      <c r="F3639">
        <v>3</v>
      </c>
      <c r="G3639">
        <v>4</v>
      </c>
      <c r="J3639" t="s">
        <v>15</v>
      </c>
      <c r="K3639">
        <v>3</v>
      </c>
      <c r="L3639">
        <v>3.0489999999999999</v>
      </c>
      <c r="M3639">
        <v>0</v>
      </c>
      <c r="N3639" t="s">
        <v>10019</v>
      </c>
      <c r="O3639" t="str">
        <f>HYPERLINK("3\1\marker_179_383071.png", "Ver Imagen")</f>
        <v>Ver Imagen</v>
      </c>
      <c r="P3639" t="str">
        <f>HYPERLINK("SE\A-5058\A-5058__215.png", "Ver Imagen")</f>
        <v>Ver Imagen</v>
      </c>
    </row>
    <row r="3640" spans="1:16" x14ac:dyDescent="0.25">
      <c r="A3640">
        <v>3175</v>
      </c>
      <c r="B3640" t="s">
        <v>6361</v>
      </c>
      <c r="C3640">
        <v>37.236901845600002</v>
      </c>
      <c r="D3640">
        <v>-7.0764155946000002</v>
      </c>
      <c r="E3640">
        <v>3</v>
      </c>
      <c r="F3640">
        <v>3</v>
      </c>
      <c r="G3640">
        <v>4</v>
      </c>
      <c r="J3640" t="s">
        <v>15</v>
      </c>
      <c r="K3640">
        <v>3</v>
      </c>
      <c r="L3640">
        <v>3.3380000000000001</v>
      </c>
      <c r="M3640">
        <v>0</v>
      </c>
      <c r="N3640" t="s">
        <v>10019</v>
      </c>
      <c r="O3640" t="str">
        <f>HYPERLINK("3\1\marker_179_383071.png", "Ver Imagen")</f>
        <v>Ver Imagen</v>
      </c>
      <c r="P3640" t="str">
        <f>HYPERLINK("SO\A-5058\A-5058__215.png", "Ver Imagen")</f>
        <v>Ver Imagen</v>
      </c>
    </row>
    <row r="3641" spans="1:16" x14ac:dyDescent="0.25">
      <c r="A3641">
        <v>3176</v>
      </c>
      <c r="B3641" t="s">
        <v>6363</v>
      </c>
      <c r="C3641">
        <v>37.237132494800001</v>
      </c>
      <c r="D3641">
        <v>-7.0768342209300004</v>
      </c>
      <c r="E3641">
        <v>3</v>
      </c>
      <c r="F3641">
        <v>3</v>
      </c>
      <c r="G3641">
        <v>4</v>
      </c>
      <c r="J3641" t="s">
        <v>15</v>
      </c>
      <c r="K3641">
        <v>3</v>
      </c>
      <c r="L3641">
        <v>3.1</v>
      </c>
      <c r="M3641">
        <v>0</v>
      </c>
      <c r="N3641" t="s">
        <v>10019</v>
      </c>
      <c r="O3641" t="str">
        <f>HYPERLINK("3\1\marker_233_383092.png", "Ver Imagen")</f>
        <v>Ver Imagen</v>
      </c>
      <c r="P3641" t="str">
        <f>HYPERLINK("SE\A-5058\A-5058__217.png", "Ver Imagen")</f>
        <v>Ver Imagen</v>
      </c>
    </row>
    <row r="3642" spans="1:16" x14ac:dyDescent="0.25">
      <c r="A3642">
        <v>3176</v>
      </c>
      <c r="B3642" t="s">
        <v>6363</v>
      </c>
      <c r="C3642">
        <v>37.237132494800001</v>
      </c>
      <c r="D3642">
        <v>-7.0768342209300004</v>
      </c>
      <c r="E3642">
        <v>3</v>
      </c>
      <c r="F3642">
        <v>3</v>
      </c>
      <c r="G3642">
        <v>4</v>
      </c>
      <c r="J3642" t="s">
        <v>15</v>
      </c>
      <c r="K3642">
        <v>3</v>
      </c>
      <c r="L3642">
        <v>2.8690000000000002</v>
      </c>
      <c r="M3642">
        <v>0</v>
      </c>
      <c r="N3642" t="s">
        <v>10019</v>
      </c>
      <c r="O3642" t="str">
        <f>HYPERLINK("3\1\marker_233_383092.png", "Ver Imagen")</f>
        <v>Ver Imagen</v>
      </c>
      <c r="P3642" t="str">
        <f>HYPERLINK("SO\A-5058\A-5058__217.png", "Ver Imagen")</f>
        <v>Ver Imagen</v>
      </c>
    </row>
    <row r="3643" spans="1:16" x14ac:dyDescent="0.25">
      <c r="A3643">
        <v>3177</v>
      </c>
      <c r="B3643" t="s">
        <v>6365</v>
      </c>
      <c r="C3643">
        <v>37.2373647183</v>
      </c>
      <c r="D3643">
        <v>-7.0772529314800003</v>
      </c>
      <c r="E3643">
        <v>3</v>
      </c>
      <c r="F3643">
        <v>3</v>
      </c>
      <c r="G3643">
        <v>4</v>
      </c>
      <c r="J3643" t="s">
        <v>15</v>
      </c>
      <c r="K3643">
        <v>3</v>
      </c>
      <c r="L3643">
        <v>3.1419999999999999</v>
      </c>
      <c r="M3643">
        <v>0</v>
      </c>
      <c r="N3643" t="s">
        <v>10019</v>
      </c>
      <c r="O3643" t="str">
        <f>HYPERLINK("3\1\marker_224_383110.png", "Ver Imagen")</f>
        <v>Ver Imagen</v>
      </c>
      <c r="P3643" t="str">
        <f>HYPERLINK("SE\A-5058\A-5058__219.png", "Ver Imagen")</f>
        <v>Ver Imagen</v>
      </c>
    </row>
    <row r="3644" spans="1:16" x14ac:dyDescent="0.25">
      <c r="A3644">
        <v>3177</v>
      </c>
      <c r="B3644" t="s">
        <v>6365</v>
      </c>
      <c r="C3644">
        <v>37.2373647183</v>
      </c>
      <c r="D3644">
        <v>-7.0772529314800003</v>
      </c>
      <c r="E3644">
        <v>3</v>
      </c>
      <c r="F3644">
        <v>3</v>
      </c>
      <c r="G3644">
        <v>4</v>
      </c>
      <c r="J3644" t="s">
        <v>15</v>
      </c>
      <c r="K3644">
        <v>3</v>
      </c>
      <c r="L3644">
        <v>3.226</v>
      </c>
      <c r="M3644">
        <v>0</v>
      </c>
      <c r="N3644" t="s">
        <v>10019</v>
      </c>
      <c r="O3644" t="str">
        <f>HYPERLINK("3\1\marker_224_383110.png", "Ver Imagen")</f>
        <v>Ver Imagen</v>
      </c>
      <c r="P3644" t="str">
        <f>HYPERLINK("SO\A-5058\A-5058__219.png", "Ver Imagen")</f>
        <v>Ver Imagen</v>
      </c>
    </row>
    <row r="3645" spans="1:16" x14ac:dyDescent="0.25">
      <c r="A3645">
        <v>3178</v>
      </c>
      <c r="B3645" t="s">
        <v>6367</v>
      </c>
      <c r="C3645">
        <v>37.237483971700001</v>
      </c>
      <c r="D3645">
        <v>-7.0774654689299998</v>
      </c>
      <c r="E3645">
        <v>3</v>
      </c>
      <c r="F3645">
        <v>3</v>
      </c>
      <c r="G3645">
        <v>4</v>
      </c>
      <c r="J3645" t="s">
        <v>15</v>
      </c>
      <c r="K3645">
        <v>3</v>
      </c>
      <c r="L3645">
        <v>2.948</v>
      </c>
      <c r="M3645">
        <v>0</v>
      </c>
      <c r="N3645" t="s">
        <v>10019</v>
      </c>
      <c r="O3645" t="str">
        <f>HYPERLINK("3\1\marker_603_383128.png", "Ver Imagen")</f>
        <v>Ver Imagen</v>
      </c>
      <c r="P3645" t="str">
        <f>HYPERLINK("SE\A-5058\A-5058__220.png", "Ver Imagen")</f>
        <v>Ver Imagen</v>
      </c>
    </row>
    <row r="3646" spans="1:16" x14ac:dyDescent="0.25">
      <c r="A3646">
        <v>3178</v>
      </c>
      <c r="B3646" t="s">
        <v>6367</v>
      </c>
      <c r="C3646">
        <v>37.237483971700001</v>
      </c>
      <c r="D3646">
        <v>-7.0774654689299998</v>
      </c>
      <c r="E3646">
        <v>3</v>
      </c>
      <c r="F3646">
        <v>3</v>
      </c>
      <c r="G3646">
        <v>4</v>
      </c>
      <c r="J3646" t="s">
        <v>15</v>
      </c>
      <c r="K3646">
        <v>3</v>
      </c>
      <c r="L3646">
        <v>2.8330000000000002</v>
      </c>
      <c r="M3646">
        <v>0</v>
      </c>
      <c r="N3646" t="s">
        <v>10019</v>
      </c>
      <c r="O3646" t="str">
        <f>HYPERLINK("3\1\marker_603_383128.png", "Ver Imagen")</f>
        <v>Ver Imagen</v>
      </c>
      <c r="P3646" t="str">
        <f>HYPERLINK("SO\A-5058\A-5058__220.png", "Ver Imagen")</f>
        <v>Ver Imagen</v>
      </c>
    </row>
    <row r="3647" spans="1:16" x14ac:dyDescent="0.25">
      <c r="A3647">
        <v>3179</v>
      </c>
      <c r="B3647" t="s">
        <v>6369</v>
      </c>
      <c r="C3647">
        <v>37.237598454199997</v>
      </c>
      <c r="D3647">
        <v>-7.0776655807599997</v>
      </c>
      <c r="E3647">
        <v>3</v>
      </c>
      <c r="F3647">
        <v>3</v>
      </c>
      <c r="G3647">
        <v>4</v>
      </c>
      <c r="J3647" t="s">
        <v>15</v>
      </c>
      <c r="K3647">
        <v>3</v>
      </c>
      <c r="L3647">
        <v>3.2240000000000002</v>
      </c>
      <c r="M3647">
        <v>0</v>
      </c>
      <c r="N3647" t="s">
        <v>10019</v>
      </c>
      <c r="O3647" t="str">
        <f>HYPERLINK("3\1\marker_594_383149.png", "Ver Imagen")</f>
        <v>Ver Imagen</v>
      </c>
      <c r="P3647" t="str">
        <f>HYPERLINK("SE\A-5058\A-5058__221.png", "Ver Imagen")</f>
        <v>Ver Imagen</v>
      </c>
    </row>
    <row r="3648" spans="1:16" x14ac:dyDescent="0.25">
      <c r="A3648">
        <v>3179</v>
      </c>
      <c r="B3648" t="s">
        <v>6369</v>
      </c>
      <c r="C3648">
        <v>37.237598454199997</v>
      </c>
      <c r="D3648">
        <v>-7.0776655807599997</v>
      </c>
      <c r="E3648">
        <v>3</v>
      </c>
      <c r="F3648">
        <v>3</v>
      </c>
      <c r="G3648">
        <v>4</v>
      </c>
      <c r="J3648" t="s">
        <v>15</v>
      </c>
      <c r="K3648">
        <v>3</v>
      </c>
      <c r="L3648">
        <v>3.081</v>
      </c>
      <c r="M3648">
        <v>0</v>
      </c>
      <c r="N3648" t="s">
        <v>10019</v>
      </c>
      <c r="O3648" t="str">
        <f>HYPERLINK("3\1\marker_594_383149.png", "Ver Imagen")</f>
        <v>Ver Imagen</v>
      </c>
      <c r="P3648" t="str">
        <f>HYPERLINK("SO\A-5058\A-5058__221.png", "Ver Imagen")</f>
        <v>Ver Imagen</v>
      </c>
    </row>
    <row r="3649" spans="1:16" x14ac:dyDescent="0.25">
      <c r="A3649">
        <v>3180</v>
      </c>
      <c r="B3649" t="s">
        <v>6371</v>
      </c>
      <c r="C3649">
        <v>37.237714250000003</v>
      </c>
      <c r="D3649">
        <v>-7.0778659530899999</v>
      </c>
      <c r="E3649">
        <v>3</v>
      </c>
      <c r="F3649">
        <v>3</v>
      </c>
      <c r="G3649">
        <v>4</v>
      </c>
      <c r="J3649" t="s">
        <v>15</v>
      </c>
      <c r="K3649">
        <v>3</v>
      </c>
      <c r="L3649">
        <v>3.1459999999999999</v>
      </c>
      <c r="M3649">
        <v>0</v>
      </c>
      <c r="N3649" t="s">
        <v>10019</v>
      </c>
      <c r="O3649" t="str">
        <f>HYPERLINK("3\1\marker_103_383158.png", "Ver Imagen")</f>
        <v>Ver Imagen</v>
      </c>
      <c r="P3649" t="str">
        <f>HYPERLINK("SE\A-5058\A-5058__222.png", "Ver Imagen")</f>
        <v>Ver Imagen</v>
      </c>
    </row>
    <row r="3650" spans="1:16" x14ac:dyDescent="0.25">
      <c r="A3650">
        <v>3180</v>
      </c>
      <c r="B3650" t="s">
        <v>6371</v>
      </c>
      <c r="C3650">
        <v>37.237714250000003</v>
      </c>
      <c r="D3650">
        <v>-7.0778659530899999</v>
      </c>
      <c r="E3650">
        <v>3</v>
      </c>
      <c r="F3650">
        <v>3</v>
      </c>
      <c r="G3650">
        <v>4</v>
      </c>
      <c r="J3650" t="s">
        <v>15</v>
      </c>
      <c r="K3650">
        <v>3</v>
      </c>
      <c r="L3650">
        <v>3.24</v>
      </c>
      <c r="M3650">
        <v>0</v>
      </c>
      <c r="N3650" t="s">
        <v>10019</v>
      </c>
      <c r="O3650" t="str">
        <f>HYPERLINK("3\1\marker_103_383158.png", "Ver Imagen")</f>
        <v>Ver Imagen</v>
      </c>
      <c r="P3650" t="str">
        <f>HYPERLINK("SO\A-5058\A-5058__222.png", "Ver Imagen")</f>
        <v>Ver Imagen</v>
      </c>
    </row>
    <row r="3651" spans="1:16" x14ac:dyDescent="0.25">
      <c r="A3651">
        <v>3181</v>
      </c>
      <c r="B3651" t="s">
        <v>6373</v>
      </c>
      <c r="C3651">
        <v>37.237843050000002</v>
      </c>
      <c r="D3651">
        <v>-7.0780850751299997</v>
      </c>
      <c r="E3651">
        <v>3</v>
      </c>
      <c r="F3651">
        <v>3</v>
      </c>
      <c r="G3651">
        <v>4</v>
      </c>
      <c r="J3651" t="s">
        <v>15</v>
      </c>
      <c r="K3651">
        <v>3</v>
      </c>
      <c r="L3651">
        <v>2.9590000000000001</v>
      </c>
      <c r="M3651">
        <v>0</v>
      </c>
      <c r="N3651" t="s">
        <v>10017</v>
      </c>
      <c r="O3651" t="str">
        <f>HYPERLINK("3\1\marker_970_383168.png", "Ver Imagen")</f>
        <v>Ver Imagen</v>
      </c>
      <c r="P3651" t="str">
        <f>HYPERLINK("SE\A-5058\A-5058__223.png", "Ver Imagen")</f>
        <v>Ver Imagen</v>
      </c>
    </row>
    <row r="3652" spans="1:16" x14ac:dyDescent="0.25">
      <c r="A3652">
        <v>3181</v>
      </c>
      <c r="B3652" t="s">
        <v>6373</v>
      </c>
      <c r="C3652">
        <v>37.237843050000002</v>
      </c>
      <c r="D3652">
        <v>-7.0780850751299997</v>
      </c>
      <c r="E3652">
        <v>3</v>
      </c>
      <c r="F3652">
        <v>3</v>
      </c>
      <c r="G3652">
        <v>4</v>
      </c>
      <c r="J3652" t="s">
        <v>15</v>
      </c>
      <c r="K3652">
        <v>3</v>
      </c>
      <c r="L3652">
        <v>2.919</v>
      </c>
      <c r="M3652">
        <v>0</v>
      </c>
      <c r="N3652" t="s">
        <v>10017</v>
      </c>
      <c r="O3652" t="str">
        <f>HYPERLINK("3\1\marker_970_383168.png", "Ver Imagen")</f>
        <v>Ver Imagen</v>
      </c>
      <c r="P3652" t="str">
        <f>HYPERLINK("SO\A-5058\A-5058__223.png", "Ver Imagen")</f>
        <v>Ver Imagen</v>
      </c>
    </row>
    <row r="3653" spans="1:16" x14ac:dyDescent="0.25">
      <c r="A3653">
        <v>3182</v>
      </c>
      <c r="B3653" t="s">
        <v>6375</v>
      </c>
      <c r="C3653">
        <v>37.237957271299997</v>
      </c>
      <c r="D3653">
        <v>-7.0782777919999997</v>
      </c>
      <c r="E3653">
        <v>3</v>
      </c>
      <c r="F3653">
        <v>3</v>
      </c>
      <c r="G3653">
        <v>4</v>
      </c>
      <c r="J3653" t="s">
        <v>15</v>
      </c>
      <c r="K3653">
        <v>3</v>
      </c>
      <c r="L3653">
        <v>2.8069999999999999</v>
      </c>
      <c r="M3653">
        <v>0</v>
      </c>
      <c r="N3653" t="s">
        <v>10019</v>
      </c>
      <c r="O3653" t="str">
        <f>HYPERLINK("3\1\marker_573_383182.png", "Ver Imagen")</f>
        <v>Ver Imagen</v>
      </c>
      <c r="P3653" t="str">
        <f>HYPERLINK("SE\A-5058\A-5058__224.png", "Ver Imagen")</f>
        <v>Ver Imagen</v>
      </c>
    </row>
    <row r="3654" spans="1:16" x14ac:dyDescent="0.25">
      <c r="A3654">
        <v>3182</v>
      </c>
      <c r="B3654" t="s">
        <v>6375</v>
      </c>
      <c r="C3654">
        <v>37.237957271299997</v>
      </c>
      <c r="D3654">
        <v>-7.0782777919999997</v>
      </c>
      <c r="E3654">
        <v>3</v>
      </c>
      <c r="F3654">
        <v>3</v>
      </c>
      <c r="G3654">
        <v>4</v>
      </c>
      <c r="J3654" t="s">
        <v>15</v>
      </c>
      <c r="K3654">
        <v>3</v>
      </c>
      <c r="L3654">
        <v>2.9489999999999998</v>
      </c>
      <c r="M3654">
        <v>0</v>
      </c>
      <c r="N3654" t="s">
        <v>10019</v>
      </c>
      <c r="O3654" t="str">
        <f>HYPERLINK("3\1\marker_573_383182.png", "Ver Imagen")</f>
        <v>Ver Imagen</v>
      </c>
      <c r="P3654" t="str">
        <f>HYPERLINK("SO\A-5058\A-5058__224.png", "Ver Imagen")</f>
        <v>Ver Imagen</v>
      </c>
    </row>
    <row r="3655" spans="1:16" x14ac:dyDescent="0.25">
      <c r="A3655">
        <v>3183</v>
      </c>
      <c r="B3655" t="s">
        <v>6377</v>
      </c>
      <c r="C3655">
        <v>37.238329548800003</v>
      </c>
      <c r="D3655">
        <v>-7.0788756680900002</v>
      </c>
      <c r="E3655">
        <v>3</v>
      </c>
      <c r="F3655">
        <v>3</v>
      </c>
      <c r="G3655">
        <v>4</v>
      </c>
      <c r="J3655" t="s">
        <v>15</v>
      </c>
      <c r="K3655">
        <v>3</v>
      </c>
      <c r="L3655">
        <v>2.6920000000000002</v>
      </c>
      <c r="M3655">
        <v>0</v>
      </c>
      <c r="N3655" t="s">
        <v>10018</v>
      </c>
      <c r="O3655" t="str">
        <f>HYPERLINK("3\1\marker_850_383213.png", "Ver Imagen")</f>
        <v>Ver Imagen</v>
      </c>
      <c r="P3655" t="str">
        <f>HYPERLINK("SE\A-5058\A-5058__227.png", "Ver Imagen")</f>
        <v>Ver Imagen</v>
      </c>
    </row>
    <row r="3656" spans="1:16" x14ac:dyDescent="0.25">
      <c r="A3656">
        <v>3183</v>
      </c>
      <c r="B3656" t="s">
        <v>6377</v>
      </c>
      <c r="C3656">
        <v>37.238329548800003</v>
      </c>
      <c r="D3656">
        <v>-7.0788756680900002</v>
      </c>
      <c r="E3656">
        <v>3</v>
      </c>
      <c r="F3656">
        <v>3</v>
      </c>
      <c r="G3656">
        <v>4</v>
      </c>
      <c r="J3656" t="s">
        <v>15</v>
      </c>
      <c r="K3656">
        <v>3</v>
      </c>
      <c r="L3656">
        <v>2.847</v>
      </c>
      <c r="M3656">
        <v>0</v>
      </c>
      <c r="N3656" t="s">
        <v>10018</v>
      </c>
      <c r="O3656" t="str">
        <f>HYPERLINK("3\1\marker_850_383213.png", "Ver Imagen")</f>
        <v>Ver Imagen</v>
      </c>
      <c r="P3656" t="str">
        <f>HYPERLINK("SO\A-5058\A-5058__227.png", "Ver Imagen")</f>
        <v>Ver Imagen</v>
      </c>
    </row>
    <row r="3657" spans="1:16" x14ac:dyDescent="0.25">
      <c r="A3657">
        <v>3184</v>
      </c>
      <c r="B3657" t="s">
        <v>6379</v>
      </c>
      <c r="C3657">
        <v>37.238473541799998</v>
      </c>
      <c r="D3657">
        <v>-7.0790936782999996</v>
      </c>
      <c r="E3657">
        <v>3</v>
      </c>
      <c r="F3657">
        <v>3</v>
      </c>
      <c r="G3657">
        <v>4</v>
      </c>
      <c r="J3657" t="s">
        <v>15</v>
      </c>
      <c r="K3657">
        <v>3</v>
      </c>
      <c r="L3657">
        <v>3.036</v>
      </c>
      <c r="M3657">
        <v>0</v>
      </c>
      <c r="N3657" t="s">
        <v>10018</v>
      </c>
      <c r="O3657" t="str">
        <f>HYPERLINK("3\1\marker_109_383225.png", "Ver Imagen")</f>
        <v>Ver Imagen</v>
      </c>
      <c r="P3657" t="str">
        <f>HYPERLINK("SE\A-5058\A-5058__228.png", "Ver Imagen")</f>
        <v>Ver Imagen</v>
      </c>
    </row>
    <row r="3658" spans="1:16" x14ac:dyDescent="0.25">
      <c r="A3658">
        <v>3184</v>
      </c>
      <c r="B3658" t="s">
        <v>6379</v>
      </c>
      <c r="C3658">
        <v>37.238473541799998</v>
      </c>
      <c r="D3658">
        <v>-7.0790936782999996</v>
      </c>
      <c r="E3658">
        <v>3</v>
      </c>
      <c r="F3658">
        <v>3</v>
      </c>
      <c r="G3658">
        <v>4</v>
      </c>
      <c r="J3658" t="s">
        <v>15</v>
      </c>
      <c r="K3658">
        <v>3</v>
      </c>
      <c r="L3658">
        <v>3.4729999999999999</v>
      </c>
      <c r="M3658">
        <v>0</v>
      </c>
      <c r="N3658" t="s">
        <v>10018</v>
      </c>
      <c r="O3658" t="str">
        <f>HYPERLINK("3\1\marker_109_383225.png", "Ver Imagen")</f>
        <v>Ver Imagen</v>
      </c>
      <c r="P3658" t="str">
        <f>HYPERLINK("SO\A-5058\A-5058__228.png", "Ver Imagen")</f>
        <v>Ver Imagen</v>
      </c>
    </row>
    <row r="3659" spans="1:16" x14ac:dyDescent="0.25">
      <c r="A3659">
        <v>3185</v>
      </c>
      <c r="B3659" t="s">
        <v>6381</v>
      </c>
      <c r="C3659">
        <v>37.239746095100003</v>
      </c>
      <c r="D3659">
        <v>-7.0810128315599998</v>
      </c>
      <c r="E3659">
        <v>3</v>
      </c>
      <c r="F3659">
        <v>3</v>
      </c>
      <c r="G3659">
        <v>4</v>
      </c>
      <c r="J3659" t="s">
        <v>15</v>
      </c>
      <c r="K3659">
        <v>3</v>
      </c>
      <c r="L3659">
        <v>2.9740000000000002</v>
      </c>
      <c r="M3659">
        <v>0</v>
      </c>
      <c r="N3659" t="s">
        <v>10018</v>
      </c>
      <c r="O3659" t="str">
        <f>HYPERLINK("3\1\marker_547_383343.png", "Ver Imagen")</f>
        <v>Ver Imagen</v>
      </c>
      <c r="P3659" t="str">
        <f>HYPERLINK("SE\A-5058\A-5058__238.png", "Ver Imagen")</f>
        <v>Ver Imagen</v>
      </c>
    </row>
    <row r="3660" spans="1:16" x14ac:dyDescent="0.25">
      <c r="A3660">
        <v>3185</v>
      </c>
      <c r="B3660" t="s">
        <v>6381</v>
      </c>
      <c r="C3660">
        <v>37.239746095100003</v>
      </c>
      <c r="D3660">
        <v>-7.0810128315599998</v>
      </c>
      <c r="E3660">
        <v>3</v>
      </c>
      <c r="F3660">
        <v>3</v>
      </c>
      <c r="G3660">
        <v>4</v>
      </c>
      <c r="J3660" t="s">
        <v>15</v>
      </c>
      <c r="K3660">
        <v>3</v>
      </c>
      <c r="L3660">
        <v>3.0310000000000001</v>
      </c>
      <c r="M3660">
        <v>0</v>
      </c>
      <c r="N3660" t="s">
        <v>10018</v>
      </c>
      <c r="O3660" t="str">
        <f>HYPERLINK("3\1\marker_547_383343.png", "Ver Imagen")</f>
        <v>Ver Imagen</v>
      </c>
      <c r="P3660" t="str">
        <f>HYPERLINK("SO\A-5058\A-5058__238.png", "Ver Imagen")</f>
        <v>Ver Imagen</v>
      </c>
    </row>
    <row r="3661" spans="1:16" x14ac:dyDescent="0.25">
      <c r="A3661">
        <v>3186</v>
      </c>
      <c r="B3661" t="s">
        <v>6383</v>
      </c>
      <c r="C3661">
        <v>37.239877120700001</v>
      </c>
      <c r="D3661">
        <v>-7.0812123323699998</v>
      </c>
      <c r="E3661">
        <v>3</v>
      </c>
      <c r="F3661">
        <v>3</v>
      </c>
      <c r="G3661">
        <v>4</v>
      </c>
      <c r="J3661" t="s">
        <v>15</v>
      </c>
      <c r="K3661">
        <v>3</v>
      </c>
      <c r="L3661">
        <v>2.9550000000000001</v>
      </c>
      <c r="M3661">
        <v>0</v>
      </c>
      <c r="N3661" t="s">
        <v>10019</v>
      </c>
      <c r="O3661" t="str">
        <f>HYPERLINK("3\1\marker_368_383356.png", "Ver Imagen")</f>
        <v>Ver Imagen</v>
      </c>
      <c r="P3661" t="str">
        <f>HYPERLINK("SE\A-5058\A-5058__239.png", "Ver Imagen")</f>
        <v>Ver Imagen</v>
      </c>
    </row>
    <row r="3662" spans="1:16" x14ac:dyDescent="0.25">
      <c r="A3662">
        <v>3186</v>
      </c>
      <c r="B3662" t="s">
        <v>6383</v>
      </c>
      <c r="C3662">
        <v>37.239877120700001</v>
      </c>
      <c r="D3662">
        <v>-7.0812123323699998</v>
      </c>
      <c r="E3662">
        <v>3</v>
      </c>
      <c r="F3662">
        <v>3</v>
      </c>
      <c r="G3662">
        <v>4</v>
      </c>
      <c r="J3662" t="s">
        <v>15</v>
      </c>
      <c r="K3662">
        <v>3</v>
      </c>
      <c r="L3662">
        <v>3.0670000000000002</v>
      </c>
      <c r="M3662">
        <v>0</v>
      </c>
      <c r="N3662" t="s">
        <v>10019</v>
      </c>
      <c r="O3662" t="str">
        <f>HYPERLINK("3\1\marker_368_383356.png", "Ver Imagen")</f>
        <v>Ver Imagen</v>
      </c>
      <c r="P3662" t="str">
        <f>HYPERLINK("SO\A-5058\A-5058__239.png", "Ver Imagen")</f>
        <v>Ver Imagen</v>
      </c>
    </row>
    <row r="3663" spans="1:16" x14ac:dyDescent="0.25">
      <c r="A3663">
        <v>3187</v>
      </c>
      <c r="B3663" t="s">
        <v>6385</v>
      </c>
      <c r="C3663">
        <v>37.2401460062</v>
      </c>
      <c r="D3663">
        <v>-7.0816257201099999</v>
      </c>
      <c r="E3663">
        <v>3</v>
      </c>
      <c r="F3663">
        <v>3</v>
      </c>
      <c r="G3663">
        <v>4</v>
      </c>
      <c r="J3663" t="s">
        <v>15</v>
      </c>
      <c r="K3663">
        <v>3</v>
      </c>
      <c r="L3663">
        <v>2.9889999999999999</v>
      </c>
      <c r="M3663">
        <v>0</v>
      </c>
      <c r="N3663" t="s">
        <v>10018</v>
      </c>
      <c r="O3663" t="str">
        <f>HYPERLINK("3\1\marker_695_383386.png", "Ver Imagen")</f>
        <v>Ver Imagen</v>
      </c>
      <c r="P3663" t="str">
        <f>HYPERLINK("SE\A-5058\A-5058__241.png", "Ver Imagen")</f>
        <v>Ver Imagen</v>
      </c>
    </row>
    <row r="3664" spans="1:16" x14ac:dyDescent="0.25">
      <c r="A3664">
        <v>3187</v>
      </c>
      <c r="B3664" t="s">
        <v>6385</v>
      </c>
      <c r="C3664">
        <v>37.2401460062</v>
      </c>
      <c r="D3664">
        <v>-7.0816257201099999</v>
      </c>
      <c r="E3664">
        <v>3</v>
      </c>
      <c r="F3664">
        <v>3</v>
      </c>
      <c r="G3664">
        <v>4</v>
      </c>
      <c r="J3664" t="s">
        <v>15</v>
      </c>
      <c r="K3664">
        <v>3</v>
      </c>
      <c r="L3664">
        <v>2.8380000000000001</v>
      </c>
      <c r="M3664">
        <v>0</v>
      </c>
      <c r="N3664" t="s">
        <v>10018</v>
      </c>
      <c r="O3664" t="str">
        <f>HYPERLINK("3\1\marker_695_383386.png", "Ver Imagen")</f>
        <v>Ver Imagen</v>
      </c>
      <c r="P3664" t="str">
        <f>HYPERLINK("SO\A-5058\A-5058__241.png", "Ver Imagen")</f>
        <v>Ver Imagen</v>
      </c>
    </row>
    <row r="3665" spans="1:16" x14ac:dyDescent="0.25">
      <c r="A3665">
        <v>3188</v>
      </c>
      <c r="B3665" t="s">
        <v>6387</v>
      </c>
      <c r="C3665">
        <v>37.240273357900001</v>
      </c>
      <c r="D3665">
        <v>-7.0818196839600001</v>
      </c>
      <c r="E3665">
        <v>3</v>
      </c>
      <c r="F3665">
        <v>3</v>
      </c>
      <c r="G3665">
        <v>4</v>
      </c>
      <c r="J3665" t="s">
        <v>15</v>
      </c>
      <c r="K3665">
        <v>3</v>
      </c>
      <c r="L3665">
        <v>3.0009999999999999</v>
      </c>
      <c r="M3665">
        <v>0</v>
      </c>
      <c r="N3665" t="s">
        <v>10018</v>
      </c>
      <c r="O3665" t="str">
        <f>HYPERLINK("3\1\marker_171_383402.png", "Ver Imagen")</f>
        <v>Ver Imagen</v>
      </c>
      <c r="P3665" t="str">
        <f>HYPERLINK("SE\A-5058\A-5058__242.png", "Ver Imagen")</f>
        <v>Ver Imagen</v>
      </c>
    </row>
    <row r="3666" spans="1:16" x14ac:dyDescent="0.25">
      <c r="A3666">
        <v>3188</v>
      </c>
      <c r="B3666" t="s">
        <v>6387</v>
      </c>
      <c r="C3666">
        <v>37.240273357900001</v>
      </c>
      <c r="D3666">
        <v>-7.0818196839600001</v>
      </c>
      <c r="E3666">
        <v>3</v>
      </c>
      <c r="F3666">
        <v>3</v>
      </c>
      <c r="G3666">
        <v>4</v>
      </c>
      <c r="J3666" t="s">
        <v>15</v>
      </c>
      <c r="K3666">
        <v>3</v>
      </c>
      <c r="L3666">
        <v>3.1360000000000001</v>
      </c>
      <c r="M3666">
        <v>0</v>
      </c>
      <c r="N3666" t="s">
        <v>10018</v>
      </c>
      <c r="O3666" t="str">
        <f>HYPERLINK("3\1\marker_171_383402.png", "Ver Imagen")</f>
        <v>Ver Imagen</v>
      </c>
      <c r="P3666" t="str">
        <f>HYPERLINK("SO\A-5058\A-5058__242.png", "Ver Imagen")</f>
        <v>Ver Imagen</v>
      </c>
    </row>
    <row r="3667" spans="1:16" x14ac:dyDescent="0.25">
      <c r="A3667">
        <v>3189</v>
      </c>
      <c r="B3667" t="s">
        <v>6389</v>
      </c>
      <c r="C3667">
        <v>37.2404025198</v>
      </c>
      <c r="D3667">
        <v>-7.08201545899</v>
      </c>
      <c r="E3667">
        <v>3</v>
      </c>
      <c r="F3667">
        <v>3</v>
      </c>
      <c r="G3667">
        <v>4</v>
      </c>
      <c r="J3667" t="s">
        <v>15</v>
      </c>
      <c r="K3667">
        <v>3</v>
      </c>
      <c r="L3667">
        <v>2.9079999999999999</v>
      </c>
      <c r="M3667">
        <v>0</v>
      </c>
      <c r="N3667" t="s">
        <v>10018</v>
      </c>
      <c r="O3667" t="str">
        <f>HYPERLINK("3\1\marker_821_383413.png", "Ver Imagen")</f>
        <v>Ver Imagen</v>
      </c>
      <c r="P3667" t="str">
        <f>HYPERLINK("SE\A-5058\A-5058__243.png", "Ver Imagen")</f>
        <v>Ver Imagen</v>
      </c>
    </row>
    <row r="3668" spans="1:16" x14ac:dyDescent="0.25">
      <c r="A3668">
        <v>3189</v>
      </c>
      <c r="B3668" t="s">
        <v>6389</v>
      </c>
      <c r="C3668">
        <v>37.2404025198</v>
      </c>
      <c r="D3668">
        <v>-7.08201545899</v>
      </c>
      <c r="E3668">
        <v>3</v>
      </c>
      <c r="F3668">
        <v>3</v>
      </c>
      <c r="G3668">
        <v>4</v>
      </c>
      <c r="J3668" t="s">
        <v>15</v>
      </c>
      <c r="K3668">
        <v>3</v>
      </c>
      <c r="L3668">
        <v>3.0790000000000002</v>
      </c>
      <c r="M3668">
        <v>0</v>
      </c>
      <c r="N3668" t="s">
        <v>10018</v>
      </c>
      <c r="O3668" t="str">
        <f>HYPERLINK("3\1\marker_821_383413.png", "Ver Imagen")</f>
        <v>Ver Imagen</v>
      </c>
      <c r="P3668" t="str">
        <f>HYPERLINK("SO\A-5058\A-5058__243.png", "Ver Imagen")</f>
        <v>Ver Imagen</v>
      </c>
    </row>
    <row r="3669" spans="1:16" x14ac:dyDescent="0.25">
      <c r="A3669">
        <v>3190</v>
      </c>
      <c r="B3669" t="s">
        <v>6391</v>
      </c>
      <c r="C3669">
        <v>37.240540729499997</v>
      </c>
      <c r="D3669">
        <v>-7.0822228693099998</v>
      </c>
      <c r="E3669">
        <v>3</v>
      </c>
      <c r="F3669">
        <v>3</v>
      </c>
      <c r="G3669">
        <v>4</v>
      </c>
      <c r="J3669" t="s">
        <v>15</v>
      </c>
      <c r="K3669">
        <v>3</v>
      </c>
      <c r="L3669">
        <v>2.9239999999999999</v>
      </c>
      <c r="M3669">
        <v>0</v>
      </c>
      <c r="N3669" t="s">
        <v>10019</v>
      </c>
      <c r="O3669" t="str">
        <f>HYPERLINK("3\1\marker_395_383424.png", "Ver Imagen")</f>
        <v>Ver Imagen</v>
      </c>
      <c r="P3669" t="str">
        <f>HYPERLINK("SE\A-5058\A-5058__244.png", "Ver Imagen")</f>
        <v>Ver Imagen</v>
      </c>
    </row>
    <row r="3670" spans="1:16" x14ac:dyDescent="0.25">
      <c r="A3670">
        <v>3190</v>
      </c>
      <c r="B3670" t="s">
        <v>6391</v>
      </c>
      <c r="C3670">
        <v>37.240540729499997</v>
      </c>
      <c r="D3670">
        <v>-7.0822228693099998</v>
      </c>
      <c r="E3670">
        <v>3</v>
      </c>
      <c r="F3670">
        <v>3</v>
      </c>
      <c r="G3670">
        <v>4</v>
      </c>
      <c r="J3670" t="s">
        <v>15</v>
      </c>
      <c r="K3670">
        <v>3</v>
      </c>
      <c r="L3670">
        <v>2.843</v>
      </c>
      <c r="M3670">
        <v>0</v>
      </c>
      <c r="N3670" t="s">
        <v>10019</v>
      </c>
      <c r="O3670" t="str">
        <f>HYPERLINK("3\1\marker_395_383424.png", "Ver Imagen")</f>
        <v>Ver Imagen</v>
      </c>
      <c r="P3670" t="str">
        <f>HYPERLINK("SO\A-5058\A-5058__244.png", "Ver Imagen")</f>
        <v>Ver Imagen</v>
      </c>
    </row>
    <row r="3671" spans="1:16" x14ac:dyDescent="0.25">
      <c r="A3671">
        <v>3191</v>
      </c>
      <c r="B3671" t="s">
        <v>6393</v>
      </c>
      <c r="C3671">
        <v>37.240649967899998</v>
      </c>
      <c r="D3671">
        <v>-7.0823876804000001</v>
      </c>
      <c r="E3671">
        <v>3</v>
      </c>
      <c r="F3671">
        <v>3</v>
      </c>
      <c r="G3671">
        <v>4</v>
      </c>
      <c r="J3671" t="s">
        <v>15</v>
      </c>
      <c r="K3671">
        <v>3</v>
      </c>
      <c r="L3671">
        <v>2.9649999999999999</v>
      </c>
      <c r="M3671">
        <v>0</v>
      </c>
      <c r="N3671" t="s">
        <v>10019</v>
      </c>
      <c r="O3671" t="str">
        <f>HYPERLINK("3\1\marker_885_383440.png", "Ver Imagen")</f>
        <v>Ver Imagen</v>
      </c>
      <c r="P3671" t="str">
        <f>HYPERLINK("SE\A-5058\A-5058__245.png", "Ver Imagen")</f>
        <v>Ver Imagen</v>
      </c>
    </row>
    <row r="3672" spans="1:16" x14ac:dyDescent="0.25">
      <c r="A3672">
        <v>3191</v>
      </c>
      <c r="B3672" t="s">
        <v>6393</v>
      </c>
      <c r="C3672">
        <v>37.240649967899998</v>
      </c>
      <c r="D3672">
        <v>-7.0823876804000001</v>
      </c>
      <c r="E3672">
        <v>3</v>
      </c>
      <c r="F3672">
        <v>3</v>
      </c>
      <c r="G3672">
        <v>4</v>
      </c>
      <c r="J3672" t="s">
        <v>15</v>
      </c>
      <c r="K3672">
        <v>3</v>
      </c>
      <c r="L3672">
        <v>2.9369999999999998</v>
      </c>
      <c r="M3672">
        <v>0</v>
      </c>
      <c r="N3672" t="s">
        <v>10019</v>
      </c>
      <c r="O3672" t="str">
        <f>HYPERLINK("3\1\marker_885_383440.png", "Ver Imagen")</f>
        <v>Ver Imagen</v>
      </c>
      <c r="P3672" t="str">
        <f>HYPERLINK("SO\A-5058\A-5058__245.png", "Ver Imagen")</f>
        <v>Ver Imagen</v>
      </c>
    </row>
    <row r="3673" spans="1:16" x14ac:dyDescent="0.25">
      <c r="A3673">
        <v>3192</v>
      </c>
      <c r="B3673" t="s">
        <v>6395</v>
      </c>
      <c r="C3673">
        <v>37.240795342699997</v>
      </c>
      <c r="D3673">
        <v>-7.0826074197300004</v>
      </c>
      <c r="E3673">
        <v>3</v>
      </c>
      <c r="F3673">
        <v>3</v>
      </c>
      <c r="G3673">
        <v>4</v>
      </c>
      <c r="J3673" t="s">
        <v>15</v>
      </c>
      <c r="K3673">
        <v>3</v>
      </c>
      <c r="L3673">
        <v>2.9980000000000002</v>
      </c>
      <c r="M3673">
        <v>0</v>
      </c>
      <c r="N3673" t="s">
        <v>10019</v>
      </c>
      <c r="O3673" t="str">
        <f>HYPERLINK("3\1\marker_259_383450.png", "Ver Imagen")</f>
        <v>Ver Imagen</v>
      </c>
      <c r="P3673" t="str">
        <f>HYPERLINK("SE\A-5058\A-5058__246.png", "Ver Imagen")</f>
        <v>Ver Imagen</v>
      </c>
    </row>
    <row r="3674" spans="1:16" x14ac:dyDescent="0.25">
      <c r="A3674">
        <v>3192</v>
      </c>
      <c r="B3674" t="s">
        <v>6395</v>
      </c>
      <c r="C3674">
        <v>37.240795342699997</v>
      </c>
      <c r="D3674">
        <v>-7.0826074197300004</v>
      </c>
      <c r="E3674">
        <v>3</v>
      </c>
      <c r="F3674">
        <v>3</v>
      </c>
      <c r="G3674">
        <v>4</v>
      </c>
      <c r="J3674" t="s">
        <v>15</v>
      </c>
      <c r="K3674">
        <v>3</v>
      </c>
      <c r="L3674">
        <v>3.081</v>
      </c>
      <c r="M3674">
        <v>0</v>
      </c>
      <c r="N3674" t="s">
        <v>10019</v>
      </c>
      <c r="O3674" t="str">
        <f>HYPERLINK("3\1\marker_259_383450.png", "Ver Imagen")</f>
        <v>Ver Imagen</v>
      </c>
      <c r="P3674" t="str">
        <f>HYPERLINK("SO\A-5058\A-5058__246.png", "Ver Imagen")</f>
        <v>Ver Imagen</v>
      </c>
    </row>
    <row r="3675" spans="1:16" x14ac:dyDescent="0.25">
      <c r="A3675">
        <v>3193</v>
      </c>
      <c r="B3675" t="s">
        <v>6397</v>
      </c>
      <c r="C3675">
        <v>37.241039905800001</v>
      </c>
      <c r="D3675">
        <v>-7.0829756846</v>
      </c>
      <c r="E3675">
        <v>4</v>
      </c>
      <c r="F3675">
        <v>3</v>
      </c>
      <c r="G3675">
        <v>3</v>
      </c>
      <c r="J3675" t="s">
        <v>15</v>
      </c>
      <c r="K3675">
        <v>3</v>
      </c>
      <c r="L3675">
        <v>3.0979999999999999</v>
      </c>
      <c r="M3675">
        <v>0</v>
      </c>
      <c r="N3675" t="s">
        <v>10019</v>
      </c>
      <c r="O3675" t="str">
        <f>HYPERLINK("3\1\marker_906_383473.png", "Ver Imagen")</f>
        <v>Ver Imagen</v>
      </c>
      <c r="P3675" t="str">
        <f>HYPERLINK("SE\A-5058\A-5058__248.png", "Ver Imagen")</f>
        <v>Ver Imagen</v>
      </c>
    </row>
    <row r="3676" spans="1:16" x14ac:dyDescent="0.25">
      <c r="A3676">
        <v>3193</v>
      </c>
      <c r="B3676" t="s">
        <v>6397</v>
      </c>
      <c r="C3676">
        <v>37.241039905800001</v>
      </c>
      <c r="D3676">
        <v>-7.0829756846</v>
      </c>
      <c r="E3676">
        <v>4</v>
      </c>
      <c r="F3676">
        <v>3</v>
      </c>
      <c r="G3676">
        <v>3</v>
      </c>
      <c r="J3676" t="s">
        <v>15</v>
      </c>
      <c r="K3676">
        <v>3</v>
      </c>
      <c r="L3676">
        <v>2.984</v>
      </c>
      <c r="M3676">
        <v>0</v>
      </c>
      <c r="N3676" t="s">
        <v>10019</v>
      </c>
      <c r="O3676" t="str">
        <f>HYPERLINK("3\1\marker_906_383473.png", "Ver Imagen")</f>
        <v>Ver Imagen</v>
      </c>
      <c r="P3676" t="str">
        <f>HYPERLINK("SO\A-5058\A-5058__248.png", "Ver Imagen")</f>
        <v>Ver Imagen</v>
      </c>
    </row>
    <row r="3677" spans="1:16" x14ac:dyDescent="0.25">
      <c r="A3677">
        <v>3194</v>
      </c>
      <c r="B3677" t="s">
        <v>6399</v>
      </c>
      <c r="C3677">
        <v>37.241440589299998</v>
      </c>
      <c r="D3677">
        <v>-7.0835866775299996</v>
      </c>
      <c r="E3677">
        <v>3</v>
      </c>
      <c r="F3677">
        <v>3</v>
      </c>
      <c r="G3677">
        <v>4</v>
      </c>
      <c r="J3677" t="s">
        <v>15</v>
      </c>
      <c r="K3677">
        <v>3</v>
      </c>
      <c r="L3677">
        <v>3.42</v>
      </c>
      <c r="M3677">
        <v>0</v>
      </c>
      <c r="N3677" t="s">
        <v>10019</v>
      </c>
      <c r="O3677" t="str">
        <f>HYPERLINK("3\1\marker_200_383532.png", "Ver Imagen")</f>
        <v>Ver Imagen</v>
      </c>
      <c r="P3677" t="str">
        <f>HYPERLINK("SE\A-5058\A-5058__251.png", "Ver Imagen")</f>
        <v>Ver Imagen</v>
      </c>
    </row>
    <row r="3678" spans="1:16" x14ac:dyDescent="0.25">
      <c r="A3678">
        <v>3194</v>
      </c>
      <c r="B3678" t="s">
        <v>6399</v>
      </c>
      <c r="C3678">
        <v>37.241440589299998</v>
      </c>
      <c r="D3678">
        <v>-7.0835866775299996</v>
      </c>
      <c r="E3678">
        <v>3</v>
      </c>
      <c r="F3678">
        <v>3</v>
      </c>
      <c r="G3678">
        <v>4</v>
      </c>
      <c r="J3678" t="s">
        <v>15</v>
      </c>
      <c r="K3678">
        <v>3</v>
      </c>
      <c r="L3678">
        <v>3.03</v>
      </c>
      <c r="M3678">
        <v>0</v>
      </c>
      <c r="N3678" t="s">
        <v>10019</v>
      </c>
      <c r="O3678" t="str">
        <f>HYPERLINK("3\1\marker_200_383532.png", "Ver Imagen")</f>
        <v>Ver Imagen</v>
      </c>
      <c r="P3678" t="str">
        <f>HYPERLINK("SO\A-5058\A-5058__251.png", "Ver Imagen")</f>
        <v>Ver Imagen</v>
      </c>
    </row>
    <row r="3679" spans="1:16" x14ac:dyDescent="0.25">
      <c r="A3679">
        <v>3195</v>
      </c>
      <c r="B3679" t="s">
        <v>6401</v>
      </c>
      <c r="C3679">
        <v>37.241560701399997</v>
      </c>
      <c r="D3679">
        <v>-7.0837716786499998</v>
      </c>
      <c r="E3679">
        <v>3</v>
      </c>
      <c r="F3679">
        <v>3</v>
      </c>
      <c r="G3679">
        <v>4</v>
      </c>
      <c r="J3679" t="s">
        <v>15</v>
      </c>
      <c r="K3679">
        <v>3</v>
      </c>
      <c r="L3679">
        <v>3.2839999999999998</v>
      </c>
      <c r="M3679">
        <v>0</v>
      </c>
      <c r="N3679" t="s">
        <v>10019</v>
      </c>
      <c r="O3679" t="str">
        <f>HYPERLINK("3\1\marker_101_383544.png", "Ver Imagen")</f>
        <v>Ver Imagen</v>
      </c>
      <c r="P3679" t="str">
        <f>HYPERLINK("SE\A-5058\A-5058__252.png", "Ver Imagen")</f>
        <v>Ver Imagen</v>
      </c>
    </row>
    <row r="3680" spans="1:16" x14ac:dyDescent="0.25">
      <c r="A3680">
        <v>3195</v>
      </c>
      <c r="B3680" t="s">
        <v>6401</v>
      </c>
      <c r="C3680">
        <v>37.241560701399997</v>
      </c>
      <c r="D3680">
        <v>-7.0837716786499998</v>
      </c>
      <c r="E3680">
        <v>3</v>
      </c>
      <c r="F3680">
        <v>3</v>
      </c>
      <c r="G3680">
        <v>4</v>
      </c>
      <c r="J3680" t="s">
        <v>15</v>
      </c>
      <c r="K3680">
        <v>3</v>
      </c>
      <c r="L3680">
        <v>3.073</v>
      </c>
      <c r="M3680">
        <v>0</v>
      </c>
      <c r="N3680" t="s">
        <v>10019</v>
      </c>
      <c r="O3680" t="str">
        <f>HYPERLINK("3\1\marker_101_383544.png", "Ver Imagen")</f>
        <v>Ver Imagen</v>
      </c>
      <c r="P3680" t="str">
        <f>HYPERLINK("SO\A-5058\A-5058__252.png", "Ver Imagen")</f>
        <v>Ver Imagen</v>
      </c>
    </row>
    <row r="3681" spans="1:16" x14ac:dyDescent="0.25">
      <c r="A3681">
        <v>3196</v>
      </c>
      <c r="B3681" t="s">
        <v>6403</v>
      </c>
      <c r="C3681">
        <v>37.241921137699997</v>
      </c>
      <c r="D3681">
        <v>-7.0843767378000004</v>
      </c>
      <c r="E3681">
        <v>3</v>
      </c>
      <c r="F3681">
        <v>3</v>
      </c>
      <c r="G3681">
        <v>4</v>
      </c>
      <c r="J3681" t="s">
        <v>15</v>
      </c>
      <c r="K3681">
        <v>3</v>
      </c>
      <c r="L3681">
        <v>3.1560000000000001</v>
      </c>
      <c r="M3681">
        <v>0</v>
      </c>
      <c r="N3681" t="s">
        <v>10019</v>
      </c>
      <c r="O3681" t="str">
        <f>HYPERLINK("3\1\marker_471_383594.png", "Ver Imagen")</f>
        <v>Ver Imagen</v>
      </c>
      <c r="P3681" t="str">
        <f>HYPERLINK("SE\A-5058\A-5058__255.png", "Ver Imagen")</f>
        <v>Ver Imagen</v>
      </c>
    </row>
    <row r="3682" spans="1:16" x14ac:dyDescent="0.25">
      <c r="A3682">
        <v>3196</v>
      </c>
      <c r="B3682" t="s">
        <v>6403</v>
      </c>
      <c r="C3682">
        <v>37.241921137699997</v>
      </c>
      <c r="D3682">
        <v>-7.0843767378000004</v>
      </c>
      <c r="E3682">
        <v>3</v>
      </c>
      <c r="F3682">
        <v>3</v>
      </c>
      <c r="G3682">
        <v>4</v>
      </c>
      <c r="J3682" t="s">
        <v>15</v>
      </c>
      <c r="K3682">
        <v>3</v>
      </c>
      <c r="L3682">
        <v>3.2240000000000002</v>
      </c>
      <c r="M3682">
        <v>0</v>
      </c>
      <c r="N3682" t="s">
        <v>10019</v>
      </c>
      <c r="O3682" t="str">
        <f>HYPERLINK("3\1\marker_471_383594.png", "Ver Imagen")</f>
        <v>Ver Imagen</v>
      </c>
      <c r="P3682" t="str">
        <f>HYPERLINK("SO\A-5058\A-5058__255.png", "Ver Imagen")</f>
        <v>Ver Imagen</v>
      </c>
    </row>
    <row r="3683" spans="1:16" x14ac:dyDescent="0.25">
      <c r="A3683">
        <v>3197</v>
      </c>
      <c r="B3683" t="s">
        <v>6405</v>
      </c>
      <c r="C3683">
        <v>37.242025250300003</v>
      </c>
      <c r="D3683">
        <v>-7.0845860924500004</v>
      </c>
      <c r="E3683">
        <v>3</v>
      </c>
      <c r="F3683">
        <v>3</v>
      </c>
      <c r="G3683">
        <v>4</v>
      </c>
      <c r="J3683" t="s">
        <v>15</v>
      </c>
      <c r="K3683">
        <v>3</v>
      </c>
      <c r="L3683">
        <v>2.8159999999999998</v>
      </c>
      <c r="M3683">
        <v>0</v>
      </c>
      <c r="N3683" t="s">
        <v>10017</v>
      </c>
      <c r="O3683" t="str">
        <f>HYPERLINK("3\1\marker_799_383608.png", "Ver Imagen")</f>
        <v>Ver Imagen</v>
      </c>
      <c r="P3683" t="str">
        <f>HYPERLINK("SE\A-5058\A-5058__256.png", "Ver Imagen")</f>
        <v>Ver Imagen</v>
      </c>
    </row>
    <row r="3684" spans="1:16" x14ac:dyDescent="0.25">
      <c r="A3684">
        <v>3197</v>
      </c>
      <c r="B3684" t="s">
        <v>6405</v>
      </c>
      <c r="C3684">
        <v>37.242025250300003</v>
      </c>
      <c r="D3684">
        <v>-7.0845860924500004</v>
      </c>
      <c r="E3684">
        <v>3</v>
      </c>
      <c r="F3684">
        <v>3</v>
      </c>
      <c r="G3684">
        <v>4</v>
      </c>
      <c r="J3684" t="s">
        <v>15</v>
      </c>
      <c r="K3684">
        <v>3</v>
      </c>
      <c r="L3684">
        <v>2.9540000000000002</v>
      </c>
      <c r="M3684">
        <v>0</v>
      </c>
      <c r="N3684" t="s">
        <v>10017</v>
      </c>
      <c r="O3684" t="str">
        <f>HYPERLINK("3\1\marker_799_383608.png", "Ver Imagen")</f>
        <v>Ver Imagen</v>
      </c>
      <c r="P3684" t="str">
        <f>HYPERLINK("SO\A-5058\A-5058__256.png", "Ver Imagen")</f>
        <v>Ver Imagen</v>
      </c>
    </row>
    <row r="3685" spans="1:16" x14ac:dyDescent="0.25">
      <c r="A3685">
        <v>3198</v>
      </c>
      <c r="B3685" t="s">
        <v>6407</v>
      </c>
      <c r="C3685">
        <v>37.242117237199999</v>
      </c>
      <c r="D3685">
        <v>-7.08479344656</v>
      </c>
      <c r="E3685">
        <v>3</v>
      </c>
      <c r="F3685">
        <v>3</v>
      </c>
      <c r="G3685">
        <v>4</v>
      </c>
      <c r="J3685" t="s">
        <v>15</v>
      </c>
      <c r="K3685">
        <v>3</v>
      </c>
      <c r="L3685">
        <v>3.01</v>
      </c>
      <c r="M3685">
        <v>0</v>
      </c>
      <c r="N3685" t="s">
        <v>10017</v>
      </c>
      <c r="O3685" t="str">
        <f>HYPERLINK("3\1\marker_764_383632.png", "Ver Imagen")</f>
        <v>Ver Imagen</v>
      </c>
      <c r="P3685" t="str">
        <f>HYPERLINK("SO\A-5058\A-5058__257.png", "Ver Imagen")</f>
        <v>Ver Imagen</v>
      </c>
    </row>
    <row r="3686" spans="1:16" x14ac:dyDescent="0.25">
      <c r="A3686">
        <v>3199</v>
      </c>
      <c r="B3686" t="s">
        <v>6409</v>
      </c>
      <c r="C3686">
        <v>37.242215335700003</v>
      </c>
      <c r="D3686">
        <v>-7.0850442105799996</v>
      </c>
      <c r="E3686">
        <v>3</v>
      </c>
      <c r="F3686">
        <v>3</v>
      </c>
      <c r="G3686">
        <v>4</v>
      </c>
      <c r="J3686" t="s">
        <v>15</v>
      </c>
      <c r="K3686">
        <v>3</v>
      </c>
      <c r="L3686">
        <v>2.6869999999999998</v>
      </c>
      <c r="M3686">
        <v>0</v>
      </c>
      <c r="N3686" t="s">
        <v>10017</v>
      </c>
      <c r="O3686" t="str">
        <f>HYPERLINK("3\1\marker_699_383641.png", "Ver Imagen")</f>
        <v>Ver Imagen</v>
      </c>
      <c r="P3686" t="str">
        <f>HYPERLINK("SE\A-5058\A-5058__258.png", "Ver Imagen")</f>
        <v>Ver Imagen</v>
      </c>
    </row>
    <row r="3687" spans="1:16" x14ac:dyDescent="0.25">
      <c r="A3687">
        <v>3199</v>
      </c>
      <c r="B3687" t="s">
        <v>6409</v>
      </c>
      <c r="C3687">
        <v>37.242215335700003</v>
      </c>
      <c r="D3687">
        <v>-7.0850442105799996</v>
      </c>
      <c r="E3687">
        <v>3</v>
      </c>
      <c r="F3687">
        <v>3</v>
      </c>
      <c r="G3687">
        <v>4</v>
      </c>
      <c r="J3687" t="s">
        <v>15</v>
      </c>
      <c r="K3687">
        <v>3</v>
      </c>
      <c r="L3687">
        <v>2.81</v>
      </c>
      <c r="M3687">
        <v>0</v>
      </c>
      <c r="N3687" t="s">
        <v>10017</v>
      </c>
      <c r="O3687" t="str">
        <f>HYPERLINK("3\1\marker_699_383641.png", "Ver Imagen")</f>
        <v>Ver Imagen</v>
      </c>
      <c r="P3687" t="str">
        <f>HYPERLINK("SO\A-5058\A-5058__258.png", "Ver Imagen")</f>
        <v>Ver Imagen</v>
      </c>
    </row>
    <row r="3688" spans="1:16" x14ac:dyDescent="0.25">
      <c r="A3688">
        <v>3200</v>
      </c>
      <c r="B3688" t="s">
        <v>6411</v>
      </c>
      <c r="C3688">
        <v>37.242881150300001</v>
      </c>
      <c r="D3688">
        <v>-7.08740092729</v>
      </c>
      <c r="E3688">
        <v>4</v>
      </c>
      <c r="F3688">
        <v>3</v>
      </c>
      <c r="G3688">
        <v>3</v>
      </c>
      <c r="J3688" t="s">
        <v>15</v>
      </c>
      <c r="K3688">
        <v>3</v>
      </c>
      <c r="L3688">
        <v>3.2509999999999999</v>
      </c>
      <c r="M3688">
        <v>0</v>
      </c>
      <c r="N3688" t="s">
        <v>10019</v>
      </c>
      <c r="O3688" t="str">
        <f>HYPERLINK("3\1\marker_788_383894.png", "Ver Imagen")</f>
        <v>Ver Imagen</v>
      </c>
      <c r="P3688" t="str">
        <f>HYPERLINK("SE\A-5058\A-5058__268.png", "Ver Imagen")</f>
        <v>Ver Imagen</v>
      </c>
    </row>
    <row r="3689" spans="1:16" x14ac:dyDescent="0.25">
      <c r="A3689">
        <v>3200</v>
      </c>
      <c r="B3689" t="s">
        <v>6411</v>
      </c>
      <c r="C3689">
        <v>37.242881150300001</v>
      </c>
      <c r="D3689">
        <v>-7.08740092729</v>
      </c>
      <c r="E3689">
        <v>4</v>
      </c>
      <c r="F3689">
        <v>3</v>
      </c>
      <c r="G3689">
        <v>3</v>
      </c>
      <c r="J3689" t="s">
        <v>15</v>
      </c>
      <c r="K3689">
        <v>3</v>
      </c>
      <c r="L3689">
        <v>3.226</v>
      </c>
      <c r="M3689">
        <v>0</v>
      </c>
      <c r="N3689" t="s">
        <v>10019</v>
      </c>
      <c r="O3689" t="str">
        <f>HYPERLINK("3\1\marker_788_383894.png", "Ver Imagen")</f>
        <v>Ver Imagen</v>
      </c>
      <c r="P3689" t="str">
        <f>HYPERLINK("SO\A-5058\A-5058__268.png", "Ver Imagen")</f>
        <v>Ver Imagen</v>
      </c>
    </row>
    <row r="3690" spans="1:16" x14ac:dyDescent="0.25">
      <c r="A3690">
        <v>3201</v>
      </c>
      <c r="B3690" t="s">
        <v>6413</v>
      </c>
      <c r="C3690">
        <v>37.243302195399998</v>
      </c>
      <c r="D3690">
        <v>-7.0885640155000003</v>
      </c>
      <c r="E3690">
        <v>3</v>
      </c>
      <c r="F3690">
        <v>3</v>
      </c>
      <c r="G3690">
        <v>4</v>
      </c>
      <c r="J3690" t="s">
        <v>15</v>
      </c>
      <c r="K3690">
        <v>3</v>
      </c>
      <c r="L3690">
        <v>2.76</v>
      </c>
      <c r="M3690">
        <v>0</v>
      </c>
      <c r="N3690" t="s">
        <v>10017</v>
      </c>
      <c r="O3690" t="str">
        <f>HYPERLINK("3\1\marker_863_383953.png", "Ver Imagen")</f>
        <v>Ver Imagen</v>
      </c>
      <c r="P3690" t="str">
        <f>HYPERLINK("SE\A-5058\A-5058__273.png", "Ver Imagen")</f>
        <v>Ver Imagen</v>
      </c>
    </row>
    <row r="3691" spans="1:16" x14ac:dyDescent="0.25">
      <c r="A3691">
        <v>3201</v>
      </c>
      <c r="B3691" t="s">
        <v>6413</v>
      </c>
      <c r="C3691">
        <v>37.243302195399998</v>
      </c>
      <c r="D3691">
        <v>-7.0885640155000003</v>
      </c>
      <c r="E3691">
        <v>3</v>
      </c>
      <c r="F3691">
        <v>3</v>
      </c>
      <c r="G3691">
        <v>4</v>
      </c>
      <c r="J3691" t="s">
        <v>15</v>
      </c>
      <c r="K3691">
        <v>3</v>
      </c>
      <c r="L3691">
        <v>2.7719999999999998</v>
      </c>
      <c r="M3691">
        <v>0</v>
      </c>
      <c r="N3691" t="s">
        <v>10017</v>
      </c>
      <c r="O3691" t="str">
        <f>HYPERLINK("3\1\marker_863_383953.png", "Ver Imagen")</f>
        <v>Ver Imagen</v>
      </c>
      <c r="P3691" t="str">
        <f>HYPERLINK("SO\A-5058\A-5058__273.png", "Ver Imagen")</f>
        <v>Ver Imagen</v>
      </c>
    </row>
    <row r="3692" spans="1:16" x14ac:dyDescent="0.25">
      <c r="A3692">
        <v>3202</v>
      </c>
      <c r="B3692" t="s">
        <v>6415</v>
      </c>
      <c r="C3692">
        <v>37.245467690200002</v>
      </c>
      <c r="D3692">
        <v>-7.09445703989</v>
      </c>
      <c r="E3692">
        <v>3</v>
      </c>
      <c r="F3692">
        <v>3</v>
      </c>
      <c r="G3692">
        <v>4</v>
      </c>
      <c r="J3692" t="s">
        <v>15</v>
      </c>
      <c r="K3692">
        <v>3</v>
      </c>
      <c r="L3692">
        <v>2.8370000000000002</v>
      </c>
      <c r="M3692">
        <v>0</v>
      </c>
      <c r="N3692" t="s">
        <v>10019</v>
      </c>
      <c r="O3692" t="str">
        <f>HYPERLINK("3\1\marker_235_384259.png", "Ver Imagen")</f>
        <v>Ver Imagen</v>
      </c>
      <c r="P3692" t="str">
        <f>HYPERLINK("SE\A-5058\A-5058__299.png", "Ver Imagen")</f>
        <v>Ver Imagen</v>
      </c>
    </row>
    <row r="3693" spans="1:16" x14ac:dyDescent="0.25">
      <c r="A3693">
        <v>3202</v>
      </c>
      <c r="B3693" t="s">
        <v>6415</v>
      </c>
      <c r="C3693">
        <v>37.245467690200002</v>
      </c>
      <c r="D3693">
        <v>-7.09445703989</v>
      </c>
      <c r="E3693">
        <v>3</v>
      </c>
      <c r="F3693">
        <v>3</v>
      </c>
      <c r="G3693">
        <v>4</v>
      </c>
      <c r="J3693" t="s">
        <v>15</v>
      </c>
      <c r="K3693">
        <v>3</v>
      </c>
      <c r="L3693">
        <v>2.9910000000000001</v>
      </c>
      <c r="M3693">
        <v>0</v>
      </c>
      <c r="N3693" t="s">
        <v>10019</v>
      </c>
      <c r="O3693" t="str">
        <f>HYPERLINK("3\1\marker_235_384259.png", "Ver Imagen")</f>
        <v>Ver Imagen</v>
      </c>
      <c r="P3693" t="str">
        <f>HYPERLINK("SO\A-5058\A-5058__299.png", "Ver Imagen")</f>
        <v>Ver Imagen</v>
      </c>
    </row>
    <row r="3694" spans="1:16" x14ac:dyDescent="0.25">
      <c r="A3694">
        <v>3203</v>
      </c>
      <c r="B3694" t="s">
        <v>6417</v>
      </c>
      <c r="C3694">
        <v>37.245877303</v>
      </c>
      <c r="D3694">
        <v>-7.09795059117</v>
      </c>
      <c r="E3694">
        <v>3</v>
      </c>
      <c r="F3694">
        <v>3</v>
      </c>
      <c r="G3694">
        <v>4</v>
      </c>
      <c r="J3694" t="s">
        <v>15</v>
      </c>
      <c r="K3694">
        <v>3</v>
      </c>
      <c r="L3694">
        <v>2.9460000000000002</v>
      </c>
      <c r="M3694">
        <v>0</v>
      </c>
      <c r="N3694" t="s">
        <v>10019</v>
      </c>
      <c r="O3694" t="str">
        <f>HYPERLINK("3\1\marker_230_384425.png", "Ver Imagen")</f>
        <v>Ver Imagen</v>
      </c>
      <c r="P3694" t="str">
        <f>HYPERLINK("SE\A-5058\A-5058__313.png", "Ver Imagen")</f>
        <v>Ver Imagen</v>
      </c>
    </row>
    <row r="3695" spans="1:16" x14ac:dyDescent="0.25">
      <c r="A3695">
        <v>3203</v>
      </c>
      <c r="B3695" t="s">
        <v>6417</v>
      </c>
      <c r="C3695">
        <v>37.245877303</v>
      </c>
      <c r="D3695">
        <v>-7.09795059117</v>
      </c>
      <c r="E3695">
        <v>3</v>
      </c>
      <c r="F3695">
        <v>3</v>
      </c>
      <c r="G3695">
        <v>4</v>
      </c>
      <c r="J3695" t="s">
        <v>15</v>
      </c>
      <c r="K3695">
        <v>3</v>
      </c>
      <c r="L3695">
        <v>2.706</v>
      </c>
      <c r="M3695">
        <v>0</v>
      </c>
      <c r="N3695" t="s">
        <v>10019</v>
      </c>
      <c r="O3695" t="str">
        <f>HYPERLINK("3\1\marker_230_384425.png", "Ver Imagen")</f>
        <v>Ver Imagen</v>
      </c>
      <c r="P3695" t="str">
        <f>HYPERLINK("SO\A-5058\A-5058__313.png", "Ver Imagen")</f>
        <v>Ver Imagen</v>
      </c>
    </row>
    <row r="3696" spans="1:16" x14ac:dyDescent="0.25">
      <c r="A3696">
        <v>3204</v>
      </c>
      <c r="B3696" t="s">
        <v>6419</v>
      </c>
      <c r="C3696">
        <v>37.246048215000002</v>
      </c>
      <c r="D3696">
        <v>-7.0983860625900004</v>
      </c>
      <c r="E3696">
        <v>3</v>
      </c>
      <c r="F3696">
        <v>3</v>
      </c>
      <c r="G3696">
        <v>4</v>
      </c>
      <c r="J3696" t="s">
        <v>15</v>
      </c>
      <c r="K3696">
        <v>3</v>
      </c>
      <c r="L3696">
        <v>2.8530000000000002</v>
      </c>
      <c r="M3696">
        <v>0</v>
      </c>
      <c r="N3696" t="s">
        <v>10019</v>
      </c>
      <c r="O3696" t="str">
        <f>HYPERLINK("3\1\marker_752_384450.png", "Ver Imagen")</f>
        <v>Ver Imagen</v>
      </c>
      <c r="P3696" t="str">
        <f>HYPERLINK("SE\A-5058\A-5058__315.png", "Ver Imagen")</f>
        <v>Ver Imagen</v>
      </c>
    </row>
    <row r="3697" spans="1:16" x14ac:dyDescent="0.25">
      <c r="A3697">
        <v>3204</v>
      </c>
      <c r="B3697" t="s">
        <v>6419</v>
      </c>
      <c r="C3697">
        <v>37.246048215000002</v>
      </c>
      <c r="D3697">
        <v>-7.0983860625900004</v>
      </c>
      <c r="E3697">
        <v>3</v>
      </c>
      <c r="F3697">
        <v>3</v>
      </c>
      <c r="G3697">
        <v>4</v>
      </c>
      <c r="J3697" t="s">
        <v>15</v>
      </c>
      <c r="K3697">
        <v>3</v>
      </c>
      <c r="L3697">
        <v>3.2570000000000001</v>
      </c>
      <c r="M3697">
        <v>0</v>
      </c>
      <c r="N3697" t="s">
        <v>10019</v>
      </c>
      <c r="O3697" t="str">
        <f>HYPERLINK("3\1\marker_752_384450.png", "Ver Imagen")</f>
        <v>Ver Imagen</v>
      </c>
      <c r="P3697" t="str">
        <f>HYPERLINK("SO\A-5058\A-5058__315.png", "Ver Imagen")</f>
        <v>Ver Imagen</v>
      </c>
    </row>
    <row r="3698" spans="1:16" x14ac:dyDescent="0.25">
      <c r="A3698">
        <v>3205</v>
      </c>
      <c r="B3698" t="s">
        <v>6421</v>
      </c>
      <c r="C3698">
        <v>37.246663765999998</v>
      </c>
      <c r="D3698">
        <v>-7.0994355140599996</v>
      </c>
      <c r="E3698">
        <v>3</v>
      </c>
      <c r="F3698">
        <v>3</v>
      </c>
      <c r="G3698">
        <v>4</v>
      </c>
      <c r="J3698" t="s">
        <v>15</v>
      </c>
      <c r="K3698">
        <v>3</v>
      </c>
      <c r="L3698">
        <v>3.0710000000000002</v>
      </c>
      <c r="M3698">
        <v>0</v>
      </c>
      <c r="N3698" t="s">
        <v>10019</v>
      </c>
      <c r="O3698" t="str">
        <f>HYPERLINK("3\1\marker_733_384502.png", "Ver Imagen")</f>
        <v>Ver Imagen</v>
      </c>
      <c r="P3698" t="str">
        <f>HYPERLINK("SE\A-5058\A-5058__320.png", "Ver Imagen")</f>
        <v>Ver Imagen</v>
      </c>
    </row>
    <row r="3699" spans="1:16" x14ac:dyDescent="0.25">
      <c r="A3699">
        <v>3205</v>
      </c>
      <c r="B3699" t="s">
        <v>6421</v>
      </c>
      <c r="C3699">
        <v>37.246663765999998</v>
      </c>
      <c r="D3699">
        <v>-7.0994355140599996</v>
      </c>
      <c r="E3699">
        <v>3</v>
      </c>
      <c r="F3699">
        <v>3</v>
      </c>
      <c r="G3699">
        <v>4</v>
      </c>
      <c r="J3699" t="s">
        <v>15</v>
      </c>
      <c r="K3699">
        <v>3</v>
      </c>
      <c r="L3699">
        <v>3.3319999999999999</v>
      </c>
      <c r="M3699">
        <v>0</v>
      </c>
      <c r="N3699" t="s">
        <v>10019</v>
      </c>
      <c r="O3699" t="str">
        <f>HYPERLINK("3\1\marker_733_384502.png", "Ver Imagen")</f>
        <v>Ver Imagen</v>
      </c>
      <c r="P3699" t="str">
        <f>HYPERLINK("SO\A-5058\A-5058__320.png", "Ver Imagen")</f>
        <v>Ver Imagen</v>
      </c>
    </row>
    <row r="3700" spans="1:16" x14ac:dyDescent="0.25">
      <c r="A3700">
        <v>3206</v>
      </c>
      <c r="B3700" t="s">
        <v>6423</v>
      </c>
      <c r="C3700">
        <v>37.247310408499999</v>
      </c>
      <c r="D3700">
        <v>-7.1004177001300004</v>
      </c>
      <c r="E3700">
        <v>3</v>
      </c>
      <c r="F3700">
        <v>3</v>
      </c>
      <c r="G3700">
        <v>4</v>
      </c>
      <c r="J3700" t="s">
        <v>15</v>
      </c>
      <c r="K3700">
        <v>3</v>
      </c>
      <c r="L3700">
        <v>3.2949999999999999</v>
      </c>
      <c r="M3700">
        <v>0</v>
      </c>
      <c r="N3700" t="s">
        <v>10019</v>
      </c>
      <c r="O3700" t="str">
        <f>HYPERLINK("3\1\marker_309_384561.png", "Ver Imagen")</f>
        <v>Ver Imagen</v>
      </c>
      <c r="P3700" t="str">
        <f>HYPERLINK("SE\A-5058\A-5058__325.png", "Ver Imagen")</f>
        <v>Ver Imagen</v>
      </c>
    </row>
    <row r="3701" spans="1:16" x14ac:dyDescent="0.25">
      <c r="A3701">
        <v>3206</v>
      </c>
      <c r="B3701" t="s">
        <v>6423</v>
      </c>
      <c r="C3701">
        <v>37.247310408499999</v>
      </c>
      <c r="D3701">
        <v>-7.1004177001300004</v>
      </c>
      <c r="E3701">
        <v>3</v>
      </c>
      <c r="F3701">
        <v>3</v>
      </c>
      <c r="G3701">
        <v>4</v>
      </c>
      <c r="J3701" t="s">
        <v>15</v>
      </c>
      <c r="K3701">
        <v>3</v>
      </c>
      <c r="L3701">
        <v>3.0209999999999999</v>
      </c>
      <c r="M3701">
        <v>0</v>
      </c>
      <c r="N3701" t="s">
        <v>10019</v>
      </c>
      <c r="O3701" t="str">
        <f>HYPERLINK("3\1\marker_309_384561.png", "Ver Imagen")</f>
        <v>Ver Imagen</v>
      </c>
      <c r="P3701" t="str">
        <f>HYPERLINK("SO\A-5058\A-5058__325.png", "Ver Imagen")</f>
        <v>Ver Imagen</v>
      </c>
    </row>
    <row r="3702" spans="1:16" x14ac:dyDescent="0.25">
      <c r="A3702">
        <v>3207</v>
      </c>
      <c r="B3702" t="s">
        <v>6425</v>
      </c>
      <c r="C3702">
        <v>37.247441168599998</v>
      </c>
      <c r="D3702">
        <v>-7.1006137090500001</v>
      </c>
      <c r="E3702">
        <v>3</v>
      </c>
      <c r="F3702">
        <v>3</v>
      </c>
      <c r="G3702">
        <v>4</v>
      </c>
      <c r="J3702" t="s">
        <v>15</v>
      </c>
      <c r="K3702">
        <v>3</v>
      </c>
      <c r="L3702">
        <v>3.069</v>
      </c>
      <c r="M3702">
        <v>0</v>
      </c>
      <c r="N3702" t="s">
        <v>10019</v>
      </c>
      <c r="O3702" t="str">
        <f>HYPERLINK("3\1\marker_285_384571.png", "Ver Imagen")</f>
        <v>Ver Imagen</v>
      </c>
      <c r="P3702" t="str">
        <f>HYPERLINK("SE\A-5058\A-5058__326.png", "Ver Imagen")</f>
        <v>Ver Imagen</v>
      </c>
    </row>
    <row r="3703" spans="1:16" x14ac:dyDescent="0.25">
      <c r="A3703">
        <v>3207</v>
      </c>
      <c r="B3703" t="s">
        <v>6425</v>
      </c>
      <c r="C3703">
        <v>37.247441168599998</v>
      </c>
      <c r="D3703">
        <v>-7.1006137090500001</v>
      </c>
      <c r="E3703">
        <v>3</v>
      </c>
      <c r="F3703">
        <v>3</v>
      </c>
      <c r="G3703">
        <v>4</v>
      </c>
      <c r="J3703" t="s">
        <v>15</v>
      </c>
      <c r="K3703">
        <v>3</v>
      </c>
      <c r="L3703">
        <v>3.403</v>
      </c>
      <c r="M3703">
        <v>0</v>
      </c>
      <c r="N3703" t="s">
        <v>10019</v>
      </c>
      <c r="O3703" t="str">
        <f>HYPERLINK("3\1\marker_285_384571.png", "Ver Imagen")</f>
        <v>Ver Imagen</v>
      </c>
      <c r="P3703" t="str">
        <f>HYPERLINK("SO\A-5058\A-5058__326.png", "Ver Imagen")</f>
        <v>Ver Imagen</v>
      </c>
    </row>
    <row r="3704" spans="1:16" x14ac:dyDescent="0.25">
      <c r="A3704">
        <v>3208</v>
      </c>
      <c r="B3704" t="s">
        <v>6427</v>
      </c>
      <c r="C3704">
        <v>37.247700046200002</v>
      </c>
      <c r="D3704">
        <v>-7.1009989254599999</v>
      </c>
      <c r="E3704">
        <v>3</v>
      </c>
      <c r="F3704">
        <v>3</v>
      </c>
      <c r="G3704">
        <v>4</v>
      </c>
      <c r="J3704" t="s">
        <v>15</v>
      </c>
      <c r="K3704">
        <v>3</v>
      </c>
      <c r="L3704">
        <v>2.8039999999999998</v>
      </c>
      <c r="M3704">
        <v>0</v>
      </c>
      <c r="N3704" t="s">
        <v>10019</v>
      </c>
      <c r="O3704" t="str">
        <f>HYPERLINK("3\1\marker_727_384595.png", "Ver Imagen")</f>
        <v>Ver Imagen</v>
      </c>
      <c r="P3704" t="str">
        <f>HYPERLINK("SE\A-5058\A-5058__328.png", "Ver Imagen")</f>
        <v>Ver Imagen</v>
      </c>
    </row>
    <row r="3705" spans="1:16" x14ac:dyDescent="0.25">
      <c r="A3705">
        <v>3208</v>
      </c>
      <c r="B3705" t="s">
        <v>6427</v>
      </c>
      <c r="C3705">
        <v>37.247700046200002</v>
      </c>
      <c r="D3705">
        <v>-7.1009989254599999</v>
      </c>
      <c r="E3705">
        <v>3</v>
      </c>
      <c r="F3705">
        <v>3</v>
      </c>
      <c r="G3705">
        <v>4</v>
      </c>
      <c r="J3705" t="s">
        <v>15</v>
      </c>
      <c r="K3705">
        <v>3</v>
      </c>
      <c r="L3705">
        <v>3.0129999999999999</v>
      </c>
      <c r="M3705">
        <v>0</v>
      </c>
      <c r="N3705" t="s">
        <v>10019</v>
      </c>
      <c r="O3705" t="str">
        <f>HYPERLINK("3\1\marker_727_384595.png", "Ver Imagen")</f>
        <v>Ver Imagen</v>
      </c>
      <c r="P3705" t="str">
        <f>HYPERLINK("SO\A-5058\A-5058__328.png", "Ver Imagen")</f>
        <v>Ver Imagen</v>
      </c>
    </row>
    <row r="3706" spans="1:16" x14ac:dyDescent="0.25">
      <c r="A3706">
        <v>3209</v>
      </c>
      <c r="B3706" t="s">
        <v>6429</v>
      </c>
      <c r="C3706">
        <v>37.248942986400003</v>
      </c>
      <c r="D3706">
        <v>-7.1022203477800003</v>
      </c>
      <c r="E3706">
        <v>3</v>
      </c>
      <c r="F3706">
        <v>3</v>
      </c>
      <c r="G3706">
        <v>4</v>
      </c>
      <c r="J3706" t="s">
        <v>15</v>
      </c>
      <c r="K3706">
        <v>3</v>
      </c>
      <c r="L3706">
        <v>3.1909999999999998</v>
      </c>
      <c r="M3706">
        <v>0</v>
      </c>
      <c r="N3706" t="s">
        <v>10019</v>
      </c>
      <c r="O3706" t="str">
        <f>HYPERLINK("3\1\marker_373_384714.png", "Ver Imagen")</f>
        <v>Ver Imagen</v>
      </c>
      <c r="P3706" t="str">
        <f>HYPERLINK("SE\A-5058\A-5058__336.png", "Ver Imagen")</f>
        <v>Ver Imagen</v>
      </c>
    </row>
    <row r="3707" spans="1:16" x14ac:dyDescent="0.25">
      <c r="A3707">
        <v>3209</v>
      </c>
      <c r="B3707" t="s">
        <v>6429</v>
      </c>
      <c r="C3707">
        <v>37.248942986400003</v>
      </c>
      <c r="D3707">
        <v>-7.1022203477800003</v>
      </c>
      <c r="E3707">
        <v>3</v>
      </c>
      <c r="F3707">
        <v>3</v>
      </c>
      <c r="G3707">
        <v>4</v>
      </c>
      <c r="J3707" t="s">
        <v>15</v>
      </c>
      <c r="K3707">
        <v>3</v>
      </c>
      <c r="L3707">
        <v>3.202</v>
      </c>
      <c r="M3707">
        <v>0</v>
      </c>
      <c r="N3707" t="s">
        <v>10019</v>
      </c>
      <c r="O3707" t="str">
        <f>HYPERLINK("3\1\marker_373_384714.png", "Ver Imagen")</f>
        <v>Ver Imagen</v>
      </c>
      <c r="P3707" t="str">
        <f>HYPERLINK("SO\A-5058\A-5058__336.png", "Ver Imagen")</f>
        <v>Ver Imagen</v>
      </c>
    </row>
    <row r="3708" spans="1:16" x14ac:dyDescent="0.25">
      <c r="A3708">
        <v>3210</v>
      </c>
      <c r="B3708" t="s">
        <v>6431</v>
      </c>
      <c r="C3708">
        <v>37.251335612399998</v>
      </c>
      <c r="D3708">
        <v>-7.1036114057399997</v>
      </c>
      <c r="E3708">
        <v>2</v>
      </c>
      <c r="F3708">
        <v>3</v>
      </c>
      <c r="G3708">
        <v>3</v>
      </c>
      <c r="J3708" t="s">
        <v>15</v>
      </c>
      <c r="K3708">
        <v>3</v>
      </c>
      <c r="L3708">
        <v>2.9239999999999999</v>
      </c>
      <c r="M3708">
        <v>0</v>
      </c>
      <c r="N3708" t="s">
        <v>10019</v>
      </c>
      <c r="O3708" t="str">
        <f>HYPERLINK("3\1\marker_719_384856.png", "Ver Imagen")</f>
        <v>Ver Imagen</v>
      </c>
      <c r="P3708" t="str">
        <f>HYPERLINK("SO\A-5058\A-5058__349.png", "Ver Imagen")</f>
        <v>Ver Imagen</v>
      </c>
    </row>
    <row r="3709" spans="1:16" x14ac:dyDescent="0.25">
      <c r="A3709">
        <v>3211</v>
      </c>
      <c r="B3709" t="s">
        <v>6433</v>
      </c>
      <c r="C3709">
        <v>37.251513207800002</v>
      </c>
      <c r="D3709">
        <v>-7.1037215694700002</v>
      </c>
      <c r="E3709">
        <v>2</v>
      </c>
      <c r="F3709">
        <v>3</v>
      </c>
      <c r="G3709">
        <v>3</v>
      </c>
      <c r="J3709" t="s">
        <v>15</v>
      </c>
      <c r="K3709">
        <v>3</v>
      </c>
      <c r="L3709">
        <v>2.9449999999999998</v>
      </c>
      <c r="M3709">
        <v>0</v>
      </c>
      <c r="N3709" t="s">
        <v>10019</v>
      </c>
      <c r="O3709" t="str">
        <f>HYPERLINK("3\1\marker_576_384866.png", "Ver Imagen")</f>
        <v>Ver Imagen</v>
      </c>
      <c r="P3709" t="str">
        <f>HYPERLINK("SO\A-5058\A-5058__350.png", "Ver Imagen")</f>
        <v>Ver Imagen</v>
      </c>
    </row>
    <row r="3710" spans="1:16" x14ac:dyDescent="0.25">
      <c r="A3710">
        <v>3212</v>
      </c>
      <c r="B3710" t="s">
        <v>6435</v>
      </c>
      <c r="C3710">
        <v>37.2516857743</v>
      </c>
      <c r="D3710">
        <v>-7.1038422492400004</v>
      </c>
      <c r="E3710">
        <v>2</v>
      </c>
      <c r="F3710">
        <v>3</v>
      </c>
      <c r="G3710">
        <v>3</v>
      </c>
      <c r="J3710" t="s">
        <v>15</v>
      </c>
      <c r="K3710">
        <v>3</v>
      </c>
      <c r="L3710">
        <v>3.028</v>
      </c>
      <c r="M3710">
        <v>0</v>
      </c>
      <c r="N3710" t="s">
        <v>10019</v>
      </c>
      <c r="O3710" t="str">
        <f>HYPERLINK("3\1\marker_159_384878.png", "Ver Imagen")</f>
        <v>Ver Imagen</v>
      </c>
      <c r="P3710" t="str">
        <f>HYPERLINK("SO\A-5058\A-5058__351.png", "Ver Imagen")</f>
        <v>Ver Imagen</v>
      </c>
    </row>
    <row r="3711" spans="1:16" x14ac:dyDescent="0.25">
      <c r="A3711">
        <v>3213</v>
      </c>
      <c r="B3711" t="s">
        <v>6437</v>
      </c>
      <c r="C3711">
        <v>37.251855289700003</v>
      </c>
      <c r="D3711">
        <v>-7.1039789833300002</v>
      </c>
      <c r="E3711">
        <v>2</v>
      </c>
      <c r="F3711">
        <v>3</v>
      </c>
      <c r="G3711">
        <v>3</v>
      </c>
      <c r="J3711" t="s">
        <v>15</v>
      </c>
      <c r="K3711">
        <v>3</v>
      </c>
      <c r="L3711">
        <v>3.1059999999999999</v>
      </c>
      <c r="M3711">
        <v>0</v>
      </c>
      <c r="N3711" t="s">
        <v>10019</v>
      </c>
      <c r="O3711" t="str">
        <f>HYPERLINK("3\1\marker_873_384889.png", "Ver Imagen")</f>
        <v>Ver Imagen</v>
      </c>
      <c r="P3711" t="str">
        <f>HYPERLINK("SO\A-5058\A-5058__352.png", "Ver Imagen")</f>
        <v>Ver Imagen</v>
      </c>
    </row>
    <row r="3712" spans="1:16" x14ac:dyDescent="0.25">
      <c r="A3712">
        <v>3214</v>
      </c>
      <c r="B3712" t="s">
        <v>6439</v>
      </c>
      <c r="C3712">
        <v>37.2520257153</v>
      </c>
      <c r="D3712">
        <v>-7.1041358795100003</v>
      </c>
      <c r="E3712">
        <v>2</v>
      </c>
      <c r="F3712">
        <v>3</v>
      </c>
      <c r="G3712">
        <v>3</v>
      </c>
      <c r="J3712" t="s">
        <v>15</v>
      </c>
      <c r="K3712">
        <v>3</v>
      </c>
      <c r="L3712">
        <v>2.9540000000000002</v>
      </c>
      <c r="M3712">
        <v>0</v>
      </c>
      <c r="N3712" t="s">
        <v>10018</v>
      </c>
      <c r="O3712" t="str">
        <f>HYPERLINK("3\1\marker_939_384898.png", "Ver Imagen")</f>
        <v>Ver Imagen</v>
      </c>
      <c r="P3712" t="str">
        <f>HYPERLINK("SO\A-5058\A-5058__353.png", "Ver Imagen")</f>
        <v>Ver Imagen</v>
      </c>
    </row>
    <row r="3713" spans="1:16" x14ac:dyDescent="0.25">
      <c r="A3713">
        <v>3215</v>
      </c>
      <c r="B3713" t="s">
        <v>6441</v>
      </c>
      <c r="C3713">
        <v>37.252180699699998</v>
      </c>
      <c r="D3713">
        <v>-7.1043022703899998</v>
      </c>
      <c r="E3713">
        <v>2</v>
      </c>
      <c r="F3713">
        <v>3</v>
      </c>
      <c r="G3713">
        <v>3</v>
      </c>
      <c r="J3713" t="s">
        <v>15</v>
      </c>
      <c r="K3713">
        <v>3</v>
      </c>
      <c r="L3713">
        <v>2.8519999999999999</v>
      </c>
      <c r="M3713">
        <v>0</v>
      </c>
      <c r="N3713" t="s">
        <v>10019</v>
      </c>
      <c r="O3713" t="str">
        <f>HYPERLINK("3\1\marker_783_384907.png", "Ver Imagen")</f>
        <v>Ver Imagen</v>
      </c>
      <c r="P3713" t="str">
        <f>HYPERLINK("SO\A-5058\A-5058__354.png", "Ver Imagen")</f>
        <v>Ver Imagen</v>
      </c>
    </row>
    <row r="3714" spans="1:16" x14ac:dyDescent="0.25">
      <c r="A3714">
        <v>3216</v>
      </c>
      <c r="B3714" t="s">
        <v>6443</v>
      </c>
      <c r="C3714">
        <v>37.252466442200003</v>
      </c>
      <c r="D3714">
        <v>-7.1046957919100002</v>
      </c>
      <c r="E3714">
        <v>2</v>
      </c>
      <c r="F3714">
        <v>3</v>
      </c>
      <c r="G3714">
        <v>3</v>
      </c>
      <c r="J3714" t="s">
        <v>15</v>
      </c>
      <c r="K3714">
        <v>3</v>
      </c>
      <c r="L3714">
        <v>2.87</v>
      </c>
      <c r="M3714">
        <v>0</v>
      </c>
      <c r="N3714" t="s">
        <v>10019</v>
      </c>
      <c r="O3714" t="str">
        <f>HYPERLINK("3\1\marker_555_384926.png", "Ver Imagen")</f>
        <v>Ver Imagen</v>
      </c>
      <c r="P3714" t="str">
        <f>HYPERLINK("SO\A-5058\A-5058__356.png", "Ver Imagen")</f>
        <v>Ver Imagen</v>
      </c>
    </row>
    <row r="3715" spans="1:16" x14ac:dyDescent="0.25">
      <c r="A3715">
        <v>3217</v>
      </c>
      <c r="B3715" t="s">
        <v>6445</v>
      </c>
      <c r="C3715">
        <v>37.2525737259</v>
      </c>
      <c r="D3715">
        <v>-7.1048820796500003</v>
      </c>
      <c r="E3715">
        <v>2</v>
      </c>
      <c r="F3715">
        <v>3</v>
      </c>
      <c r="G3715">
        <v>3</v>
      </c>
      <c r="J3715" t="s">
        <v>15</v>
      </c>
      <c r="K3715">
        <v>3</v>
      </c>
      <c r="L3715">
        <v>3.0939999999999999</v>
      </c>
      <c r="M3715">
        <v>0</v>
      </c>
      <c r="N3715" t="s">
        <v>10019</v>
      </c>
      <c r="O3715" t="str">
        <f>HYPERLINK("3\1\marker_678_384935.png", "Ver Imagen")</f>
        <v>Ver Imagen</v>
      </c>
      <c r="P3715" t="str">
        <f>HYPERLINK("SO\A-5058\A-5058__357.png", "Ver Imagen")</f>
        <v>Ver Imagen</v>
      </c>
    </row>
    <row r="3716" spans="1:16" x14ac:dyDescent="0.25">
      <c r="A3716">
        <v>3218</v>
      </c>
      <c r="B3716" t="s">
        <v>6447</v>
      </c>
      <c r="C3716">
        <v>37.2528712728</v>
      </c>
      <c r="D3716">
        <v>-7.1055431670400004</v>
      </c>
      <c r="E3716">
        <v>2</v>
      </c>
      <c r="F3716">
        <v>3</v>
      </c>
      <c r="G3716">
        <v>3</v>
      </c>
      <c r="J3716" t="s">
        <v>15</v>
      </c>
      <c r="K3716">
        <v>3</v>
      </c>
      <c r="L3716">
        <v>2.605</v>
      </c>
      <c r="M3716">
        <v>0</v>
      </c>
      <c r="N3716" t="s">
        <v>10019</v>
      </c>
      <c r="O3716" t="str">
        <f>HYPERLINK("3\1\marker_988_384972.png", "Ver Imagen")</f>
        <v>Ver Imagen</v>
      </c>
      <c r="P3716" t="str">
        <f>HYPERLINK("SO\A-5058\A-5058__360.png", "Ver Imagen")</f>
        <v>Ver Imagen</v>
      </c>
    </row>
    <row r="3717" spans="1:16" x14ac:dyDescent="0.25">
      <c r="A3717">
        <v>3219</v>
      </c>
      <c r="B3717" t="s">
        <v>6449</v>
      </c>
      <c r="C3717">
        <v>37.253055144199998</v>
      </c>
      <c r="D3717">
        <v>-7.1060179464199997</v>
      </c>
      <c r="E3717">
        <v>2</v>
      </c>
      <c r="F3717">
        <v>3</v>
      </c>
      <c r="G3717">
        <v>3</v>
      </c>
      <c r="J3717" t="s">
        <v>15</v>
      </c>
      <c r="K3717">
        <v>3</v>
      </c>
      <c r="L3717">
        <v>2.9319999999999999</v>
      </c>
      <c r="M3717">
        <v>0</v>
      </c>
      <c r="N3717" t="s">
        <v>10019</v>
      </c>
      <c r="O3717" t="str">
        <f>HYPERLINK("3\1\marker_206_384992.png", "Ver Imagen")</f>
        <v>Ver Imagen</v>
      </c>
      <c r="P3717" t="str">
        <f>HYPERLINK("SO\A-5058\A-5058__362.png", "Ver Imagen")</f>
        <v>Ver Imagen</v>
      </c>
    </row>
    <row r="3718" spans="1:16" x14ac:dyDescent="0.25">
      <c r="A3718">
        <v>3220</v>
      </c>
      <c r="B3718" t="s">
        <v>6451</v>
      </c>
      <c r="C3718">
        <v>37.253239024499997</v>
      </c>
      <c r="D3718">
        <v>-7.1064658872299997</v>
      </c>
      <c r="E3718">
        <v>2</v>
      </c>
      <c r="F3718">
        <v>3</v>
      </c>
      <c r="G3718">
        <v>3</v>
      </c>
      <c r="J3718" t="s">
        <v>15</v>
      </c>
      <c r="K3718">
        <v>3</v>
      </c>
      <c r="L3718">
        <v>2.806</v>
      </c>
      <c r="M3718">
        <v>0</v>
      </c>
      <c r="N3718" t="s">
        <v>10019</v>
      </c>
      <c r="O3718" t="str">
        <f>HYPERLINK("3\1\marker_359_385013.png", "Ver Imagen")</f>
        <v>Ver Imagen</v>
      </c>
      <c r="P3718" t="str">
        <f>HYPERLINK("SO\A-5058\A-5058__364.png", "Ver Imagen")</f>
        <v>Ver Imagen</v>
      </c>
    </row>
    <row r="3719" spans="1:16" x14ac:dyDescent="0.25">
      <c r="A3719">
        <v>3221</v>
      </c>
      <c r="B3719" t="s">
        <v>6453</v>
      </c>
      <c r="C3719">
        <v>37.2533426838</v>
      </c>
      <c r="D3719">
        <v>-7.1066834229599998</v>
      </c>
      <c r="E3719">
        <v>2</v>
      </c>
      <c r="F3719">
        <v>3</v>
      </c>
      <c r="G3719">
        <v>3</v>
      </c>
      <c r="J3719" t="s">
        <v>15</v>
      </c>
      <c r="K3719">
        <v>3</v>
      </c>
      <c r="L3719">
        <v>3.0110000000000001</v>
      </c>
      <c r="M3719">
        <v>0</v>
      </c>
      <c r="N3719" t="s">
        <v>10019</v>
      </c>
      <c r="O3719" t="str">
        <f>HYPERLINK("3\1\marker_820_385025.png", "Ver Imagen")</f>
        <v>Ver Imagen</v>
      </c>
      <c r="P3719" t="str">
        <f>HYPERLINK("SO\A-5058\A-5058__365.png", "Ver Imagen")</f>
        <v>Ver Imagen</v>
      </c>
    </row>
    <row r="3720" spans="1:16" x14ac:dyDescent="0.25">
      <c r="A3720">
        <v>3222</v>
      </c>
      <c r="B3720" t="s">
        <v>6455</v>
      </c>
      <c r="C3720">
        <v>37.254396711200002</v>
      </c>
      <c r="D3720">
        <v>-7.1082122128899998</v>
      </c>
      <c r="E3720">
        <v>2</v>
      </c>
      <c r="F3720">
        <v>3</v>
      </c>
      <c r="G3720">
        <v>3</v>
      </c>
      <c r="J3720" t="s">
        <v>15</v>
      </c>
      <c r="K3720">
        <v>3</v>
      </c>
      <c r="L3720">
        <v>2.8109999999999999</v>
      </c>
      <c r="M3720">
        <v>0</v>
      </c>
      <c r="N3720" t="s">
        <v>10019</v>
      </c>
      <c r="O3720" t="str">
        <f>HYPERLINK("3\1\marker_987_385107.png", "Ver Imagen")</f>
        <v>Ver Imagen</v>
      </c>
      <c r="P3720" t="str">
        <f>HYPERLINK("SO\A-5058\A-5058__373.png", "Ver Imagen")</f>
        <v>Ver Imagen</v>
      </c>
    </row>
    <row r="3721" spans="1:16" x14ac:dyDescent="0.25">
      <c r="A3721">
        <v>3223</v>
      </c>
      <c r="B3721" t="s">
        <v>6457</v>
      </c>
      <c r="C3721">
        <v>37.254517293799999</v>
      </c>
      <c r="D3721">
        <v>-7.1083764303399999</v>
      </c>
      <c r="E3721">
        <v>2</v>
      </c>
      <c r="F3721">
        <v>3</v>
      </c>
      <c r="G3721">
        <v>3</v>
      </c>
      <c r="J3721" t="s">
        <v>15</v>
      </c>
      <c r="K3721">
        <v>3</v>
      </c>
      <c r="L3721">
        <v>2.6349999999999998</v>
      </c>
      <c r="M3721">
        <v>0</v>
      </c>
      <c r="N3721" t="s">
        <v>10019</v>
      </c>
      <c r="O3721" t="str">
        <f>HYPERLINK("3\1\marker_545_385119.png", "Ver Imagen")</f>
        <v>Ver Imagen</v>
      </c>
      <c r="P3721" t="str">
        <f>HYPERLINK("SO\A-5058\A-5058__374.png", "Ver Imagen")</f>
        <v>Ver Imagen</v>
      </c>
    </row>
    <row r="3722" spans="1:16" x14ac:dyDescent="0.25">
      <c r="A3722">
        <v>3224</v>
      </c>
      <c r="B3722" t="s">
        <v>6459</v>
      </c>
      <c r="C3722">
        <v>37.254664351400002</v>
      </c>
      <c r="D3722">
        <v>-7.1085620177099997</v>
      </c>
      <c r="E3722">
        <v>4</v>
      </c>
      <c r="F3722">
        <v>3</v>
      </c>
      <c r="G3722">
        <v>3</v>
      </c>
      <c r="J3722" t="s">
        <v>15</v>
      </c>
      <c r="K3722">
        <v>3</v>
      </c>
      <c r="L3722">
        <v>2.794</v>
      </c>
      <c r="M3722">
        <v>0</v>
      </c>
      <c r="N3722" t="s">
        <v>10019</v>
      </c>
      <c r="O3722" t="str">
        <f>HYPERLINK("3\1\marker_973_385130.png", "Ver Imagen")</f>
        <v>Ver Imagen</v>
      </c>
      <c r="P3722" t="str">
        <f>HYPERLINK("SO\A-5058\A-5058__375.png", "Ver Imagen")</f>
        <v>Ver Imagen</v>
      </c>
    </row>
    <row r="3723" spans="1:16" x14ac:dyDescent="0.25">
      <c r="A3723">
        <v>3225</v>
      </c>
      <c r="B3723" t="s">
        <v>6461</v>
      </c>
      <c r="C3723">
        <v>37.255102501000003</v>
      </c>
      <c r="D3723">
        <v>-7.1094081438899996</v>
      </c>
      <c r="E3723">
        <v>3</v>
      </c>
      <c r="F3723">
        <v>3</v>
      </c>
      <c r="G3723">
        <v>4</v>
      </c>
      <c r="J3723" t="s">
        <v>15</v>
      </c>
      <c r="K3723">
        <v>3</v>
      </c>
      <c r="L3723">
        <v>3.0790000000000002</v>
      </c>
      <c r="M3723">
        <v>0</v>
      </c>
      <c r="N3723" t="s">
        <v>10019</v>
      </c>
      <c r="O3723" t="str">
        <f>HYPERLINK("3\1\marker_672_385197.png", "Ver Imagen")</f>
        <v>Ver Imagen</v>
      </c>
      <c r="P3723" t="str">
        <f>HYPERLINK("SO\A-5058\A-5058__380.png", "Ver Imagen")</f>
        <v>Ver Imagen</v>
      </c>
    </row>
    <row r="3724" spans="1:16" x14ac:dyDescent="0.25">
      <c r="A3724">
        <v>3226</v>
      </c>
      <c r="B3724" t="s">
        <v>6463</v>
      </c>
      <c r="C3724">
        <v>37.2551864279</v>
      </c>
      <c r="D3724">
        <v>-7.1096674351200004</v>
      </c>
      <c r="E3724">
        <v>3</v>
      </c>
      <c r="F3724">
        <v>3</v>
      </c>
      <c r="G3724">
        <v>4</v>
      </c>
      <c r="J3724" t="s">
        <v>15</v>
      </c>
      <c r="K3724">
        <v>3</v>
      </c>
      <c r="L3724">
        <v>2.681</v>
      </c>
      <c r="M3724">
        <v>0</v>
      </c>
      <c r="N3724" t="s">
        <v>10017</v>
      </c>
      <c r="O3724" t="str">
        <f>HYPERLINK("3\1\marker_498_385220.png", "Ver Imagen")</f>
        <v>Ver Imagen</v>
      </c>
      <c r="P3724" t="str">
        <f>HYPERLINK("SO\A-5058\A-5058__381.png", "Ver Imagen")</f>
        <v>Ver Imagen</v>
      </c>
    </row>
    <row r="3725" spans="1:16" x14ac:dyDescent="0.25">
      <c r="A3725">
        <v>3227</v>
      </c>
      <c r="B3725" t="s">
        <v>6465</v>
      </c>
      <c r="C3725">
        <v>37.2552516039</v>
      </c>
      <c r="D3725">
        <v>-7.1098980957500002</v>
      </c>
      <c r="E3725">
        <v>3</v>
      </c>
      <c r="F3725">
        <v>3</v>
      </c>
      <c r="G3725">
        <v>4</v>
      </c>
      <c r="J3725" t="s">
        <v>15</v>
      </c>
      <c r="K3725">
        <v>3</v>
      </c>
      <c r="L3725">
        <v>3.0569999999999999</v>
      </c>
      <c r="M3725">
        <v>0</v>
      </c>
      <c r="N3725" t="s">
        <v>10019</v>
      </c>
      <c r="O3725" t="str">
        <f>HYPERLINK("3\1\marker_356_385231.png", "Ver Imagen")</f>
        <v>Ver Imagen</v>
      </c>
      <c r="P3725" t="str">
        <f>HYPERLINK("SO\A-5058\A-5058__382.png", "Ver Imagen")</f>
        <v>Ver Imagen</v>
      </c>
    </row>
    <row r="3726" spans="1:16" x14ac:dyDescent="0.25">
      <c r="A3726">
        <v>3228</v>
      </c>
      <c r="B3726" t="s">
        <v>6467</v>
      </c>
      <c r="C3726">
        <v>37.255348711700002</v>
      </c>
      <c r="D3726">
        <v>-7.11040217566</v>
      </c>
      <c r="E3726">
        <v>3</v>
      </c>
      <c r="F3726">
        <v>3</v>
      </c>
      <c r="G3726">
        <v>4</v>
      </c>
      <c r="J3726" t="s">
        <v>15</v>
      </c>
      <c r="K3726">
        <v>3</v>
      </c>
      <c r="L3726">
        <v>2.7280000000000002</v>
      </c>
      <c r="M3726">
        <v>0</v>
      </c>
      <c r="N3726" t="s">
        <v>10019</v>
      </c>
      <c r="O3726" t="str">
        <f>HYPERLINK("3\1\marker_782_385249.png", "Ver Imagen")</f>
        <v>Ver Imagen</v>
      </c>
      <c r="P3726" t="str">
        <f>HYPERLINK("SO\A-5058\A-5058__384.png", "Ver Imagen")</f>
        <v>Ver Imagen</v>
      </c>
    </row>
    <row r="3727" spans="1:16" x14ac:dyDescent="0.25">
      <c r="A3727">
        <v>3229</v>
      </c>
      <c r="B3727" t="s">
        <v>6469</v>
      </c>
      <c r="C3727">
        <v>37.255323300000001</v>
      </c>
      <c r="D3727">
        <v>-7.1116638675499999</v>
      </c>
      <c r="E3727">
        <v>3</v>
      </c>
      <c r="F3727">
        <v>3</v>
      </c>
      <c r="G3727">
        <v>4</v>
      </c>
      <c r="J3727" t="s">
        <v>15</v>
      </c>
      <c r="K3727">
        <v>3</v>
      </c>
      <c r="L3727">
        <v>2.762</v>
      </c>
      <c r="M3727">
        <v>0</v>
      </c>
      <c r="N3727" t="s">
        <v>10019</v>
      </c>
      <c r="O3727" t="str">
        <f>HYPERLINK("3\1\marker_236_385295.png", "Ver Imagen")</f>
        <v>Ver Imagen</v>
      </c>
      <c r="P3727" t="str">
        <f>HYPERLINK("SO\A-5058\A-5058__389.png", "Ver Imagen")</f>
        <v>Ver Imagen</v>
      </c>
    </row>
    <row r="3728" spans="1:16" x14ac:dyDescent="0.25">
      <c r="A3728">
        <v>3230</v>
      </c>
      <c r="B3728" t="s">
        <v>6471</v>
      </c>
      <c r="C3728">
        <v>37.255055112999997</v>
      </c>
      <c r="D3728">
        <v>-7.1129129728000002</v>
      </c>
      <c r="E3728">
        <v>3</v>
      </c>
      <c r="F3728">
        <v>3</v>
      </c>
      <c r="G3728">
        <v>4</v>
      </c>
      <c r="J3728" t="s">
        <v>15</v>
      </c>
      <c r="K3728">
        <v>3</v>
      </c>
      <c r="L3728">
        <v>2.7250000000000001</v>
      </c>
      <c r="M3728">
        <v>0</v>
      </c>
      <c r="N3728" t="s">
        <v>10019</v>
      </c>
      <c r="O3728" t="str">
        <f>HYPERLINK("3\1\marker_216_385342.png", "Ver Imagen")</f>
        <v>Ver Imagen</v>
      </c>
      <c r="P3728" t="str">
        <f>HYPERLINK("SO\A-5058\A-5058__394.png", "Ver Imagen")</f>
        <v>Ver Imagen</v>
      </c>
    </row>
    <row r="3729" spans="1:16" x14ac:dyDescent="0.25">
      <c r="A3729">
        <v>3231</v>
      </c>
      <c r="B3729" t="s">
        <v>6473</v>
      </c>
      <c r="C3729">
        <v>37.254876754900003</v>
      </c>
      <c r="D3729">
        <v>-7.1136299006000003</v>
      </c>
      <c r="E3729">
        <v>3</v>
      </c>
      <c r="F3729">
        <v>3</v>
      </c>
      <c r="G3729">
        <v>4</v>
      </c>
      <c r="J3729" t="s">
        <v>15</v>
      </c>
      <c r="K3729">
        <v>3</v>
      </c>
      <c r="L3729">
        <v>2.7869999999999999</v>
      </c>
      <c r="M3729">
        <v>0</v>
      </c>
      <c r="N3729" t="s">
        <v>10019</v>
      </c>
      <c r="O3729" t="str">
        <f>HYPERLINK("3\1\marker_150_385391.png", "Ver Imagen")</f>
        <v>Ver Imagen</v>
      </c>
      <c r="P3729" t="str">
        <f>HYPERLINK("SO\A-5058\A-5058__397.png", "Ver Imagen")</f>
        <v>Ver Imagen</v>
      </c>
    </row>
    <row r="3730" spans="1:16" x14ac:dyDescent="0.25">
      <c r="A3730">
        <v>3232</v>
      </c>
      <c r="B3730" t="s">
        <v>6475</v>
      </c>
      <c r="C3730">
        <v>37.254757774799998</v>
      </c>
      <c r="D3730">
        <v>-7.1141100892000004</v>
      </c>
      <c r="E3730">
        <v>3</v>
      </c>
      <c r="F3730">
        <v>3</v>
      </c>
      <c r="G3730">
        <v>4</v>
      </c>
      <c r="J3730" t="s">
        <v>15</v>
      </c>
      <c r="K3730">
        <v>3</v>
      </c>
      <c r="L3730">
        <v>2.9169999999999998</v>
      </c>
      <c r="M3730">
        <v>0</v>
      </c>
      <c r="N3730" t="s">
        <v>10019</v>
      </c>
      <c r="O3730" t="str">
        <f>HYPERLINK("3\1\marker_115_385419.png", "Ver Imagen")</f>
        <v>Ver Imagen</v>
      </c>
      <c r="P3730" t="str">
        <f>HYPERLINK("SO\A-5058\A-5058__399.png", "Ver Imagen")</f>
        <v>Ver Imagen</v>
      </c>
    </row>
    <row r="3731" spans="1:16" x14ac:dyDescent="0.25">
      <c r="A3731">
        <v>3233</v>
      </c>
      <c r="B3731" t="s">
        <v>6477</v>
      </c>
      <c r="C3731">
        <v>37.254616702500002</v>
      </c>
      <c r="D3731">
        <v>-7.1148193300799996</v>
      </c>
      <c r="E3731">
        <v>3</v>
      </c>
      <c r="F3731">
        <v>3</v>
      </c>
      <c r="G3731">
        <v>4</v>
      </c>
      <c r="J3731" t="s">
        <v>15</v>
      </c>
      <c r="K3731">
        <v>3</v>
      </c>
      <c r="L3731">
        <v>3.0419999999999998</v>
      </c>
      <c r="M3731">
        <v>0</v>
      </c>
      <c r="N3731" t="s">
        <v>10019</v>
      </c>
      <c r="O3731" t="str">
        <f>HYPERLINK("3\1\marker_182_388517.png", "Ver Imagen")</f>
        <v>Ver Imagen</v>
      </c>
      <c r="P3731" t="str">
        <f>HYPERLINK("SO\A-5058\A-5058__402.png", "Ver Imagen")</f>
        <v>Ver Imagen</v>
      </c>
    </row>
    <row r="3732" spans="1:16" x14ac:dyDescent="0.25">
      <c r="A3732">
        <v>3234</v>
      </c>
      <c r="B3732" t="s">
        <v>6479</v>
      </c>
      <c r="C3732">
        <v>37.254573167799997</v>
      </c>
      <c r="D3732">
        <v>-7.1153383782599997</v>
      </c>
      <c r="E3732">
        <v>3</v>
      </c>
      <c r="F3732">
        <v>3</v>
      </c>
      <c r="G3732">
        <v>4</v>
      </c>
      <c r="J3732" t="s">
        <v>15</v>
      </c>
      <c r="K3732">
        <v>3</v>
      </c>
      <c r="L3732">
        <v>3.1629999999999998</v>
      </c>
      <c r="M3732">
        <v>0</v>
      </c>
      <c r="N3732" t="s">
        <v>10019</v>
      </c>
      <c r="O3732" t="str">
        <f>HYPERLINK("3\1\marker_847_388576.png", "Ver Imagen")</f>
        <v>Ver Imagen</v>
      </c>
      <c r="P3732" t="str">
        <f>HYPERLINK("SO\A-5058\A-5058__404.png", "Ver Imagen")</f>
        <v>Ver Imagen</v>
      </c>
    </row>
    <row r="3733" spans="1:16" x14ac:dyDescent="0.25">
      <c r="A3733">
        <v>3235</v>
      </c>
      <c r="B3733" t="s">
        <v>6481</v>
      </c>
      <c r="C3733">
        <v>37.2545736808</v>
      </c>
      <c r="D3733">
        <v>-7.1155891500799999</v>
      </c>
      <c r="E3733">
        <v>3</v>
      </c>
      <c r="F3733">
        <v>3</v>
      </c>
      <c r="G3733">
        <v>4</v>
      </c>
      <c r="J3733" t="s">
        <v>15</v>
      </c>
      <c r="K3733">
        <v>3</v>
      </c>
      <c r="L3733">
        <v>3.01</v>
      </c>
      <c r="M3733">
        <v>0</v>
      </c>
      <c r="N3733" t="s">
        <v>10019</v>
      </c>
      <c r="O3733" t="str">
        <f>HYPERLINK("3\1\marker_156_388587.png", "Ver Imagen")</f>
        <v>Ver Imagen</v>
      </c>
      <c r="P3733" t="str">
        <f>HYPERLINK("SO\A-5058\A-5058__405.png", "Ver Imagen")</f>
        <v>Ver Imagen</v>
      </c>
    </row>
    <row r="3734" spans="1:16" x14ac:dyDescent="0.25">
      <c r="A3734">
        <v>3236</v>
      </c>
      <c r="B3734" t="s">
        <v>6483</v>
      </c>
      <c r="C3734">
        <v>37.254988729200001</v>
      </c>
      <c r="D3734">
        <v>-7.1172276129299998</v>
      </c>
      <c r="E3734">
        <v>2</v>
      </c>
      <c r="F3734">
        <v>3</v>
      </c>
      <c r="G3734">
        <v>3</v>
      </c>
      <c r="J3734" t="s">
        <v>15</v>
      </c>
      <c r="K3734">
        <v>3</v>
      </c>
      <c r="L3734">
        <v>2.9350000000000001</v>
      </c>
      <c r="M3734">
        <v>0</v>
      </c>
      <c r="N3734" t="s">
        <v>10019</v>
      </c>
      <c r="O3734" t="str">
        <f>HYPERLINK("3\1\marker_459_388669.png", "Ver Imagen")</f>
        <v>Ver Imagen</v>
      </c>
      <c r="P3734" t="str">
        <f>HYPERLINK("SO\A-5058\A-5058__412.png", "Ver Imagen")</f>
        <v>Ver Imagen</v>
      </c>
    </row>
    <row r="3735" spans="1:16" x14ac:dyDescent="0.25">
      <c r="A3735">
        <v>3237</v>
      </c>
      <c r="B3735" t="s">
        <v>6485</v>
      </c>
      <c r="C3735">
        <v>37.255240676</v>
      </c>
      <c r="D3735">
        <v>-7.1176409319299996</v>
      </c>
      <c r="E3735">
        <v>3</v>
      </c>
      <c r="F3735">
        <v>3</v>
      </c>
      <c r="G3735">
        <v>4</v>
      </c>
      <c r="J3735" t="s">
        <v>15</v>
      </c>
      <c r="K3735">
        <v>3</v>
      </c>
      <c r="L3735">
        <v>2.859</v>
      </c>
      <c r="M3735">
        <v>0</v>
      </c>
      <c r="N3735" t="s">
        <v>10019</v>
      </c>
      <c r="O3735" t="str">
        <f>HYPERLINK("3\1\marker_501_388688.png", "Ver Imagen")</f>
        <v>Ver Imagen</v>
      </c>
      <c r="P3735" t="str">
        <f>HYPERLINK("SO\A-5058\A-5058__414.png", "Ver Imagen")</f>
        <v>Ver Imagen</v>
      </c>
    </row>
    <row r="3736" spans="1:16" x14ac:dyDescent="0.25">
      <c r="A3736">
        <v>3238</v>
      </c>
      <c r="B3736" t="s">
        <v>6487</v>
      </c>
      <c r="C3736">
        <v>37.255514407100002</v>
      </c>
      <c r="D3736">
        <v>-7.11797058293</v>
      </c>
      <c r="E3736">
        <v>3</v>
      </c>
      <c r="F3736">
        <v>3</v>
      </c>
      <c r="G3736">
        <v>4</v>
      </c>
      <c r="J3736" t="s">
        <v>15</v>
      </c>
      <c r="K3736">
        <v>3</v>
      </c>
      <c r="L3736">
        <v>2.9569999999999999</v>
      </c>
      <c r="M3736">
        <v>0</v>
      </c>
      <c r="N3736" t="s">
        <v>10019</v>
      </c>
      <c r="O3736" t="str">
        <f>HYPERLINK("3\1\marker_897_388705.png", "Ver Imagen")</f>
        <v>Ver Imagen</v>
      </c>
      <c r="P3736" t="str">
        <f>HYPERLINK("SO\A-5058\A-5058__416.png", "Ver Imagen")</f>
        <v>Ver Imagen</v>
      </c>
    </row>
    <row r="3737" spans="1:16" x14ac:dyDescent="0.25">
      <c r="A3737">
        <v>3239</v>
      </c>
      <c r="B3737" t="s">
        <v>6489</v>
      </c>
      <c r="C3737">
        <v>37.255836023900002</v>
      </c>
      <c r="D3737">
        <v>-7.1182631132100003</v>
      </c>
      <c r="E3737">
        <v>3</v>
      </c>
      <c r="F3737">
        <v>3</v>
      </c>
      <c r="G3737">
        <v>4</v>
      </c>
      <c r="J3737" t="s">
        <v>15</v>
      </c>
      <c r="K3737">
        <v>3</v>
      </c>
      <c r="L3737">
        <v>3.3029999999999999</v>
      </c>
      <c r="M3737">
        <v>0</v>
      </c>
      <c r="N3737" t="s">
        <v>10019</v>
      </c>
      <c r="O3737" t="str">
        <f>HYPERLINK("3\1\marker_584_388726.png", "Ver Imagen")</f>
        <v>Ver Imagen</v>
      </c>
      <c r="P3737" t="str">
        <f>HYPERLINK("SO\A-5058\A-5058__418.png", "Ver Imagen")</f>
        <v>Ver Imagen</v>
      </c>
    </row>
    <row r="3738" spans="1:16" x14ac:dyDescent="0.25">
      <c r="A3738">
        <v>3241</v>
      </c>
      <c r="B3738" t="s">
        <v>6493</v>
      </c>
      <c r="C3738">
        <v>37.2562156141</v>
      </c>
      <c r="D3738">
        <v>-7.1185503741299998</v>
      </c>
      <c r="E3738">
        <v>3</v>
      </c>
      <c r="F3738">
        <v>3</v>
      </c>
      <c r="G3738">
        <v>4</v>
      </c>
      <c r="J3738" t="s">
        <v>15</v>
      </c>
      <c r="K3738">
        <v>3</v>
      </c>
      <c r="L3738">
        <v>2.5379999999999998</v>
      </c>
      <c r="M3738">
        <v>0</v>
      </c>
      <c r="N3738" t="s">
        <v>10018</v>
      </c>
      <c r="O3738" t="str">
        <f>HYPERLINK("3\1\marker_418_388754.png", "Ver Imagen")</f>
        <v>Ver Imagen</v>
      </c>
      <c r="P3738" t="str">
        <f>HYPERLINK("SO\A-5058\A-5058__420.png", "Ver Imagen")</f>
        <v>Ver Imagen</v>
      </c>
    </row>
    <row r="3739" spans="1:16" x14ac:dyDescent="0.25">
      <c r="A3739">
        <v>3242</v>
      </c>
      <c r="B3739" t="s">
        <v>6495</v>
      </c>
      <c r="C3739">
        <v>37.256400498200001</v>
      </c>
      <c r="D3739">
        <v>-7.1186862414599998</v>
      </c>
      <c r="E3739">
        <v>3</v>
      </c>
      <c r="F3739">
        <v>3</v>
      </c>
      <c r="G3739">
        <v>4</v>
      </c>
      <c r="J3739" t="s">
        <v>15</v>
      </c>
      <c r="K3739">
        <v>3</v>
      </c>
      <c r="L3739">
        <v>3.35</v>
      </c>
      <c r="M3739">
        <v>0</v>
      </c>
      <c r="N3739" t="s">
        <v>10019</v>
      </c>
      <c r="O3739" t="str">
        <f>HYPERLINK("3\1\marker_537_388763.png", "Ver Imagen")</f>
        <v>Ver Imagen</v>
      </c>
      <c r="P3739" t="str">
        <f>HYPERLINK("SO\A-5058\A-5058__421.png", "Ver Imagen")</f>
        <v>Ver Imagen</v>
      </c>
    </row>
    <row r="3740" spans="1:16" x14ac:dyDescent="0.25">
      <c r="A3740">
        <v>3244</v>
      </c>
      <c r="B3740" t="s">
        <v>6499</v>
      </c>
      <c r="C3740">
        <v>37.257427668399998</v>
      </c>
      <c r="D3740">
        <v>-7.1194409720999996</v>
      </c>
      <c r="E3740">
        <v>3</v>
      </c>
      <c r="F3740">
        <v>3</v>
      </c>
      <c r="G3740">
        <v>4</v>
      </c>
      <c r="J3740" t="s">
        <v>15</v>
      </c>
      <c r="K3740">
        <v>3</v>
      </c>
      <c r="L3740">
        <v>3.1989999999999998</v>
      </c>
      <c r="M3740">
        <v>0</v>
      </c>
      <c r="N3740" t="s">
        <v>10019</v>
      </c>
      <c r="O3740" t="str">
        <f>HYPERLINK("3\1\marker_198_388825.png", "Ver Imagen")</f>
        <v>Ver Imagen</v>
      </c>
      <c r="P3740" t="str">
        <f>HYPERLINK("SO\A-5058\A-5058__427.png", "Ver Imagen")</f>
        <v>Ver Imagen</v>
      </c>
    </row>
    <row r="3741" spans="1:16" x14ac:dyDescent="0.25">
      <c r="A3741">
        <v>3245</v>
      </c>
      <c r="B3741" t="s">
        <v>6501</v>
      </c>
      <c r="C3741">
        <v>37.257623146100002</v>
      </c>
      <c r="D3741">
        <v>-7.11958157832</v>
      </c>
      <c r="E3741">
        <v>3</v>
      </c>
      <c r="F3741">
        <v>3</v>
      </c>
      <c r="G3741">
        <v>4</v>
      </c>
      <c r="J3741" t="s">
        <v>15</v>
      </c>
      <c r="K3741">
        <v>3</v>
      </c>
      <c r="L3741">
        <v>3.0840000000000001</v>
      </c>
      <c r="M3741">
        <v>0</v>
      </c>
      <c r="N3741" t="s">
        <v>10019</v>
      </c>
      <c r="O3741" t="str">
        <f>HYPERLINK("3\1\marker_767_388834.png", "Ver Imagen")</f>
        <v>Ver Imagen</v>
      </c>
      <c r="P3741" t="str">
        <f>HYPERLINK("SO\A-5058\A-5058__428.png", "Ver Imagen")</f>
        <v>Ver Imagen</v>
      </c>
    </row>
    <row r="3742" spans="1:16" x14ac:dyDescent="0.25">
      <c r="A3742">
        <v>3246</v>
      </c>
      <c r="B3742" t="s">
        <v>6503</v>
      </c>
      <c r="C3742">
        <v>37.257937401100001</v>
      </c>
      <c r="D3742">
        <v>-7.1198286073699997</v>
      </c>
      <c r="E3742">
        <v>3</v>
      </c>
      <c r="F3742">
        <v>3</v>
      </c>
      <c r="G3742">
        <v>4</v>
      </c>
      <c r="J3742" t="s">
        <v>15</v>
      </c>
      <c r="K3742">
        <v>3</v>
      </c>
      <c r="L3742">
        <v>3.0390000000000001</v>
      </c>
      <c r="M3742">
        <v>0</v>
      </c>
      <c r="N3742" t="s">
        <v>10019</v>
      </c>
      <c r="O3742" t="str">
        <f>HYPERLINK("3\1\marker_560_388851.png", "Ver Imagen")</f>
        <v>Ver Imagen</v>
      </c>
      <c r="P3742" t="str">
        <f>HYPERLINK("SO\A-5058\A-5058__430.png", "Ver Imagen")</f>
        <v>Ver Imagen</v>
      </c>
    </row>
    <row r="3743" spans="1:16" x14ac:dyDescent="0.25">
      <c r="A3743">
        <v>3247</v>
      </c>
      <c r="B3743" t="s">
        <v>6505</v>
      </c>
      <c r="C3743">
        <v>37.258105856900002</v>
      </c>
      <c r="D3743">
        <v>-7.1199917777000001</v>
      </c>
      <c r="E3743">
        <v>3</v>
      </c>
      <c r="F3743">
        <v>3</v>
      </c>
      <c r="G3743">
        <v>4</v>
      </c>
      <c r="J3743" t="s">
        <v>15</v>
      </c>
      <c r="K3743">
        <v>3</v>
      </c>
      <c r="L3743">
        <v>2.9929999999999999</v>
      </c>
      <c r="M3743">
        <v>0</v>
      </c>
      <c r="N3743" t="s">
        <v>10019</v>
      </c>
      <c r="O3743" t="str">
        <f>HYPERLINK("3\1\marker_719_388873.png", "Ver Imagen")</f>
        <v>Ver Imagen</v>
      </c>
      <c r="P3743" t="str">
        <f>HYPERLINK("SO\A-5058\A-5058__431.png", "Ver Imagen")</f>
        <v>Ver Imagen</v>
      </c>
    </row>
    <row r="3744" spans="1:16" x14ac:dyDescent="0.25">
      <c r="A3744">
        <v>3248</v>
      </c>
      <c r="B3744" t="s">
        <v>6507</v>
      </c>
      <c r="C3744">
        <v>37.258253397200001</v>
      </c>
      <c r="D3744">
        <v>-7.12016394724</v>
      </c>
      <c r="E3744">
        <v>3</v>
      </c>
      <c r="F3744">
        <v>3</v>
      </c>
      <c r="G3744">
        <v>4</v>
      </c>
      <c r="J3744" t="s">
        <v>15</v>
      </c>
      <c r="K3744">
        <v>3</v>
      </c>
      <c r="L3744">
        <v>2.8319999999999999</v>
      </c>
      <c r="M3744">
        <v>0</v>
      </c>
      <c r="N3744" t="s">
        <v>10019</v>
      </c>
      <c r="O3744" t="str">
        <f>HYPERLINK("3\1\marker_985_388883.png", "Ver Imagen")</f>
        <v>Ver Imagen</v>
      </c>
      <c r="P3744" t="str">
        <f>HYPERLINK("SO\A-5058\A-5058__432.png", "Ver Imagen")</f>
        <v>Ver Imagen</v>
      </c>
    </row>
    <row r="3745" spans="1:16" x14ac:dyDescent="0.25">
      <c r="A3745">
        <v>3249</v>
      </c>
      <c r="B3745" t="s">
        <v>6509</v>
      </c>
      <c r="C3745">
        <v>37.258583598000001</v>
      </c>
      <c r="D3745">
        <v>-7.1207965161600004</v>
      </c>
      <c r="E3745">
        <v>3</v>
      </c>
      <c r="F3745">
        <v>3</v>
      </c>
      <c r="G3745">
        <v>4</v>
      </c>
      <c r="J3745" t="s">
        <v>15</v>
      </c>
      <c r="K3745">
        <v>3</v>
      </c>
      <c r="L3745">
        <v>2.9</v>
      </c>
      <c r="M3745">
        <v>0</v>
      </c>
      <c r="N3745" t="s">
        <v>10019</v>
      </c>
      <c r="O3745" t="str">
        <f>HYPERLINK("3\1\marker_783_388911.png", "Ver Imagen")</f>
        <v>Ver Imagen</v>
      </c>
      <c r="P3745" t="str">
        <f>HYPERLINK("SO\A-5058\A-5058__435.png", "Ver Imagen")</f>
        <v>Ver Imagen</v>
      </c>
    </row>
    <row r="3746" spans="1:16" x14ac:dyDescent="0.25">
      <c r="A3746">
        <v>3250</v>
      </c>
      <c r="B3746" t="s">
        <v>6511</v>
      </c>
      <c r="C3746">
        <v>37.258649139699997</v>
      </c>
      <c r="D3746">
        <v>-7.1210368944000004</v>
      </c>
      <c r="E3746">
        <v>3</v>
      </c>
      <c r="F3746">
        <v>3</v>
      </c>
      <c r="G3746">
        <v>4</v>
      </c>
      <c r="J3746" t="s">
        <v>15</v>
      </c>
      <c r="K3746">
        <v>3</v>
      </c>
      <c r="L3746">
        <v>2.96</v>
      </c>
      <c r="M3746">
        <v>0</v>
      </c>
      <c r="N3746" t="s">
        <v>10017</v>
      </c>
      <c r="O3746" t="str">
        <f>HYPERLINK("3\1\marker_454_388921.png", "Ver Imagen")</f>
        <v>Ver Imagen</v>
      </c>
      <c r="P3746" t="str">
        <f>HYPERLINK("SO\A-5058\A-5058__436.png", "Ver Imagen")</f>
        <v>Ver Imagen</v>
      </c>
    </row>
    <row r="3747" spans="1:16" x14ac:dyDescent="0.25">
      <c r="A3747">
        <v>3251</v>
      </c>
      <c r="B3747" t="s">
        <v>6513</v>
      </c>
      <c r="C3747">
        <v>37.258696888999999</v>
      </c>
      <c r="D3747">
        <v>-7.1213068070199999</v>
      </c>
      <c r="E3747">
        <v>3</v>
      </c>
      <c r="F3747">
        <v>3</v>
      </c>
      <c r="G3747">
        <v>4</v>
      </c>
      <c r="J3747" t="s">
        <v>15</v>
      </c>
      <c r="K3747">
        <v>3</v>
      </c>
      <c r="L3747">
        <v>2.7480000000000002</v>
      </c>
      <c r="M3747">
        <v>0</v>
      </c>
      <c r="N3747" t="s">
        <v>10019</v>
      </c>
      <c r="O3747" t="str">
        <f>HYPERLINK("3\1\marker_267_388936.png", "Ver Imagen")</f>
        <v>Ver Imagen</v>
      </c>
      <c r="P3747" t="str">
        <f>HYPERLINK("SO\A-5058\A-5058__437.png", "Ver Imagen")</f>
        <v>Ver Imagen</v>
      </c>
    </row>
    <row r="3748" spans="1:16" x14ac:dyDescent="0.25">
      <c r="A3748">
        <v>3252</v>
      </c>
      <c r="B3748" t="s">
        <v>6515</v>
      </c>
      <c r="C3748">
        <v>37.258725737500001</v>
      </c>
      <c r="D3748">
        <v>-7.1215500688000004</v>
      </c>
      <c r="E3748">
        <v>3</v>
      </c>
      <c r="F3748">
        <v>3</v>
      </c>
      <c r="G3748">
        <v>4</v>
      </c>
      <c r="J3748" t="s">
        <v>15</v>
      </c>
      <c r="K3748">
        <v>3</v>
      </c>
      <c r="L3748">
        <v>2.6520000000000001</v>
      </c>
      <c r="M3748">
        <v>0</v>
      </c>
      <c r="N3748" t="s">
        <v>10019</v>
      </c>
      <c r="O3748" t="str">
        <f>HYPERLINK("3\1\marker_460_388945.png", "Ver Imagen")</f>
        <v>Ver Imagen</v>
      </c>
      <c r="P3748" t="str">
        <f>HYPERLINK("SO\A-5058\A-5058__438.png", "Ver Imagen")</f>
        <v>Ver Imagen</v>
      </c>
    </row>
    <row r="3749" spans="1:16" x14ac:dyDescent="0.25">
      <c r="A3749">
        <v>3253</v>
      </c>
      <c r="B3749" t="s">
        <v>6517</v>
      </c>
      <c r="C3749">
        <v>37.258746582900002</v>
      </c>
      <c r="D3749">
        <v>-7.1217682501599997</v>
      </c>
      <c r="E3749">
        <v>3</v>
      </c>
      <c r="F3749">
        <v>3</v>
      </c>
      <c r="G3749">
        <v>4</v>
      </c>
      <c r="J3749" t="s">
        <v>15</v>
      </c>
      <c r="K3749">
        <v>3</v>
      </c>
      <c r="L3749">
        <v>3.0510000000000002</v>
      </c>
      <c r="M3749">
        <v>0</v>
      </c>
      <c r="N3749" t="s">
        <v>10019</v>
      </c>
      <c r="O3749" t="str">
        <f>HYPERLINK("3\1\marker_273_388959.png", "Ver Imagen")</f>
        <v>Ver Imagen</v>
      </c>
      <c r="P3749" t="str">
        <f>HYPERLINK("SO\A-5058\A-5058__439.png", "Ver Imagen")</f>
        <v>Ver Imagen</v>
      </c>
    </row>
    <row r="3750" spans="1:16" x14ac:dyDescent="0.25">
      <c r="A3750">
        <v>3254</v>
      </c>
      <c r="B3750" t="s">
        <v>6519</v>
      </c>
      <c r="C3750">
        <v>37.259229311299997</v>
      </c>
      <c r="D3750">
        <v>-7.1255171762799998</v>
      </c>
      <c r="E3750">
        <v>3</v>
      </c>
      <c r="F3750">
        <v>3</v>
      </c>
      <c r="G3750">
        <v>4</v>
      </c>
      <c r="J3750" t="s">
        <v>15</v>
      </c>
      <c r="K3750">
        <v>3</v>
      </c>
      <c r="L3750">
        <v>3.282</v>
      </c>
      <c r="M3750">
        <v>0</v>
      </c>
      <c r="N3750" t="s">
        <v>10019</v>
      </c>
      <c r="O3750" t="str">
        <f>HYPERLINK("3\1\marker_495_389131.png", "Ver Imagen")</f>
        <v>Ver Imagen</v>
      </c>
      <c r="P3750" t="str">
        <f>HYPERLINK("SO\A-5058\A-5058__454.png", "Ver Imagen")</f>
        <v>Ver Imagen</v>
      </c>
    </row>
    <row r="3751" spans="1:16" x14ac:dyDescent="0.25">
      <c r="A3751">
        <v>3255</v>
      </c>
      <c r="B3751" t="s">
        <v>6521</v>
      </c>
      <c r="C3751">
        <v>37.259333580499998</v>
      </c>
      <c r="D3751">
        <v>-7.1257398866199999</v>
      </c>
      <c r="E3751">
        <v>3</v>
      </c>
      <c r="F3751">
        <v>3</v>
      </c>
      <c r="G3751">
        <v>4</v>
      </c>
      <c r="J3751" t="s">
        <v>15</v>
      </c>
      <c r="K3751">
        <v>3</v>
      </c>
      <c r="L3751">
        <v>3.3559999999999999</v>
      </c>
      <c r="M3751">
        <v>0</v>
      </c>
      <c r="N3751" t="s">
        <v>10019</v>
      </c>
      <c r="O3751" t="str">
        <f>HYPERLINK("3\1\marker_579_389140.png", "Ver Imagen")</f>
        <v>Ver Imagen</v>
      </c>
      <c r="P3751" t="str">
        <f>HYPERLINK("SO\A-5058\A-5058__455.png", "Ver Imagen")</f>
        <v>Ver Imagen</v>
      </c>
    </row>
    <row r="3752" spans="1:16" x14ac:dyDescent="0.25">
      <c r="A3752">
        <v>3256</v>
      </c>
      <c r="B3752" t="s">
        <v>6523</v>
      </c>
      <c r="C3752">
        <v>37.260352680300002</v>
      </c>
      <c r="D3752">
        <v>-7.1269501586499997</v>
      </c>
      <c r="E3752">
        <v>3</v>
      </c>
      <c r="F3752">
        <v>3</v>
      </c>
      <c r="G3752">
        <v>4</v>
      </c>
      <c r="J3752" t="s">
        <v>15</v>
      </c>
      <c r="K3752">
        <v>3</v>
      </c>
      <c r="L3752">
        <v>3.14</v>
      </c>
      <c r="M3752">
        <v>0</v>
      </c>
      <c r="N3752" t="s">
        <v>10019</v>
      </c>
      <c r="O3752" t="str">
        <f>HYPERLINK("3\1\marker_324_389333.png", "Ver Imagen")</f>
        <v>Ver Imagen</v>
      </c>
      <c r="P3752" t="str">
        <f>HYPERLINK("SO\A-5058\A-5058__462.png", "Ver Imagen")</f>
        <v>Ver Imagen</v>
      </c>
    </row>
    <row r="3753" spans="1:16" x14ac:dyDescent="0.25">
      <c r="A3753">
        <v>3257</v>
      </c>
      <c r="B3753" t="s">
        <v>6525</v>
      </c>
      <c r="C3753">
        <v>37.2606466485</v>
      </c>
      <c r="D3753">
        <v>-7.1272632764099999</v>
      </c>
      <c r="E3753">
        <v>3</v>
      </c>
      <c r="F3753">
        <v>3</v>
      </c>
      <c r="G3753">
        <v>4</v>
      </c>
      <c r="J3753" t="s">
        <v>15</v>
      </c>
      <c r="K3753">
        <v>3</v>
      </c>
      <c r="L3753">
        <v>2.9510000000000001</v>
      </c>
      <c r="M3753">
        <v>0</v>
      </c>
      <c r="N3753" t="s">
        <v>10019</v>
      </c>
      <c r="O3753" t="str">
        <f>HYPERLINK("3\1\marker_345_389350.png", "Ver Imagen")</f>
        <v>Ver Imagen</v>
      </c>
      <c r="P3753" t="str">
        <f>HYPERLINK("SO\A-5058\A-5058__464.png", "Ver Imagen")</f>
        <v>Ver Imagen</v>
      </c>
    </row>
    <row r="3754" spans="1:16" x14ac:dyDescent="0.25">
      <c r="A3754">
        <v>3258</v>
      </c>
      <c r="B3754" t="s">
        <v>6527</v>
      </c>
      <c r="C3754">
        <v>37.260791309200002</v>
      </c>
      <c r="D3754">
        <v>-7.1274497422399996</v>
      </c>
      <c r="E3754">
        <v>3</v>
      </c>
      <c r="F3754">
        <v>3</v>
      </c>
      <c r="G3754">
        <v>4</v>
      </c>
      <c r="J3754" t="s">
        <v>15</v>
      </c>
      <c r="K3754">
        <v>3</v>
      </c>
      <c r="L3754">
        <v>2.59</v>
      </c>
      <c r="M3754">
        <v>0</v>
      </c>
      <c r="N3754" t="s">
        <v>10017</v>
      </c>
      <c r="O3754" t="str">
        <f>HYPERLINK("3\1\marker_705_389360.png", "Ver Imagen")</f>
        <v>Ver Imagen</v>
      </c>
      <c r="P3754" t="str">
        <f>HYPERLINK("SO\A-5058\A-5058__465.png", "Ver Imagen")</f>
        <v>Ver Imagen</v>
      </c>
    </row>
    <row r="3755" spans="1:16" x14ac:dyDescent="0.25">
      <c r="A3755">
        <v>3259</v>
      </c>
      <c r="B3755" t="s">
        <v>6529</v>
      </c>
      <c r="C3755">
        <v>37.260912639399997</v>
      </c>
      <c r="D3755">
        <v>-7.1276561012000004</v>
      </c>
      <c r="E3755">
        <v>3</v>
      </c>
      <c r="F3755">
        <v>3</v>
      </c>
      <c r="G3755">
        <v>4</v>
      </c>
      <c r="J3755" t="s">
        <v>15</v>
      </c>
      <c r="K3755">
        <v>3</v>
      </c>
      <c r="L3755">
        <v>2.5880000000000001</v>
      </c>
      <c r="M3755">
        <v>0</v>
      </c>
      <c r="N3755" t="s">
        <v>10019</v>
      </c>
      <c r="O3755" t="str">
        <f>HYPERLINK("3\1\marker_420_389368.png", "Ver Imagen")</f>
        <v>Ver Imagen</v>
      </c>
      <c r="P3755" t="str">
        <f>HYPERLINK("SO\A-5058\A-5058__466.png", "Ver Imagen")</f>
        <v>Ver Imagen</v>
      </c>
    </row>
    <row r="3756" spans="1:16" x14ac:dyDescent="0.25">
      <c r="A3756">
        <v>3260</v>
      </c>
      <c r="B3756" t="s">
        <v>6531</v>
      </c>
      <c r="C3756">
        <v>37.261009831199999</v>
      </c>
      <c r="D3756">
        <v>-7.1279031588499997</v>
      </c>
      <c r="E3756">
        <v>3</v>
      </c>
      <c r="F3756">
        <v>3</v>
      </c>
      <c r="G3756">
        <v>4</v>
      </c>
      <c r="J3756" t="s">
        <v>15</v>
      </c>
      <c r="K3756">
        <v>3</v>
      </c>
      <c r="L3756">
        <v>2.7730000000000001</v>
      </c>
      <c r="M3756">
        <v>0</v>
      </c>
      <c r="N3756" t="s">
        <v>10019</v>
      </c>
      <c r="O3756" t="str">
        <f>HYPERLINK("3\1\marker_924_389377.png", "Ver Imagen")</f>
        <v>Ver Imagen</v>
      </c>
      <c r="P3756" t="str">
        <f>HYPERLINK("SO\A-5058\A-5058__467.png", "Ver Imagen")</f>
        <v>Ver Imagen</v>
      </c>
    </row>
    <row r="3757" spans="1:16" x14ac:dyDescent="0.25">
      <c r="A3757">
        <v>3261</v>
      </c>
      <c r="B3757" t="s">
        <v>6533</v>
      </c>
      <c r="C3757">
        <v>37.261087014200001</v>
      </c>
      <c r="D3757">
        <v>-7.12865370949</v>
      </c>
      <c r="E3757">
        <v>3</v>
      </c>
      <c r="F3757">
        <v>3</v>
      </c>
      <c r="G3757">
        <v>4</v>
      </c>
      <c r="J3757" t="s">
        <v>15</v>
      </c>
      <c r="K3757">
        <v>3</v>
      </c>
      <c r="L3757">
        <v>2.9239999999999999</v>
      </c>
      <c r="M3757">
        <v>0</v>
      </c>
      <c r="N3757" t="s">
        <v>10019</v>
      </c>
      <c r="O3757" t="str">
        <f>HYPERLINK("3\1\marker_137_389404.png", "Ver Imagen")</f>
        <v>Ver Imagen</v>
      </c>
      <c r="P3757" t="str">
        <f>HYPERLINK("SO\A-5058\A-5058__470.png", "Ver Imagen")</f>
        <v>Ver Imagen</v>
      </c>
    </row>
    <row r="3758" spans="1:16" x14ac:dyDescent="0.25">
      <c r="A3758">
        <v>3262</v>
      </c>
      <c r="B3758" t="s">
        <v>6535</v>
      </c>
      <c r="C3758">
        <v>37.443980226800001</v>
      </c>
      <c r="D3758">
        <v>-7.0979499739199996</v>
      </c>
      <c r="E3758">
        <v>4</v>
      </c>
      <c r="F3758">
        <v>3</v>
      </c>
      <c r="G3758">
        <v>3</v>
      </c>
      <c r="J3758" t="s">
        <v>15</v>
      </c>
      <c r="K3758">
        <v>3</v>
      </c>
      <c r="L3758">
        <v>2.7869999999999999</v>
      </c>
      <c r="M3758">
        <v>0</v>
      </c>
      <c r="N3758" t="s">
        <v>10019</v>
      </c>
      <c r="O3758" t="str">
        <f>HYPERLINK("3\1\marker_389_381162.png", "Ver Imagen")</f>
        <v>Ver Imagen</v>
      </c>
      <c r="P3758" t="str">
        <f>HYPERLINK("NE\A-495\A-495__10.png", "Ver Imagen")</f>
        <v>Ver Imagen</v>
      </c>
    </row>
    <row r="3759" spans="1:16" x14ac:dyDescent="0.25">
      <c r="A3759">
        <v>3263</v>
      </c>
      <c r="B3759" t="s">
        <v>6537</v>
      </c>
      <c r="C3759">
        <v>37.440141810599997</v>
      </c>
      <c r="D3759">
        <v>-7.0879476844999996</v>
      </c>
      <c r="E3759">
        <v>4</v>
      </c>
      <c r="F3759">
        <v>3</v>
      </c>
      <c r="G3759">
        <v>3</v>
      </c>
      <c r="J3759" t="s">
        <v>15</v>
      </c>
      <c r="K3759">
        <v>3</v>
      </c>
      <c r="L3759">
        <v>3.3130000000000002</v>
      </c>
      <c r="M3759">
        <v>0</v>
      </c>
      <c r="N3759" t="s">
        <v>10019</v>
      </c>
      <c r="O3759" t="str">
        <f>HYPERLINK("3\1\marker_122_381653.png", "Ver Imagen")</f>
        <v>Ver Imagen</v>
      </c>
      <c r="P3759" t="str">
        <f>HYPERLINK("NE\A-495\A-495__54.png", "Ver Imagen")</f>
        <v>Ver Imagen</v>
      </c>
    </row>
    <row r="3760" spans="1:16" x14ac:dyDescent="0.25">
      <c r="A3760">
        <v>3264</v>
      </c>
      <c r="B3760" t="s">
        <v>6539</v>
      </c>
      <c r="C3760">
        <v>37.484225018899998</v>
      </c>
      <c r="D3760">
        <v>-7.1301475060200001</v>
      </c>
      <c r="E3760">
        <v>4</v>
      </c>
      <c r="F3760">
        <v>3</v>
      </c>
      <c r="G3760">
        <v>3</v>
      </c>
      <c r="J3760" t="s">
        <v>15</v>
      </c>
      <c r="K3760">
        <v>3</v>
      </c>
      <c r="L3760">
        <v>3.2360000000000002</v>
      </c>
      <c r="M3760">
        <v>0</v>
      </c>
      <c r="N3760" t="s">
        <v>10019</v>
      </c>
      <c r="O3760" t="str">
        <f>HYPERLINK("3\1\marker_297_383710.png", "Ver Imagen")</f>
        <v>Ver Imagen</v>
      </c>
      <c r="P3760" t="str">
        <f>HYPERLINK("NE\A-495_1\A-495_1__192.png", "Ver Imagen")</f>
        <v>Ver Imagen</v>
      </c>
    </row>
    <row r="3761" spans="1:16" x14ac:dyDescent="0.25">
      <c r="A3761">
        <v>3265</v>
      </c>
      <c r="B3761" t="s">
        <v>6541</v>
      </c>
      <c r="C3761">
        <v>37.484070116300003</v>
      </c>
      <c r="D3761">
        <v>-7.1300039346000004</v>
      </c>
      <c r="E3761">
        <v>4</v>
      </c>
      <c r="F3761">
        <v>3</v>
      </c>
      <c r="G3761">
        <v>3</v>
      </c>
      <c r="J3761" t="s">
        <v>15</v>
      </c>
      <c r="K3761">
        <v>3</v>
      </c>
      <c r="L3761">
        <v>2.903</v>
      </c>
      <c r="M3761">
        <v>0</v>
      </c>
      <c r="N3761" t="s">
        <v>10019</v>
      </c>
      <c r="O3761" t="str">
        <f>HYPERLINK("3\1\marker_783_383719.png", "Ver Imagen")</f>
        <v>Ver Imagen</v>
      </c>
      <c r="P3761" t="str">
        <f>HYPERLINK("NE\A-495_1\A-495_1__191.png", "Ver Imagen")</f>
        <v>Ver Imagen</v>
      </c>
    </row>
    <row r="3762" spans="1:16" x14ac:dyDescent="0.25">
      <c r="A3762">
        <v>3266</v>
      </c>
      <c r="B3762" t="s">
        <v>6543</v>
      </c>
      <c r="C3762">
        <v>37.4839095974</v>
      </c>
      <c r="D3762">
        <v>-7.1298366310599999</v>
      </c>
      <c r="E3762">
        <v>4</v>
      </c>
      <c r="F3762">
        <v>3</v>
      </c>
      <c r="G3762">
        <v>3</v>
      </c>
      <c r="J3762" t="s">
        <v>15</v>
      </c>
      <c r="K3762">
        <v>3</v>
      </c>
      <c r="L3762">
        <v>2.9540000000000002</v>
      </c>
      <c r="M3762">
        <v>0</v>
      </c>
      <c r="N3762" t="s">
        <v>10019</v>
      </c>
      <c r="O3762" t="str">
        <f>HYPERLINK("3\1\marker_440_383727.png", "Ver Imagen")</f>
        <v>Ver Imagen</v>
      </c>
      <c r="P3762" t="str">
        <f>HYPERLINK("NE\A-495_1\A-495_1__190.png", "Ver Imagen")</f>
        <v>Ver Imagen</v>
      </c>
    </row>
    <row r="3763" spans="1:16" x14ac:dyDescent="0.25">
      <c r="A3763">
        <v>3267</v>
      </c>
      <c r="B3763" t="s">
        <v>6545</v>
      </c>
      <c r="C3763">
        <v>37.483148886099997</v>
      </c>
      <c r="D3763">
        <v>-7.1290457350300001</v>
      </c>
      <c r="E3763">
        <v>3</v>
      </c>
      <c r="F3763">
        <v>3</v>
      </c>
      <c r="G3763">
        <v>2</v>
      </c>
      <c r="J3763" t="s">
        <v>15</v>
      </c>
      <c r="K3763">
        <v>3</v>
      </c>
      <c r="L3763">
        <v>2.87</v>
      </c>
      <c r="M3763">
        <v>0</v>
      </c>
      <c r="N3763" t="s">
        <v>10019</v>
      </c>
      <c r="O3763" t="str">
        <f>HYPERLINK("3\1\marker_470_383775.png", "Ver Imagen")</f>
        <v>Ver Imagen</v>
      </c>
      <c r="P3763" t="str">
        <f>HYPERLINK("NE\A-495_1\A-495_1__185.png", "Ver Imagen")</f>
        <v>Ver Imagen</v>
      </c>
    </row>
    <row r="3764" spans="1:16" x14ac:dyDescent="0.25">
      <c r="A3764">
        <v>3269</v>
      </c>
      <c r="B3764" t="s">
        <v>6549</v>
      </c>
      <c r="C3764">
        <v>37.480741398399999</v>
      </c>
      <c r="D3764">
        <v>-7.1277621630199999</v>
      </c>
      <c r="E3764">
        <v>4</v>
      </c>
      <c r="F3764">
        <v>3</v>
      </c>
      <c r="G3764">
        <v>3</v>
      </c>
      <c r="J3764" t="s">
        <v>15</v>
      </c>
      <c r="K3764">
        <v>3</v>
      </c>
      <c r="L3764">
        <v>3.02</v>
      </c>
      <c r="M3764">
        <v>0</v>
      </c>
      <c r="N3764" t="s">
        <v>10017</v>
      </c>
      <c r="O3764" t="str">
        <f>HYPERLINK("3\1\marker_988_383968.png", "Ver Imagen")</f>
        <v>Ver Imagen</v>
      </c>
      <c r="P3764" t="str">
        <f>HYPERLINK("NE\A-495_1\A-495_1__172.png", "Ver Imagen")</f>
        <v>Ver Imagen</v>
      </c>
    </row>
    <row r="3765" spans="1:16" x14ac:dyDescent="0.25">
      <c r="A3765">
        <v>3271</v>
      </c>
      <c r="B3765" t="s">
        <v>6553</v>
      </c>
      <c r="C3765">
        <v>37.479518879899999</v>
      </c>
      <c r="D3765">
        <v>-7.1280027082500004</v>
      </c>
      <c r="E3765">
        <v>4</v>
      </c>
      <c r="F3765">
        <v>3</v>
      </c>
      <c r="G3765">
        <v>3</v>
      </c>
      <c r="J3765" t="s">
        <v>15</v>
      </c>
      <c r="K3765">
        <v>3</v>
      </c>
      <c r="L3765">
        <v>3.3479999999999999</v>
      </c>
      <c r="M3765">
        <v>0</v>
      </c>
      <c r="N3765" t="s">
        <v>10017</v>
      </c>
      <c r="O3765" t="str">
        <f>HYPERLINK("3\1\marker_120_384029.png", "Ver Imagen")</f>
        <v>Ver Imagen</v>
      </c>
      <c r="P3765" t="str">
        <f>HYPERLINK("NE\A-495_1\A-495_1__166.png", "Ver Imagen")</f>
        <v>Ver Imagen</v>
      </c>
    </row>
    <row r="3766" spans="1:16" x14ac:dyDescent="0.25">
      <c r="A3766">
        <v>3272</v>
      </c>
      <c r="B3766" t="s">
        <v>6555</v>
      </c>
      <c r="C3766">
        <v>37.479146855800003</v>
      </c>
      <c r="D3766">
        <v>-7.1280054599499998</v>
      </c>
      <c r="E3766">
        <v>3</v>
      </c>
      <c r="F3766">
        <v>3</v>
      </c>
      <c r="G3766">
        <v>4</v>
      </c>
      <c r="J3766" t="s">
        <v>15</v>
      </c>
      <c r="K3766">
        <v>3</v>
      </c>
      <c r="L3766">
        <v>3.2360000000000002</v>
      </c>
      <c r="M3766">
        <v>0</v>
      </c>
      <c r="N3766" t="s">
        <v>10019</v>
      </c>
      <c r="O3766" t="str">
        <f>HYPERLINK("3\1\marker_166_384046.png", "Ver Imagen")</f>
        <v>Ver Imagen</v>
      </c>
      <c r="P3766" t="str">
        <f>HYPERLINK("NE\A-495_1\A-495_1__164.png", "Ver Imagen")</f>
        <v>Ver Imagen</v>
      </c>
    </row>
    <row r="3767" spans="1:16" x14ac:dyDescent="0.25">
      <c r="A3767">
        <v>3273</v>
      </c>
      <c r="B3767" t="s">
        <v>6557</v>
      </c>
      <c r="C3767">
        <v>37.476754272599997</v>
      </c>
      <c r="D3767">
        <v>-7.12582845875</v>
      </c>
      <c r="E3767">
        <v>4</v>
      </c>
      <c r="F3767">
        <v>3</v>
      </c>
      <c r="G3767">
        <v>3</v>
      </c>
      <c r="J3767" t="s">
        <v>15</v>
      </c>
      <c r="K3767">
        <v>3</v>
      </c>
      <c r="L3767">
        <v>2.7749999999999999</v>
      </c>
      <c r="M3767">
        <v>0</v>
      </c>
      <c r="N3767" t="s">
        <v>10019</v>
      </c>
      <c r="O3767" t="str">
        <f>HYPERLINK("3\1\marker_638_384251.png", "Ver Imagen")</f>
        <v>Ver Imagen</v>
      </c>
      <c r="P3767" t="str">
        <f>HYPERLINK("NE\A-495_1\A-495_1__149.png", "Ver Imagen")</f>
        <v>Ver Imagen</v>
      </c>
    </row>
    <row r="3768" spans="1:16" x14ac:dyDescent="0.25">
      <c r="A3768">
        <v>3274</v>
      </c>
      <c r="B3768" t="s">
        <v>6559</v>
      </c>
      <c r="C3768">
        <v>37.476553357699999</v>
      </c>
      <c r="D3768">
        <v>-7.1257728455900002</v>
      </c>
      <c r="E3768">
        <v>4</v>
      </c>
      <c r="F3768">
        <v>3</v>
      </c>
      <c r="G3768">
        <v>3</v>
      </c>
      <c r="J3768" t="s">
        <v>15</v>
      </c>
      <c r="K3768">
        <v>3</v>
      </c>
      <c r="L3768">
        <v>3.2570000000000001</v>
      </c>
      <c r="M3768">
        <v>0</v>
      </c>
      <c r="N3768" t="s">
        <v>10019</v>
      </c>
      <c r="O3768" t="str">
        <f>HYPERLINK("3\1\marker_431_384261.png", "Ver Imagen")</f>
        <v>Ver Imagen</v>
      </c>
      <c r="P3768" t="str">
        <f>HYPERLINK("NE\A-495_1\A-495_1__148.png", "Ver Imagen")</f>
        <v>Ver Imagen</v>
      </c>
    </row>
    <row r="3769" spans="1:16" x14ac:dyDescent="0.25">
      <c r="A3769">
        <v>3275</v>
      </c>
      <c r="B3769" t="s">
        <v>6561</v>
      </c>
      <c r="C3769">
        <v>37.473364785400001</v>
      </c>
      <c r="D3769">
        <v>-7.1263547264199998</v>
      </c>
      <c r="E3769">
        <v>3</v>
      </c>
      <c r="F3769">
        <v>3</v>
      </c>
      <c r="G3769">
        <v>2</v>
      </c>
      <c r="J3769" t="s">
        <v>15</v>
      </c>
      <c r="K3769">
        <v>3</v>
      </c>
      <c r="L3769">
        <v>2.7130000000000001</v>
      </c>
      <c r="M3769">
        <v>0</v>
      </c>
      <c r="N3769" t="s">
        <v>10019</v>
      </c>
      <c r="O3769" t="str">
        <f>HYPERLINK("3\1\marker_507_384455.png", "Ver Imagen")</f>
        <v>Ver Imagen</v>
      </c>
      <c r="P3769" t="str">
        <f>HYPERLINK("NE\A-495_1\A-495_1__132.png", "Ver Imagen")</f>
        <v>Ver Imagen</v>
      </c>
    </row>
    <row r="3770" spans="1:16" x14ac:dyDescent="0.25">
      <c r="A3770">
        <v>3276</v>
      </c>
      <c r="B3770" t="s">
        <v>6563</v>
      </c>
      <c r="C3770">
        <v>37.470786543400003</v>
      </c>
      <c r="D3770">
        <v>-7.1252329040899998</v>
      </c>
      <c r="E3770">
        <v>3</v>
      </c>
      <c r="F3770">
        <v>3</v>
      </c>
      <c r="G3770">
        <v>2</v>
      </c>
      <c r="J3770" t="s">
        <v>15</v>
      </c>
      <c r="K3770">
        <v>3</v>
      </c>
      <c r="L3770">
        <v>3.1080000000000001</v>
      </c>
      <c r="M3770">
        <v>0</v>
      </c>
      <c r="N3770" t="s">
        <v>10019</v>
      </c>
      <c r="O3770" t="str">
        <f>HYPERLINK("3\1\marker_446_384597.png", "Ver Imagen")</f>
        <v>Ver Imagen</v>
      </c>
      <c r="P3770" t="str">
        <f>HYPERLINK("NE\A-495_1\A-495_1__118.png", "Ver Imagen")</f>
        <v>Ver Imagen</v>
      </c>
    </row>
    <row r="3771" spans="1:16" x14ac:dyDescent="0.25">
      <c r="A3771">
        <v>3277</v>
      </c>
      <c r="B3771" t="s">
        <v>6565</v>
      </c>
      <c r="C3771">
        <v>37.470595976600002</v>
      </c>
      <c r="D3771">
        <v>-7.1250833933499997</v>
      </c>
      <c r="E3771">
        <v>3</v>
      </c>
      <c r="F3771">
        <v>3</v>
      </c>
      <c r="G3771">
        <v>4</v>
      </c>
      <c r="J3771" t="s">
        <v>15</v>
      </c>
      <c r="K3771">
        <v>3</v>
      </c>
      <c r="L3771">
        <v>3.4039999999999999</v>
      </c>
      <c r="M3771">
        <v>0</v>
      </c>
      <c r="N3771" t="s">
        <v>10019</v>
      </c>
      <c r="O3771" t="str">
        <f>HYPERLINK("3\1\marker_286_384606.png", "Ver Imagen")</f>
        <v>Ver Imagen</v>
      </c>
      <c r="P3771" t="str">
        <f>HYPERLINK("NE\A-495_1\A-495_1__117.png", "Ver Imagen")</f>
        <v>Ver Imagen</v>
      </c>
    </row>
    <row r="3772" spans="1:16" x14ac:dyDescent="0.25">
      <c r="A3772">
        <v>3280</v>
      </c>
      <c r="B3772" t="s">
        <v>6571</v>
      </c>
      <c r="C3772">
        <v>37.462383391800003</v>
      </c>
      <c r="D3772">
        <v>-7.1242722787900004</v>
      </c>
      <c r="E3772">
        <v>2</v>
      </c>
      <c r="F3772">
        <v>3</v>
      </c>
      <c r="G3772">
        <v>3</v>
      </c>
      <c r="J3772" t="s">
        <v>15</v>
      </c>
      <c r="K3772">
        <v>3</v>
      </c>
      <c r="L3772">
        <v>3.0880000000000001</v>
      </c>
      <c r="M3772">
        <v>0</v>
      </c>
      <c r="N3772" t="s">
        <v>10019</v>
      </c>
      <c r="O3772" t="str">
        <f>HYPERLINK("3\1\marker_527_385298.png", "Ver Imagen")</f>
        <v>Ver Imagen</v>
      </c>
      <c r="P3772" t="str">
        <f>HYPERLINK("NE\A-495_1\A-495_1__73.png", "Ver Imagen")</f>
        <v>Ver Imagen</v>
      </c>
    </row>
    <row r="3773" spans="1:16" x14ac:dyDescent="0.25">
      <c r="A3773">
        <v>3282</v>
      </c>
      <c r="B3773" t="s">
        <v>6575</v>
      </c>
      <c r="C3773">
        <v>37.4568912553</v>
      </c>
      <c r="D3773">
        <v>-7.1260269540900003</v>
      </c>
      <c r="E3773">
        <v>3</v>
      </c>
      <c r="F3773">
        <v>3</v>
      </c>
      <c r="G3773">
        <v>2</v>
      </c>
      <c r="J3773" t="s">
        <v>15</v>
      </c>
      <c r="K3773">
        <v>3</v>
      </c>
      <c r="L3773">
        <v>2.6970000000000001</v>
      </c>
      <c r="M3773">
        <v>0</v>
      </c>
      <c r="N3773" t="s">
        <v>10019</v>
      </c>
      <c r="O3773" t="str">
        <f>HYPERLINK("3\1\marker_830_385609.png", "Ver Imagen")</f>
        <v>Ver Imagen</v>
      </c>
      <c r="P3773" t="str">
        <f>HYPERLINK("NE\A-495_1\A-495_1__45.png", "Ver Imagen")</f>
        <v>Ver Imagen</v>
      </c>
    </row>
    <row r="3774" spans="1:16" x14ac:dyDescent="0.25">
      <c r="A3774">
        <v>3283</v>
      </c>
      <c r="B3774" t="s">
        <v>6577</v>
      </c>
      <c r="C3774">
        <v>37.455516697100002</v>
      </c>
      <c r="D3774">
        <v>-7.1265360833600004</v>
      </c>
      <c r="E3774">
        <v>3</v>
      </c>
      <c r="F3774">
        <v>3</v>
      </c>
      <c r="G3774">
        <v>2</v>
      </c>
      <c r="J3774" t="s">
        <v>15</v>
      </c>
      <c r="K3774">
        <v>3</v>
      </c>
      <c r="L3774">
        <v>2.6070000000000002</v>
      </c>
      <c r="M3774">
        <v>0</v>
      </c>
      <c r="N3774" t="s">
        <v>10019</v>
      </c>
      <c r="O3774" t="str">
        <f>HYPERLINK("3\1\marker_955_385672.png", "Ver Imagen")</f>
        <v>Ver Imagen</v>
      </c>
      <c r="P3774" t="str">
        <f>HYPERLINK("NE\A-495_1\A-495_1__38.png", "Ver Imagen")</f>
        <v>Ver Imagen</v>
      </c>
    </row>
    <row r="3775" spans="1:16" x14ac:dyDescent="0.25">
      <c r="A3775">
        <v>3284</v>
      </c>
      <c r="B3775" t="s">
        <v>6579</v>
      </c>
      <c r="C3775">
        <v>37.450572558399998</v>
      </c>
      <c r="D3775">
        <v>-7.1273567226400001</v>
      </c>
      <c r="E3775">
        <v>2</v>
      </c>
      <c r="F3775">
        <v>3</v>
      </c>
      <c r="G3775">
        <v>3</v>
      </c>
      <c r="J3775" t="s">
        <v>15</v>
      </c>
      <c r="K3775">
        <v>3</v>
      </c>
      <c r="L3775">
        <v>3.302</v>
      </c>
      <c r="M3775">
        <v>0</v>
      </c>
      <c r="N3775" t="s">
        <v>10019</v>
      </c>
      <c r="O3775" t="str">
        <f>HYPERLINK("3\1\marker_200_386195.png", "Ver Imagen")</f>
        <v>Ver Imagen</v>
      </c>
      <c r="P3775" t="str">
        <f>HYPERLINK("NE\A-495_1\A-495_1__13.png", "Ver Imagen")</f>
        <v>Ver Imagen</v>
      </c>
    </row>
    <row r="3776" spans="1:16" x14ac:dyDescent="0.25">
      <c r="A3776">
        <v>3285</v>
      </c>
      <c r="B3776" t="s">
        <v>6581</v>
      </c>
      <c r="C3776">
        <v>37.450374779999997</v>
      </c>
      <c r="D3776">
        <v>-7.1273185594299999</v>
      </c>
      <c r="E3776">
        <v>2</v>
      </c>
      <c r="F3776">
        <v>3</v>
      </c>
      <c r="G3776">
        <v>3</v>
      </c>
      <c r="J3776" t="s">
        <v>15</v>
      </c>
      <c r="K3776">
        <v>3</v>
      </c>
      <c r="L3776">
        <v>2.581</v>
      </c>
      <c r="M3776">
        <v>0</v>
      </c>
      <c r="N3776" t="s">
        <v>10018</v>
      </c>
      <c r="O3776" t="str">
        <f>HYPERLINK("3\1\marker_811_386207.png", "Ver Imagen")</f>
        <v>Ver Imagen</v>
      </c>
      <c r="P3776" t="str">
        <f>HYPERLINK("NE\A-495_1\A-495_1__12.png", "Ver Imagen")</f>
        <v>Ver Imagen</v>
      </c>
    </row>
    <row r="3777" spans="1:16" x14ac:dyDescent="0.25">
      <c r="A3777">
        <v>3287</v>
      </c>
      <c r="B3777" t="s">
        <v>6585</v>
      </c>
      <c r="C3777">
        <v>37.449757048800002</v>
      </c>
      <c r="D3777">
        <v>-7.1271751109299997</v>
      </c>
      <c r="E3777">
        <v>2</v>
      </c>
      <c r="F3777">
        <v>3</v>
      </c>
      <c r="G3777">
        <v>3</v>
      </c>
      <c r="J3777" t="s">
        <v>15</v>
      </c>
      <c r="K3777">
        <v>3</v>
      </c>
      <c r="L3777">
        <v>2.7810000000000001</v>
      </c>
      <c r="M3777">
        <v>0</v>
      </c>
      <c r="N3777" t="s">
        <v>10019</v>
      </c>
      <c r="O3777" t="str">
        <f>HYPERLINK("3\1\marker_462_386236.png", "Ver Imagen")</f>
        <v>Ver Imagen</v>
      </c>
      <c r="P3777" t="str">
        <f>HYPERLINK("NE\A-495_1\A-495_1__9.png", "Ver Imagen")</f>
        <v>Ver Imagen</v>
      </c>
    </row>
    <row r="3778" spans="1:16" x14ac:dyDescent="0.25">
      <c r="A3778">
        <v>3289</v>
      </c>
      <c r="B3778" t="s">
        <v>6589</v>
      </c>
      <c r="C3778">
        <v>37.449401516199998</v>
      </c>
      <c r="D3778">
        <v>-7.1270668416999996</v>
      </c>
      <c r="E3778">
        <v>3</v>
      </c>
      <c r="F3778">
        <v>3</v>
      </c>
      <c r="G3778">
        <v>4</v>
      </c>
      <c r="J3778" t="s">
        <v>15</v>
      </c>
      <c r="K3778">
        <v>3</v>
      </c>
      <c r="L3778">
        <v>2.7789999999999999</v>
      </c>
      <c r="M3778">
        <v>0</v>
      </c>
      <c r="N3778" t="s">
        <v>10019</v>
      </c>
      <c r="O3778" t="str">
        <f>HYPERLINK("3\1\marker_457_386253.png", "Ver Imagen")</f>
        <v>Ver Imagen</v>
      </c>
      <c r="P3778" t="str">
        <f>HYPERLINK("NE\A-495_1\A-495_1__7.png", "Ver Imagen")</f>
        <v>Ver Imagen</v>
      </c>
    </row>
    <row r="3779" spans="1:16" x14ac:dyDescent="0.25">
      <c r="A3779">
        <v>3291</v>
      </c>
      <c r="B3779" t="s">
        <v>6593</v>
      </c>
      <c r="C3779">
        <v>37.448824210700003</v>
      </c>
      <c r="D3779">
        <v>-7.12686598263</v>
      </c>
      <c r="E3779">
        <v>3</v>
      </c>
      <c r="F3779">
        <v>3</v>
      </c>
      <c r="G3779">
        <v>4</v>
      </c>
      <c r="J3779" t="s">
        <v>15</v>
      </c>
      <c r="K3779">
        <v>3</v>
      </c>
      <c r="L3779">
        <v>2.5489999999999999</v>
      </c>
      <c r="M3779">
        <v>0</v>
      </c>
      <c r="N3779" t="s">
        <v>10018</v>
      </c>
      <c r="O3779" t="str">
        <f>HYPERLINK("3\1\marker_958_386285.png", "Ver Imagen")</f>
        <v>Ver Imagen</v>
      </c>
      <c r="P3779" t="str">
        <f>HYPERLINK("NE\A-495_1\A-495_1__4.png", "Ver Imagen")</f>
        <v>Ver Imagen</v>
      </c>
    </row>
    <row r="3780" spans="1:16" x14ac:dyDescent="0.25">
      <c r="A3780">
        <v>3294</v>
      </c>
      <c r="B3780" t="s">
        <v>6599</v>
      </c>
      <c r="C3780">
        <v>37.495630831699998</v>
      </c>
      <c r="D3780">
        <v>-7.2735034779000003</v>
      </c>
      <c r="E3780">
        <v>2</v>
      </c>
      <c r="F3780">
        <v>3</v>
      </c>
      <c r="G3780">
        <v>3</v>
      </c>
      <c r="J3780" t="s">
        <v>15</v>
      </c>
      <c r="K3780">
        <v>3</v>
      </c>
      <c r="L3780">
        <v>2.774</v>
      </c>
      <c r="M3780">
        <v>0</v>
      </c>
      <c r="N3780" t="s">
        <v>10019</v>
      </c>
      <c r="O3780" t="str">
        <f>HYPERLINK("3\1\marker_291_534966.png", "Ver Imagen")</f>
        <v>Ver Imagen</v>
      </c>
      <c r="P3780" t="str">
        <f>HYPERLINK("NO\A-499\A-499__57.png", "Ver Imagen")</f>
        <v>Ver Imagen</v>
      </c>
    </row>
    <row r="3781" spans="1:16" x14ac:dyDescent="0.25">
      <c r="A3781">
        <v>3296</v>
      </c>
      <c r="B3781" t="s">
        <v>6603</v>
      </c>
      <c r="C3781">
        <v>37.198521703399997</v>
      </c>
      <c r="D3781">
        <v>-6.9816800779600001</v>
      </c>
      <c r="E3781">
        <v>3</v>
      </c>
      <c r="F3781">
        <v>3</v>
      </c>
      <c r="G3781">
        <v>4</v>
      </c>
      <c r="J3781" t="s">
        <v>15</v>
      </c>
      <c r="K3781">
        <v>3</v>
      </c>
      <c r="L3781">
        <v>3.2229999999999999</v>
      </c>
      <c r="M3781">
        <v>0</v>
      </c>
      <c r="N3781" t="s">
        <v>10019</v>
      </c>
      <c r="O3781" t="str">
        <f>HYPERLINK("3\1\marker_323_367639.png", "Ver Imagen")</f>
        <v>Ver Imagen</v>
      </c>
      <c r="P3781" t="str">
        <f>HYPERLINK("SE\A-497\A-497__831.png", "Ver Imagen")</f>
        <v>Ver Imagen</v>
      </c>
    </row>
    <row r="3782" spans="1:16" x14ac:dyDescent="0.25">
      <c r="A3782">
        <v>3297</v>
      </c>
      <c r="B3782" t="s">
        <v>6605</v>
      </c>
      <c r="C3782">
        <v>37.197833690099998</v>
      </c>
      <c r="D3782">
        <v>-6.9804665075300001</v>
      </c>
      <c r="E3782">
        <v>4</v>
      </c>
      <c r="F3782">
        <v>3</v>
      </c>
      <c r="G3782">
        <v>3</v>
      </c>
      <c r="J3782" t="s">
        <v>15</v>
      </c>
      <c r="K3782">
        <v>3</v>
      </c>
      <c r="L3782">
        <v>3.26</v>
      </c>
      <c r="M3782">
        <v>0</v>
      </c>
      <c r="N3782" t="s">
        <v>10019</v>
      </c>
      <c r="O3782" t="str">
        <f>HYPERLINK("3\1\marker_823_367703.png", "Ver Imagen")</f>
        <v>Ver Imagen</v>
      </c>
      <c r="P3782" t="str">
        <f>HYPERLINK("SE\A-497\A-497__825.png", "Ver Imagen")</f>
        <v>Ver Imagen</v>
      </c>
    </row>
    <row r="3783" spans="1:16" x14ac:dyDescent="0.25">
      <c r="A3783">
        <v>3298</v>
      </c>
      <c r="B3783" t="s">
        <v>6607</v>
      </c>
      <c r="C3783">
        <v>37.197671590799999</v>
      </c>
      <c r="D3783">
        <v>-6.9802416232300004</v>
      </c>
      <c r="E3783">
        <v>4</v>
      </c>
      <c r="F3783">
        <v>3</v>
      </c>
      <c r="G3783">
        <v>3</v>
      </c>
      <c r="J3783" t="s">
        <v>15</v>
      </c>
      <c r="K3783">
        <v>3</v>
      </c>
      <c r="L3783">
        <v>3.2269999999999999</v>
      </c>
      <c r="M3783">
        <v>0</v>
      </c>
      <c r="N3783" t="s">
        <v>10018</v>
      </c>
      <c r="O3783" t="str">
        <f>HYPERLINK("3\1\marker_202_367713.png", "Ver Imagen")</f>
        <v>Ver Imagen</v>
      </c>
      <c r="P3783" t="str">
        <f>HYPERLINK("SE\A-497\A-497__824.png", "Ver Imagen")</f>
        <v>Ver Imagen</v>
      </c>
    </row>
    <row r="3784" spans="1:16" x14ac:dyDescent="0.25">
      <c r="A3784">
        <v>3299</v>
      </c>
      <c r="B3784" t="s">
        <v>6609</v>
      </c>
      <c r="C3784">
        <v>37.196464930399998</v>
      </c>
      <c r="D3784">
        <v>-6.9789703248899997</v>
      </c>
      <c r="E3784">
        <v>4</v>
      </c>
      <c r="F3784">
        <v>3</v>
      </c>
      <c r="G3784">
        <v>3</v>
      </c>
      <c r="J3784" t="s">
        <v>15</v>
      </c>
      <c r="K3784">
        <v>3</v>
      </c>
      <c r="L3784">
        <v>3.16</v>
      </c>
      <c r="M3784">
        <v>0</v>
      </c>
      <c r="N3784" t="s">
        <v>10019</v>
      </c>
      <c r="O3784" t="str">
        <f>HYPERLINK("3\1\marker_391_367792.png", "Ver Imagen")</f>
        <v>Ver Imagen</v>
      </c>
      <c r="P3784" t="str">
        <f>HYPERLINK("SE\A-497\A-497__816.png", "Ver Imagen")</f>
        <v>Ver Imagen</v>
      </c>
    </row>
    <row r="3785" spans="1:16" x14ac:dyDescent="0.25">
      <c r="A3785">
        <v>3300</v>
      </c>
      <c r="B3785" t="s">
        <v>6611</v>
      </c>
      <c r="C3785">
        <v>37.1960957593</v>
      </c>
      <c r="D3785">
        <v>-6.9786919231400004</v>
      </c>
      <c r="E3785">
        <v>2</v>
      </c>
      <c r="F3785">
        <v>3</v>
      </c>
      <c r="G3785">
        <v>3</v>
      </c>
      <c r="J3785" t="s">
        <v>15</v>
      </c>
      <c r="K3785">
        <v>3</v>
      </c>
      <c r="L3785">
        <v>2.9809999999999999</v>
      </c>
      <c r="M3785">
        <v>0</v>
      </c>
      <c r="N3785" t="s">
        <v>10019</v>
      </c>
      <c r="O3785" t="str">
        <f>HYPERLINK("3\1\marker_136_367810.png", "Ver Imagen")</f>
        <v>Ver Imagen</v>
      </c>
      <c r="P3785" t="str">
        <f>HYPERLINK("SE\A-497\A-497__814.png", "Ver Imagen")</f>
        <v>Ver Imagen</v>
      </c>
    </row>
    <row r="3786" spans="1:16" x14ac:dyDescent="0.25">
      <c r="A3786">
        <v>3301</v>
      </c>
      <c r="B3786" t="s">
        <v>6613</v>
      </c>
      <c r="C3786">
        <v>37.195749912899998</v>
      </c>
      <c r="D3786">
        <v>-6.9784640341399999</v>
      </c>
      <c r="E3786">
        <v>4</v>
      </c>
      <c r="F3786">
        <v>3</v>
      </c>
      <c r="G3786">
        <v>3</v>
      </c>
      <c r="J3786" t="s">
        <v>15</v>
      </c>
      <c r="K3786">
        <v>3</v>
      </c>
      <c r="L3786">
        <v>2.8490000000000002</v>
      </c>
      <c r="M3786">
        <v>0</v>
      </c>
      <c r="N3786" t="s">
        <v>10019</v>
      </c>
      <c r="O3786" t="str">
        <f>HYPERLINK("3\1\marker_693_367828.png", "Ver Imagen")</f>
        <v>Ver Imagen</v>
      </c>
      <c r="P3786" t="str">
        <f>HYPERLINK("SE\A-497\A-497__812.png", "Ver Imagen")</f>
        <v>Ver Imagen</v>
      </c>
    </row>
    <row r="3787" spans="1:16" x14ac:dyDescent="0.25">
      <c r="A3787">
        <v>3302</v>
      </c>
      <c r="B3787" t="s">
        <v>6615</v>
      </c>
      <c r="C3787">
        <v>37.195365228299998</v>
      </c>
      <c r="D3787">
        <v>-6.9782443836099999</v>
      </c>
      <c r="E3787">
        <v>2</v>
      </c>
      <c r="F3787">
        <v>3</v>
      </c>
      <c r="G3787">
        <v>3</v>
      </c>
      <c r="J3787" t="s">
        <v>15</v>
      </c>
      <c r="K3787">
        <v>3</v>
      </c>
      <c r="L3787">
        <v>3.4220000000000002</v>
      </c>
      <c r="M3787">
        <v>0</v>
      </c>
      <c r="N3787" t="s">
        <v>10019</v>
      </c>
      <c r="O3787" t="str">
        <f>HYPERLINK("3\1\marker_744_367851.png", "Ver Imagen")</f>
        <v>Ver Imagen</v>
      </c>
      <c r="P3787" t="str">
        <f>HYPERLINK("SE\A-497\A-497__810.png", "Ver Imagen")</f>
        <v>Ver Imagen</v>
      </c>
    </row>
    <row r="3788" spans="1:16" x14ac:dyDescent="0.25">
      <c r="A3788">
        <v>3303</v>
      </c>
      <c r="B3788" t="s">
        <v>6617</v>
      </c>
      <c r="C3788">
        <v>37.195160364300001</v>
      </c>
      <c r="D3788">
        <v>-6.9781438999800001</v>
      </c>
      <c r="E3788">
        <v>3</v>
      </c>
      <c r="F3788">
        <v>3</v>
      </c>
      <c r="G3788">
        <v>4</v>
      </c>
      <c r="J3788" t="s">
        <v>15</v>
      </c>
      <c r="K3788">
        <v>3</v>
      </c>
      <c r="L3788">
        <v>3.383</v>
      </c>
      <c r="M3788">
        <v>0</v>
      </c>
      <c r="N3788" t="s">
        <v>10019</v>
      </c>
      <c r="O3788" t="str">
        <f>HYPERLINK("3\1\marker_264_367859.png", "Ver Imagen")</f>
        <v>Ver Imagen</v>
      </c>
      <c r="P3788" t="str">
        <f>HYPERLINK("SE\A-497\A-497__809.png", "Ver Imagen")</f>
        <v>Ver Imagen</v>
      </c>
    </row>
    <row r="3789" spans="1:16" x14ac:dyDescent="0.25">
      <c r="A3789">
        <v>3304</v>
      </c>
      <c r="B3789" t="s">
        <v>6619</v>
      </c>
      <c r="C3789">
        <v>37.1947935062</v>
      </c>
      <c r="D3789">
        <v>-6.9779904184700001</v>
      </c>
      <c r="E3789">
        <v>3</v>
      </c>
      <c r="F3789">
        <v>3</v>
      </c>
      <c r="G3789">
        <v>4</v>
      </c>
      <c r="J3789" t="s">
        <v>15</v>
      </c>
      <c r="K3789">
        <v>3</v>
      </c>
      <c r="L3789">
        <v>3.3740000000000001</v>
      </c>
      <c r="M3789">
        <v>0</v>
      </c>
      <c r="N3789" t="s">
        <v>10018</v>
      </c>
      <c r="O3789" t="str">
        <f>HYPERLINK("3\1\marker_219_367879.png", "Ver Imagen")</f>
        <v>Ver Imagen</v>
      </c>
      <c r="P3789" t="str">
        <f>HYPERLINK("SE\A-497\A-497__807.png", "Ver Imagen")</f>
        <v>Ver Imagen</v>
      </c>
    </row>
    <row r="3790" spans="1:16" x14ac:dyDescent="0.25">
      <c r="A3790">
        <v>3305</v>
      </c>
      <c r="B3790" t="s">
        <v>6621</v>
      </c>
      <c r="C3790">
        <v>37.194436324900003</v>
      </c>
      <c r="D3790">
        <v>-6.9778699802000004</v>
      </c>
      <c r="E3790">
        <v>3</v>
      </c>
      <c r="F3790">
        <v>3</v>
      </c>
      <c r="G3790">
        <v>4</v>
      </c>
      <c r="J3790" t="s">
        <v>15</v>
      </c>
      <c r="K3790">
        <v>3</v>
      </c>
      <c r="L3790">
        <v>3.165</v>
      </c>
      <c r="M3790">
        <v>0</v>
      </c>
      <c r="N3790" t="s">
        <v>10018</v>
      </c>
      <c r="O3790" t="str">
        <f>HYPERLINK("3\1\marker_871_367900.png", "Ver Imagen")</f>
        <v>Ver Imagen</v>
      </c>
      <c r="P3790" t="str">
        <f>HYPERLINK("SE\A-497\A-497__805.png", "Ver Imagen")</f>
        <v>Ver Imagen</v>
      </c>
    </row>
    <row r="3791" spans="1:16" x14ac:dyDescent="0.25">
      <c r="A3791">
        <v>3306</v>
      </c>
      <c r="B3791" t="s">
        <v>6623</v>
      </c>
      <c r="C3791">
        <v>37.194178612899996</v>
      </c>
      <c r="D3791">
        <v>-6.9777973317199997</v>
      </c>
      <c r="E3791">
        <v>3</v>
      </c>
      <c r="F3791">
        <v>3</v>
      </c>
      <c r="G3791">
        <v>4</v>
      </c>
      <c r="J3791" t="s">
        <v>15</v>
      </c>
      <c r="K3791">
        <v>3</v>
      </c>
      <c r="L3791">
        <v>3.3380000000000001</v>
      </c>
      <c r="M3791">
        <v>0</v>
      </c>
      <c r="N3791" t="s">
        <v>10019</v>
      </c>
      <c r="O3791" t="str">
        <f>HYPERLINK("3\1\marker_837_367909.png", "Ver Imagen")</f>
        <v>Ver Imagen</v>
      </c>
      <c r="P3791" t="str">
        <f>HYPERLINK("SE\A-497\A-497__804.png", "Ver Imagen")</f>
        <v>Ver Imagen</v>
      </c>
    </row>
    <row r="3792" spans="1:16" x14ac:dyDescent="0.25">
      <c r="A3792">
        <v>3307</v>
      </c>
      <c r="B3792" t="s">
        <v>6625</v>
      </c>
      <c r="C3792">
        <v>37.194011698300002</v>
      </c>
      <c r="D3792">
        <v>-6.9777571544399999</v>
      </c>
      <c r="E3792">
        <v>3</v>
      </c>
      <c r="F3792">
        <v>3</v>
      </c>
      <c r="G3792">
        <v>4</v>
      </c>
      <c r="J3792" t="s">
        <v>15</v>
      </c>
      <c r="K3792">
        <v>3</v>
      </c>
      <c r="L3792">
        <v>3.169</v>
      </c>
      <c r="M3792">
        <v>0</v>
      </c>
      <c r="N3792" t="s">
        <v>10019</v>
      </c>
      <c r="O3792" t="str">
        <f>HYPERLINK("3\1\marker_956_367918.png", "Ver Imagen")</f>
        <v>Ver Imagen</v>
      </c>
      <c r="P3792" t="str">
        <f>HYPERLINK("SE\A-497\A-497__803.png", "Ver Imagen")</f>
        <v>Ver Imagen</v>
      </c>
    </row>
    <row r="3793" spans="1:16" x14ac:dyDescent="0.25">
      <c r="A3793">
        <v>3308</v>
      </c>
      <c r="B3793" t="s">
        <v>6627</v>
      </c>
      <c r="C3793">
        <v>37.193814484599997</v>
      </c>
      <c r="D3793">
        <v>-6.9777170880800004</v>
      </c>
      <c r="E3793">
        <v>3</v>
      </c>
      <c r="F3793">
        <v>3</v>
      </c>
      <c r="G3793">
        <v>4</v>
      </c>
      <c r="J3793" t="s">
        <v>15</v>
      </c>
      <c r="K3793">
        <v>3</v>
      </c>
      <c r="L3793">
        <v>3.29</v>
      </c>
      <c r="M3793">
        <v>0</v>
      </c>
      <c r="N3793" t="s">
        <v>10019</v>
      </c>
      <c r="O3793" t="str">
        <f>HYPERLINK("3\1\marker_265_367929.png", "Ver Imagen")</f>
        <v>Ver Imagen</v>
      </c>
      <c r="P3793" t="str">
        <f>HYPERLINK("SE\A-497\A-497__802.png", "Ver Imagen")</f>
        <v>Ver Imagen</v>
      </c>
    </row>
    <row r="3794" spans="1:16" x14ac:dyDescent="0.25">
      <c r="A3794">
        <v>3309</v>
      </c>
      <c r="B3794" t="s">
        <v>6629</v>
      </c>
      <c r="C3794">
        <v>37.193627536900003</v>
      </c>
      <c r="D3794">
        <v>-6.9776876553499996</v>
      </c>
      <c r="E3794">
        <v>3</v>
      </c>
      <c r="F3794">
        <v>3</v>
      </c>
      <c r="G3794">
        <v>4</v>
      </c>
      <c r="J3794" t="s">
        <v>15</v>
      </c>
      <c r="K3794">
        <v>3</v>
      </c>
      <c r="L3794">
        <v>3.09</v>
      </c>
      <c r="M3794">
        <v>0</v>
      </c>
      <c r="N3794" t="s">
        <v>10019</v>
      </c>
      <c r="O3794" t="str">
        <f>HYPERLINK("3\1\marker_513_367938.png", "Ver Imagen")</f>
        <v>Ver Imagen</v>
      </c>
      <c r="P3794" t="str">
        <f>HYPERLINK("SE\A-497\A-497__801.png", "Ver Imagen")</f>
        <v>Ver Imagen</v>
      </c>
    </row>
    <row r="3795" spans="1:16" x14ac:dyDescent="0.25">
      <c r="A3795">
        <v>3310</v>
      </c>
      <c r="B3795" t="s">
        <v>6631</v>
      </c>
      <c r="C3795">
        <v>37.193051602499999</v>
      </c>
      <c r="D3795">
        <v>-6.9776426917199998</v>
      </c>
      <c r="E3795">
        <v>3</v>
      </c>
      <c r="F3795">
        <v>3</v>
      </c>
      <c r="G3795">
        <v>4</v>
      </c>
      <c r="J3795" t="s">
        <v>15</v>
      </c>
      <c r="K3795">
        <v>3</v>
      </c>
      <c r="L3795">
        <v>3.1970000000000001</v>
      </c>
      <c r="M3795">
        <v>0</v>
      </c>
      <c r="N3795" t="s">
        <v>10019</v>
      </c>
      <c r="O3795" t="str">
        <f>HYPERLINK("3\1\marker_830_367971.png", "Ver Imagen")</f>
        <v>Ver Imagen</v>
      </c>
      <c r="P3795" t="str">
        <f>HYPERLINK("SE\A-497\A-497__798.png", "Ver Imagen")</f>
        <v>Ver Imagen</v>
      </c>
    </row>
    <row r="3796" spans="1:16" x14ac:dyDescent="0.25">
      <c r="A3796">
        <v>3311</v>
      </c>
      <c r="B3796" t="s">
        <v>6633</v>
      </c>
      <c r="C3796">
        <v>37.192836638499998</v>
      </c>
      <c r="D3796">
        <v>-6.9776409157700003</v>
      </c>
      <c r="E3796">
        <v>2</v>
      </c>
      <c r="F3796">
        <v>3</v>
      </c>
      <c r="G3796">
        <v>3</v>
      </c>
      <c r="J3796" t="s">
        <v>15</v>
      </c>
      <c r="K3796">
        <v>3</v>
      </c>
      <c r="L3796">
        <v>3.069</v>
      </c>
      <c r="M3796">
        <v>0</v>
      </c>
      <c r="N3796" t="s">
        <v>10019</v>
      </c>
      <c r="O3796" t="str">
        <f>HYPERLINK("3\1\marker_166_367983.png", "Ver Imagen")</f>
        <v>Ver Imagen</v>
      </c>
      <c r="P3796" t="str">
        <f>HYPERLINK("SE\A-497\A-497__797.png", "Ver Imagen")</f>
        <v>Ver Imagen</v>
      </c>
    </row>
    <row r="3797" spans="1:16" x14ac:dyDescent="0.25">
      <c r="A3797">
        <v>3312</v>
      </c>
      <c r="B3797" t="s">
        <v>6635</v>
      </c>
      <c r="C3797">
        <v>37.192623247500002</v>
      </c>
      <c r="D3797">
        <v>-6.9776460699299996</v>
      </c>
      <c r="E3797">
        <v>3</v>
      </c>
      <c r="F3797">
        <v>3</v>
      </c>
      <c r="G3797">
        <v>4</v>
      </c>
      <c r="J3797" t="s">
        <v>15</v>
      </c>
      <c r="K3797">
        <v>3</v>
      </c>
      <c r="L3797">
        <v>3.3029999999999999</v>
      </c>
      <c r="M3797">
        <v>0</v>
      </c>
      <c r="N3797" t="s">
        <v>10019</v>
      </c>
      <c r="O3797" t="str">
        <f>HYPERLINK("3\1\marker_119_367995.png", "Ver Imagen")</f>
        <v>Ver Imagen</v>
      </c>
      <c r="P3797" t="str">
        <f>HYPERLINK("SE\A-497\A-497__796.png", "Ver Imagen")</f>
        <v>Ver Imagen</v>
      </c>
    </row>
    <row r="3798" spans="1:16" x14ac:dyDescent="0.25">
      <c r="A3798">
        <v>3313</v>
      </c>
      <c r="B3798" t="s">
        <v>6637</v>
      </c>
      <c r="C3798">
        <v>37.191588044100001</v>
      </c>
      <c r="D3798">
        <v>-6.9777620567099996</v>
      </c>
      <c r="E3798">
        <v>3</v>
      </c>
      <c r="F3798">
        <v>3</v>
      </c>
      <c r="G3798">
        <v>4</v>
      </c>
      <c r="J3798" t="s">
        <v>15</v>
      </c>
      <c r="K3798">
        <v>3</v>
      </c>
      <c r="L3798">
        <v>2.9780000000000002</v>
      </c>
      <c r="M3798">
        <v>0</v>
      </c>
      <c r="N3798" t="s">
        <v>10019</v>
      </c>
      <c r="O3798" t="str">
        <f>HYPERLINK("3\1\marker_888_368052.png", "Ver Imagen")</f>
        <v>Ver Imagen</v>
      </c>
      <c r="P3798" t="str">
        <f>HYPERLINK("SE\A-497\A-497__791.png", "Ver Imagen")</f>
        <v>Ver Imagen</v>
      </c>
    </row>
    <row r="3799" spans="1:16" x14ac:dyDescent="0.25">
      <c r="A3799">
        <v>3314</v>
      </c>
      <c r="B3799" t="s">
        <v>6639</v>
      </c>
      <c r="C3799">
        <v>37.191401511099997</v>
      </c>
      <c r="D3799">
        <v>-6.9777966567999998</v>
      </c>
      <c r="E3799">
        <v>3</v>
      </c>
      <c r="F3799">
        <v>3</v>
      </c>
      <c r="G3799">
        <v>4</v>
      </c>
      <c r="J3799" t="s">
        <v>15</v>
      </c>
      <c r="K3799">
        <v>3</v>
      </c>
      <c r="L3799">
        <v>2.7829999999999999</v>
      </c>
      <c r="M3799">
        <v>0</v>
      </c>
      <c r="N3799" t="s">
        <v>10019</v>
      </c>
      <c r="O3799" t="str">
        <f>HYPERLINK("3\1\marker_907_368062.png", "Ver Imagen")</f>
        <v>Ver Imagen</v>
      </c>
      <c r="P3799" t="str">
        <f>HYPERLINK("SE\A-497\A-497__790.png", "Ver Imagen")</f>
        <v>Ver Imagen</v>
      </c>
    </row>
    <row r="3800" spans="1:16" x14ac:dyDescent="0.25">
      <c r="A3800">
        <v>3315</v>
      </c>
      <c r="B3800" t="s">
        <v>6641</v>
      </c>
      <c r="C3800">
        <v>37.190826864899996</v>
      </c>
      <c r="D3800">
        <v>-6.9779220445199996</v>
      </c>
      <c r="E3800">
        <v>3</v>
      </c>
      <c r="F3800">
        <v>3</v>
      </c>
      <c r="G3800">
        <v>4</v>
      </c>
      <c r="J3800" t="s">
        <v>15</v>
      </c>
      <c r="K3800">
        <v>3</v>
      </c>
      <c r="L3800">
        <v>2.7250000000000001</v>
      </c>
      <c r="M3800">
        <v>0</v>
      </c>
      <c r="N3800" t="s">
        <v>10019</v>
      </c>
      <c r="O3800" t="str">
        <f>HYPERLINK("3\1\marker_564_368092.png", "Ver Imagen")</f>
        <v>Ver Imagen</v>
      </c>
      <c r="P3800" t="str">
        <f>HYPERLINK("SE\A-497\A-497__787.png", "Ver Imagen")</f>
        <v>Ver Imagen</v>
      </c>
    </row>
    <row r="3801" spans="1:16" x14ac:dyDescent="0.25">
      <c r="A3801">
        <v>3316</v>
      </c>
      <c r="B3801" t="s">
        <v>6643</v>
      </c>
      <c r="C3801">
        <v>37.190639721099998</v>
      </c>
      <c r="D3801">
        <v>-6.9779673963300004</v>
      </c>
      <c r="E3801">
        <v>3</v>
      </c>
      <c r="F3801">
        <v>3</v>
      </c>
      <c r="G3801">
        <v>4</v>
      </c>
      <c r="J3801" t="s">
        <v>15</v>
      </c>
      <c r="K3801">
        <v>3</v>
      </c>
      <c r="L3801">
        <v>3.0630000000000002</v>
      </c>
      <c r="M3801">
        <v>0</v>
      </c>
      <c r="N3801" t="s">
        <v>10019</v>
      </c>
      <c r="O3801" t="str">
        <f>HYPERLINK("3\1\marker_762_368102.png", "Ver Imagen")</f>
        <v>Ver Imagen</v>
      </c>
      <c r="P3801" t="str">
        <f>HYPERLINK("SE\A-497\A-497__786.png", "Ver Imagen")</f>
        <v>Ver Imagen</v>
      </c>
    </row>
    <row r="3802" spans="1:16" x14ac:dyDescent="0.25">
      <c r="A3802">
        <v>3317</v>
      </c>
      <c r="B3802" t="s">
        <v>6645</v>
      </c>
      <c r="C3802">
        <v>37.190442395700003</v>
      </c>
      <c r="D3802">
        <v>-6.9780174382900002</v>
      </c>
      <c r="E3802">
        <v>3</v>
      </c>
      <c r="F3802">
        <v>3</v>
      </c>
      <c r="G3802">
        <v>4</v>
      </c>
      <c r="J3802" t="s">
        <v>15</v>
      </c>
      <c r="K3802">
        <v>3</v>
      </c>
      <c r="L3802">
        <v>2.633</v>
      </c>
      <c r="M3802">
        <v>0</v>
      </c>
      <c r="N3802" t="s">
        <v>10019</v>
      </c>
      <c r="O3802" t="str">
        <f>HYPERLINK("3\1\marker_374_368112.png", "Ver Imagen")</f>
        <v>Ver Imagen</v>
      </c>
      <c r="P3802" t="str">
        <f>HYPERLINK("SE\A-497\A-497__785.png", "Ver Imagen")</f>
        <v>Ver Imagen</v>
      </c>
    </row>
    <row r="3803" spans="1:16" x14ac:dyDescent="0.25">
      <c r="A3803">
        <v>3318</v>
      </c>
      <c r="B3803" t="s">
        <v>6647</v>
      </c>
      <c r="C3803">
        <v>37.1902339759</v>
      </c>
      <c r="D3803">
        <v>-6.9780720724399998</v>
      </c>
      <c r="E3803">
        <v>3</v>
      </c>
      <c r="F3803">
        <v>3</v>
      </c>
      <c r="G3803">
        <v>4</v>
      </c>
      <c r="J3803" t="s">
        <v>15</v>
      </c>
      <c r="K3803">
        <v>3</v>
      </c>
      <c r="L3803">
        <v>3.3650000000000002</v>
      </c>
      <c r="M3803">
        <v>0</v>
      </c>
      <c r="N3803" t="s">
        <v>10019</v>
      </c>
      <c r="O3803" t="str">
        <f>HYPERLINK("3\1\marker_349_368122.png", "Ver Imagen")</f>
        <v>Ver Imagen</v>
      </c>
      <c r="P3803" t="str">
        <f>HYPERLINK("SE\A-497\A-497__784.png", "Ver Imagen")</f>
        <v>Ver Imagen</v>
      </c>
    </row>
    <row r="3804" spans="1:16" x14ac:dyDescent="0.25">
      <c r="A3804">
        <v>3319</v>
      </c>
      <c r="B3804" t="s">
        <v>6649</v>
      </c>
      <c r="C3804">
        <v>37.189615514000003</v>
      </c>
      <c r="D3804">
        <v>-6.9782462604099997</v>
      </c>
      <c r="E3804">
        <v>3</v>
      </c>
      <c r="F3804">
        <v>3</v>
      </c>
      <c r="G3804">
        <v>4</v>
      </c>
      <c r="J3804" t="s">
        <v>15</v>
      </c>
      <c r="K3804">
        <v>3</v>
      </c>
      <c r="L3804">
        <v>3.4390000000000001</v>
      </c>
      <c r="M3804">
        <v>0</v>
      </c>
      <c r="N3804" t="s">
        <v>10019</v>
      </c>
      <c r="O3804" t="str">
        <f>HYPERLINK("3\1\marker_531_368152.png", "Ver Imagen")</f>
        <v>Ver Imagen</v>
      </c>
      <c r="P3804" t="str">
        <f>HYPERLINK("SE\A-497\A-497__781.png", "Ver Imagen")</f>
        <v>Ver Imagen</v>
      </c>
    </row>
    <row r="3805" spans="1:16" x14ac:dyDescent="0.25">
      <c r="A3805">
        <v>3320</v>
      </c>
      <c r="B3805" t="s">
        <v>6651</v>
      </c>
      <c r="C3805">
        <v>37.189235989399997</v>
      </c>
      <c r="D3805">
        <v>-6.9783567924599996</v>
      </c>
      <c r="E3805">
        <v>2</v>
      </c>
      <c r="F3805">
        <v>3</v>
      </c>
      <c r="G3805">
        <v>3</v>
      </c>
      <c r="J3805" t="s">
        <v>15</v>
      </c>
      <c r="K3805">
        <v>3</v>
      </c>
      <c r="L3805">
        <v>2.6890000000000001</v>
      </c>
      <c r="M3805">
        <v>0</v>
      </c>
      <c r="N3805" t="s">
        <v>10019</v>
      </c>
      <c r="O3805" t="str">
        <f>HYPERLINK("3\1\marker_873_368173.png", "Ver Imagen")</f>
        <v>Ver Imagen</v>
      </c>
      <c r="P3805" t="str">
        <f>HYPERLINK("SE\A-497\A-497__779.png", "Ver Imagen")</f>
        <v>Ver Imagen</v>
      </c>
    </row>
    <row r="3806" spans="1:16" x14ac:dyDescent="0.25">
      <c r="A3806">
        <v>3321</v>
      </c>
      <c r="B3806" t="s">
        <v>6653</v>
      </c>
      <c r="C3806">
        <v>37.1864657128</v>
      </c>
      <c r="D3806">
        <v>-6.9801650979799996</v>
      </c>
      <c r="E3806">
        <v>3</v>
      </c>
      <c r="F3806">
        <v>3</v>
      </c>
      <c r="G3806">
        <v>4</v>
      </c>
      <c r="J3806" t="s">
        <v>15</v>
      </c>
      <c r="K3806">
        <v>3</v>
      </c>
      <c r="L3806">
        <v>3.302</v>
      </c>
      <c r="M3806">
        <v>0</v>
      </c>
      <c r="N3806" t="s">
        <v>10018</v>
      </c>
      <c r="O3806" t="str">
        <f>HYPERLINK("3\1\marker_645_368529.png", "Ver Imagen")</f>
        <v>Ver Imagen</v>
      </c>
      <c r="P3806" t="str">
        <f>HYPERLINK("SE\A-497\A-497__763.png", "Ver Imagen")</f>
        <v>Ver Imagen</v>
      </c>
    </row>
    <row r="3807" spans="1:16" x14ac:dyDescent="0.25">
      <c r="A3807">
        <v>3322</v>
      </c>
      <c r="B3807" t="s">
        <v>6655</v>
      </c>
      <c r="C3807">
        <v>37.186357554300002</v>
      </c>
      <c r="D3807">
        <v>-6.9804007994299999</v>
      </c>
      <c r="E3807">
        <v>3</v>
      </c>
      <c r="F3807">
        <v>3</v>
      </c>
      <c r="G3807">
        <v>4</v>
      </c>
      <c r="J3807" t="s">
        <v>15</v>
      </c>
      <c r="K3807">
        <v>3</v>
      </c>
      <c r="L3807">
        <v>2.84</v>
      </c>
      <c r="M3807">
        <v>0</v>
      </c>
      <c r="N3807" t="s">
        <v>10019</v>
      </c>
      <c r="O3807" t="str">
        <f>HYPERLINK("3\1\marker_677_368540.png", "Ver Imagen")</f>
        <v>Ver Imagen</v>
      </c>
      <c r="P3807" t="str">
        <f>HYPERLINK("SE\A-497\A-497__762.png", "Ver Imagen")</f>
        <v>Ver Imagen</v>
      </c>
    </row>
    <row r="3808" spans="1:16" x14ac:dyDescent="0.25">
      <c r="A3808">
        <v>3323</v>
      </c>
      <c r="B3808" t="s">
        <v>6657</v>
      </c>
      <c r="C3808">
        <v>37.267607136000002</v>
      </c>
      <c r="D3808">
        <v>-6.9625251397900003</v>
      </c>
      <c r="E3808">
        <v>3</v>
      </c>
      <c r="F3808">
        <v>3</v>
      </c>
      <c r="G3808">
        <v>4</v>
      </c>
      <c r="J3808" t="s">
        <v>15</v>
      </c>
      <c r="K3808">
        <v>3</v>
      </c>
      <c r="L3808">
        <v>3.3839999999999999</v>
      </c>
      <c r="M3808">
        <v>0</v>
      </c>
      <c r="N3808" t="s">
        <v>10018</v>
      </c>
      <c r="O3808" t="str">
        <f>HYPERLINK("3\1\marker_879_654407.png", "Ver Imagen")</f>
        <v>Ver Imagen</v>
      </c>
      <c r="P3808" t="str">
        <f>HYPERLINK("SE\A-497_2C\A-497_2C__22.png", "Ver Imagen")</f>
        <v>Ver Imagen</v>
      </c>
    </row>
    <row r="3809" spans="1:16" x14ac:dyDescent="0.25">
      <c r="A3809">
        <v>3324</v>
      </c>
      <c r="B3809" t="s">
        <v>6659</v>
      </c>
      <c r="C3809">
        <v>37.267620665099997</v>
      </c>
      <c r="D3809">
        <v>-6.9630266606499998</v>
      </c>
      <c r="E3809">
        <v>4</v>
      </c>
      <c r="F3809">
        <v>3</v>
      </c>
      <c r="G3809">
        <v>3</v>
      </c>
      <c r="J3809" t="s">
        <v>15</v>
      </c>
      <c r="K3809">
        <v>3</v>
      </c>
      <c r="L3809">
        <v>2.9529999999999998</v>
      </c>
      <c r="M3809">
        <v>0</v>
      </c>
      <c r="N3809" t="s">
        <v>10019</v>
      </c>
      <c r="O3809" t="str">
        <f>HYPERLINK("3\1\marker_161_654425.png", "Ver Imagen")</f>
        <v>Ver Imagen</v>
      </c>
      <c r="P3809" t="str">
        <f>HYPERLINK("SE\A-497_2C\A-497_2C__24.png", "Ver Imagen")</f>
        <v>Ver Imagen</v>
      </c>
    </row>
    <row r="3810" spans="1:16" x14ac:dyDescent="0.25">
      <c r="A3810">
        <v>3325</v>
      </c>
      <c r="B3810" t="s">
        <v>6661</v>
      </c>
      <c r="C3810">
        <v>37.267642413200001</v>
      </c>
      <c r="D3810">
        <v>-6.9638071886999997</v>
      </c>
      <c r="E3810">
        <v>2</v>
      </c>
      <c r="F3810">
        <v>3</v>
      </c>
      <c r="G3810">
        <v>3</v>
      </c>
      <c r="J3810" t="s">
        <v>15</v>
      </c>
      <c r="K3810">
        <v>3</v>
      </c>
      <c r="L3810">
        <v>2.8180000000000001</v>
      </c>
      <c r="M3810">
        <v>0</v>
      </c>
      <c r="N3810" t="s">
        <v>10019</v>
      </c>
      <c r="O3810" t="str">
        <f>HYPERLINK("3\1\marker_156_654457.png", "Ver Imagen")</f>
        <v>Ver Imagen</v>
      </c>
      <c r="P3810" t="str">
        <f>HYPERLINK("SE\A-497_2C\A-497_2C__27.png", "Ver Imagen")</f>
        <v>Ver Imagen</v>
      </c>
    </row>
    <row r="3811" spans="1:16" x14ac:dyDescent="0.25">
      <c r="A3811">
        <v>3326</v>
      </c>
      <c r="B3811" t="s">
        <v>6663</v>
      </c>
      <c r="C3811">
        <v>37.267685955600001</v>
      </c>
      <c r="D3811">
        <v>-6.9655613703799997</v>
      </c>
      <c r="E3811">
        <v>4</v>
      </c>
      <c r="F3811">
        <v>3</v>
      </c>
      <c r="G3811">
        <v>3</v>
      </c>
      <c r="J3811" t="s">
        <v>15</v>
      </c>
      <c r="K3811">
        <v>3</v>
      </c>
      <c r="L3811">
        <v>3.113</v>
      </c>
      <c r="M3811">
        <v>0</v>
      </c>
      <c r="N3811" t="s">
        <v>10019</v>
      </c>
      <c r="O3811" t="str">
        <f>HYPERLINK("3\1\marker_961_654525.png", "Ver Imagen")</f>
        <v>Ver Imagen</v>
      </c>
      <c r="P3811" t="str">
        <f>HYPERLINK("SE\A-497_2C\A-497_2C__34.png", "Ver Imagen")</f>
        <v>Ver Imagen</v>
      </c>
    </row>
    <row r="3812" spans="1:16" x14ac:dyDescent="0.25">
      <c r="A3812">
        <v>3327</v>
      </c>
      <c r="B3812" t="s">
        <v>6665</v>
      </c>
      <c r="C3812">
        <v>37.267706553700002</v>
      </c>
      <c r="D3812">
        <v>-6.9660915731099999</v>
      </c>
      <c r="E3812">
        <v>4</v>
      </c>
      <c r="F3812">
        <v>3</v>
      </c>
      <c r="G3812">
        <v>3</v>
      </c>
      <c r="J3812" t="s">
        <v>15</v>
      </c>
      <c r="K3812">
        <v>3</v>
      </c>
      <c r="L3812">
        <v>3.2160000000000002</v>
      </c>
      <c r="M3812">
        <v>0</v>
      </c>
      <c r="N3812" t="s">
        <v>10019</v>
      </c>
      <c r="O3812" t="str">
        <f>HYPERLINK("3\1\marker_765_654611.png", "Ver Imagen")</f>
        <v>Ver Imagen</v>
      </c>
      <c r="P3812" t="str">
        <f>HYPERLINK("SE\A-497_2C\A-497_2C__36.png", "Ver Imagen")</f>
        <v>Ver Imagen</v>
      </c>
    </row>
    <row r="3813" spans="1:16" x14ac:dyDescent="0.25">
      <c r="A3813">
        <v>3328</v>
      </c>
      <c r="B3813" t="s">
        <v>6667</v>
      </c>
      <c r="C3813">
        <v>37.267718929600001</v>
      </c>
      <c r="D3813">
        <v>-6.9663604016500003</v>
      </c>
      <c r="E3813">
        <v>4</v>
      </c>
      <c r="F3813">
        <v>3</v>
      </c>
      <c r="G3813">
        <v>3</v>
      </c>
      <c r="J3813" t="s">
        <v>15</v>
      </c>
      <c r="K3813">
        <v>3</v>
      </c>
      <c r="L3813">
        <v>3.121</v>
      </c>
      <c r="M3813">
        <v>0</v>
      </c>
      <c r="N3813" t="s">
        <v>10019</v>
      </c>
      <c r="O3813" t="str">
        <f>HYPERLINK("3\1\marker_815_654621.png", "Ver Imagen")</f>
        <v>Ver Imagen</v>
      </c>
      <c r="P3813" t="str">
        <f>HYPERLINK("SE\A-497_2C\A-497_2C__37.png", "Ver Imagen")</f>
        <v>Ver Imagen</v>
      </c>
    </row>
    <row r="3814" spans="1:16" x14ac:dyDescent="0.25">
      <c r="A3814">
        <v>3329</v>
      </c>
      <c r="B3814" t="s">
        <v>6669</v>
      </c>
      <c r="C3814">
        <v>37.267760822500001</v>
      </c>
      <c r="D3814">
        <v>-6.9671315624899997</v>
      </c>
      <c r="E3814">
        <v>4</v>
      </c>
      <c r="F3814">
        <v>3</v>
      </c>
      <c r="G3814">
        <v>3</v>
      </c>
      <c r="J3814" t="s">
        <v>15</v>
      </c>
      <c r="K3814">
        <v>3</v>
      </c>
      <c r="L3814">
        <v>3.14</v>
      </c>
      <c r="M3814">
        <v>0</v>
      </c>
      <c r="N3814" t="s">
        <v>10019</v>
      </c>
      <c r="O3814" t="str">
        <f>HYPERLINK("3\1\marker_888_654649.png", "Ver Imagen")</f>
        <v>Ver Imagen</v>
      </c>
      <c r="P3814" t="str">
        <f>HYPERLINK("SE\A-497_2C\A-497_2C__40.png", "Ver Imagen")</f>
        <v>Ver Imagen</v>
      </c>
    </row>
    <row r="3815" spans="1:16" x14ac:dyDescent="0.25">
      <c r="A3815">
        <v>3330</v>
      </c>
      <c r="B3815" t="s">
        <v>6671</v>
      </c>
      <c r="C3815">
        <v>37.267777197299999</v>
      </c>
      <c r="D3815">
        <v>-6.9673853233600003</v>
      </c>
      <c r="E3815">
        <v>4</v>
      </c>
      <c r="F3815">
        <v>3</v>
      </c>
      <c r="G3815">
        <v>3</v>
      </c>
      <c r="J3815" t="s">
        <v>15</v>
      </c>
      <c r="K3815">
        <v>3</v>
      </c>
      <c r="L3815">
        <v>3.2189999999999999</v>
      </c>
      <c r="M3815">
        <v>0</v>
      </c>
      <c r="N3815" t="s">
        <v>10019</v>
      </c>
      <c r="O3815" t="str">
        <f>HYPERLINK("3\1\marker_211_654657.png", "Ver Imagen")</f>
        <v>Ver Imagen</v>
      </c>
      <c r="P3815" t="str">
        <f>HYPERLINK("SE\A-497_2C\A-497_2C__41.png", "Ver Imagen")</f>
        <v>Ver Imagen</v>
      </c>
    </row>
    <row r="3816" spans="1:16" x14ac:dyDescent="0.25">
      <c r="A3816">
        <v>3331</v>
      </c>
      <c r="B3816" t="s">
        <v>6673</v>
      </c>
      <c r="C3816">
        <v>37.267790315900001</v>
      </c>
      <c r="D3816">
        <v>-6.9675738089000001</v>
      </c>
      <c r="E3816">
        <v>4</v>
      </c>
      <c r="F3816">
        <v>3</v>
      </c>
      <c r="G3816">
        <v>3</v>
      </c>
      <c r="J3816" t="s">
        <v>15</v>
      </c>
      <c r="K3816">
        <v>3</v>
      </c>
      <c r="L3816">
        <v>2.9950000000000001</v>
      </c>
      <c r="M3816">
        <v>0</v>
      </c>
      <c r="N3816" t="s">
        <v>10019</v>
      </c>
      <c r="O3816" t="str">
        <f>HYPERLINK("3\1\marker_388_654665.png", "Ver Imagen")</f>
        <v>Ver Imagen</v>
      </c>
      <c r="P3816" t="str">
        <f>HYPERLINK("SE\A-497_2C\A-497_2C__42.png", "Ver Imagen")</f>
        <v>Ver Imagen</v>
      </c>
    </row>
    <row r="3817" spans="1:16" x14ac:dyDescent="0.25">
      <c r="A3817">
        <v>3332</v>
      </c>
      <c r="B3817" t="s">
        <v>6675</v>
      </c>
      <c r="C3817">
        <v>37.267884297400002</v>
      </c>
      <c r="D3817">
        <v>-6.9686450340199997</v>
      </c>
      <c r="E3817">
        <v>4</v>
      </c>
      <c r="F3817">
        <v>3</v>
      </c>
      <c r="G3817">
        <v>3</v>
      </c>
      <c r="J3817" t="s">
        <v>15</v>
      </c>
      <c r="K3817">
        <v>3</v>
      </c>
      <c r="L3817">
        <v>2.8290000000000002</v>
      </c>
      <c r="M3817">
        <v>0</v>
      </c>
      <c r="N3817" t="s">
        <v>10019</v>
      </c>
      <c r="O3817" t="str">
        <f>HYPERLINK("3\1\marker_865_654700.png", "Ver Imagen")</f>
        <v>Ver Imagen</v>
      </c>
      <c r="P3817" t="str">
        <f>HYPERLINK("SE\A-497_2C\A-497_2C__46.png", "Ver Imagen")</f>
        <v>Ver Imagen</v>
      </c>
    </row>
    <row r="3818" spans="1:16" x14ac:dyDescent="0.25">
      <c r="A3818">
        <v>3333</v>
      </c>
      <c r="B3818" t="s">
        <v>6677</v>
      </c>
      <c r="C3818">
        <v>37.267930733100002</v>
      </c>
      <c r="D3818">
        <v>-6.9691336885900004</v>
      </c>
      <c r="E3818">
        <v>4</v>
      </c>
      <c r="F3818">
        <v>3</v>
      </c>
      <c r="G3818">
        <v>3</v>
      </c>
      <c r="J3818" t="s">
        <v>15</v>
      </c>
      <c r="K3818">
        <v>3</v>
      </c>
      <c r="L3818">
        <v>3.319</v>
      </c>
      <c r="M3818">
        <v>0</v>
      </c>
      <c r="N3818" t="s">
        <v>10018</v>
      </c>
      <c r="O3818" t="str">
        <f>HYPERLINK("3\1\marker_515_654716.png", "Ver Imagen")</f>
        <v>Ver Imagen</v>
      </c>
      <c r="P3818" t="str">
        <f>HYPERLINK("SE\A-497_2C\A-497_2C__48.png", "Ver Imagen")</f>
        <v>Ver Imagen</v>
      </c>
    </row>
    <row r="3819" spans="1:16" x14ac:dyDescent="0.25">
      <c r="A3819">
        <v>3334</v>
      </c>
      <c r="B3819" t="s">
        <v>6679</v>
      </c>
      <c r="C3819">
        <v>37.267958054700003</v>
      </c>
      <c r="D3819">
        <v>-6.9693953784999998</v>
      </c>
      <c r="E3819">
        <v>4</v>
      </c>
      <c r="F3819">
        <v>3</v>
      </c>
      <c r="G3819">
        <v>3</v>
      </c>
      <c r="J3819" t="s">
        <v>15</v>
      </c>
      <c r="K3819">
        <v>3</v>
      </c>
      <c r="L3819">
        <v>3.1960000000000002</v>
      </c>
      <c r="M3819">
        <v>0</v>
      </c>
      <c r="N3819" t="s">
        <v>10019</v>
      </c>
      <c r="O3819" t="str">
        <f>HYPERLINK("3\1\marker_550_654725.png", "Ver Imagen")</f>
        <v>Ver Imagen</v>
      </c>
      <c r="P3819" t="str">
        <f>HYPERLINK("SE\A-497_2C\A-497_2C__49.png", "Ver Imagen")</f>
        <v>Ver Imagen</v>
      </c>
    </row>
    <row r="3820" spans="1:16" x14ac:dyDescent="0.25">
      <c r="A3820">
        <v>3335</v>
      </c>
      <c r="B3820" t="s">
        <v>6681</v>
      </c>
      <c r="C3820">
        <v>37.268105958500001</v>
      </c>
      <c r="D3820">
        <v>-6.9706401742399997</v>
      </c>
      <c r="E3820">
        <v>2</v>
      </c>
      <c r="F3820">
        <v>3</v>
      </c>
      <c r="G3820">
        <v>3</v>
      </c>
      <c r="J3820" t="s">
        <v>15</v>
      </c>
      <c r="K3820">
        <v>3</v>
      </c>
      <c r="L3820">
        <v>2.8330000000000002</v>
      </c>
      <c r="M3820">
        <v>0</v>
      </c>
      <c r="N3820" t="s">
        <v>10017</v>
      </c>
      <c r="O3820" t="str">
        <f>HYPERLINK("3\1\marker_529_654795.png", "Ver Imagen")</f>
        <v>Ver Imagen</v>
      </c>
      <c r="P3820" t="str">
        <f>HYPERLINK("SE\A-497_2C\A-497_2C__54.png", "Ver Imagen")</f>
        <v>Ver Imagen</v>
      </c>
    </row>
    <row r="3821" spans="1:16" x14ac:dyDescent="0.25">
      <c r="A3821">
        <v>3336</v>
      </c>
      <c r="B3821" t="s">
        <v>6683</v>
      </c>
      <c r="C3821">
        <v>37.268288927</v>
      </c>
      <c r="D3821">
        <v>-6.9718896384200004</v>
      </c>
      <c r="E3821">
        <v>3</v>
      </c>
      <c r="F3821">
        <v>3</v>
      </c>
      <c r="G3821">
        <v>2</v>
      </c>
      <c r="J3821" t="s">
        <v>15</v>
      </c>
      <c r="K3821">
        <v>3</v>
      </c>
      <c r="L3821">
        <v>2.9849999999999999</v>
      </c>
      <c r="M3821">
        <v>0</v>
      </c>
      <c r="N3821" t="s">
        <v>10019</v>
      </c>
      <c r="O3821" t="str">
        <f>HYPERLINK("3\1\marker_395_654864.png", "Ver Imagen")</f>
        <v>Ver Imagen</v>
      </c>
      <c r="P3821" t="str">
        <f>HYPERLINK("SE\A-497_2C\A-497_2C__59.png", "Ver Imagen")</f>
        <v>Ver Imagen</v>
      </c>
    </row>
    <row r="3822" spans="1:16" x14ac:dyDescent="0.25">
      <c r="A3822">
        <v>3337</v>
      </c>
      <c r="B3822" t="s">
        <v>6685</v>
      </c>
      <c r="C3822">
        <v>37.268370393399998</v>
      </c>
      <c r="D3822">
        <v>-6.9723686273599998</v>
      </c>
      <c r="E3822">
        <v>4</v>
      </c>
      <c r="F3822">
        <v>3</v>
      </c>
      <c r="G3822">
        <v>3</v>
      </c>
      <c r="J3822" t="s">
        <v>15</v>
      </c>
      <c r="K3822">
        <v>3</v>
      </c>
      <c r="L3822">
        <v>3.0150000000000001</v>
      </c>
      <c r="M3822">
        <v>0</v>
      </c>
      <c r="N3822" t="s">
        <v>10019</v>
      </c>
      <c r="O3822" t="str">
        <f>HYPERLINK("3\1\marker_327_654884.png", "Ver Imagen")</f>
        <v>Ver Imagen</v>
      </c>
      <c r="P3822" t="str">
        <f>HYPERLINK("SE\A-497_2C\A-497_2C__61.png", "Ver Imagen")</f>
        <v>Ver Imagen</v>
      </c>
    </row>
    <row r="3823" spans="1:16" x14ac:dyDescent="0.25">
      <c r="A3823">
        <v>3338</v>
      </c>
      <c r="B3823" t="s">
        <v>6687</v>
      </c>
      <c r="C3823">
        <v>37.268415628200003</v>
      </c>
      <c r="D3823">
        <v>-6.9726238561700002</v>
      </c>
      <c r="E3823">
        <v>3</v>
      </c>
      <c r="F3823">
        <v>3</v>
      </c>
      <c r="G3823">
        <v>2</v>
      </c>
      <c r="J3823" t="s">
        <v>15</v>
      </c>
      <c r="K3823">
        <v>3</v>
      </c>
      <c r="L3823">
        <v>2.9489999999999998</v>
      </c>
      <c r="M3823">
        <v>0</v>
      </c>
      <c r="N3823" t="s">
        <v>10018</v>
      </c>
      <c r="O3823" t="str">
        <f>HYPERLINK("3\1\marker_539_654893.png", "Ver Imagen")</f>
        <v>Ver Imagen</v>
      </c>
      <c r="P3823" t="str">
        <f>HYPERLINK("SE\A-497_2C\A-497_2C__62.png", "Ver Imagen")</f>
        <v>Ver Imagen</v>
      </c>
    </row>
    <row r="3824" spans="1:16" x14ac:dyDescent="0.25">
      <c r="A3824">
        <v>3339</v>
      </c>
      <c r="B3824" t="s">
        <v>6689</v>
      </c>
      <c r="C3824">
        <v>37.268512202300002</v>
      </c>
      <c r="D3824">
        <v>-6.9731424298600002</v>
      </c>
      <c r="E3824">
        <v>4</v>
      </c>
      <c r="F3824">
        <v>3</v>
      </c>
      <c r="G3824">
        <v>3</v>
      </c>
      <c r="J3824" t="s">
        <v>15</v>
      </c>
      <c r="K3824">
        <v>3</v>
      </c>
      <c r="L3824">
        <v>3.069</v>
      </c>
      <c r="M3824">
        <v>0</v>
      </c>
      <c r="N3824" t="s">
        <v>10019</v>
      </c>
      <c r="O3824" t="str">
        <f>HYPERLINK("3\1\marker_985_654911.png", "Ver Imagen")</f>
        <v>Ver Imagen</v>
      </c>
      <c r="P3824" t="str">
        <f>HYPERLINK("SE\A-497_2C\A-497_2C__64.png", "Ver Imagen")</f>
        <v>Ver Imagen</v>
      </c>
    </row>
    <row r="3825" spans="1:16" x14ac:dyDescent="0.25">
      <c r="A3825">
        <v>3340</v>
      </c>
      <c r="B3825" t="s">
        <v>6691</v>
      </c>
      <c r="C3825">
        <v>37.2685523747</v>
      </c>
      <c r="D3825">
        <v>-6.9733502559999998</v>
      </c>
      <c r="E3825">
        <v>2</v>
      </c>
      <c r="F3825">
        <v>3</v>
      </c>
      <c r="G3825">
        <v>3</v>
      </c>
      <c r="J3825" t="s">
        <v>15</v>
      </c>
      <c r="K3825">
        <v>3</v>
      </c>
      <c r="L3825">
        <v>3.1059999999999999</v>
      </c>
      <c r="M3825">
        <v>0</v>
      </c>
      <c r="N3825" t="s">
        <v>10017</v>
      </c>
      <c r="O3825" t="str">
        <f>HYPERLINK("3\1\marker_504_654920.png", "Ver Imagen")</f>
        <v>Ver Imagen</v>
      </c>
      <c r="P3825" t="str">
        <f>HYPERLINK("SE\A-497_2C\A-497_2C__65.png", "Ver Imagen")</f>
        <v>Ver Imagen</v>
      </c>
    </row>
    <row r="3826" spans="1:16" x14ac:dyDescent="0.25">
      <c r="A3826">
        <v>3341</v>
      </c>
      <c r="B3826" t="s">
        <v>6693</v>
      </c>
      <c r="C3826">
        <v>37.269092229500004</v>
      </c>
      <c r="D3826">
        <v>-6.9757886573199999</v>
      </c>
      <c r="E3826">
        <v>4</v>
      </c>
      <c r="F3826">
        <v>3</v>
      </c>
      <c r="G3826">
        <v>3</v>
      </c>
      <c r="J3826" t="s">
        <v>15</v>
      </c>
      <c r="K3826">
        <v>3</v>
      </c>
      <c r="L3826">
        <v>2.9620000000000002</v>
      </c>
      <c r="M3826">
        <v>0</v>
      </c>
      <c r="N3826" t="s">
        <v>10018</v>
      </c>
      <c r="O3826" t="str">
        <f>HYPERLINK("3\1\marker_709_655083.png", "Ver Imagen")</f>
        <v>Ver Imagen</v>
      </c>
      <c r="P3826" t="str">
        <f>HYPERLINK("SE\A-497_2C\A-497_2C__75.png", "Ver Imagen")</f>
        <v>Ver Imagen</v>
      </c>
    </row>
    <row r="3827" spans="1:16" x14ac:dyDescent="0.25">
      <c r="A3827">
        <v>3342</v>
      </c>
      <c r="B3827" t="s">
        <v>6695</v>
      </c>
      <c r="C3827">
        <v>37.269158217899999</v>
      </c>
      <c r="D3827">
        <v>-6.9760458727100003</v>
      </c>
      <c r="E3827">
        <v>4</v>
      </c>
      <c r="F3827">
        <v>3</v>
      </c>
      <c r="G3827">
        <v>3</v>
      </c>
      <c r="J3827" t="s">
        <v>15</v>
      </c>
      <c r="K3827">
        <v>3</v>
      </c>
      <c r="L3827">
        <v>3.0169999999999999</v>
      </c>
      <c r="M3827">
        <v>0</v>
      </c>
      <c r="N3827" t="s">
        <v>10019</v>
      </c>
      <c r="O3827" t="str">
        <f>HYPERLINK("3\1\marker_764_655091.png", "Ver Imagen")</f>
        <v>Ver Imagen</v>
      </c>
      <c r="P3827" t="str">
        <f>HYPERLINK("SE\A-497_2C\A-497_2C__76.png", "Ver Imagen")</f>
        <v>Ver Imagen</v>
      </c>
    </row>
    <row r="3828" spans="1:16" x14ac:dyDescent="0.25">
      <c r="A3828">
        <v>3343</v>
      </c>
      <c r="B3828" t="s">
        <v>6697</v>
      </c>
      <c r="C3828">
        <v>37.269219509800003</v>
      </c>
      <c r="D3828">
        <v>-6.9762806148100003</v>
      </c>
      <c r="E3828">
        <v>4</v>
      </c>
      <c r="F3828">
        <v>3</v>
      </c>
      <c r="G3828">
        <v>3</v>
      </c>
      <c r="J3828" t="s">
        <v>15</v>
      </c>
      <c r="K3828">
        <v>3</v>
      </c>
      <c r="L3828">
        <v>2.9910000000000001</v>
      </c>
      <c r="M3828">
        <v>0</v>
      </c>
      <c r="N3828" t="s">
        <v>10019</v>
      </c>
      <c r="O3828" t="str">
        <f>HYPERLINK("3\1\marker_986_655099.png", "Ver Imagen")</f>
        <v>Ver Imagen</v>
      </c>
      <c r="P3828" t="str">
        <f>HYPERLINK("SE\A-497_2C\A-497_2C__77.png", "Ver Imagen")</f>
        <v>Ver Imagen</v>
      </c>
    </row>
    <row r="3829" spans="1:16" x14ac:dyDescent="0.25">
      <c r="A3829">
        <v>3344</v>
      </c>
      <c r="B3829" t="s">
        <v>6699</v>
      </c>
      <c r="C3829">
        <v>37.269478402200001</v>
      </c>
      <c r="D3829">
        <v>-6.9772142061300002</v>
      </c>
      <c r="E3829">
        <v>2</v>
      </c>
      <c r="F3829">
        <v>3</v>
      </c>
      <c r="G3829">
        <v>3</v>
      </c>
      <c r="J3829" t="s">
        <v>15</v>
      </c>
      <c r="K3829">
        <v>3</v>
      </c>
      <c r="L3829">
        <v>3.036</v>
      </c>
      <c r="M3829">
        <v>0</v>
      </c>
      <c r="N3829" t="s">
        <v>10019</v>
      </c>
      <c r="O3829" t="str">
        <f>HYPERLINK("3\1\marker_497_655139.png", "Ver Imagen")</f>
        <v>Ver Imagen</v>
      </c>
      <c r="P3829" t="str">
        <f>HYPERLINK("SE\A-497_2C\A-497_2C__81.png", "Ver Imagen")</f>
        <v>Ver Imagen</v>
      </c>
    </row>
    <row r="3830" spans="1:16" x14ac:dyDescent="0.25">
      <c r="A3830">
        <v>3345</v>
      </c>
      <c r="B3830" t="s">
        <v>6701</v>
      </c>
      <c r="C3830">
        <v>37.269894857300002</v>
      </c>
      <c r="D3830">
        <v>-6.9786772808600004</v>
      </c>
      <c r="E3830">
        <v>4</v>
      </c>
      <c r="F3830">
        <v>3</v>
      </c>
      <c r="G3830">
        <v>3</v>
      </c>
      <c r="J3830" t="s">
        <v>15</v>
      </c>
      <c r="K3830">
        <v>3</v>
      </c>
      <c r="L3830">
        <v>3.145</v>
      </c>
      <c r="M3830">
        <v>0</v>
      </c>
      <c r="N3830" t="s">
        <v>10019</v>
      </c>
      <c r="O3830" t="str">
        <f>HYPERLINK("3\1\marker_454_655233.png", "Ver Imagen")</f>
        <v>Ver Imagen</v>
      </c>
      <c r="P3830" t="str">
        <f>HYPERLINK("SE\A-497_2C\A-497_2C__87.png", "Ver Imagen")</f>
        <v>Ver Imagen</v>
      </c>
    </row>
    <row r="3831" spans="1:16" x14ac:dyDescent="0.25">
      <c r="A3831">
        <v>3346</v>
      </c>
      <c r="B3831" t="s">
        <v>6703</v>
      </c>
      <c r="C3831">
        <v>37.270036315500001</v>
      </c>
      <c r="D3831">
        <v>-6.97916846704</v>
      </c>
      <c r="E3831">
        <v>4</v>
      </c>
      <c r="F3831">
        <v>3</v>
      </c>
      <c r="G3831">
        <v>3</v>
      </c>
      <c r="J3831" t="s">
        <v>15</v>
      </c>
      <c r="K3831">
        <v>3</v>
      </c>
      <c r="L3831">
        <v>2.911</v>
      </c>
      <c r="M3831">
        <v>0</v>
      </c>
      <c r="N3831" t="s">
        <v>10019</v>
      </c>
      <c r="O3831" t="str">
        <f>HYPERLINK("3\1\marker_175_655271.png", "Ver Imagen")</f>
        <v>Ver Imagen</v>
      </c>
      <c r="P3831" t="str">
        <f>HYPERLINK("SE\A-497_2C\A-497_2C__89.png", "Ver Imagen")</f>
        <v>Ver Imagen</v>
      </c>
    </row>
    <row r="3832" spans="1:16" x14ac:dyDescent="0.25">
      <c r="A3832">
        <v>3347</v>
      </c>
      <c r="B3832" t="s">
        <v>6705</v>
      </c>
      <c r="C3832">
        <v>37.2700979719</v>
      </c>
      <c r="D3832">
        <v>-6.9793829608099998</v>
      </c>
      <c r="E3832">
        <v>4</v>
      </c>
      <c r="F3832">
        <v>3</v>
      </c>
      <c r="G3832">
        <v>3</v>
      </c>
      <c r="J3832" t="s">
        <v>15</v>
      </c>
      <c r="K3832">
        <v>3</v>
      </c>
      <c r="L3832">
        <v>3.0859999999999999</v>
      </c>
      <c r="M3832">
        <v>0</v>
      </c>
      <c r="N3832" t="s">
        <v>10017</v>
      </c>
      <c r="O3832" t="str">
        <f>HYPERLINK("3\1\marker_248_655280.png", "Ver Imagen")</f>
        <v>Ver Imagen</v>
      </c>
      <c r="P3832" t="str">
        <f>HYPERLINK("SE\A-497_2C\A-497_2C__90.png", "Ver Imagen")</f>
        <v>Ver Imagen</v>
      </c>
    </row>
    <row r="3833" spans="1:16" x14ac:dyDescent="0.25">
      <c r="A3833">
        <v>3348</v>
      </c>
      <c r="B3833" t="s">
        <v>6707</v>
      </c>
      <c r="C3833">
        <v>37.270163306800001</v>
      </c>
      <c r="D3833">
        <v>-6.9796109525299999</v>
      </c>
      <c r="E3833">
        <v>4</v>
      </c>
      <c r="F3833">
        <v>3</v>
      </c>
      <c r="G3833">
        <v>3</v>
      </c>
      <c r="J3833" t="s">
        <v>15</v>
      </c>
      <c r="K3833">
        <v>3</v>
      </c>
      <c r="L3833">
        <v>3.02</v>
      </c>
      <c r="M3833">
        <v>0</v>
      </c>
      <c r="N3833" t="s">
        <v>10019</v>
      </c>
      <c r="O3833" t="str">
        <f>HYPERLINK("3\1\marker_829_655291.png", "Ver Imagen")</f>
        <v>Ver Imagen</v>
      </c>
      <c r="P3833" t="str">
        <f>HYPERLINK("SE\A-497_2C\A-497_2C__91.png", "Ver Imagen")</f>
        <v>Ver Imagen</v>
      </c>
    </row>
    <row r="3834" spans="1:16" x14ac:dyDescent="0.25">
      <c r="A3834">
        <v>3349</v>
      </c>
      <c r="B3834" t="s">
        <v>6709</v>
      </c>
      <c r="C3834">
        <v>37.2709260771</v>
      </c>
      <c r="D3834">
        <v>-6.9822595443199997</v>
      </c>
      <c r="E3834">
        <v>2</v>
      </c>
      <c r="F3834">
        <v>3</v>
      </c>
      <c r="G3834">
        <v>3</v>
      </c>
      <c r="J3834" t="s">
        <v>15</v>
      </c>
      <c r="K3834">
        <v>3</v>
      </c>
      <c r="L3834">
        <v>3.2029999999999998</v>
      </c>
      <c r="M3834">
        <v>0</v>
      </c>
      <c r="N3834" t="s">
        <v>10018</v>
      </c>
      <c r="O3834" t="str">
        <f>HYPERLINK("3\1\marker_750_655460.png", "Ver Imagen")</f>
        <v>Ver Imagen</v>
      </c>
      <c r="P3834" t="str">
        <f>HYPERLINK("SE\A-497_2C\A-497_2C__102.png", "Ver Imagen")</f>
        <v>Ver Imagen</v>
      </c>
    </row>
    <row r="3835" spans="1:16" x14ac:dyDescent="0.25">
      <c r="A3835">
        <v>3350</v>
      </c>
      <c r="B3835" t="s">
        <v>6711</v>
      </c>
      <c r="C3835">
        <v>37.271063947000002</v>
      </c>
      <c r="D3835">
        <v>-6.9827385261400003</v>
      </c>
      <c r="E3835">
        <v>3</v>
      </c>
      <c r="F3835">
        <v>3</v>
      </c>
      <c r="G3835">
        <v>4</v>
      </c>
      <c r="J3835" t="s">
        <v>15</v>
      </c>
      <c r="K3835">
        <v>3</v>
      </c>
      <c r="L3835">
        <v>2.9849999999999999</v>
      </c>
      <c r="M3835">
        <v>0</v>
      </c>
      <c r="N3835" t="s">
        <v>10019</v>
      </c>
      <c r="O3835" t="str">
        <f>HYPERLINK("3\1\marker_336_655478.png", "Ver Imagen")</f>
        <v>Ver Imagen</v>
      </c>
      <c r="P3835" t="str">
        <f>HYPERLINK("SE\A-497_2C\A-497_2C__104.png", "Ver Imagen")</f>
        <v>Ver Imagen</v>
      </c>
    </row>
    <row r="3836" spans="1:16" x14ac:dyDescent="0.25">
      <c r="A3836">
        <v>3351</v>
      </c>
      <c r="B3836" t="s">
        <v>6713</v>
      </c>
      <c r="C3836">
        <v>37.271127952599997</v>
      </c>
      <c r="D3836">
        <v>-6.9829598600800002</v>
      </c>
      <c r="E3836">
        <v>4</v>
      </c>
      <c r="F3836">
        <v>3</v>
      </c>
      <c r="G3836">
        <v>3</v>
      </c>
      <c r="J3836" t="s">
        <v>15</v>
      </c>
      <c r="K3836">
        <v>3</v>
      </c>
      <c r="L3836">
        <v>2.726</v>
      </c>
      <c r="M3836">
        <v>0</v>
      </c>
      <c r="N3836" t="s">
        <v>10019</v>
      </c>
      <c r="O3836" t="str">
        <f>HYPERLINK("3\1\marker_899_655488.png", "Ver Imagen")</f>
        <v>Ver Imagen</v>
      </c>
      <c r="P3836" t="str">
        <f>HYPERLINK("SE\A-497_2C\A-497_2C__105.png", "Ver Imagen")</f>
        <v>Ver Imagen</v>
      </c>
    </row>
    <row r="3837" spans="1:16" x14ac:dyDescent="0.25">
      <c r="A3837">
        <v>3352</v>
      </c>
      <c r="B3837" t="s">
        <v>6715</v>
      </c>
      <c r="C3837">
        <v>37.271476575199998</v>
      </c>
      <c r="D3837">
        <v>-6.9841784343500004</v>
      </c>
      <c r="E3837">
        <v>3</v>
      </c>
      <c r="F3837">
        <v>3</v>
      </c>
      <c r="G3837">
        <v>2</v>
      </c>
      <c r="J3837" t="s">
        <v>15</v>
      </c>
      <c r="K3837">
        <v>3</v>
      </c>
      <c r="L3837">
        <v>2.7829999999999999</v>
      </c>
      <c r="M3837">
        <v>0</v>
      </c>
      <c r="N3837" t="s">
        <v>10019</v>
      </c>
      <c r="O3837" t="str">
        <f>HYPERLINK("3\1\marker_777_655535.png", "Ver Imagen")</f>
        <v>Ver Imagen</v>
      </c>
      <c r="P3837" t="str">
        <f>HYPERLINK("SE\A-497_2C\A-497_2C__110.png", "Ver Imagen")</f>
        <v>Ver Imagen</v>
      </c>
    </row>
    <row r="3838" spans="1:16" x14ac:dyDescent="0.25">
      <c r="A3838">
        <v>3354</v>
      </c>
      <c r="B3838" t="s">
        <v>6719</v>
      </c>
      <c r="C3838">
        <v>37.271709819999998</v>
      </c>
      <c r="D3838">
        <v>-6.9851247164199997</v>
      </c>
      <c r="E3838">
        <v>3</v>
      </c>
      <c r="F3838">
        <v>3</v>
      </c>
      <c r="G3838">
        <v>2</v>
      </c>
      <c r="J3838" t="s">
        <v>15</v>
      </c>
      <c r="K3838">
        <v>3</v>
      </c>
      <c r="L3838">
        <v>2.7349999999999999</v>
      </c>
      <c r="M3838">
        <v>0</v>
      </c>
      <c r="N3838" t="s">
        <v>10019</v>
      </c>
      <c r="O3838" t="str">
        <f>HYPERLINK("3\1\marker_838_655626.png", "Ver Imagen")</f>
        <v>Ver Imagen</v>
      </c>
      <c r="P3838" t="str">
        <f>HYPERLINK("SE\A-497_2C\A-497_2C__114.png", "Ver Imagen")</f>
        <v>Ver Imagen</v>
      </c>
    </row>
    <row r="3839" spans="1:16" x14ac:dyDescent="0.25">
      <c r="A3839">
        <v>3355</v>
      </c>
      <c r="B3839" t="s">
        <v>6721</v>
      </c>
      <c r="C3839">
        <v>37.271759960600001</v>
      </c>
      <c r="D3839">
        <v>-6.9853855917400001</v>
      </c>
      <c r="E3839">
        <v>3</v>
      </c>
      <c r="F3839">
        <v>3</v>
      </c>
      <c r="G3839">
        <v>2</v>
      </c>
      <c r="J3839" t="s">
        <v>15</v>
      </c>
      <c r="K3839">
        <v>3</v>
      </c>
      <c r="L3839">
        <v>2.629</v>
      </c>
      <c r="M3839">
        <v>0</v>
      </c>
      <c r="N3839" t="s">
        <v>10019</v>
      </c>
      <c r="O3839" t="str">
        <f>HYPERLINK("3\1\marker_352_655635.png", "Ver Imagen")</f>
        <v>Ver Imagen</v>
      </c>
      <c r="P3839" t="str">
        <f>HYPERLINK("SE\A-497_2C\A-497_2C__115.png", "Ver Imagen")</f>
        <v>Ver Imagen</v>
      </c>
    </row>
    <row r="3840" spans="1:16" x14ac:dyDescent="0.25">
      <c r="A3840">
        <v>3356</v>
      </c>
      <c r="B3840" t="s">
        <v>6723</v>
      </c>
      <c r="C3840">
        <v>37.271849381199999</v>
      </c>
      <c r="D3840">
        <v>-6.9861451366100003</v>
      </c>
      <c r="E3840">
        <v>2</v>
      </c>
      <c r="F3840">
        <v>3</v>
      </c>
      <c r="G3840">
        <v>3</v>
      </c>
      <c r="J3840" t="s">
        <v>15</v>
      </c>
      <c r="K3840">
        <v>3</v>
      </c>
      <c r="L3840">
        <v>2.7879999999999998</v>
      </c>
      <c r="M3840">
        <v>0</v>
      </c>
      <c r="N3840" t="s">
        <v>10019</v>
      </c>
      <c r="O3840" t="str">
        <f>HYPERLINK("3\1\marker_195_655664.png", "Ver Imagen")</f>
        <v>Ver Imagen</v>
      </c>
      <c r="P3840" t="str">
        <f>HYPERLINK("SE\A-497_2C\A-497_2C__118.png", "Ver Imagen")</f>
        <v>Ver Imagen</v>
      </c>
    </row>
    <row r="3841" spans="1:16" x14ac:dyDescent="0.25">
      <c r="A3841">
        <v>3357</v>
      </c>
      <c r="B3841" t="s">
        <v>6725</v>
      </c>
      <c r="C3841">
        <v>37.271847565100003</v>
      </c>
      <c r="D3841">
        <v>-6.9866712406999998</v>
      </c>
      <c r="E3841">
        <v>3</v>
      </c>
      <c r="F3841">
        <v>3</v>
      </c>
      <c r="G3841">
        <v>2</v>
      </c>
      <c r="J3841" t="s">
        <v>15</v>
      </c>
      <c r="K3841">
        <v>3</v>
      </c>
      <c r="L3841">
        <v>2.6459999999999999</v>
      </c>
      <c r="M3841">
        <v>0</v>
      </c>
      <c r="N3841" t="s">
        <v>10019</v>
      </c>
      <c r="O3841" t="str">
        <f>HYPERLINK("3\1\marker_603_655682.png", "Ver Imagen")</f>
        <v>Ver Imagen</v>
      </c>
      <c r="P3841" t="str">
        <f>HYPERLINK("SE\A-497_2C\A-497_2C__120.png", "Ver Imagen")</f>
        <v>Ver Imagen</v>
      </c>
    </row>
    <row r="3842" spans="1:16" x14ac:dyDescent="0.25">
      <c r="A3842">
        <v>3358</v>
      </c>
      <c r="B3842" t="s">
        <v>6727</v>
      </c>
      <c r="C3842">
        <v>37.269953748399999</v>
      </c>
      <c r="D3842">
        <v>-6.9896785456200003</v>
      </c>
      <c r="E3842">
        <v>2</v>
      </c>
      <c r="F3842">
        <v>3</v>
      </c>
      <c r="G3842">
        <v>3</v>
      </c>
      <c r="J3842" t="s">
        <v>15</v>
      </c>
      <c r="K3842">
        <v>3</v>
      </c>
      <c r="L3842">
        <v>2.9529999999999998</v>
      </c>
      <c r="M3842">
        <v>0</v>
      </c>
      <c r="N3842" t="s">
        <v>10017</v>
      </c>
      <c r="O3842" t="str">
        <f>HYPERLINK("3\1\marker_745_655830.png", "Ver Imagen")</f>
        <v>Ver Imagen</v>
      </c>
      <c r="P3842" t="str">
        <f>HYPERLINK("SE\A-497_2C\A-497_2C__136.png", "Ver Imagen")</f>
        <v>Ver Imagen</v>
      </c>
    </row>
    <row r="3843" spans="1:16" x14ac:dyDescent="0.25">
      <c r="A3843">
        <v>3359</v>
      </c>
      <c r="B3843" t="s">
        <v>6729</v>
      </c>
      <c r="C3843">
        <v>37.269764327799997</v>
      </c>
      <c r="D3843">
        <v>-6.9898107015499997</v>
      </c>
      <c r="E3843">
        <v>2</v>
      </c>
      <c r="F3843">
        <v>3</v>
      </c>
      <c r="G3843">
        <v>3</v>
      </c>
      <c r="J3843" t="s">
        <v>15</v>
      </c>
      <c r="K3843">
        <v>3</v>
      </c>
      <c r="L3843">
        <v>2.7650000000000001</v>
      </c>
      <c r="M3843">
        <v>0</v>
      </c>
      <c r="N3843" t="s">
        <v>10019</v>
      </c>
      <c r="O3843" t="str">
        <f>HYPERLINK("3\1\marker_359_655842.png", "Ver Imagen")</f>
        <v>Ver Imagen</v>
      </c>
      <c r="P3843" t="str">
        <f>HYPERLINK("SE\A-497_2C\A-497_2C__137.png", "Ver Imagen")</f>
        <v>Ver Imagen</v>
      </c>
    </row>
    <row r="3844" spans="1:16" x14ac:dyDescent="0.25">
      <c r="A3844">
        <v>3360</v>
      </c>
      <c r="B3844" t="s">
        <v>6731</v>
      </c>
      <c r="C3844">
        <v>37.2694114942</v>
      </c>
      <c r="D3844">
        <v>-6.9900588904200003</v>
      </c>
      <c r="E3844">
        <v>2</v>
      </c>
      <c r="F3844">
        <v>3</v>
      </c>
      <c r="G3844">
        <v>3</v>
      </c>
      <c r="J3844" t="s">
        <v>15</v>
      </c>
      <c r="K3844">
        <v>3</v>
      </c>
      <c r="L3844">
        <v>2.8250000000000002</v>
      </c>
      <c r="M3844">
        <v>0</v>
      </c>
      <c r="N3844" t="s">
        <v>10019</v>
      </c>
      <c r="O3844" t="str">
        <f>HYPERLINK("3\1\marker_498_655864.png", "Ver Imagen")</f>
        <v>Ver Imagen</v>
      </c>
      <c r="P3844" t="str">
        <f>HYPERLINK("SE\A-497_2C\A-497_2C__139.png", "Ver Imagen")</f>
        <v>Ver Imagen</v>
      </c>
    </row>
    <row r="3845" spans="1:16" x14ac:dyDescent="0.25">
      <c r="A3845">
        <v>3361</v>
      </c>
      <c r="B3845" t="s">
        <v>6733</v>
      </c>
      <c r="C3845">
        <v>37.269069610000003</v>
      </c>
      <c r="D3845">
        <v>-6.9903030632899998</v>
      </c>
      <c r="E3845">
        <v>3</v>
      </c>
      <c r="F3845">
        <v>3</v>
      </c>
      <c r="G3845">
        <v>2</v>
      </c>
      <c r="J3845" t="s">
        <v>15</v>
      </c>
      <c r="K3845">
        <v>3</v>
      </c>
      <c r="L3845">
        <v>2.74</v>
      </c>
      <c r="M3845">
        <v>0</v>
      </c>
      <c r="N3845" t="s">
        <v>10019</v>
      </c>
      <c r="O3845" t="str">
        <f>HYPERLINK("3\1\marker_674_655881.png", "Ver Imagen")</f>
        <v>Ver Imagen</v>
      </c>
      <c r="P3845" t="str">
        <f>HYPERLINK("SE\A-497_2C\A-497_2C__141.png", "Ver Imagen")</f>
        <v>Ver Imagen</v>
      </c>
    </row>
    <row r="3846" spans="1:16" x14ac:dyDescent="0.25">
      <c r="A3846">
        <v>3362</v>
      </c>
      <c r="B3846" t="s">
        <v>6735</v>
      </c>
      <c r="C3846">
        <v>37.267820947799997</v>
      </c>
      <c r="D3846">
        <v>-6.9911829070999998</v>
      </c>
      <c r="E3846">
        <v>2</v>
      </c>
      <c r="F3846">
        <v>3</v>
      </c>
      <c r="G3846">
        <v>3</v>
      </c>
      <c r="J3846" t="s">
        <v>15</v>
      </c>
      <c r="K3846">
        <v>3</v>
      </c>
      <c r="L3846">
        <v>2.9329999999999998</v>
      </c>
      <c r="M3846">
        <v>0</v>
      </c>
      <c r="N3846" t="s">
        <v>10019</v>
      </c>
      <c r="O3846" t="str">
        <f>HYPERLINK("3\1\marker_319_655956.png", "Ver Imagen")</f>
        <v>Ver Imagen</v>
      </c>
      <c r="P3846" t="str">
        <f>HYPERLINK("SE\A-497_2C\A-497_2C__148.png", "Ver Imagen")</f>
        <v>Ver Imagen</v>
      </c>
    </row>
    <row r="3847" spans="1:16" x14ac:dyDescent="0.25">
      <c r="A3847">
        <v>3363</v>
      </c>
      <c r="B3847" t="s">
        <v>6737</v>
      </c>
      <c r="C3847">
        <v>37.266349378199997</v>
      </c>
      <c r="D3847">
        <v>-6.9928629930800001</v>
      </c>
      <c r="E3847">
        <v>2</v>
      </c>
      <c r="F3847">
        <v>3</v>
      </c>
      <c r="G3847">
        <v>3</v>
      </c>
      <c r="J3847" t="s">
        <v>15</v>
      </c>
      <c r="K3847">
        <v>3</v>
      </c>
      <c r="L3847">
        <v>2.9340000000000002</v>
      </c>
      <c r="M3847">
        <v>0</v>
      </c>
      <c r="N3847" t="s">
        <v>10019</v>
      </c>
      <c r="O3847" t="str">
        <f>HYPERLINK("3\1\marker_933_656086.png", "Ver Imagen")</f>
        <v>Ver Imagen</v>
      </c>
      <c r="P3847" t="str">
        <f>HYPERLINK("SE\A-497_2C\A-497_2C__158.png", "Ver Imagen")</f>
        <v>Ver Imagen</v>
      </c>
    </row>
    <row r="3848" spans="1:16" x14ac:dyDescent="0.25">
      <c r="A3848">
        <v>3364</v>
      </c>
      <c r="B3848" t="s">
        <v>6739</v>
      </c>
      <c r="C3848">
        <v>37.266246655300002</v>
      </c>
      <c r="D3848">
        <v>-6.9930714227699999</v>
      </c>
      <c r="E3848">
        <v>2</v>
      </c>
      <c r="F3848">
        <v>3</v>
      </c>
      <c r="G3848">
        <v>3</v>
      </c>
      <c r="J3848" t="s">
        <v>15</v>
      </c>
      <c r="K3848">
        <v>3</v>
      </c>
      <c r="L3848">
        <v>3.15</v>
      </c>
      <c r="M3848">
        <v>0</v>
      </c>
      <c r="N3848" t="s">
        <v>10019</v>
      </c>
      <c r="O3848" t="str">
        <f>HYPERLINK("3\1\marker_742_656094.png", "Ver Imagen")</f>
        <v>Ver Imagen</v>
      </c>
      <c r="P3848" t="str">
        <f>HYPERLINK("SE\A-497_2C\A-497_2C__159.png", "Ver Imagen")</f>
        <v>Ver Imagen</v>
      </c>
    </row>
    <row r="3849" spans="1:16" x14ac:dyDescent="0.25">
      <c r="A3849">
        <v>3365</v>
      </c>
      <c r="B3849" t="s">
        <v>6741</v>
      </c>
      <c r="C3849">
        <v>37.190363398400002</v>
      </c>
      <c r="D3849">
        <v>-6.9778619807200002</v>
      </c>
      <c r="E3849">
        <v>2</v>
      </c>
      <c r="F3849">
        <v>3</v>
      </c>
      <c r="G3849">
        <v>3</v>
      </c>
      <c r="J3849" t="s">
        <v>15</v>
      </c>
      <c r="K3849">
        <v>3</v>
      </c>
      <c r="L3849">
        <v>2.5990000000000002</v>
      </c>
      <c r="M3849">
        <v>0</v>
      </c>
      <c r="N3849" t="s">
        <v>10019</v>
      </c>
      <c r="O3849" t="str">
        <f>HYPERLINK("3\1\marker_390_368914.png", "Ver Imagen")</f>
        <v>Ver Imagen</v>
      </c>
      <c r="P3849" t="str">
        <f>HYPERLINK("SE\A-497\A-497__733.png", "Ver Imagen")</f>
        <v>Ver Imagen</v>
      </c>
    </row>
    <row r="3850" spans="1:16" x14ac:dyDescent="0.25">
      <c r="A3850">
        <v>3366</v>
      </c>
      <c r="B3850" t="s">
        <v>6743</v>
      </c>
      <c r="C3850">
        <v>37.190606503600002</v>
      </c>
      <c r="D3850">
        <v>-6.9778006216800001</v>
      </c>
      <c r="E3850">
        <v>2</v>
      </c>
      <c r="F3850">
        <v>3</v>
      </c>
      <c r="G3850">
        <v>3</v>
      </c>
      <c r="J3850" t="s">
        <v>15</v>
      </c>
      <c r="K3850">
        <v>3</v>
      </c>
      <c r="L3850">
        <v>2.6659999999999999</v>
      </c>
      <c r="M3850">
        <v>0</v>
      </c>
      <c r="N3850" t="s">
        <v>10019</v>
      </c>
      <c r="O3850" t="str">
        <f>HYPERLINK("3\1\marker_250_368927.png", "Ver Imagen")</f>
        <v>Ver Imagen</v>
      </c>
      <c r="P3850" t="str">
        <f>HYPERLINK("SE\A-497\A-497__732.png", "Ver Imagen")</f>
        <v>Ver Imagen</v>
      </c>
    </row>
    <row r="3851" spans="1:16" x14ac:dyDescent="0.25">
      <c r="A3851">
        <v>3367</v>
      </c>
      <c r="B3851" t="s">
        <v>6745</v>
      </c>
      <c r="C3851">
        <v>37.191208144000001</v>
      </c>
      <c r="D3851">
        <v>-6.9776617058600001</v>
      </c>
      <c r="E3851">
        <v>3</v>
      </c>
      <c r="F3851">
        <v>3</v>
      </c>
      <c r="G3851">
        <v>2</v>
      </c>
      <c r="J3851" t="s">
        <v>15</v>
      </c>
      <c r="K3851">
        <v>3</v>
      </c>
      <c r="L3851">
        <v>3.1720000000000002</v>
      </c>
      <c r="M3851">
        <v>0</v>
      </c>
      <c r="N3851" t="s">
        <v>10017</v>
      </c>
      <c r="O3851" t="str">
        <f>HYPERLINK("3\1\marker_279_368974.png", "Ver Imagen")</f>
        <v>Ver Imagen</v>
      </c>
      <c r="P3851" t="str">
        <f>HYPERLINK("SE\A-497\A-497__729.png", "Ver Imagen")</f>
        <v>Ver Imagen</v>
      </c>
    </row>
    <row r="3852" spans="1:16" x14ac:dyDescent="0.25">
      <c r="A3852">
        <v>3368</v>
      </c>
      <c r="B3852" t="s">
        <v>6747</v>
      </c>
      <c r="C3852">
        <v>37.191763797900002</v>
      </c>
      <c r="D3852">
        <v>-6.9775622757400004</v>
      </c>
      <c r="E3852">
        <v>2</v>
      </c>
      <c r="F3852">
        <v>3</v>
      </c>
      <c r="G3852">
        <v>3</v>
      </c>
      <c r="J3852" t="s">
        <v>15</v>
      </c>
      <c r="K3852">
        <v>3</v>
      </c>
      <c r="L3852">
        <v>3.206</v>
      </c>
      <c r="M3852">
        <v>0</v>
      </c>
      <c r="N3852" t="s">
        <v>10019</v>
      </c>
      <c r="O3852" t="str">
        <f>HYPERLINK("3\1\marker_796_369003.png", "Ver Imagen")</f>
        <v>Ver Imagen</v>
      </c>
      <c r="P3852" t="str">
        <f>HYPERLINK("SE\A-497\A-497__726.png", "Ver Imagen")</f>
        <v>Ver Imagen</v>
      </c>
    </row>
    <row r="3853" spans="1:16" x14ac:dyDescent="0.25">
      <c r="A3853">
        <v>3369</v>
      </c>
      <c r="B3853" t="s">
        <v>6749</v>
      </c>
      <c r="C3853">
        <v>37.192772831699997</v>
      </c>
      <c r="D3853">
        <v>-6.9774729868899996</v>
      </c>
      <c r="E3853">
        <v>2</v>
      </c>
      <c r="F3853">
        <v>3</v>
      </c>
      <c r="G3853">
        <v>3</v>
      </c>
      <c r="J3853" t="s">
        <v>15</v>
      </c>
      <c r="K3853">
        <v>3</v>
      </c>
      <c r="L3853">
        <v>2.7970000000000002</v>
      </c>
      <c r="M3853">
        <v>0</v>
      </c>
      <c r="N3853" t="s">
        <v>10019</v>
      </c>
      <c r="O3853" t="str">
        <f>HYPERLINK("3\1\marker_166_369052.png", "Ver Imagen")</f>
        <v>Ver Imagen</v>
      </c>
      <c r="P3853" t="str">
        <f>HYPERLINK("SE\A-497\A-497__721.png", "Ver Imagen")</f>
        <v>Ver Imagen</v>
      </c>
    </row>
    <row r="3854" spans="1:16" x14ac:dyDescent="0.25">
      <c r="A3854">
        <v>3370</v>
      </c>
      <c r="B3854" t="s">
        <v>6751</v>
      </c>
      <c r="C3854">
        <v>37.1931651855</v>
      </c>
      <c r="D3854">
        <v>-6.97747874557</v>
      </c>
      <c r="E3854">
        <v>3</v>
      </c>
      <c r="F3854">
        <v>3</v>
      </c>
      <c r="G3854">
        <v>2</v>
      </c>
      <c r="J3854" t="s">
        <v>15</v>
      </c>
      <c r="K3854">
        <v>3</v>
      </c>
      <c r="L3854">
        <v>3.1259999999999999</v>
      </c>
      <c r="M3854">
        <v>0</v>
      </c>
      <c r="N3854" t="s">
        <v>10019</v>
      </c>
      <c r="O3854" t="str">
        <f>HYPERLINK("3\1\marker_281_369070.png", "Ver Imagen")</f>
        <v>Ver Imagen</v>
      </c>
      <c r="P3854" t="str">
        <f>HYPERLINK("SE\A-497\A-497__719.png", "Ver Imagen")</f>
        <v>Ver Imagen</v>
      </c>
    </row>
    <row r="3855" spans="1:16" x14ac:dyDescent="0.25">
      <c r="A3855">
        <v>3371</v>
      </c>
      <c r="B3855" t="s">
        <v>6753</v>
      </c>
      <c r="C3855">
        <v>37.193991973499998</v>
      </c>
      <c r="D3855">
        <v>-6.9775799891699997</v>
      </c>
      <c r="E3855">
        <v>3</v>
      </c>
      <c r="F3855">
        <v>3</v>
      </c>
      <c r="G3855">
        <v>4</v>
      </c>
      <c r="J3855" t="s">
        <v>15</v>
      </c>
      <c r="K3855">
        <v>3</v>
      </c>
      <c r="L3855">
        <v>2.556</v>
      </c>
      <c r="M3855">
        <v>0</v>
      </c>
      <c r="N3855" t="s">
        <v>10018</v>
      </c>
      <c r="O3855" t="str">
        <f>HYPERLINK("3\1\marker_740_369113.png", "Ver Imagen")</f>
        <v>Ver Imagen</v>
      </c>
      <c r="P3855" t="str">
        <f>HYPERLINK("SE\A-497\A-497__715.png", "Ver Imagen")</f>
        <v>Ver Imagen</v>
      </c>
    </row>
    <row r="3856" spans="1:16" x14ac:dyDescent="0.25">
      <c r="A3856">
        <v>3372</v>
      </c>
      <c r="B3856" t="s">
        <v>6755</v>
      </c>
      <c r="C3856">
        <v>37.264607929500002</v>
      </c>
      <c r="D3856">
        <v>-7.0011215058099996</v>
      </c>
      <c r="E3856">
        <v>4</v>
      </c>
      <c r="F3856">
        <v>3</v>
      </c>
      <c r="G3856">
        <v>3</v>
      </c>
      <c r="J3856" t="s">
        <v>15</v>
      </c>
      <c r="K3856">
        <v>3</v>
      </c>
      <c r="L3856">
        <v>2.9809999999999999</v>
      </c>
      <c r="M3856">
        <v>0</v>
      </c>
      <c r="N3856" t="s">
        <v>10019</v>
      </c>
      <c r="O3856" t="str">
        <f>HYPERLINK("3\1\marker_893_656445.png", "Ver Imagen")</f>
        <v>Ver Imagen</v>
      </c>
      <c r="P3856" t="str">
        <f>HYPERLINK("SE\A-497_2C\A-497_2C__192.png", "Ver Imagen")</f>
        <v>Ver Imagen</v>
      </c>
    </row>
    <row r="3857" spans="1:16" x14ac:dyDescent="0.25">
      <c r="A3857">
        <v>3373</v>
      </c>
      <c r="B3857" t="s">
        <v>6757</v>
      </c>
      <c r="C3857">
        <v>37.264558803699998</v>
      </c>
      <c r="D3857">
        <v>-7.0013937751900004</v>
      </c>
      <c r="E3857">
        <v>3</v>
      </c>
      <c r="F3857">
        <v>3</v>
      </c>
      <c r="G3857">
        <v>2</v>
      </c>
      <c r="J3857" t="s">
        <v>15</v>
      </c>
      <c r="K3857">
        <v>3</v>
      </c>
      <c r="L3857">
        <v>2.9649999999999999</v>
      </c>
      <c r="M3857">
        <v>0</v>
      </c>
      <c r="N3857" t="s">
        <v>10019</v>
      </c>
      <c r="O3857" t="str">
        <f>HYPERLINK("3\1\marker_837_656454.png", "Ver Imagen")</f>
        <v>Ver Imagen</v>
      </c>
      <c r="P3857" t="str">
        <f>HYPERLINK("SE\A-497_2C\A-497_2C__193.png", "Ver Imagen")</f>
        <v>Ver Imagen</v>
      </c>
    </row>
    <row r="3858" spans="1:16" x14ac:dyDescent="0.25">
      <c r="A3858">
        <v>3374</v>
      </c>
      <c r="B3858" t="s">
        <v>6759</v>
      </c>
      <c r="C3858">
        <v>37.196950375299998</v>
      </c>
      <c r="D3858">
        <v>-6.9791779205799997</v>
      </c>
      <c r="E3858">
        <v>3</v>
      </c>
      <c r="F3858">
        <v>3</v>
      </c>
      <c r="G3858">
        <v>2</v>
      </c>
      <c r="J3858" t="s">
        <v>15</v>
      </c>
      <c r="K3858">
        <v>3</v>
      </c>
      <c r="L3858">
        <v>2.6829999999999998</v>
      </c>
      <c r="M3858">
        <v>0</v>
      </c>
      <c r="N3858" t="s">
        <v>10019</v>
      </c>
      <c r="O3858" t="str">
        <f>HYPERLINK("3\1\marker_891_370385.png", "Ver Imagen")</f>
        <v>Ver Imagen</v>
      </c>
      <c r="P3858" t="str">
        <f>HYPERLINK("SE\A-497\A-497__699.png", "Ver Imagen")</f>
        <v>Ver Imagen</v>
      </c>
    </row>
    <row r="3859" spans="1:16" x14ac:dyDescent="0.25">
      <c r="A3859">
        <v>3375</v>
      </c>
      <c r="B3859" t="s">
        <v>6761</v>
      </c>
      <c r="C3859">
        <v>37.264279895000001</v>
      </c>
      <c r="D3859">
        <v>-7.0029449889500004</v>
      </c>
      <c r="E3859">
        <v>2</v>
      </c>
      <c r="F3859">
        <v>3</v>
      </c>
      <c r="G3859">
        <v>3</v>
      </c>
      <c r="J3859" t="s">
        <v>15</v>
      </c>
      <c r="K3859">
        <v>3</v>
      </c>
      <c r="L3859">
        <v>2.9950000000000001</v>
      </c>
      <c r="M3859">
        <v>0</v>
      </c>
      <c r="N3859" t="s">
        <v>10019</v>
      </c>
      <c r="O3859" t="str">
        <f>HYPERLINK("3\1\marker_269_656515.png", "Ver Imagen")</f>
        <v>Ver Imagen</v>
      </c>
      <c r="P3859" t="str">
        <f>HYPERLINK("SE\A-497_2C\A-497_2C__199.png", "Ver Imagen")</f>
        <v>Ver Imagen</v>
      </c>
    </row>
    <row r="3860" spans="1:16" x14ac:dyDescent="0.25">
      <c r="A3860">
        <v>3376</v>
      </c>
      <c r="B3860" t="s">
        <v>6763</v>
      </c>
      <c r="C3860">
        <v>37.264243085300002</v>
      </c>
      <c r="D3860">
        <v>-7.0031528592500001</v>
      </c>
      <c r="E3860">
        <v>2</v>
      </c>
      <c r="F3860">
        <v>3</v>
      </c>
      <c r="G3860">
        <v>3</v>
      </c>
      <c r="J3860" t="s">
        <v>15</v>
      </c>
      <c r="K3860">
        <v>3</v>
      </c>
      <c r="L3860">
        <v>3.0259999999999998</v>
      </c>
      <c r="M3860">
        <v>0</v>
      </c>
      <c r="N3860" t="s">
        <v>10019</v>
      </c>
      <c r="O3860" t="str">
        <f>HYPERLINK("3\1\marker_258_656525.png", "Ver Imagen")</f>
        <v>Ver Imagen</v>
      </c>
      <c r="P3860" t="str">
        <f>HYPERLINK("SE\A-497_2C\A-497_2C__200.png", "Ver Imagen")</f>
        <v>Ver Imagen</v>
      </c>
    </row>
    <row r="3861" spans="1:16" x14ac:dyDescent="0.25">
      <c r="A3861">
        <v>3377</v>
      </c>
      <c r="B3861" t="s">
        <v>6765</v>
      </c>
      <c r="C3861">
        <v>37.264198866599997</v>
      </c>
      <c r="D3861">
        <v>-7.0034038130600003</v>
      </c>
      <c r="E3861">
        <v>2</v>
      </c>
      <c r="F3861">
        <v>3</v>
      </c>
      <c r="G3861">
        <v>3</v>
      </c>
      <c r="J3861" t="s">
        <v>15</v>
      </c>
      <c r="K3861">
        <v>3</v>
      </c>
      <c r="L3861">
        <v>3.1480000000000001</v>
      </c>
      <c r="M3861">
        <v>0</v>
      </c>
      <c r="N3861" t="s">
        <v>10019</v>
      </c>
      <c r="O3861" t="str">
        <f>HYPERLINK("3\1\marker_938_656534.png", "Ver Imagen")</f>
        <v>Ver Imagen</v>
      </c>
      <c r="P3861" t="str">
        <f>HYPERLINK("SE\A-497_2C\A-497_2C__201.png", "Ver Imagen")</f>
        <v>Ver Imagen</v>
      </c>
    </row>
    <row r="3862" spans="1:16" x14ac:dyDescent="0.25">
      <c r="A3862">
        <v>3378</v>
      </c>
      <c r="B3862" t="s">
        <v>6767</v>
      </c>
      <c r="C3862">
        <v>37.264150559900003</v>
      </c>
      <c r="D3862">
        <v>-7.0036792870799998</v>
      </c>
      <c r="E3862">
        <v>2</v>
      </c>
      <c r="F3862">
        <v>3</v>
      </c>
      <c r="G3862">
        <v>3</v>
      </c>
      <c r="J3862" t="s">
        <v>15</v>
      </c>
      <c r="K3862">
        <v>3</v>
      </c>
      <c r="L3862">
        <v>2.8530000000000002</v>
      </c>
      <c r="M3862">
        <v>0</v>
      </c>
      <c r="N3862" t="s">
        <v>10019</v>
      </c>
      <c r="O3862" t="str">
        <f>HYPERLINK("3\1\marker_965_656550.png", "Ver Imagen")</f>
        <v>Ver Imagen</v>
      </c>
      <c r="P3862" t="str">
        <f>HYPERLINK("SE\A-497_2C\A-497_2C__202.png", "Ver Imagen")</f>
        <v>Ver Imagen</v>
      </c>
    </row>
    <row r="3863" spans="1:16" x14ac:dyDescent="0.25">
      <c r="A3863">
        <v>3379</v>
      </c>
      <c r="B3863" t="s">
        <v>6769</v>
      </c>
      <c r="C3863">
        <v>37.264116165499999</v>
      </c>
      <c r="D3863">
        <v>-7.0038748008000002</v>
      </c>
      <c r="E3863">
        <v>2</v>
      </c>
      <c r="F3863">
        <v>3</v>
      </c>
      <c r="G3863">
        <v>3</v>
      </c>
      <c r="J3863" t="s">
        <v>15</v>
      </c>
      <c r="K3863">
        <v>3</v>
      </c>
      <c r="L3863">
        <v>3.0539999999999998</v>
      </c>
      <c r="M3863">
        <v>0</v>
      </c>
      <c r="N3863" t="s">
        <v>10017</v>
      </c>
      <c r="O3863" t="str">
        <f>HYPERLINK("3\1\marker_198_656579.png", "Ver Imagen")</f>
        <v>Ver Imagen</v>
      </c>
      <c r="P3863" t="str">
        <f>HYPERLINK("SE\A-497_2C\A-497_2C__203.png", "Ver Imagen")</f>
        <v>Ver Imagen</v>
      </c>
    </row>
    <row r="3864" spans="1:16" x14ac:dyDescent="0.25">
      <c r="A3864">
        <v>3380</v>
      </c>
      <c r="B3864" t="s">
        <v>6771</v>
      </c>
      <c r="C3864">
        <v>37.264072568700001</v>
      </c>
      <c r="D3864">
        <v>-7.0041199273199997</v>
      </c>
      <c r="E3864">
        <v>2</v>
      </c>
      <c r="F3864">
        <v>3</v>
      </c>
      <c r="G3864">
        <v>3</v>
      </c>
      <c r="J3864" t="s">
        <v>15</v>
      </c>
      <c r="K3864">
        <v>3</v>
      </c>
      <c r="L3864">
        <v>2.6930000000000001</v>
      </c>
      <c r="M3864">
        <v>0</v>
      </c>
      <c r="N3864" t="s">
        <v>10019</v>
      </c>
      <c r="O3864" t="str">
        <f>HYPERLINK("3\1\marker_853_656589.png", "Ver Imagen")</f>
        <v>Ver Imagen</v>
      </c>
      <c r="P3864" t="str">
        <f>HYPERLINK("SE\A-497_2C\A-497_2C__204.png", "Ver Imagen")</f>
        <v>Ver Imagen</v>
      </c>
    </row>
    <row r="3865" spans="1:16" x14ac:dyDescent="0.25">
      <c r="A3865">
        <v>3381</v>
      </c>
      <c r="B3865" t="s">
        <v>6773</v>
      </c>
      <c r="C3865">
        <v>37.264032378300001</v>
      </c>
      <c r="D3865">
        <v>-7.0043460933499997</v>
      </c>
      <c r="E3865">
        <v>4</v>
      </c>
      <c r="F3865">
        <v>3</v>
      </c>
      <c r="G3865">
        <v>3</v>
      </c>
      <c r="J3865" t="s">
        <v>15</v>
      </c>
      <c r="K3865">
        <v>3</v>
      </c>
      <c r="L3865">
        <v>2.8319999999999999</v>
      </c>
      <c r="M3865">
        <v>0</v>
      </c>
      <c r="N3865" t="s">
        <v>10019</v>
      </c>
      <c r="O3865" t="str">
        <f>HYPERLINK("3\1\marker_652_656600.png", "Ver Imagen")</f>
        <v>Ver Imagen</v>
      </c>
      <c r="P3865" t="str">
        <f>HYPERLINK("SE\A-497_2C\A-497_2C__205.png", "Ver Imagen")</f>
        <v>Ver Imagen</v>
      </c>
    </row>
    <row r="3866" spans="1:16" x14ac:dyDescent="0.25">
      <c r="A3866">
        <v>3382</v>
      </c>
      <c r="B3866" t="s">
        <v>6775</v>
      </c>
      <c r="C3866">
        <v>37.263940630199997</v>
      </c>
      <c r="D3866">
        <v>-7.0048669244799999</v>
      </c>
      <c r="E3866">
        <v>2</v>
      </c>
      <c r="F3866">
        <v>3</v>
      </c>
      <c r="G3866">
        <v>3</v>
      </c>
      <c r="J3866" t="s">
        <v>15</v>
      </c>
      <c r="K3866">
        <v>3</v>
      </c>
      <c r="L3866">
        <v>2.6040000000000001</v>
      </c>
      <c r="M3866">
        <v>0</v>
      </c>
      <c r="N3866" t="s">
        <v>10019</v>
      </c>
      <c r="O3866" t="str">
        <f>HYPERLINK("3\1\marker_393_656619.png", "Ver Imagen")</f>
        <v>Ver Imagen</v>
      </c>
      <c r="P3866" t="str">
        <f>HYPERLINK("SE\A-497_2C\A-497_2C__207.png", "Ver Imagen")</f>
        <v>Ver Imagen</v>
      </c>
    </row>
    <row r="3867" spans="1:16" x14ac:dyDescent="0.25">
      <c r="A3867">
        <v>3383</v>
      </c>
      <c r="B3867" t="s">
        <v>6777</v>
      </c>
      <c r="C3867">
        <v>37.263900848600002</v>
      </c>
      <c r="D3867">
        <v>-7.0050916078299998</v>
      </c>
      <c r="E3867">
        <v>2</v>
      </c>
      <c r="F3867">
        <v>3</v>
      </c>
      <c r="G3867">
        <v>3</v>
      </c>
      <c r="J3867" t="s">
        <v>15</v>
      </c>
      <c r="K3867">
        <v>3</v>
      </c>
      <c r="L3867">
        <v>2.59</v>
      </c>
      <c r="M3867">
        <v>0</v>
      </c>
      <c r="N3867" t="s">
        <v>10019</v>
      </c>
      <c r="O3867" t="str">
        <f>HYPERLINK("3\1\marker_297_656630.png", "Ver Imagen")</f>
        <v>Ver Imagen</v>
      </c>
      <c r="P3867" t="str">
        <f>HYPERLINK("SE\A-497_2C\A-497_2C__208.png", "Ver Imagen")</f>
        <v>Ver Imagen</v>
      </c>
    </row>
    <row r="3868" spans="1:16" x14ac:dyDescent="0.25">
      <c r="A3868">
        <v>3384</v>
      </c>
      <c r="B3868" t="s">
        <v>6779</v>
      </c>
      <c r="C3868">
        <v>37.263855808899997</v>
      </c>
      <c r="D3868">
        <v>-7.0053450551500003</v>
      </c>
      <c r="E3868">
        <v>2</v>
      </c>
      <c r="F3868">
        <v>3</v>
      </c>
      <c r="G3868">
        <v>3</v>
      </c>
      <c r="J3868" t="s">
        <v>15</v>
      </c>
      <c r="K3868">
        <v>3</v>
      </c>
      <c r="L3868">
        <v>2.9710000000000001</v>
      </c>
      <c r="M3868">
        <v>0</v>
      </c>
      <c r="N3868" t="s">
        <v>10019</v>
      </c>
      <c r="O3868" t="str">
        <f>HYPERLINK("3\1\marker_228_656639.png", "Ver Imagen")</f>
        <v>Ver Imagen</v>
      </c>
      <c r="P3868" t="str">
        <f>HYPERLINK("SE\A-497_2C\A-497_2C__209.png", "Ver Imagen")</f>
        <v>Ver Imagen</v>
      </c>
    </row>
    <row r="3869" spans="1:16" x14ac:dyDescent="0.25">
      <c r="A3869">
        <v>3385</v>
      </c>
      <c r="B3869" t="s">
        <v>6781</v>
      </c>
      <c r="C3869">
        <v>37.263809694999999</v>
      </c>
      <c r="D3869">
        <v>-7.0056053340500002</v>
      </c>
      <c r="E3869">
        <v>2</v>
      </c>
      <c r="F3869">
        <v>3</v>
      </c>
      <c r="G3869">
        <v>3</v>
      </c>
      <c r="J3869" t="s">
        <v>15</v>
      </c>
      <c r="K3869">
        <v>3</v>
      </c>
      <c r="L3869">
        <v>2.9140000000000001</v>
      </c>
      <c r="M3869">
        <v>0</v>
      </c>
      <c r="N3869" t="s">
        <v>10019</v>
      </c>
      <c r="O3869" t="str">
        <f>HYPERLINK("3\1\marker_143_656652.png", "Ver Imagen")</f>
        <v>Ver Imagen</v>
      </c>
      <c r="P3869" t="str">
        <f>HYPERLINK("SE\A-497_2C\A-497_2C__210.png", "Ver Imagen")</f>
        <v>Ver Imagen</v>
      </c>
    </row>
    <row r="3870" spans="1:16" x14ac:dyDescent="0.25">
      <c r="A3870">
        <v>3386</v>
      </c>
      <c r="B3870" t="s">
        <v>6783</v>
      </c>
      <c r="C3870">
        <v>37.263769031400003</v>
      </c>
      <c r="D3870">
        <v>-7.0058340207400001</v>
      </c>
      <c r="E3870">
        <v>2</v>
      </c>
      <c r="F3870">
        <v>3</v>
      </c>
      <c r="G3870">
        <v>3</v>
      </c>
      <c r="J3870" t="s">
        <v>15</v>
      </c>
      <c r="K3870">
        <v>3</v>
      </c>
      <c r="L3870">
        <v>2.919</v>
      </c>
      <c r="M3870">
        <v>0</v>
      </c>
      <c r="N3870" t="s">
        <v>10019</v>
      </c>
      <c r="O3870" t="str">
        <f>HYPERLINK("3\1\marker_305_656664.png", "Ver Imagen")</f>
        <v>Ver Imagen</v>
      </c>
      <c r="P3870" t="str">
        <f>HYPERLINK("SE\A-497_2C\A-497_2C__211.png", "Ver Imagen")</f>
        <v>Ver Imagen</v>
      </c>
    </row>
    <row r="3871" spans="1:16" x14ac:dyDescent="0.25">
      <c r="A3871">
        <v>3387</v>
      </c>
      <c r="B3871" t="s">
        <v>6785</v>
      </c>
      <c r="C3871">
        <v>37.263714626300001</v>
      </c>
      <c r="D3871">
        <v>-7.0061369887499998</v>
      </c>
      <c r="E3871">
        <v>2</v>
      </c>
      <c r="F3871">
        <v>3</v>
      </c>
      <c r="G3871">
        <v>3</v>
      </c>
      <c r="J3871" t="s">
        <v>15</v>
      </c>
      <c r="K3871">
        <v>3</v>
      </c>
      <c r="L3871">
        <v>2.859</v>
      </c>
      <c r="M3871">
        <v>0</v>
      </c>
      <c r="N3871" t="s">
        <v>10018</v>
      </c>
      <c r="O3871" t="str">
        <f>HYPERLINK("3\1\marker_152_656672.png", "Ver Imagen")</f>
        <v>Ver Imagen</v>
      </c>
      <c r="P3871" t="str">
        <f>HYPERLINK("SE\A-497_2C\A-497_2C__212.png", "Ver Imagen")</f>
        <v>Ver Imagen</v>
      </c>
    </row>
    <row r="3872" spans="1:16" x14ac:dyDescent="0.25">
      <c r="A3872">
        <v>3388</v>
      </c>
      <c r="B3872" t="s">
        <v>6787</v>
      </c>
      <c r="C3872">
        <v>37.263676428899998</v>
      </c>
      <c r="D3872">
        <v>-7.0063492609600004</v>
      </c>
      <c r="E3872">
        <v>2</v>
      </c>
      <c r="F3872">
        <v>3</v>
      </c>
      <c r="G3872">
        <v>3</v>
      </c>
      <c r="J3872" t="s">
        <v>15</v>
      </c>
      <c r="K3872">
        <v>3</v>
      </c>
      <c r="L3872">
        <v>2.9609999999999999</v>
      </c>
      <c r="M3872">
        <v>0</v>
      </c>
      <c r="N3872" t="s">
        <v>10019</v>
      </c>
      <c r="O3872" t="str">
        <f>HYPERLINK("3\1\marker_950_656683.png", "Ver Imagen")</f>
        <v>Ver Imagen</v>
      </c>
      <c r="P3872" t="str">
        <f>HYPERLINK("SE\A-497_2C\A-497_2C__213.png", "Ver Imagen")</f>
        <v>Ver Imagen</v>
      </c>
    </row>
    <row r="3873" spans="1:16" x14ac:dyDescent="0.25">
      <c r="A3873">
        <v>3389</v>
      </c>
      <c r="B3873" t="s">
        <v>6789</v>
      </c>
      <c r="C3873">
        <v>37.263633676700003</v>
      </c>
      <c r="D3873">
        <v>-7.0065857985399997</v>
      </c>
      <c r="E3873">
        <v>2</v>
      </c>
      <c r="F3873">
        <v>3</v>
      </c>
      <c r="G3873">
        <v>3</v>
      </c>
      <c r="J3873" t="s">
        <v>15</v>
      </c>
      <c r="K3873">
        <v>3</v>
      </c>
      <c r="L3873">
        <v>2.7770000000000001</v>
      </c>
      <c r="M3873">
        <v>0</v>
      </c>
      <c r="N3873" t="s">
        <v>10019</v>
      </c>
      <c r="O3873" t="str">
        <f>HYPERLINK("3\1\marker_519_656692.png", "Ver Imagen")</f>
        <v>Ver Imagen</v>
      </c>
      <c r="P3873" t="str">
        <f>HYPERLINK("SE\A-497_2C\A-497_2C__214.png", "Ver Imagen")</f>
        <v>Ver Imagen</v>
      </c>
    </row>
    <row r="3874" spans="1:16" x14ac:dyDescent="0.25">
      <c r="A3874">
        <v>3390</v>
      </c>
      <c r="B3874" t="s">
        <v>6791</v>
      </c>
      <c r="C3874">
        <v>37.1972644501</v>
      </c>
      <c r="D3874">
        <v>-6.97949745795</v>
      </c>
      <c r="E3874">
        <v>3</v>
      </c>
      <c r="F3874">
        <v>3</v>
      </c>
      <c r="G3874">
        <v>4</v>
      </c>
      <c r="J3874" t="s">
        <v>15</v>
      </c>
      <c r="K3874">
        <v>3</v>
      </c>
      <c r="L3874">
        <v>2.8570000000000002</v>
      </c>
      <c r="M3874">
        <v>0</v>
      </c>
      <c r="N3874" t="s">
        <v>10019</v>
      </c>
      <c r="O3874" t="str">
        <f>HYPERLINK("3\1\marker_252_370406.png", "Ver Imagen")</f>
        <v>Ver Imagen</v>
      </c>
      <c r="P3874" t="str">
        <f>HYPERLINK("SE\A-497\A-497__697.png", "Ver Imagen")</f>
        <v>Ver Imagen</v>
      </c>
    </row>
    <row r="3875" spans="1:16" x14ac:dyDescent="0.25">
      <c r="A3875">
        <v>3391</v>
      </c>
      <c r="B3875" t="s">
        <v>6793</v>
      </c>
      <c r="C3875">
        <v>37.197433118500001</v>
      </c>
      <c r="D3875">
        <v>-6.9796843960599997</v>
      </c>
      <c r="E3875">
        <v>2</v>
      </c>
      <c r="F3875">
        <v>3</v>
      </c>
      <c r="G3875">
        <v>3</v>
      </c>
      <c r="J3875" t="s">
        <v>15</v>
      </c>
      <c r="K3875">
        <v>3</v>
      </c>
      <c r="L3875">
        <v>2.98</v>
      </c>
      <c r="M3875">
        <v>0</v>
      </c>
      <c r="N3875" t="s">
        <v>10018</v>
      </c>
      <c r="O3875" t="str">
        <f>HYPERLINK("3\1\marker_473_370415.png", "Ver Imagen")</f>
        <v>Ver Imagen</v>
      </c>
      <c r="P3875" t="str">
        <f>HYPERLINK("SE\A-497\A-497__696.png", "Ver Imagen")</f>
        <v>Ver Imagen</v>
      </c>
    </row>
    <row r="3876" spans="1:16" x14ac:dyDescent="0.25">
      <c r="A3876">
        <v>3392</v>
      </c>
      <c r="B3876" t="s">
        <v>6795</v>
      </c>
      <c r="C3876">
        <v>37.1975616677</v>
      </c>
      <c r="D3876">
        <v>-6.97983518793</v>
      </c>
      <c r="E3876">
        <v>2</v>
      </c>
      <c r="F3876">
        <v>3</v>
      </c>
      <c r="G3876">
        <v>3</v>
      </c>
      <c r="J3876" t="s">
        <v>15</v>
      </c>
      <c r="K3876">
        <v>3</v>
      </c>
      <c r="L3876">
        <v>2.8140000000000001</v>
      </c>
      <c r="M3876">
        <v>0</v>
      </c>
      <c r="N3876" t="s">
        <v>10019</v>
      </c>
      <c r="O3876" t="str">
        <f>HYPERLINK("3\1\marker_548_370430.png", "Ver Imagen")</f>
        <v>Ver Imagen</v>
      </c>
      <c r="P3876" t="str">
        <f>HYPERLINK("SE\A-497\A-497__695.png", "Ver Imagen")</f>
        <v>Ver Imagen</v>
      </c>
    </row>
    <row r="3877" spans="1:16" x14ac:dyDescent="0.25">
      <c r="A3877">
        <v>3393</v>
      </c>
      <c r="B3877" t="s">
        <v>6797</v>
      </c>
      <c r="C3877">
        <v>37.198082489299999</v>
      </c>
      <c r="D3877">
        <v>-6.9805506967199999</v>
      </c>
      <c r="E3877">
        <v>2</v>
      </c>
      <c r="F3877">
        <v>3</v>
      </c>
      <c r="G3877">
        <v>3</v>
      </c>
      <c r="J3877" t="s">
        <v>15</v>
      </c>
      <c r="K3877">
        <v>3</v>
      </c>
      <c r="L3877">
        <v>2.6549999999999998</v>
      </c>
      <c r="M3877">
        <v>0</v>
      </c>
      <c r="N3877" t="s">
        <v>10019</v>
      </c>
      <c r="O3877" t="str">
        <f>HYPERLINK("3\1\marker_959_370465.png", "Ver Imagen")</f>
        <v>Ver Imagen</v>
      </c>
      <c r="P3877" t="str">
        <f>HYPERLINK("SE\A-497\A-497__691.png", "Ver Imagen")</f>
        <v>Ver Imagen</v>
      </c>
    </row>
    <row r="3878" spans="1:16" x14ac:dyDescent="0.25">
      <c r="A3878">
        <v>3394</v>
      </c>
      <c r="B3878" t="s">
        <v>6799</v>
      </c>
      <c r="C3878">
        <v>37.198773392299998</v>
      </c>
      <c r="D3878">
        <v>-6.9818450452800001</v>
      </c>
      <c r="E3878">
        <v>2</v>
      </c>
      <c r="F3878">
        <v>3</v>
      </c>
      <c r="G3878">
        <v>3</v>
      </c>
      <c r="J3878" t="s">
        <v>15</v>
      </c>
      <c r="K3878">
        <v>3</v>
      </c>
      <c r="L3878">
        <v>2.7069999999999999</v>
      </c>
      <c r="M3878">
        <v>0</v>
      </c>
      <c r="N3878" t="s">
        <v>10019</v>
      </c>
      <c r="O3878" t="str">
        <f>HYPERLINK("3\1\marker_564_370521.png", "Ver Imagen")</f>
        <v>Ver Imagen</v>
      </c>
      <c r="P3878" t="str">
        <f>HYPERLINK("SE\A-497\A-497__685.png", "Ver Imagen")</f>
        <v>Ver Imagen</v>
      </c>
    </row>
    <row r="3879" spans="1:16" x14ac:dyDescent="0.25">
      <c r="A3879">
        <v>3395</v>
      </c>
      <c r="B3879" t="s">
        <v>6801</v>
      </c>
      <c r="C3879">
        <v>37.198858296700003</v>
      </c>
      <c r="D3879">
        <v>-6.9820442566900001</v>
      </c>
      <c r="E3879">
        <v>2</v>
      </c>
      <c r="F3879">
        <v>3</v>
      </c>
      <c r="G3879">
        <v>3</v>
      </c>
      <c r="J3879" t="s">
        <v>15</v>
      </c>
      <c r="K3879">
        <v>3</v>
      </c>
      <c r="L3879">
        <v>3.0830000000000002</v>
      </c>
      <c r="M3879">
        <v>0</v>
      </c>
      <c r="N3879" t="s">
        <v>10019</v>
      </c>
      <c r="O3879" t="str">
        <f>HYPERLINK("3\1\marker_873_370531.png", "Ver Imagen")</f>
        <v>Ver Imagen</v>
      </c>
      <c r="P3879" t="str">
        <f>HYPERLINK("SE\A-497\A-497__684.png", "Ver Imagen")</f>
        <v>Ver Imagen</v>
      </c>
    </row>
    <row r="3880" spans="1:16" x14ac:dyDescent="0.25">
      <c r="A3880">
        <v>3396</v>
      </c>
      <c r="B3880" t="s">
        <v>6803</v>
      </c>
      <c r="C3880">
        <v>37.198944782700003</v>
      </c>
      <c r="D3880">
        <v>-6.9822580840199997</v>
      </c>
      <c r="E3880">
        <v>2</v>
      </c>
      <c r="F3880">
        <v>3</v>
      </c>
      <c r="G3880">
        <v>3</v>
      </c>
      <c r="J3880" t="s">
        <v>15</v>
      </c>
      <c r="K3880">
        <v>3</v>
      </c>
      <c r="L3880">
        <v>2.7360000000000002</v>
      </c>
      <c r="M3880">
        <v>0</v>
      </c>
      <c r="N3880" t="s">
        <v>10019</v>
      </c>
      <c r="O3880" t="str">
        <f>HYPERLINK("3\1\marker_680_370541.png", "Ver Imagen")</f>
        <v>Ver Imagen</v>
      </c>
      <c r="P3880" t="str">
        <f>HYPERLINK("SE\A-497\A-497__683.png", "Ver Imagen")</f>
        <v>Ver Imagen</v>
      </c>
    </row>
    <row r="3881" spans="1:16" x14ac:dyDescent="0.25">
      <c r="A3881">
        <v>3397</v>
      </c>
      <c r="B3881" t="s">
        <v>6805</v>
      </c>
      <c r="C3881">
        <v>37.2631275277</v>
      </c>
      <c r="D3881">
        <v>-7.0084962526099996</v>
      </c>
      <c r="E3881">
        <v>2</v>
      </c>
      <c r="F3881">
        <v>3</v>
      </c>
      <c r="G3881">
        <v>3</v>
      </c>
      <c r="J3881" t="s">
        <v>15</v>
      </c>
      <c r="K3881">
        <v>3</v>
      </c>
      <c r="L3881">
        <v>3.2010000000000001</v>
      </c>
      <c r="M3881">
        <v>0</v>
      </c>
      <c r="N3881" t="s">
        <v>10019</v>
      </c>
      <c r="O3881" t="str">
        <f>HYPERLINK("3\1\marker_145_656784.png", "Ver Imagen")</f>
        <v>Ver Imagen</v>
      </c>
      <c r="P3881" t="str">
        <f>HYPERLINK("SE\A-497_2C\A-497_2C__222.png", "Ver Imagen")</f>
        <v>Ver Imagen</v>
      </c>
    </row>
    <row r="3882" spans="1:16" x14ac:dyDescent="0.25">
      <c r="A3882">
        <v>3398</v>
      </c>
      <c r="B3882" t="s">
        <v>6807</v>
      </c>
      <c r="C3882">
        <v>37.199352613000002</v>
      </c>
      <c r="D3882">
        <v>-6.9834346155000002</v>
      </c>
      <c r="E3882">
        <v>2</v>
      </c>
      <c r="F3882">
        <v>3</v>
      </c>
      <c r="G3882">
        <v>3</v>
      </c>
      <c r="J3882" t="s">
        <v>15</v>
      </c>
      <c r="K3882">
        <v>3</v>
      </c>
      <c r="L3882">
        <v>2.895</v>
      </c>
      <c r="M3882">
        <v>0</v>
      </c>
      <c r="N3882" t="s">
        <v>10019</v>
      </c>
      <c r="O3882" t="str">
        <f>HYPERLINK("3\1\marker_452_370591.png", "Ver Imagen")</f>
        <v>Ver Imagen</v>
      </c>
      <c r="P3882" t="str">
        <f>HYPERLINK("SE\A-497\A-497__678.png", "Ver Imagen")</f>
        <v>Ver Imagen</v>
      </c>
    </row>
    <row r="3883" spans="1:16" x14ac:dyDescent="0.25">
      <c r="A3883">
        <v>3399</v>
      </c>
      <c r="B3883" t="s">
        <v>6809</v>
      </c>
      <c r="C3883">
        <v>37.1994306235</v>
      </c>
      <c r="D3883">
        <v>-6.9836913903499998</v>
      </c>
      <c r="E3883">
        <v>2</v>
      </c>
      <c r="F3883">
        <v>3</v>
      </c>
      <c r="G3883">
        <v>3</v>
      </c>
      <c r="J3883" t="s">
        <v>15</v>
      </c>
      <c r="K3883">
        <v>3</v>
      </c>
      <c r="L3883">
        <v>2.923</v>
      </c>
      <c r="M3883">
        <v>0</v>
      </c>
      <c r="N3883" t="s">
        <v>10019</v>
      </c>
      <c r="O3883" t="str">
        <f>HYPERLINK("3\1\marker_619_370607.png", "Ver Imagen")</f>
        <v>Ver Imagen</v>
      </c>
      <c r="P3883" t="str">
        <f>HYPERLINK("SE\A-497\A-497__677.png", "Ver Imagen")</f>
        <v>Ver Imagen</v>
      </c>
    </row>
    <row r="3884" spans="1:16" x14ac:dyDescent="0.25">
      <c r="A3884">
        <v>3400</v>
      </c>
      <c r="B3884" t="s">
        <v>6811</v>
      </c>
      <c r="C3884">
        <v>37.199490491299997</v>
      </c>
      <c r="D3884">
        <v>-6.9838958097699999</v>
      </c>
      <c r="E3884">
        <v>2</v>
      </c>
      <c r="F3884">
        <v>3</v>
      </c>
      <c r="G3884">
        <v>3</v>
      </c>
      <c r="J3884" t="s">
        <v>15</v>
      </c>
      <c r="K3884">
        <v>3</v>
      </c>
      <c r="L3884">
        <v>3.0579999999999998</v>
      </c>
      <c r="M3884">
        <v>0</v>
      </c>
      <c r="N3884" t="s">
        <v>10019</v>
      </c>
      <c r="O3884" t="str">
        <f>HYPERLINK("3\1\marker_932_370615.png", "Ver Imagen")</f>
        <v>Ver Imagen</v>
      </c>
      <c r="P3884" t="str">
        <f>HYPERLINK("SE\A-497\A-497__676.png", "Ver Imagen")</f>
        <v>Ver Imagen</v>
      </c>
    </row>
    <row r="3885" spans="1:16" x14ac:dyDescent="0.25">
      <c r="A3885">
        <v>3401</v>
      </c>
      <c r="B3885" t="s">
        <v>6813</v>
      </c>
      <c r="C3885">
        <v>37.261173914899999</v>
      </c>
      <c r="D3885">
        <v>-7.01095771569</v>
      </c>
      <c r="E3885">
        <v>2</v>
      </c>
      <c r="F3885">
        <v>3</v>
      </c>
      <c r="G3885">
        <v>3</v>
      </c>
      <c r="J3885" t="s">
        <v>15</v>
      </c>
      <c r="K3885">
        <v>3</v>
      </c>
      <c r="L3885">
        <v>3.258</v>
      </c>
      <c r="M3885">
        <v>0</v>
      </c>
      <c r="N3885" t="s">
        <v>10019</v>
      </c>
      <c r="O3885" t="str">
        <f>HYPERLINK("3\1\marker_644_656934.png", "Ver Imagen")</f>
        <v>Ver Imagen</v>
      </c>
      <c r="P3885" t="str">
        <f>HYPERLINK("SE\A-497_2C\A-497_2C__236.png", "Ver Imagen")</f>
        <v>Ver Imagen</v>
      </c>
    </row>
    <row r="3886" spans="1:16" x14ac:dyDescent="0.25">
      <c r="A3886">
        <v>3402</v>
      </c>
      <c r="B3886" t="s">
        <v>6815</v>
      </c>
      <c r="C3886">
        <v>37.200007475299998</v>
      </c>
      <c r="D3886">
        <v>-6.98587057615</v>
      </c>
      <c r="E3886">
        <v>3</v>
      </c>
      <c r="F3886">
        <v>3</v>
      </c>
      <c r="G3886">
        <v>4</v>
      </c>
      <c r="J3886" t="s">
        <v>15</v>
      </c>
      <c r="K3886">
        <v>3</v>
      </c>
      <c r="L3886">
        <v>2.8410000000000002</v>
      </c>
      <c r="M3886">
        <v>0</v>
      </c>
      <c r="N3886" t="s">
        <v>10019</v>
      </c>
      <c r="O3886" t="str">
        <f>HYPERLINK("3\1\marker_117_371043.png", "Ver Imagen")</f>
        <v>Ver Imagen</v>
      </c>
      <c r="P3886" t="str">
        <f>HYPERLINK("SE\A-497\A-497__668.png", "Ver Imagen")</f>
        <v>Ver Imagen</v>
      </c>
    </row>
    <row r="3887" spans="1:16" x14ac:dyDescent="0.25">
      <c r="A3887">
        <v>3403</v>
      </c>
      <c r="B3887" t="s">
        <v>6817</v>
      </c>
      <c r="C3887">
        <v>37.260263776899997</v>
      </c>
      <c r="D3887">
        <v>-7.01154047135</v>
      </c>
      <c r="E3887">
        <v>3</v>
      </c>
      <c r="F3887">
        <v>3</v>
      </c>
      <c r="G3887">
        <v>2</v>
      </c>
      <c r="J3887" t="s">
        <v>15</v>
      </c>
      <c r="K3887">
        <v>3</v>
      </c>
      <c r="L3887">
        <v>2.899</v>
      </c>
      <c r="M3887">
        <v>0</v>
      </c>
      <c r="N3887" t="s">
        <v>10019</v>
      </c>
      <c r="O3887" t="str">
        <f>HYPERLINK("3\1\marker_345_657035.png", "Ver Imagen")</f>
        <v>Ver Imagen</v>
      </c>
      <c r="P3887" t="str">
        <f>HYPERLINK("SE\A-497_2C\A-497_2C__241.png", "Ver Imagen")</f>
        <v>Ver Imagen</v>
      </c>
    </row>
    <row r="3888" spans="1:16" x14ac:dyDescent="0.25">
      <c r="A3888">
        <v>3404</v>
      </c>
      <c r="B3888" t="s">
        <v>6819</v>
      </c>
      <c r="C3888">
        <v>37.200191611299999</v>
      </c>
      <c r="D3888">
        <v>-6.9866235672199997</v>
      </c>
      <c r="E3888">
        <v>2</v>
      </c>
      <c r="F3888">
        <v>3</v>
      </c>
      <c r="G3888">
        <v>3</v>
      </c>
      <c r="J3888" t="s">
        <v>15</v>
      </c>
      <c r="K3888">
        <v>3</v>
      </c>
      <c r="L3888">
        <v>3.302</v>
      </c>
      <c r="M3888">
        <v>0</v>
      </c>
      <c r="N3888" t="s">
        <v>10019</v>
      </c>
      <c r="O3888" t="str">
        <f>HYPERLINK("3\1\marker_861_371069.png", "Ver Imagen")</f>
        <v>Ver Imagen</v>
      </c>
      <c r="P3888" t="str">
        <f>HYPERLINK("SE\A-497\A-497__665.png", "Ver Imagen")</f>
        <v>Ver Imagen</v>
      </c>
    </row>
    <row r="3889" spans="1:16" x14ac:dyDescent="0.25">
      <c r="A3889">
        <v>3405</v>
      </c>
      <c r="B3889" t="s">
        <v>6821</v>
      </c>
      <c r="C3889">
        <v>37.259881104999998</v>
      </c>
      <c r="D3889">
        <v>-7.0117833489299999</v>
      </c>
      <c r="E3889">
        <v>2</v>
      </c>
      <c r="F3889">
        <v>3</v>
      </c>
      <c r="G3889">
        <v>3</v>
      </c>
      <c r="J3889" t="s">
        <v>15</v>
      </c>
      <c r="K3889">
        <v>3</v>
      </c>
      <c r="L3889">
        <v>2.9870000000000001</v>
      </c>
      <c r="M3889">
        <v>0</v>
      </c>
      <c r="N3889" t="s">
        <v>10019</v>
      </c>
      <c r="O3889" t="str">
        <f>HYPERLINK("3\1\marker_316_657051.png", "Ver Imagen")</f>
        <v>Ver Imagen</v>
      </c>
      <c r="P3889" t="str">
        <f>HYPERLINK("SE\A-497_2C\A-497_2C__243.png", "Ver Imagen")</f>
        <v>Ver Imagen</v>
      </c>
    </row>
    <row r="3890" spans="1:16" x14ac:dyDescent="0.25">
      <c r="A3890">
        <v>3406</v>
      </c>
      <c r="B3890" t="s">
        <v>6823</v>
      </c>
      <c r="C3890">
        <v>37.200285919199999</v>
      </c>
      <c r="D3890">
        <v>-6.9870126183199996</v>
      </c>
      <c r="E3890">
        <v>2</v>
      </c>
      <c r="F3890">
        <v>3</v>
      </c>
      <c r="G3890">
        <v>3</v>
      </c>
      <c r="J3890" t="s">
        <v>15</v>
      </c>
      <c r="K3890">
        <v>3</v>
      </c>
      <c r="L3890">
        <v>2.927</v>
      </c>
      <c r="M3890">
        <v>0</v>
      </c>
      <c r="N3890" t="s">
        <v>10019</v>
      </c>
      <c r="O3890" t="str">
        <f>HYPERLINK("3\1\marker_946_371124.png", "Ver Imagen")</f>
        <v>Ver Imagen</v>
      </c>
      <c r="P3890" t="str">
        <f>HYPERLINK("SE\A-497\A-497__663.png", "Ver Imagen")</f>
        <v>Ver Imagen</v>
      </c>
    </row>
    <row r="3891" spans="1:16" x14ac:dyDescent="0.25">
      <c r="A3891">
        <v>3408</v>
      </c>
      <c r="B3891" t="s">
        <v>6827</v>
      </c>
      <c r="C3891">
        <v>37.200463919900002</v>
      </c>
      <c r="D3891">
        <v>-6.9877769184099998</v>
      </c>
      <c r="E3891">
        <v>2</v>
      </c>
      <c r="F3891">
        <v>3</v>
      </c>
      <c r="G3891">
        <v>3</v>
      </c>
      <c r="J3891" t="s">
        <v>15</v>
      </c>
      <c r="K3891">
        <v>3</v>
      </c>
      <c r="L3891">
        <v>3.09</v>
      </c>
      <c r="M3891">
        <v>0</v>
      </c>
      <c r="N3891" t="s">
        <v>10019</v>
      </c>
      <c r="O3891" t="str">
        <f>HYPERLINK("3\1\marker_172_371149.png", "Ver Imagen")</f>
        <v>Ver Imagen</v>
      </c>
      <c r="P3891" t="str">
        <f>HYPERLINK("SE\A-497\A-497__660.png", "Ver Imagen")</f>
        <v>Ver Imagen</v>
      </c>
    </row>
    <row r="3892" spans="1:16" x14ac:dyDescent="0.25">
      <c r="A3892">
        <v>3409</v>
      </c>
      <c r="B3892" t="s">
        <v>6829</v>
      </c>
      <c r="C3892">
        <v>37.2005873859</v>
      </c>
      <c r="D3892">
        <v>-6.9883230161899998</v>
      </c>
      <c r="E3892">
        <v>2</v>
      </c>
      <c r="F3892">
        <v>3</v>
      </c>
      <c r="G3892">
        <v>3</v>
      </c>
      <c r="J3892" t="s">
        <v>15</v>
      </c>
      <c r="K3892">
        <v>3</v>
      </c>
      <c r="L3892">
        <v>2.996</v>
      </c>
      <c r="M3892">
        <v>0</v>
      </c>
      <c r="N3892" t="s">
        <v>10019</v>
      </c>
      <c r="O3892" t="str">
        <f>HYPERLINK("3\1\marker_541_371165.png", "Ver Imagen")</f>
        <v>Ver Imagen</v>
      </c>
      <c r="P3892" t="str">
        <f>HYPERLINK("SE\A-497\A-497__658.png", "Ver Imagen")</f>
        <v>Ver Imagen</v>
      </c>
    </row>
    <row r="3893" spans="1:16" x14ac:dyDescent="0.25">
      <c r="A3893">
        <v>3411</v>
      </c>
      <c r="B3893" t="s">
        <v>6833</v>
      </c>
      <c r="C3893">
        <v>37.200845716700002</v>
      </c>
      <c r="D3893">
        <v>-6.9894605368600002</v>
      </c>
      <c r="E3893">
        <v>2</v>
      </c>
      <c r="F3893">
        <v>3</v>
      </c>
      <c r="G3893">
        <v>3</v>
      </c>
      <c r="J3893" t="s">
        <v>15</v>
      </c>
      <c r="K3893">
        <v>3</v>
      </c>
      <c r="L3893">
        <v>2.8650000000000002</v>
      </c>
      <c r="M3893">
        <v>0</v>
      </c>
      <c r="N3893" t="s">
        <v>10019</v>
      </c>
      <c r="O3893" t="str">
        <f>HYPERLINK("3\1\marker_726_371209.png", "Ver Imagen")</f>
        <v>Ver Imagen</v>
      </c>
      <c r="P3893" t="str">
        <f>HYPERLINK("SE\A-497\A-497__653.png", "Ver Imagen")</f>
        <v>Ver Imagen</v>
      </c>
    </row>
    <row r="3894" spans="1:16" x14ac:dyDescent="0.25">
      <c r="A3894">
        <v>3412</v>
      </c>
      <c r="B3894" t="s">
        <v>6835</v>
      </c>
      <c r="C3894">
        <v>37.258424985200001</v>
      </c>
      <c r="D3894">
        <v>-7.0127097246799996</v>
      </c>
      <c r="E3894">
        <v>2</v>
      </c>
      <c r="F3894">
        <v>3</v>
      </c>
      <c r="G3894">
        <v>3</v>
      </c>
      <c r="J3894" t="s">
        <v>15</v>
      </c>
      <c r="K3894">
        <v>3</v>
      </c>
      <c r="L3894">
        <v>2.5139999999999998</v>
      </c>
      <c r="M3894">
        <v>0</v>
      </c>
      <c r="N3894" t="s">
        <v>10017</v>
      </c>
      <c r="O3894" t="str">
        <f>HYPERLINK("3\1\marker_913_319411.png", "Ver Imagen")</f>
        <v>Ver Imagen</v>
      </c>
      <c r="P3894" t="str">
        <f>HYPERLINK("SE\A-497_2C\A-497_2C__251.png", "Ver Imagen")</f>
        <v>Ver Imagen</v>
      </c>
    </row>
    <row r="3895" spans="1:16" x14ac:dyDescent="0.25">
      <c r="A3895">
        <v>3413</v>
      </c>
      <c r="B3895" t="s">
        <v>6837</v>
      </c>
      <c r="C3895">
        <v>37.258244517400001</v>
      </c>
      <c r="D3895">
        <v>-7.0128253349199996</v>
      </c>
      <c r="E3895">
        <v>2</v>
      </c>
      <c r="F3895">
        <v>3</v>
      </c>
      <c r="G3895">
        <v>3</v>
      </c>
      <c r="J3895" t="s">
        <v>15</v>
      </c>
      <c r="K3895">
        <v>3</v>
      </c>
      <c r="L3895">
        <v>2.9569999999999999</v>
      </c>
      <c r="M3895">
        <v>0</v>
      </c>
      <c r="N3895" t="s">
        <v>10019</v>
      </c>
      <c r="O3895" t="str">
        <f>HYPERLINK("3\1\marker_456_319423.png", "Ver Imagen")</f>
        <v>Ver Imagen</v>
      </c>
      <c r="P3895" t="str">
        <f>HYPERLINK("SE\A-497_2C\A-497_2C__252.png", "Ver Imagen")</f>
        <v>Ver Imagen</v>
      </c>
    </row>
    <row r="3896" spans="1:16" x14ac:dyDescent="0.25">
      <c r="A3896">
        <v>3414</v>
      </c>
      <c r="B3896" t="s">
        <v>6839</v>
      </c>
      <c r="C3896">
        <v>37.201070204600001</v>
      </c>
      <c r="D3896">
        <v>-6.9904997438200001</v>
      </c>
      <c r="E3896">
        <v>2</v>
      </c>
      <c r="F3896">
        <v>3</v>
      </c>
      <c r="G3896">
        <v>3</v>
      </c>
      <c r="J3896" t="s">
        <v>15</v>
      </c>
      <c r="K3896">
        <v>3</v>
      </c>
      <c r="L3896">
        <v>2.9049999999999998</v>
      </c>
      <c r="M3896">
        <v>0</v>
      </c>
      <c r="N3896" t="s">
        <v>10019</v>
      </c>
      <c r="O3896" t="str">
        <f>HYPERLINK("3\1\marker_203_371245.png", "Ver Imagen")</f>
        <v>Ver Imagen</v>
      </c>
      <c r="P3896" t="str">
        <f>HYPERLINK("SE\A-497\A-497__649.png", "Ver Imagen")</f>
        <v>Ver Imagen</v>
      </c>
    </row>
    <row r="3897" spans="1:16" x14ac:dyDescent="0.25">
      <c r="A3897">
        <v>3415</v>
      </c>
      <c r="B3897" t="s">
        <v>6841</v>
      </c>
      <c r="C3897">
        <v>37.2011175202</v>
      </c>
      <c r="D3897">
        <v>-6.9907292617300003</v>
      </c>
      <c r="E3897">
        <v>2</v>
      </c>
      <c r="F3897">
        <v>3</v>
      </c>
      <c r="G3897">
        <v>3</v>
      </c>
      <c r="J3897" t="s">
        <v>15</v>
      </c>
      <c r="K3897">
        <v>3</v>
      </c>
      <c r="L3897">
        <v>3.1349999999999998</v>
      </c>
      <c r="M3897">
        <v>0</v>
      </c>
      <c r="N3897" t="s">
        <v>10019</v>
      </c>
      <c r="O3897" t="str">
        <f>HYPERLINK("3\1\marker_805_371254.png", "Ver Imagen")</f>
        <v>Ver Imagen</v>
      </c>
      <c r="P3897" t="str">
        <f>HYPERLINK("SE\A-497\A-497__648.png", "Ver Imagen")</f>
        <v>Ver Imagen</v>
      </c>
    </row>
    <row r="3898" spans="1:16" x14ac:dyDescent="0.25">
      <c r="A3898">
        <v>3416</v>
      </c>
      <c r="B3898" t="s">
        <v>6843</v>
      </c>
      <c r="C3898">
        <v>37.201160829000003</v>
      </c>
      <c r="D3898">
        <v>-6.9909416171799998</v>
      </c>
      <c r="E3898">
        <v>2</v>
      </c>
      <c r="F3898">
        <v>3</v>
      </c>
      <c r="G3898">
        <v>3</v>
      </c>
      <c r="J3898" t="s">
        <v>15</v>
      </c>
      <c r="K3898">
        <v>3</v>
      </c>
      <c r="L3898">
        <v>3.0640000000000001</v>
      </c>
      <c r="M3898">
        <v>0</v>
      </c>
      <c r="N3898" t="s">
        <v>10019</v>
      </c>
      <c r="O3898" t="str">
        <f>HYPERLINK("3\1\marker_934_371262.png", "Ver Imagen")</f>
        <v>Ver Imagen</v>
      </c>
      <c r="P3898" t="str">
        <f>HYPERLINK("SE\A-497\A-497__647.png", "Ver Imagen")</f>
        <v>Ver Imagen</v>
      </c>
    </row>
    <row r="3899" spans="1:16" x14ac:dyDescent="0.25">
      <c r="A3899">
        <v>3417</v>
      </c>
      <c r="B3899" t="s">
        <v>6845</v>
      </c>
      <c r="C3899">
        <v>37.2012229726</v>
      </c>
      <c r="D3899">
        <v>-6.9912503354800002</v>
      </c>
      <c r="E3899">
        <v>2</v>
      </c>
      <c r="F3899">
        <v>3</v>
      </c>
      <c r="G3899">
        <v>3</v>
      </c>
      <c r="J3899" t="s">
        <v>15</v>
      </c>
      <c r="K3899">
        <v>3</v>
      </c>
      <c r="L3899">
        <v>2.6589999999999998</v>
      </c>
      <c r="M3899">
        <v>0</v>
      </c>
      <c r="N3899" t="s">
        <v>10018</v>
      </c>
      <c r="O3899" t="str">
        <f>HYPERLINK("3\1\marker_716_371270.png", "Ver Imagen")</f>
        <v>Ver Imagen</v>
      </c>
      <c r="P3899" t="str">
        <f>HYPERLINK("SE\A-497\A-497__646.png", "Ver Imagen")</f>
        <v>Ver Imagen</v>
      </c>
    </row>
    <row r="3900" spans="1:16" x14ac:dyDescent="0.25">
      <c r="A3900">
        <v>3418</v>
      </c>
      <c r="B3900" t="s">
        <v>6847</v>
      </c>
      <c r="C3900">
        <v>37.201264908100001</v>
      </c>
      <c r="D3900">
        <v>-6.9914609653599999</v>
      </c>
      <c r="E3900">
        <v>2</v>
      </c>
      <c r="F3900">
        <v>3</v>
      </c>
      <c r="G3900">
        <v>3</v>
      </c>
      <c r="J3900" t="s">
        <v>15</v>
      </c>
      <c r="K3900">
        <v>3</v>
      </c>
      <c r="L3900">
        <v>2.9910000000000001</v>
      </c>
      <c r="M3900">
        <v>0</v>
      </c>
      <c r="N3900" t="s">
        <v>10019</v>
      </c>
      <c r="O3900" t="str">
        <f>HYPERLINK("3\1\marker_586_371281.png", "Ver Imagen")</f>
        <v>Ver Imagen</v>
      </c>
      <c r="P3900" t="str">
        <f>HYPERLINK("SE\A-497\A-497__645.png", "Ver Imagen")</f>
        <v>Ver Imagen</v>
      </c>
    </row>
    <row r="3901" spans="1:16" x14ac:dyDescent="0.25">
      <c r="A3901">
        <v>3419</v>
      </c>
      <c r="B3901" t="s">
        <v>6849</v>
      </c>
      <c r="C3901">
        <v>37.201308823200002</v>
      </c>
      <c r="D3901">
        <v>-6.9916834663599996</v>
      </c>
      <c r="E3901">
        <v>2</v>
      </c>
      <c r="F3901">
        <v>3</v>
      </c>
      <c r="G3901">
        <v>3</v>
      </c>
      <c r="J3901" t="s">
        <v>15</v>
      </c>
      <c r="K3901">
        <v>3</v>
      </c>
      <c r="L3901">
        <v>3.089</v>
      </c>
      <c r="M3901">
        <v>0</v>
      </c>
      <c r="N3901" t="s">
        <v>10019</v>
      </c>
      <c r="O3901" t="str">
        <f>HYPERLINK("3\1\marker_636_371290.png", "Ver Imagen")</f>
        <v>Ver Imagen</v>
      </c>
      <c r="P3901" t="str">
        <f>HYPERLINK("SE\A-497\A-497__644.png", "Ver Imagen")</f>
        <v>Ver Imagen</v>
      </c>
    </row>
    <row r="3902" spans="1:16" x14ac:dyDescent="0.25">
      <c r="A3902">
        <v>3422</v>
      </c>
      <c r="B3902" t="s">
        <v>6855</v>
      </c>
      <c r="C3902">
        <v>37.257155612399998</v>
      </c>
      <c r="D3902">
        <v>-7.0135140969499998</v>
      </c>
      <c r="E3902">
        <v>2</v>
      </c>
      <c r="F3902">
        <v>3</v>
      </c>
      <c r="G3902">
        <v>3</v>
      </c>
      <c r="J3902" t="s">
        <v>15</v>
      </c>
      <c r="K3902">
        <v>3</v>
      </c>
      <c r="L3902">
        <v>3.3679999999999999</v>
      </c>
      <c r="M3902">
        <v>0</v>
      </c>
      <c r="N3902" t="s">
        <v>10019</v>
      </c>
      <c r="O3902" t="str">
        <f>HYPERLINK("3\1\marker_128_319571.png", "Ver Imagen")</f>
        <v>Ver Imagen</v>
      </c>
      <c r="P3902" t="str">
        <f>HYPERLINK("SE\A-497_2C\A-497_2C__258.png", "Ver Imagen")</f>
        <v>Ver Imagen</v>
      </c>
    </row>
    <row r="3903" spans="1:16" x14ac:dyDescent="0.25">
      <c r="A3903">
        <v>3423</v>
      </c>
      <c r="B3903" t="s">
        <v>6857</v>
      </c>
      <c r="C3903">
        <v>37.256985731699999</v>
      </c>
      <c r="D3903">
        <v>-7.01362252851</v>
      </c>
      <c r="E3903">
        <v>2</v>
      </c>
      <c r="F3903">
        <v>3</v>
      </c>
      <c r="G3903">
        <v>3</v>
      </c>
      <c r="J3903" t="s">
        <v>15</v>
      </c>
      <c r="K3903">
        <v>3</v>
      </c>
      <c r="L3903">
        <v>2.7549999999999999</v>
      </c>
      <c r="M3903">
        <v>0</v>
      </c>
      <c r="N3903" t="s">
        <v>10019</v>
      </c>
      <c r="O3903" t="str">
        <f>HYPERLINK("3\1\marker_140_319581.png", "Ver Imagen")</f>
        <v>Ver Imagen</v>
      </c>
      <c r="P3903" t="str">
        <f>HYPERLINK("SE\A-497_2C\A-497_2C__259.png", "Ver Imagen")</f>
        <v>Ver Imagen</v>
      </c>
    </row>
    <row r="3904" spans="1:16" x14ac:dyDescent="0.25">
      <c r="A3904">
        <v>3424</v>
      </c>
      <c r="B3904" t="s">
        <v>6859</v>
      </c>
      <c r="C3904">
        <v>37.201443206900002</v>
      </c>
      <c r="D3904">
        <v>-6.9924021703000001</v>
      </c>
      <c r="E3904">
        <v>2</v>
      </c>
      <c r="F3904">
        <v>3</v>
      </c>
      <c r="G3904">
        <v>3</v>
      </c>
      <c r="J3904" t="s">
        <v>15</v>
      </c>
      <c r="K3904">
        <v>3</v>
      </c>
      <c r="L3904">
        <v>2.6909999999999998</v>
      </c>
      <c r="M3904">
        <v>0</v>
      </c>
      <c r="N3904" t="s">
        <v>10019</v>
      </c>
      <c r="O3904" t="str">
        <f>HYPERLINK("3\1\marker_253_371320.png", "Ver Imagen")</f>
        <v>Ver Imagen</v>
      </c>
      <c r="P3904" t="str">
        <f>HYPERLINK("SE\A-497\A-497__641.png", "Ver Imagen")</f>
        <v>Ver Imagen</v>
      </c>
    </row>
    <row r="3905" spans="1:16" x14ac:dyDescent="0.25">
      <c r="A3905">
        <v>3425</v>
      </c>
      <c r="B3905" t="s">
        <v>6861</v>
      </c>
      <c r="C3905">
        <v>37.201672663799997</v>
      </c>
      <c r="D3905">
        <v>-6.9936348259900001</v>
      </c>
      <c r="E3905">
        <v>2</v>
      </c>
      <c r="F3905">
        <v>3</v>
      </c>
      <c r="G3905">
        <v>3</v>
      </c>
      <c r="J3905" t="s">
        <v>15</v>
      </c>
      <c r="K3905">
        <v>3</v>
      </c>
      <c r="L3905">
        <v>3.37</v>
      </c>
      <c r="M3905">
        <v>0</v>
      </c>
      <c r="N3905" t="s">
        <v>10019</v>
      </c>
      <c r="O3905" t="str">
        <f>HYPERLINK("3\1\marker_943_371371.png", "Ver Imagen")</f>
        <v>Ver Imagen</v>
      </c>
      <c r="P3905" t="str">
        <f>HYPERLINK("SE\A-497\A-497__636.png", "Ver Imagen")</f>
        <v>Ver Imagen</v>
      </c>
    </row>
    <row r="3906" spans="1:16" x14ac:dyDescent="0.25">
      <c r="A3906">
        <v>3426</v>
      </c>
      <c r="B3906" t="s">
        <v>6863</v>
      </c>
      <c r="C3906">
        <v>37.2017193983</v>
      </c>
      <c r="D3906">
        <v>-6.9938823502999998</v>
      </c>
      <c r="E3906">
        <v>2</v>
      </c>
      <c r="F3906">
        <v>3</v>
      </c>
      <c r="G3906">
        <v>3</v>
      </c>
      <c r="J3906" t="s">
        <v>15</v>
      </c>
      <c r="K3906">
        <v>3</v>
      </c>
      <c r="L3906">
        <v>2.7250000000000001</v>
      </c>
      <c r="M3906">
        <v>0</v>
      </c>
      <c r="N3906" t="s">
        <v>10018</v>
      </c>
      <c r="O3906" t="str">
        <f>HYPERLINK("3\1\marker_895_371380.png", "Ver Imagen")</f>
        <v>Ver Imagen</v>
      </c>
      <c r="P3906" t="str">
        <f>HYPERLINK("SE\A-497\A-497__635.png", "Ver Imagen")</f>
        <v>Ver Imagen</v>
      </c>
    </row>
    <row r="3907" spans="1:16" x14ac:dyDescent="0.25">
      <c r="A3907">
        <v>3427</v>
      </c>
      <c r="B3907" t="s">
        <v>6865</v>
      </c>
      <c r="C3907">
        <v>37.2017712273</v>
      </c>
      <c r="D3907">
        <v>-6.9941630720200001</v>
      </c>
      <c r="E3907">
        <v>2</v>
      </c>
      <c r="F3907">
        <v>3</v>
      </c>
      <c r="G3907">
        <v>3</v>
      </c>
      <c r="J3907" t="s">
        <v>15</v>
      </c>
      <c r="K3907">
        <v>3</v>
      </c>
      <c r="L3907">
        <v>3.0350000000000001</v>
      </c>
      <c r="M3907">
        <v>0</v>
      </c>
      <c r="N3907" t="s">
        <v>10019</v>
      </c>
      <c r="O3907" t="str">
        <f>HYPERLINK("3\1\marker_284_371394.png", "Ver Imagen")</f>
        <v>Ver Imagen</v>
      </c>
      <c r="P3907" t="str">
        <f>HYPERLINK("SE\A-497\A-497__634.png", "Ver Imagen")</f>
        <v>Ver Imagen</v>
      </c>
    </row>
    <row r="3908" spans="1:16" x14ac:dyDescent="0.25">
      <c r="A3908">
        <v>3428</v>
      </c>
      <c r="B3908" t="s">
        <v>6867</v>
      </c>
      <c r="C3908">
        <v>37.201810373800001</v>
      </c>
      <c r="D3908">
        <v>-6.99438191523</v>
      </c>
      <c r="E3908">
        <v>2</v>
      </c>
      <c r="F3908">
        <v>3</v>
      </c>
      <c r="G3908">
        <v>3</v>
      </c>
      <c r="J3908" t="s">
        <v>15</v>
      </c>
      <c r="K3908">
        <v>3</v>
      </c>
      <c r="L3908">
        <v>2.9020000000000001</v>
      </c>
      <c r="M3908">
        <v>0</v>
      </c>
      <c r="N3908" t="s">
        <v>10018</v>
      </c>
      <c r="O3908" t="str">
        <f>HYPERLINK("3\1\marker_575_371404.png", "Ver Imagen")</f>
        <v>Ver Imagen</v>
      </c>
      <c r="P3908" t="str">
        <f>HYPERLINK("SE\A-497\A-497__633.png", "Ver Imagen")</f>
        <v>Ver Imagen</v>
      </c>
    </row>
    <row r="3909" spans="1:16" x14ac:dyDescent="0.25">
      <c r="A3909">
        <v>3429</v>
      </c>
      <c r="B3909" t="s">
        <v>6869</v>
      </c>
      <c r="C3909">
        <v>37.201900698099998</v>
      </c>
      <c r="D3909">
        <v>-6.9948999576800004</v>
      </c>
      <c r="E3909">
        <v>2</v>
      </c>
      <c r="F3909">
        <v>3</v>
      </c>
      <c r="G3909">
        <v>3</v>
      </c>
      <c r="J3909" t="s">
        <v>15</v>
      </c>
      <c r="K3909">
        <v>3</v>
      </c>
      <c r="L3909">
        <v>3.19</v>
      </c>
      <c r="M3909">
        <v>0</v>
      </c>
      <c r="N3909" t="s">
        <v>10019</v>
      </c>
      <c r="O3909" t="str">
        <f>HYPERLINK("3\1\marker_713_371424.png", "Ver Imagen")</f>
        <v>Ver Imagen</v>
      </c>
      <c r="P3909" t="str">
        <f>HYPERLINK("SE\A-497\A-497__631.png", "Ver Imagen")</f>
        <v>Ver Imagen</v>
      </c>
    </row>
    <row r="3910" spans="1:16" x14ac:dyDescent="0.25">
      <c r="A3910">
        <v>3430</v>
      </c>
      <c r="B3910" t="s">
        <v>6871</v>
      </c>
      <c r="C3910">
        <v>37.201937035900002</v>
      </c>
      <c r="D3910">
        <v>-6.9951135075300002</v>
      </c>
      <c r="E3910">
        <v>2</v>
      </c>
      <c r="F3910">
        <v>3</v>
      </c>
      <c r="G3910">
        <v>3</v>
      </c>
      <c r="J3910" t="s">
        <v>15</v>
      </c>
      <c r="K3910">
        <v>3</v>
      </c>
      <c r="L3910">
        <v>2.9689999999999999</v>
      </c>
      <c r="M3910">
        <v>0</v>
      </c>
      <c r="N3910" t="s">
        <v>10019</v>
      </c>
      <c r="O3910" t="str">
        <f>HYPERLINK("3\1\marker_925_371433.png", "Ver Imagen")</f>
        <v>Ver Imagen</v>
      </c>
      <c r="P3910" t="str">
        <f>HYPERLINK("SE\A-497\A-497__630.png", "Ver Imagen")</f>
        <v>Ver Imagen</v>
      </c>
    </row>
    <row r="3911" spans="1:16" x14ac:dyDescent="0.25">
      <c r="A3911">
        <v>3431</v>
      </c>
      <c r="B3911" t="s">
        <v>6873</v>
      </c>
      <c r="C3911">
        <v>37.201981382</v>
      </c>
      <c r="D3911">
        <v>-6.9953786832000002</v>
      </c>
      <c r="E3911">
        <v>2</v>
      </c>
      <c r="F3911">
        <v>3</v>
      </c>
      <c r="G3911">
        <v>3</v>
      </c>
      <c r="J3911" t="s">
        <v>15</v>
      </c>
      <c r="K3911">
        <v>3</v>
      </c>
      <c r="L3911">
        <v>3.024</v>
      </c>
      <c r="M3911">
        <v>0</v>
      </c>
      <c r="N3911" t="s">
        <v>10019</v>
      </c>
      <c r="O3911" t="str">
        <f>HYPERLINK("3\1\marker_976_371441.png", "Ver Imagen")</f>
        <v>Ver Imagen</v>
      </c>
      <c r="P3911" t="str">
        <f>HYPERLINK("SE\A-497\A-497__629.png", "Ver Imagen")</f>
        <v>Ver Imagen</v>
      </c>
    </row>
    <row r="3912" spans="1:16" x14ac:dyDescent="0.25">
      <c r="A3912">
        <v>3432</v>
      </c>
      <c r="B3912" t="s">
        <v>6875</v>
      </c>
      <c r="C3912">
        <v>37.202114325499998</v>
      </c>
      <c r="D3912">
        <v>-6.99619891623</v>
      </c>
      <c r="E3912">
        <v>2</v>
      </c>
      <c r="F3912">
        <v>3</v>
      </c>
      <c r="G3912">
        <v>3</v>
      </c>
      <c r="J3912" t="s">
        <v>15</v>
      </c>
      <c r="K3912">
        <v>3</v>
      </c>
      <c r="L3912">
        <v>3.1190000000000002</v>
      </c>
      <c r="M3912">
        <v>0</v>
      </c>
      <c r="N3912" t="s">
        <v>10019</v>
      </c>
      <c r="O3912" t="str">
        <f>HYPERLINK("3\1\marker_274_371467.png", "Ver Imagen")</f>
        <v>Ver Imagen</v>
      </c>
      <c r="P3912" t="str">
        <f>HYPERLINK("SE\A-497\A-497__626.png", "Ver Imagen")</f>
        <v>Ver Imagen</v>
      </c>
    </row>
    <row r="3913" spans="1:16" x14ac:dyDescent="0.25">
      <c r="A3913">
        <v>3433</v>
      </c>
      <c r="B3913" t="s">
        <v>6877</v>
      </c>
      <c r="C3913">
        <v>37.202441104000002</v>
      </c>
      <c r="D3913">
        <v>-6.9983942450100001</v>
      </c>
      <c r="E3913">
        <v>4</v>
      </c>
      <c r="F3913">
        <v>3</v>
      </c>
      <c r="G3913">
        <v>3</v>
      </c>
      <c r="J3913" t="s">
        <v>15</v>
      </c>
      <c r="K3913">
        <v>3</v>
      </c>
      <c r="L3913">
        <v>2.9220000000000002</v>
      </c>
      <c r="M3913">
        <v>0</v>
      </c>
      <c r="N3913" t="s">
        <v>10019</v>
      </c>
      <c r="O3913" t="str">
        <f>HYPERLINK("3\1\marker_894_371555.png", "Ver Imagen")</f>
        <v>Ver Imagen</v>
      </c>
      <c r="P3913" t="str">
        <f>HYPERLINK("SE\A-497\A-497__617.png", "Ver Imagen")</f>
        <v>Ver Imagen</v>
      </c>
    </row>
    <row r="3914" spans="1:16" x14ac:dyDescent="0.25">
      <c r="A3914">
        <v>3434</v>
      </c>
      <c r="B3914" t="s">
        <v>6879</v>
      </c>
      <c r="C3914">
        <v>37.202512198800001</v>
      </c>
      <c r="D3914">
        <v>-6.9988895717600004</v>
      </c>
      <c r="E3914">
        <v>3</v>
      </c>
      <c r="F3914">
        <v>3</v>
      </c>
      <c r="G3914">
        <v>4</v>
      </c>
      <c r="J3914" t="s">
        <v>15</v>
      </c>
      <c r="K3914">
        <v>3</v>
      </c>
      <c r="L3914">
        <v>2.9780000000000002</v>
      </c>
      <c r="M3914">
        <v>0</v>
      </c>
      <c r="N3914" t="s">
        <v>10017</v>
      </c>
      <c r="O3914" t="str">
        <f>HYPERLINK("3\1\marker_391_371576.png", "Ver Imagen")</f>
        <v>Ver Imagen</v>
      </c>
      <c r="P3914" t="str">
        <f>HYPERLINK("SE\A-497\A-497__615.png", "Ver Imagen")</f>
        <v>Ver Imagen</v>
      </c>
    </row>
    <row r="3915" spans="1:16" x14ac:dyDescent="0.25">
      <c r="A3915">
        <v>3435</v>
      </c>
      <c r="B3915" t="s">
        <v>6881</v>
      </c>
      <c r="C3915">
        <v>37.202581093799999</v>
      </c>
      <c r="D3915">
        <v>-6.9994069325500003</v>
      </c>
      <c r="E3915">
        <v>4</v>
      </c>
      <c r="F3915">
        <v>3</v>
      </c>
      <c r="G3915">
        <v>3</v>
      </c>
      <c r="J3915" t="s">
        <v>15</v>
      </c>
      <c r="K3915">
        <v>3</v>
      </c>
      <c r="L3915">
        <v>2.8029999999999999</v>
      </c>
      <c r="M3915">
        <v>0</v>
      </c>
      <c r="N3915" t="s">
        <v>10019</v>
      </c>
      <c r="O3915" t="str">
        <f>HYPERLINK("3\1\marker_632_371593.png", "Ver Imagen")</f>
        <v>Ver Imagen</v>
      </c>
      <c r="P3915" t="str">
        <f>HYPERLINK("SE\A-497\A-497__613.png", "Ver Imagen")</f>
        <v>Ver Imagen</v>
      </c>
    </row>
    <row r="3916" spans="1:16" x14ac:dyDescent="0.25">
      <c r="A3916">
        <v>3436</v>
      </c>
      <c r="B3916" t="s">
        <v>6883</v>
      </c>
      <c r="C3916">
        <v>37.202647579500002</v>
      </c>
      <c r="D3916">
        <v>-6.99989528486</v>
      </c>
      <c r="E3916">
        <v>3</v>
      </c>
      <c r="F3916">
        <v>3</v>
      </c>
      <c r="G3916">
        <v>2</v>
      </c>
      <c r="J3916" t="s">
        <v>15</v>
      </c>
      <c r="K3916">
        <v>3</v>
      </c>
      <c r="L3916">
        <v>3.0880000000000001</v>
      </c>
      <c r="M3916">
        <v>0</v>
      </c>
      <c r="N3916" t="s">
        <v>10019</v>
      </c>
      <c r="O3916" t="str">
        <f>HYPERLINK("3\1\marker_594_371611.png", "Ver Imagen")</f>
        <v>Ver Imagen</v>
      </c>
      <c r="P3916" t="str">
        <f>HYPERLINK("SE\A-497\A-497__611.png", "Ver Imagen")</f>
        <v>Ver Imagen</v>
      </c>
    </row>
    <row r="3917" spans="1:16" x14ac:dyDescent="0.25">
      <c r="A3917">
        <v>3437</v>
      </c>
      <c r="B3917" t="s">
        <v>6885</v>
      </c>
      <c r="C3917">
        <v>37.2026757577</v>
      </c>
      <c r="D3917">
        <v>-7.00011487016</v>
      </c>
      <c r="E3917">
        <v>3</v>
      </c>
      <c r="F3917">
        <v>3</v>
      </c>
      <c r="G3917">
        <v>2</v>
      </c>
      <c r="J3917" t="s">
        <v>15</v>
      </c>
      <c r="K3917">
        <v>3</v>
      </c>
      <c r="L3917">
        <v>2.988</v>
      </c>
      <c r="M3917">
        <v>0</v>
      </c>
      <c r="N3917" t="s">
        <v>10019</v>
      </c>
      <c r="O3917" t="str">
        <f>HYPERLINK("3\1\marker_638_371619.png", "Ver Imagen")</f>
        <v>Ver Imagen</v>
      </c>
      <c r="P3917" t="str">
        <f>HYPERLINK("SE\A-497\A-497__610.png", "Ver Imagen")</f>
        <v>Ver Imagen</v>
      </c>
    </row>
    <row r="3918" spans="1:16" x14ac:dyDescent="0.25">
      <c r="A3918">
        <v>3438</v>
      </c>
      <c r="B3918" t="s">
        <v>6887</v>
      </c>
      <c r="C3918">
        <v>37.202734304700002</v>
      </c>
      <c r="D3918">
        <v>-7.0005992125900001</v>
      </c>
      <c r="E3918">
        <v>4</v>
      </c>
      <c r="F3918">
        <v>3</v>
      </c>
      <c r="G3918">
        <v>3</v>
      </c>
      <c r="J3918" t="s">
        <v>15</v>
      </c>
      <c r="K3918">
        <v>3</v>
      </c>
      <c r="L3918">
        <v>3.1560000000000001</v>
      </c>
      <c r="M3918">
        <v>0</v>
      </c>
      <c r="N3918" t="s">
        <v>10019</v>
      </c>
      <c r="O3918" t="str">
        <f>HYPERLINK("3\1\marker_223_371639.png", "Ver Imagen")</f>
        <v>Ver Imagen</v>
      </c>
      <c r="P3918" t="str">
        <f>HYPERLINK("SE\A-497\A-497__608.png", "Ver Imagen")</f>
        <v>Ver Imagen</v>
      </c>
    </row>
    <row r="3919" spans="1:16" x14ac:dyDescent="0.25">
      <c r="A3919">
        <v>3439</v>
      </c>
      <c r="B3919" t="s">
        <v>6889</v>
      </c>
      <c r="C3919">
        <v>37.202794930499998</v>
      </c>
      <c r="D3919">
        <v>-7.0011288137300003</v>
      </c>
      <c r="E3919">
        <v>4</v>
      </c>
      <c r="F3919">
        <v>3</v>
      </c>
      <c r="G3919">
        <v>3</v>
      </c>
      <c r="J3919" t="s">
        <v>15</v>
      </c>
      <c r="K3919">
        <v>3</v>
      </c>
      <c r="L3919">
        <v>3.3479999999999999</v>
      </c>
      <c r="M3919">
        <v>0</v>
      </c>
      <c r="N3919" t="s">
        <v>10019</v>
      </c>
      <c r="O3919" t="str">
        <f>HYPERLINK("3\1\marker_394_371659.png", "Ver Imagen")</f>
        <v>Ver Imagen</v>
      </c>
      <c r="P3919" t="str">
        <f>HYPERLINK("SE\A-497\A-497__606.png", "Ver Imagen")</f>
        <v>Ver Imagen</v>
      </c>
    </row>
    <row r="3920" spans="1:16" x14ac:dyDescent="0.25">
      <c r="A3920">
        <v>3440</v>
      </c>
      <c r="B3920" t="s">
        <v>6891</v>
      </c>
      <c r="C3920">
        <v>37.202822507500002</v>
      </c>
      <c r="D3920">
        <v>-7.0013608594600001</v>
      </c>
      <c r="E3920">
        <v>3</v>
      </c>
      <c r="F3920">
        <v>3</v>
      </c>
      <c r="G3920">
        <v>2</v>
      </c>
      <c r="J3920" t="s">
        <v>15</v>
      </c>
      <c r="K3920">
        <v>3</v>
      </c>
      <c r="L3920">
        <v>3.0089999999999999</v>
      </c>
      <c r="M3920">
        <v>0</v>
      </c>
      <c r="N3920" t="s">
        <v>10019</v>
      </c>
      <c r="O3920" t="str">
        <f>HYPERLINK("3\1\marker_352_371669.png", "Ver Imagen")</f>
        <v>Ver Imagen</v>
      </c>
      <c r="P3920" t="str">
        <f>HYPERLINK("SE\A-497\A-497__605.png", "Ver Imagen")</f>
        <v>Ver Imagen</v>
      </c>
    </row>
    <row r="3921" spans="1:16" x14ac:dyDescent="0.25">
      <c r="A3921">
        <v>3441</v>
      </c>
      <c r="B3921" t="s">
        <v>6893</v>
      </c>
      <c r="C3921">
        <v>37.2030421097</v>
      </c>
      <c r="D3921">
        <v>-7.0033391973199999</v>
      </c>
      <c r="E3921">
        <v>3</v>
      </c>
      <c r="F3921">
        <v>3</v>
      </c>
      <c r="G3921">
        <v>4</v>
      </c>
      <c r="J3921" t="s">
        <v>15</v>
      </c>
      <c r="K3921">
        <v>3</v>
      </c>
      <c r="L3921">
        <v>2.9750000000000001</v>
      </c>
      <c r="M3921">
        <v>0</v>
      </c>
      <c r="N3921" t="s">
        <v>10019</v>
      </c>
      <c r="O3921" t="str">
        <f>HYPERLINK("3\1\marker_550_371739.png", "Ver Imagen")</f>
        <v>Ver Imagen</v>
      </c>
      <c r="P3921" t="str">
        <f>HYPERLINK("SE\A-497\A-497__597.png", "Ver Imagen")</f>
        <v>Ver Imagen</v>
      </c>
    </row>
    <row r="3922" spans="1:16" x14ac:dyDescent="0.25">
      <c r="A3922">
        <v>3442</v>
      </c>
      <c r="B3922" t="s">
        <v>6895</v>
      </c>
      <c r="C3922">
        <v>37.256436131800001</v>
      </c>
      <c r="D3922">
        <v>-7.0139723218599999</v>
      </c>
      <c r="E3922">
        <v>2</v>
      </c>
      <c r="F3922">
        <v>3</v>
      </c>
      <c r="G3922">
        <v>3</v>
      </c>
      <c r="J3922" t="s">
        <v>15</v>
      </c>
      <c r="K3922">
        <v>3</v>
      </c>
      <c r="L3922">
        <v>3.1850000000000001</v>
      </c>
      <c r="M3922">
        <v>0</v>
      </c>
      <c r="N3922" t="s">
        <v>10019</v>
      </c>
      <c r="O3922" t="str">
        <f>HYPERLINK("3\1\marker_949_319611.png", "Ver Imagen")</f>
        <v>Ver Imagen</v>
      </c>
      <c r="P3922" t="str">
        <f>HYPERLINK("SE\A-497_2C\A-497_2C__262.png", "Ver Imagen")</f>
        <v>Ver Imagen</v>
      </c>
    </row>
    <row r="3923" spans="1:16" x14ac:dyDescent="0.25">
      <c r="A3923">
        <v>3443</v>
      </c>
      <c r="B3923" t="s">
        <v>6897</v>
      </c>
      <c r="C3923">
        <v>37.203195514000001</v>
      </c>
      <c r="D3923">
        <v>-7.0046442007199996</v>
      </c>
      <c r="E3923">
        <v>4</v>
      </c>
      <c r="F3923">
        <v>3</v>
      </c>
      <c r="G3923">
        <v>3</v>
      </c>
      <c r="J3923" t="s">
        <v>15</v>
      </c>
      <c r="K3923">
        <v>3</v>
      </c>
      <c r="L3923">
        <v>3.052</v>
      </c>
      <c r="M3923">
        <v>0</v>
      </c>
      <c r="N3923" t="s">
        <v>10019</v>
      </c>
      <c r="O3923" t="str">
        <f>HYPERLINK("3\1\marker_996_371803.png", "Ver Imagen")</f>
        <v>Ver Imagen</v>
      </c>
      <c r="P3923" t="str">
        <f>HYPERLINK("SE\A-497\A-497__592.png", "Ver Imagen")</f>
        <v>Ver Imagen</v>
      </c>
    </row>
    <row r="3924" spans="1:16" x14ac:dyDescent="0.25">
      <c r="A3924">
        <v>3444</v>
      </c>
      <c r="B3924" t="s">
        <v>6899</v>
      </c>
      <c r="C3924">
        <v>37.2032262082</v>
      </c>
      <c r="D3924">
        <v>-7.00488951098</v>
      </c>
      <c r="E3924">
        <v>2</v>
      </c>
      <c r="F3924">
        <v>3</v>
      </c>
      <c r="G3924">
        <v>3</v>
      </c>
      <c r="J3924" t="s">
        <v>15</v>
      </c>
      <c r="K3924">
        <v>3</v>
      </c>
      <c r="L3924">
        <v>2.907</v>
      </c>
      <c r="M3924">
        <v>0</v>
      </c>
      <c r="N3924" t="s">
        <v>10019</v>
      </c>
      <c r="O3924" t="str">
        <f>HYPERLINK("3\1\marker_587_371812.png", "Ver Imagen")</f>
        <v>Ver Imagen</v>
      </c>
      <c r="P3924" t="str">
        <f>HYPERLINK("SE\A-497\A-497__591.png", "Ver Imagen")</f>
        <v>Ver Imagen</v>
      </c>
    </row>
    <row r="3925" spans="1:16" x14ac:dyDescent="0.25">
      <c r="A3925">
        <v>3445</v>
      </c>
      <c r="B3925" t="s">
        <v>6901</v>
      </c>
      <c r="C3925">
        <v>37.203258507699999</v>
      </c>
      <c r="D3925">
        <v>-7.0051456666399998</v>
      </c>
      <c r="E3925">
        <v>2</v>
      </c>
      <c r="F3925">
        <v>3</v>
      </c>
      <c r="G3925">
        <v>3</v>
      </c>
      <c r="J3925" t="s">
        <v>15</v>
      </c>
      <c r="K3925">
        <v>3</v>
      </c>
      <c r="L3925">
        <v>2.9350000000000001</v>
      </c>
      <c r="M3925">
        <v>0</v>
      </c>
      <c r="N3925" t="s">
        <v>10019</v>
      </c>
      <c r="O3925" t="str">
        <f>HYPERLINK("3\1\marker_106_371820.png", "Ver Imagen")</f>
        <v>Ver Imagen</v>
      </c>
      <c r="P3925" t="str">
        <f>HYPERLINK("SE\A-497\A-497__590.png", "Ver Imagen")</f>
        <v>Ver Imagen</v>
      </c>
    </row>
    <row r="3926" spans="1:16" x14ac:dyDescent="0.25">
      <c r="A3926">
        <v>3446</v>
      </c>
      <c r="B3926" t="s">
        <v>6903</v>
      </c>
      <c r="C3926">
        <v>37.203292994900004</v>
      </c>
      <c r="D3926">
        <v>-7.00541756383</v>
      </c>
      <c r="E3926">
        <v>2</v>
      </c>
      <c r="F3926">
        <v>3</v>
      </c>
      <c r="G3926">
        <v>3</v>
      </c>
      <c r="J3926" t="s">
        <v>15</v>
      </c>
      <c r="K3926">
        <v>3</v>
      </c>
      <c r="L3926">
        <v>2.8140000000000001</v>
      </c>
      <c r="M3926">
        <v>0</v>
      </c>
      <c r="N3926" t="s">
        <v>10019</v>
      </c>
      <c r="O3926" t="str">
        <f>HYPERLINK("3\1\marker_593_371834.png", "Ver Imagen")</f>
        <v>Ver Imagen</v>
      </c>
      <c r="P3926" t="str">
        <f>HYPERLINK("SE\A-497\A-497__589.png", "Ver Imagen")</f>
        <v>Ver Imagen</v>
      </c>
    </row>
    <row r="3927" spans="1:16" x14ac:dyDescent="0.25">
      <c r="A3927">
        <v>3447</v>
      </c>
      <c r="B3927" t="s">
        <v>6905</v>
      </c>
      <c r="C3927">
        <v>37.255352860499997</v>
      </c>
      <c r="D3927">
        <v>-7.0146661365899998</v>
      </c>
      <c r="E3927">
        <v>2</v>
      </c>
      <c r="F3927">
        <v>3</v>
      </c>
      <c r="G3927">
        <v>3</v>
      </c>
      <c r="J3927" t="s">
        <v>15</v>
      </c>
      <c r="K3927">
        <v>3</v>
      </c>
      <c r="L3927">
        <v>2.9279999999999999</v>
      </c>
      <c r="M3927">
        <v>0</v>
      </c>
      <c r="N3927" t="s">
        <v>10019</v>
      </c>
      <c r="O3927" t="str">
        <f>HYPERLINK("3\1\marker_309_319717.png", "Ver Imagen")</f>
        <v>Ver Imagen</v>
      </c>
      <c r="P3927" t="str">
        <f>HYPERLINK("SE\A-497_2C\A-497_2C__268.png", "Ver Imagen")</f>
        <v>Ver Imagen</v>
      </c>
    </row>
    <row r="3928" spans="1:16" x14ac:dyDescent="0.25">
      <c r="A3928">
        <v>3449</v>
      </c>
      <c r="B3928" t="s">
        <v>6909</v>
      </c>
      <c r="C3928">
        <v>37.254265230500003</v>
      </c>
      <c r="D3928">
        <v>-7.0153632224000004</v>
      </c>
      <c r="E3928">
        <v>3</v>
      </c>
      <c r="F3928">
        <v>3</v>
      </c>
      <c r="G3928">
        <v>4</v>
      </c>
      <c r="J3928" t="s">
        <v>15</v>
      </c>
      <c r="K3928">
        <v>3</v>
      </c>
      <c r="L3928">
        <v>3.2480000000000002</v>
      </c>
      <c r="M3928">
        <v>0</v>
      </c>
      <c r="N3928" t="s">
        <v>10019</v>
      </c>
      <c r="O3928" t="str">
        <f>HYPERLINK("3\1\marker_629_319806.png", "Ver Imagen")</f>
        <v>Ver Imagen</v>
      </c>
      <c r="P3928" t="str">
        <f>HYPERLINK("SE\A-497_2C\A-497_2C__274.png", "Ver Imagen")</f>
        <v>Ver Imagen</v>
      </c>
    </row>
    <row r="3929" spans="1:16" x14ac:dyDescent="0.25">
      <c r="A3929">
        <v>3450</v>
      </c>
      <c r="B3929" t="s">
        <v>6911</v>
      </c>
      <c r="C3929">
        <v>37.254083520599998</v>
      </c>
      <c r="D3929">
        <v>-7.0154794890399996</v>
      </c>
      <c r="E3929">
        <v>3</v>
      </c>
      <c r="F3929">
        <v>3</v>
      </c>
      <c r="G3929">
        <v>4</v>
      </c>
      <c r="J3929" t="s">
        <v>15</v>
      </c>
      <c r="K3929">
        <v>3</v>
      </c>
      <c r="L3929">
        <v>3.2770000000000001</v>
      </c>
      <c r="M3929">
        <v>0</v>
      </c>
      <c r="N3929" t="s">
        <v>10019</v>
      </c>
      <c r="O3929" t="str">
        <f>HYPERLINK("3\1\marker_297_319816.png", "Ver Imagen")</f>
        <v>Ver Imagen</v>
      </c>
      <c r="P3929" t="str">
        <f>HYPERLINK("SE\A-497_2C\A-497_2C__275.png", "Ver Imagen")</f>
        <v>Ver Imagen</v>
      </c>
    </row>
    <row r="3930" spans="1:16" x14ac:dyDescent="0.25">
      <c r="A3930">
        <v>3451</v>
      </c>
      <c r="B3930" t="s">
        <v>6913</v>
      </c>
      <c r="C3930">
        <v>37.2539031166</v>
      </c>
      <c r="D3930">
        <v>-7.0155956992500004</v>
      </c>
      <c r="E3930">
        <v>3</v>
      </c>
      <c r="F3930">
        <v>3</v>
      </c>
      <c r="G3930">
        <v>4</v>
      </c>
      <c r="J3930" t="s">
        <v>15</v>
      </c>
      <c r="K3930">
        <v>3</v>
      </c>
      <c r="L3930">
        <v>2.7749999999999999</v>
      </c>
      <c r="M3930">
        <v>0</v>
      </c>
      <c r="N3930" t="s">
        <v>10019</v>
      </c>
      <c r="O3930" t="str">
        <f>HYPERLINK("3\1\marker_798_319827.png", "Ver Imagen")</f>
        <v>Ver Imagen</v>
      </c>
      <c r="P3930" t="str">
        <f>HYPERLINK("SE\A-497_2C\A-497_2C__276.png", "Ver Imagen")</f>
        <v>Ver Imagen</v>
      </c>
    </row>
    <row r="3931" spans="1:16" x14ac:dyDescent="0.25">
      <c r="A3931">
        <v>3453</v>
      </c>
      <c r="B3931" t="s">
        <v>6917</v>
      </c>
      <c r="C3931">
        <v>37.203555823999999</v>
      </c>
      <c r="D3931">
        <v>-7.0073833989600001</v>
      </c>
      <c r="E3931">
        <v>2</v>
      </c>
      <c r="F3931">
        <v>3</v>
      </c>
      <c r="G3931">
        <v>3</v>
      </c>
      <c r="J3931" t="s">
        <v>15</v>
      </c>
      <c r="K3931">
        <v>3</v>
      </c>
      <c r="L3931">
        <v>2.9710000000000001</v>
      </c>
      <c r="M3931">
        <v>0</v>
      </c>
      <c r="N3931" t="s">
        <v>10019</v>
      </c>
      <c r="O3931" t="str">
        <f>HYPERLINK("3\1\marker_517_371917.png", "Ver Imagen")</f>
        <v>Ver Imagen</v>
      </c>
      <c r="P3931" t="str">
        <f>HYPERLINK("SE\A-497\A-497__581.png", "Ver Imagen")</f>
        <v>Ver Imagen</v>
      </c>
    </row>
    <row r="3932" spans="1:16" x14ac:dyDescent="0.25">
      <c r="A3932">
        <v>3454</v>
      </c>
      <c r="B3932" t="s">
        <v>6919</v>
      </c>
      <c r="C3932">
        <v>37.203632224800003</v>
      </c>
      <c r="D3932">
        <v>-7.0078962838900001</v>
      </c>
      <c r="E3932">
        <v>2</v>
      </c>
      <c r="F3932">
        <v>3</v>
      </c>
      <c r="G3932">
        <v>3</v>
      </c>
      <c r="J3932" t="s">
        <v>15</v>
      </c>
      <c r="K3932">
        <v>3</v>
      </c>
      <c r="L3932">
        <v>2.9079999999999999</v>
      </c>
      <c r="M3932">
        <v>0</v>
      </c>
      <c r="N3932" t="s">
        <v>10017</v>
      </c>
      <c r="O3932" t="str">
        <f>HYPERLINK("3\1\marker_421_371935.png", "Ver Imagen")</f>
        <v>Ver Imagen</v>
      </c>
      <c r="P3932" t="str">
        <f>HYPERLINK("SE\A-497\A-497__579.png", "Ver Imagen")</f>
        <v>Ver Imagen</v>
      </c>
    </row>
    <row r="3933" spans="1:16" x14ac:dyDescent="0.25">
      <c r="A3933">
        <v>3455</v>
      </c>
      <c r="B3933" t="s">
        <v>6921</v>
      </c>
      <c r="C3933">
        <v>37.204013105599998</v>
      </c>
      <c r="D3933">
        <v>-7.0103326848199998</v>
      </c>
      <c r="E3933">
        <v>3</v>
      </c>
      <c r="F3933">
        <v>3</v>
      </c>
      <c r="G3933">
        <v>4</v>
      </c>
      <c r="J3933" t="s">
        <v>15</v>
      </c>
      <c r="K3933">
        <v>3</v>
      </c>
      <c r="L3933">
        <v>2.57</v>
      </c>
      <c r="M3933">
        <v>0</v>
      </c>
      <c r="N3933" t="s">
        <v>10019</v>
      </c>
      <c r="O3933" t="str">
        <f>HYPERLINK("3\1\marker_637_372050.png", "Ver Imagen")</f>
        <v>Ver Imagen</v>
      </c>
      <c r="P3933" t="str">
        <f>HYPERLINK("SE\A-497\A-497__569.png", "Ver Imagen")</f>
        <v>Ver Imagen</v>
      </c>
    </row>
    <row r="3934" spans="1:16" x14ac:dyDescent="0.25">
      <c r="A3934">
        <v>3456</v>
      </c>
      <c r="B3934" t="s">
        <v>6923</v>
      </c>
      <c r="C3934">
        <v>37.248112845800001</v>
      </c>
      <c r="D3934">
        <v>-7.0183739785599997</v>
      </c>
      <c r="E3934">
        <v>4</v>
      </c>
      <c r="F3934">
        <v>3</v>
      </c>
      <c r="G3934">
        <v>3</v>
      </c>
      <c r="J3934" t="s">
        <v>15</v>
      </c>
      <c r="K3934">
        <v>3</v>
      </c>
      <c r="L3934">
        <v>3.4929999999999999</v>
      </c>
      <c r="M3934">
        <v>0</v>
      </c>
      <c r="N3934" t="s">
        <v>10019</v>
      </c>
      <c r="O3934" t="str">
        <f>HYPERLINK("3\1\marker_959_361801.png", "Ver Imagen")</f>
        <v>Ver Imagen</v>
      </c>
      <c r="P3934" t="str">
        <f>HYPERLINK("SE\A-497_2C\A-497_2C__307.png", "Ver Imagen")</f>
        <v>Ver Imagen</v>
      </c>
    </row>
    <row r="3935" spans="1:16" x14ac:dyDescent="0.25">
      <c r="A3935">
        <v>3458</v>
      </c>
      <c r="B3935" t="s">
        <v>6927</v>
      </c>
      <c r="C3935">
        <v>37.204497315600001</v>
      </c>
      <c r="D3935">
        <v>-7.0130844793999998</v>
      </c>
      <c r="E3935">
        <v>4</v>
      </c>
      <c r="F3935">
        <v>3</v>
      </c>
      <c r="G3935">
        <v>3</v>
      </c>
      <c r="J3935" t="s">
        <v>15</v>
      </c>
      <c r="K3935">
        <v>3</v>
      </c>
      <c r="L3935">
        <v>2.931</v>
      </c>
      <c r="M3935">
        <v>0</v>
      </c>
      <c r="N3935" t="s">
        <v>10019</v>
      </c>
      <c r="O3935" t="str">
        <f>HYPERLINK("3\1\marker_859_372163.png", "Ver Imagen")</f>
        <v>Ver Imagen</v>
      </c>
      <c r="P3935" t="str">
        <f>HYPERLINK("SE\A-497\A-497__558.png", "Ver Imagen")</f>
        <v>Ver Imagen</v>
      </c>
    </row>
    <row r="3936" spans="1:16" x14ac:dyDescent="0.25">
      <c r="A3936">
        <v>3459</v>
      </c>
      <c r="B3936" t="s">
        <v>6929</v>
      </c>
      <c r="C3936">
        <v>37.204545428499998</v>
      </c>
      <c r="D3936">
        <v>-7.0133403100200002</v>
      </c>
      <c r="E3936">
        <v>4</v>
      </c>
      <c r="F3936">
        <v>3</v>
      </c>
      <c r="G3936">
        <v>3</v>
      </c>
      <c r="J3936" t="s">
        <v>15</v>
      </c>
      <c r="K3936">
        <v>3</v>
      </c>
      <c r="L3936">
        <v>3.3029999999999999</v>
      </c>
      <c r="M3936">
        <v>0</v>
      </c>
      <c r="N3936" t="s">
        <v>10019</v>
      </c>
      <c r="O3936" t="str">
        <f>HYPERLINK("3\1\marker_177_372173.png", "Ver Imagen")</f>
        <v>Ver Imagen</v>
      </c>
      <c r="P3936" t="str">
        <f>HYPERLINK("SE\A-497\A-497__557.png", "Ver Imagen")</f>
        <v>Ver Imagen</v>
      </c>
    </row>
    <row r="3937" spans="1:16" x14ac:dyDescent="0.25">
      <c r="A3937">
        <v>3460</v>
      </c>
      <c r="B3937" t="s">
        <v>6931</v>
      </c>
      <c r="C3937">
        <v>37.244445870600003</v>
      </c>
      <c r="D3937">
        <v>-7.0185062560700002</v>
      </c>
      <c r="E3937">
        <v>2</v>
      </c>
      <c r="F3937">
        <v>3</v>
      </c>
      <c r="G3937">
        <v>3</v>
      </c>
      <c r="J3937" t="s">
        <v>15</v>
      </c>
      <c r="K3937">
        <v>3</v>
      </c>
      <c r="L3937">
        <v>3.367</v>
      </c>
      <c r="M3937">
        <v>0</v>
      </c>
      <c r="N3937" t="s">
        <v>10018</v>
      </c>
      <c r="O3937" t="str">
        <f>HYPERLINK("3\1\marker_938_361974.png", "Ver Imagen")</f>
        <v>Ver Imagen</v>
      </c>
      <c r="P3937" t="str">
        <f>HYPERLINK("SE\A-497_2C\A-497_2C__325.png", "Ver Imagen")</f>
        <v>Ver Imagen</v>
      </c>
    </row>
    <row r="3938" spans="1:16" x14ac:dyDescent="0.25">
      <c r="A3938">
        <v>3461</v>
      </c>
      <c r="B3938" t="s">
        <v>6933</v>
      </c>
      <c r="C3938">
        <v>37.244245195799998</v>
      </c>
      <c r="D3938">
        <v>-7.0185149407900003</v>
      </c>
      <c r="E3938">
        <v>2</v>
      </c>
      <c r="F3938">
        <v>3</v>
      </c>
      <c r="G3938">
        <v>3</v>
      </c>
      <c r="J3938" t="s">
        <v>15</v>
      </c>
      <c r="K3938">
        <v>3</v>
      </c>
      <c r="L3938">
        <v>3.1219999999999999</v>
      </c>
      <c r="M3938">
        <v>0</v>
      </c>
      <c r="N3938" t="s">
        <v>10019</v>
      </c>
      <c r="O3938" t="str">
        <f>HYPERLINK("3\1\marker_698_361983.png", "Ver Imagen")</f>
        <v>Ver Imagen</v>
      </c>
      <c r="P3938" t="str">
        <f>HYPERLINK("SE\A-497_2C\A-497_2C__326.png", "Ver Imagen")</f>
        <v>Ver Imagen</v>
      </c>
    </row>
    <row r="3939" spans="1:16" x14ac:dyDescent="0.25">
      <c r="A3939">
        <v>3462</v>
      </c>
      <c r="B3939" t="s">
        <v>6935</v>
      </c>
      <c r="C3939">
        <v>37.242835597899997</v>
      </c>
      <c r="D3939">
        <v>-7.0185719428900004</v>
      </c>
      <c r="E3939">
        <v>3</v>
      </c>
      <c r="F3939">
        <v>3</v>
      </c>
      <c r="G3939">
        <v>4</v>
      </c>
      <c r="J3939" t="s">
        <v>15</v>
      </c>
      <c r="K3939">
        <v>3</v>
      </c>
      <c r="L3939">
        <v>3.298</v>
      </c>
      <c r="M3939">
        <v>0</v>
      </c>
      <c r="N3939" t="s">
        <v>10019</v>
      </c>
      <c r="O3939" t="str">
        <f>HYPERLINK("3\1\marker_420_362047.png", "Ver Imagen")</f>
        <v>Ver Imagen</v>
      </c>
      <c r="P3939" t="str">
        <f>HYPERLINK("SE\A-497_2C\A-497_2C__333.png", "Ver Imagen")</f>
        <v>Ver Imagen</v>
      </c>
    </row>
    <row r="3940" spans="1:16" x14ac:dyDescent="0.25">
      <c r="A3940">
        <v>3463</v>
      </c>
      <c r="B3940" t="s">
        <v>6937</v>
      </c>
      <c r="C3940">
        <v>37.205558983700001</v>
      </c>
      <c r="D3940">
        <v>-7.0179765164700001</v>
      </c>
      <c r="E3940">
        <v>3</v>
      </c>
      <c r="F3940">
        <v>3</v>
      </c>
      <c r="G3940">
        <v>4</v>
      </c>
      <c r="J3940" t="s">
        <v>15</v>
      </c>
      <c r="K3940">
        <v>3</v>
      </c>
      <c r="L3940">
        <v>2.9540000000000002</v>
      </c>
      <c r="M3940">
        <v>0</v>
      </c>
      <c r="N3940" t="s">
        <v>10019</v>
      </c>
      <c r="O3940" t="str">
        <f>HYPERLINK("3\1\marker_682_372395.png", "Ver Imagen")</f>
        <v>Ver Imagen</v>
      </c>
      <c r="P3940" t="str">
        <f>HYPERLINK("SE\A-497\A-497__538.png", "Ver Imagen")</f>
        <v>Ver Imagen</v>
      </c>
    </row>
    <row r="3941" spans="1:16" x14ac:dyDescent="0.25">
      <c r="A3941">
        <v>3464</v>
      </c>
      <c r="B3941" t="s">
        <v>6939</v>
      </c>
      <c r="C3941">
        <v>37.205630093300002</v>
      </c>
      <c r="D3941">
        <v>-7.0182119402399996</v>
      </c>
      <c r="E3941">
        <v>3</v>
      </c>
      <c r="F3941">
        <v>3</v>
      </c>
      <c r="G3941">
        <v>4</v>
      </c>
      <c r="J3941" t="s">
        <v>15</v>
      </c>
      <c r="K3941">
        <v>3</v>
      </c>
      <c r="L3941">
        <v>2.9049999999999998</v>
      </c>
      <c r="M3941">
        <v>0</v>
      </c>
      <c r="N3941" t="s">
        <v>10019</v>
      </c>
      <c r="O3941" t="str">
        <f>HYPERLINK("3\1\marker_692_372404.png", "Ver Imagen")</f>
        <v>Ver Imagen</v>
      </c>
      <c r="P3941" t="str">
        <f>HYPERLINK("SE\A-497\A-497__537.png", "Ver Imagen")</f>
        <v>Ver Imagen</v>
      </c>
    </row>
    <row r="3942" spans="1:16" x14ac:dyDescent="0.25">
      <c r="A3942">
        <v>3465</v>
      </c>
      <c r="B3942" t="s">
        <v>6941</v>
      </c>
      <c r="C3942">
        <v>37.240423033600003</v>
      </c>
      <c r="D3942">
        <v>-7.0186599276599999</v>
      </c>
      <c r="E3942">
        <v>4</v>
      </c>
      <c r="F3942">
        <v>3</v>
      </c>
      <c r="G3942">
        <v>3</v>
      </c>
      <c r="J3942" t="s">
        <v>15</v>
      </c>
      <c r="K3942">
        <v>3</v>
      </c>
      <c r="L3942">
        <v>3.1469999999999998</v>
      </c>
      <c r="M3942">
        <v>0</v>
      </c>
      <c r="N3942" t="s">
        <v>10019</v>
      </c>
      <c r="O3942" t="str">
        <f>HYPERLINK("3\1\marker_593_362174.png", "Ver Imagen")</f>
        <v>Ver Imagen</v>
      </c>
      <c r="P3942" t="str">
        <f>HYPERLINK("SE\A-497_2C\A-497_2C__345.png", "Ver Imagen")</f>
        <v>Ver Imagen</v>
      </c>
    </row>
    <row r="3943" spans="1:16" x14ac:dyDescent="0.25">
      <c r="A3943">
        <v>3466</v>
      </c>
      <c r="B3943" t="s">
        <v>6943</v>
      </c>
      <c r="C3943">
        <v>37.2059725628</v>
      </c>
      <c r="D3943">
        <v>-7.0191893299999997</v>
      </c>
      <c r="E3943">
        <v>4</v>
      </c>
      <c r="F3943">
        <v>3</v>
      </c>
      <c r="G3943">
        <v>3</v>
      </c>
      <c r="J3943" t="s">
        <v>15</v>
      </c>
      <c r="K3943">
        <v>3</v>
      </c>
      <c r="L3943">
        <v>3.1469999999999998</v>
      </c>
      <c r="M3943">
        <v>0</v>
      </c>
      <c r="N3943" t="s">
        <v>10019</v>
      </c>
      <c r="O3943" t="str">
        <f>HYPERLINK("3\1\marker_922_372467.png", "Ver Imagen")</f>
        <v>Ver Imagen</v>
      </c>
      <c r="P3943" t="str">
        <f>HYPERLINK("SE\A-497\A-497__533.png", "Ver Imagen")</f>
        <v>Ver Imagen</v>
      </c>
    </row>
    <row r="3944" spans="1:16" x14ac:dyDescent="0.25">
      <c r="A3944">
        <v>3467</v>
      </c>
      <c r="B3944" t="s">
        <v>6945</v>
      </c>
      <c r="C3944">
        <v>37.240023364899997</v>
      </c>
      <c r="D3944">
        <v>-7.0186756585000003</v>
      </c>
      <c r="E3944">
        <v>4</v>
      </c>
      <c r="F3944">
        <v>3</v>
      </c>
      <c r="G3944">
        <v>3</v>
      </c>
      <c r="J3944" t="s">
        <v>15</v>
      </c>
      <c r="K3944">
        <v>3</v>
      </c>
      <c r="L3944">
        <v>3.4319999999999999</v>
      </c>
      <c r="M3944">
        <v>0</v>
      </c>
      <c r="N3944" t="s">
        <v>10019</v>
      </c>
      <c r="O3944" t="str">
        <f>HYPERLINK("3\1\marker_245_362193.png", "Ver Imagen")</f>
        <v>Ver Imagen</v>
      </c>
      <c r="P3944" t="str">
        <f>HYPERLINK("SE\A-497_2C\A-497_2C__347.png", "Ver Imagen")</f>
        <v>Ver Imagen</v>
      </c>
    </row>
    <row r="3945" spans="1:16" x14ac:dyDescent="0.25">
      <c r="A3945">
        <v>3468</v>
      </c>
      <c r="B3945" t="s">
        <v>6947</v>
      </c>
      <c r="C3945">
        <v>37.239622445400002</v>
      </c>
      <c r="D3945">
        <v>-7.0186919268199999</v>
      </c>
      <c r="E3945">
        <v>2</v>
      </c>
      <c r="F3945">
        <v>3</v>
      </c>
      <c r="G3945">
        <v>3</v>
      </c>
      <c r="J3945" t="s">
        <v>15</v>
      </c>
      <c r="K3945">
        <v>3</v>
      </c>
      <c r="L3945">
        <v>2.948</v>
      </c>
      <c r="M3945">
        <v>0</v>
      </c>
      <c r="N3945" t="s">
        <v>10019</v>
      </c>
      <c r="O3945" t="str">
        <f>HYPERLINK("3\1\marker_924_362221.png", "Ver Imagen")</f>
        <v>Ver Imagen</v>
      </c>
      <c r="P3945" t="str">
        <f>HYPERLINK("SE\A-497_2C\A-497_2C__349.png", "Ver Imagen")</f>
        <v>Ver Imagen</v>
      </c>
    </row>
    <row r="3946" spans="1:16" x14ac:dyDescent="0.25">
      <c r="A3946">
        <v>3469</v>
      </c>
      <c r="B3946" t="s">
        <v>6949</v>
      </c>
      <c r="C3946">
        <v>37.239007109399999</v>
      </c>
      <c r="D3946">
        <v>-7.0187188213300002</v>
      </c>
      <c r="E3946">
        <v>2</v>
      </c>
      <c r="F3946">
        <v>3</v>
      </c>
      <c r="G3946">
        <v>3</v>
      </c>
      <c r="J3946" t="s">
        <v>15</v>
      </c>
      <c r="K3946">
        <v>3</v>
      </c>
      <c r="L3946">
        <v>3.2730000000000001</v>
      </c>
      <c r="M3946">
        <v>0</v>
      </c>
      <c r="N3946" t="s">
        <v>10019</v>
      </c>
      <c r="O3946" t="str">
        <f>HYPERLINK("3\1\marker_857_362249.png", "Ver Imagen")</f>
        <v>Ver Imagen</v>
      </c>
      <c r="P3946" t="str">
        <f>HYPERLINK("SE\A-497_2C\A-497_2C__352.png", "Ver Imagen")</f>
        <v>Ver Imagen</v>
      </c>
    </row>
    <row r="3947" spans="1:16" x14ac:dyDescent="0.25">
      <c r="A3947">
        <v>3470</v>
      </c>
      <c r="B3947" t="s">
        <v>6951</v>
      </c>
      <c r="C3947">
        <v>37.2386290022</v>
      </c>
      <c r="D3947">
        <v>-7.0187349345200003</v>
      </c>
      <c r="E3947">
        <v>4</v>
      </c>
      <c r="F3947">
        <v>3</v>
      </c>
      <c r="G3947">
        <v>3</v>
      </c>
      <c r="J3947" t="s">
        <v>15</v>
      </c>
      <c r="K3947">
        <v>3</v>
      </c>
      <c r="L3947">
        <v>3.0640000000000001</v>
      </c>
      <c r="M3947">
        <v>0</v>
      </c>
      <c r="N3947" t="s">
        <v>10019</v>
      </c>
      <c r="O3947" t="str">
        <f>HYPERLINK("3\1\marker_367_362269.png", "Ver Imagen")</f>
        <v>Ver Imagen</v>
      </c>
      <c r="P3947" t="str">
        <f>HYPERLINK("SE\A-497_2C\A-497_2C__354.png", "Ver Imagen")</f>
        <v>Ver Imagen</v>
      </c>
    </row>
    <row r="3948" spans="1:16" x14ac:dyDescent="0.25">
      <c r="A3948">
        <v>3472</v>
      </c>
      <c r="B3948" t="s">
        <v>6955</v>
      </c>
      <c r="C3948">
        <v>37.235559793699998</v>
      </c>
      <c r="D3948">
        <v>-7.0184245178899998</v>
      </c>
      <c r="E3948">
        <v>4</v>
      </c>
      <c r="F3948">
        <v>3</v>
      </c>
      <c r="G3948">
        <v>3</v>
      </c>
      <c r="J3948" t="s">
        <v>15</v>
      </c>
      <c r="K3948">
        <v>3</v>
      </c>
      <c r="L3948">
        <v>3.2029999999999998</v>
      </c>
      <c r="M3948">
        <v>0</v>
      </c>
      <c r="N3948" t="s">
        <v>10019</v>
      </c>
      <c r="O3948" t="str">
        <f>HYPERLINK("3\1\marker_969_362457.png", "Ver Imagen")</f>
        <v>Ver Imagen</v>
      </c>
      <c r="P3948" t="str">
        <f>HYPERLINK("SE\A-497_2C\A-497_2C__369.png", "Ver Imagen")</f>
        <v>Ver Imagen</v>
      </c>
    </row>
    <row r="3949" spans="1:16" x14ac:dyDescent="0.25">
      <c r="A3949">
        <v>3473</v>
      </c>
      <c r="B3949" t="s">
        <v>6957</v>
      </c>
      <c r="C3949">
        <v>37.2091932696</v>
      </c>
      <c r="D3949">
        <v>-7.0231314429799996</v>
      </c>
      <c r="E3949">
        <v>4</v>
      </c>
      <c r="F3949">
        <v>3</v>
      </c>
      <c r="G3949">
        <v>3</v>
      </c>
      <c r="J3949" t="s">
        <v>15</v>
      </c>
      <c r="K3949">
        <v>3</v>
      </c>
      <c r="L3949">
        <v>2.8420000000000001</v>
      </c>
      <c r="M3949">
        <v>0</v>
      </c>
      <c r="N3949" t="s">
        <v>10019</v>
      </c>
      <c r="O3949" t="str">
        <f>HYPERLINK("3\1\marker_592_372691.png", "Ver Imagen")</f>
        <v>Ver Imagen</v>
      </c>
      <c r="P3949" t="str">
        <f>HYPERLINK("SE\A-497\A-497__510.png", "Ver Imagen")</f>
        <v>Ver Imagen</v>
      </c>
    </row>
    <row r="3950" spans="1:16" x14ac:dyDescent="0.25">
      <c r="A3950">
        <v>3475</v>
      </c>
      <c r="B3950" t="s">
        <v>6961</v>
      </c>
      <c r="C3950">
        <v>37.230286529700003</v>
      </c>
      <c r="D3950">
        <v>-7.0202473857500003</v>
      </c>
      <c r="E3950">
        <v>4</v>
      </c>
      <c r="F3950">
        <v>3</v>
      </c>
      <c r="G3950">
        <v>3</v>
      </c>
      <c r="J3950" t="s">
        <v>15</v>
      </c>
      <c r="K3950">
        <v>3</v>
      </c>
      <c r="L3950">
        <v>2.9820000000000002</v>
      </c>
      <c r="M3950">
        <v>0</v>
      </c>
      <c r="N3950" t="s">
        <v>10019</v>
      </c>
      <c r="O3950" t="str">
        <f>HYPERLINK("3\1\marker_231_362876.png", "Ver Imagen")</f>
        <v>Ver Imagen</v>
      </c>
      <c r="P3950" t="str">
        <f>HYPERLINK("SE\A-497_2C\A-497_2C__397.png", "Ver Imagen")</f>
        <v>Ver Imagen</v>
      </c>
    </row>
    <row r="3951" spans="1:16" x14ac:dyDescent="0.25">
      <c r="A3951">
        <v>3476</v>
      </c>
      <c r="B3951" t="s">
        <v>6963</v>
      </c>
      <c r="C3951">
        <v>37.229964452499999</v>
      </c>
      <c r="D3951">
        <v>-7.0204947774499997</v>
      </c>
      <c r="E3951">
        <v>2</v>
      </c>
      <c r="F3951">
        <v>3</v>
      </c>
      <c r="G3951">
        <v>3</v>
      </c>
      <c r="J3951" t="s">
        <v>15</v>
      </c>
      <c r="K3951">
        <v>3</v>
      </c>
      <c r="L3951">
        <v>3.0390000000000001</v>
      </c>
      <c r="M3951">
        <v>0</v>
      </c>
      <c r="N3951" t="s">
        <v>10019</v>
      </c>
      <c r="O3951" t="str">
        <f>HYPERLINK("3\1\marker_948_362897.png", "Ver Imagen")</f>
        <v>Ver Imagen</v>
      </c>
      <c r="P3951" t="str">
        <f>HYPERLINK("SE\A-497_2C\A-497_2C__399.png", "Ver Imagen")</f>
        <v>Ver Imagen</v>
      </c>
    </row>
    <row r="3952" spans="1:16" x14ac:dyDescent="0.25">
      <c r="A3952">
        <v>3477</v>
      </c>
      <c r="B3952" t="s">
        <v>6965</v>
      </c>
      <c r="C3952">
        <v>37.229766420200001</v>
      </c>
      <c r="D3952">
        <v>-7.0206453873000001</v>
      </c>
      <c r="E3952">
        <v>4</v>
      </c>
      <c r="F3952">
        <v>3</v>
      </c>
      <c r="G3952">
        <v>3</v>
      </c>
      <c r="J3952" t="s">
        <v>15</v>
      </c>
      <c r="K3952">
        <v>3</v>
      </c>
      <c r="L3952">
        <v>2.58</v>
      </c>
      <c r="M3952">
        <v>0</v>
      </c>
      <c r="N3952" t="s">
        <v>10018</v>
      </c>
      <c r="O3952" t="str">
        <f>HYPERLINK("3\1\marker_854_362906.png", "Ver Imagen")</f>
        <v>Ver Imagen</v>
      </c>
      <c r="P3952" t="str">
        <f>HYPERLINK("SE\A-497_2C\A-497_2C__400.png", "Ver Imagen")</f>
        <v>Ver Imagen</v>
      </c>
    </row>
    <row r="3953" spans="1:16" x14ac:dyDescent="0.25">
      <c r="A3953">
        <v>3478</v>
      </c>
      <c r="B3953" t="s">
        <v>6967</v>
      </c>
      <c r="C3953">
        <v>37.229592969700001</v>
      </c>
      <c r="D3953">
        <v>-7.0207760671399999</v>
      </c>
      <c r="E3953">
        <v>4</v>
      </c>
      <c r="F3953">
        <v>3</v>
      </c>
      <c r="G3953">
        <v>3</v>
      </c>
      <c r="J3953" t="s">
        <v>15</v>
      </c>
      <c r="K3953">
        <v>3</v>
      </c>
      <c r="L3953">
        <v>2.6739999999999999</v>
      </c>
      <c r="M3953">
        <v>0</v>
      </c>
      <c r="N3953" t="s">
        <v>10019</v>
      </c>
      <c r="O3953" t="str">
        <f>HYPERLINK("3\1\marker_300_362915.png", "Ver Imagen")</f>
        <v>Ver Imagen</v>
      </c>
      <c r="P3953" t="str">
        <f>HYPERLINK("SE\A-497_2C\A-497_2C__401.png", "Ver Imagen")</f>
        <v>Ver Imagen</v>
      </c>
    </row>
    <row r="3954" spans="1:16" x14ac:dyDescent="0.25">
      <c r="A3954">
        <v>3479</v>
      </c>
      <c r="B3954" t="s">
        <v>6969</v>
      </c>
      <c r="C3954">
        <v>37.229467306399997</v>
      </c>
      <c r="D3954">
        <v>-7.0208704126899999</v>
      </c>
      <c r="E3954">
        <v>4</v>
      </c>
      <c r="F3954">
        <v>3</v>
      </c>
      <c r="G3954">
        <v>3</v>
      </c>
      <c r="J3954" t="s">
        <v>15</v>
      </c>
      <c r="K3954">
        <v>3</v>
      </c>
      <c r="L3954">
        <v>2.8340000000000001</v>
      </c>
      <c r="M3954">
        <v>0</v>
      </c>
      <c r="N3954" t="s">
        <v>10017</v>
      </c>
      <c r="O3954" t="str">
        <f>HYPERLINK("3\1\marker_618_362925.png", "Ver Imagen")</f>
        <v>Ver Imagen</v>
      </c>
      <c r="P3954" t="str">
        <f>HYPERLINK("SE\A-497_2C\A-497_2C__402.png", "Ver Imagen")</f>
        <v>Ver Imagen</v>
      </c>
    </row>
    <row r="3955" spans="1:16" x14ac:dyDescent="0.25">
      <c r="A3955">
        <v>3481</v>
      </c>
      <c r="B3955" t="s">
        <v>6973</v>
      </c>
      <c r="C3955">
        <v>37.227038376000003</v>
      </c>
      <c r="D3955">
        <v>-7.0226901024600004</v>
      </c>
      <c r="E3955">
        <v>3</v>
      </c>
      <c r="F3955">
        <v>3</v>
      </c>
      <c r="G3955">
        <v>2</v>
      </c>
      <c r="J3955" t="s">
        <v>15</v>
      </c>
      <c r="K3955">
        <v>3</v>
      </c>
      <c r="L3955">
        <v>2.88</v>
      </c>
      <c r="M3955">
        <v>0</v>
      </c>
      <c r="N3955" t="s">
        <v>10019</v>
      </c>
      <c r="O3955" t="str">
        <f>HYPERLINK("3\1\marker_777_363074.png", "Ver Imagen")</f>
        <v>Ver Imagen</v>
      </c>
      <c r="P3955" t="str">
        <f>HYPERLINK("SE\A-497_2C\A-497_2C__416.png", "Ver Imagen")</f>
        <v>Ver Imagen</v>
      </c>
    </row>
    <row r="3956" spans="1:16" x14ac:dyDescent="0.25">
      <c r="A3956">
        <v>3482</v>
      </c>
      <c r="B3956" t="s">
        <v>6975</v>
      </c>
      <c r="C3956">
        <v>37.226655044499999</v>
      </c>
      <c r="D3956">
        <v>-7.0229163502</v>
      </c>
      <c r="E3956">
        <v>3</v>
      </c>
      <c r="F3956">
        <v>3</v>
      </c>
      <c r="G3956">
        <v>2</v>
      </c>
      <c r="J3956" t="s">
        <v>15</v>
      </c>
      <c r="K3956">
        <v>3</v>
      </c>
      <c r="L3956">
        <v>2.7789999999999999</v>
      </c>
      <c r="M3956">
        <v>0</v>
      </c>
      <c r="N3956" t="s">
        <v>10019</v>
      </c>
      <c r="O3956" t="str">
        <f>HYPERLINK("3\1\marker_693_363094.png", "Ver Imagen")</f>
        <v>Ver Imagen</v>
      </c>
      <c r="P3956" t="str">
        <f>HYPERLINK("SE\A-497_2C\A-497_2C__418.png", "Ver Imagen")</f>
        <v>Ver Imagen</v>
      </c>
    </row>
    <row r="3957" spans="1:16" x14ac:dyDescent="0.25">
      <c r="A3957">
        <v>3483</v>
      </c>
      <c r="B3957" t="s">
        <v>6977</v>
      </c>
      <c r="C3957">
        <v>37.215168434699997</v>
      </c>
      <c r="D3957">
        <v>-7.0233802186499998</v>
      </c>
      <c r="E3957">
        <v>2</v>
      </c>
      <c r="F3957">
        <v>3</v>
      </c>
      <c r="G3957">
        <v>3</v>
      </c>
      <c r="J3957" t="s">
        <v>15</v>
      </c>
      <c r="K3957">
        <v>3</v>
      </c>
      <c r="L3957">
        <v>2.823</v>
      </c>
      <c r="M3957">
        <v>0</v>
      </c>
      <c r="N3957" t="s">
        <v>10019</v>
      </c>
      <c r="O3957" t="str">
        <f>HYPERLINK("3\1\marker_125_376309.png", "Ver Imagen")</f>
        <v>Ver Imagen</v>
      </c>
      <c r="P3957" t="str">
        <f>HYPERLINK("SE\A-497\A-497__480.png", "Ver Imagen")</f>
        <v>Ver Imagen</v>
      </c>
    </row>
    <row r="3958" spans="1:16" x14ac:dyDescent="0.25">
      <c r="A3958">
        <v>3484</v>
      </c>
      <c r="B3958" t="s">
        <v>6979</v>
      </c>
      <c r="C3958">
        <v>37.216391331499999</v>
      </c>
      <c r="D3958">
        <v>-7.0231598923899998</v>
      </c>
      <c r="E3958">
        <v>3</v>
      </c>
      <c r="F3958">
        <v>3</v>
      </c>
      <c r="G3958">
        <v>2</v>
      </c>
      <c r="J3958" t="s">
        <v>15</v>
      </c>
      <c r="K3958">
        <v>3</v>
      </c>
      <c r="L3958">
        <v>2.988</v>
      </c>
      <c r="M3958">
        <v>0</v>
      </c>
      <c r="N3958" t="s">
        <v>10019</v>
      </c>
      <c r="O3958" t="str">
        <f>HYPERLINK("3\1\marker_364_376383.png", "Ver Imagen")</f>
        <v>Ver Imagen</v>
      </c>
      <c r="P3958" t="str">
        <f>HYPERLINK("SE\A-497\A-497__474.png", "Ver Imagen")</f>
        <v>Ver Imagen</v>
      </c>
    </row>
    <row r="3959" spans="1:16" x14ac:dyDescent="0.25">
      <c r="A3959">
        <v>3485</v>
      </c>
      <c r="B3959" t="s">
        <v>6981</v>
      </c>
      <c r="C3959">
        <v>37.216802949200002</v>
      </c>
      <c r="D3959">
        <v>-7.0230849710000003</v>
      </c>
      <c r="E3959">
        <v>2</v>
      </c>
      <c r="F3959">
        <v>3</v>
      </c>
      <c r="G3959">
        <v>3</v>
      </c>
      <c r="J3959" t="s">
        <v>15</v>
      </c>
      <c r="K3959">
        <v>3</v>
      </c>
      <c r="L3959">
        <v>2.7879999999999998</v>
      </c>
      <c r="M3959">
        <v>0</v>
      </c>
      <c r="N3959" t="s">
        <v>10019</v>
      </c>
      <c r="O3959" t="str">
        <f>HYPERLINK("3\1\marker_263_376404.png", "Ver Imagen")</f>
        <v>Ver Imagen</v>
      </c>
      <c r="P3959" t="str">
        <f>HYPERLINK("SE\A-497\A-497__472.png", "Ver Imagen")</f>
        <v>Ver Imagen</v>
      </c>
    </row>
    <row r="3960" spans="1:16" x14ac:dyDescent="0.25">
      <c r="A3960">
        <v>3486</v>
      </c>
      <c r="B3960" t="s">
        <v>6983</v>
      </c>
      <c r="C3960">
        <v>37.217187559099997</v>
      </c>
      <c r="D3960">
        <v>-7.0230167880499996</v>
      </c>
      <c r="E3960">
        <v>2</v>
      </c>
      <c r="F3960">
        <v>3</v>
      </c>
      <c r="G3960">
        <v>3</v>
      </c>
      <c r="J3960" t="s">
        <v>15</v>
      </c>
      <c r="K3960">
        <v>3</v>
      </c>
      <c r="L3960">
        <v>3.2320000000000002</v>
      </c>
      <c r="M3960">
        <v>0</v>
      </c>
      <c r="N3960" t="s">
        <v>10019</v>
      </c>
      <c r="O3960" t="str">
        <f>HYPERLINK("3\1\marker_776_376472.png", "Ver Imagen")</f>
        <v>Ver Imagen</v>
      </c>
      <c r="P3960" t="str">
        <f>HYPERLINK("SE\A-497\A-497__470.png", "Ver Imagen")</f>
        <v>Ver Imagen</v>
      </c>
    </row>
    <row r="3961" spans="1:16" x14ac:dyDescent="0.25">
      <c r="A3961">
        <v>3487</v>
      </c>
      <c r="B3961" t="s">
        <v>6985</v>
      </c>
      <c r="C3961">
        <v>37.217358027099998</v>
      </c>
      <c r="D3961">
        <v>-7.0229872977500003</v>
      </c>
      <c r="E3961">
        <v>3</v>
      </c>
      <c r="F3961">
        <v>3</v>
      </c>
      <c r="G3961">
        <v>2</v>
      </c>
      <c r="J3961" t="s">
        <v>15</v>
      </c>
      <c r="K3961">
        <v>3</v>
      </c>
      <c r="L3961">
        <v>3.1379999999999999</v>
      </c>
      <c r="M3961">
        <v>0</v>
      </c>
      <c r="N3961" t="s">
        <v>10019</v>
      </c>
      <c r="O3961" t="str">
        <f>HYPERLINK("3\1\marker_646_376480.png", "Ver Imagen")</f>
        <v>Ver Imagen</v>
      </c>
      <c r="P3961" t="str">
        <f>HYPERLINK("SE\A-497\A-497__469.png", "Ver Imagen")</f>
        <v>Ver Imagen</v>
      </c>
    </row>
    <row r="3962" spans="1:16" x14ac:dyDescent="0.25">
      <c r="A3962">
        <v>3488</v>
      </c>
      <c r="B3962" t="s">
        <v>6987</v>
      </c>
      <c r="C3962">
        <v>37.217545521300003</v>
      </c>
      <c r="D3962">
        <v>-7.0229553756099996</v>
      </c>
      <c r="E3962">
        <v>4</v>
      </c>
      <c r="F3962">
        <v>3</v>
      </c>
      <c r="G3962">
        <v>3</v>
      </c>
      <c r="J3962" t="s">
        <v>15</v>
      </c>
      <c r="K3962">
        <v>3</v>
      </c>
      <c r="L3962">
        <v>2.8889999999999998</v>
      </c>
      <c r="M3962">
        <v>0</v>
      </c>
      <c r="N3962" t="s">
        <v>10019</v>
      </c>
      <c r="O3962" t="str">
        <f>HYPERLINK("3\1\marker_109_376489.png", "Ver Imagen")</f>
        <v>Ver Imagen</v>
      </c>
      <c r="P3962" t="str">
        <f>HYPERLINK("SE\A-497\A-497__468.png", "Ver Imagen")</f>
        <v>Ver Imagen</v>
      </c>
    </row>
    <row r="3963" spans="1:16" x14ac:dyDescent="0.25">
      <c r="A3963">
        <v>3489</v>
      </c>
      <c r="B3963" t="s">
        <v>6989</v>
      </c>
      <c r="C3963">
        <v>37.223236912200001</v>
      </c>
      <c r="D3963">
        <v>-7.0232704656199996</v>
      </c>
      <c r="E3963">
        <v>2</v>
      </c>
      <c r="F3963">
        <v>3</v>
      </c>
      <c r="G3963">
        <v>3</v>
      </c>
      <c r="J3963" t="s">
        <v>15</v>
      </c>
      <c r="K3963">
        <v>3</v>
      </c>
      <c r="L3963">
        <v>2.948</v>
      </c>
      <c r="M3963">
        <v>0</v>
      </c>
      <c r="N3963" t="s">
        <v>10019</v>
      </c>
      <c r="O3963" t="str">
        <f>HYPERLINK("3\1\marker_612_363258.png", "Ver Imagen")</f>
        <v>Ver Imagen</v>
      </c>
      <c r="P3963" t="str">
        <f>HYPERLINK("SE\A-497_2C\A-497_2C__435.png", "Ver Imagen")</f>
        <v>Ver Imagen</v>
      </c>
    </row>
    <row r="3964" spans="1:16" x14ac:dyDescent="0.25">
      <c r="A3964">
        <v>3490</v>
      </c>
      <c r="B3964" t="s">
        <v>6991</v>
      </c>
      <c r="C3964">
        <v>37.222479311800001</v>
      </c>
      <c r="D3964">
        <v>-7.0231970095999996</v>
      </c>
      <c r="E3964">
        <v>2</v>
      </c>
      <c r="F3964">
        <v>3</v>
      </c>
      <c r="G3964">
        <v>3</v>
      </c>
      <c r="J3964" t="s">
        <v>15</v>
      </c>
      <c r="K3964">
        <v>3</v>
      </c>
      <c r="L3964">
        <v>3.3</v>
      </c>
      <c r="M3964">
        <v>0</v>
      </c>
      <c r="N3964" t="s">
        <v>10019</v>
      </c>
      <c r="O3964" t="str">
        <f>HYPERLINK("3\1\marker_784_363299.png", "Ver Imagen")</f>
        <v>Ver Imagen</v>
      </c>
      <c r="P3964" t="str">
        <f>HYPERLINK("SE\A-497_2C\A-497_2C__439.png", "Ver Imagen")</f>
        <v>Ver Imagen</v>
      </c>
    </row>
    <row r="3965" spans="1:16" x14ac:dyDescent="0.25">
      <c r="A3965">
        <v>3492</v>
      </c>
      <c r="B3965" t="s">
        <v>6995</v>
      </c>
      <c r="C3965">
        <v>37.220056099099999</v>
      </c>
      <c r="D3965">
        <v>-7.0229704711199998</v>
      </c>
      <c r="E3965">
        <v>4</v>
      </c>
      <c r="F3965">
        <v>3</v>
      </c>
      <c r="G3965">
        <v>3</v>
      </c>
      <c r="J3965" t="s">
        <v>15</v>
      </c>
      <c r="K3965">
        <v>3</v>
      </c>
      <c r="L3965">
        <v>3.2970000000000002</v>
      </c>
      <c r="M3965">
        <v>0</v>
      </c>
      <c r="N3965" t="s">
        <v>10019</v>
      </c>
      <c r="O3965" t="str">
        <f>HYPERLINK("3\1\marker_682_363428.png", "Ver Imagen")</f>
        <v>Ver Imagen</v>
      </c>
      <c r="P3965" t="str">
        <f>HYPERLINK("SE\A-497_2C\A-497_2C__451.png", "Ver Imagen")</f>
        <v>Ver Imagen</v>
      </c>
    </row>
    <row r="3966" spans="1:16" x14ac:dyDescent="0.25">
      <c r="A3966">
        <v>3493</v>
      </c>
      <c r="B3966" t="s">
        <v>6997</v>
      </c>
      <c r="C3966">
        <v>37.219847287999997</v>
      </c>
      <c r="D3966">
        <v>-7.02295762341</v>
      </c>
      <c r="E3966">
        <v>4</v>
      </c>
      <c r="F3966">
        <v>3</v>
      </c>
      <c r="G3966">
        <v>3</v>
      </c>
      <c r="J3966" t="s">
        <v>15</v>
      </c>
      <c r="K3966">
        <v>3</v>
      </c>
      <c r="L3966">
        <v>3.4969999999999999</v>
      </c>
      <c r="M3966">
        <v>0</v>
      </c>
      <c r="N3966" t="s">
        <v>10017</v>
      </c>
      <c r="O3966" t="str">
        <f>HYPERLINK("3\1\marker_409_363437.png", "Ver Imagen")</f>
        <v>Ver Imagen</v>
      </c>
      <c r="P3966" t="str">
        <f>HYPERLINK("SE\A-497_2C\A-497_2C__452.png", "Ver Imagen")</f>
        <v>Ver Imagen</v>
      </c>
    </row>
    <row r="3967" spans="1:16" x14ac:dyDescent="0.25">
      <c r="A3967">
        <v>3494</v>
      </c>
      <c r="B3967" t="s">
        <v>6999</v>
      </c>
      <c r="C3967">
        <v>37.219645947499998</v>
      </c>
      <c r="D3967">
        <v>-7.0229504898100004</v>
      </c>
      <c r="E3967">
        <v>4</v>
      </c>
      <c r="F3967">
        <v>3</v>
      </c>
      <c r="G3967">
        <v>3</v>
      </c>
      <c r="J3967" t="s">
        <v>15</v>
      </c>
      <c r="K3967">
        <v>3</v>
      </c>
      <c r="L3967">
        <v>3.4180000000000001</v>
      </c>
      <c r="M3967">
        <v>0</v>
      </c>
      <c r="N3967" t="s">
        <v>10017</v>
      </c>
      <c r="O3967" t="str">
        <f>HYPERLINK("3\1\marker_336_363446.png", "Ver Imagen")</f>
        <v>Ver Imagen</v>
      </c>
      <c r="P3967" t="str">
        <f>HYPERLINK("SE\A-497_2C\A-497_2C__453.png", "Ver Imagen")</f>
        <v>Ver Imagen</v>
      </c>
    </row>
    <row r="3968" spans="1:16" x14ac:dyDescent="0.25">
      <c r="A3968">
        <v>3496</v>
      </c>
      <c r="B3968" t="s">
        <v>7003</v>
      </c>
      <c r="C3968">
        <v>37.215226551599997</v>
      </c>
      <c r="D3968">
        <v>-7.0235455444300001</v>
      </c>
      <c r="E3968">
        <v>4</v>
      </c>
      <c r="F3968">
        <v>3</v>
      </c>
      <c r="G3968">
        <v>3</v>
      </c>
      <c r="J3968" t="s">
        <v>15</v>
      </c>
      <c r="K3968">
        <v>3</v>
      </c>
      <c r="L3968">
        <v>3.1320000000000001</v>
      </c>
      <c r="M3968">
        <v>0</v>
      </c>
      <c r="N3968" t="s">
        <v>10019</v>
      </c>
      <c r="O3968" t="str">
        <f>HYPERLINK("3\1\marker_414_363701.png", "Ver Imagen")</f>
        <v>Ver Imagen</v>
      </c>
      <c r="P3968" t="str">
        <f>HYPERLINK("SE\A-497_2C\A-497_2C__475.png", "Ver Imagen")</f>
        <v>Ver Imagen</v>
      </c>
    </row>
    <row r="3969" spans="1:16" x14ac:dyDescent="0.25">
      <c r="A3969">
        <v>3497</v>
      </c>
      <c r="B3969" t="s">
        <v>7005</v>
      </c>
      <c r="C3969">
        <v>37.214388880000001</v>
      </c>
      <c r="D3969">
        <v>-7.0236979288399999</v>
      </c>
      <c r="E3969">
        <v>4</v>
      </c>
      <c r="F3969">
        <v>3</v>
      </c>
      <c r="G3969">
        <v>3</v>
      </c>
      <c r="J3969" t="s">
        <v>15</v>
      </c>
      <c r="K3969">
        <v>3</v>
      </c>
      <c r="L3969">
        <v>3.024</v>
      </c>
      <c r="M3969">
        <v>0</v>
      </c>
      <c r="N3969" t="s">
        <v>10019</v>
      </c>
      <c r="O3969" t="str">
        <f>HYPERLINK("3\1\marker_695_363746.png", "Ver Imagen")</f>
        <v>Ver Imagen</v>
      </c>
      <c r="P3969" t="str">
        <f>HYPERLINK("SE\A-497_2C\A-497_2C__479.png", "Ver Imagen")</f>
        <v>Ver Imagen</v>
      </c>
    </row>
    <row r="3970" spans="1:16" x14ac:dyDescent="0.25">
      <c r="A3970">
        <v>3498</v>
      </c>
      <c r="B3970" t="s">
        <v>7007</v>
      </c>
      <c r="C3970">
        <v>37.212619836400002</v>
      </c>
      <c r="D3970">
        <v>-7.0239951517100003</v>
      </c>
      <c r="E3970">
        <v>4</v>
      </c>
      <c r="F3970">
        <v>3</v>
      </c>
      <c r="G3970">
        <v>3</v>
      </c>
      <c r="J3970" t="s">
        <v>15</v>
      </c>
      <c r="K3970">
        <v>3</v>
      </c>
      <c r="L3970">
        <v>2.98</v>
      </c>
      <c r="M3970">
        <v>0</v>
      </c>
      <c r="N3970" t="s">
        <v>10019</v>
      </c>
      <c r="O3970" t="str">
        <f>HYPERLINK("3\1\marker_683_363855.png", "Ver Imagen")</f>
        <v>Ver Imagen</v>
      </c>
      <c r="P3970" t="str">
        <f>HYPERLINK("SE\A-497_2C\A-497_2C__488.png", "Ver Imagen")</f>
        <v>Ver Imagen</v>
      </c>
    </row>
    <row r="3971" spans="1:16" x14ac:dyDescent="0.25">
      <c r="A3971">
        <v>3499</v>
      </c>
      <c r="B3971" t="s">
        <v>7009</v>
      </c>
      <c r="C3971">
        <v>37.211755709999998</v>
      </c>
      <c r="D3971">
        <v>-7.0240493499600003</v>
      </c>
      <c r="E3971">
        <v>4</v>
      </c>
      <c r="F3971">
        <v>3</v>
      </c>
      <c r="G3971">
        <v>3</v>
      </c>
      <c r="J3971" t="s">
        <v>15</v>
      </c>
      <c r="K3971">
        <v>3</v>
      </c>
      <c r="L3971">
        <v>3.129</v>
      </c>
      <c r="M3971">
        <v>0</v>
      </c>
      <c r="N3971" t="s">
        <v>10019</v>
      </c>
      <c r="O3971" t="str">
        <f>HYPERLINK("3\1\marker_894_363915.png", "Ver Imagen")</f>
        <v>Ver Imagen</v>
      </c>
      <c r="P3971" t="str">
        <f>HYPERLINK("SE\A-497_2C\A-497_2C__492.png", "Ver Imagen")</f>
        <v>Ver Imagen</v>
      </c>
    </row>
    <row r="3972" spans="1:16" x14ac:dyDescent="0.25">
      <c r="A3972">
        <v>3500</v>
      </c>
      <c r="B3972" t="s">
        <v>7011</v>
      </c>
      <c r="C3972">
        <v>37.211371371399999</v>
      </c>
      <c r="D3972">
        <v>-7.0240296650299996</v>
      </c>
      <c r="E3972">
        <v>4</v>
      </c>
      <c r="F3972">
        <v>3</v>
      </c>
      <c r="G3972">
        <v>3</v>
      </c>
      <c r="J3972" t="s">
        <v>15</v>
      </c>
      <c r="K3972">
        <v>3</v>
      </c>
      <c r="L3972">
        <v>3.2810000000000001</v>
      </c>
      <c r="M3972">
        <v>0</v>
      </c>
      <c r="N3972" t="s">
        <v>10019</v>
      </c>
      <c r="O3972" t="str">
        <f>HYPERLINK("3\1\marker_207_363942.png", "Ver Imagen")</f>
        <v>Ver Imagen</v>
      </c>
      <c r="P3972" t="str">
        <f>HYPERLINK("SE\A-497_2C\A-497_2C__494.png", "Ver Imagen")</f>
        <v>Ver Imagen</v>
      </c>
    </row>
    <row r="3973" spans="1:16" x14ac:dyDescent="0.25">
      <c r="A3973">
        <v>3501</v>
      </c>
      <c r="B3973" t="s">
        <v>7013</v>
      </c>
      <c r="C3973">
        <v>37.211177509800002</v>
      </c>
      <c r="D3973">
        <v>-7.0240098720199997</v>
      </c>
      <c r="E3973">
        <v>4</v>
      </c>
      <c r="F3973">
        <v>3</v>
      </c>
      <c r="G3973">
        <v>3</v>
      </c>
      <c r="J3973" t="s">
        <v>15</v>
      </c>
      <c r="K3973">
        <v>3</v>
      </c>
      <c r="L3973">
        <v>2.9220000000000002</v>
      </c>
      <c r="M3973">
        <v>0</v>
      </c>
      <c r="N3973" t="s">
        <v>10019</v>
      </c>
      <c r="O3973" t="str">
        <f>HYPERLINK("3\1\marker_503_363956.png", "Ver Imagen")</f>
        <v>Ver Imagen</v>
      </c>
      <c r="P3973" t="str">
        <f>HYPERLINK("SE\A-497_2C\A-497_2C__495.png", "Ver Imagen")</f>
        <v>Ver Imagen</v>
      </c>
    </row>
    <row r="3974" spans="1:16" x14ac:dyDescent="0.25">
      <c r="A3974">
        <v>3502</v>
      </c>
      <c r="B3974" t="s">
        <v>7015</v>
      </c>
      <c r="C3974">
        <v>37.210988619200002</v>
      </c>
      <c r="D3974">
        <v>-7.0239833525200002</v>
      </c>
      <c r="E3974">
        <v>4</v>
      </c>
      <c r="F3974">
        <v>3</v>
      </c>
      <c r="G3974">
        <v>3</v>
      </c>
      <c r="J3974" t="s">
        <v>15</v>
      </c>
      <c r="K3974">
        <v>3</v>
      </c>
      <c r="L3974">
        <v>3.1419999999999999</v>
      </c>
      <c r="M3974">
        <v>0</v>
      </c>
      <c r="N3974" t="s">
        <v>10019</v>
      </c>
      <c r="O3974" t="str">
        <f>HYPERLINK("3\1\marker_898_363967.png", "Ver Imagen")</f>
        <v>Ver Imagen</v>
      </c>
      <c r="P3974" t="str">
        <f>HYPERLINK("SE\A-497_2C\A-497_2C__496.png", "Ver Imagen")</f>
        <v>Ver Imagen</v>
      </c>
    </row>
    <row r="3975" spans="1:16" x14ac:dyDescent="0.25">
      <c r="A3975">
        <v>3505</v>
      </c>
      <c r="B3975" t="s">
        <v>7021</v>
      </c>
      <c r="C3975">
        <v>37.209594591200002</v>
      </c>
      <c r="D3975">
        <v>-7.0235547987800002</v>
      </c>
      <c r="E3975">
        <v>4</v>
      </c>
      <c r="F3975">
        <v>3</v>
      </c>
      <c r="G3975">
        <v>3</v>
      </c>
      <c r="J3975" t="s">
        <v>15</v>
      </c>
      <c r="K3975">
        <v>3</v>
      </c>
      <c r="L3975">
        <v>3.0619999999999998</v>
      </c>
      <c r="M3975">
        <v>0</v>
      </c>
      <c r="N3975" t="s">
        <v>10019</v>
      </c>
      <c r="O3975" t="str">
        <f>HYPERLINK("3\1\marker_175_364091.png", "Ver Imagen")</f>
        <v>Ver Imagen</v>
      </c>
      <c r="P3975" t="str">
        <f>HYPERLINK("SE\A-497_2C\A-497_2C__503.png", "Ver Imagen")</f>
        <v>Ver Imagen</v>
      </c>
    </row>
    <row r="3976" spans="1:16" x14ac:dyDescent="0.25">
      <c r="A3976">
        <v>3507</v>
      </c>
      <c r="B3976" t="s">
        <v>7025</v>
      </c>
      <c r="C3976">
        <v>37.207993885900002</v>
      </c>
      <c r="D3976">
        <v>-7.0224979050899998</v>
      </c>
      <c r="E3976">
        <v>2</v>
      </c>
      <c r="F3976">
        <v>3</v>
      </c>
      <c r="G3976">
        <v>3</v>
      </c>
      <c r="J3976" t="s">
        <v>15</v>
      </c>
      <c r="K3976">
        <v>3</v>
      </c>
      <c r="L3976">
        <v>2.7639999999999998</v>
      </c>
      <c r="M3976">
        <v>0</v>
      </c>
      <c r="N3976" t="s">
        <v>10019</v>
      </c>
      <c r="O3976" t="str">
        <f>HYPERLINK("3\1\marker_507_364178.png", "Ver Imagen")</f>
        <v>Ver Imagen</v>
      </c>
      <c r="P3976" t="str">
        <f>HYPERLINK("SE\A-497_2C\A-497_2C__512.png", "Ver Imagen")</f>
        <v>Ver Imagen</v>
      </c>
    </row>
    <row r="3977" spans="1:16" x14ac:dyDescent="0.25">
      <c r="A3977">
        <v>3508</v>
      </c>
      <c r="B3977" t="s">
        <v>7027</v>
      </c>
      <c r="C3977">
        <v>37.207839304799997</v>
      </c>
      <c r="D3977">
        <v>-7.0223545440699997</v>
      </c>
      <c r="E3977">
        <v>2</v>
      </c>
      <c r="F3977">
        <v>3</v>
      </c>
      <c r="G3977">
        <v>3</v>
      </c>
      <c r="J3977" t="s">
        <v>15</v>
      </c>
      <c r="K3977">
        <v>3</v>
      </c>
      <c r="L3977">
        <v>2.706</v>
      </c>
      <c r="M3977">
        <v>0</v>
      </c>
      <c r="N3977" t="s">
        <v>10019</v>
      </c>
      <c r="O3977" t="str">
        <f>HYPERLINK("3\1\marker_737_364188.png", "Ver Imagen")</f>
        <v>Ver Imagen</v>
      </c>
      <c r="P3977" t="str">
        <f>HYPERLINK("SE\A-497_2C\A-497_2C__513.png", "Ver Imagen")</f>
        <v>Ver Imagen</v>
      </c>
    </row>
    <row r="3978" spans="1:16" x14ac:dyDescent="0.25">
      <c r="A3978">
        <v>3510</v>
      </c>
      <c r="B3978" t="s">
        <v>7031</v>
      </c>
      <c r="C3978">
        <v>37.207523611299997</v>
      </c>
      <c r="D3978">
        <v>-7.0220331207699997</v>
      </c>
      <c r="E3978">
        <v>2</v>
      </c>
      <c r="F3978">
        <v>3</v>
      </c>
      <c r="G3978">
        <v>3</v>
      </c>
      <c r="J3978" t="s">
        <v>15</v>
      </c>
      <c r="K3978">
        <v>3</v>
      </c>
      <c r="L3978">
        <v>3</v>
      </c>
      <c r="M3978">
        <v>0</v>
      </c>
      <c r="N3978" t="s">
        <v>10019</v>
      </c>
      <c r="O3978" t="str">
        <f>HYPERLINK("3\1\marker_277_364207.png", "Ver Imagen")</f>
        <v>Ver Imagen</v>
      </c>
      <c r="P3978" t="str">
        <f>HYPERLINK("SE\A-497_2C\A-497_2C__515.png", "Ver Imagen")</f>
        <v>Ver Imagen</v>
      </c>
    </row>
    <row r="3979" spans="1:16" x14ac:dyDescent="0.25">
      <c r="A3979">
        <v>3511</v>
      </c>
      <c r="B3979" t="s">
        <v>7033</v>
      </c>
      <c r="C3979">
        <v>37.207364879099998</v>
      </c>
      <c r="D3979">
        <v>-7.0218572606</v>
      </c>
      <c r="E3979">
        <v>2</v>
      </c>
      <c r="F3979">
        <v>3</v>
      </c>
      <c r="G3979">
        <v>3</v>
      </c>
      <c r="J3979" t="s">
        <v>15</v>
      </c>
      <c r="K3979">
        <v>3</v>
      </c>
      <c r="L3979">
        <v>3.036</v>
      </c>
      <c r="M3979">
        <v>0</v>
      </c>
      <c r="N3979" t="s">
        <v>10019</v>
      </c>
      <c r="O3979" t="str">
        <f>HYPERLINK("3\1\marker_529_364218.png", "Ver Imagen")</f>
        <v>Ver Imagen</v>
      </c>
      <c r="P3979" t="str">
        <f>HYPERLINK("SE\A-497_2C\A-497_2C__516.png", "Ver Imagen")</f>
        <v>Ver Imagen</v>
      </c>
    </row>
    <row r="3980" spans="1:16" x14ac:dyDescent="0.25">
      <c r="A3980">
        <v>3512</v>
      </c>
      <c r="B3980" t="s">
        <v>7035</v>
      </c>
      <c r="C3980">
        <v>37.207218439999998</v>
      </c>
      <c r="D3980">
        <v>-7.0216866211599998</v>
      </c>
      <c r="E3980">
        <v>2</v>
      </c>
      <c r="F3980">
        <v>3</v>
      </c>
      <c r="G3980">
        <v>3</v>
      </c>
      <c r="J3980" t="s">
        <v>15</v>
      </c>
      <c r="K3980">
        <v>3</v>
      </c>
      <c r="L3980">
        <v>3.1219999999999999</v>
      </c>
      <c r="M3980">
        <v>0</v>
      </c>
      <c r="N3980" t="s">
        <v>10019</v>
      </c>
      <c r="O3980" t="str">
        <f>HYPERLINK("3\1\marker_435_364234.png", "Ver Imagen")</f>
        <v>Ver Imagen</v>
      </c>
      <c r="P3980" t="str">
        <f>HYPERLINK("SE\A-497_2C\A-497_2C__517.png", "Ver Imagen")</f>
        <v>Ver Imagen</v>
      </c>
    </row>
    <row r="3981" spans="1:16" x14ac:dyDescent="0.25">
      <c r="A3981">
        <v>3513</v>
      </c>
      <c r="B3981" t="s">
        <v>7037</v>
      </c>
      <c r="C3981">
        <v>37.207076078599997</v>
      </c>
      <c r="D3981">
        <v>-7.0215119378099997</v>
      </c>
      <c r="E3981">
        <v>3</v>
      </c>
      <c r="F3981">
        <v>3</v>
      </c>
      <c r="G3981">
        <v>4</v>
      </c>
      <c r="J3981" t="s">
        <v>15</v>
      </c>
      <c r="K3981">
        <v>3</v>
      </c>
      <c r="L3981">
        <v>3.19</v>
      </c>
      <c r="M3981">
        <v>0</v>
      </c>
      <c r="N3981" t="s">
        <v>10019</v>
      </c>
      <c r="O3981" t="str">
        <f>HYPERLINK("3\1\marker_648_364244.png", "Ver Imagen")</f>
        <v>Ver Imagen</v>
      </c>
      <c r="P3981" t="str">
        <f>HYPERLINK("SE\A-497_2C\A-497_2C__518.png", "Ver Imagen")</f>
        <v>Ver Imagen</v>
      </c>
    </row>
    <row r="3982" spans="1:16" x14ac:dyDescent="0.25">
      <c r="A3982">
        <v>3514</v>
      </c>
      <c r="B3982" t="s">
        <v>7039</v>
      </c>
      <c r="C3982">
        <v>37.206912207199998</v>
      </c>
      <c r="D3982">
        <v>-7.0212962128200003</v>
      </c>
      <c r="E3982">
        <v>2</v>
      </c>
      <c r="F3982">
        <v>3</v>
      </c>
      <c r="G3982">
        <v>3</v>
      </c>
      <c r="J3982" t="s">
        <v>15</v>
      </c>
      <c r="K3982">
        <v>3</v>
      </c>
      <c r="L3982">
        <v>3.1320000000000001</v>
      </c>
      <c r="M3982">
        <v>0</v>
      </c>
      <c r="N3982" t="s">
        <v>10019</v>
      </c>
      <c r="O3982" t="str">
        <f>HYPERLINK("3\1\marker_372_364265.png", "Ver Imagen")</f>
        <v>Ver Imagen</v>
      </c>
      <c r="P3982" t="str">
        <f>HYPERLINK("SE\A-497_2C\A-497_2C__519.png", "Ver Imagen")</f>
        <v>Ver Imagen</v>
      </c>
    </row>
    <row r="3983" spans="1:16" x14ac:dyDescent="0.25">
      <c r="A3983">
        <v>3515</v>
      </c>
      <c r="B3983" t="s">
        <v>7041</v>
      </c>
      <c r="C3983">
        <v>37.204534803599998</v>
      </c>
      <c r="D3983">
        <v>-7.0140529445800004</v>
      </c>
      <c r="E3983">
        <v>2</v>
      </c>
      <c r="F3983">
        <v>3</v>
      </c>
      <c r="G3983">
        <v>3</v>
      </c>
      <c r="J3983" t="s">
        <v>15</v>
      </c>
      <c r="K3983">
        <v>3</v>
      </c>
      <c r="L3983">
        <v>2.97</v>
      </c>
      <c r="M3983">
        <v>0</v>
      </c>
      <c r="N3983" t="s">
        <v>10019</v>
      </c>
      <c r="O3983" t="str">
        <f>HYPERLINK("3\1\marker_253_364693.png", "Ver Imagen")</f>
        <v>Ver Imagen</v>
      </c>
      <c r="P3983" t="str">
        <f>HYPERLINK("SE\A-497_2C\A-497_2C__551.png", "Ver Imagen")</f>
        <v>Ver Imagen</v>
      </c>
    </row>
    <row r="3984" spans="1:16" x14ac:dyDescent="0.25">
      <c r="A3984">
        <v>3516</v>
      </c>
      <c r="B3984" t="s">
        <v>7043</v>
      </c>
      <c r="C3984">
        <v>37.203480356100002</v>
      </c>
      <c r="D3984">
        <v>-7.0078506426900002</v>
      </c>
      <c r="E3984">
        <v>2</v>
      </c>
      <c r="F3984">
        <v>3</v>
      </c>
      <c r="G3984">
        <v>3</v>
      </c>
      <c r="J3984" t="s">
        <v>15</v>
      </c>
      <c r="K3984">
        <v>3</v>
      </c>
      <c r="L3984">
        <v>3.008</v>
      </c>
      <c r="M3984">
        <v>0</v>
      </c>
      <c r="N3984" t="s">
        <v>10019</v>
      </c>
      <c r="O3984" t="str">
        <f>HYPERLINK("3\1\marker_423_366538.png", "Ver Imagen")</f>
        <v>Ver Imagen</v>
      </c>
      <c r="P3984" t="str">
        <f>HYPERLINK("SE\A-497_2C\A-497_2C__576.png", "Ver Imagen")</f>
        <v>Ver Imagen</v>
      </c>
    </row>
    <row r="3985" spans="1:16" x14ac:dyDescent="0.25">
      <c r="A3985">
        <v>3517</v>
      </c>
      <c r="B3985" t="s">
        <v>7045</v>
      </c>
      <c r="C3985">
        <v>37.202954552500003</v>
      </c>
      <c r="D3985">
        <v>-7.0038611152300003</v>
      </c>
      <c r="E3985">
        <v>3</v>
      </c>
      <c r="F3985">
        <v>3</v>
      </c>
      <c r="G3985">
        <v>4</v>
      </c>
      <c r="J3985" t="s">
        <v>15</v>
      </c>
      <c r="K3985">
        <v>3</v>
      </c>
      <c r="L3985">
        <v>3.0840000000000001</v>
      </c>
      <c r="M3985">
        <v>0</v>
      </c>
      <c r="N3985" t="s">
        <v>10018</v>
      </c>
      <c r="O3985" t="str">
        <f>HYPERLINK("3\1\marker_380_366689.png", "Ver Imagen")</f>
        <v>Ver Imagen</v>
      </c>
      <c r="P3985" t="str">
        <f>HYPERLINK("SE\A-497_2C\A-497_2C__592.png", "Ver Imagen")</f>
        <v>Ver Imagen</v>
      </c>
    </row>
    <row r="3986" spans="1:16" x14ac:dyDescent="0.25">
      <c r="A3986">
        <v>3518</v>
      </c>
      <c r="B3986" t="s">
        <v>7047</v>
      </c>
      <c r="C3986">
        <v>37.202243179200003</v>
      </c>
      <c r="D3986">
        <v>-6.9980782599199998</v>
      </c>
      <c r="E3986">
        <v>2</v>
      </c>
      <c r="F3986">
        <v>3</v>
      </c>
      <c r="G3986">
        <v>3</v>
      </c>
      <c r="J3986" t="s">
        <v>15</v>
      </c>
      <c r="K3986">
        <v>3</v>
      </c>
      <c r="L3986">
        <v>2.9969999999999999</v>
      </c>
      <c r="M3986">
        <v>0</v>
      </c>
      <c r="N3986" t="s">
        <v>10018</v>
      </c>
      <c r="O3986" t="str">
        <f>HYPERLINK("3\1\marker_677_366919.png", "Ver Imagen")</f>
        <v>Ver Imagen</v>
      </c>
      <c r="P3986" t="str">
        <f>HYPERLINK("SE\A-497_2C\A-497_2C__615.png", "Ver Imagen")</f>
        <v>Ver Imagen</v>
      </c>
    </row>
    <row r="3987" spans="1:16" x14ac:dyDescent="0.25">
      <c r="A3987">
        <v>3519</v>
      </c>
      <c r="B3987" t="s">
        <v>7049</v>
      </c>
      <c r="C3987">
        <v>37.2007309643</v>
      </c>
      <c r="D3987">
        <v>-6.9896409754700004</v>
      </c>
      <c r="E3987">
        <v>2</v>
      </c>
      <c r="F3987">
        <v>3</v>
      </c>
      <c r="G3987">
        <v>3</v>
      </c>
      <c r="J3987" t="s">
        <v>15</v>
      </c>
      <c r="K3987">
        <v>3</v>
      </c>
      <c r="L3987">
        <v>2.8959999999999999</v>
      </c>
      <c r="M3987">
        <v>0</v>
      </c>
      <c r="N3987" t="s">
        <v>10019</v>
      </c>
      <c r="O3987" t="str">
        <f>HYPERLINK("3\1\marker_122_367270.png", "Ver Imagen")</f>
        <v>Ver Imagen</v>
      </c>
      <c r="P3987" t="str">
        <f>HYPERLINK("SE\A-497_2C\A-497_2C__649.png", "Ver Imagen")</f>
        <v>Ver Imagen</v>
      </c>
    </row>
    <row r="3988" spans="1:16" x14ac:dyDescent="0.25">
      <c r="A3988">
        <v>3521</v>
      </c>
      <c r="B3988" t="s">
        <v>7053</v>
      </c>
      <c r="C3988">
        <v>37.228197083799998</v>
      </c>
      <c r="D3988">
        <v>-7.0216291012100003</v>
      </c>
      <c r="E3988">
        <v>3</v>
      </c>
      <c r="F3988">
        <v>3</v>
      </c>
      <c r="G3988">
        <v>2</v>
      </c>
      <c r="J3988" t="s">
        <v>15</v>
      </c>
      <c r="K3988">
        <v>3</v>
      </c>
      <c r="L3988">
        <v>2.9129999999999998</v>
      </c>
      <c r="M3988">
        <v>0</v>
      </c>
      <c r="N3988" t="s">
        <v>10019</v>
      </c>
      <c r="O3988" t="str">
        <f>HYPERLINK("3\1\marker_115_377066.png", "Ver Imagen")</f>
        <v>Ver Imagen</v>
      </c>
      <c r="P3988" t="str">
        <f>HYPERLINK("SE\A-497\A-497__414.png", "Ver Imagen")</f>
        <v>Ver Imagen</v>
      </c>
    </row>
    <row r="3989" spans="1:16" x14ac:dyDescent="0.25">
      <c r="A3989">
        <v>3522</v>
      </c>
      <c r="B3989" t="s">
        <v>7055</v>
      </c>
      <c r="C3989">
        <v>37.231631559599997</v>
      </c>
      <c r="D3989">
        <v>-7.0190076600499998</v>
      </c>
      <c r="E3989">
        <v>3</v>
      </c>
      <c r="F3989">
        <v>3</v>
      </c>
      <c r="G3989">
        <v>4</v>
      </c>
      <c r="J3989" t="s">
        <v>15</v>
      </c>
      <c r="K3989">
        <v>3</v>
      </c>
      <c r="L3989">
        <v>3.3530000000000002</v>
      </c>
      <c r="M3989">
        <v>0</v>
      </c>
      <c r="N3989" t="s">
        <v>10019</v>
      </c>
      <c r="O3989" t="str">
        <f>HYPERLINK("3\1\marker_760_377246.png", "Ver Imagen")</f>
        <v>Ver Imagen</v>
      </c>
      <c r="P3989" t="str">
        <f>HYPERLINK("SE\A-497\A-497__394.png", "Ver Imagen")</f>
        <v>Ver Imagen</v>
      </c>
    </row>
    <row r="3990" spans="1:16" x14ac:dyDescent="0.25">
      <c r="A3990">
        <v>3523</v>
      </c>
      <c r="B3990" t="s">
        <v>7057</v>
      </c>
      <c r="C3990">
        <v>37.2342919759</v>
      </c>
      <c r="D3990">
        <v>-7.0179998724999999</v>
      </c>
      <c r="E3990">
        <v>2</v>
      </c>
      <c r="F3990">
        <v>3</v>
      </c>
      <c r="G3990">
        <v>3</v>
      </c>
      <c r="J3990" t="s">
        <v>15</v>
      </c>
      <c r="K3990">
        <v>3</v>
      </c>
      <c r="L3990">
        <v>2.831</v>
      </c>
      <c r="M3990">
        <v>0</v>
      </c>
      <c r="N3990" t="s">
        <v>10019</v>
      </c>
      <c r="O3990" t="str">
        <f>HYPERLINK("3\1\marker_920_377370.png", "Ver Imagen")</f>
        <v>Ver Imagen</v>
      </c>
      <c r="P3990" t="str">
        <f>HYPERLINK("SE\A-497\A-497__380.png", "Ver Imagen")</f>
        <v>Ver Imagen</v>
      </c>
    </row>
    <row r="3991" spans="1:16" x14ac:dyDescent="0.25">
      <c r="A3991">
        <v>3524</v>
      </c>
      <c r="B3991" t="s">
        <v>7059</v>
      </c>
      <c r="C3991">
        <v>37.235514956400003</v>
      </c>
      <c r="D3991">
        <v>-7.0182399249999996</v>
      </c>
      <c r="E3991">
        <v>2</v>
      </c>
      <c r="F3991">
        <v>3</v>
      </c>
      <c r="G3991">
        <v>3</v>
      </c>
      <c r="J3991" t="s">
        <v>15</v>
      </c>
      <c r="K3991">
        <v>3</v>
      </c>
      <c r="L3991">
        <v>2.9820000000000002</v>
      </c>
      <c r="M3991">
        <v>0</v>
      </c>
      <c r="N3991" t="s">
        <v>10019</v>
      </c>
      <c r="O3991" t="str">
        <f>HYPERLINK("3\1\marker_289_377421.png", "Ver Imagen")</f>
        <v>Ver Imagen</v>
      </c>
      <c r="P3991" t="str">
        <f>HYPERLINK("SE\A-497\A-497__374.png", "Ver Imagen")</f>
        <v>Ver Imagen</v>
      </c>
    </row>
    <row r="3992" spans="1:16" x14ac:dyDescent="0.25">
      <c r="A3992">
        <v>3525</v>
      </c>
      <c r="B3992" t="s">
        <v>7061</v>
      </c>
      <c r="C3992">
        <v>37.240779096700003</v>
      </c>
      <c r="D3992">
        <v>-7.0184529815300003</v>
      </c>
      <c r="E3992">
        <v>4</v>
      </c>
      <c r="F3992">
        <v>3</v>
      </c>
      <c r="G3992">
        <v>3</v>
      </c>
      <c r="J3992" t="s">
        <v>15</v>
      </c>
      <c r="K3992">
        <v>3</v>
      </c>
      <c r="L3992">
        <v>3.4039999999999999</v>
      </c>
      <c r="M3992">
        <v>0</v>
      </c>
      <c r="N3992" t="s">
        <v>10019</v>
      </c>
      <c r="O3992" t="str">
        <f>HYPERLINK("3\1\marker_577_377681.png", "Ver Imagen")</f>
        <v>Ver Imagen</v>
      </c>
      <c r="P3992" t="str">
        <f>HYPERLINK("SE\A-497\A-497__348.png", "Ver Imagen")</f>
        <v>Ver Imagen</v>
      </c>
    </row>
    <row r="3993" spans="1:16" x14ac:dyDescent="0.25">
      <c r="A3993">
        <v>3526</v>
      </c>
      <c r="B3993" t="s">
        <v>7063</v>
      </c>
      <c r="C3993">
        <v>37.240950291600001</v>
      </c>
      <c r="D3993">
        <v>-7.0184478569099999</v>
      </c>
      <c r="E3993">
        <v>4</v>
      </c>
      <c r="F3993">
        <v>3</v>
      </c>
      <c r="G3993">
        <v>3</v>
      </c>
      <c r="J3993" t="s">
        <v>15</v>
      </c>
      <c r="K3993">
        <v>3</v>
      </c>
      <c r="L3993">
        <v>3.1579999999999999</v>
      </c>
      <c r="M3993">
        <v>0</v>
      </c>
      <c r="N3993" t="s">
        <v>10017</v>
      </c>
      <c r="O3993" t="str">
        <f>HYPERLINK("3\1\marker_268_377697.png", "Ver Imagen")</f>
        <v>Ver Imagen</v>
      </c>
      <c r="P3993" t="str">
        <f>HYPERLINK("SE\A-497\A-497__347.png", "Ver Imagen")</f>
        <v>Ver Imagen</v>
      </c>
    </row>
    <row r="3994" spans="1:16" x14ac:dyDescent="0.25">
      <c r="A3994">
        <v>3528</v>
      </c>
      <c r="B3994" t="s">
        <v>7067</v>
      </c>
      <c r="C3994">
        <v>37.241542509600002</v>
      </c>
      <c r="D3994">
        <v>-7.0184281645100004</v>
      </c>
      <c r="E3994">
        <v>4</v>
      </c>
      <c r="F3994">
        <v>3</v>
      </c>
      <c r="G3994">
        <v>3</v>
      </c>
      <c r="J3994" t="s">
        <v>15</v>
      </c>
      <c r="K3994">
        <v>3</v>
      </c>
      <c r="L3994">
        <v>3.15</v>
      </c>
      <c r="M3994">
        <v>0</v>
      </c>
      <c r="N3994" t="s">
        <v>10019</v>
      </c>
      <c r="O3994" t="str">
        <f>HYPERLINK("3\1\marker_969_377729.png", "Ver Imagen")</f>
        <v>Ver Imagen</v>
      </c>
      <c r="P3994" t="str">
        <f>HYPERLINK("SE\A-497\A-497__344.png", "Ver Imagen")</f>
        <v>Ver Imagen</v>
      </c>
    </row>
    <row r="3995" spans="1:16" x14ac:dyDescent="0.25">
      <c r="A3995">
        <v>3530</v>
      </c>
      <c r="B3995" t="s">
        <v>7071</v>
      </c>
      <c r="C3995">
        <v>37.242347978799998</v>
      </c>
      <c r="D3995">
        <v>-7.0183969798200003</v>
      </c>
      <c r="E3995">
        <v>3</v>
      </c>
      <c r="F3995">
        <v>3</v>
      </c>
      <c r="G3995">
        <v>2</v>
      </c>
      <c r="J3995" t="s">
        <v>15</v>
      </c>
      <c r="K3995">
        <v>3</v>
      </c>
      <c r="L3995">
        <v>3.4380000000000002</v>
      </c>
      <c r="M3995">
        <v>0</v>
      </c>
      <c r="N3995" t="s">
        <v>10018</v>
      </c>
      <c r="O3995" t="str">
        <f>HYPERLINK("3\1\marker_527_377772.png", "Ver Imagen")</f>
        <v>Ver Imagen</v>
      </c>
      <c r="P3995" t="str">
        <f>HYPERLINK("SE\A-497\A-497__340.png", "Ver Imagen")</f>
        <v>Ver Imagen</v>
      </c>
    </row>
    <row r="3996" spans="1:16" x14ac:dyDescent="0.25">
      <c r="A3996">
        <v>3531</v>
      </c>
      <c r="B3996" t="s">
        <v>7073</v>
      </c>
      <c r="C3996">
        <v>37.242550978399997</v>
      </c>
      <c r="D3996">
        <v>-7.0183889115699998</v>
      </c>
      <c r="E3996">
        <v>3</v>
      </c>
      <c r="F3996">
        <v>3</v>
      </c>
      <c r="G3996">
        <v>4</v>
      </c>
      <c r="J3996" t="s">
        <v>15</v>
      </c>
      <c r="K3996">
        <v>3</v>
      </c>
      <c r="L3996">
        <v>3.4220000000000002</v>
      </c>
      <c r="M3996">
        <v>0</v>
      </c>
      <c r="N3996" t="s">
        <v>10019</v>
      </c>
      <c r="O3996" t="str">
        <f>HYPERLINK("3\1\marker_949_377780.png", "Ver Imagen")</f>
        <v>Ver Imagen</v>
      </c>
      <c r="P3996" t="str">
        <f>HYPERLINK("SE\A-497\A-497__339.png", "Ver Imagen")</f>
        <v>Ver Imagen</v>
      </c>
    </row>
    <row r="3997" spans="1:16" x14ac:dyDescent="0.25">
      <c r="A3997">
        <v>3532</v>
      </c>
      <c r="B3997" t="s">
        <v>7075</v>
      </c>
      <c r="C3997">
        <v>37.243776277800002</v>
      </c>
      <c r="D3997">
        <v>-7.0183379830500003</v>
      </c>
      <c r="E3997">
        <v>3</v>
      </c>
      <c r="F3997">
        <v>3</v>
      </c>
      <c r="G3997">
        <v>4</v>
      </c>
      <c r="J3997" t="s">
        <v>15</v>
      </c>
      <c r="K3997">
        <v>3</v>
      </c>
      <c r="L3997">
        <v>2.9740000000000002</v>
      </c>
      <c r="M3997">
        <v>0</v>
      </c>
      <c r="N3997" t="s">
        <v>10019</v>
      </c>
      <c r="O3997" t="str">
        <f>HYPERLINK("3\1\marker_978_377843.png", "Ver Imagen")</f>
        <v>Ver Imagen</v>
      </c>
      <c r="P3997" t="str">
        <f>HYPERLINK("SE\A-497\A-497__333.png", "Ver Imagen")</f>
        <v>Ver Imagen</v>
      </c>
    </row>
    <row r="3998" spans="1:16" x14ac:dyDescent="0.25">
      <c r="A3998">
        <v>3533</v>
      </c>
      <c r="B3998" t="s">
        <v>7077</v>
      </c>
      <c r="C3998">
        <v>37.243952164699998</v>
      </c>
      <c r="D3998">
        <v>-7.0183327017200003</v>
      </c>
      <c r="E3998">
        <v>3</v>
      </c>
      <c r="F3998">
        <v>3</v>
      </c>
      <c r="G3998">
        <v>4</v>
      </c>
      <c r="J3998" t="s">
        <v>15</v>
      </c>
      <c r="K3998">
        <v>3</v>
      </c>
      <c r="L3998">
        <v>2.6110000000000002</v>
      </c>
      <c r="M3998">
        <v>0</v>
      </c>
      <c r="N3998" t="s">
        <v>10019</v>
      </c>
      <c r="O3998" t="str">
        <f>HYPERLINK("3\1\marker_833_377853.png", "Ver Imagen")</f>
        <v>Ver Imagen</v>
      </c>
      <c r="P3998" t="str">
        <f>HYPERLINK("SE\A-497\A-497__332.png", "Ver Imagen")</f>
        <v>Ver Imagen</v>
      </c>
    </row>
    <row r="3999" spans="1:16" x14ac:dyDescent="0.25">
      <c r="A3999">
        <v>3534</v>
      </c>
      <c r="B3999" t="s">
        <v>7079</v>
      </c>
      <c r="C3999">
        <v>37.244402944299999</v>
      </c>
      <c r="D3999">
        <v>-7.01832065398</v>
      </c>
      <c r="E3999">
        <v>4</v>
      </c>
      <c r="F3999">
        <v>3</v>
      </c>
      <c r="G3999">
        <v>3</v>
      </c>
      <c r="J3999" t="s">
        <v>15</v>
      </c>
      <c r="K3999">
        <v>3</v>
      </c>
      <c r="L3999">
        <v>3.36</v>
      </c>
      <c r="M3999">
        <v>0</v>
      </c>
      <c r="N3999" t="s">
        <v>10019</v>
      </c>
      <c r="O3999" t="str">
        <f>HYPERLINK("3\1\marker_973_377871.png", "Ver Imagen")</f>
        <v>Ver Imagen</v>
      </c>
      <c r="P3999" t="str">
        <f>HYPERLINK("SE\A-497\A-497__330.png", "Ver Imagen")</f>
        <v>Ver Imagen</v>
      </c>
    </row>
    <row r="4000" spans="1:16" x14ac:dyDescent="0.25">
      <c r="A4000">
        <v>3535</v>
      </c>
      <c r="B4000" t="s">
        <v>7081</v>
      </c>
      <c r="C4000">
        <v>37.2449805113</v>
      </c>
      <c r="D4000">
        <v>-7.0182996025</v>
      </c>
      <c r="E4000">
        <v>3</v>
      </c>
      <c r="F4000">
        <v>3</v>
      </c>
      <c r="G4000">
        <v>4</v>
      </c>
      <c r="J4000" t="s">
        <v>15</v>
      </c>
      <c r="K4000">
        <v>3</v>
      </c>
      <c r="L4000">
        <v>2.78</v>
      </c>
      <c r="M4000">
        <v>0</v>
      </c>
      <c r="N4000" t="s">
        <v>10018</v>
      </c>
      <c r="O4000" t="str">
        <f>HYPERLINK("3\1\marker_783_377899.png", "Ver Imagen")</f>
        <v>Ver Imagen</v>
      </c>
      <c r="P4000" t="str">
        <f>HYPERLINK("SE\A-497\A-497__327.png", "Ver Imagen")</f>
        <v>Ver Imagen</v>
      </c>
    </row>
    <row r="4001" spans="1:16" x14ac:dyDescent="0.25">
      <c r="A4001">
        <v>3536</v>
      </c>
      <c r="B4001" t="s">
        <v>7083</v>
      </c>
      <c r="C4001">
        <v>37.245608883199999</v>
      </c>
      <c r="D4001">
        <v>-7.0182735756400003</v>
      </c>
      <c r="E4001">
        <v>4</v>
      </c>
      <c r="F4001">
        <v>3</v>
      </c>
      <c r="G4001">
        <v>3</v>
      </c>
      <c r="J4001" t="s">
        <v>15</v>
      </c>
      <c r="K4001">
        <v>3</v>
      </c>
      <c r="L4001">
        <v>3.0830000000000002</v>
      </c>
      <c r="M4001">
        <v>0</v>
      </c>
      <c r="N4001" t="s">
        <v>10017</v>
      </c>
      <c r="O4001" t="str">
        <f>HYPERLINK("3\1\marker_651_377924.png", "Ver Imagen")</f>
        <v>Ver Imagen</v>
      </c>
      <c r="P4001" t="str">
        <f>HYPERLINK("SE\A-497\A-497__324.png", "Ver Imagen")</f>
        <v>Ver Imagen</v>
      </c>
    </row>
    <row r="4002" spans="1:16" x14ac:dyDescent="0.25">
      <c r="A4002">
        <v>3537</v>
      </c>
      <c r="B4002" t="s">
        <v>7085</v>
      </c>
      <c r="C4002">
        <v>37.246634736600001</v>
      </c>
      <c r="D4002">
        <v>-7.0182397731400004</v>
      </c>
      <c r="E4002">
        <v>3</v>
      </c>
      <c r="F4002">
        <v>3</v>
      </c>
      <c r="G4002">
        <v>4</v>
      </c>
      <c r="J4002" t="s">
        <v>15</v>
      </c>
      <c r="K4002">
        <v>3</v>
      </c>
      <c r="L4002">
        <v>2.93</v>
      </c>
      <c r="M4002">
        <v>0</v>
      </c>
      <c r="N4002" t="s">
        <v>10019</v>
      </c>
      <c r="O4002" t="str">
        <f>HYPERLINK("3\1\marker_434_377976.png", "Ver Imagen")</f>
        <v>Ver Imagen</v>
      </c>
      <c r="P4002" t="str">
        <f>HYPERLINK("SE\A-497\A-497__319.png", "Ver Imagen")</f>
        <v>Ver Imagen</v>
      </c>
    </row>
    <row r="4003" spans="1:16" x14ac:dyDescent="0.25">
      <c r="A4003">
        <v>3538</v>
      </c>
      <c r="B4003" t="s">
        <v>7087</v>
      </c>
      <c r="C4003">
        <v>37.2554320506</v>
      </c>
      <c r="D4003">
        <v>-7.0144196051599996</v>
      </c>
      <c r="E4003">
        <v>4</v>
      </c>
      <c r="F4003">
        <v>3</v>
      </c>
      <c r="G4003">
        <v>3</v>
      </c>
      <c r="J4003" t="s">
        <v>15</v>
      </c>
      <c r="K4003">
        <v>3</v>
      </c>
      <c r="L4003">
        <v>3.1549999999999998</v>
      </c>
      <c r="M4003">
        <v>0</v>
      </c>
      <c r="N4003" t="s">
        <v>10019</v>
      </c>
      <c r="O4003" t="str">
        <f>HYPERLINK("3\1\marker_820_378558.png", "Ver Imagen")</f>
        <v>Ver Imagen</v>
      </c>
      <c r="P4003" t="str">
        <f>HYPERLINK("SE\A-497\A-497__272.png", "Ver Imagen")</f>
        <v>Ver Imagen</v>
      </c>
    </row>
    <row r="4004" spans="1:16" x14ac:dyDescent="0.25">
      <c r="A4004">
        <v>3539</v>
      </c>
      <c r="B4004" t="s">
        <v>7089</v>
      </c>
      <c r="C4004">
        <v>37.255650187800001</v>
      </c>
      <c r="D4004">
        <v>-7.0142829491600001</v>
      </c>
      <c r="E4004">
        <v>3</v>
      </c>
      <c r="F4004">
        <v>3</v>
      </c>
      <c r="G4004">
        <v>4</v>
      </c>
      <c r="J4004" t="s">
        <v>15</v>
      </c>
      <c r="K4004">
        <v>3</v>
      </c>
      <c r="L4004">
        <v>3.1749999999999998</v>
      </c>
      <c r="M4004">
        <v>0</v>
      </c>
      <c r="N4004" t="s">
        <v>10019</v>
      </c>
      <c r="O4004" t="str">
        <f>HYPERLINK("3\1\marker_389_378572.png", "Ver Imagen")</f>
        <v>Ver Imagen</v>
      </c>
      <c r="P4004" t="str">
        <f>HYPERLINK("SE\A-497\A-497__271.png", "Ver Imagen")</f>
        <v>Ver Imagen</v>
      </c>
    </row>
    <row r="4005" spans="1:16" x14ac:dyDescent="0.25">
      <c r="A4005">
        <v>3540</v>
      </c>
      <c r="B4005" t="s">
        <v>7091</v>
      </c>
      <c r="C4005">
        <v>37.256507966400001</v>
      </c>
      <c r="D4005">
        <v>-7.0137341053600002</v>
      </c>
      <c r="E4005">
        <v>2</v>
      </c>
      <c r="F4005">
        <v>3</v>
      </c>
      <c r="G4005">
        <v>3</v>
      </c>
      <c r="J4005" t="s">
        <v>15</v>
      </c>
      <c r="K4005">
        <v>3</v>
      </c>
      <c r="L4005">
        <v>2.9889999999999999</v>
      </c>
      <c r="M4005">
        <v>0</v>
      </c>
      <c r="N4005" t="s">
        <v>10019</v>
      </c>
      <c r="O4005" t="str">
        <f>HYPERLINK("3\1\marker_923_378621.png", "Ver Imagen")</f>
        <v>Ver Imagen</v>
      </c>
      <c r="P4005" t="str">
        <f>HYPERLINK("SE\A-497\A-497__266.png", "Ver Imagen")</f>
        <v>Ver Imagen</v>
      </c>
    </row>
    <row r="4006" spans="1:16" x14ac:dyDescent="0.25">
      <c r="A4006">
        <v>3541</v>
      </c>
      <c r="B4006" t="s">
        <v>7093</v>
      </c>
      <c r="C4006">
        <v>37.256696529499997</v>
      </c>
      <c r="D4006">
        <v>-7.0136134092600004</v>
      </c>
      <c r="E4006">
        <v>2</v>
      </c>
      <c r="F4006">
        <v>3</v>
      </c>
      <c r="G4006">
        <v>3</v>
      </c>
      <c r="J4006" t="s">
        <v>15</v>
      </c>
      <c r="K4006">
        <v>3</v>
      </c>
      <c r="L4006">
        <v>2.548</v>
      </c>
      <c r="M4006">
        <v>0</v>
      </c>
      <c r="N4006" t="s">
        <v>10019</v>
      </c>
      <c r="O4006" t="str">
        <f>HYPERLINK("3\1\marker_212_378631.png", "Ver Imagen")</f>
        <v>Ver Imagen</v>
      </c>
      <c r="P4006" t="str">
        <f>HYPERLINK("SE\A-497\A-497__265.png", "Ver Imagen")</f>
        <v>Ver Imagen</v>
      </c>
    </row>
    <row r="4007" spans="1:16" x14ac:dyDescent="0.25">
      <c r="A4007">
        <v>3542</v>
      </c>
      <c r="B4007" t="s">
        <v>7095</v>
      </c>
      <c r="C4007">
        <v>37.256876783999999</v>
      </c>
      <c r="D4007">
        <v>-7.0134982773900001</v>
      </c>
      <c r="E4007">
        <v>2</v>
      </c>
      <c r="F4007">
        <v>3</v>
      </c>
      <c r="G4007">
        <v>3</v>
      </c>
      <c r="J4007" t="s">
        <v>15</v>
      </c>
      <c r="K4007">
        <v>3</v>
      </c>
      <c r="L4007">
        <v>2.78</v>
      </c>
      <c r="M4007">
        <v>0</v>
      </c>
      <c r="N4007" t="s">
        <v>10019</v>
      </c>
      <c r="O4007" t="str">
        <f>HYPERLINK("3\1\marker_224_378639.png", "Ver Imagen")</f>
        <v>Ver Imagen</v>
      </c>
      <c r="P4007" t="str">
        <f>HYPERLINK("SE\A-497\A-497__264.png", "Ver Imagen")</f>
        <v>Ver Imagen</v>
      </c>
    </row>
    <row r="4008" spans="1:16" x14ac:dyDescent="0.25">
      <c r="A4008">
        <v>3543</v>
      </c>
      <c r="B4008" t="s">
        <v>7097</v>
      </c>
      <c r="C4008">
        <v>37.257953805299998</v>
      </c>
      <c r="D4008">
        <v>-7.0128119605399997</v>
      </c>
      <c r="E4008">
        <v>2</v>
      </c>
      <c r="F4008">
        <v>3</v>
      </c>
      <c r="G4008">
        <v>3</v>
      </c>
      <c r="J4008" t="s">
        <v>15</v>
      </c>
      <c r="K4008">
        <v>3</v>
      </c>
      <c r="L4008">
        <v>3.1379999999999999</v>
      </c>
      <c r="M4008">
        <v>0</v>
      </c>
      <c r="N4008" t="s">
        <v>10019</v>
      </c>
      <c r="O4008" t="str">
        <f>HYPERLINK("3\1\marker_802_378700.png", "Ver Imagen")</f>
        <v>Ver Imagen</v>
      </c>
      <c r="P4008" t="str">
        <f>HYPERLINK("SE\A-497\A-497__258.png", "Ver Imagen")</f>
        <v>Ver Imagen</v>
      </c>
    </row>
    <row r="4009" spans="1:16" x14ac:dyDescent="0.25">
      <c r="A4009">
        <v>3544</v>
      </c>
      <c r="B4009" t="s">
        <v>7099</v>
      </c>
      <c r="C4009">
        <v>37.258136547399999</v>
      </c>
      <c r="D4009">
        <v>-7.0126954147999996</v>
      </c>
      <c r="E4009">
        <v>2</v>
      </c>
      <c r="F4009">
        <v>3</v>
      </c>
      <c r="G4009">
        <v>3</v>
      </c>
      <c r="J4009" t="s">
        <v>15</v>
      </c>
      <c r="K4009">
        <v>3</v>
      </c>
      <c r="L4009">
        <v>3.2360000000000002</v>
      </c>
      <c r="M4009">
        <v>0</v>
      </c>
      <c r="N4009" t="s">
        <v>10019</v>
      </c>
      <c r="O4009" t="str">
        <f>HYPERLINK("3\1\marker_229_378710.png", "Ver Imagen")</f>
        <v>Ver Imagen</v>
      </c>
      <c r="P4009" t="str">
        <f>HYPERLINK("SE\A-497\A-497__257.png", "Ver Imagen")</f>
        <v>Ver Imagen</v>
      </c>
    </row>
    <row r="4010" spans="1:16" x14ac:dyDescent="0.25">
      <c r="A4010">
        <v>3545</v>
      </c>
      <c r="B4010" t="s">
        <v>7101</v>
      </c>
      <c r="C4010">
        <v>37.258371535599998</v>
      </c>
      <c r="D4010">
        <v>-7.01254605949</v>
      </c>
      <c r="E4010">
        <v>2</v>
      </c>
      <c r="F4010">
        <v>3</v>
      </c>
      <c r="G4010">
        <v>3</v>
      </c>
      <c r="J4010" t="s">
        <v>15</v>
      </c>
      <c r="K4010">
        <v>3</v>
      </c>
      <c r="L4010">
        <v>2.952</v>
      </c>
      <c r="M4010">
        <v>0</v>
      </c>
      <c r="N4010" t="s">
        <v>10017</v>
      </c>
      <c r="O4010" t="str">
        <f>HYPERLINK("3\1\marker_470_378722.png", "Ver Imagen")</f>
        <v>Ver Imagen</v>
      </c>
      <c r="P4010" t="str">
        <f>HYPERLINK("SE\A-497\A-497__256.png", "Ver Imagen")</f>
        <v>Ver Imagen</v>
      </c>
    </row>
    <row r="4011" spans="1:16" x14ac:dyDescent="0.25">
      <c r="A4011">
        <v>3546</v>
      </c>
      <c r="B4011" t="s">
        <v>7103</v>
      </c>
      <c r="C4011">
        <v>37.258863812500003</v>
      </c>
      <c r="D4011">
        <v>-7.0122337773799996</v>
      </c>
      <c r="E4011">
        <v>2</v>
      </c>
      <c r="F4011">
        <v>3</v>
      </c>
      <c r="G4011">
        <v>3</v>
      </c>
      <c r="J4011" t="s">
        <v>15</v>
      </c>
      <c r="K4011">
        <v>3</v>
      </c>
      <c r="L4011">
        <v>3.133</v>
      </c>
      <c r="M4011">
        <v>0</v>
      </c>
      <c r="N4011" t="s">
        <v>10019</v>
      </c>
      <c r="O4011" t="str">
        <f>HYPERLINK("3\1\marker_843_378753.png", "Ver Imagen")</f>
        <v>Ver Imagen</v>
      </c>
      <c r="P4011" t="str">
        <f>HYPERLINK("SE\A-497\A-497__253.png", "Ver Imagen")</f>
        <v>Ver Imagen</v>
      </c>
    </row>
    <row r="4012" spans="1:16" x14ac:dyDescent="0.25">
      <c r="A4012">
        <v>3547</v>
      </c>
      <c r="B4012" t="s">
        <v>7105</v>
      </c>
      <c r="C4012">
        <v>37.259800620599997</v>
      </c>
      <c r="D4012">
        <v>-7.0116324815100004</v>
      </c>
      <c r="E4012">
        <v>4</v>
      </c>
      <c r="F4012">
        <v>3</v>
      </c>
      <c r="G4012">
        <v>3</v>
      </c>
      <c r="J4012" t="s">
        <v>15</v>
      </c>
      <c r="K4012">
        <v>3</v>
      </c>
      <c r="L4012">
        <v>3.121</v>
      </c>
      <c r="M4012">
        <v>0</v>
      </c>
      <c r="N4012" t="s">
        <v>10019</v>
      </c>
      <c r="O4012" t="str">
        <f>HYPERLINK("3\1\marker_434_378803.png", "Ver Imagen")</f>
        <v>Ver Imagen</v>
      </c>
      <c r="P4012" t="str">
        <f>HYPERLINK("SE\A-497\A-497__248.png", "Ver Imagen")</f>
        <v>Ver Imagen</v>
      </c>
    </row>
    <row r="4013" spans="1:16" x14ac:dyDescent="0.25">
      <c r="A4013">
        <v>3548</v>
      </c>
      <c r="B4013" t="s">
        <v>7107</v>
      </c>
      <c r="C4013">
        <v>37.262563509700001</v>
      </c>
      <c r="D4013">
        <v>-7.0092948268299997</v>
      </c>
      <c r="E4013">
        <v>2</v>
      </c>
      <c r="F4013">
        <v>3</v>
      </c>
      <c r="G4013">
        <v>3</v>
      </c>
      <c r="J4013" t="s">
        <v>15</v>
      </c>
      <c r="K4013">
        <v>3</v>
      </c>
      <c r="L4013">
        <v>2.9740000000000002</v>
      </c>
      <c r="M4013">
        <v>0</v>
      </c>
      <c r="N4013" t="s">
        <v>10019</v>
      </c>
      <c r="O4013" t="str">
        <f>HYPERLINK("3\1\marker_359_379028.png", "Ver Imagen")</f>
        <v>Ver Imagen</v>
      </c>
      <c r="P4013" t="str">
        <f>HYPERLINK("SE\A-497\A-497__231.png", "Ver Imagen")</f>
        <v>Ver Imagen</v>
      </c>
    </row>
    <row r="4014" spans="1:16" x14ac:dyDescent="0.25">
      <c r="A4014">
        <v>3549</v>
      </c>
      <c r="B4014" t="s">
        <v>7109</v>
      </c>
      <c r="C4014">
        <v>37.262910169400001</v>
      </c>
      <c r="D4014">
        <v>-7.0086666974699998</v>
      </c>
      <c r="E4014">
        <v>2</v>
      </c>
      <c r="F4014">
        <v>3</v>
      </c>
      <c r="G4014">
        <v>3</v>
      </c>
      <c r="J4014" t="s">
        <v>15</v>
      </c>
      <c r="K4014">
        <v>3</v>
      </c>
      <c r="L4014">
        <v>2.5990000000000002</v>
      </c>
      <c r="M4014">
        <v>0</v>
      </c>
      <c r="N4014" t="s">
        <v>10019</v>
      </c>
      <c r="O4014" t="str">
        <f>HYPERLINK("3\1\marker_339_379061.png", "Ver Imagen")</f>
        <v>Ver Imagen</v>
      </c>
      <c r="P4014" t="str">
        <f>HYPERLINK("SE\A-497\A-497__228.png", "Ver Imagen")</f>
        <v>Ver Imagen</v>
      </c>
    </row>
    <row r="4015" spans="1:16" x14ac:dyDescent="0.25">
      <c r="A4015">
        <v>3550</v>
      </c>
      <c r="B4015" t="s">
        <v>7111</v>
      </c>
      <c r="C4015">
        <v>37.2633951571</v>
      </c>
      <c r="D4015">
        <v>-7.0072095775500003</v>
      </c>
      <c r="E4015">
        <v>3</v>
      </c>
      <c r="F4015">
        <v>3</v>
      </c>
      <c r="G4015">
        <v>4</v>
      </c>
      <c r="J4015" t="s">
        <v>15</v>
      </c>
      <c r="K4015">
        <v>3</v>
      </c>
      <c r="L4015">
        <v>2.9910000000000001</v>
      </c>
      <c r="M4015">
        <v>0</v>
      </c>
      <c r="N4015" t="s">
        <v>10019</v>
      </c>
      <c r="O4015" t="str">
        <f>HYPERLINK("3\1\marker_163_379123.png", "Ver Imagen")</f>
        <v>Ver Imagen</v>
      </c>
      <c r="P4015" t="str">
        <f>HYPERLINK("SE\A-497\A-497__222.png", "Ver Imagen")</f>
        <v>Ver Imagen</v>
      </c>
    </row>
    <row r="4016" spans="1:16" x14ac:dyDescent="0.25">
      <c r="A4016">
        <v>3551</v>
      </c>
      <c r="B4016" t="s">
        <v>7113</v>
      </c>
      <c r="C4016">
        <v>37.263528262299999</v>
      </c>
      <c r="D4016">
        <v>-7.0065193381200004</v>
      </c>
      <c r="E4016">
        <v>4</v>
      </c>
      <c r="F4016">
        <v>3</v>
      </c>
      <c r="G4016">
        <v>3</v>
      </c>
      <c r="J4016" t="s">
        <v>15</v>
      </c>
      <c r="K4016">
        <v>3</v>
      </c>
      <c r="L4016">
        <v>2.9860000000000002</v>
      </c>
      <c r="M4016">
        <v>0</v>
      </c>
      <c r="N4016" t="s">
        <v>10019</v>
      </c>
      <c r="O4016" t="str">
        <f>HYPERLINK("3\1\marker_843_379155.png", "Ver Imagen")</f>
        <v>Ver Imagen</v>
      </c>
      <c r="P4016" t="str">
        <f>HYPERLINK("SE\A-497\A-497__219.png", "Ver Imagen")</f>
        <v>Ver Imagen</v>
      </c>
    </row>
    <row r="4017" spans="1:16" x14ac:dyDescent="0.25">
      <c r="A4017">
        <v>3552</v>
      </c>
      <c r="B4017" t="s">
        <v>7115</v>
      </c>
      <c r="C4017">
        <v>37.270020440400003</v>
      </c>
      <c r="D4017">
        <v>-6.9894576391600003</v>
      </c>
      <c r="E4017">
        <v>4</v>
      </c>
      <c r="F4017">
        <v>3</v>
      </c>
      <c r="G4017">
        <v>3</v>
      </c>
      <c r="J4017" t="s">
        <v>15</v>
      </c>
      <c r="K4017">
        <v>3</v>
      </c>
      <c r="L4017">
        <v>2.7370000000000001</v>
      </c>
      <c r="M4017">
        <v>0</v>
      </c>
      <c r="N4017" t="s">
        <v>10019</v>
      </c>
      <c r="O4017" t="str">
        <f>HYPERLINK("3\1\marker_542_380441.png", "Ver Imagen")</f>
        <v>Ver Imagen</v>
      </c>
      <c r="P4017" t="str">
        <f>HYPERLINK("SE\A-497\A-497__140.png", "Ver Imagen")</f>
        <v>Ver Imagen</v>
      </c>
    </row>
    <row r="4018" spans="1:16" x14ac:dyDescent="0.25">
      <c r="A4018">
        <v>3553</v>
      </c>
      <c r="B4018" t="s">
        <v>7117</v>
      </c>
      <c r="C4018">
        <v>37.271278919399997</v>
      </c>
      <c r="D4018">
        <v>-6.9882614891600001</v>
      </c>
      <c r="E4018">
        <v>2</v>
      </c>
      <c r="F4018">
        <v>3</v>
      </c>
      <c r="G4018">
        <v>3</v>
      </c>
      <c r="J4018" t="s">
        <v>15</v>
      </c>
      <c r="K4018">
        <v>3</v>
      </c>
      <c r="L4018">
        <v>2.6960000000000002</v>
      </c>
      <c r="M4018">
        <v>0</v>
      </c>
      <c r="N4018" t="s">
        <v>10019</v>
      </c>
      <c r="O4018" t="str">
        <f>HYPERLINK("3\1\marker_745_380513.png", "Ver Imagen")</f>
        <v>Ver Imagen</v>
      </c>
      <c r="P4018" t="str">
        <f>HYPERLINK("SE\A-497\A-497__132.png", "Ver Imagen")</f>
        <v>Ver Imagen</v>
      </c>
    </row>
    <row r="4019" spans="1:16" x14ac:dyDescent="0.25">
      <c r="A4019">
        <v>3554</v>
      </c>
      <c r="B4019" t="s">
        <v>7119</v>
      </c>
      <c r="C4019">
        <v>37.271386074200002</v>
      </c>
      <c r="D4019">
        <v>-6.9880589219899996</v>
      </c>
      <c r="E4019">
        <v>2</v>
      </c>
      <c r="F4019">
        <v>3</v>
      </c>
      <c r="G4019">
        <v>3</v>
      </c>
      <c r="J4019" t="s">
        <v>15</v>
      </c>
      <c r="K4019">
        <v>3</v>
      </c>
      <c r="L4019">
        <v>3.15</v>
      </c>
      <c r="M4019">
        <v>0</v>
      </c>
      <c r="N4019" t="s">
        <v>10019</v>
      </c>
      <c r="O4019" t="str">
        <f>HYPERLINK("3\1\marker_318_380523.png", "Ver Imagen")</f>
        <v>Ver Imagen</v>
      </c>
      <c r="P4019" t="str">
        <f>HYPERLINK("SE\A-497\A-497__131.png", "Ver Imagen")</f>
        <v>Ver Imagen</v>
      </c>
    </row>
    <row r="4020" spans="1:16" x14ac:dyDescent="0.25">
      <c r="A4020">
        <v>3555</v>
      </c>
      <c r="B4020" t="s">
        <v>7121</v>
      </c>
      <c r="C4020">
        <v>37.271483795599998</v>
      </c>
      <c r="D4020">
        <v>-6.9878373468500001</v>
      </c>
      <c r="E4020">
        <v>2</v>
      </c>
      <c r="F4020">
        <v>3</v>
      </c>
      <c r="G4020">
        <v>3</v>
      </c>
      <c r="J4020" t="s">
        <v>15</v>
      </c>
      <c r="K4020">
        <v>3</v>
      </c>
      <c r="L4020">
        <v>2.927</v>
      </c>
      <c r="M4020">
        <v>0</v>
      </c>
      <c r="N4020" t="s">
        <v>10019</v>
      </c>
      <c r="O4020" t="str">
        <f>HYPERLINK("3\1\marker_687_380532.png", "Ver Imagen")</f>
        <v>Ver Imagen</v>
      </c>
      <c r="P4020" t="str">
        <f>HYPERLINK("SE\A-497\A-497__130.png", "Ver Imagen")</f>
        <v>Ver Imagen</v>
      </c>
    </row>
    <row r="4021" spans="1:16" x14ac:dyDescent="0.25">
      <c r="A4021">
        <v>3556</v>
      </c>
      <c r="B4021" t="s">
        <v>7123</v>
      </c>
      <c r="C4021">
        <v>37.271571352000002</v>
      </c>
      <c r="D4021">
        <v>-6.9875882981400004</v>
      </c>
      <c r="E4021">
        <v>2</v>
      </c>
      <c r="F4021">
        <v>3</v>
      </c>
      <c r="G4021">
        <v>3</v>
      </c>
      <c r="J4021" t="s">
        <v>15</v>
      </c>
      <c r="K4021">
        <v>3</v>
      </c>
      <c r="L4021">
        <v>2.77</v>
      </c>
      <c r="M4021">
        <v>0</v>
      </c>
      <c r="N4021" t="s">
        <v>10019</v>
      </c>
      <c r="O4021" t="str">
        <f>HYPERLINK("3\1\marker_902_380540.png", "Ver Imagen")</f>
        <v>Ver Imagen</v>
      </c>
      <c r="P4021" t="str">
        <f>HYPERLINK("SE\A-497\A-497__129.png", "Ver Imagen")</f>
        <v>Ver Imagen</v>
      </c>
    </row>
    <row r="4022" spans="1:16" x14ac:dyDescent="0.25">
      <c r="A4022">
        <v>3557</v>
      </c>
      <c r="B4022" t="s">
        <v>7125</v>
      </c>
      <c r="C4022">
        <v>37.271636474799998</v>
      </c>
      <c r="D4022">
        <v>-6.98734644449</v>
      </c>
      <c r="E4022">
        <v>2</v>
      </c>
      <c r="F4022">
        <v>3</v>
      </c>
      <c r="G4022">
        <v>3</v>
      </c>
      <c r="J4022" t="s">
        <v>15</v>
      </c>
      <c r="K4022">
        <v>3</v>
      </c>
      <c r="L4022">
        <v>2.9380000000000002</v>
      </c>
      <c r="M4022">
        <v>0</v>
      </c>
      <c r="N4022" t="s">
        <v>10019</v>
      </c>
      <c r="O4022" t="str">
        <f>HYPERLINK("3\1\marker_985_380550.png", "Ver Imagen")</f>
        <v>Ver Imagen</v>
      </c>
      <c r="P4022" t="str">
        <f>HYPERLINK("SE\A-497\A-497__128.png", "Ver Imagen")</f>
        <v>Ver Imagen</v>
      </c>
    </row>
    <row r="4023" spans="1:16" x14ac:dyDescent="0.25">
      <c r="A4023">
        <v>3558</v>
      </c>
      <c r="B4023" t="s">
        <v>7127</v>
      </c>
      <c r="C4023">
        <v>37.271733925500001</v>
      </c>
      <c r="D4023">
        <v>-6.9865746149700003</v>
      </c>
      <c r="E4023">
        <v>2</v>
      </c>
      <c r="F4023">
        <v>3</v>
      </c>
      <c r="G4023">
        <v>3</v>
      </c>
      <c r="J4023" t="s">
        <v>15</v>
      </c>
      <c r="K4023">
        <v>3</v>
      </c>
      <c r="L4023">
        <v>3.12</v>
      </c>
      <c r="M4023">
        <v>0</v>
      </c>
      <c r="N4023" t="s">
        <v>10019</v>
      </c>
      <c r="O4023" t="str">
        <f>HYPERLINK("3\1\marker_896_380580.png", "Ver Imagen")</f>
        <v>Ver Imagen</v>
      </c>
      <c r="P4023" t="str">
        <f>HYPERLINK("SE\A-497\A-497__125.png", "Ver Imagen")</f>
        <v>Ver Imagen</v>
      </c>
    </row>
    <row r="4024" spans="1:16" x14ac:dyDescent="0.25">
      <c r="A4024">
        <v>3559</v>
      </c>
      <c r="B4024" t="s">
        <v>7129</v>
      </c>
      <c r="C4024">
        <v>37.2717361411</v>
      </c>
      <c r="D4024">
        <v>-6.9863682065999999</v>
      </c>
      <c r="E4024">
        <v>2</v>
      </c>
      <c r="F4024">
        <v>3</v>
      </c>
      <c r="G4024">
        <v>3</v>
      </c>
      <c r="J4024" t="s">
        <v>15</v>
      </c>
      <c r="K4024">
        <v>3</v>
      </c>
      <c r="L4024">
        <v>2.9420000000000002</v>
      </c>
      <c r="M4024">
        <v>0</v>
      </c>
      <c r="N4024" t="s">
        <v>10019</v>
      </c>
      <c r="O4024" t="str">
        <f>HYPERLINK("3\1\marker_798_380589.png", "Ver Imagen")</f>
        <v>Ver Imagen</v>
      </c>
      <c r="P4024" t="str">
        <f>HYPERLINK("SE\A-497\A-497__124.png", "Ver Imagen")</f>
        <v>Ver Imagen</v>
      </c>
    </row>
    <row r="4025" spans="1:16" x14ac:dyDescent="0.25">
      <c r="A4025">
        <v>3560</v>
      </c>
      <c r="B4025" t="s">
        <v>7131</v>
      </c>
      <c r="C4025">
        <v>37.271725279999998</v>
      </c>
      <c r="D4025">
        <v>-6.98608784304</v>
      </c>
      <c r="E4025">
        <v>2</v>
      </c>
      <c r="F4025">
        <v>3</v>
      </c>
      <c r="G4025">
        <v>3</v>
      </c>
      <c r="J4025" t="s">
        <v>15</v>
      </c>
      <c r="K4025">
        <v>3</v>
      </c>
      <c r="L4025">
        <v>3.1160000000000001</v>
      </c>
      <c r="M4025">
        <v>0</v>
      </c>
      <c r="N4025" t="s">
        <v>10019</v>
      </c>
      <c r="O4025" t="str">
        <f>HYPERLINK("3\1\marker_744_380599.png", "Ver Imagen")</f>
        <v>Ver Imagen</v>
      </c>
      <c r="P4025" t="str">
        <f>HYPERLINK("SE\A-497\A-497__123.png", "Ver Imagen")</f>
        <v>Ver Imagen</v>
      </c>
    </row>
    <row r="4026" spans="1:16" x14ac:dyDescent="0.25">
      <c r="A4026">
        <v>3561</v>
      </c>
      <c r="B4026" t="s">
        <v>7133</v>
      </c>
      <c r="C4026">
        <v>37.271706189</v>
      </c>
      <c r="D4026">
        <v>-6.9858660376300001</v>
      </c>
      <c r="E4026">
        <v>2</v>
      </c>
      <c r="F4026">
        <v>3</v>
      </c>
      <c r="G4026">
        <v>3</v>
      </c>
      <c r="J4026" t="s">
        <v>15</v>
      </c>
      <c r="K4026">
        <v>3</v>
      </c>
      <c r="L4026">
        <v>3.0419999999999998</v>
      </c>
      <c r="M4026">
        <v>0</v>
      </c>
      <c r="N4026" t="s">
        <v>10019</v>
      </c>
      <c r="O4026" t="str">
        <f>HYPERLINK("3\1\marker_768_380607.png", "Ver Imagen")</f>
        <v>Ver Imagen</v>
      </c>
      <c r="P4026" t="str">
        <f>HYPERLINK("SE\A-497\A-497__122.png", "Ver Imagen")</f>
        <v>Ver Imagen</v>
      </c>
    </row>
    <row r="4027" spans="1:16" x14ac:dyDescent="0.25">
      <c r="A4027">
        <v>3562</v>
      </c>
      <c r="B4027" t="s">
        <v>7135</v>
      </c>
      <c r="C4027">
        <v>37.271591462899998</v>
      </c>
      <c r="D4027">
        <v>-6.9851460084600001</v>
      </c>
      <c r="E4027">
        <v>2</v>
      </c>
      <c r="F4027">
        <v>3</v>
      </c>
      <c r="G4027">
        <v>3</v>
      </c>
      <c r="J4027" t="s">
        <v>15</v>
      </c>
      <c r="K4027">
        <v>3</v>
      </c>
      <c r="L4027">
        <v>3.1110000000000002</v>
      </c>
      <c r="M4027">
        <v>0</v>
      </c>
      <c r="N4027" t="s">
        <v>10019</v>
      </c>
      <c r="O4027" t="str">
        <f>HYPERLINK("3\1\marker_173_380634.png", "Ver Imagen")</f>
        <v>Ver Imagen</v>
      </c>
      <c r="P4027" t="str">
        <f>HYPERLINK("SE\A-497\A-497__119.png", "Ver Imagen")</f>
        <v>Ver Imagen</v>
      </c>
    </row>
    <row r="4028" spans="1:16" x14ac:dyDescent="0.25">
      <c r="A4028">
        <v>3563</v>
      </c>
      <c r="B4028" t="s">
        <v>7137</v>
      </c>
      <c r="C4028">
        <v>37.2715356004</v>
      </c>
      <c r="D4028">
        <v>-6.9848944813299996</v>
      </c>
      <c r="E4028">
        <v>2</v>
      </c>
      <c r="F4028">
        <v>3</v>
      </c>
      <c r="G4028">
        <v>3</v>
      </c>
      <c r="J4028" t="s">
        <v>15</v>
      </c>
      <c r="K4028">
        <v>3</v>
      </c>
      <c r="L4028">
        <v>2.7589999999999999</v>
      </c>
      <c r="M4028">
        <v>0</v>
      </c>
      <c r="N4028" t="s">
        <v>10019</v>
      </c>
      <c r="O4028" t="str">
        <f>HYPERLINK("3\1\marker_322_380642.png", "Ver Imagen")</f>
        <v>Ver Imagen</v>
      </c>
      <c r="P4028" t="str">
        <f>HYPERLINK("SE\A-497\A-497__118.png", "Ver Imagen")</f>
        <v>Ver Imagen</v>
      </c>
    </row>
    <row r="4029" spans="1:16" x14ac:dyDescent="0.25">
      <c r="A4029">
        <v>3564</v>
      </c>
      <c r="B4029" t="s">
        <v>7139</v>
      </c>
      <c r="C4029">
        <v>37.271410157200002</v>
      </c>
      <c r="D4029">
        <v>-6.9843965647799999</v>
      </c>
      <c r="E4029">
        <v>2</v>
      </c>
      <c r="F4029">
        <v>3</v>
      </c>
      <c r="G4029">
        <v>3</v>
      </c>
      <c r="J4029" t="s">
        <v>15</v>
      </c>
      <c r="K4029">
        <v>3</v>
      </c>
      <c r="L4029">
        <v>3.19</v>
      </c>
      <c r="M4029">
        <v>0</v>
      </c>
      <c r="N4029" t="s">
        <v>10018</v>
      </c>
      <c r="O4029" t="str">
        <f>HYPERLINK("3\1\marker_329_380659.png", "Ver Imagen")</f>
        <v>Ver Imagen</v>
      </c>
      <c r="P4029" t="str">
        <f>HYPERLINK("SE\A-497\A-497__116.png", "Ver Imagen")</f>
        <v>Ver Imagen</v>
      </c>
    </row>
    <row r="4030" spans="1:16" x14ac:dyDescent="0.25">
      <c r="A4030">
        <v>3565</v>
      </c>
      <c r="B4030" t="s">
        <v>7141</v>
      </c>
      <c r="C4030">
        <v>37.447329644</v>
      </c>
      <c r="D4030">
        <v>-7.1268471452500002</v>
      </c>
      <c r="E4030">
        <v>4</v>
      </c>
      <c r="F4030">
        <v>4</v>
      </c>
      <c r="G4030">
        <v>4</v>
      </c>
      <c r="J4030" t="s">
        <v>15</v>
      </c>
      <c r="K4030">
        <v>4</v>
      </c>
      <c r="L4030">
        <v>4.0640000000000001</v>
      </c>
      <c r="M4030">
        <v>0</v>
      </c>
      <c r="N4030" t="s">
        <v>10019</v>
      </c>
      <c r="O4030" t="str">
        <f>HYPERLINK("4\0\marker_920_817123.png", "Ver Imagen")</f>
        <v>Ver Imagen</v>
      </c>
      <c r="P4030" t="str">
        <f>HYPERLINK("NE\A-490\A-490__2.png", "Ver Imagen")</f>
        <v>Ver Imagen</v>
      </c>
    </row>
    <row r="4031" spans="1:16" x14ac:dyDescent="0.25">
      <c r="A4031">
        <v>3566</v>
      </c>
      <c r="B4031" t="s">
        <v>7143</v>
      </c>
      <c r="C4031">
        <v>37.447221136000003</v>
      </c>
      <c r="D4031">
        <v>-7.1272099034499998</v>
      </c>
      <c r="E4031">
        <v>4</v>
      </c>
      <c r="F4031">
        <v>4</v>
      </c>
      <c r="G4031">
        <v>4</v>
      </c>
      <c r="J4031" t="s">
        <v>15</v>
      </c>
      <c r="K4031">
        <v>4</v>
      </c>
      <c r="L4031">
        <v>3.714</v>
      </c>
      <c r="M4031">
        <v>0</v>
      </c>
      <c r="N4031" t="s">
        <v>10019</v>
      </c>
      <c r="O4031" t="str">
        <f>HYPERLINK("4\0\marker_658_724702.png", "Ver Imagen")</f>
        <v>Ver Imagen</v>
      </c>
      <c r="P4031" t="str">
        <f>HYPERLINK("NE\A-490\A-490__4.png", "Ver Imagen")</f>
        <v>Ver Imagen</v>
      </c>
    </row>
    <row r="4032" spans="1:16" x14ac:dyDescent="0.25">
      <c r="A4032">
        <v>3568</v>
      </c>
      <c r="B4032" t="s">
        <v>7147</v>
      </c>
      <c r="C4032">
        <v>37.462921701399999</v>
      </c>
      <c r="D4032">
        <v>-7.1766363580899997</v>
      </c>
      <c r="E4032">
        <v>4</v>
      </c>
      <c r="F4032">
        <v>4</v>
      </c>
      <c r="G4032">
        <v>4</v>
      </c>
      <c r="J4032" t="s">
        <v>15</v>
      </c>
      <c r="K4032">
        <v>4</v>
      </c>
      <c r="L4032">
        <v>3.7829999999999999</v>
      </c>
      <c r="M4032">
        <v>0</v>
      </c>
      <c r="N4032" t="s">
        <v>10019</v>
      </c>
      <c r="O4032" t="str">
        <f>HYPERLINK("4\0\marker_507_743712.png", "Ver Imagen")</f>
        <v>Ver Imagen</v>
      </c>
      <c r="P4032" t="str">
        <f>HYPERLINK("NE\A-490\A-490__225.png", "Ver Imagen")</f>
        <v>Ver Imagen</v>
      </c>
    </row>
    <row r="4033" spans="1:16" x14ac:dyDescent="0.25">
      <c r="A4033">
        <v>3569</v>
      </c>
      <c r="B4033" t="s">
        <v>7149</v>
      </c>
      <c r="C4033">
        <v>37.273962744999999</v>
      </c>
      <c r="D4033">
        <v>-6.9913094128599997</v>
      </c>
      <c r="E4033">
        <v>4</v>
      </c>
      <c r="F4033">
        <v>4</v>
      </c>
      <c r="G4033">
        <v>4</v>
      </c>
      <c r="J4033" t="s">
        <v>15</v>
      </c>
      <c r="K4033">
        <v>4</v>
      </c>
      <c r="L4033">
        <v>3.7229999999999999</v>
      </c>
      <c r="M4033">
        <v>0</v>
      </c>
      <c r="N4033" t="s">
        <v>10019</v>
      </c>
      <c r="O4033" t="str">
        <f>HYPERLINK("4\0\marker_469_821934.png", "Ver Imagen")</f>
        <v>Ver Imagen</v>
      </c>
      <c r="P4033" t="str">
        <f>HYPERLINK("SE\A-492\A-492__13.png", "Ver Imagen")</f>
        <v>Ver Imagen</v>
      </c>
    </row>
    <row r="4034" spans="1:16" x14ac:dyDescent="0.25">
      <c r="A4034">
        <v>3570</v>
      </c>
      <c r="B4034" t="s">
        <v>7151</v>
      </c>
      <c r="C4034">
        <v>37.2758245773</v>
      </c>
      <c r="D4034">
        <v>-6.9910112582500004</v>
      </c>
      <c r="E4034">
        <v>4</v>
      </c>
      <c r="F4034">
        <v>4</v>
      </c>
      <c r="G4034">
        <v>4</v>
      </c>
      <c r="J4034" t="s">
        <v>15</v>
      </c>
      <c r="K4034">
        <v>4</v>
      </c>
      <c r="L4034">
        <v>3.819</v>
      </c>
      <c r="M4034">
        <v>0</v>
      </c>
      <c r="N4034" t="s">
        <v>10019</v>
      </c>
      <c r="O4034" t="str">
        <f>HYPERLINK("4\0\marker_251_822063.png", "Ver Imagen")</f>
        <v>Ver Imagen</v>
      </c>
      <c r="P4034" t="str">
        <f>HYPERLINK("SE\A-492\A-492__23.png", "Ver Imagen")</f>
        <v>Ver Imagen</v>
      </c>
    </row>
    <row r="4035" spans="1:16" x14ac:dyDescent="0.25">
      <c r="A4035">
        <v>3571</v>
      </c>
      <c r="B4035" t="s">
        <v>7153</v>
      </c>
      <c r="C4035">
        <v>37.277424735099999</v>
      </c>
      <c r="D4035">
        <v>-6.9921291357799999</v>
      </c>
      <c r="E4035">
        <v>4</v>
      </c>
      <c r="F4035">
        <v>4</v>
      </c>
      <c r="G4035">
        <v>4</v>
      </c>
      <c r="J4035" t="s">
        <v>15</v>
      </c>
      <c r="K4035">
        <v>4</v>
      </c>
      <c r="L4035">
        <v>3.8639999999999999</v>
      </c>
      <c r="M4035">
        <v>0</v>
      </c>
      <c r="N4035" t="s">
        <v>10019</v>
      </c>
      <c r="O4035" t="str">
        <f>HYPERLINK("4\0\marker_529_822628.png", "Ver Imagen")</f>
        <v>Ver Imagen</v>
      </c>
      <c r="P4035" t="str">
        <f>HYPERLINK("SE\A-492\A-492__33.png", "Ver Imagen")</f>
        <v>Ver Imagen</v>
      </c>
    </row>
    <row r="4036" spans="1:16" x14ac:dyDescent="0.25">
      <c r="A4036">
        <v>3574</v>
      </c>
      <c r="B4036" t="s">
        <v>7159</v>
      </c>
      <c r="C4036">
        <v>37.280580245300001</v>
      </c>
      <c r="D4036">
        <v>-7.0003674240200002</v>
      </c>
      <c r="E4036">
        <v>4</v>
      </c>
      <c r="F4036">
        <v>4</v>
      </c>
      <c r="G4036">
        <v>4</v>
      </c>
      <c r="J4036" t="s">
        <v>15</v>
      </c>
      <c r="K4036">
        <v>4</v>
      </c>
      <c r="L4036">
        <v>3.7149999999999999</v>
      </c>
      <c r="M4036">
        <v>0</v>
      </c>
      <c r="N4036" t="s">
        <v>10019</v>
      </c>
      <c r="O4036" t="str">
        <f>HYPERLINK("4\0\marker_213_823310.png", "Ver Imagen")</f>
        <v>Ver Imagen</v>
      </c>
      <c r="P4036" t="str">
        <f>HYPERLINK("SE\A-492\A-492__71.png", "Ver Imagen")</f>
        <v>Ver Imagen</v>
      </c>
    </row>
    <row r="4037" spans="1:16" x14ac:dyDescent="0.25">
      <c r="A4037">
        <v>3575</v>
      </c>
      <c r="B4037" t="s">
        <v>7161</v>
      </c>
      <c r="C4037">
        <v>37.457922639000003</v>
      </c>
      <c r="D4037">
        <v>-7.1142548511600001</v>
      </c>
      <c r="E4037">
        <v>4</v>
      </c>
      <c r="F4037">
        <v>4</v>
      </c>
      <c r="G4037">
        <v>4</v>
      </c>
      <c r="J4037" t="s">
        <v>15</v>
      </c>
      <c r="K4037">
        <v>4</v>
      </c>
      <c r="L4037">
        <v>3.8260000000000001</v>
      </c>
      <c r="M4037">
        <v>0</v>
      </c>
      <c r="N4037" t="s">
        <v>10019</v>
      </c>
      <c r="O4037" t="str">
        <f>HYPERLINK("4\0\marker_667_935244.png", "Ver Imagen")</f>
        <v>Ver Imagen</v>
      </c>
      <c r="P4037" t="str">
        <f>HYPERLINK("NE\A-495R\A-495R__69.png", "Ver Imagen")</f>
        <v>Ver Imagen</v>
      </c>
    </row>
    <row r="4038" spans="1:16" x14ac:dyDescent="0.25">
      <c r="A4038">
        <v>3576</v>
      </c>
      <c r="B4038" t="s">
        <v>7163</v>
      </c>
      <c r="C4038">
        <v>37.456747762500001</v>
      </c>
      <c r="D4038">
        <v>-7.1138164888400004</v>
      </c>
      <c r="E4038">
        <v>4</v>
      </c>
      <c r="F4038">
        <v>4</v>
      </c>
      <c r="G4038">
        <v>4</v>
      </c>
      <c r="J4038" t="s">
        <v>15</v>
      </c>
      <c r="K4038">
        <v>4</v>
      </c>
      <c r="L4038">
        <v>4.1429999999999998</v>
      </c>
      <c r="M4038">
        <v>0</v>
      </c>
      <c r="N4038" t="s">
        <v>10019</v>
      </c>
      <c r="O4038" t="str">
        <f>HYPERLINK("4\0\marker_608_935407.png", "Ver Imagen")</f>
        <v>Ver Imagen</v>
      </c>
      <c r="P4038" t="str">
        <f>HYPERLINK("NE\A-495R\A-495R__63.png", "Ver Imagen")</f>
        <v>Ver Imagen</v>
      </c>
    </row>
    <row r="4039" spans="1:16" x14ac:dyDescent="0.25">
      <c r="A4039">
        <v>3577</v>
      </c>
      <c r="B4039" t="s">
        <v>7165</v>
      </c>
      <c r="C4039">
        <v>37.456534442299997</v>
      </c>
      <c r="D4039">
        <v>-7.1137378206999999</v>
      </c>
      <c r="E4039">
        <v>4</v>
      </c>
      <c r="F4039">
        <v>4</v>
      </c>
      <c r="G4039">
        <v>4</v>
      </c>
      <c r="J4039" t="s">
        <v>15</v>
      </c>
      <c r="K4039">
        <v>4</v>
      </c>
      <c r="L4039">
        <v>4.1260000000000003</v>
      </c>
      <c r="M4039">
        <v>0</v>
      </c>
      <c r="N4039" t="s">
        <v>10019</v>
      </c>
      <c r="O4039" t="str">
        <f>HYPERLINK("4\0\marker_100_935419.png", "Ver Imagen")</f>
        <v>Ver Imagen</v>
      </c>
      <c r="P4039" t="str">
        <f>HYPERLINK("NE\A-495R\A-495R__62.png", "Ver Imagen")</f>
        <v>Ver Imagen</v>
      </c>
    </row>
    <row r="4040" spans="1:16" x14ac:dyDescent="0.25">
      <c r="A4040">
        <v>3578</v>
      </c>
      <c r="B4040" t="s">
        <v>7167</v>
      </c>
      <c r="C4040">
        <v>37.454631853099997</v>
      </c>
      <c r="D4040">
        <v>-7.1129497858599997</v>
      </c>
      <c r="E4040">
        <v>4</v>
      </c>
      <c r="F4040">
        <v>4</v>
      </c>
      <c r="G4040">
        <v>4</v>
      </c>
      <c r="J4040" t="s">
        <v>15</v>
      </c>
      <c r="K4040">
        <v>4</v>
      </c>
      <c r="L4040">
        <v>4.2249999999999996</v>
      </c>
      <c r="M4040">
        <v>0</v>
      </c>
      <c r="N4040" t="s">
        <v>10019</v>
      </c>
      <c r="O4040" t="str">
        <f>HYPERLINK("4\0\marker_323_935642.png", "Ver Imagen")</f>
        <v>Ver Imagen</v>
      </c>
      <c r="P4040" t="str">
        <f>HYPERLINK("NE\A-495R\A-495R__52.png", "Ver Imagen")</f>
        <v>Ver Imagen</v>
      </c>
    </row>
    <row r="4041" spans="1:16" x14ac:dyDescent="0.25">
      <c r="A4041">
        <v>3579</v>
      </c>
      <c r="B4041" t="s">
        <v>7169</v>
      </c>
      <c r="C4041">
        <v>37.452586995799997</v>
      </c>
      <c r="D4041">
        <v>-7.1118410021300003</v>
      </c>
      <c r="E4041">
        <v>4</v>
      </c>
      <c r="F4041">
        <v>4</v>
      </c>
      <c r="G4041">
        <v>4</v>
      </c>
      <c r="J4041" t="s">
        <v>15</v>
      </c>
      <c r="K4041">
        <v>4</v>
      </c>
      <c r="L4041">
        <v>3.8159999999999998</v>
      </c>
      <c r="M4041">
        <v>0</v>
      </c>
      <c r="N4041" t="s">
        <v>10019</v>
      </c>
      <c r="O4041" t="str">
        <f>HYPERLINK("4\0\marker_794_936512.png", "Ver Imagen")</f>
        <v>Ver Imagen</v>
      </c>
      <c r="P4041" t="str">
        <f>HYPERLINK("NE\A-495R\A-495R__41.png", "Ver Imagen")</f>
        <v>Ver Imagen</v>
      </c>
    </row>
    <row r="4042" spans="1:16" x14ac:dyDescent="0.25">
      <c r="A4042">
        <v>3580</v>
      </c>
      <c r="B4042" t="s">
        <v>7171</v>
      </c>
      <c r="C4042">
        <v>37.451635244199998</v>
      </c>
      <c r="D4042">
        <v>-7.1113077149299997</v>
      </c>
      <c r="E4042">
        <v>4</v>
      </c>
      <c r="F4042">
        <v>4</v>
      </c>
      <c r="G4042">
        <v>4</v>
      </c>
      <c r="J4042" t="s">
        <v>15</v>
      </c>
      <c r="K4042">
        <v>4</v>
      </c>
      <c r="L4042">
        <v>4.2690000000000001</v>
      </c>
      <c r="M4042">
        <v>0</v>
      </c>
      <c r="O4042" t="str">
        <f>HYPERLINK("4\0\marker_384_936563.png", "Ver Imagen")</f>
        <v>Ver Imagen</v>
      </c>
      <c r="P4042" t="str">
        <f>HYPERLINK("NE\A-495R\A-495R__36.png", "Ver Imagen")</f>
        <v>Ver Imagen</v>
      </c>
    </row>
    <row r="4043" spans="1:16" x14ac:dyDescent="0.25">
      <c r="A4043">
        <v>3581</v>
      </c>
      <c r="B4043" t="s">
        <v>7173</v>
      </c>
      <c r="C4043">
        <v>37.450965112399999</v>
      </c>
      <c r="D4043">
        <v>-7.1107934760999996</v>
      </c>
      <c r="E4043">
        <v>4</v>
      </c>
      <c r="F4043">
        <v>4</v>
      </c>
      <c r="G4043">
        <v>4</v>
      </c>
      <c r="J4043" t="s">
        <v>15</v>
      </c>
      <c r="K4043">
        <v>4</v>
      </c>
      <c r="L4043">
        <v>3.7410000000000001</v>
      </c>
      <c r="M4043">
        <v>0</v>
      </c>
      <c r="N4043" t="s">
        <v>10017</v>
      </c>
      <c r="O4043" t="str">
        <f>HYPERLINK("4\0\marker_239_936601.png", "Ver Imagen")</f>
        <v>Ver Imagen</v>
      </c>
      <c r="P4043" t="str">
        <f>HYPERLINK("NE\A-495R\A-495R__32.png", "Ver Imagen")</f>
        <v>Ver Imagen</v>
      </c>
    </row>
    <row r="4044" spans="1:16" x14ac:dyDescent="0.25">
      <c r="A4044">
        <v>3583</v>
      </c>
      <c r="B4044" t="s">
        <v>7177</v>
      </c>
      <c r="C4044">
        <v>37.207256967699998</v>
      </c>
      <c r="D4044">
        <v>-7.0219109312299999</v>
      </c>
      <c r="E4044">
        <v>4</v>
      </c>
      <c r="F4044">
        <v>4</v>
      </c>
      <c r="G4044">
        <v>4</v>
      </c>
      <c r="J4044" t="s">
        <v>15</v>
      </c>
      <c r="K4044">
        <v>4</v>
      </c>
      <c r="L4044">
        <v>4.1509999999999998</v>
      </c>
      <c r="M4044">
        <v>0</v>
      </c>
      <c r="N4044" t="s">
        <v>10019</v>
      </c>
      <c r="O4044" t="str">
        <f>HYPERLINK("4\0\marker_338_949421.png", "Ver Imagen")</f>
        <v>Ver Imagen</v>
      </c>
      <c r="P4044" t="str">
        <f>HYPERLINK("SE\A-5050\A-5050__24.png", "Ver Imagen")</f>
        <v>Ver Imagen</v>
      </c>
    </row>
    <row r="4045" spans="1:16" x14ac:dyDescent="0.25">
      <c r="A4045">
        <v>3584</v>
      </c>
      <c r="B4045" t="s">
        <v>7179</v>
      </c>
      <c r="C4045">
        <v>37.279477270900003</v>
      </c>
      <c r="D4045">
        <v>-7.14501996021</v>
      </c>
      <c r="E4045">
        <v>4</v>
      </c>
      <c r="F4045">
        <v>4</v>
      </c>
      <c r="G4045">
        <v>4</v>
      </c>
      <c r="J4045" t="s">
        <v>15</v>
      </c>
      <c r="K4045">
        <v>4</v>
      </c>
      <c r="L4045">
        <v>4.13</v>
      </c>
      <c r="M4045">
        <v>0</v>
      </c>
      <c r="N4045" t="s">
        <v>10019</v>
      </c>
      <c r="O4045" t="str">
        <f>HYPERLINK("4\0\marker_709_964486.png", "Ver Imagen")</f>
        <v>Ver Imagen</v>
      </c>
      <c r="P4045" t="str">
        <f>HYPERLINK("SO\A-5053\A-5053__328.png", "Ver Imagen")</f>
        <v>Ver Imagen</v>
      </c>
    </row>
    <row r="4046" spans="1:16" x14ac:dyDescent="0.25">
      <c r="A4046">
        <v>3585</v>
      </c>
      <c r="B4046" t="s">
        <v>7181</v>
      </c>
      <c r="C4046">
        <v>37.278811964299997</v>
      </c>
      <c r="D4046">
        <v>-7.1444694769600003</v>
      </c>
      <c r="E4046">
        <v>4</v>
      </c>
      <c r="F4046">
        <v>4</v>
      </c>
      <c r="G4046">
        <v>4</v>
      </c>
      <c r="J4046" t="s">
        <v>15</v>
      </c>
      <c r="K4046">
        <v>4</v>
      </c>
      <c r="L4046">
        <v>4.0720000000000001</v>
      </c>
      <c r="M4046">
        <v>0</v>
      </c>
      <c r="N4046" t="s">
        <v>10019</v>
      </c>
      <c r="O4046" t="str">
        <f>HYPERLINK("4\0\marker_360_964533.png", "Ver Imagen")</f>
        <v>Ver Imagen</v>
      </c>
      <c r="P4046" t="str">
        <f>HYPERLINK("SO\A-5053\A-5053__324.png", "Ver Imagen")</f>
        <v>Ver Imagen</v>
      </c>
    </row>
    <row r="4047" spans="1:16" x14ac:dyDescent="0.25">
      <c r="A4047">
        <v>3587</v>
      </c>
      <c r="B4047" t="s">
        <v>7185</v>
      </c>
      <c r="C4047">
        <v>37.268207327900001</v>
      </c>
      <c r="D4047">
        <v>-7.1354869353200003</v>
      </c>
      <c r="E4047">
        <v>4</v>
      </c>
      <c r="F4047">
        <v>4</v>
      </c>
      <c r="G4047">
        <v>4</v>
      </c>
      <c r="J4047" t="s">
        <v>15</v>
      </c>
      <c r="K4047">
        <v>4</v>
      </c>
      <c r="L4047">
        <v>3.677</v>
      </c>
      <c r="M4047">
        <v>0</v>
      </c>
      <c r="N4047" t="s">
        <v>10019</v>
      </c>
      <c r="O4047" t="str">
        <f>HYPERLINK("4\0\marker_256_965287.png", "Ver Imagen")</f>
        <v>Ver Imagen</v>
      </c>
      <c r="P4047" t="str">
        <f>HYPERLINK("SO\A-5053\A-5053__257.png", "Ver Imagen")</f>
        <v>Ver Imagen</v>
      </c>
    </row>
    <row r="4048" spans="1:16" x14ac:dyDescent="0.25">
      <c r="A4048">
        <v>3589</v>
      </c>
      <c r="B4048" t="s">
        <v>7189</v>
      </c>
      <c r="C4048">
        <v>37.2448170308</v>
      </c>
      <c r="D4048">
        <v>-7.0915858945599997</v>
      </c>
      <c r="E4048">
        <v>4</v>
      </c>
      <c r="F4048">
        <v>4</v>
      </c>
      <c r="G4048">
        <v>4</v>
      </c>
      <c r="J4048" t="s">
        <v>15</v>
      </c>
      <c r="K4048">
        <v>4</v>
      </c>
      <c r="L4048">
        <v>3.6440000000000001</v>
      </c>
      <c r="M4048">
        <v>0</v>
      </c>
      <c r="N4048" t="s">
        <v>10019</v>
      </c>
      <c r="O4048" t="str">
        <f>HYPERLINK("4\0\marker_551_384116.png", "Ver Imagen")</f>
        <v>Ver Imagen</v>
      </c>
      <c r="P4048" t="str">
        <f>HYPERLINK("SE\A-5058\A-5058__287.png", "Ver Imagen")</f>
        <v>Ver Imagen</v>
      </c>
    </row>
    <row r="4049" spans="1:16" x14ac:dyDescent="0.25">
      <c r="A4049">
        <v>3590</v>
      </c>
      <c r="B4049" t="s">
        <v>7191</v>
      </c>
      <c r="C4049">
        <v>37.2450282207</v>
      </c>
      <c r="D4049">
        <v>-7.09204151454</v>
      </c>
      <c r="E4049">
        <v>4</v>
      </c>
      <c r="F4049">
        <v>4</v>
      </c>
      <c r="G4049">
        <v>4</v>
      </c>
      <c r="J4049" t="s">
        <v>15</v>
      </c>
      <c r="K4049">
        <v>4</v>
      </c>
      <c r="L4049">
        <v>3.6989999999999998</v>
      </c>
      <c r="M4049">
        <v>0</v>
      </c>
      <c r="N4049" t="s">
        <v>10017</v>
      </c>
      <c r="O4049" t="str">
        <f>HYPERLINK("4\0\marker_650_384135.png", "Ver Imagen")</f>
        <v>Ver Imagen</v>
      </c>
      <c r="P4049" t="str">
        <f>HYPERLINK("SO\A-5058\A-5058__289.png", "Ver Imagen")</f>
        <v>Ver Imagen</v>
      </c>
    </row>
    <row r="4050" spans="1:16" x14ac:dyDescent="0.25">
      <c r="A4050">
        <v>3591</v>
      </c>
      <c r="B4050" t="s">
        <v>7193</v>
      </c>
      <c r="C4050">
        <v>37.245348442299999</v>
      </c>
      <c r="D4050">
        <v>-7.0931948472700004</v>
      </c>
      <c r="E4050">
        <v>4</v>
      </c>
      <c r="F4050">
        <v>4</v>
      </c>
      <c r="G4050">
        <v>4</v>
      </c>
      <c r="J4050" t="s">
        <v>15</v>
      </c>
      <c r="K4050">
        <v>4</v>
      </c>
      <c r="L4050">
        <v>3.97</v>
      </c>
      <c r="M4050">
        <v>0</v>
      </c>
      <c r="N4050" t="s">
        <v>10019</v>
      </c>
      <c r="O4050" t="str">
        <f>HYPERLINK("4\0\marker_215_384197.png", "Ver Imagen")</f>
        <v>Ver Imagen</v>
      </c>
      <c r="P4050" t="str">
        <f>HYPERLINK("SE\A-5058\A-5058__294.png", "Ver Imagen")</f>
        <v>Ver Imagen</v>
      </c>
    </row>
    <row r="4051" spans="1:16" x14ac:dyDescent="0.25">
      <c r="A4051">
        <v>3591</v>
      </c>
      <c r="B4051" t="s">
        <v>7193</v>
      </c>
      <c r="C4051">
        <v>37.245348442299999</v>
      </c>
      <c r="D4051">
        <v>-7.0931948472700004</v>
      </c>
      <c r="E4051">
        <v>4</v>
      </c>
      <c r="F4051">
        <v>4</v>
      </c>
      <c r="G4051">
        <v>4</v>
      </c>
      <c r="J4051" t="s">
        <v>15</v>
      </c>
      <c r="K4051">
        <v>4</v>
      </c>
      <c r="L4051">
        <v>4.101</v>
      </c>
      <c r="M4051">
        <v>0</v>
      </c>
      <c r="N4051" t="s">
        <v>10019</v>
      </c>
      <c r="O4051" t="str">
        <f>HYPERLINK("4\0\marker_215_384197.png", "Ver Imagen")</f>
        <v>Ver Imagen</v>
      </c>
      <c r="P4051" t="str">
        <f>HYPERLINK("SO\A-5058\A-5058__294.png", "Ver Imagen")</f>
        <v>Ver Imagen</v>
      </c>
    </row>
    <row r="4052" spans="1:16" x14ac:dyDescent="0.25">
      <c r="A4052">
        <v>3592</v>
      </c>
      <c r="B4052" t="s">
        <v>7195</v>
      </c>
      <c r="C4052">
        <v>37.245382688100001</v>
      </c>
      <c r="D4052">
        <v>-7.0934706248500001</v>
      </c>
      <c r="E4052">
        <v>4</v>
      </c>
      <c r="F4052">
        <v>4</v>
      </c>
      <c r="G4052">
        <v>4</v>
      </c>
      <c r="J4052" t="s">
        <v>15</v>
      </c>
      <c r="K4052">
        <v>4</v>
      </c>
      <c r="L4052">
        <v>3.8809999999999998</v>
      </c>
      <c r="M4052">
        <v>0</v>
      </c>
      <c r="N4052" t="s">
        <v>10017</v>
      </c>
      <c r="O4052" t="str">
        <f>HYPERLINK("4\0\marker_492_384205.png", "Ver Imagen")</f>
        <v>Ver Imagen</v>
      </c>
      <c r="P4052" t="str">
        <f>HYPERLINK("SO\A-5058\A-5058__295.png", "Ver Imagen")</f>
        <v>Ver Imagen</v>
      </c>
    </row>
    <row r="4053" spans="1:16" x14ac:dyDescent="0.25">
      <c r="A4053">
        <v>3594</v>
      </c>
      <c r="B4053" t="s">
        <v>7199</v>
      </c>
      <c r="C4053">
        <v>37.478219465199999</v>
      </c>
      <c r="D4053">
        <v>-7.1275331798400003</v>
      </c>
      <c r="E4053">
        <v>4</v>
      </c>
      <c r="F4053">
        <v>4</v>
      </c>
      <c r="G4053">
        <v>4</v>
      </c>
      <c r="J4053" t="s">
        <v>15</v>
      </c>
      <c r="K4053">
        <v>4</v>
      </c>
      <c r="L4053">
        <v>3.9129999999999998</v>
      </c>
      <c r="M4053">
        <v>0</v>
      </c>
      <c r="N4053" t="s">
        <v>10019</v>
      </c>
      <c r="O4053" t="str">
        <f>HYPERLINK("4\0\marker_832_384103.png", "Ver Imagen")</f>
        <v>Ver Imagen</v>
      </c>
      <c r="P4053" t="str">
        <f>HYPERLINK("NE\A-495_1\A-495_1__159.png", "Ver Imagen")</f>
        <v>Ver Imagen</v>
      </c>
    </row>
    <row r="4054" spans="1:16" x14ac:dyDescent="0.25">
      <c r="A4054">
        <v>3595</v>
      </c>
      <c r="B4054" t="s">
        <v>7201</v>
      </c>
      <c r="C4054">
        <v>37.472546837800003</v>
      </c>
      <c r="D4054">
        <v>-7.1264004540299997</v>
      </c>
      <c r="E4054">
        <v>4</v>
      </c>
      <c r="F4054">
        <v>4</v>
      </c>
      <c r="G4054">
        <v>4</v>
      </c>
      <c r="J4054" t="s">
        <v>15</v>
      </c>
      <c r="K4054">
        <v>4</v>
      </c>
      <c r="L4054">
        <v>3.9119999999999999</v>
      </c>
      <c r="M4054">
        <v>0</v>
      </c>
      <c r="N4054" t="s">
        <v>10019</v>
      </c>
      <c r="O4054" t="str">
        <f>HYPERLINK("4\0\marker_276_384493.png", "Ver Imagen")</f>
        <v>Ver Imagen</v>
      </c>
      <c r="P4054" t="str">
        <f>HYPERLINK("NE\A-495_1\A-495_1__128.png", "Ver Imagen")</f>
        <v>Ver Imagen</v>
      </c>
    </row>
    <row r="4055" spans="1:16" x14ac:dyDescent="0.25">
      <c r="A4055">
        <v>3596</v>
      </c>
      <c r="B4055" t="s">
        <v>7203</v>
      </c>
      <c r="C4055">
        <v>37.468307405099999</v>
      </c>
      <c r="D4055">
        <v>-7.1234880190399998</v>
      </c>
      <c r="E4055">
        <v>4</v>
      </c>
      <c r="F4055">
        <v>4</v>
      </c>
      <c r="G4055">
        <v>4</v>
      </c>
      <c r="J4055" t="s">
        <v>15</v>
      </c>
      <c r="K4055">
        <v>4</v>
      </c>
      <c r="L4055">
        <v>3.7629999999999999</v>
      </c>
      <c r="M4055">
        <v>0</v>
      </c>
      <c r="N4055" t="s">
        <v>10019</v>
      </c>
      <c r="O4055" t="str">
        <f>HYPERLINK("4\0\marker_757_384959.png", "Ver Imagen")</f>
        <v>Ver Imagen</v>
      </c>
      <c r="P4055" t="str">
        <f>HYPERLINK("NE\A-495_1\A-495_1__104.png", "Ver Imagen")</f>
        <v>Ver Imagen</v>
      </c>
    </row>
    <row r="4056" spans="1:16" x14ac:dyDescent="0.25">
      <c r="A4056">
        <v>3597</v>
      </c>
      <c r="B4056" t="s">
        <v>7205</v>
      </c>
      <c r="C4056">
        <v>37.495447050999999</v>
      </c>
      <c r="D4056">
        <v>-7.2702593042799997</v>
      </c>
      <c r="E4056">
        <v>4</v>
      </c>
      <c r="F4056">
        <v>4</v>
      </c>
      <c r="G4056">
        <v>4</v>
      </c>
      <c r="J4056" t="s">
        <v>15</v>
      </c>
      <c r="K4056">
        <v>4</v>
      </c>
      <c r="L4056">
        <v>4.0830000000000002</v>
      </c>
      <c r="M4056">
        <v>0</v>
      </c>
      <c r="N4056" t="s">
        <v>10019</v>
      </c>
      <c r="O4056" t="str">
        <f>HYPERLINK("4\0\marker_540_535178.png", "Ver Imagen")</f>
        <v>Ver Imagen</v>
      </c>
      <c r="P4056" t="str">
        <f>HYPERLINK("NO\A-499\A-499__70.png", "Ver Imagen")</f>
        <v>Ver Imagen</v>
      </c>
    </row>
    <row r="4057" spans="1:16" x14ac:dyDescent="0.25">
      <c r="A4057">
        <v>3598</v>
      </c>
      <c r="B4057" t="s">
        <v>7207</v>
      </c>
      <c r="C4057">
        <v>37.495427425599999</v>
      </c>
      <c r="D4057">
        <v>-7.2689573253599997</v>
      </c>
      <c r="E4057">
        <v>4</v>
      </c>
      <c r="F4057">
        <v>4</v>
      </c>
      <c r="G4057">
        <v>4</v>
      </c>
      <c r="J4057" t="s">
        <v>15</v>
      </c>
      <c r="K4057">
        <v>4</v>
      </c>
      <c r="L4057">
        <v>4.0110000000000001</v>
      </c>
      <c r="M4057">
        <v>0</v>
      </c>
      <c r="N4057" t="s">
        <v>10019</v>
      </c>
      <c r="O4057" t="str">
        <f>HYPERLINK("4\0\marker_906_789143.png", "Ver Imagen")</f>
        <v>Ver Imagen</v>
      </c>
      <c r="P4057" t="str">
        <f>HYPERLINK("NO\A-499\A-499__75.png", "Ver Imagen")</f>
        <v>Ver Imagen</v>
      </c>
    </row>
    <row r="4058" spans="1:16" x14ac:dyDescent="0.25">
      <c r="A4058">
        <v>3599</v>
      </c>
      <c r="B4058" t="s">
        <v>7209</v>
      </c>
      <c r="C4058">
        <v>37.198814976199998</v>
      </c>
      <c r="D4058">
        <v>-6.9823619370800003</v>
      </c>
      <c r="E4058">
        <v>4</v>
      </c>
      <c r="F4058">
        <v>4</v>
      </c>
      <c r="G4058">
        <v>4</v>
      </c>
      <c r="J4058" t="s">
        <v>15</v>
      </c>
      <c r="K4058">
        <v>4</v>
      </c>
      <c r="L4058">
        <v>4.0199999999999996</v>
      </c>
      <c r="M4058">
        <v>0</v>
      </c>
      <c r="N4058" t="s">
        <v>10019</v>
      </c>
      <c r="O4058" t="str">
        <f>HYPERLINK("4\0\marker_584_367606.png", "Ver Imagen")</f>
        <v>Ver Imagen</v>
      </c>
      <c r="P4058" t="str">
        <f>HYPERLINK("SE\A-497\A-497__834.png", "Ver Imagen")</f>
        <v>Ver Imagen</v>
      </c>
    </row>
    <row r="4059" spans="1:16" x14ac:dyDescent="0.25">
      <c r="A4059">
        <v>3600</v>
      </c>
      <c r="B4059" t="s">
        <v>7211</v>
      </c>
      <c r="C4059">
        <v>37.1876023696</v>
      </c>
      <c r="D4059">
        <v>-6.9791044865599998</v>
      </c>
      <c r="E4059">
        <v>4</v>
      </c>
      <c r="F4059">
        <v>4</v>
      </c>
      <c r="G4059">
        <v>4</v>
      </c>
      <c r="J4059" t="s">
        <v>15</v>
      </c>
      <c r="K4059">
        <v>4</v>
      </c>
      <c r="L4059">
        <v>3.5920000000000001</v>
      </c>
      <c r="M4059">
        <v>0</v>
      </c>
      <c r="N4059" t="s">
        <v>10019</v>
      </c>
      <c r="O4059" t="str">
        <f>HYPERLINK("4\0\marker_583_368305.png", "Ver Imagen")</f>
        <v>Ver Imagen</v>
      </c>
      <c r="P4059" t="str">
        <f>HYPERLINK("SE\A-497\A-497__770.png", "Ver Imagen")</f>
        <v>Ver Imagen</v>
      </c>
    </row>
    <row r="4060" spans="1:16" x14ac:dyDescent="0.25">
      <c r="A4060">
        <v>3601</v>
      </c>
      <c r="B4060" t="s">
        <v>7213</v>
      </c>
      <c r="C4060">
        <v>37.1859783337</v>
      </c>
      <c r="D4060">
        <v>-6.97982040685</v>
      </c>
      <c r="E4060">
        <v>4</v>
      </c>
      <c r="F4060">
        <v>4</v>
      </c>
      <c r="G4060">
        <v>4</v>
      </c>
      <c r="J4060" t="s">
        <v>15</v>
      </c>
      <c r="K4060">
        <v>4</v>
      </c>
      <c r="L4060">
        <v>3.57</v>
      </c>
      <c r="M4060">
        <v>0</v>
      </c>
      <c r="N4060" t="s">
        <v>10019</v>
      </c>
      <c r="O4060" t="str">
        <f>HYPERLINK("4\0\marker_400_368602.png", "Ver Imagen")</f>
        <v>Ver Imagen</v>
      </c>
      <c r="P4060" t="str">
        <f>HYPERLINK("SE\A-497\A-497__757.png", "Ver Imagen")</f>
        <v>Ver Imagen</v>
      </c>
    </row>
    <row r="4061" spans="1:16" x14ac:dyDescent="0.25">
      <c r="A4061">
        <v>3602</v>
      </c>
      <c r="B4061" t="s">
        <v>7215</v>
      </c>
      <c r="C4061">
        <v>37.186162063099999</v>
      </c>
      <c r="D4061">
        <v>-6.9797385274700003</v>
      </c>
      <c r="E4061">
        <v>4</v>
      </c>
      <c r="F4061">
        <v>4</v>
      </c>
      <c r="G4061">
        <v>4</v>
      </c>
      <c r="J4061" t="s">
        <v>15</v>
      </c>
      <c r="K4061">
        <v>4</v>
      </c>
      <c r="L4061">
        <v>3.79</v>
      </c>
      <c r="M4061">
        <v>0</v>
      </c>
      <c r="N4061" t="s">
        <v>10019</v>
      </c>
      <c r="O4061" t="str">
        <f>HYPERLINK("4\0\marker_556_368614.png", "Ver Imagen")</f>
        <v>Ver Imagen</v>
      </c>
      <c r="P4061" t="str">
        <f>HYPERLINK("SE\A-497\A-497__756.png", "Ver Imagen")</f>
        <v>Ver Imagen</v>
      </c>
    </row>
    <row r="4062" spans="1:16" x14ac:dyDescent="0.25">
      <c r="A4062">
        <v>3603</v>
      </c>
      <c r="B4062" t="s">
        <v>7217</v>
      </c>
      <c r="C4062">
        <v>37.199565823199997</v>
      </c>
      <c r="D4062">
        <v>-6.9841631269200004</v>
      </c>
      <c r="E4062">
        <v>4</v>
      </c>
      <c r="F4062">
        <v>4</v>
      </c>
      <c r="G4062">
        <v>4</v>
      </c>
      <c r="J4062" t="s">
        <v>15</v>
      </c>
      <c r="K4062">
        <v>4</v>
      </c>
      <c r="L4062">
        <v>3.7829999999999999</v>
      </c>
      <c r="M4062">
        <v>0</v>
      </c>
      <c r="N4062" t="s">
        <v>10019</v>
      </c>
      <c r="O4062" t="str">
        <f>HYPERLINK("4\0\marker_820_370730.png", "Ver Imagen")</f>
        <v>Ver Imagen</v>
      </c>
      <c r="P4062" t="str">
        <f>HYPERLINK("SE\A-497\A-497__675.png", "Ver Imagen")</f>
        <v>Ver Imagen</v>
      </c>
    </row>
    <row r="4063" spans="1:16" x14ac:dyDescent="0.25">
      <c r="A4063">
        <v>3604</v>
      </c>
      <c r="B4063" t="s">
        <v>7219</v>
      </c>
      <c r="C4063">
        <v>37.202855208800003</v>
      </c>
      <c r="D4063">
        <v>-7.0016253727700004</v>
      </c>
      <c r="E4063">
        <v>4</v>
      </c>
      <c r="F4063">
        <v>4</v>
      </c>
      <c r="G4063">
        <v>4</v>
      </c>
      <c r="J4063" t="s">
        <v>15</v>
      </c>
      <c r="K4063">
        <v>4</v>
      </c>
      <c r="L4063">
        <v>3.722</v>
      </c>
      <c r="M4063">
        <v>0</v>
      </c>
      <c r="N4063" t="s">
        <v>10019</v>
      </c>
      <c r="O4063" t="str">
        <f>HYPERLINK("4\0\marker_994_371678.png", "Ver Imagen")</f>
        <v>Ver Imagen</v>
      </c>
      <c r="P4063" t="str">
        <f>HYPERLINK("SE\A-497\A-497__604.png", "Ver Imagen")</f>
        <v>Ver Imagen</v>
      </c>
    </row>
    <row r="4064" spans="1:16" x14ac:dyDescent="0.25">
      <c r="A4064">
        <v>3605</v>
      </c>
      <c r="B4064" t="s">
        <v>7221</v>
      </c>
      <c r="C4064">
        <v>37.252677315</v>
      </c>
      <c r="D4064">
        <v>-7.0163821215400004</v>
      </c>
      <c r="E4064">
        <v>4</v>
      </c>
      <c r="F4064">
        <v>4</v>
      </c>
      <c r="G4064">
        <v>4</v>
      </c>
      <c r="J4064" t="s">
        <v>15</v>
      </c>
      <c r="K4064">
        <v>4</v>
      </c>
      <c r="L4064">
        <v>3.5190000000000001</v>
      </c>
      <c r="M4064">
        <v>0</v>
      </c>
      <c r="N4064" t="s">
        <v>10019</v>
      </c>
      <c r="O4064" t="str">
        <f>HYPERLINK("4\0\marker_122_319917.png", "Ver Imagen")</f>
        <v>Ver Imagen</v>
      </c>
      <c r="P4064" t="str">
        <f>HYPERLINK("SE\A-497_2C\A-497_2C__283.png", "Ver Imagen")</f>
        <v>Ver Imagen</v>
      </c>
    </row>
    <row r="4065" spans="1:16" x14ac:dyDescent="0.25">
      <c r="A4065">
        <v>3606</v>
      </c>
      <c r="B4065" t="s">
        <v>7223</v>
      </c>
      <c r="C4065">
        <v>37.247698166299998</v>
      </c>
      <c r="D4065">
        <v>-7.0183892345399999</v>
      </c>
      <c r="E4065">
        <v>4</v>
      </c>
      <c r="F4065">
        <v>4</v>
      </c>
      <c r="G4065">
        <v>4</v>
      </c>
      <c r="J4065" t="s">
        <v>15</v>
      </c>
      <c r="K4065">
        <v>4</v>
      </c>
      <c r="L4065">
        <v>4.1859999999999999</v>
      </c>
      <c r="M4065">
        <v>0</v>
      </c>
      <c r="N4065" t="s">
        <v>10019</v>
      </c>
      <c r="O4065" t="str">
        <f>HYPERLINK("4\0\marker_367_361819.png", "Ver Imagen")</f>
        <v>Ver Imagen</v>
      </c>
      <c r="P4065" t="str">
        <f>HYPERLINK("SE\A-497_2C\A-497_2C__309.png", "Ver Imagen")</f>
        <v>Ver Imagen</v>
      </c>
    </row>
    <row r="4066" spans="1:16" x14ac:dyDescent="0.25">
      <c r="A4066">
        <v>3608</v>
      </c>
      <c r="B4066" t="s">
        <v>7227</v>
      </c>
      <c r="C4066">
        <v>37.205101020599997</v>
      </c>
      <c r="D4066">
        <v>-7.0168002411900003</v>
      </c>
      <c r="E4066">
        <v>4</v>
      </c>
      <c r="F4066">
        <v>4</v>
      </c>
      <c r="G4066">
        <v>4</v>
      </c>
      <c r="J4066" t="s">
        <v>15</v>
      </c>
      <c r="K4066">
        <v>4</v>
      </c>
      <c r="L4066">
        <v>3.8119999999999998</v>
      </c>
      <c r="M4066">
        <v>0</v>
      </c>
      <c r="N4066" t="s">
        <v>10019</v>
      </c>
      <c r="O4066" t="str">
        <f>HYPERLINK("4\0\marker_333_364531.png", "Ver Imagen")</f>
        <v>Ver Imagen</v>
      </c>
      <c r="P4066" t="str">
        <f>HYPERLINK("SE\A-497_2C\A-497_2C__539.png", "Ver Imagen")</f>
        <v>Ver Imagen</v>
      </c>
    </row>
    <row r="4067" spans="1:16" x14ac:dyDescent="0.25">
      <c r="A4067">
        <v>3609</v>
      </c>
      <c r="B4067" t="s">
        <v>7229</v>
      </c>
      <c r="C4067">
        <v>37.251818809100001</v>
      </c>
      <c r="D4067">
        <v>-7.0167172335099997</v>
      </c>
      <c r="E4067">
        <v>4</v>
      </c>
      <c r="F4067">
        <v>4</v>
      </c>
      <c r="G4067">
        <v>4</v>
      </c>
      <c r="J4067" t="s">
        <v>15</v>
      </c>
      <c r="K4067">
        <v>4</v>
      </c>
      <c r="L4067">
        <v>3.8119999999999998</v>
      </c>
      <c r="M4067">
        <v>0</v>
      </c>
      <c r="N4067" t="s">
        <v>10019</v>
      </c>
      <c r="O4067" t="str">
        <f>HYPERLINK("4\0\marker_778_378331.png", "Ver Imagen")</f>
        <v>Ver Imagen</v>
      </c>
      <c r="P4067" t="str">
        <f>HYPERLINK("SE\A-497\A-497__292.png", "Ver Imagen")</f>
        <v>Ver Imagen</v>
      </c>
    </row>
    <row r="4068" spans="1:16" x14ac:dyDescent="0.25">
      <c r="A4068">
        <v>3610</v>
      </c>
      <c r="B4068" t="s">
        <v>7231</v>
      </c>
      <c r="C4068">
        <v>37.263340757800002</v>
      </c>
      <c r="D4068">
        <v>-7.0074522353099997</v>
      </c>
      <c r="E4068">
        <v>4</v>
      </c>
      <c r="F4068">
        <v>4</v>
      </c>
      <c r="G4068">
        <v>4</v>
      </c>
      <c r="J4068" t="s">
        <v>15</v>
      </c>
      <c r="K4068">
        <v>4</v>
      </c>
      <c r="L4068">
        <v>3.8069999999999999</v>
      </c>
      <c r="M4068">
        <v>0</v>
      </c>
      <c r="N4068" t="s">
        <v>10019</v>
      </c>
      <c r="O4068" t="str">
        <f>HYPERLINK("4\0\marker_976_379110.png", "Ver Imagen")</f>
        <v>Ver Imagen</v>
      </c>
      <c r="P4068" t="str">
        <f>HYPERLINK("SE\A-497\A-497__223.png", "Ver Imagen")</f>
        <v>Ver Imagen</v>
      </c>
    </row>
    <row r="4069" spans="1:16" x14ac:dyDescent="0.25">
      <c r="A4069">
        <v>3611</v>
      </c>
      <c r="B4069" t="s">
        <v>7233</v>
      </c>
      <c r="C4069">
        <v>37.271218055600002</v>
      </c>
      <c r="D4069">
        <v>-6.9837089604299996</v>
      </c>
      <c r="E4069">
        <v>4</v>
      </c>
      <c r="F4069">
        <v>4</v>
      </c>
      <c r="G4069">
        <v>4</v>
      </c>
      <c r="J4069" t="s">
        <v>15</v>
      </c>
      <c r="K4069">
        <v>4</v>
      </c>
      <c r="L4069">
        <v>4.0339999999999998</v>
      </c>
      <c r="M4069">
        <v>0</v>
      </c>
      <c r="N4069" t="s">
        <v>10019</v>
      </c>
      <c r="O4069" t="str">
        <f>HYPERLINK("4\0\marker_451_380688.png", "Ver Imagen")</f>
        <v>Ver Imagen</v>
      </c>
      <c r="P4069" t="str">
        <f>HYPERLINK("SE\A-497\A-497__113.png", "Ver Imagen")</f>
        <v>Ver Imagen</v>
      </c>
    </row>
    <row r="4070" spans="1:16" x14ac:dyDescent="0.25">
      <c r="A4070">
        <v>3613</v>
      </c>
      <c r="B4070" t="s">
        <v>7237</v>
      </c>
      <c r="C4070">
        <v>37.271006868000001</v>
      </c>
      <c r="D4070">
        <v>-6.9829789587000004</v>
      </c>
      <c r="E4070">
        <v>4</v>
      </c>
      <c r="F4070">
        <v>4</v>
      </c>
      <c r="G4070">
        <v>4</v>
      </c>
      <c r="J4070" t="s">
        <v>15</v>
      </c>
      <c r="K4070">
        <v>4</v>
      </c>
      <c r="L4070">
        <v>3.827</v>
      </c>
      <c r="M4070">
        <v>0</v>
      </c>
      <c r="N4070" t="s">
        <v>10019</v>
      </c>
      <c r="O4070" t="str">
        <f>HYPERLINK("4\0\marker_350_380724.png", "Ver Imagen")</f>
        <v>Ver Imagen</v>
      </c>
      <c r="P4070" t="str">
        <f>HYPERLINK("SE\A-497\A-497__110.png", "Ver Imagen")</f>
        <v>Ver Imagen</v>
      </c>
    </row>
    <row r="4071" spans="1:16" x14ac:dyDescent="0.25">
      <c r="A4071">
        <v>3615</v>
      </c>
      <c r="B4071" t="s">
        <v>7241</v>
      </c>
      <c r="C4071">
        <v>37.269757611999999</v>
      </c>
      <c r="D4071">
        <v>-6.9786193223100002</v>
      </c>
      <c r="E4071">
        <v>4</v>
      </c>
      <c r="F4071">
        <v>4</v>
      </c>
      <c r="G4071">
        <v>4</v>
      </c>
      <c r="J4071" t="s">
        <v>15</v>
      </c>
      <c r="K4071">
        <v>4</v>
      </c>
      <c r="L4071">
        <v>3.6970000000000001</v>
      </c>
      <c r="M4071">
        <v>0</v>
      </c>
      <c r="N4071" t="s">
        <v>10019</v>
      </c>
      <c r="O4071" t="str">
        <f>HYPERLINK("4\0\marker_117_380920.png", "Ver Imagen")</f>
        <v>Ver Imagen</v>
      </c>
      <c r="P4071" t="str">
        <f>HYPERLINK("SE\A-497\A-497__92.png", "Ver Imagen")</f>
        <v>Ver Imagen</v>
      </c>
    </row>
    <row r="4072" spans="1:16" x14ac:dyDescent="0.25">
      <c r="A4072">
        <v>3616</v>
      </c>
      <c r="B4072" t="s">
        <v>7243</v>
      </c>
      <c r="C4072">
        <v>37.218616669200003</v>
      </c>
      <c r="D4072">
        <v>-7.12543685262</v>
      </c>
      <c r="E4072">
        <v>3</v>
      </c>
      <c r="F4072">
        <v>4</v>
      </c>
      <c r="G4072">
        <v>4</v>
      </c>
      <c r="J4072" t="s">
        <v>15</v>
      </c>
      <c r="K4072">
        <v>4</v>
      </c>
      <c r="L4072">
        <v>3.6190000000000002</v>
      </c>
      <c r="M4072">
        <v>0</v>
      </c>
      <c r="N4072" t="s">
        <v>10019</v>
      </c>
      <c r="O4072" t="str">
        <f>HYPERLINK("4\1\marker_116_949875.png", "Ver Imagen")</f>
        <v>Ver Imagen</v>
      </c>
      <c r="P4072" t="str">
        <f>HYPERLINK("SO\A-5052\A-5052__2.png", "Ver Imagen")</f>
        <v>Ver Imagen</v>
      </c>
    </row>
    <row r="4073" spans="1:16" x14ac:dyDescent="0.25">
      <c r="A4073">
        <v>3617</v>
      </c>
      <c r="B4073" t="s">
        <v>7245</v>
      </c>
      <c r="C4073">
        <v>37.2111367101</v>
      </c>
      <c r="D4073">
        <v>-7.0553138756699996</v>
      </c>
      <c r="E4073">
        <v>3</v>
      </c>
      <c r="F4073">
        <v>4</v>
      </c>
      <c r="G4073">
        <v>4</v>
      </c>
      <c r="J4073" t="s">
        <v>15</v>
      </c>
      <c r="K4073">
        <v>4</v>
      </c>
      <c r="L4073">
        <v>3.9359999999999999</v>
      </c>
      <c r="M4073">
        <v>0</v>
      </c>
      <c r="N4073" t="s">
        <v>10019</v>
      </c>
      <c r="O4073" t="str">
        <f>HYPERLINK("4\1\marker_581_960583.png", "Ver Imagen")</f>
        <v>Ver Imagen</v>
      </c>
      <c r="P4073" t="str">
        <f>HYPERLINK("SE\A-5052\A-5052__285.png", "Ver Imagen")</f>
        <v>Ver Imagen</v>
      </c>
    </row>
    <row r="4074" spans="1:16" x14ac:dyDescent="0.25">
      <c r="A4074">
        <v>3618</v>
      </c>
      <c r="B4074" t="s">
        <v>7247</v>
      </c>
      <c r="C4074">
        <v>37.210800652899998</v>
      </c>
      <c r="D4074">
        <v>-7.0520575668100003</v>
      </c>
      <c r="E4074">
        <v>3</v>
      </c>
      <c r="F4074">
        <v>4</v>
      </c>
      <c r="G4074">
        <v>4</v>
      </c>
      <c r="J4074" t="s">
        <v>15</v>
      </c>
      <c r="K4074">
        <v>4</v>
      </c>
      <c r="L4074">
        <v>3.84</v>
      </c>
      <c r="M4074">
        <v>0</v>
      </c>
      <c r="N4074" t="s">
        <v>10019</v>
      </c>
      <c r="O4074" t="str">
        <f>HYPERLINK("4\1\marker_832_960887.png", "Ver Imagen")</f>
        <v>Ver Imagen</v>
      </c>
      <c r="P4074" t="str">
        <f>HYPERLINK("SE\A-5052\A-5052__298.png", "Ver Imagen")</f>
        <v>Ver Imagen</v>
      </c>
    </row>
    <row r="4075" spans="1:16" x14ac:dyDescent="0.25">
      <c r="A4075">
        <v>3620</v>
      </c>
      <c r="B4075" t="s">
        <v>7251</v>
      </c>
      <c r="C4075">
        <v>37.278246988600003</v>
      </c>
      <c r="D4075">
        <v>-7.1440451552299997</v>
      </c>
      <c r="E4075">
        <v>4</v>
      </c>
      <c r="F4075">
        <v>4</v>
      </c>
      <c r="G4075">
        <v>3</v>
      </c>
      <c r="J4075" t="s">
        <v>15</v>
      </c>
      <c r="K4075">
        <v>4</v>
      </c>
      <c r="L4075">
        <v>3.5910000000000002</v>
      </c>
      <c r="M4075">
        <v>0</v>
      </c>
      <c r="N4075" t="s">
        <v>10019</v>
      </c>
      <c r="O4075" t="str">
        <f>HYPERLINK("4\1\marker_996_964564.png", "Ver Imagen")</f>
        <v>Ver Imagen</v>
      </c>
      <c r="P4075" t="str">
        <f>HYPERLINK("SO\A-5053\A-5053__321.png", "Ver Imagen")</f>
        <v>Ver Imagen</v>
      </c>
    </row>
    <row r="4076" spans="1:16" x14ac:dyDescent="0.25">
      <c r="A4076">
        <v>3621</v>
      </c>
      <c r="B4076" t="s">
        <v>7253</v>
      </c>
      <c r="C4076">
        <v>37.277922298100002</v>
      </c>
      <c r="D4076">
        <v>-7.1437853208600002</v>
      </c>
      <c r="E4076">
        <v>3</v>
      </c>
      <c r="F4076">
        <v>4</v>
      </c>
      <c r="G4076">
        <v>4</v>
      </c>
      <c r="J4076" t="s">
        <v>15</v>
      </c>
      <c r="K4076">
        <v>4</v>
      </c>
      <c r="L4076">
        <v>3.7469999999999999</v>
      </c>
      <c r="M4076">
        <v>0</v>
      </c>
      <c r="N4076" t="s">
        <v>10019</v>
      </c>
      <c r="O4076" t="str">
        <f>HYPERLINK("4\1\marker_110_964583.png", "Ver Imagen")</f>
        <v>Ver Imagen</v>
      </c>
      <c r="P4076" t="str">
        <f>HYPERLINK("SO\A-5053\A-5053__319.png", "Ver Imagen")</f>
        <v>Ver Imagen</v>
      </c>
    </row>
    <row r="4077" spans="1:16" x14ac:dyDescent="0.25">
      <c r="A4077">
        <v>3622</v>
      </c>
      <c r="B4077" t="s">
        <v>7255</v>
      </c>
      <c r="C4077">
        <v>37.273520784399999</v>
      </c>
      <c r="D4077">
        <v>-7.1420196308200001</v>
      </c>
      <c r="E4077">
        <v>4</v>
      </c>
      <c r="F4077">
        <v>4</v>
      </c>
      <c r="G4077">
        <v>3</v>
      </c>
      <c r="J4077" t="s">
        <v>15</v>
      </c>
      <c r="K4077">
        <v>4</v>
      </c>
      <c r="L4077">
        <v>4.1260000000000003</v>
      </c>
      <c r="M4077">
        <v>0</v>
      </c>
      <c r="N4077" t="s">
        <v>10019</v>
      </c>
      <c r="O4077" t="str">
        <f>HYPERLINK("4\1\marker_470_964901.png", "Ver Imagen")</f>
        <v>Ver Imagen</v>
      </c>
      <c r="P4077" t="str">
        <f>HYPERLINK("SO\A-5053\A-5053__296.png", "Ver Imagen")</f>
        <v>Ver Imagen</v>
      </c>
    </row>
    <row r="4078" spans="1:16" x14ac:dyDescent="0.25">
      <c r="A4078">
        <v>3623</v>
      </c>
      <c r="B4078" t="s">
        <v>7257</v>
      </c>
      <c r="C4078">
        <v>37.269457938099997</v>
      </c>
      <c r="D4078">
        <v>-7.1391181989500003</v>
      </c>
      <c r="E4078">
        <v>3</v>
      </c>
      <c r="F4078">
        <v>4</v>
      </c>
      <c r="G4078">
        <v>4</v>
      </c>
      <c r="J4078" t="s">
        <v>15</v>
      </c>
      <c r="K4078">
        <v>4</v>
      </c>
      <c r="L4078">
        <v>3.948</v>
      </c>
      <c r="M4078">
        <v>0</v>
      </c>
      <c r="N4078" t="s">
        <v>10019</v>
      </c>
      <c r="O4078" t="str">
        <f>HYPERLINK("4\1\marker_492_965122.png", "Ver Imagen")</f>
        <v>Ver Imagen</v>
      </c>
      <c r="P4078" t="str">
        <f>HYPERLINK("SO\A-5053\A-5053__273.png", "Ver Imagen")</f>
        <v>Ver Imagen</v>
      </c>
    </row>
    <row r="4079" spans="1:16" x14ac:dyDescent="0.25">
      <c r="A4079">
        <v>3624</v>
      </c>
      <c r="B4079" t="s">
        <v>7259</v>
      </c>
      <c r="C4079">
        <v>37.268990816399999</v>
      </c>
      <c r="D4079">
        <v>-7.1384083480299996</v>
      </c>
      <c r="E4079">
        <v>4</v>
      </c>
      <c r="F4079">
        <v>4</v>
      </c>
      <c r="G4079">
        <v>3</v>
      </c>
      <c r="J4079" t="s">
        <v>15</v>
      </c>
      <c r="K4079">
        <v>4</v>
      </c>
      <c r="L4079">
        <v>4.0270000000000001</v>
      </c>
      <c r="M4079">
        <v>0</v>
      </c>
      <c r="N4079" t="s">
        <v>10019</v>
      </c>
      <c r="O4079" t="str">
        <f>HYPERLINK("4\1\marker_647_965155.png", "Ver Imagen")</f>
        <v>Ver Imagen</v>
      </c>
      <c r="P4079" t="str">
        <f>HYPERLINK("SO\A-5053\A-5053__269.png", "Ver Imagen")</f>
        <v>Ver Imagen</v>
      </c>
    </row>
    <row r="4080" spans="1:16" x14ac:dyDescent="0.25">
      <c r="A4080">
        <v>3626</v>
      </c>
      <c r="B4080" t="s">
        <v>7263</v>
      </c>
      <c r="C4080">
        <v>37.223965984099998</v>
      </c>
      <c r="D4080">
        <v>-7.1252718182199999</v>
      </c>
      <c r="E4080">
        <v>4</v>
      </c>
      <c r="F4080">
        <v>4</v>
      </c>
      <c r="G4080">
        <v>3</v>
      </c>
      <c r="J4080" t="s">
        <v>15</v>
      </c>
      <c r="K4080">
        <v>4</v>
      </c>
      <c r="L4080">
        <v>3.8010000000000002</v>
      </c>
      <c r="M4080">
        <v>0</v>
      </c>
      <c r="N4080" t="s">
        <v>10019</v>
      </c>
      <c r="O4080" t="str">
        <f>HYPERLINK("4\1\marker_508_022405.png", "Ver Imagen")</f>
        <v>Ver Imagen</v>
      </c>
      <c r="P4080" t="str">
        <f>HYPERLINK("SO\A-5053\A-5053__26.png", "Ver Imagen")</f>
        <v>Ver Imagen</v>
      </c>
    </row>
    <row r="4081" spans="1:16" x14ac:dyDescent="0.25">
      <c r="A4081">
        <v>3627</v>
      </c>
      <c r="B4081" t="s">
        <v>7265</v>
      </c>
      <c r="C4081">
        <v>37.495471466600002</v>
      </c>
      <c r="D4081">
        <v>-7.27002868798</v>
      </c>
      <c r="E4081">
        <v>3</v>
      </c>
      <c r="F4081">
        <v>4</v>
      </c>
      <c r="G4081">
        <v>4</v>
      </c>
      <c r="J4081" t="s">
        <v>15</v>
      </c>
      <c r="K4081">
        <v>4</v>
      </c>
      <c r="L4081">
        <v>4.2919999999999998</v>
      </c>
      <c r="M4081">
        <v>0</v>
      </c>
      <c r="N4081" t="s">
        <v>10019</v>
      </c>
      <c r="O4081" t="str">
        <f>HYPERLINK("4\1\marker_758_535187.png", "Ver Imagen")</f>
        <v>Ver Imagen</v>
      </c>
      <c r="P4081" t="str">
        <f>HYPERLINK("NO\A-499\A-499__71.png", "Ver Imagen")</f>
        <v>Ver Imagen</v>
      </c>
    </row>
    <row r="4082" spans="1:16" x14ac:dyDescent="0.25">
      <c r="A4082">
        <v>3628</v>
      </c>
      <c r="B4082" t="s">
        <v>7267</v>
      </c>
      <c r="C4082">
        <v>37.267172094199999</v>
      </c>
      <c r="D4082">
        <v>-6.9917322931300001</v>
      </c>
      <c r="E4082">
        <v>4</v>
      </c>
      <c r="F4082">
        <v>4</v>
      </c>
      <c r="G4082">
        <v>3</v>
      </c>
      <c r="J4082" t="s">
        <v>15</v>
      </c>
      <c r="K4082">
        <v>4</v>
      </c>
      <c r="L4082">
        <v>3.8319999999999999</v>
      </c>
      <c r="M4082">
        <v>0</v>
      </c>
      <c r="N4082" t="s">
        <v>10019</v>
      </c>
      <c r="O4082" t="str">
        <f>HYPERLINK("4\1\marker_383_656021.png", "Ver Imagen")</f>
        <v>Ver Imagen</v>
      </c>
      <c r="P4082" t="str">
        <f>HYPERLINK("SE\A-497_2C\A-497_2C__152.png", "Ver Imagen")</f>
        <v>Ver Imagen</v>
      </c>
    </row>
    <row r="4083" spans="1:16" x14ac:dyDescent="0.25">
      <c r="A4083">
        <v>3630</v>
      </c>
      <c r="B4083" t="s">
        <v>7271</v>
      </c>
      <c r="C4083">
        <v>37.204166083200001</v>
      </c>
      <c r="D4083">
        <v>-7.0120655629400002</v>
      </c>
      <c r="E4083">
        <v>3</v>
      </c>
      <c r="F4083">
        <v>4</v>
      </c>
      <c r="G4083">
        <v>4</v>
      </c>
      <c r="J4083" t="s">
        <v>15</v>
      </c>
      <c r="K4083">
        <v>4</v>
      </c>
      <c r="L4083">
        <v>3.8170000000000002</v>
      </c>
      <c r="M4083">
        <v>0</v>
      </c>
      <c r="N4083" t="s">
        <v>10019</v>
      </c>
      <c r="O4083" t="str">
        <f>HYPERLINK("4\1\marker_785_366367.png", "Ver Imagen")</f>
        <v>Ver Imagen</v>
      </c>
      <c r="P4083" t="str">
        <f>HYPERLINK("SE\A-497_2C\A-497_2C__559.png", "Ver Imagen")</f>
        <v>Ver Imagen</v>
      </c>
    </row>
    <row r="4084" spans="1:16" x14ac:dyDescent="0.25">
      <c r="A4084">
        <v>3631</v>
      </c>
      <c r="B4084" t="s">
        <v>7273</v>
      </c>
      <c r="C4084">
        <v>37.446613295200002</v>
      </c>
      <c r="D4084">
        <v>-7.1320170107700003</v>
      </c>
      <c r="E4084">
        <v>3</v>
      </c>
      <c r="F4084">
        <v>4</v>
      </c>
      <c r="G4084">
        <v>4</v>
      </c>
      <c r="J4084" t="s">
        <v>15</v>
      </c>
      <c r="K4084">
        <v>4</v>
      </c>
      <c r="L4084">
        <v>4.0259999999999998</v>
      </c>
      <c r="M4084">
        <v>0</v>
      </c>
      <c r="N4084" t="s">
        <v>10019</v>
      </c>
      <c r="O4084" t="str">
        <f>HYPERLINK("4\1\marker_137_730734.png", "Ver Imagen")</f>
        <v>Ver Imagen</v>
      </c>
      <c r="P4084" t="str">
        <f>HYPERLINK("NE\A-490\A-490__23.png", "Ver Imagen")</f>
        <v>Ver Imagen</v>
      </c>
    </row>
    <row r="4085" spans="1:16" x14ac:dyDescent="0.25">
      <c r="A4085">
        <v>3633</v>
      </c>
      <c r="B4085" t="s">
        <v>7277</v>
      </c>
      <c r="C4085">
        <v>37.447187934900001</v>
      </c>
      <c r="D4085">
        <v>-7.1274658401000002</v>
      </c>
      <c r="E4085">
        <v>4</v>
      </c>
      <c r="F4085">
        <v>5</v>
      </c>
      <c r="G4085">
        <v>4</v>
      </c>
      <c r="J4085" t="s">
        <v>15</v>
      </c>
      <c r="K4085">
        <v>4</v>
      </c>
      <c r="L4085">
        <v>3.6339999999999999</v>
      </c>
      <c r="M4085">
        <v>0</v>
      </c>
      <c r="N4085" t="s">
        <v>10019</v>
      </c>
      <c r="O4085" t="str">
        <f>HYPERLINK("4\1\marker_303_667472.png", "Ver Imagen")</f>
        <v>Ver Imagen</v>
      </c>
      <c r="P4085" t="str">
        <f>HYPERLINK("NE\A-490\A-490__5.png", "Ver Imagen")</f>
        <v>Ver Imagen</v>
      </c>
    </row>
    <row r="4086" spans="1:16" x14ac:dyDescent="0.25">
      <c r="A4086">
        <v>3634</v>
      </c>
      <c r="B4086" t="s">
        <v>7279</v>
      </c>
      <c r="C4086">
        <v>37.447158960099998</v>
      </c>
      <c r="D4086">
        <v>-7.12774900447</v>
      </c>
      <c r="E4086">
        <v>4</v>
      </c>
      <c r="F4086">
        <v>4</v>
      </c>
      <c r="G4086">
        <v>3</v>
      </c>
      <c r="J4086" t="s">
        <v>15</v>
      </c>
      <c r="K4086">
        <v>4</v>
      </c>
      <c r="L4086">
        <v>3.629</v>
      </c>
      <c r="M4086">
        <v>0</v>
      </c>
      <c r="N4086" t="s">
        <v>10019</v>
      </c>
      <c r="O4086" t="str">
        <f>HYPERLINK("4\1\marker_462_724787.png", "Ver Imagen")</f>
        <v>Ver Imagen</v>
      </c>
      <c r="P4086" t="str">
        <f>HYPERLINK("NE\A-490\A-490__6.png", "Ver Imagen")</f>
        <v>Ver Imagen</v>
      </c>
    </row>
    <row r="4087" spans="1:16" x14ac:dyDescent="0.25">
      <c r="A4087">
        <v>3635</v>
      </c>
      <c r="B4087" t="s">
        <v>7281</v>
      </c>
      <c r="C4087">
        <v>37.4471450717</v>
      </c>
      <c r="D4087">
        <v>-7.12896618092</v>
      </c>
      <c r="E4087">
        <v>4</v>
      </c>
      <c r="F4087">
        <v>5</v>
      </c>
      <c r="G4087">
        <v>4</v>
      </c>
      <c r="J4087" t="s">
        <v>15</v>
      </c>
      <c r="K4087">
        <v>4</v>
      </c>
      <c r="L4087">
        <v>3.5150000000000001</v>
      </c>
      <c r="M4087">
        <v>0</v>
      </c>
      <c r="N4087" t="s">
        <v>10019</v>
      </c>
      <c r="O4087" t="str">
        <f>HYPERLINK("4\1\marker_481_726083.png", "Ver Imagen")</f>
        <v>Ver Imagen</v>
      </c>
      <c r="P4087" t="str">
        <f>HYPERLINK("NE\A-490\A-490__11.png", "Ver Imagen")</f>
        <v>Ver Imagen</v>
      </c>
    </row>
    <row r="4088" spans="1:16" x14ac:dyDescent="0.25">
      <c r="A4088">
        <v>3637</v>
      </c>
      <c r="B4088" t="s">
        <v>7285</v>
      </c>
      <c r="C4088">
        <v>37.446983592800002</v>
      </c>
      <c r="D4088">
        <v>-7.1302322681200003</v>
      </c>
      <c r="E4088">
        <v>4</v>
      </c>
      <c r="F4088">
        <v>5</v>
      </c>
      <c r="G4088">
        <v>4</v>
      </c>
      <c r="J4088" t="s">
        <v>15</v>
      </c>
      <c r="K4088">
        <v>4</v>
      </c>
      <c r="L4088">
        <v>3.73</v>
      </c>
      <c r="M4088">
        <v>0</v>
      </c>
      <c r="N4088" t="s">
        <v>10019</v>
      </c>
      <c r="O4088" t="str">
        <f>HYPERLINK("4\1\marker_333_728175.png", "Ver Imagen")</f>
        <v>Ver Imagen</v>
      </c>
      <c r="P4088" t="str">
        <f>HYPERLINK("NE\A-490\A-490__16.png", "Ver Imagen")</f>
        <v>Ver Imagen</v>
      </c>
    </row>
    <row r="4089" spans="1:16" x14ac:dyDescent="0.25">
      <c r="A4089">
        <v>3638</v>
      </c>
      <c r="B4089" t="s">
        <v>7287</v>
      </c>
      <c r="C4089">
        <v>37.448509402399999</v>
      </c>
      <c r="D4089">
        <v>-7.14374260633</v>
      </c>
      <c r="E4089">
        <v>3</v>
      </c>
      <c r="F4089">
        <v>4</v>
      </c>
      <c r="G4089">
        <v>4</v>
      </c>
      <c r="J4089" t="s">
        <v>15</v>
      </c>
      <c r="K4089">
        <v>4</v>
      </c>
      <c r="L4089">
        <v>3.6349999999999998</v>
      </c>
      <c r="M4089">
        <v>0</v>
      </c>
      <c r="N4089" t="s">
        <v>10019</v>
      </c>
      <c r="O4089" t="str">
        <f>HYPERLINK("4\1\marker_983_738217.png", "Ver Imagen")</f>
        <v>Ver Imagen</v>
      </c>
      <c r="P4089" t="str">
        <f>HYPERLINK("NE\A-490\A-490__72.png", "Ver Imagen")</f>
        <v>Ver Imagen</v>
      </c>
    </row>
    <row r="4090" spans="1:16" x14ac:dyDescent="0.25">
      <c r="A4090">
        <v>3639</v>
      </c>
      <c r="B4090" t="s">
        <v>7289</v>
      </c>
      <c r="C4090">
        <v>37.448581096799998</v>
      </c>
      <c r="D4090">
        <v>-7.1449703835399996</v>
      </c>
      <c r="E4090">
        <v>3</v>
      </c>
      <c r="F4090">
        <v>4</v>
      </c>
      <c r="G4090">
        <v>4</v>
      </c>
      <c r="J4090" t="s">
        <v>15</v>
      </c>
      <c r="K4090">
        <v>4</v>
      </c>
      <c r="L4090">
        <v>3.8460000000000001</v>
      </c>
      <c r="M4090">
        <v>0</v>
      </c>
      <c r="N4090" t="s">
        <v>10018</v>
      </c>
      <c r="O4090" t="str">
        <f>HYPERLINK("4\1\marker_197_738520.png", "Ver Imagen")</f>
        <v>Ver Imagen</v>
      </c>
      <c r="P4090" t="str">
        <f>HYPERLINK("NE\A-490\A-490__77.png", "Ver Imagen")</f>
        <v>Ver Imagen</v>
      </c>
    </row>
    <row r="4091" spans="1:16" x14ac:dyDescent="0.25">
      <c r="A4091">
        <v>3640</v>
      </c>
      <c r="B4091" t="s">
        <v>7291</v>
      </c>
      <c r="C4091">
        <v>37.448594069999999</v>
      </c>
      <c r="D4091">
        <v>-7.1451857962199998</v>
      </c>
      <c r="E4091">
        <v>3</v>
      </c>
      <c r="F4091">
        <v>4</v>
      </c>
      <c r="G4091">
        <v>4</v>
      </c>
      <c r="J4091" t="s">
        <v>15</v>
      </c>
      <c r="K4091">
        <v>4</v>
      </c>
      <c r="L4091">
        <v>3.6539999999999999</v>
      </c>
      <c r="M4091">
        <v>0</v>
      </c>
      <c r="N4091" t="s">
        <v>10019</v>
      </c>
      <c r="O4091" t="str">
        <f>HYPERLINK("4\1\marker_771_738559.png", "Ver Imagen")</f>
        <v>Ver Imagen</v>
      </c>
      <c r="P4091" t="str">
        <f>HYPERLINK("NE\A-490\A-490__78.png", "Ver Imagen")</f>
        <v>Ver Imagen</v>
      </c>
    </row>
    <row r="4092" spans="1:16" x14ac:dyDescent="0.25">
      <c r="A4092">
        <v>3641</v>
      </c>
      <c r="B4092" t="s">
        <v>7293</v>
      </c>
      <c r="C4092">
        <v>37.449357266900002</v>
      </c>
      <c r="D4092">
        <v>-7.1511418620300002</v>
      </c>
      <c r="E4092">
        <v>3</v>
      </c>
      <c r="F4092">
        <v>4</v>
      </c>
      <c r="G4092">
        <v>4</v>
      </c>
      <c r="J4092" t="s">
        <v>15</v>
      </c>
      <c r="K4092">
        <v>4</v>
      </c>
      <c r="L4092">
        <v>3.7010000000000001</v>
      </c>
      <c r="M4092">
        <v>0</v>
      </c>
      <c r="N4092" t="s">
        <v>10019</v>
      </c>
      <c r="O4092" t="str">
        <f>HYPERLINK("4\1\marker_726_739592.png", "Ver Imagen")</f>
        <v>Ver Imagen</v>
      </c>
      <c r="P4092" t="str">
        <f>HYPERLINK("NE\A-490\A-490__102.png", "Ver Imagen")</f>
        <v>Ver Imagen</v>
      </c>
    </row>
    <row r="4093" spans="1:16" x14ac:dyDescent="0.25">
      <c r="A4093">
        <v>3642</v>
      </c>
      <c r="B4093" t="s">
        <v>7295</v>
      </c>
      <c r="C4093">
        <v>37.449460151799997</v>
      </c>
      <c r="D4093">
        <v>-7.1513595243200001</v>
      </c>
      <c r="E4093">
        <v>3</v>
      </c>
      <c r="F4093">
        <v>4</v>
      </c>
      <c r="G4093">
        <v>4</v>
      </c>
      <c r="J4093" t="s">
        <v>15</v>
      </c>
      <c r="K4093">
        <v>4</v>
      </c>
      <c r="L4093">
        <v>3.6469999999999998</v>
      </c>
      <c r="M4093">
        <v>0</v>
      </c>
      <c r="N4093" t="s">
        <v>10019</v>
      </c>
      <c r="O4093" t="str">
        <f>HYPERLINK("4\1\marker_840_739608.png", "Ver Imagen")</f>
        <v>Ver Imagen</v>
      </c>
      <c r="P4093" t="str">
        <f>HYPERLINK("NE\A-490\A-490__103.png", "Ver Imagen")</f>
        <v>Ver Imagen</v>
      </c>
    </row>
    <row r="4094" spans="1:16" x14ac:dyDescent="0.25">
      <c r="A4094">
        <v>3643</v>
      </c>
      <c r="B4094" t="s">
        <v>7297</v>
      </c>
      <c r="C4094">
        <v>37.4495751308</v>
      </c>
      <c r="D4094">
        <v>-7.1515644730899997</v>
      </c>
      <c r="E4094">
        <v>4</v>
      </c>
      <c r="F4094">
        <v>4</v>
      </c>
      <c r="G4094">
        <v>5</v>
      </c>
      <c r="J4094" t="s">
        <v>15</v>
      </c>
      <c r="K4094">
        <v>4</v>
      </c>
      <c r="L4094">
        <v>3.7549999999999999</v>
      </c>
      <c r="M4094">
        <v>0</v>
      </c>
      <c r="N4094" t="s">
        <v>10019</v>
      </c>
      <c r="O4094" t="str">
        <f>HYPERLINK("4\1\marker_695_739634.png", "Ver Imagen")</f>
        <v>Ver Imagen</v>
      </c>
      <c r="P4094" t="str">
        <f>HYPERLINK("NE\A-490\A-490__104.png", "Ver Imagen")</f>
        <v>Ver Imagen</v>
      </c>
    </row>
    <row r="4095" spans="1:16" x14ac:dyDescent="0.25">
      <c r="A4095">
        <v>3644</v>
      </c>
      <c r="B4095" t="s">
        <v>7299</v>
      </c>
      <c r="C4095">
        <v>37.462432842399998</v>
      </c>
      <c r="D4095">
        <v>-7.1758382765800004</v>
      </c>
      <c r="E4095">
        <v>3</v>
      </c>
      <c r="F4095">
        <v>4</v>
      </c>
      <c r="G4095">
        <v>4</v>
      </c>
      <c r="J4095" t="s">
        <v>15</v>
      </c>
      <c r="K4095">
        <v>4</v>
      </c>
      <c r="L4095">
        <v>3.7559999999999998</v>
      </c>
      <c r="M4095">
        <v>0</v>
      </c>
      <c r="N4095" t="s">
        <v>10019</v>
      </c>
      <c r="O4095" t="str">
        <f>HYPERLINK("4\1\marker_761_743400.png", "Ver Imagen")</f>
        <v>Ver Imagen</v>
      </c>
      <c r="P4095" t="str">
        <f>HYPERLINK("NE\A-490\A-490__221.png", "Ver Imagen")</f>
        <v>Ver Imagen</v>
      </c>
    </row>
    <row r="4096" spans="1:16" x14ac:dyDescent="0.25">
      <c r="A4096">
        <v>3646</v>
      </c>
      <c r="B4096" t="s">
        <v>7303</v>
      </c>
      <c r="C4096">
        <v>37.4606036355</v>
      </c>
      <c r="D4096">
        <v>-7.1728277050599996</v>
      </c>
      <c r="E4096">
        <v>3</v>
      </c>
      <c r="F4096">
        <v>4</v>
      </c>
      <c r="G4096">
        <v>4</v>
      </c>
      <c r="J4096" t="s">
        <v>15</v>
      </c>
      <c r="K4096">
        <v>4</v>
      </c>
      <c r="L4096">
        <v>3.59</v>
      </c>
      <c r="M4096">
        <v>0</v>
      </c>
      <c r="N4096" t="s">
        <v>10019</v>
      </c>
      <c r="O4096" t="str">
        <f>HYPERLINK("4\1\marker_943_742505.png", "Ver Imagen")</f>
        <v>Ver Imagen</v>
      </c>
      <c r="P4096" t="str">
        <f>HYPERLINK("NE\A-490\A-490__206.png", "Ver Imagen")</f>
        <v>Ver Imagen</v>
      </c>
    </row>
    <row r="4097" spans="1:16" x14ac:dyDescent="0.25">
      <c r="A4097">
        <v>3647</v>
      </c>
      <c r="B4097" t="s">
        <v>7305</v>
      </c>
      <c r="C4097">
        <v>37.462543341</v>
      </c>
      <c r="D4097">
        <v>-7.1760180743099999</v>
      </c>
      <c r="E4097">
        <v>3</v>
      </c>
      <c r="F4097">
        <v>4</v>
      </c>
      <c r="G4097">
        <v>4</v>
      </c>
      <c r="J4097" t="s">
        <v>15</v>
      </c>
      <c r="K4097">
        <v>4</v>
      </c>
      <c r="L4097">
        <v>3.88</v>
      </c>
      <c r="M4097">
        <v>0</v>
      </c>
      <c r="N4097" t="s">
        <v>10019</v>
      </c>
      <c r="O4097" t="str">
        <f>HYPERLINK("4\1\marker_501_743597.png", "Ver Imagen")</f>
        <v>Ver Imagen</v>
      </c>
      <c r="P4097" t="str">
        <f>HYPERLINK("NE\A-490\A-490__222.png", "Ver Imagen")</f>
        <v>Ver Imagen</v>
      </c>
    </row>
    <row r="4098" spans="1:16" x14ac:dyDescent="0.25">
      <c r="A4098">
        <v>3648</v>
      </c>
      <c r="B4098" t="s">
        <v>7307</v>
      </c>
      <c r="C4098">
        <v>37.463884492600002</v>
      </c>
      <c r="D4098">
        <v>-7.1782965164699997</v>
      </c>
      <c r="E4098">
        <v>3</v>
      </c>
      <c r="F4098">
        <v>4</v>
      </c>
      <c r="G4098">
        <v>4</v>
      </c>
      <c r="J4098" t="s">
        <v>15</v>
      </c>
      <c r="K4098">
        <v>4</v>
      </c>
      <c r="L4098">
        <v>3.5459999999999998</v>
      </c>
      <c r="M4098">
        <v>0</v>
      </c>
      <c r="N4098" t="s">
        <v>10019</v>
      </c>
      <c r="O4098" t="str">
        <f>HYPERLINK("4\1\marker_447_743903.png", "Ver Imagen")</f>
        <v>Ver Imagen</v>
      </c>
      <c r="P4098" t="str">
        <f>HYPERLINK("NE\A-490\A-490__233.png", "Ver Imagen")</f>
        <v>Ver Imagen</v>
      </c>
    </row>
    <row r="4099" spans="1:16" x14ac:dyDescent="0.25">
      <c r="A4099">
        <v>3650</v>
      </c>
      <c r="B4099" t="s">
        <v>7311</v>
      </c>
      <c r="C4099">
        <v>37.464584202399998</v>
      </c>
      <c r="D4099">
        <v>-7.1795713623999999</v>
      </c>
      <c r="E4099">
        <v>3</v>
      </c>
      <c r="F4099">
        <v>4</v>
      </c>
      <c r="G4099">
        <v>4</v>
      </c>
      <c r="J4099" t="s">
        <v>15</v>
      </c>
      <c r="K4099">
        <v>4</v>
      </c>
      <c r="L4099">
        <v>4.0410000000000004</v>
      </c>
      <c r="M4099">
        <v>0</v>
      </c>
      <c r="N4099" t="s">
        <v>10019</v>
      </c>
      <c r="O4099" t="str">
        <f>HYPERLINK("4\1\marker_264_744128.png", "Ver Imagen")</f>
        <v>Ver Imagen</v>
      </c>
      <c r="P4099" t="str">
        <f>HYPERLINK("NE\A-490\A-490__239.png", "Ver Imagen")</f>
        <v>Ver Imagen</v>
      </c>
    </row>
    <row r="4100" spans="1:16" x14ac:dyDescent="0.25">
      <c r="A4100">
        <v>3651</v>
      </c>
      <c r="B4100" t="s">
        <v>7313</v>
      </c>
      <c r="C4100">
        <v>37.464840613299998</v>
      </c>
      <c r="D4100">
        <v>-7.1800152194900004</v>
      </c>
      <c r="E4100">
        <v>4</v>
      </c>
      <c r="F4100">
        <v>4</v>
      </c>
      <c r="G4100">
        <v>5</v>
      </c>
      <c r="J4100" t="s">
        <v>15</v>
      </c>
      <c r="K4100">
        <v>4</v>
      </c>
      <c r="L4100">
        <v>3.9769999999999999</v>
      </c>
      <c r="M4100">
        <v>0</v>
      </c>
      <c r="N4100" t="s">
        <v>10019</v>
      </c>
      <c r="O4100" t="str">
        <f>HYPERLINK("4\1\marker_109_749198.png", "Ver Imagen")</f>
        <v>Ver Imagen</v>
      </c>
      <c r="P4100" t="str">
        <f>HYPERLINK("NE\A-490\A-490__241.png", "Ver Imagen")</f>
        <v>Ver Imagen</v>
      </c>
    </row>
    <row r="4101" spans="1:16" x14ac:dyDescent="0.25">
      <c r="A4101">
        <v>3652</v>
      </c>
      <c r="B4101" t="s">
        <v>7315</v>
      </c>
      <c r="C4101">
        <v>37.464970093200002</v>
      </c>
      <c r="D4101">
        <v>-7.1802514570899998</v>
      </c>
      <c r="E4101">
        <v>4</v>
      </c>
      <c r="F4101">
        <v>4</v>
      </c>
      <c r="G4101">
        <v>5</v>
      </c>
      <c r="J4101" t="s">
        <v>15</v>
      </c>
      <c r="K4101">
        <v>4</v>
      </c>
      <c r="L4101">
        <v>3.8650000000000002</v>
      </c>
      <c r="M4101">
        <v>0</v>
      </c>
      <c r="N4101" t="s">
        <v>10017</v>
      </c>
      <c r="O4101" t="str">
        <f>HYPERLINK("4\1\marker_740_749219.png", "Ver Imagen")</f>
        <v>Ver Imagen</v>
      </c>
      <c r="P4101" t="str">
        <f>HYPERLINK("NE\A-490\A-490__242.png", "Ver Imagen")</f>
        <v>Ver Imagen</v>
      </c>
    </row>
    <row r="4102" spans="1:16" x14ac:dyDescent="0.25">
      <c r="A4102">
        <v>3653</v>
      </c>
      <c r="B4102" t="s">
        <v>7317</v>
      </c>
      <c r="C4102">
        <v>37.466305645299997</v>
      </c>
      <c r="D4102">
        <v>-7.1827404683499996</v>
      </c>
      <c r="E4102">
        <v>3</v>
      </c>
      <c r="F4102">
        <v>4</v>
      </c>
      <c r="G4102">
        <v>4</v>
      </c>
      <c r="J4102" t="s">
        <v>15</v>
      </c>
      <c r="K4102">
        <v>4</v>
      </c>
      <c r="L4102">
        <v>3.72</v>
      </c>
      <c r="M4102">
        <v>0</v>
      </c>
      <c r="N4102" t="s">
        <v>10018</v>
      </c>
      <c r="O4102" t="str">
        <f>HYPERLINK("4\1\marker_451_749584.png", "Ver Imagen")</f>
        <v>Ver Imagen</v>
      </c>
      <c r="P4102" t="str">
        <f>HYPERLINK("NE\A-490\A-490__254.png", "Ver Imagen")</f>
        <v>Ver Imagen</v>
      </c>
    </row>
    <row r="4103" spans="1:16" x14ac:dyDescent="0.25">
      <c r="A4103">
        <v>3653</v>
      </c>
      <c r="B4103" t="s">
        <v>7317</v>
      </c>
      <c r="C4103">
        <v>37.466305645299997</v>
      </c>
      <c r="D4103">
        <v>-7.1827404683499996</v>
      </c>
      <c r="E4103">
        <v>3</v>
      </c>
      <c r="F4103">
        <v>4</v>
      </c>
      <c r="G4103">
        <v>4</v>
      </c>
      <c r="J4103" t="s">
        <v>15</v>
      </c>
      <c r="K4103">
        <v>4</v>
      </c>
      <c r="L4103">
        <v>3.5230000000000001</v>
      </c>
      <c r="M4103">
        <v>0</v>
      </c>
      <c r="N4103" t="s">
        <v>10018</v>
      </c>
      <c r="O4103" t="str">
        <f>HYPERLINK("4\1\marker_451_749584.png", "Ver Imagen")</f>
        <v>Ver Imagen</v>
      </c>
      <c r="P4103" t="str">
        <f>HYPERLINK("NO\A-490\A-490__254.png", "Ver Imagen")</f>
        <v>Ver Imagen</v>
      </c>
    </row>
    <row r="4104" spans="1:16" x14ac:dyDescent="0.25">
      <c r="A4104">
        <v>3654</v>
      </c>
      <c r="B4104" t="s">
        <v>7319</v>
      </c>
      <c r="C4104">
        <v>37.466847421899999</v>
      </c>
      <c r="D4104">
        <v>-7.1837829048000001</v>
      </c>
      <c r="E4104">
        <v>3</v>
      </c>
      <c r="F4104">
        <v>4</v>
      </c>
      <c r="G4104">
        <v>4</v>
      </c>
      <c r="J4104" t="s">
        <v>15</v>
      </c>
      <c r="K4104">
        <v>4</v>
      </c>
      <c r="L4104">
        <v>3.956</v>
      </c>
      <c r="M4104">
        <v>0</v>
      </c>
      <c r="N4104" t="s">
        <v>10019</v>
      </c>
      <c r="O4104" t="str">
        <f>HYPERLINK("4\1\marker_787_749682.png", "Ver Imagen")</f>
        <v>Ver Imagen</v>
      </c>
      <c r="P4104" t="str">
        <f>HYPERLINK("NE\A-490\A-490__259.png", "Ver Imagen")</f>
        <v>Ver Imagen</v>
      </c>
    </row>
    <row r="4105" spans="1:16" x14ac:dyDescent="0.25">
      <c r="A4105">
        <v>3654</v>
      </c>
      <c r="B4105" t="s">
        <v>7319</v>
      </c>
      <c r="C4105">
        <v>37.466847421899999</v>
      </c>
      <c r="D4105">
        <v>-7.1837829048000001</v>
      </c>
      <c r="E4105">
        <v>3</v>
      </c>
      <c r="F4105">
        <v>4</v>
      </c>
      <c r="G4105">
        <v>4</v>
      </c>
      <c r="J4105" t="s">
        <v>15</v>
      </c>
      <c r="K4105">
        <v>4</v>
      </c>
      <c r="L4105">
        <v>4.46</v>
      </c>
      <c r="M4105">
        <v>0</v>
      </c>
      <c r="N4105" t="s">
        <v>10019</v>
      </c>
      <c r="O4105" t="str">
        <f>HYPERLINK("4\1\marker_787_749682.png", "Ver Imagen")</f>
        <v>Ver Imagen</v>
      </c>
      <c r="P4105" t="str">
        <f>HYPERLINK("NO\A-490\A-490__259.png", "Ver Imagen")</f>
        <v>Ver Imagen</v>
      </c>
    </row>
    <row r="4106" spans="1:16" x14ac:dyDescent="0.25">
      <c r="A4106">
        <v>3655</v>
      </c>
      <c r="B4106" t="s">
        <v>7321</v>
      </c>
      <c r="C4106">
        <v>37.467049944300001</v>
      </c>
      <c r="D4106">
        <v>-7.18419336941</v>
      </c>
      <c r="E4106">
        <v>3</v>
      </c>
      <c r="F4106">
        <v>4</v>
      </c>
      <c r="G4106">
        <v>4</v>
      </c>
      <c r="J4106" t="s">
        <v>15</v>
      </c>
      <c r="K4106">
        <v>4</v>
      </c>
      <c r="L4106">
        <v>4.2469999999999999</v>
      </c>
      <c r="M4106">
        <v>0</v>
      </c>
      <c r="N4106" t="s">
        <v>10018</v>
      </c>
      <c r="O4106" t="str">
        <f>HYPERLINK("4\1\marker_244_749729.png", "Ver Imagen")</f>
        <v>Ver Imagen</v>
      </c>
      <c r="P4106" t="str">
        <f>HYPERLINK("NO\A-490\A-490__261.png", "Ver Imagen")</f>
        <v>Ver Imagen</v>
      </c>
    </row>
    <row r="4107" spans="1:16" x14ac:dyDescent="0.25">
      <c r="A4107">
        <v>3658</v>
      </c>
      <c r="B4107" t="s">
        <v>7327</v>
      </c>
      <c r="C4107">
        <v>37.277252683699999</v>
      </c>
      <c r="D4107">
        <v>-6.9919785708199997</v>
      </c>
      <c r="E4107">
        <v>3</v>
      </c>
      <c r="F4107">
        <v>4</v>
      </c>
      <c r="G4107">
        <v>4</v>
      </c>
      <c r="J4107" t="s">
        <v>15</v>
      </c>
      <c r="K4107">
        <v>4</v>
      </c>
      <c r="L4107">
        <v>3.6419999999999999</v>
      </c>
      <c r="M4107">
        <v>0</v>
      </c>
      <c r="N4107" t="s">
        <v>10019</v>
      </c>
      <c r="O4107" t="str">
        <f>HYPERLINK("4\1\marker_834_822576.png", "Ver Imagen")</f>
        <v>Ver Imagen</v>
      </c>
      <c r="P4107" t="str">
        <f>HYPERLINK("SE\A-492\A-492__32.png", "Ver Imagen")</f>
        <v>Ver Imagen</v>
      </c>
    </row>
    <row r="4108" spans="1:16" x14ac:dyDescent="0.25">
      <c r="A4108">
        <v>3659</v>
      </c>
      <c r="B4108" t="s">
        <v>7329</v>
      </c>
      <c r="C4108">
        <v>37.277563394700003</v>
      </c>
      <c r="D4108">
        <v>-6.9922525897299996</v>
      </c>
      <c r="E4108">
        <v>4</v>
      </c>
      <c r="F4108">
        <v>4</v>
      </c>
      <c r="G4108">
        <v>3</v>
      </c>
      <c r="J4108" t="s">
        <v>15</v>
      </c>
      <c r="K4108">
        <v>4</v>
      </c>
      <c r="L4108">
        <v>3.6349999999999998</v>
      </c>
      <c r="M4108">
        <v>0</v>
      </c>
      <c r="N4108" t="s">
        <v>10019</v>
      </c>
      <c r="O4108" t="str">
        <f>HYPERLINK("4\1\marker_516_822642.png", "Ver Imagen")</f>
        <v>Ver Imagen</v>
      </c>
      <c r="P4108" t="str">
        <f>HYPERLINK("SE\A-492\A-492__34.png", "Ver Imagen")</f>
        <v>Ver Imagen</v>
      </c>
    </row>
    <row r="4109" spans="1:16" x14ac:dyDescent="0.25">
      <c r="A4109">
        <v>3660</v>
      </c>
      <c r="B4109" t="s">
        <v>7331</v>
      </c>
      <c r="C4109">
        <v>37.2778885213</v>
      </c>
      <c r="D4109">
        <v>-6.9925555589800004</v>
      </c>
      <c r="E4109">
        <v>4</v>
      </c>
      <c r="F4109">
        <v>5</v>
      </c>
      <c r="G4109">
        <v>4</v>
      </c>
      <c r="J4109" t="s">
        <v>15</v>
      </c>
      <c r="K4109">
        <v>4</v>
      </c>
      <c r="L4109">
        <v>3.8679999999999999</v>
      </c>
      <c r="M4109">
        <v>0</v>
      </c>
      <c r="N4109" t="s">
        <v>10019</v>
      </c>
      <c r="O4109" t="str">
        <f>HYPERLINK("4\1\marker_314_822805.png", "Ver Imagen")</f>
        <v>Ver Imagen</v>
      </c>
      <c r="P4109" t="str">
        <f>HYPERLINK("SE\A-492\A-492__36.png", "Ver Imagen")</f>
        <v>Ver Imagen</v>
      </c>
    </row>
    <row r="4110" spans="1:16" x14ac:dyDescent="0.25">
      <c r="A4110">
        <v>3663</v>
      </c>
      <c r="B4110" t="s">
        <v>7337</v>
      </c>
      <c r="C4110">
        <v>37.280451036300001</v>
      </c>
      <c r="D4110">
        <v>-7.0001381252600003</v>
      </c>
      <c r="E4110">
        <v>3</v>
      </c>
      <c r="F4110">
        <v>4</v>
      </c>
      <c r="G4110">
        <v>4</v>
      </c>
      <c r="J4110" t="s">
        <v>15</v>
      </c>
      <c r="K4110">
        <v>4</v>
      </c>
      <c r="L4110">
        <v>3.89</v>
      </c>
      <c r="M4110">
        <v>0</v>
      </c>
      <c r="N4110" t="s">
        <v>10019</v>
      </c>
      <c r="O4110" t="str">
        <f>HYPERLINK("4\1\marker_637_823288.png", "Ver Imagen")</f>
        <v>Ver Imagen</v>
      </c>
      <c r="P4110" t="str">
        <f>HYPERLINK("SE\A-492\A-492__70.png", "Ver Imagen")</f>
        <v>Ver Imagen</v>
      </c>
    </row>
    <row r="4111" spans="1:16" x14ac:dyDescent="0.25">
      <c r="A4111">
        <v>3664</v>
      </c>
      <c r="B4111" t="s">
        <v>7339</v>
      </c>
      <c r="C4111">
        <v>37.280523471499997</v>
      </c>
      <c r="D4111">
        <v>-7.0009184493900003</v>
      </c>
      <c r="E4111">
        <v>3</v>
      </c>
      <c r="F4111">
        <v>4</v>
      </c>
      <c r="G4111">
        <v>4</v>
      </c>
      <c r="J4111" t="s">
        <v>15</v>
      </c>
      <c r="K4111">
        <v>4</v>
      </c>
      <c r="L4111">
        <v>3.6840000000000002</v>
      </c>
      <c r="M4111">
        <v>0</v>
      </c>
      <c r="N4111" t="s">
        <v>10019</v>
      </c>
      <c r="O4111" t="str">
        <f>HYPERLINK("4\1\marker_272_823376.png", "Ver Imagen")</f>
        <v>Ver Imagen</v>
      </c>
      <c r="P4111" t="str">
        <f>HYPERLINK("SE\A-492\A-492__73.png", "Ver Imagen")</f>
        <v>Ver Imagen</v>
      </c>
    </row>
    <row r="4112" spans="1:16" x14ac:dyDescent="0.25">
      <c r="A4112">
        <v>3665</v>
      </c>
      <c r="B4112" t="s">
        <v>7341</v>
      </c>
      <c r="C4112">
        <v>37.278188187399998</v>
      </c>
      <c r="D4112">
        <v>-7.0103825331599996</v>
      </c>
      <c r="E4112">
        <v>3</v>
      </c>
      <c r="F4112">
        <v>4</v>
      </c>
      <c r="G4112">
        <v>4</v>
      </c>
      <c r="J4112" t="s">
        <v>15</v>
      </c>
      <c r="K4112">
        <v>4</v>
      </c>
      <c r="L4112">
        <v>3.9159999999999999</v>
      </c>
      <c r="M4112">
        <v>0</v>
      </c>
      <c r="N4112" t="s">
        <v>10019</v>
      </c>
      <c r="O4112" t="str">
        <f>HYPERLINK("4\1\marker_580_824337.png", "Ver Imagen")</f>
        <v>Ver Imagen</v>
      </c>
      <c r="P4112" t="str">
        <f>HYPERLINK("SE\A-492\A-492__114.png", "Ver Imagen")</f>
        <v>Ver Imagen</v>
      </c>
    </row>
    <row r="4113" spans="1:16" x14ac:dyDescent="0.25">
      <c r="A4113">
        <v>3666</v>
      </c>
      <c r="B4113" t="s">
        <v>7343</v>
      </c>
      <c r="C4113">
        <v>37.276816646999997</v>
      </c>
      <c r="D4113">
        <v>-7.0128893997899997</v>
      </c>
      <c r="E4113">
        <v>3</v>
      </c>
      <c r="F4113">
        <v>4</v>
      </c>
      <c r="G4113">
        <v>4</v>
      </c>
      <c r="J4113" t="s">
        <v>15</v>
      </c>
      <c r="K4113">
        <v>4</v>
      </c>
      <c r="L4113">
        <v>3.7589999999999999</v>
      </c>
      <c r="M4113">
        <v>0</v>
      </c>
      <c r="N4113" t="s">
        <v>10019</v>
      </c>
      <c r="O4113" t="str">
        <f>HYPERLINK("4\1\marker_211_824490.png", "Ver Imagen")</f>
        <v>Ver Imagen</v>
      </c>
      <c r="P4113" t="str">
        <f>HYPERLINK("SE\A-492\A-492__126.png", "Ver Imagen")</f>
        <v>Ver Imagen</v>
      </c>
    </row>
    <row r="4114" spans="1:16" x14ac:dyDescent="0.25">
      <c r="A4114">
        <v>3667</v>
      </c>
      <c r="B4114" t="s">
        <v>7345</v>
      </c>
      <c r="C4114">
        <v>37.3193613742</v>
      </c>
      <c r="D4114">
        <v>-7.0714958904099996</v>
      </c>
      <c r="E4114">
        <v>3</v>
      </c>
      <c r="F4114">
        <v>4</v>
      </c>
      <c r="G4114">
        <v>4</v>
      </c>
      <c r="J4114" t="s">
        <v>15</v>
      </c>
      <c r="K4114">
        <v>4</v>
      </c>
      <c r="L4114">
        <v>3.56</v>
      </c>
      <c r="M4114">
        <v>0</v>
      </c>
      <c r="N4114" t="s">
        <v>10019</v>
      </c>
      <c r="O4114" t="str">
        <f>HYPERLINK("4\1\marker_564_840158.png", "Ver Imagen")</f>
        <v>Ver Imagen</v>
      </c>
      <c r="P4114" t="str">
        <f>HYPERLINK("SE\A-492\A-492__480.png", "Ver Imagen")</f>
        <v>Ver Imagen</v>
      </c>
    </row>
    <row r="4115" spans="1:16" x14ac:dyDescent="0.25">
      <c r="A4115">
        <v>3668</v>
      </c>
      <c r="B4115" t="s">
        <v>7347</v>
      </c>
      <c r="C4115">
        <v>37.455202889200002</v>
      </c>
      <c r="D4115">
        <v>-7.1132196971399999</v>
      </c>
      <c r="E4115">
        <v>4</v>
      </c>
      <c r="F4115">
        <v>4</v>
      </c>
      <c r="G4115">
        <v>5</v>
      </c>
      <c r="J4115" t="s">
        <v>15</v>
      </c>
      <c r="K4115">
        <v>4</v>
      </c>
      <c r="L4115">
        <v>3.9249999999999998</v>
      </c>
      <c r="M4115">
        <v>0</v>
      </c>
      <c r="N4115" t="s">
        <v>10019</v>
      </c>
      <c r="O4115" t="str">
        <f>HYPERLINK("4\1\marker_786_935610.png", "Ver Imagen")</f>
        <v>Ver Imagen</v>
      </c>
      <c r="P4115" t="str">
        <f>HYPERLINK("NE\A-495R\A-495R__55.png", "Ver Imagen")</f>
        <v>Ver Imagen</v>
      </c>
    </row>
    <row r="4116" spans="1:16" x14ac:dyDescent="0.25">
      <c r="A4116">
        <v>3669</v>
      </c>
      <c r="B4116" t="s">
        <v>7349</v>
      </c>
      <c r="C4116">
        <v>37.450795676600002</v>
      </c>
      <c r="D4116">
        <v>-7.1106840226700001</v>
      </c>
      <c r="E4116">
        <v>4</v>
      </c>
      <c r="F4116">
        <v>5</v>
      </c>
      <c r="G4116">
        <v>4</v>
      </c>
      <c r="J4116" t="s">
        <v>15</v>
      </c>
      <c r="K4116">
        <v>4</v>
      </c>
      <c r="L4116">
        <v>4.2519999999999998</v>
      </c>
      <c r="M4116">
        <v>0</v>
      </c>
      <c r="O4116" t="str">
        <f>HYPERLINK("4\1\marker_184_936610.png", "Ver Imagen")</f>
        <v>Ver Imagen</v>
      </c>
      <c r="P4116" t="str">
        <f>HYPERLINK("NE\A-495R\A-495R__31.png", "Ver Imagen")</f>
        <v>Ver Imagen</v>
      </c>
    </row>
    <row r="4117" spans="1:16" x14ac:dyDescent="0.25">
      <c r="A4117">
        <v>3670</v>
      </c>
      <c r="B4117" t="s">
        <v>7351</v>
      </c>
      <c r="C4117">
        <v>37.450418470499997</v>
      </c>
      <c r="D4117">
        <v>-7.1105160635300004</v>
      </c>
      <c r="E4117">
        <v>4</v>
      </c>
      <c r="F4117">
        <v>3</v>
      </c>
      <c r="G4117">
        <v>4</v>
      </c>
      <c r="J4117" t="s">
        <v>15</v>
      </c>
      <c r="K4117">
        <v>4</v>
      </c>
      <c r="L4117">
        <v>4.101</v>
      </c>
      <c r="M4117">
        <v>0</v>
      </c>
      <c r="N4117" t="s">
        <v>10019</v>
      </c>
      <c r="O4117" t="str">
        <f>HYPERLINK("4\1\marker_565_936632.png", "Ver Imagen")</f>
        <v>Ver Imagen</v>
      </c>
      <c r="P4117" t="str">
        <f>HYPERLINK("NE\A-495R\A-495R__29.png", "Ver Imagen")</f>
        <v>Ver Imagen</v>
      </c>
    </row>
    <row r="4118" spans="1:16" x14ac:dyDescent="0.25">
      <c r="A4118">
        <v>3672</v>
      </c>
      <c r="B4118" t="s">
        <v>7353</v>
      </c>
      <c r="C4118">
        <v>37.267472411100002</v>
      </c>
      <c r="D4118">
        <v>-6.96177595187</v>
      </c>
      <c r="E4118">
        <v>4</v>
      </c>
      <c r="F4118">
        <v>3</v>
      </c>
      <c r="G4118">
        <v>4</v>
      </c>
      <c r="J4118" t="s">
        <v>15</v>
      </c>
      <c r="K4118">
        <v>4</v>
      </c>
      <c r="L4118">
        <v>3.8359999999999999</v>
      </c>
      <c r="M4118">
        <v>0</v>
      </c>
      <c r="N4118" t="s">
        <v>10019</v>
      </c>
      <c r="O4118" t="str">
        <f>HYPERLINK("4\1\marker_965_943730.png", "Ver Imagen")</f>
        <v>Ver Imagen</v>
      </c>
      <c r="P4118" t="str">
        <f>HYPERLINK("SE\A-497\A-497__24.png", "Ver Imagen")</f>
        <v>Ver Imagen</v>
      </c>
    </row>
    <row r="4119" spans="1:16" x14ac:dyDescent="0.25">
      <c r="A4119">
        <v>3673</v>
      </c>
      <c r="B4119" t="s">
        <v>7355</v>
      </c>
      <c r="C4119">
        <v>37.266759030899998</v>
      </c>
      <c r="D4119">
        <v>-6.9581509289200003</v>
      </c>
      <c r="E4119">
        <v>3</v>
      </c>
      <c r="F4119">
        <v>4</v>
      </c>
      <c r="G4119">
        <v>4</v>
      </c>
      <c r="J4119" t="s">
        <v>15</v>
      </c>
      <c r="K4119">
        <v>4</v>
      </c>
      <c r="L4119">
        <v>4.0359999999999996</v>
      </c>
      <c r="M4119">
        <v>0</v>
      </c>
      <c r="N4119" t="s">
        <v>10019</v>
      </c>
      <c r="O4119" t="str">
        <f>HYPERLINK("4\1\marker_105_943986.png", "Ver Imagen")</f>
        <v>Ver Imagen</v>
      </c>
      <c r="P4119" t="str">
        <f>HYPERLINK("SE\A-497\A-497__9.png", "Ver Imagen")</f>
        <v>Ver Imagen</v>
      </c>
    </row>
    <row r="4120" spans="1:16" x14ac:dyDescent="0.25">
      <c r="A4120">
        <v>3674</v>
      </c>
      <c r="B4120" t="s">
        <v>7357</v>
      </c>
      <c r="C4120">
        <v>37.202789570100002</v>
      </c>
      <c r="D4120">
        <v>-7.0150337916699996</v>
      </c>
      <c r="E4120">
        <v>3</v>
      </c>
      <c r="F4120">
        <v>4</v>
      </c>
      <c r="G4120">
        <v>4</v>
      </c>
      <c r="J4120" t="s">
        <v>15</v>
      </c>
      <c r="K4120">
        <v>4</v>
      </c>
      <c r="L4120">
        <v>3.9329999999999998</v>
      </c>
      <c r="M4120">
        <v>0</v>
      </c>
      <c r="N4120" t="s">
        <v>10019</v>
      </c>
      <c r="O4120" t="str">
        <f>HYPERLINK("4\1\marker_457_949050.png", "Ver Imagen")</f>
        <v>Ver Imagen</v>
      </c>
      <c r="P4120" t="str">
        <f>HYPERLINK("SE\A-5050\A-5050__59.png", "Ver Imagen")</f>
        <v>Ver Imagen</v>
      </c>
    </row>
    <row r="4121" spans="1:16" x14ac:dyDescent="0.25">
      <c r="A4121">
        <v>3675</v>
      </c>
      <c r="B4121" t="s">
        <v>7359</v>
      </c>
      <c r="C4121">
        <v>37.2071010481</v>
      </c>
      <c r="D4121">
        <v>-7.0217337008199996</v>
      </c>
      <c r="E4121">
        <v>4</v>
      </c>
      <c r="F4121">
        <v>3</v>
      </c>
      <c r="G4121">
        <v>4</v>
      </c>
      <c r="J4121" t="s">
        <v>15</v>
      </c>
      <c r="K4121">
        <v>4</v>
      </c>
      <c r="L4121">
        <v>3.63</v>
      </c>
      <c r="M4121">
        <v>0</v>
      </c>
      <c r="N4121" t="s">
        <v>10019</v>
      </c>
      <c r="O4121" t="str">
        <f>HYPERLINK("4\1\marker_353_949407.png", "Ver Imagen")</f>
        <v>Ver Imagen</v>
      </c>
      <c r="P4121" t="str">
        <f>HYPERLINK("SE\A-5050\A-5050__25.png", "Ver Imagen")</f>
        <v>Ver Imagen</v>
      </c>
    </row>
    <row r="4122" spans="1:16" x14ac:dyDescent="0.25">
      <c r="A4122">
        <v>3676</v>
      </c>
      <c r="B4122" t="s">
        <v>7361</v>
      </c>
      <c r="C4122">
        <v>37.207436638799997</v>
      </c>
      <c r="D4122">
        <v>-7.0220961505000004</v>
      </c>
      <c r="E4122">
        <v>4</v>
      </c>
      <c r="F4122">
        <v>3</v>
      </c>
      <c r="G4122">
        <v>4</v>
      </c>
      <c r="J4122" t="s">
        <v>15</v>
      </c>
      <c r="K4122">
        <v>4</v>
      </c>
      <c r="L4122">
        <v>4.4619999999999997</v>
      </c>
      <c r="M4122">
        <v>0</v>
      </c>
      <c r="N4122" t="s">
        <v>10019</v>
      </c>
      <c r="O4122" t="str">
        <f>HYPERLINK("4\1\marker_202_949429.png", "Ver Imagen")</f>
        <v>Ver Imagen</v>
      </c>
      <c r="P4122" t="str">
        <f>HYPERLINK("SE\A-5050\A-5050__23.png", "Ver Imagen")</f>
        <v>Ver Imagen</v>
      </c>
    </row>
    <row r="4123" spans="1:16" x14ac:dyDescent="0.25">
      <c r="A4123">
        <v>3677</v>
      </c>
      <c r="B4123" t="s">
        <v>7363</v>
      </c>
      <c r="C4123">
        <v>37.211124898100003</v>
      </c>
      <c r="D4123">
        <v>-7.0447727874600004</v>
      </c>
      <c r="E4123">
        <v>4</v>
      </c>
      <c r="F4123">
        <v>4</v>
      </c>
      <c r="G4123">
        <v>3</v>
      </c>
      <c r="J4123" t="s">
        <v>15</v>
      </c>
      <c r="K4123">
        <v>4</v>
      </c>
      <c r="L4123">
        <v>3.8319999999999999</v>
      </c>
      <c r="M4123">
        <v>0</v>
      </c>
      <c r="N4123" t="s">
        <v>10019</v>
      </c>
      <c r="O4123" t="str">
        <f>HYPERLINK("4\1\marker_261_961477.png", "Ver Imagen")</f>
        <v>Ver Imagen</v>
      </c>
      <c r="P4123" t="str">
        <f>HYPERLINK("SE\A-5052\A-5052__328.png", "Ver Imagen")</f>
        <v>Ver Imagen</v>
      </c>
    </row>
    <row r="4124" spans="1:16" x14ac:dyDescent="0.25">
      <c r="A4124">
        <v>3678</v>
      </c>
      <c r="B4124" t="s">
        <v>7365</v>
      </c>
      <c r="C4124">
        <v>37.204468354100001</v>
      </c>
      <c r="D4124">
        <v>-7.0277888181100003</v>
      </c>
      <c r="E4124">
        <v>4</v>
      </c>
      <c r="F4124">
        <v>3</v>
      </c>
      <c r="G4124">
        <v>4</v>
      </c>
      <c r="J4124" t="s">
        <v>15</v>
      </c>
      <c r="K4124">
        <v>4</v>
      </c>
      <c r="L4124">
        <v>3.6070000000000002</v>
      </c>
      <c r="M4124">
        <v>0</v>
      </c>
      <c r="N4124" t="s">
        <v>10019</v>
      </c>
      <c r="O4124" t="str">
        <f>HYPERLINK("4\1\marker_736_962700.png", "Ver Imagen")</f>
        <v>Ver Imagen</v>
      </c>
      <c r="P4124" t="str">
        <f>HYPERLINK("SE\A-5052\A-5052__403.png", "Ver Imagen")</f>
        <v>Ver Imagen</v>
      </c>
    </row>
    <row r="4125" spans="1:16" x14ac:dyDescent="0.25">
      <c r="A4125">
        <v>3679</v>
      </c>
      <c r="B4125" t="s">
        <v>7367</v>
      </c>
      <c r="C4125">
        <v>37.278620915600001</v>
      </c>
      <c r="D4125">
        <v>-7.1443271300699998</v>
      </c>
      <c r="E4125">
        <v>4</v>
      </c>
      <c r="F4125">
        <v>3</v>
      </c>
      <c r="G4125">
        <v>4</v>
      </c>
      <c r="J4125" t="s">
        <v>15</v>
      </c>
      <c r="K4125">
        <v>4</v>
      </c>
      <c r="L4125">
        <v>3.7839999999999998</v>
      </c>
      <c r="M4125">
        <v>0</v>
      </c>
      <c r="N4125" t="s">
        <v>10019</v>
      </c>
      <c r="O4125" t="str">
        <f>HYPERLINK("4\1\marker_877_964544.png", "Ver Imagen")</f>
        <v>Ver Imagen</v>
      </c>
      <c r="P4125" t="str">
        <f>HYPERLINK("SO\A-5053\A-5053__323.png", "Ver Imagen")</f>
        <v>Ver Imagen</v>
      </c>
    </row>
    <row r="4126" spans="1:16" x14ac:dyDescent="0.25">
      <c r="A4126">
        <v>3680</v>
      </c>
      <c r="B4126" t="s">
        <v>7369</v>
      </c>
      <c r="C4126">
        <v>37.273707774499997</v>
      </c>
      <c r="D4126">
        <v>-7.1420991674599996</v>
      </c>
      <c r="E4126">
        <v>5</v>
      </c>
      <c r="F4126">
        <v>4</v>
      </c>
      <c r="G4126">
        <v>4</v>
      </c>
      <c r="J4126" t="s">
        <v>15</v>
      </c>
      <c r="K4126">
        <v>4</v>
      </c>
      <c r="L4126">
        <v>3.956</v>
      </c>
      <c r="M4126">
        <v>0</v>
      </c>
      <c r="N4126" t="s">
        <v>10019</v>
      </c>
      <c r="O4126" t="str">
        <f>HYPERLINK("4\1\marker_790_964893.png", "Ver Imagen")</f>
        <v>Ver Imagen</v>
      </c>
      <c r="P4126" t="str">
        <f>HYPERLINK("SO\A-5053\A-5053__297.png", "Ver Imagen")</f>
        <v>Ver Imagen</v>
      </c>
    </row>
    <row r="4127" spans="1:16" x14ac:dyDescent="0.25">
      <c r="A4127">
        <v>3681</v>
      </c>
      <c r="B4127" t="s">
        <v>7371</v>
      </c>
      <c r="C4127">
        <v>37.273329530399998</v>
      </c>
      <c r="D4127">
        <v>-7.1419357263299998</v>
      </c>
      <c r="E4127">
        <v>5</v>
      </c>
      <c r="F4127">
        <v>4</v>
      </c>
      <c r="G4127">
        <v>4</v>
      </c>
      <c r="J4127" t="s">
        <v>15</v>
      </c>
      <c r="K4127">
        <v>4</v>
      </c>
      <c r="L4127">
        <v>4.0640000000000001</v>
      </c>
      <c r="M4127">
        <v>0</v>
      </c>
      <c r="N4127" t="s">
        <v>10019</v>
      </c>
      <c r="O4127" t="str">
        <f>HYPERLINK("4\1\marker_920_964912.png", "Ver Imagen")</f>
        <v>Ver Imagen</v>
      </c>
      <c r="P4127" t="str">
        <f>HYPERLINK("SO\A-5053\A-5053__295.png", "Ver Imagen")</f>
        <v>Ver Imagen</v>
      </c>
    </row>
    <row r="4128" spans="1:16" x14ac:dyDescent="0.25">
      <c r="A4128">
        <v>3682</v>
      </c>
      <c r="B4128" t="s">
        <v>7373</v>
      </c>
      <c r="C4128">
        <v>37.272770215000001</v>
      </c>
      <c r="D4128">
        <v>-7.1416587686500002</v>
      </c>
      <c r="E4128">
        <v>5</v>
      </c>
      <c r="F4128">
        <v>4</v>
      </c>
      <c r="G4128">
        <v>4</v>
      </c>
      <c r="J4128" t="s">
        <v>15</v>
      </c>
      <c r="K4128">
        <v>4</v>
      </c>
      <c r="L4128">
        <v>3.734</v>
      </c>
      <c r="M4128">
        <v>0</v>
      </c>
      <c r="N4128" t="s">
        <v>10019</v>
      </c>
      <c r="O4128" t="str">
        <f>HYPERLINK("4\1\marker_387_964939.png", "Ver Imagen")</f>
        <v>Ver Imagen</v>
      </c>
      <c r="P4128" t="str">
        <f>HYPERLINK("SO\A-5053\A-5053__292.png", "Ver Imagen")</f>
        <v>Ver Imagen</v>
      </c>
    </row>
    <row r="4129" spans="1:16" x14ac:dyDescent="0.25">
      <c r="A4129">
        <v>3687</v>
      </c>
      <c r="B4129" t="s">
        <v>7383</v>
      </c>
      <c r="C4129">
        <v>37.268652094499998</v>
      </c>
      <c r="D4129">
        <v>-7.1374250132499997</v>
      </c>
      <c r="E4129">
        <v>5</v>
      </c>
      <c r="F4129">
        <v>4</v>
      </c>
      <c r="G4129">
        <v>4</v>
      </c>
      <c r="J4129" t="s">
        <v>15</v>
      </c>
      <c r="K4129">
        <v>4</v>
      </c>
      <c r="L4129">
        <v>3.5830000000000002</v>
      </c>
      <c r="M4129">
        <v>0</v>
      </c>
      <c r="N4129" t="s">
        <v>10019</v>
      </c>
      <c r="O4129" t="str">
        <f>HYPERLINK("4\1\marker_465_965190.png", "Ver Imagen")</f>
        <v>Ver Imagen</v>
      </c>
      <c r="P4129" t="str">
        <f>HYPERLINK("SO\A-5053\A-5053__265.png", "Ver Imagen")</f>
        <v>Ver Imagen</v>
      </c>
    </row>
    <row r="4130" spans="1:16" x14ac:dyDescent="0.25">
      <c r="A4130">
        <v>3688</v>
      </c>
      <c r="B4130" t="s">
        <v>7385</v>
      </c>
      <c r="C4130">
        <v>37.267843907299998</v>
      </c>
      <c r="D4130">
        <v>-7.1345781613900003</v>
      </c>
      <c r="E4130">
        <v>5</v>
      </c>
      <c r="F4130">
        <v>4</v>
      </c>
      <c r="G4130">
        <v>4</v>
      </c>
      <c r="J4130" t="s">
        <v>15</v>
      </c>
      <c r="K4130">
        <v>4</v>
      </c>
      <c r="L4130">
        <v>3.7269999999999999</v>
      </c>
      <c r="M4130">
        <v>0</v>
      </c>
      <c r="N4130" t="s">
        <v>10019</v>
      </c>
      <c r="O4130" t="str">
        <f>HYPERLINK("4\1\marker_715_965323.png", "Ver Imagen")</f>
        <v>Ver Imagen</v>
      </c>
      <c r="P4130" t="str">
        <f>HYPERLINK("SO\A-5053\A-5053__253.png", "Ver Imagen")</f>
        <v>Ver Imagen</v>
      </c>
    </row>
    <row r="4131" spans="1:16" x14ac:dyDescent="0.25">
      <c r="A4131">
        <v>3689</v>
      </c>
      <c r="B4131" t="s">
        <v>7387</v>
      </c>
      <c r="C4131">
        <v>37.264473872300002</v>
      </c>
      <c r="D4131">
        <v>-7.1318905156000003</v>
      </c>
      <c r="E4131">
        <v>5</v>
      </c>
      <c r="F4131">
        <v>4</v>
      </c>
      <c r="G4131">
        <v>4</v>
      </c>
      <c r="J4131" t="s">
        <v>15</v>
      </c>
      <c r="K4131">
        <v>4</v>
      </c>
      <c r="L4131">
        <v>3.7789999999999999</v>
      </c>
      <c r="M4131">
        <v>0</v>
      </c>
      <c r="N4131" t="s">
        <v>10019</v>
      </c>
      <c r="O4131" t="str">
        <f>HYPERLINK("4\1\marker_483_965567.png", "Ver Imagen")</f>
        <v>Ver Imagen</v>
      </c>
      <c r="P4131" t="str">
        <f>HYPERLINK("SO\A-5053\A-5053__233.png", "Ver Imagen")</f>
        <v>Ver Imagen</v>
      </c>
    </row>
    <row r="4132" spans="1:16" x14ac:dyDescent="0.25">
      <c r="A4132">
        <v>3690</v>
      </c>
      <c r="B4132" t="s">
        <v>7389</v>
      </c>
      <c r="C4132">
        <v>37.262314653799997</v>
      </c>
      <c r="D4132">
        <v>-7.1305394585900004</v>
      </c>
      <c r="E4132">
        <v>5</v>
      </c>
      <c r="F4132">
        <v>4</v>
      </c>
      <c r="G4132">
        <v>4</v>
      </c>
      <c r="J4132" t="s">
        <v>15</v>
      </c>
      <c r="K4132">
        <v>4</v>
      </c>
      <c r="L4132">
        <v>3.798</v>
      </c>
      <c r="M4132">
        <v>0</v>
      </c>
      <c r="N4132" t="s">
        <v>10019</v>
      </c>
      <c r="O4132" t="str">
        <f>HYPERLINK("4\1\marker_546_965679.png", "Ver Imagen")</f>
        <v>Ver Imagen</v>
      </c>
      <c r="P4132" t="str">
        <f>HYPERLINK("SO\A-5053\A-5053__221.png", "Ver Imagen")</f>
        <v>Ver Imagen</v>
      </c>
    </row>
    <row r="4133" spans="1:16" x14ac:dyDescent="0.25">
      <c r="A4133">
        <v>3691</v>
      </c>
      <c r="B4133" t="s">
        <v>7391</v>
      </c>
      <c r="C4133">
        <v>37.227665786499998</v>
      </c>
      <c r="D4133">
        <v>-7.1265803303300004</v>
      </c>
      <c r="E4133">
        <v>4</v>
      </c>
      <c r="F4133">
        <v>3</v>
      </c>
      <c r="G4133">
        <v>4</v>
      </c>
      <c r="J4133" t="s">
        <v>15</v>
      </c>
      <c r="K4133">
        <v>4</v>
      </c>
      <c r="L4133">
        <v>3.64</v>
      </c>
      <c r="M4133">
        <v>0</v>
      </c>
      <c r="N4133" t="s">
        <v>10019</v>
      </c>
      <c r="O4133" t="str">
        <f>HYPERLINK("4\1\marker_820_021652.png", "Ver Imagen")</f>
        <v>Ver Imagen</v>
      </c>
      <c r="P4133" t="str">
        <f>HYPERLINK("SO\A-5053\A-5053__45.png", "Ver Imagen")</f>
        <v>Ver Imagen</v>
      </c>
    </row>
    <row r="4134" spans="1:16" x14ac:dyDescent="0.25">
      <c r="A4134">
        <v>3692</v>
      </c>
      <c r="B4134" t="s">
        <v>7393</v>
      </c>
      <c r="C4134">
        <v>37.4402433745</v>
      </c>
      <c r="D4134">
        <v>-7.0881555519599999</v>
      </c>
      <c r="E4134">
        <v>4</v>
      </c>
      <c r="F4134">
        <v>3</v>
      </c>
      <c r="G4134">
        <v>4</v>
      </c>
      <c r="J4134" t="s">
        <v>15</v>
      </c>
      <c r="K4134">
        <v>4</v>
      </c>
      <c r="L4134">
        <v>3.7930000000000001</v>
      </c>
      <c r="M4134">
        <v>0</v>
      </c>
      <c r="N4134" t="s">
        <v>10019</v>
      </c>
      <c r="O4134" t="str">
        <f>HYPERLINK("4\1\marker_516_381643.png", "Ver Imagen")</f>
        <v>Ver Imagen</v>
      </c>
      <c r="P4134" t="str">
        <f>HYPERLINK("NE\A-495\A-495__53.png", "Ver Imagen")</f>
        <v>Ver Imagen</v>
      </c>
    </row>
    <row r="4135" spans="1:16" x14ac:dyDescent="0.25">
      <c r="A4135">
        <v>3693</v>
      </c>
      <c r="B4135" t="s">
        <v>7395</v>
      </c>
      <c r="C4135">
        <v>37.439820326700001</v>
      </c>
      <c r="D4135">
        <v>-7.08728118302</v>
      </c>
      <c r="E4135">
        <v>4</v>
      </c>
      <c r="F4135">
        <v>3</v>
      </c>
      <c r="G4135">
        <v>4</v>
      </c>
      <c r="J4135" t="s">
        <v>15</v>
      </c>
      <c r="K4135">
        <v>4</v>
      </c>
      <c r="L4135">
        <v>3.9769999999999999</v>
      </c>
      <c r="M4135">
        <v>0</v>
      </c>
      <c r="N4135" t="s">
        <v>10019</v>
      </c>
      <c r="O4135" t="str">
        <f>HYPERLINK("4\1\marker_111_381678.png", "Ver Imagen")</f>
        <v>Ver Imagen</v>
      </c>
      <c r="P4135" t="str">
        <f>HYPERLINK("NE\A-495\A-495__57.png", "Ver Imagen")</f>
        <v>Ver Imagen</v>
      </c>
    </row>
    <row r="4136" spans="1:16" x14ac:dyDescent="0.25">
      <c r="A4136">
        <v>3694</v>
      </c>
      <c r="B4136" t="s">
        <v>7397</v>
      </c>
      <c r="C4136">
        <v>37.437917059199997</v>
      </c>
      <c r="D4136">
        <v>-7.0824749534700002</v>
      </c>
      <c r="E4136">
        <v>4</v>
      </c>
      <c r="F4136">
        <v>3</v>
      </c>
      <c r="G4136">
        <v>4</v>
      </c>
      <c r="J4136" t="s">
        <v>15</v>
      </c>
      <c r="K4136">
        <v>4</v>
      </c>
      <c r="L4136">
        <v>3.585</v>
      </c>
      <c r="M4136">
        <v>0</v>
      </c>
      <c r="N4136" t="s">
        <v>10019</v>
      </c>
      <c r="O4136" t="str">
        <f>HYPERLINK("4\1\marker_722_381910.png", "Ver Imagen")</f>
        <v>Ver Imagen</v>
      </c>
      <c r="P4136" t="str">
        <f>HYPERLINK("NE\A-495\A-495__78.png", "Ver Imagen")</f>
        <v>Ver Imagen</v>
      </c>
    </row>
    <row r="4137" spans="1:16" x14ac:dyDescent="0.25">
      <c r="A4137">
        <v>3695</v>
      </c>
      <c r="B4137" t="s">
        <v>7399</v>
      </c>
      <c r="C4137">
        <v>37.4373648897</v>
      </c>
      <c r="D4137">
        <v>-7.0809226814399997</v>
      </c>
      <c r="E4137">
        <v>4</v>
      </c>
      <c r="F4137">
        <v>3</v>
      </c>
      <c r="G4137">
        <v>4</v>
      </c>
      <c r="J4137" t="s">
        <v>15</v>
      </c>
      <c r="K4137">
        <v>4</v>
      </c>
      <c r="L4137">
        <v>3.9390000000000001</v>
      </c>
      <c r="M4137">
        <v>0</v>
      </c>
      <c r="N4137" t="s">
        <v>10019</v>
      </c>
      <c r="O4137" t="str">
        <f>HYPERLINK("4\1\marker_829_381988.png", "Ver Imagen")</f>
        <v>Ver Imagen</v>
      </c>
      <c r="P4137" t="str">
        <f>HYPERLINK("NE\A-495\A-495__85.png", "Ver Imagen")</f>
        <v>Ver Imagen</v>
      </c>
    </row>
    <row r="4138" spans="1:16" x14ac:dyDescent="0.25">
      <c r="A4138">
        <v>3696</v>
      </c>
      <c r="B4138" t="s">
        <v>7401</v>
      </c>
      <c r="C4138">
        <v>37.435520323399999</v>
      </c>
      <c r="D4138">
        <v>-7.0742930822799996</v>
      </c>
      <c r="E4138">
        <v>4</v>
      </c>
      <c r="F4138">
        <v>4</v>
      </c>
      <c r="G4138">
        <v>5</v>
      </c>
      <c r="J4138" t="s">
        <v>15</v>
      </c>
      <c r="K4138">
        <v>4</v>
      </c>
      <c r="L4138">
        <v>3.9830000000000001</v>
      </c>
      <c r="M4138">
        <v>0</v>
      </c>
      <c r="N4138" t="s">
        <v>10019</v>
      </c>
      <c r="O4138" t="str">
        <f>HYPERLINK("4\1\marker_545_382320.png", "Ver Imagen")</f>
        <v>Ver Imagen</v>
      </c>
      <c r="P4138" t="str">
        <f>HYPERLINK("NE\A-495\A-495__115.png", "Ver Imagen")</f>
        <v>Ver Imagen</v>
      </c>
    </row>
    <row r="4139" spans="1:16" x14ac:dyDescent="0.25">
      <c r="A4139">
        <v>3699</v>
      </c>
      <c r="B4139" t="s">
        <v>7407</v>
      </c>
      <c r="C4139">
        <v>37.233872882999997</v>
      </c>
      <c r="D4139">
        <v>-7.0662768040600001</v>
      </c>
      <c r="E4139">
        <v>4</v>
      </c>
      <c r="F4139">
        <v>3</v>
      </c>
      <c r="G4139">
        <v>4</v>
      </c>
      <c r="J4139" t="s">
        <v>15</v>
      </c>
      <c r="K4139">
        <v>4</v>
      </c>
      <c r="L4139">
        <v>3.621</v>
      </c>
      <c r="M4139">
        <v>0</v>
      </c>
      <c r="N4139" t="s">
        <v>10019</v>
      </c>
      <c r="O4139" t="str">
        <f>HYPERLINK("4\1\marker_207_382387.png", "Ver Imagen")</f>
        <v>Ver Imagen</v>
      </c>
      <c r="P4139" t="str">
        <f>HYPERLINK("SE\A-5058\A-5058__170.png", "Ver Imagen")</f>
        <v>Ver Imagen</v>
      </c>
    </row>
    <row r="4140" spans="1:16" x14ac:dyDescent="0.25">
      <c r="A4140">
        <v>3700</v>
      </c>
      <c r="B4140" t="s">
        <v>7409</v>
      </c>
      <c r="C4140">
        <v>37.233920345400001</v>
      </c>
      <c r="D4140">
        <v>-7.0664539740899999</v>
      </c>
      <c r="E4140">
        <v>4</v>
      </c>
      <c r="F4140">
        <v>3</v>
      </c>
      <c r="G4140">
        <v>4</v>
      </c>
      <c r="J4140" t="s">
        <v>15</v>
      </c>
      <c r="K4140">
        <v>4</v>
      </c>
      <c r="L4140">
        <v>3.8759999999999999</v>
      </c>
      <c r="M4140">
        <v>0</v>
      </c>
      <c r="N4140" t="s">
        <v>10019</v>
      </c>
      <c r="O4140" t="str">
        <f>HYPERLINK("4\1\marker_692_382403.png", "Ver Imagen")</f>
        <v>Ver Imagen</v>
      </c>
      <c r="P4140" t="str">
        <f>HYPERLINK("SE\A-5058\A-5058__171.png", "Ver Imagen")</f>
        <v>Ver Imagen</v>
      </c>
    </row>
    <row r="4141" spans="1:16" x14ac:dyDescent="0.25">
      <c r="A4141">
        <v>3704</v>
      </c>
      <c r="B4141" t="s">
        <v>7417</v>
      </c>
      <c r="C4141">
        <v>37.236211243600003</v>
      </c>
      <c r="D4141">
        <v>-7.0751808886800003</v>
      </c>
      <c r="E4141">
        <v>4</v>
      </c>
      <c r="F4141">
        <v>3</v>
      </c>
      <c r="G4141">
        <v>4</v>
      </c>
      <c r="J4141" t="s">
        <v>15</v>
      </c>
      <c r="K4141">
        <v>4</v>
      </c>
      <c r="L4141">
        <v>3.5150000000000001</v>
      </c>
      <c r="M4141">
        <v>0</v>
      </c>
      <c r="N4141" t="s">
        <v>10019</v>
      </c>
      <c r="O4141" t="str">
        <f>HYPERLINK("4\1\marker_411_383010.png", "Ver Imagen")</f>
        <v>Ver Imagen</v>
      </c>
      <c r="P4141" t="str">
        <f>HYPERLINK("SE\A-5058\A-5058__209.png", "Ver Imagen")</f>
        <v>Ver Imagen</v>
      </c>
    </row>
    <row r="4142" spans="1:16" x14ac:dyDescent="0.25">
      <c r="A4142">
        <v>3704</v>
      </c>
      <c r="B4142" t="s">
        <v>7417</v>
      </c>
      <c r="C4142">
        <v>37.236211243600003</v>
      </c>
      <c r="D4142">
        <v>-7.0751808886800003</v>
      </c>
      <c r="E4142">
        <v>4</v>
      </c>
      <c r="F4142">
        <v>3</v>
      </c>
      <c r="G4142">
        <v>4</v>
      </c>
      <c r="J4142" t="s">
        <v>15</v>
      </c>
      <c r="K4142">
        <v>4</v>
      </c>
      <c r="L4142">
        <v>3.7919999999999998</v>
      </c>
      <c r="M4142">
        <v>0</v>
      </c>
      <c r="N4142" t="s">
        <v>10019</v>
      </c>
      <c r="O4142" t="str">
        <f>HYPERLINK("4\1\marker_411_383010.png", "Ver Imagen")</f>
        <v>Ver Imagen</v>
      </c>
      <c r="P4142" t="str">
        <f>HYPERLINK("SO\A-5058\A-5058__209.png", "Ver Imagen")</f>
        <v>Ver Imagen</v>
      </c>
    </row>
    <row r="4143" spans="1:16" x14ac:dyDescent="0.25">
      <c r="A4143">
        <v>3705</v>
      </c>
      <c r="B4143" t="s">
        <v>7419</v>
      </c>
      <c r="C4143">
        <v>37.237028753899999</v>
      </c>
      <c r="D4143">
        <v>-7.0766445714800001</v>
      </c>
      <c r="E4143">
        <v>4</v>
      </c>
      <c r="F4143">
        <v>3</v>
      </c>
      <c r="G4143">
        <v>4</v>
      </c>
      <c r="J4143" t="s">
        <v>15</v>
      </c>
      <c r="K4143">
        <v>4</v>
      </c>
      <c r="L4143">
        <v>4.0830000000000002</v>
      </c>
      <c r="M4143">
        <v>0</v>
      </c>
      <c r="N4143" t="s">
        <v>10017</v>
      </c>
      <c r="O4143" t="str">
        <f>HYPERLINK("4\1\marker_305_383080.png", "Ver Imagen")</f>
        <v>Ver Imagen</v>
      </c>
      <c r="P4143" t="str">
        <f>HYPERLINK("SO\A-5058\A-5058__216.png", "Ver Imagen")</f>
        <v>Ver Imagen</v>
      </c>
    </row>
    <row r="4144" spans="1:16" x14ac:dyDescent="0.25">
      <c r="A4144">
        <v>3706</v>
      </c>
      <c r="B4144" t="s">
        <v>7421</v>
      </c>
      <c r="C4144">
        <v>37.242960300900002</v>
      </c>
      <c r="D4144">
        <v>-7.0876689519699996</v>
      </c>
      <c r="E4144">
        <v>4</v>
      </c>
      <c r="F4144">
        <v>3</v>
      </c>
      <c r="G4144">
        <v>4</v>
      </c>
      <c r="J4144" t="s">
        <v>15</v>
      </c>
      <c r="K4144">
        <v>4</v>
      </c>
      <c r="L4144">
        <v>3.61</v>
      </c>
      <c r="M4144">
        <v>0</v>
      </c>
      <c r="N4144" t="s">
        <v>10019</v>
      </c>
      <c r="O4144" t="str">
        <f>HYPERLINK("4\1\marker_660_383911.png", "Ver Imagen")</f>
        <v>Ver Imagen</v>
      </c>
      <c r="P4144" t="str">
        <f>HYPERLINK("SE\A-5058\A-5058__269.png", "Ver Imagen")</f>
        <v>Ver Imagen</v>
      </c>
    </row>
    <row r="4145" spans="1:16" x14ac:dyDescent="0.25">
      <c r="A4145">
        <v>3706</v>
      </c>
      <c r="B4145" t="s">
        <v>7421</v>
      </c>
      <c r="C4145">
        <v>37.242960300900002</v>
      </c>
      <c r="D4145">
        <v>-7.0876689519699996</v>
      </c>
      <c r="E4145">
        <v>4</v>
      </c>
      <c r="F4145">
        <v>3</v>
      </c>
      <c r="G4145">
        <v>4</v>
      </c>
      <c r="J4145" t="s">
        <v>15</v>
      </c>
      <c r="K4145">
        <v>4</v>
      </c>
      <c r="L4145">
        <v>3.68</v>
      </c>
      <c r="M4145">
        <v>0</v>
      </c>
      <c r="N4145" t="s">
        <v>10019</v>
      </c>
      <c r="O4145" t="str">
        <f>HYPERLINK("4\1\marker_660_383911.png", "Ver Imagen")</f>
        <v>Ver Imagen</v>
      </c>
      <c r="P4145" t="str">
        <f>HYPERLINK("SO\A-5058\A-5058__269.png", "Ver Imagen")</f>
        <v>Ver Imagen</v>
      </c>
    </row>
    <row r="4146" spans="1:16" x14ac:dyDescent="0.25">
      <c r="A4146">
        <v>3707</v>
      </c>
      <c r="B4146" t="s">
        <v>7423</v>
      </c>
      <c r="C4146">
        <v>37.243414279900001</v>
      </c>
      <c r="D4146">
        <v>-7.0888017165999999</v>
      </c>
      <c r="E4146">
        <v>4</v>
      </c>
      <c r="F4146">
        <v>3</v>
      </c>
      <c r="G4146">
        <v>4</v>
      </c>
      <c r="J4146" t="s">
        <v>15</v>
      </c>
      <c r="K4146">
        <v>4</v>
      </c>
      <c r="L4146">
        <v>3.7</v>
      </c>
      <c r="M4146">
        <v>0</v>
      </c>
      <c r="N4146" t="s">
        <v>10018</v>
      </c>
      <c r="O4146" t="str">
        <f>HYPERLINK("4\1\marker_828_383964.png", "Ver Imagen")</f>
        <v>Ver Imagen</v>
      </c>
      <c r="P4146" t="str">
        <f>HYPERLINK("SE\A-5058\A-5058__274.png", "Ver Imagen")</f>
        <v>Ver Imagen</v>
      </c>
    </row>
    <row r="4147" spans="1:16" x14ac:dyDescent="0.25">
      <c r="A4147">
        <v>3707</v>
      </c>
      <c r="B4147" t="s">
        <v>7423</v>
      </c>
      <c r="C4147">
        <v>37.243414279900001</v>
      </c>
      <c r="D4147">
        <v>-7.0888017165999999</v>
      </c>
      <c r="E4147">
        <v>4</v>
      </c>
      <c r="F4147">
        <v>3</v>
      </c>
      <c r="G4147">
        <v>4</v>
      </c>
      <c r="J4147" t="s">
        <v>15</v>
      </c>
      <c r="K4147">
        <v>4</v>
      </c>
      <c r="L4147">
        <v>3.6139999999999999</v>
      </c>
      <c r="M4147">
        <v>0</v>
      </c>
      <c r="N4147" t="s">
        <v>10018</v>
      </c>
      <c r="O4147" t="str">
        <f>HYPERLINK("4\1\marker_828_383964.png", "Ver Imagen")</f>
        <v>Ver Imagen</v>
      </c>
      <c r="P4147" t="str">
        <f>HYPERLINK("SO\A-5058\A-5058__274.png", "Ver Imagen")</f>
        <v>Ver Imagen</v>
      </c>
    </row>
    <row r="4148" spans="1:16" x14ac:dyDescent="0.25">
      <c r="A4148">
        <v>3708</v>
      </c>
      <c r="B4148" t="s">
        <v>7425</v>
      </c>
      <c r="C4148">
        <v>37.2438328629</v>
      </c>
      <c r="D4148">
        <v>-7.0896328993899997</v>
      </c>
      <c r="E4148">
        <v>4</v>
      </c>
      <c r="F4148">
        <v>3</v>
      </c>
      <c r="G4148">
        <v>4</v>
      </c>
      <c r="J4148" t="s">
        <v>15</v>
      </c>
      <c r="K4148">
        <v>4</v>
      </c>
      <c r="L4148">
        <v>3.5619999999999998</v>
      </c>
      <c r="M4148">
        <v>0</v>
      </c>
      <c r="N4148" t="s">
        <v>10018</v>
      </c>
      <c r="O4148" t="str">
        <f>HYPERLINK("4\1\marker_976_384014.png", "Ver Imagen")</f>
        <v>Ver Imagen</v>
      </c>
      <c r="P4148" t="str">
        <f>HYPERLINK("SE\A-5058\A-5058__278.png", "Ver Imagen")</f>
        <v>Ver Imagen</v>
      </c>
    </row>
    <row r="4149" spans="1:16" x14ac:dyDescent="0.25">
      <c r="A4149">
        <v>3708</v>
      </c>
      <c r="B4149" t="s">
        <v>7425</v>
      </c>
      <c r="C4149">
        <v>37.2438328629</v>
      </c>
      <c r="D4149">
        <v>-7.0896328993899997</v>
      </c>
      <c r="E4149">
        <v>4</v>
      </c>
      <c r="F4149">
        <v>3</v>
      </c>
      <c r="G4149">
        <v>4</v>
      </c>
      <c r="J4149" t="s">
        <v>15</v>
      </c>
      <c r="K4149">
        <v>4</v>
      </c>
      <c r="L4149">
        <v>3.8490000000000002</v>
      </c>
      <c r="M4149">
        <v>0</v>
      </c>
      <c r="N4149" t="s">
        <v>10018</v>
      </c>
      <c r="O4149" t="str">
        <f>HYPERLINK("4\1\marker_976_384014.png", "Ver Imagen")</f>
        <v>Ver Imagen</v>
      </c>
      <c r="P4149" t="str">
        <f>HYPERLINK("SO\A-5058\A-5058__278.png", "Ver Imagen")</f>
        <v>Ver Imagen</v>
      </c>
    </row>
    <row r="4150" spans="1:16" x14ac:dyDescent="0.25">
      <c r="A4150">
        <v>3709</v>
      </c>
      <c r="B4150" t="s">
        <v>7427</v>
      </c>
      <c r="C4150">
        <v>37.244052946799997</v>
      </c>
      <c r="D4150">
        <v>-7.0900697531199999</v>
      </c>
      <c r="E4150">
        <v>4</v>
      </c>
      <c r="F4150">
        <v>3</v>
      </c>
      <c r="G4150">
        <v>4</v>
      </c>
      <c r="J4150" t="s">
        <v>15</v>
      </c>
      <c r="K4150">
        <v>4</v>
      </c>
      <c r="L4150">
        <v>4.0670000000000002</v>
      </c>
      <c r="M4150">
        <v>0</v>
      </c>
      <c r="N4150" t="s">
        <v>10017</v>
      </c>
      <c r="O4150" t="str">
        <f>HYPERLINK("4\1\marker_371_384033.png", "Ver Imagen")</f>
        <v>Ver Imagen</v>
      </c>
      <c r="P4150" t="str">
        <f>HYPERLINK("SE\A-5058\A-5058__280.png", "Ver Imagen")</f>
        <v>Ver Imagen</v>
      </c>
    </row>
    <row r="4151" spans="1:16" x14ac:dyDescent="0.25">
      <c r="A4151">
        <v>3709</v>
      </c>
      <c r="B4151" t="s">
        <v>7427</v>
      </c>
      <c r="C4151">
        <v>37.244052946799997</v>
      </c>
      <c r="D4151">
        <v>-7.0900697531199999</v>
      </c>
      <c r="E4151">
        <v>4</v>
      </c>
      <c r="F4151">
        <v>3</v>
      </c>
      <c r="G4151">
        <v>4</v>
      </c>
      <c r="J4151" t="s">
        <v>15</v>
      </c>
      <c r="K4151">
        <v>4</v>
      </c>
      <c r="L4151">
        <v>3.9830000000000001</v>
      </c>
      <c r="M4151">
        <v>0</v>
      </c>
      <c r="N4151" t="s">
        <v>10017</v>
      </c>
      <c r="O4151" t="str">
        <f>HYPERLINK("4\1\marker_371_384033.png", "Ver Imagen")</f>
        <v>Ver Imagen</v>
      </c>
      <c r="P4151" t="str">
        <f>HYPERLINK("SO\A-5058\A-5058__280.png", "Ver Imagen")</f>
        <v>Ver Imagen</v>
      </c>
    </row>
    <row r="4152" spans="1:16" x14ac:dyDescent="0.25">
      <c r="A4152">
        <v>3710</v>
      </c>
      <c r="B4152" t="s">
        <v>7429</v>
      </c>
      <c r="C4152">
        <v>37.244160561800001</v>
      </c>
      <c r="D4152">
        <v>-7.0902849570199997</v>
      </c>
      <c r="E4152">
        <v>4</v>
      </c>
      <c r="F4152">
        <v>3</v>
      </c>
      <c r="G4152">
        <v>4</v>
      </c>
      <c r="J4152" t="s">
        <v>15</v>
      </c>
      <c r="K4152">
        <v>4</v>
      </c>
      <c r="L4152">
        <v>3.5310000000000001</v>
      </c>
      <c r="M4152">
        <v>0</v>
      </c>
      <c r="N4152" t="s">
        <v>10018</v>
      </c>
      <c r="O4152" t="str">
        <f>HYPERLINK("4\1\marker_167_384042.png", "Ver Imagen")</f>
        <v>Ver Imagen</v>
      </c>
      <c r="P4152" t="str">
        <f>HYPERLINK("SE\A-5058\A-5058__281.png", "Ver Imagen")</f>
        <v>Ver Imagen</v>
      </c>
    </row>
    <row r="4153" spans="1:16" x14ac:dyDescent="0.25">
      <c r="A4153">
        <v>3710</v>
      </c>
      <c r="B4153" t="s">
        <v>7429</v>
      </c>
      <c r="C4153">
        <v>37.244160561800001</v>
      </c>
      <c r="D4153">
        <v>-7.0902849570199997</v>
      </c>
      <c r="E4153">
        <v>4</v>
      </c>
      <c r="F4153">
        <v>3</v>
      </c>
      <c r="G4153">
        <v>4</v>
      </c>
      <c r="J4153" t="s">
        <v>15</v>
      </c>
      <c r="K4153">
        <v>4</v>
      </c>
      <c r="L4153">
        <v>3.988</v>
      </c>
      <c r="M4153">
        <v>0</v>
      </c>
      <c r="N4153" t="s">
        <v>10018</v>
      </c>
      <c r="O4153" t="str">
        <f>HYPERLINK("4\1\marker_167_384042.png", "Ver Imagen")</f>
        <v>Ver Imagen</v>
      </c>
      <c r="P4153" t="str">
        <f>HYPERLINK("SO\A-5058\A-5058__281.png", "Ver Imagen")</f>
        <v>Ver Imagen</v>
      </c>
    </row>
    <row r="4154" spans="1:16" x14ac:dyDescent="0.25">
      <c r="A4154">
        <v>3711</v>
      </c>
      <c r="B4154" t="s">
        <v>7431</v>
      </c>
      <c r="C4154">
        <v>37.244268552500003</v>
      </c>
      <c r="D4154">
        <v>-7.09049949022</v>
      </c>
      <c r="E4154">
        <v>4</v>
      </c>
      <c r="F4154">
        <v>3</v>
      </c>
      <c r="G4154">
        <v>4</v>
      </c>
      <c r="J4154" t="s">
        <v>15</v>
      </c>
      <c r="K4154">
        <v>4</v>
      </c>
      <c r="L4154">
        <v>3.9870000000000001</v>
      </c>
      <c r="M4154">
        <v>0</v>
      </c>
      <c r="N4154" t="s">
        <v>10019</v>
      </c>
      <c r="O4154" t="str">
        <f>HYPERLINK("4\1\marker_887_384051.png", "Ver Imagen")</f>
        <v>Ver Imagen</v>
      </c>
      <c r="P4154" t="str">
        <f>HYPERLINK("SE\A-5058\A-5058__282.png", "Ver Imagen")</f>
        <v>Ver Imagen</v>
      </c>
    </row>
    <row r="4155" spans="1:16" x14ac:dyDescent="0.25">
      <c r="A4155">
        <v>3711</v>
      </c>
      <c r="B4155" t="s">
        <v>7431</v>
      </c>
      <c r="C4155">
        <v>37.244268552500003</v>
      </c>
      <c r="D4155">
        <v>-7.09049949022</v>
      </c>
      <c r="E4155">
        <v>4</v>
      </c>
      <c r="F4155">
        <v>3</v>
      </c>
      <c r="G4155">
        <v>4</v>
      </c>
      <c r="J4155" t="s">
        <v>15</v>
      </c>
      <c r="K4155">
        <v>4</v>
      </c>
      <c r="L4155">
        <v>3.98</v>
      </c>
      <c r="M4155">
        <v>0</v>
      </c>
      <c r="N4155" t="s">
        <v>10019</v>
      </c>
      <c r="O4155" t="str">
        <f>HYPERLINK("4\1\marker_887_384051.png", "Ver Imagen")</f>
        <v>Ver Imagen</v>
      </c>
      <c r="P4155" t="str">
        <f>HYPERLINK("SO\A-5058\A-5058__282.png", "Ver Imagen")</f>
        <v>Ver Imagen</v>
      </c>
    </row>
    <row r="4156" spans="1:16" x14ac:dyDescent="0.25">
      <c r="A4156">
        <v>3712</v>
      </c>
      <c r="B4156" t="s">
        <v>7433</v>
      </c>
      <c r="C4156">
        <v>37.2443754496</v>
      </c>
      <c r="D4156">
        <v>-7.0907129376200002</v>
      </c>
      <c r="E4156">
        <v>4</v>
      </c>
      <c r="F4156">
        <v>3</v>
      </c>
      <c r="G4156">
        <v>4</v>
      </c>
      <c r="J4156" t="s">
        <v>15</v>
      </c>
      <c r="K4156">
        <v>4</v>
      </c>
      <c r="L4156">
        <v>3.7480000000000002</v>
      </c>
      <c r="M4156">
        <v>0</v>
      </c>
      <c r="N4156" t="s">
        <v>10019</v>
      </c>
      <c r="O4156" t="str">
        <f>HYPERLINK("4\1\marker_594_384061.png", "Ver Imagen")</f>
        <v>Ver Imagen</v>
      </c>
      <c r="P4156" t="str">
        <f>HYPERLINK("SE\A-5058\A-5058__283.png", "Ver Imagen")</f>
        <v>Ver Imagen</v>
      </c>
    </row>
    <row r="4157" spans="1:16" x14ac:dyDescent="0.25">
      <c r="A4157">
        <v>3712</v>
      </c>
      <c r="B4157" t="s">
        <v>7433</v>
      </c>
      <c r="C4157">
        <v>37.2443754496</v>
      </c>
      <c r="D4157">
        <v>-7.0907129376200002</v>
      </c>
      <c r="E4157">
        <v>4</v>
      </c>
      <c r="F4157">
        <v>3</v>
      </c>
      <c r="G4157">
        <v>4</v>
      </c>
      <c r="J4157" t="s">
        <v>15</v>
      </c>
      <c r="K4157">
        <v>4</v>
      </c>
      <c r="L4157">
        <v>3.7250000000000001</v>
      </c>
      <c r="M4157">
        <v>0</v>
      </c>
      <c r="N4157" t="s">
        <v>10019</v>
      </c>
      <c r="O4157" t="str">
        <f>HYPERLINK("4\1\marker_594_384061.png", "Ver Imagen")</f>
        <v>Ver Imagen</v>
      </c>
      <c r="P4157" t="str">
        <f>HYPERLINK("SO\A-5058\A-5058__283.png", "Ver Imagen")</f>
        <v>Ver Imagen</v>
      </c>
    </row>
    <row r="4158" spans="1:16" x14ac:dyDescent="0.25">
      <c r="A4158">
        <v>3714</v>
      </c>
      <c r="B4158" t="s">
        <v>7437</v>
      </c>
      <c r="C4158">
        <v>37.245180878699998</v>
      </c>
      <c r="D4158">
        <v>-7.0924641901300003</v>
      </c>
      <c r="E4158">
        <v>4</v>
      </c>
      <c r="F4158">
        <v>3</v>
      </c>
      <c r="G4158">
        <v>4</v>
      </c>
      <c r="J4158" t="s">
        <v>15</v>
      </c>
      <c r="K4158">
        <v>4</v>
      </c>
      <c r="L4158">
        <v>3.8279999999999998</v>
      </c>
      <c r="M4158">
        <v>0</v>
      </c>
      <c r="N4158" t="s">
        <v>10019</v>
      </c>
      <c r="O4158" t="str">
        <f>HYPERLINK("4\1\marker_579_384159.png", "Ver Imagen")</f>
        <v>Ver Imagen</v>
      </c>
      <c r="P4158" t="str">
        <f>HYPERLINK("SE\A-5058\A-5058__291.png", "Ver Imagen")</f>
        <v>Ver Imagen</v>
      </c>
    </row>
    <row r="4159" spans="1:16" x14ac:dyDescent="0.25">
      <c r="A4159">
        <v>3715</v>
      </c>
      <c r="B4159" t="s">
        <v>7439</v>
      </c>
      <c r="C4159">
        <v>37.245406704099999</v>
      </c>
      <c r="D4159">
        <v>-7.0937097192499996</v>
      </c>
      <c r="E4159">
        <v>4</v>
      </c>
      <c r="F4159">
        <v>3</v>
      </c>
      <c r="G4159">
        <v>4</v>
      </c>
      <c r="J4159" t="s">
        <v>15</v>
      </c>
      <c r="K4159">
        <v>4</v>
      </c>
      <c r="L4159">
        <v>4.0259999999999998</v>
      </c>
      <c r="M4159">
        <v>0</v>
      </c>
      <c r="N4159" t="s">
        <v>10017</v>
      </c>
      <c r="O4159" t="str">
        <f>HYPERLINK("4\1\marker_916_384224.png", "Ver Imagen")</f>
        <v>Ver Imagen</v>
      </c>
      <c r="P4159" t="str">
        <f>HYPERLINK("SO\A-5058\A-5058__296.png", "Ver Imagen")</f>
        <v>Ver Imagen</v>
      </c>
    </row>
    <row r="4160" spans="1:16" x14ac:dyDescent="0.25">
      <c r="A4160">
        <v>3717</v>
      </c>
      <c r="B4160" t="s">
        <v>7443</v>
      </c>
      <c r="C4160">
        <v>37.246165619400003</v>
      </c>
      <c r="D4160">
        <v>-7.0986237175199998</v>
      </c>
      <c r="E4160">
        <v>4</v>
      </c>
      <c r="F4160">
        <v>3</v>
      </c>
      <c r="G4160">
        <v>4</v>
      </c>
      <c r="J4160" t="s">
        <v>15</v>
      </c>
      <c r="K4160">
        <v>4</v>
      </c>
      <c r="L4160">
        <v>3.778</v>
      </c>
      <c r="M4160">
        <v>0</v>
      </c>
      <c r="N4160" t="s">
        <v>10019</v>
      </c>
      <c r="O4160" t="str">
        <f>HYPERLINK("4\1\marker_609_384460.png", "Ver Imagen")</f>
        <v>Ver Imagen</v>
      </c>
      <c r="P4160" t="str">
        <f>HYPERLINK("SE\A-5058\A-5058__316.png", "Ver Imagen")</f>
        <v>Ver Imagen</v>
      </c>
    </row>
    <row r="4161" spans="1:16" x14ac:dyDescent="0.25">
      <c r="A4161">
        <v>3717</v>
      </c>
      <c r="B4161" t="s">
        <v>7443</v>
      </c>
      <c r="C4161">
        <v>37.246165619400003</v>
      </c>
      <c r="D4161">
        <v>-7.0986237175199998</v>
      </c>
      <c r="E4161">
        <v>4</v>
      </c>
      <c r="F4161">
        <v>3</v>
      </c>
      <c r="G4161">
        <v>4</v>
      </c>
      <c r="J4161" t="s">
        <v>15</v>
      </c>
      <c r="K4161">
        <v>4</v>
      </c>
      <c r="L4161">
        <v>3.8559999999999999</v>
      </c>
      <c r="M4161">
        <v>0</v>
      </c>
      <c r="N4161" t="s">
        <v>10019</v>
      </c>
      <c r="O4161" t="str">
        <f>HYPERLINK("4\1\marker_609_384460.png", "Ver Imagen")</f>
        <v>Ver Imagen</v>
      </c>
      <c r="P4161" t="str">
        <f>HYPERLINK("SO\A-5058\A-5058__316.png", "Ver Imagen")</f>
        <v>Ver Imagen</v>
      </c>
    </row>
    <row r="4162" spans="1:16" x14ac:dyDescent="0.25">
      <c r="A4162">
        <v>3718</v>
      </c>
      <c r="B4162" t="s">
        <v>7445</v>
      </c>
      <c r="C4162">
        <v>37.246284484199997</v>
      </c>
      <c r="D4162">
        <v>-7.0988333051900003</v>
      </c>
      <c r="E4162">
        <v>4</v>
      </c>
      <c r="F4162">
        <v>3</v>
      </c>
      <c r="G4162">
        <v>4</v>
      </c>
      <c r="J4162" t="s">
        <v>15</v>
      </c>
      <c r="K4162">
        <v>4</v>
      </c>
      <c r="L4162">
        <v>3.746</v>
      </c>
      <c r="M4162">
        <v>0</v>
      </c>
      <c r="N4162" t="s">
        <v>10019</v>
      </c>
      <c r="O4162" t="str">
        <f>HYPERLINK("4\1\marker_965_384468.png", "Ver Imagen")</f>
        <v>Ver Imagen</v>
      </c>
      <c r="P4162" t="str">
        <f>HYPERLINK("SE\A-5058\A-5058__317.png", "Ver Imagen")</f>
        <v>Ver Imagen</v>
      </c>
    </row>
    <row r="4163" spans="1:16" x14ac:dyDescent="0.25">
      <c r="A4163">
        <v>3719</v>
      </c>
      <c r="B4163" t="s">
        <v>7447</v>
      </c>
      <c r="C4163">
        <v>37.246795190100002</v>
      </c>
      <c r="D4163">
        <v>-7.0996355597500003</v>
      </c>
      <c r="E4163">
        <v>4</v>
      </c>
      <c r="F4163">
        <v>3</v>
      </c>
      <c r="G4163">
        <v>4</v>
      </c>
      <c r="J4163" t="s">
        <v>15</v>
      </c>
      <c r="K4163">
        <v>4</v>
      </c>
      <c r="L4163">
        <v>3.6360000000000001</v>
      </c>
      <c r="M4163">
        <v>0</v>
      </c>
      <c r="N4163" t="s">
        <v>10019</v>
      </c>
      <c r="O4163" t="str">
        <f>HYPERLINK("4\1\marker_892_384511.png", "Ver Imagen")</f>
        <v>Ver Imagen</v>
      </c>
      <c r="P4163" t="str">
        <f>HYPERLINK("SE\A-5058\A-5058__321.png", "Ver Imagen")</f>
        <v>Ver Imagen</v>
      </c>
    </row>
    <row r="4164" spans="1:16" x14ac:dyDescent="0.25">
      <c r="A4164">
        <v>3720</v>
      </c>
      <c r="B4164" t="s">
        <v>7449</v>
      </c>
      <c r="C4164">
        <v>37.247049680400004</v>
      </c>
      <c r="D4164">
        <v>-7.1000207012700001</v>
      </c>
      <c r="E4164">
        <v>4</v>
      </c>
      <c r="F4164">
        <v>3</v>
      </c>
      <c r="G4164">
        <v>4</v>
      </c>
      <c r="J4164" t="s">
        <v>15</v>
      </c>
      <c r="K4164">
        <v>4</v>
      </c>
      <c r="L4164">
        <v>3.8879999999999999</v>
      </c>
      <c r="M4164">
        <v>0</v>
      </c>
      <c r="N4164" t="s">
        <v>10019</v>
      </c>
      <c r="O4164" t="str">
        <f>HYPERLINK("4\1\marker_683_384540.png", "Ver Imagen")</f>
        <v>Ver Imagen</v>
      </c>
      <c r="P4164" t="str">
        <f>HYPERLINK("SE\A-5058\A-5058__323.png", "Ver Imagen")</f>
        <v>Ver Imagen</v>
      </c>
    </row>
    <row r="4165" spans="1:16" x14ac:dyDescent="0.25">
      <c r="A4165">
        <v>3720</v>
      </c>
      <c r="B4165" t="s">
        <v>7449</v>
      </c>
      <c r="C4165">
        <v>37.247049680400004</v>
      </c>
      <c r="D4165">
        <v>-7.1000207012700001</v>
      </c>
      <c r="E4165">
        <v>4</v>
      </c>
      <c r="F4165">
        <v>3</v>
      </c>
      <c r="G4165">
        <v>4</v>
      </c>
      <c r="J4165" t="s">
        <v>15</v>
      </c>
      <c r="K4165">
        <v>4</v>
      </c>
      <c r="L4165">
        <v>3.9159999999999999</v>
      </c>
      <c r="M4165">
        <v>0</v>
      </c>
      <c r="N4165" t="s">
        <v>10019</v>
      </c>
      <c r="O4165" t="str">
        <f>HYPERLINK("4\1\marker_683_384540.png", "Ver Imagen")</f>
        <v>Ver Imagen</v>
      </c>
      <c r="P4165" t="str">
        <f>HYPERLINK("SO\A-5058\A-5058__323.png", "Ver Imagen")</f>
        <v>Ver Imagen</v>
      </c>
    </row>
    <row r="4166" spans="1:16" x14ac:dyDescent="0.25">
      <c r="A4166">
        <v>3721</v>
      </c>
      <c r="B4166" t="s">
        <v>7451</v>
      </c>
      <c r="C4166">
        <v>37.248422620200003</v>
      </c>
      <c r="D4166">
        <v>-7.1018806882299996</v>
      </c>
      <c r="E4166">
        <v>4</v>
      </c>
      <c r="F4166">
        <v>3</v>
      </c>
      <c r="G4166">
        <v>4</v>
      </c>
      <c r="J4166" t="s">
        <v>15</v>
      </c>
      <c r="K4166">
        <v>4</v>
      </c>
      <c r="L4166">
        <v>4.0990000000000002</v>
      </c>
      <c r="M4166">
        <v>0</v>
      </c>
      <c r="N4166" t="s">
        <v>10017</v>
      </c>
      <c r="O4166" t="str">
        <f>HYPERLINK("4\1\marker_630_384667.png", "Ver Imagen")</f>
        <v>Ver Imagen</v>
      </c>
      <c r="P4166" t="str">
        <f>HYPERLINK("SO\A-5058\A-5058__333.png", "Ver Imagen")</f>
        <v>Ver Imagen</v>
      </c>
    </row>
    <row r="4167" spans="1:16" x14ac:dyDescent="0.25">
      <c r="A4167">
        <v>3722</v>
      </c>
      <c r="B4167" t="s">
        <v>7453</v>
      </c>
      <c r="C4167">
        <v>37.248786894399998</v>
      </c>
      <c r="D4167">
        <v>-7.1021282667900003</v>
      </c>
      <c r="E4167">
        <v>4</v>
      </c>
      <c r="F4167">
        <v>3</v>
      </c>
      <c r="G4167">
        <v>4</v>
      </c>
      <c r="J4167" t="s">
        <v>15</v>
      </c>
      <c r="K4167">
        <v>4</v>
      </c>
      <c r="L4167">
        <v>4.0990000000000002</v>
      </c>
      <c r="M4167">
        <v>0</v>
      </c>
      <c r="N4167" t="s">
        <v>10018</v>
      </c>
      <c r="O4167" t="str">
        <f>HYPERLINK("4\1\marker_294_384704.png", "Ver Imagen")</f>
        <v>Ver Imagen</v>
      </c>
      <c r="P4167" t="str">
        <f>HYPERLINK("SE\A-5058\A-5058__335.png", "Ver Imagen")</f>
        <v>Ver Imagen</v>
      </c>
    </row>
    <row r="4168" spans="1:16" x14ac:dyDescent="0.25">
      <c r="A4168">
        <v>3723</v>
      </c>
      <c r="B4168" t="s">
        <v>7455</v>
      </c>
      <c r="C4168">
        <v>37.258857403299999</v>
      </c>
      <c r="D4168">
        <v>-7.1230666191900003</v>
      </c>
      <c r="E4168">
        <v>4</v>
      </c>
      <c r="F4168">
        <v>3</v>
      </c>
      <c r="G4168">
        <v>4</v>
      </c>
      <c r="J4168" t="s">
        <v>15</v>
      </c>
      <c r="K4168">
        <v>4</v>
      </c>
      <c r="L4168">
        <v>3.6269999999999998</v>
      </c>
      <c r="M4168">
        <v>0</v>
      </c>
      <c r="N4168" t="s">
        <v>10019</v>
      </c>
      <c r="O4168" t="str">
        <f>HYPERLINK("4\1\marker_615_389020.png", "Ver Imagen")</f>
        <v>Ver Imagen</v>
      </c>
      <c r="P4168" t="str">
        <f>HYPERLINK("SO\A-5058\A-5058__444.png", "Ver Imagen")</f>
        <v>Ver Imagen</v>
      </c>
    </row>
    <row r="4169" spans="1:16" x14ac:dyDescent="0.25">
      <c r="A4169">
        <v>3724</v>
      </c>
      <c r="B4169" t="s">
        <v>7457</v>
      </c>
      <c r="C4169">
        <v>37.259078867200003</v>
      </c>
      <c r="D4169">
        <v>-7.1250543822300001</v>
      </c>
      <c r="E4169">
        <v>4</v>
      </c>
      <c r="F4169">
        <v>3</v>
      </c>
      <c r="G4169">
        <v>4</v>
      </c>
      <c r="J4169" t="s">
        <v>15</v>
      </c>
      <c r="K4169">
        <v>4</v>
      </c>
      <c r="L4169">
        <v>3.91</v>
      </c>
      <c r="M4169">
        <v>0</v>
      </c>
      <c r="N4169" t="s">
        <v>10019</v>
      </c>
      <c r="O4169" t="str">
        <f>HYPERLINK("4\1\marker_128_389094.png", "Ver Imagen")</f>
        <v>Ver Imagen</v>
      </c>
      <c r="P4169" t="str">
        <f>HYPERLINK("SO\A-5058\A-5058__452.png", "Ver Imagen")</f>
        <v>Ver Imagen</v>
      </c>
    </row>
    <row r="4170" spans="1:16" x14ac:dyDescent="0.25">
      <c r="A4170">
        <v>3726</v>
      </c>
      <c r="B4170" t="s">
        <v>7461</v>
      </c>
      <c r="C4170">
        <v>37.478550568499998</v>
      </c>
      <c r="D4170">
        <v>-7.1277931101499998</v>
      </c>
      <c r="E4170">
        <v>4</v>
      </c>
      <c r="F4170">
        <v>3</v>
      </c>
      <c r="G4170">
        <v>4</v>
      </c>
      <c r="J4170" t="s">
        <v>15</v>
      </c>
      <c r="K4170">
        <v>4</v>
      </c>
      <c r="L4170">
        <v>3.6349999999999998</v>
      </c>
      <c r="M4170">
        <v>0</v>
      </c>
      <c r="N4170" t="s">
        <v>10019</v>
      </c>
      <c r="O4170" t="str">
        <f>HYPERLINK("4\1\marker_990_384086.png", "Ver Imagen")</f>
        <v>Ver Imagen</v>
      </c>
      <c r="P4170" t="str">
        <f>HYPERLINK("NE\A-495_1\A-495_1__161.png", "Ver Imagen")</f>
        <v>Ver Imagen</v>
      </c>
    </row>
    <row r="4171" spans="1:16" x14ac:dyDescent="0.25">
      <c r="A4171">
        <v>3728</v>
      </c>
      <c r="B4171" t="s">
        <v>7465</v>
      </c>
      <c r="C4171">
        <v>37.477521992299998</v>
      </c>
      <c r="D4171">
        <v>-7.1266270150300004</v>
      </c>
      <c r="E4171">
        <v>4</v>
      </c>
      <c r="F4171">
        <v>3</v>
      </c>
      <c r="G4171">
        <v>4</v>
      </c>
      <c r="J4171" t="s">
        <v>15</v>
      </c>
      <c r="K4171">
        <v>4</v>
      </c>
      <c r="L4171">
        <v>3.758</v>
      </c>
      <c r="M4171">
        <v>0</v>
      </c>
      <c r="N4171" t="s">
        <v>10019</v>
      </c>
      <c r="O4171" t="str">
        <f>HYPERLINK("4\1\marker_823_384176.png", "Ver Imagen")</f>
        <v>Ver Imagen</v>
      </c>
      <c r="P4171" t="str">
        <f>HYPERLINK("NE\A-495_1\A-495_1__154.png", "Ver Imagen")</f>
        <v>Ver Imagen</v>
      </c>
    </row>
    <row r="4172" spans="1:16" x14ac:dyDescent="0.25">
      <c r="A4172">
        <v>3729</v>
      </c>
      <c r="B4172" t="s">
        <v>7467</v>
      </c>
      <c r="C4172">
        <v>37.477383197499996</v>
      </c>
      <c r="D4172">
        <v>-7.12641831009</v>
      </c>
      <c r="E4172">
        <v>4</v>
      </c>
      <c r="F4172">
        <v>3</v>
      </c>
      <c r="G4172">
        <v>4</v>
      </c>
      <c r="J4172" t="s">
        <v>15</v>
      </c>
      <c r="K4172">
        <v>4</v>
      </c>
      <c r="L4172">
        <v>3.8039999999999998</v>
      </c>
      <c r="M4172">
        <v>0</v>
      </c>
      <c r="N4172" t="s">
        <v>10019</v>
      </c>
      <c r="O4172" t="str">
        <f>HYPERLINK("4\1\marker_521_384184.png", "Ver Imagen")</f>
        <v>Ver Imagen</v>
      </c>
      <c r="P4172" t="str">
        <f>HYPERLINK("NE\A-495_1\A-495_1__153.png", "Ver Imagen")</f>
        <v>Ver Imagen</v>
      </c>
    </row>
    <row r="4173" spans="1:16" x14ac:dyDescent="0.25">
      <c r="A4173">
        <v>3730</v>
      </c>
      <c r="B4173" t="s">
        <v>7469</v>
      </c>
      <c r="C4173">
        <v>37.476147162799997</v>
      </c>
      <c r="D4173">
        <v>-7.1257753463000002</v>
      </c>
      <c r="E4173">
        <v>4</v>
      </c>
      <c r="F4173">
        <v>3</v>
      </c>
      <c r="G4173">
        <v>4</v>
      </c>
      <c r="J4173" t="s">
        <v>15</v>
      </c>
      <c r="K4173">
        <v>4</v>
      </c>
      <c r="L4173">
        <v>4.13</v>
      </c>
      <c r="M4173">
        <v>0</v>
      </c>
      <c r="N4173" t="s">
        <v>10019</v>
      </c>
      <c r="O4173" t="str">
        <f>HYPERLINK("4\1\marker_484_384283.png", "Ver Imagen")</f>
        <v>Ver Imagen</v>
      </c>
      <c r="P4173" t="str">
        <f>HYPERLINK("NE\A-495_1\A-495_1__146.png", "Ver Imagen")</f>
        <v>Ver Imagen</v>
      </c>
    </row>
    <row r="4174" spans="1:16" x14ac:dyDescent="0.25">
      <c r="A4174">
        <v>3731</v>
      </c>
      <c r="B4174" t="s">
        <v>7471</v>
      </c>
      <c r="C4174">
        <v>37.475372016599998</v>
      </c>
      <c r="D4174">
        <v>-7.1259228747999996</v>
      </c>
      <c r="E4174">
        <v>4</v>
      </c>
      <c r="F4174">
        <v>3</v>
      </c>
      <c r="G4174">
        <v>4</v>
      </c>
      <c r="J4174" t="s">
        <v>15</v>
      </c>
      <c r="K4174">
        <v>4</v>
      </c>
      <c r="L4174">
        <v>3.7229999999999999</v>
      </c>
      <c r="M4174">
        <v>0</v>
      </c>
      <c r="N4174" t="s">
        <v>10019</v>
      </c>
      <c r="O4174" t="str">
        <f>HYPERLINK("4\1\marker_872_384340.png", "Ver Imagen")</f>
        <v>Ver Imagen</v>
      </c>
      <c r="P4174" t="str">
        <f>HYPERLINK("NE\A-495_1\A-495_1__142.png", "Ver Imagen")</f>
        <v>Ver Imagen</v>
      </c>
    </row>
    <row r="4175" spans="1:16" x14ac:dyDescent="0.25">
      <c r="A4175">
        <v>3732</v>
      </c>
      <c r="B4175" t="s">
        <v>7473</v>
      </c>
      <c r="C4175">
        <v>37.474765401500001</v>
      </c>
      <c r="D4175">
        <v>-7.1260567440699996</v>
      </c>
      <c r="E4175">
        <v>4</v>
      </c>
      <c r="F4175">
        <v>3</v>
      </c>
      <c r="G4175">
        <v>4</v>
      </c>
      <c r="J4175" t="s">
        <v>15</v>
      </c>
      <c r="K4175">
        <v>4</v>
      </c>
      <c r="L4175">
        <v>3.8420000000000001</v>
      </c>
      <c r="M4175">
        <v>0</v>
      </c>
      <c r="N4175" t="s">
        <v>10019</v>
      </c>
      <c r="O4175" t="str">
        <f>HYPERLINK("4\1\marker_483_384382.png", "Ver Imagen")</f>
        <v>Ver Imagen</v>
      </c>
      <c r="P4175" t="str">
        <f>HYPERLINK("NE\A-495_1\A-495_1__139.png", "Ver Imagen")</f>
        <v>Ver Imagen</v>
      </c>
    </row>
    <row r="4176" spans="1:16" x14ac:dyDescent="0.25">
      <c r="A4176">
        <v>3733</v>
      </c>
      <c r="B4176" t="s">
        <v>7475</v>
      </c>
      <c r="C4176">
        <v>37.473755216900003</v>
      </c>
      <c r="D4176">
        <v>-7.1262768984199996</v>
      </c>
      <c r="E4176">
        <v>4</v>
      </c>
      <c r="F4176">
        <v>3</v>
      </c>
      <c r="G4176">
        <v>4</v>
      </c>
      <c r="J4176" t="s">
        <v>15</v>
      </c>
      <c r="K4176">
        <v>4</v>
      </c>
      <c r="L4176">
        <v>3.907</v>
      </c>
      <c r="M4176">
        <v>0</v>
      </c>
      <c r="N4176" t="s">
        <v>10019</v>
      </c>
      <c r="O4176" t="str">
        <f>HYPERLINK("4\1\marker_282_384431.png", "Ver Imagen")</f>
        <v>Ver Imagen</v>
      </c>
      <c r="P4176" t="str">
        <f>HYPERLINK("NE\A-495_1\A-495_1__134.png", "Ver Imagen")</f>
        <v>Ver Imagen</v>
      </c>
    </row>
    <row r="4177" spans="1:16" x14ac:dyDescent="0.25">
      <c r="A4177">
        <v>3734</v>
      </c>
      <c r="B4177" t="s">
        <v>7477</v>
      </c>
      <c r="C4177">
        <v>37.472965358000003</v>
      </c>
      <c r="D4177">
        <v>-7.1264069903899996</v>
      </c>
      <c r="E4177">
        <v>4</v>
      </c>
      <c r="F4177">
        <v>3</v>
      </c>
      <c r="G4177">
        <v>4</v>
      </c>
      <c r="J4177" t="s">
        <v>15</v>
      </c>
      <c r="K4177">
        <v>4</v>
      </c>
      <c r="L4177">
        <v>3.8109999999999999</v>
      </c>
      <c r="M4177">
        <v>0</v>
      </c>
      <c r="N4177" t="s">
        <v>10019</v>
      </c>
      <c r="O4177" t="str">
        <f>HYPERLINK("4\1\marker_905_384476.png", "Ver Imagen")</f>
        <v>Ver Imagen</v>
      </c>
      <c r="P4177" t="str">
        <f>HYPERLINK("NE\A-495_1\A-495_1__130.png", "Ver Imagen")</f>
        <v>Ver Imagen</v>
      </c>
    </row>
    <row r="4178" spans="1:16" x14ac:dyDescent="0.25">
      <c r="A4178">
        <v>3735</v>
      </c>
      <c r="B4178" t="s">
        <v>7479</v>
      </c>
      <c r="C4178">
        <v>37.472344098900003</v>
      </c>
      <c r="D4178">
        <v>-7.1263594703599997</v>
      </c>
      <c r="E4178">
        <v>4</v>
      </c>
      <c r="F4178">
        <v>3</v>
      </c>
      <c r="G4178">
        <v>4</v>
      </c>
      <c r="J4178" t="s">
        <v>15</v>
      </c>
      <c r="K4178">
        <v>4</v>
      </c>
      <c r="L4178">
        <v>3.6640000000000001</v>
      </c>
      <c r="M4178">
        <v>0</v>
      </c>
      <c r="N4178" t="s">
        <v>10019</v>
      </c>
      <c r="O4178" t="str">
        <f>HYPERLINK("4\1\marker_437_384502.png", "Ver Imagen")</f>
        <v>Ver Imagen</v>
      </c>
      <c r="P4178" t="str">
        <f>HYPERLINK("NE\A-495_1\A-495_1__127.png", "Ver Imagen")</f>
        <v>Ver Imagen</v>
      </c>
    </row>
    <row r="4179" spans="1:16" x14ac:dyDescent="0.25">
      <c r="A4179">
        <v>3736</v>
      </c>
      <c r="B4179" t="s">
        <v>7481</v>
      </c>
      <c r="C4179">
        <v>37.4719894459</v>
      </c>
      <c r="D4179">
        <v>-7.1261876428599997</v>
      </c>
      <c r="E4179">
        <v>4</v>
      </c>
      <c r="F4179">
        <v>3</v>
      </c>
      <c r="G4179">
        <v>4</v>
      </c>
      <c r="J4179" t="s">
        <v>15</v>
      </c>
      <c r="K4179">
        <v>4</v>
      </c>
      <c r="L4179">
        <v>3.843</v>
      </c>
      <c r="M4179">
        <v>0</v>
      </c>
      <c r="N4179" t="s">
        <v>10018</v>
      </c>
      <c r="O4179" t="str">
        <f>HYPERLINK("4\1\marker_635_384521.png", "Ver Imagen")</f>
        <v>Ver Imagen</v>
      </c>
      <c r="P4179" t="str">
        <f>HYPERLINK("NE\A-495_1\A-495_1__125.png", "Ver Imagen")</f>
        <v>Ver Imagen</v>
      </c>
    </row>
    <row r="4180" spans="1:16" x14ac:dyDescent="0.25">
      <c r="A4180">
        <v>3737</v>
      </c>
      <c r="B4180" t="s">
        <v>7483</v>
      </c>
      <c r="C4180">
        <v>37.471472608600003</v>
      </c>
      <c r="D4180">
        <v>-7.1257911239</v>
      </c>
      <c r="E4180">
        <v>4</v>
      </c>
      <c r="F4180">
        <v>3</v>
      </c>
      <c r="G4180">
        <v>4</v>
      </c>
      <c r="J4180" t="s">
        <v>15</v>
      </c>
      <c r="K4180">
        <v>4</v>
      </c>
      <c r="L4180">
        <v>3.8460000000000001</v>
      </c>
      <c r="M4180">
        <v>0</v>
      </c>
      <c r="N4180" t="s">
        <v>10019</v>
      </c>
      <c r="O4180" t="str">
        <f>HYPERLINK("4\1\marker_439_384550.png", "Ver Imagen")</f>
        <v>Ver Imagen</v>
      </c>
      <c r="P4180" t="str">
        <f>HYPERLINK("NE\A-495_1\A-495_1__122.png", "Ver Imagen")</f>
        <v>Ver Imagen</v>
      </c>
    </row>
    <row r="4181" spans="1:16" x14ac:dyDescent="0.25">
      <c r="A4181">
        <v>3739</v>
      </c>
      <c r="B4181" t="s">
        <v>7487</v>
      </c>
      <c r="C4181">
        <v>37.469383878800002</v>
      </c>
      <c r="D4181">
        <v>-7.1242048167099998</v>
      </c>
      <c r="E4181">
        <v>5</v>
      </c>
      <c r="F4181">
        <v>4</v>
      </c>
      <c r="G4181">
        <v>4</v>
      </c>
      <c r="J4181" t="s">
        <v>15</v>
      </c>
      <c r="K4181">
        <v>4</v>
      </c>
      <c r="L4181">
        <v>3.8809999999999998</v>
      </c>
      <c r="M4181">
        <v>0</v>
      </c>
      <c r="N4181" t="s">
        <v>10019</v>
      </c>
      <c r="O4181" t="str">
        <f>HYPERLINK("4\1\marker_792_384721.png", "Ver Imagen")</f>
        <v>Ver Imagen</v>
      </c>
      <c r="P4181" t="str">
        <f>HYPERLINK("NE\A-495_1\A-495_1__110.png", "Ver Imagen")</f>
        <v>Ver Imagen</v>
      </c>
    </row>
    <row r="4182" spans="1:16" x14ac:dyDescent="0.25">
      <c r="A4182">
        <v>3740</v>
      </c>
      <c r="B4182" t="s">
        <v>7489</v>
      </c>
      <c r="C4182">
        <v>37.467754138300002</v>
      </c>
      <c r="D4182">
        <v>-7.1231435576099997</v>
      </c>
      <c r="E4182">
        <v>4</v>
      </c>
      <c r="F4182">
        <v>3</v>
      </c>
      <c r="G4182">
        <v>4</v>
      </c>
      <c r="J4182" t="s">
        <v>15</v>
      </c>
      <c r="K4182">
        <v>4</v>
      </c>
      <c r="L4182">
        <v>4.04</v>
      </c>
      <c r="M4182">
        <v>0</v>
      </c>
      <c r="N4182" t="s">
        <v>10019</v>
      </c>
      <c r="O4182" t="str">
        <f>HYPERLINK("4\1\marker_748_385013.png", "Ver Imagen")</f>
        <v>Ver Imagen</v>
      </c>
      <c r="P4182" t="str">
        <f>HYPERLINK("NE\A-495_1\A-495_1__101.png", "Ver Imagen")</f>
        <v>Ver Imagen</v>
      </c>
    </row>
    <row r="4183" spans="1:16" x14ac:dyDescent="0.25">
      <c r="A4183">
        <v>3741</v>
      </c>
      <c r="B4183" t="s">
        <v>7491</v>
      </c>
      <c r="C4183">
        <v>37.198188054200003</v>
      </c>
      <c r="D4183">
        <v>-6.9810306048099999</v>
      </c>
      <c r="E4183">
        <v>4</v>
      </c>
      <c r="F4183">
        <v>3</v>
      </c>
      <c r="G4183">
        <v>4</v>
      </c>
      <c r="J4183" t="s">
        <v>15</v>
      </c>
      <c r="K4183">
        <v>4</v>
      </c>
      <c r="L4183">
        <v>3.7469999999999999</v>
      </c>
      <c r="M4183">
        <v>0</v>
      </c>
      <c r="N4183" t="s">
        <v>10019</v>
      </c>
      <c r="O4183" t="str">
        <f>HYPERLINK("4\1\marker_640_367666.png", "Ver Imagen")</f>
        <v>Ver Imagen</v>
      </c>
      <c r="P4183" t="str">
        <f>HYPERLINK("SE\A-497\A-497__828.png", "Ver Imagen")</f>
        <v>Ver Imagen</v>
      </c>
    </row>
    <row r="4184" spans="1:16" x14ac:dyDescent="0.25">
      <c r="A4184">
        <v>3742</v>
      </c>
      <c r="B4184" t="s">
        <v>7493</v>
      </c>
      <c r="C4184">
        <v>37.194966547</v>
      </c>
      <c r="D4184">
        <v>-6.9780588095200002</v>
      </c>
      <c r="E4184">
        <v>4</v>
      </c>
      <c r="F4184">
        <v>3</v>
      </c>
      <c r="G4184">
        <v>4</v>
      </c>
      <c r="J4184" t="s">
        <v>15</v>
      </c>
      <c r="K4184">
        <v>4</v>
      </c>
      <c r="L4184">
        <v>3.8380000000000001</v>
      </c>
      <c r="M4184">
        <v>0</v>
      </c>
      <c r="N4184" t="s">
        <v>10019</v>
      </c>
      <c r="O4184" t="str">
        <f>HYPERLINK("4\1\marker_841_367868.png", "Ver Imagen")</f>
        <v>Ver Imagen</v>
      </c>
      <c r="P4184" t="str">
        <f>HYPERLINK("SE\A-497\A-497__808.png", "Ver Imagen")</f>
        <v>Ver Imagen</v>
      </c>
    </row>
    <row r="4185" spans="1:16" x14ac:dyDescent="0.25">
      <c r="A4185">
        <v>3743</v>
      </c>
      <c r="B4185" t="s">
        <v>7495</v>
      </c>
      <c r="C4185">
        <v>37.193258421899998</v>
      </c>
      <c r="D4185">
        <v>-6.9776518922299999</v>
      </c>
      <c r="E4185">
        <v>4</v>
      </c>
      <c r="F4185">
        <v>3</v>
      </c>
      <c r="G4185">
        <v>4</v>
      </c>
      <c r="J4185" t="s">
        <v>15</v>
      </c>
      <c r="K4185">
        <v>4</v>
      </c>
      <c r="L4185">
        <v>3.8250000000000002</v>
      </c>
      <c r="M4185">
        <v>0</v>
      </c>
      <c r="N4185" t="s">
        <v>10019</v>
      </c>
      <c r="O4185" t="str">
        <f>HYPERLINK("4\1\marker_683_367959.png", "Ver Imagen")</f>
        <v>Ver Imagen</v>
      </c>
      <c r="P4185" t="str">
        <f>HYPERLINK("SE\A-497\A-497__799.png", "Ver Imagen")</f>
        <v>Ver Imagen</v>
      </c>
    </row>
    <row r="4186" spans="1:16" x14ac:dyDescent="0.25">
      <c r="A4186">
        <v>3744</v>
      </c>
      <c r="B4186" t="s">
        <v>7497</v>
      </c>
      <c r="C4186">
        <v>37.192406003400002</v>
      </c>
      <c r="D4186">
        <v>-6.9776581446100003</v>
      </c>
      <c r="E4186">
        <v>4</v>
      </c>
      <c r="F4186">
        <v>3</v>
      </c>
      <c r="G4186">
        <v>4</v>
      </c>
      <c r="J4186" t="s">
        <v>15</v>
      </c>
      <c r="K4186">
        <v>4</v>
      </c>
      <c r="L4186">
        <v>3.964</v>
      </c>
      <c r="M4186">
        <v>0</v>
      </c>
      <c r="N4186" t="s">
        <v>10019</v>
      </c>
      <c r="O4186" t="str">
        <f>HYPERLINK("4\1\marker_675_368006.png", "Ver Imagen")</f>
        <v>Ver Imagen</v>
      </c>
      <c r="P4186" t="str">
        <f>HYPERLINK("SE\A-497\A-497__795.png", "Ver Imagen")</f>
        <v>Ver Imagen</v>
      </c>
    </row>
    <row r="4187" spans="1:16" x14ac:dyDescent="0.25">
      <c r="A4187">
        <v>3745</v>
      </c>
      <c r="B4187" t="s">
        <v>7499</v>
      </c>
      <c r="C4187">
        <v>37.191783203299998</v>
      </c>
      <c r="D4187">
        <v>-6.9777298114599997</v>
      </c>
      <c r="E4187">
        <v>4</v>
      </c>
      <c r="F4187">
        <v>3</v>
      </c>
      <c r="G4187">
        <v>4</v>
      </c>
      <c r="J4187" t="s">
        <v>15</v>
      </c>
      <c r="K4187">
        <v>4</v>
      </c>
      <c r="L4187">
        <v>3.5619999999999998</v>
      </c>
      <c r="M4187">
        <v>0</v>
      </c>
      <c r="N4187" t="s">
        <v>10019</v>
      </c>
      <c r="O4187" t="str">
        <f>HYPERLINK("4\1\marker_520_368040.png", "Ver Imagen")</f>
        <v>Ver Imagen</v>
      </c>
      <c r="P4187" t="str">
        <f>HYPERLINK("SE\A-497\A-497__792.png", "Ver Imagen")</f>
        <v>Ver Imagen</v>
      </c>
    </row>
    <row r="4188" spans="1:16" x14ac:dyDescent="0.25">
      <c r="A4188">
        <v>3746</v>
      </c>
      <c r="B4188" t="s">
        <v>7501</v>
      </c>
      <c r="C4188">
        <v>37.189992561399997</v>
      </c>
      <c r="D4188">
        <v>-6.9781378384400004</v>
      </c>
      <c r="E4188">
        <v>4</v>
      </c>
      <c r="F4188">
        <v>3</v>
      </c>
      <c r="G4188">
        <v>4</v>
      </c>
      <c r="J4188" t="s">
        <v>15</v>
      </c>
      <c r="K4188">
        <v>4</v>
      </c>
      <c r="L4188">
        <v>4.1159999999999997</v>
      </c>
      <c r="M4188">
        <v>0</v>
      </c>
      <c r="N4188" t="s">
        <v>10019</v>
      </c>
      <c r="O4188" t="str">
        <f>HYPERLINK("4\1\marker_741_368132.png", "Ver Imagen")</f>
        <v>Ver Imagen</v>
      </c>
      <c r="P4188" t="str">
        <f>HYPERLINK("SE\A-497\A-497__783.png", "Ver Imagen")</f>
        <v>Ver Imagen</v>
      </c>
    </row>
    <row r="4189" spans="1:16" x14ac:dyDescent="0.25">
      <c r="A4189">
        <v>3747</v>
      </c>
      <c r="B4189" t="s">
        <v>7503</v>
      </c>
      <c r="C4189">
        <v>37.267593896299999</v>
      </c>
      <c r="D4189">
        <v>-6.9620331901799997</v>
      </c>
      <c r="E4189">
        <v>4</v>
      </c>
      <c r="F4189">
        <v>3</v>
      </c>
      <c r="G4189">
        <v>4</v>
      </c>
      <c r="J4189" t="s">
        <v>15</v>
      </c>
      <c r="K4189">
        <v>4</v>
      </c>
      <c r="L4189">
        <v>3.8519999999999999</v>
      </c>
      <c r="M4189">
        <v>0</v>
      </c>
      <c r="N4189" t="s">
        <v>10018</v>
      </c>
      <c r="O4189" t="str">
        <f>HYPERLINK("4\1\marker_694_654388.png", "Ver Imagen")</f>
        <v>Ver Imagen</v>
      </c>
      <c r="P4189" t="str">
        <f>HYPERLINK("SE\A-497_2C\A-497_2C__20.png", "Ver Imagen")</f>
        <v>Ver Imagen</v>
      </c>
    </row>
    <row r="4190" spans="1:16" x14ac:dyDescent="0.25">
      <c r="A4190">
        <v>3748</v>
      </c>
      <c r="B4190" t="s">
        <v>7505</v>
      </c>
      <c r="C4190">
        <v>37.267599838700001</v>
      </c>
      <c r="D4190">
        <v>-6.9622472989800004</v>
      </c>
      <c r="E4190">
        <v>4</v>
      </c>
      <c r="F4190">
        <v>3</v>
      </c>
      <c r="G4190">
        <v>4</v>
      </c>
      <c r="J4190" t="s">
        <v>15</v>
      </c>
      <c r="K4190">
        <v>4</v>
      </c>
      <c r="L4190">
        <v>3.516</v>
      </c>
      <c r="M4190">
        <v>0</v>
      </c>
      <c r="N4190" t="s">
        <v>10019</v>
      </c>
      <c r="O4190" t="str">
        <f>HYPERLINK("4\1\marker_418_654398.png", "Ver Imagen")</f>
        <v>Ver Imagen</v>
      </c>
      <c r="P4190" t="str">
        <f>HYPERLINK("SE\A-497_2C\A-497_2C__21.png", "Ver Imagen")</f>
        <v>Ver Imagen</v>
      </c>
    </row>
    <row r="4191" spans="1:16" x14ac:dyDescent="0.25">
      <c r="A4191">
        <v>3749</v>
      </c>
      <c r="B4191" t="s">
        <v>7507</v>
      </c>
      <c r="C4191">
        <v>37.267628660200003</v>
      </c>
      <c r="D4191">
        <v>-6.9632732403200004</v>
      </c>
      <c r="E4191">
        <v>4</v>
      </c>
      <c r="F4191">
        <v>3</v>
      </c>
      <c r="G4191">
        <v>4</v>
      </c>
      <c r="J4191" t="s">
        <v>15</v>
      </c>
      <c r="K4191">
        <v>4</v>
      </c>
      <c r="L4191">
        <v>3.9020000000000001</v>
      </c>
      <c r="M4191">
        <v>0</v>
      </c>
      <c r="N4191" t="s">
        <v>10019</v>
      </c>
      <c r="O4191" t="str">
        <f>HYPERLINK("4\1\marker_629_654435.png", "Ver Imagen")</f>
        <v>Ver Imagen</v>
      </c>
      <c r="P4191" t="str">
        <f>HYPERLINK("SE\A-497_2C\A-497_2C__25.png", "Ver Imagen")</f>
        <v>Ver Imagen</v>
      </c>
    </row>
    <row r="4192" spans="1:16" x14ac:dyDescent="0.25">
      <c r="A4192">
        <v>3751</v>
      </c>
      <c r="B4192" t="s">
        <v>7511</v>
      </c>
      <c r="C4192">
        <v>37.266870755799999</v>
      </c>
      <c r="D4192">
        <v>-6.9920699967299997</v>
      </c>
      <c r="E4192">
        <v>5</v>
      </c>
      <c r="F4192">
        <v>4</v>
      </c>
      <c r="G4192">
        <v>4</v>
      </c>
      <c r="J4192" t="s">
        <v>15</v>
      </c>
      <c r="K4192">
        <v>4</v>
      </c>
      <c r="L4192">
        <v>4.0039999999999996</v>
      </c>
      <c r="M4192">
        <v>0</v>
      </c>
      <c r="N4192" t="s">
        <v>10019</v>
      </c>
      <c r="O4192" t="str">
        <f>HYPERLINK("4\1\marker_742_656044.png", "Ver Imagen")</f>
        <v>Ver Imagen</v>
      </c>
      <c r="P4192" t="str">
        <f>HYPERLINK("SE\A-497_2C\A-497_2C__154.png", "Ver Imagen")</f>
        <v>Ver Imagen</v>
      </c>
    </row>
    <row r="4193" spans="1:16" x14ac:dyDescent="0.25">
      <c r="A4193">
        <v>3754</v>
      </c>
      <c r="B4193" t="s">
        <v>7517</v>
      </c>
      <c r="C4193">
        <v>37.264865126899998</v>
      </c>
      <c r="D4193">
        <v>-6.9996562735300003</v>
      </c>
      <c r="E4193">
        <v>4</v>
      </c>
      <c r="F4193">
        <v>5</v>
      </c>
      <c r="G4193">
        <v>4</v>
      </c>
      <c r="J4193" t="s">
        <v>15</v>
      </c>
      <c r="K4193">
        <v>4</v>
      </c>
      <c r="L4193">
        <v>3.9409999999999998</v>
      </c>
      <c r="M4193">
        <v>0</v>
      </c>
      <c r="N4193" t="s">
        <v>10019</v>
      </c>
      <c r="O4193" t="str">
        <f>HYPERLINK("4\1\marker_841_656382.png", "Ver Imagen")</f>
        <v>Ver Imagen</v>
      </c>
      <c r="P4193" t="str">
        <f>HYPERLINK("SE\A-497_2C\A-497_2C__186.png", "Ver Imagen")</f>
        <v>Ver Imagen</v>
      </c>
    </row>
    <row r="4194" spans="1:16" x14ac:dyDescent="0.25">
      <c r="A4194">
        <v>3755</v>
      </c>
      <c r="B4194" t="s">
        <v>7519</v>
      </c>
      <c r="C4194">
        <v>37.195697733000003</v>
      </c>
      <c r="D4194">
        <v>-6.9782311359299998</v>
      </c>
      <c r="E4194">
        <v>4</v>
      </c>
      <c r="F4194">
        <v>3</v>
      </c>
      <c r="G4194">
        <v>4</v>
      </c>
      <c r="J4194" t="s">
        <v>15</v>
      </c>
      <c r="K4194">
        <v>4</v>
      </c>
      <c r="L4194">
        <v>3.5659999999999998</v>
      </c>
      <c r="M4194">
        <v>0</v>
      </c>
      <c r="N4194" t="s">
        <v>10019</v>
      </c>
      <c r="O4194" t="str">
        <f>HYPERLINK("4\1\marker_679_370319.png", "Ver Imagen")</f>
        <v>Ver Imagen</v>
      </c>
      <c r="P4194" t="str">
        <f>HYPERLINK("SE\A-497\A-497__706.png", "Ver Imagen")</f>
        <v>Ver Imagen</v>
      </c>
    </row>
    <row r="4195" spans="1:16" x14ac:dyDescent="0.25">
      <c r="A4195">
        <v>3757</v>
      </c>
      <c r="B4195" t="s">
        <v>7523</v>
      </c>
      <c r="C4195">
        <v>37.252857844600001</v>
      </c>
      <c r="D4195">
        <v>-7.0162665460399998</v>
      </c>
      <c r="E4195">
        <v>4</v>
      </c>
      <c r="F4195">
        <v>3</v>
      </c>
      <c r="G4195">
        <v>4</v>
      </c>
      <c r="J4195" t="s">
        <v>15</v>
      </c>
      <c r="K4195">
        <v>4</v>
      </c>
      <c r="L4195">
        <v>3.7770000000000001</v>
      </c>
      <c r="M4195">
        <v>0</v>
      </c>
      <c r="N4195" t="s">
        <v>10019</v>
      </c>
      <c r="O4195" t="str">
        <f>HYPERLINK("4\1\marker_868_319908.png", "Ver Imagen")</f>
        <v>Ver Imagen</v>
      </c>
      <c r="P4195" t="str">
        <f>HYPERLINK("SE\A-497_2C\A-497_2C__282.png", "Ver Imagen")</f>
        <v>Ver Imagen</v>
      </c>
    </row>
    <row r="4196" spans="1:16" x14ac:dyDescent="0.25">
      <c r="A4196">
        <v>3758</v>
      </c>
      <c r="B4196" t="s">
        <v>7525</v>
      </c>
      <c r="C4196">
        <v>37.203780786499998</v>
      </c>
      <c r="D4196">
        <v>-7.0088738402099997</v>
      </c>
      <c r="E4196">
        <v>4</v>
      </c>
      <c r="F4196">
        <v>3</v>
      </c>
      <c r="G4196">
        <v>4</v>
      </c>
      <c r="J4196" t="s">
        <v>15</v>
      </c>
      <c r="K4196">
        <v>4</v>
      </c>
      <c r="L4196">
        <v>3.5920000000000001</v>
      </c>
      <c r="M4196">
        <v>0</v>
      </c>
      <c r="N4196" t="s">
        <v>10019</v>
      </c>
      <c r="O4196" t="str">
        <f>HYPERLINK("4\1\marker_213_371973.png", "Ver Imagen")</f>
        <v>Ver Imagen</v>
      </c>
      <c r="P4196" t="str">
        <f>HYPERLINK("SE\A-497\A-497__575.png", "Ver Imagen")</f>
        <v>Ver Imagen</v>
      </c>
    </row>
    <row r="4197" spans="1:16" x14ac:dyDescent="0.25">
      <c r="A4197">
        <v>3759</v>
      </c>
      <c r="B4197" t="s">
        <v>7527</v>
      </c>
      <c r="C4197">
        <v>37.250488993099999</v>
      </c>
      <c r="D4197">
        <v>-7.0177637220599998</v>
      </c>
      <c r="E4197">
        <v>4</v>
      </c>
      <c r="F4197">
        <v>3</v>
      </c>
      <c r="G4197">
        <v>4</v>
      </c>
      <c r="J4197" t="s">
        <v>15</v>
      </c>
      <c r="K4197">
        <v>4</v>
      </c>
      <c r="L4197">
        <v>4.4089999999999998</v>
      </c>
      <c r="M4197">
        <v>0</v>
      </c>
      <c r="N4197" t="s">
        <v>10019</v>
      </c>
      <c r="O4197" t="str">
        <f>HYPERLINK("4\1\marker_392_320120.png", "Ver Imagen")</f>
        <v>Ver Imagen</v>
      </c>
      <c r="P4197" t="str">
        <f>HYPERLINK("SE\A-497_2C\A-497_2C__295.png", "Ver Imagen")</f>
        <v>Ver Imagen</v>
      </c>
    </row>
    <row r="4198" spans="1:16" x14ac:dyDescent="0.25">
      <c r="A4198">
        <v>3760</v>
      </c>
      <c r="B4198" t="s">
        <v>7529</v>
      </c>
      <c r="C4198">
        <v>37.247504147599997</v>
      </c>
      <c r="D4198">
        <v>-7.0183962482300002</v>
      </c>
      <c r="E4198">
        <v>4</v>
      </c>
      <c r="F4198">
        <v>3</v>
      </c>
      <c r="G4198">
        <v>4</v>
      </c>
      <c r="J4198" t="s">
        <v>15</v>
      </c>
      <c r="K4198">
        <v>4</v>
      </c>
      <c r="L4198">
        <v>3.9889999999999999</v>
      </c>
      <c r="M4198">
        <v>0</v>
      </c>
      <c r="N4198" t="s">
        <v>10019</v>
      </c>
      <c r="O4198" t="str">
        <f>HYPERLINK("4\1\marker_509_361833.png", "Ver Imagen")</f>
        <v>Ver Imagen</v>
      </c>
      <c r="P4198" t="str">
        <f>HYPERLINK("SE\A-497_2C\A-497_2C__310.png", "Ver Imagen")</f>
        <v>Ver Imagen</v>
      </c>
    </row>
    <row r="4199" spans="1:16" x14ac:dyDescent="0.25">
      <c r="A4199">
        <v>3761</v>
      </c>
      <c r="B4199" t="s">
        <v>7531</v>
      </c>
      <c r="C4199">
        <v>37.246712279400001</v>
      </c>
      <c r="D4199">
        <v>-7.0184259294600002</v>
      </c>
      <c r="E4199">
        <v>4</v>
      </c>
      <c r="F4199">
        <v>3</v>
      </c>
      <c r="G4199">
        <v>4</v>
      </c>
      <c r="J4199" t="s">
        <v>15</v>
      </c>
      <c r="K4199">
        <v>4</v>
      </c>
      <c r="L4199">
        <v>4.1340000000000003</v>
      </c>
      <c r="M4199">
        <v>0</v>
      </c>
      <c r="N4199" t="s">
        <v>10019</v>
      </c>
      <c r="O4199" t="str">
        <f>HYPERLINK("4\1\marker_539_361871.png", "Ver Imagen")</f>
        <v>Ver Imagen</v>
      </c>
      <c r="P4199" t="str">
        <f>HYPERLINK("SE\A-497_2C\A-497_2C__314.png", "Ver Imagen")</f>
        <v>Ver Imagen</v>
      </c>
    </row>
    <row r="4200" spans="1:16" x14ac:dyDescent="0.25">
      <c r="A4200">
        <v>3762</v>
      </c>
      <c r="B4200" t="s">
        <v>7533</v>
      </c>
      <c r="C4200">
        <v>37.2432474318</v>
      </c>
      <c r="D4200">
        <v>-7.0185583438999997</v>
      </c>
      <c r="E4200">
        <v>4</v>
      </c>
      <c r="F4200">
        <v>3</v>
      </c>
      <c r="G4200">
        <v>4</v>
      </c>
      <c r="J4200" t="s">
        <v>15</v>
      </c>
      <c r="K4200">
        <v>4</v>
      </c>
      <c r="L4200">
        <v>4.0060000000000002</v>
      </c>
      <c r="M4200">
        <v>0</v>
      </c>
      <c r="N4200" t="s">
        <v>10019</v>
      </c>
      <c r="O4200" t="str">
        <f>HYPERLINK("4\1\marker_627_362029.png", "Ver Imagen")</f>
        <v>Ver Imagen</v>
      </c>
      <c r="P4200" t="str">
        <f>HYPERLINK("SE\A-497_2C\A-497_2C__331.png", "Ver Imagen")</f>
        <v>Ver Imagen</v>
      </c>
    </row>
    <row r="4201" spans="1:16" x14ac:dyDescent="0.25">
      <c r="A4201">
        <v>3764</v>
      </c>
      <c r="B4201" t="s">
        <v>7537</v>
      </c>
      <c r="C4201">
        <v>37.236968555700003</v>
      </c>
      <c r="D4201">
        <v>-7.0187208762799997</v>
      </c>
      <c r="E4201">
        <v>4</v>
      </c>
      <c r="F4201">
        <v>3</v>
      </c>
      <c r="G4201">
        <v>4</v>
      </c>
      <c r="J4201" t="s">
        <v>15</v>
      </c>
      <c r="K4201">
        <v>4</v>
      </c>
      <c r="L4201">
        <v>3.6779999999999999</v>
      </c>
      <c r="M4201">
        <v>0</v>
      </c>
      <c r="N4201" t="s">
        <v>10019</v>
      </c>
      <c r="O4201" t="str">
        <f>HYPERLINK("4\1\marker_389_362365.png", "Ver Imagen")</f>
        <v>Ver Imagen</v>
      </c>
      <c r="P4201" t="str">
        <f>HYPERLINK("SE\A-497_2C\A-497_2C__362.png", "Ver Imagen")</f>
        <v>Ver Imagen</v>
      </c>
    </row>
    <row r="4202" spans="1:16" x14ac:dyDescent="0.25">
      <c r="A4202">
        <v>3765</v>
      </c>
      <c r="B4202" t="s">
        <v>7539</v>
      </c>
      <c r="C4202">
        <v>37.236775552200001</v>
      </c>
      <c r="D4202">
        <v>-7.0186967941100002</v>
      </c>
      <c r="E4202">
        <v>4</v>
      </c>
      <c r="F4202">
        <v>3</v>
      </c>
      <c r="G4202">
        <v>4</v>
      </c>
      <c r="J4202" t="s">
        <v>15</v>
      </c>
      <c r="K4202">
        <v>4</v>
      </c>
      <c r="L4202">
        <v>3.972</v>
      </c>
      <c r="M4202">
        <v>0</v>
      </c>
      <c r="N4202" t="s">
        <v>10019</v>
      </c>
      <c r="O4202" t="str">
        <f>HYPERLINK("4\1\marker_423_362376.png", "Ver Imagen")</f>
        <v>Ver Imagen</v>
      </c>
      <c r="P4202" t="str">
        <f>HYPERLINK("SE\A-497_2C\A-497_2C__363.png", "Ver Imagen")</f>
        <v>Ver Imagen</v>
      </c>
    </row>
    <row r="4203" spans="1:16" x14ac:dyDescent="0.25">
      <c r="A4203">
        <v>3766</v>
      </c>
      <c r="B4203" t="s">
        <v>7541</v>
      </c>
      <c r="C4203">
        <v>37.236579842799998</v>
      </c>
      <c r="D4203">
        <v>-7.0186661185199997</v>
      </c>
      <c r="E4203">
        <v>4</v>
      </c>
      <c r="F4203">
        <v>3</v>
      </c>
      <c r="G4203">
        <v>4</v>
      </c>
      <c r="J4203" t="s">
        <v>15</v>
      </c>
      <c r="K4203">
        <v>4</v>
      </c>
      <c r="L4203">
        <v>4.1630000000000003</v>
      </c>
      <c r="M4203">
        <v>0</v>
      </c>
      <c r="N4203" t="s">
        <v>10019</v>
      </c>
      <c r="O4203" t="str">
        <f>HYPERLINK("4\1\marker_661_362385.png", "Ver Imagen")</f>
        <v>Ver Imagen</v>
      </c>
      <c r="P4203" t="str">
        <f>HYPERLINK("SE\A-497_2C\A-497_2C__364.png", "Ver Imagen")</f>
        <v>Ver Imagen</v>
      </c>
    </row>
    <row r="4204" spans="1:16" x14ac:dyDescent="0.25">
      <c r="A4204">
        <v>3767</v>
      </c>
      <c r="B4204" t="s">
        <v>7543</v>
      </c>
      <c r="C4204">
        <v>37.221868848100002</v>
      </c>
      <c r="D4204">
        <v>-7.0231339848300003</v>
      </c>
      <c r="E4204">
        <v>4</v>
      </c>
      <c r="F4204">
        <v>3</v>
      </c>
      <c r="G4204">
        <v>4</v>
      </c>
      <c r="J4204" t="s">
        <v>15</v>
      </c>
      <c r="K4204">
        <v>4</v>
      </c>
      <c r="L4204">
        <v>3.5539999999999998</v>
      </c>
      <c r="M4204">
        <v>0</v>
      </c>
      <c r="N4204" t="s">
        <v>10017</v>
      </c>
      <c r="O4204" t="str">
        <f>HYPERLINK("4\1\marker_847_363328.png", "Ver Imagen")</f>
        <v>Ver Imagen</v>
      </c>
      <c r="P4204" t="str">
        <f>HYPERLINK("SE\A-497_2C\A-497_2C__442.png", "Ver Imagen")</f>
        <v>Ver Imagen</v>
      </c>
    </row>
    <row r="4205" spans="1:16" x14ac:dyDescent="0.25">
      <c r="A4205">
        <v>3768</v>
      </c>
      <c r="B4205" t="s">
        <v>7545</v>
      </c>
      <c r="C4205">
        <v>37.221646231199998</v>
      </c>
      <c r="D4205">
        <v>-7.0231120785599996</v>
      </c>
      <c r="E4205">
        <v>4</v>
      </c>
      <c r="F4205">
        <v>3</v>
      </c>
      <c r="G4205">
        <v>4</v>
      </c>
      <c r="J4205" t="s">
        <v>15</v>
      </c>
      <c r="K4205">
        <v>4</v>
      </c>
      <c r="L4205">
        <v>4.0110000000000001</v>
      </c>
      <c r="M4205">
        <v>0</v>
      </c>
      <c r="N4205" t="s">
        <v>10019</v>
      </c>
      <c r="O4205" t="str">
        <f>HYPERLINK("4\1\marker_737_363346.png", "Ver Imagen")</f>
        <v>Ver Imagen</v>
      </c>
      <c r="P4205" t="str">
        <f>HYPERLINK("SE\A-497_2C\A-497_2C__443.png", "Ver Imagen")</f>
        <v>Ver Imagen</v>
      </c>
    </row>
    <row r="4206" spans="1:16" x14ac:dyDescent="0.25">
      <c r="A4206">
        <v>3769</v>
      </c>
      <c r="B4206" t="s">
        <v>7547</v>
      </c>
      <c r="C4206">
        <v>37.221214673799999</v>
      </c>
      <c r="D4206">
        <v>-7.0230714257500004</v>
      </c>
      <c r="E4206">
        <v>4</v>
      </c>
      <c r="F4206">
        <v>3</v>
      </c>
      <c r="G4206">
        <v>4</v>
      </c>
      <c r="J4206" t="s">
        <v>15</v>
      </c>
      <c r="K4206">
        <v>4</v>
      </c>
      <c r="L4206">
        <v>4.2699999999999996</v>
      </c>
      <c r="M4206">
        <v>0</v>
      </c>
      <c r="N4206" t="s">
        <v>10019</v>
      </c>
      <c r="O4206" t="str">
        <f>HYPERLINK("4\1\marker_758_363362.png", "Ver Imagen")</f>
        <v>Ver Imagen</v>
      </c>
      <c r="P4206" t="str">
        <f>HYPERLINK("SE\A-497_2C\A-497_2C__445.png", "Ver Imagen")</f>
        <v>Ver Imagen</v>
      </c>
    </row>
    <row r="4207" spans="1:16" x14ac:dyDescent="0.25">
      <c r="A4207">
        <v>3770</v>
      </c>
      <c r="B4207" t="s">
        <v>7549</v>
      </c>
      <c r="C4207">
        <v>37.2210234223</v>
      </c>
      <c r="D4207">
        <v>-7.0230542371100002</v>
      </c>
      <c r="E4207">
        <v>4</v>
      </c>
      <c r="F4207">
        <v>3</v>
      </c>
      <c r="G4207">
        <v>4</v>
      </c>
      <c r="J4207" t="s">
        <v>15</v>
      </c>
      <c r="K4207">
        <v>4</v>
      </c>
      <c r="L4207">
        <v>3.7949999999999999</v>
      </c>
      <c r="M4207">
        <v>0</v>
      </c>
      <c r="N4207" t="s">
        <v>10019</v>
      </c>
      <c r="O4207" t="str">
        <f>HYPERLINK("4\1\marker_422_363372.png", "Ver Imagen")</f>
        <v>Ver Imagen</v>
      </c>
      <c r="P4207" t="str">
        <f>HYPERLINK("SE\A-497_2C\A-497_2C__446.png", "Ver Imagen")</f>
        <v>Ver Imagen</v>
      </c>
    </row>
    <row r="4208" spans="1:16" x14ac:dyDescent="0.25">
      <c r="A4208">
        <v>3771</v>
      </c>
      <c r="B4208" t="s">
        <v>7551</v>
      </c>
      <c r="C4208">
        <v>37.220634645700002</v>
      </c>
      <c r="D4208">
        <v>-7.0230199341999997</v>
      </c>
      <c r="E4208">
        <v>4</v>
      </c>
      <c r="F4208">
        <v>3</v>
      </c>
      <c r="G4208">
        <v>4</v>
      </c>
      <c r="J4208" t="s">
        <v>15</v>
      </c>
      <c r="K4208">
        <v>4</v>
      </c>
      <c r="L4208">
        <v>4.33</v>
      </c>
      <c r="M4208">
        <v>0</v>
      </c>
      <c r="N4208" t="s">
        <v>10019</v>
      </c>
      <c r="O4208" t="str">
        <f>HYPERLINK("4\1\marker_889_363392.png", "Ver Imagen")</f>
        <v>Ver Imagen</v>
      </c>
      <c r="P4208" t="str">
        <f>HYPERLINK("SE\A-497_2C\A-497_2C__448.png", "Ver Imagen")</f>
        <v>Ver Imagen</v>
      </c>
    </row>
    <row r="4209" spans="1:16" x14ac:dyDescent="0.25">
      <c r="A4209">
        <v>3772</v>
      </c>
      <c r="B4209" t="s">
        <v>7553</v>
      </c>
      <c r="C4209">
        <v>37.220242495800001</v>
      </c>
      <c r="D4209">
        <v>-7.0229852810500004</v>
      </c>
      <c r="E4209">
        <v>4</v>
      </c>
      <c r="F4209">
        <v>3</v>
      </c>
      <c r="G4209">
        <v>4</v>
      </c>
      <c r="J4209" t="s">
        <v>15</v>
      </c>
      <c r="K4209">
        <v>4</v>
      </c>
      <c r="L4209">
        <v>4.0010000000000003</v>
      </c>
      <c r="M4209">
        <v>0</v>
      </c>
      <c r="N4209" t="s">
        <v>10019</v>
      </c>
      <c r="O4209" t="str">
        <f>HYPERLINK("4\1\marker_705_363419.png", "Ver Imagen")</f>
        <v>Ver Imagen</v>
      </c>
      <c r="P4209" t="str">
        <f>HYPERLINK("SE\A-497_2C\A-497_2C__450.png", "Ver Imagen")</f>
        <v>Ver Imagen</v>
      </c>
    </row>
    <row r="4210" spans="1:16" x14ac:dyDescent="0.25">
      <c r="A4210">
        <v>3774</v>
      </c>
      <c r="B4210" t="s">
        <v>7557</v>
      </c>
      <c r="C4210">
        <v>37.2171841384</v>
      </c>
      <c r="D4210">
        <v>-7.0232047356700003</v>
      </c>
      <c r="E4210">
        <v>4</v>
      </c>
      <c r="F4210">
        <v>3</v>
      </c>
      <c r="G4210">
        <v>4</v>
      </c>
      <c r="J4210" t="s">
        <v>15</v>
      </c>
      <c r="K4210">
        <v>4</v>
      </c>
      <c r="L4210">
        <v>3.633</v>
      </c>
      <c r="M4210">
        <v>0</v>
      </c>
      <c r="N4210" t="s">
        <v>10019</v>
      </c>
      <c r="O4210" t="str">
        <f>HYPERLINK("4\1\marker_251_363588.png", "Ver Imagen")</f>
        <v>Ver Imagen</v>
      </c>
      <c r="P4210" t="str">
        <f>HYPERLINK("SE\A-497_2C\A-497_2C__465.png", "Ver Imagen")</f>
        <v>Ver Imagen</v>
      </c>
    </row>
    <row r="4211" spans="1:16" x14ac:dyDescent="0.25">
      <c r="A4211">
        <v>3775</v>
      </c>
      <c r="B4211" t="s">
        <v>7559</v>
      </c>
      <c r="C4211">
        <v>37.215988728500001</v>
      </c>
      <c r="D4211">
        <v>-7.0234166893400003</v>
      </c>
      <c r="E4211">
        <v>4</v>
      </c>
      <c r="F4211">
        <v>3</v>
      </c>
      <c r="G4211">
        <v>4</v>
      </c>
      <c r="J4211" t="s">
        <v>15</v>
      </c>
      <c r="K4211">
        <v>4</v>
      </c>
      <c r="L4211">
        <v>4.1180000000000003</v>
      </c>
      <c r="M4211">
        <v>0</v>
      </c>
      <c r="N4211" t="s">
        <v>10019</v>
      </c>
      <c r="O4211" t="str">
        <f>HYPERLINK("4\1\marker_504_363657.png", "Ver Imagen")</f>
        <v>Ver Imagen</v>
      </c>
      <c r="P4211" t="str">
        <f>HYPERLINK("SE\A-497_2C\A-497_2C__471.png", "Ver Imagen")</f>
        <v>Ver Imagen</v>
      </c>
    </row>
    <row r="4212" spans="1:16" x14ac:dyDescent="0.25">
      <c r="A4212">
        <v>3776</v>
      </c>
      <c r="B4212" t="s">
        <v>7561</v>
      </c>
      <c r="C4212">
        <v>37.215791436799996</v>
      </c>
      <c r="D4212">
        <v>-7.0234502894100004</v>
      </c>
      <c r="E4212">
        <v>4</v>
      </c>
      <c r="F4212">
        <v>3</v>
      </c>
      <c r="G4212">
        <v>4</v>
      </c>
      <c r="J4212" t="s">
        <v>15</v>
      </c>
      <c r="K4212">
        <v>4</v>
      </c>
      <c r="L4212">
        <v>4.2270000000000003</v>
      </c>
      <c r="M4212">
        <v>0</v>
      </c>
      <c r="N4212" t="s">
        <v>10019</v>
      </c>
      <c r="O4212" t="str">
        <f>HYPERLINK("4\1\marker_682_363668.png", "Ver Imagen")</f>
        <v>Ver Imagen</v>
      </c>
      <c r="P4212" t="str">
        <f>HYPERLINK("SE\A-497_2C\A-497_2C__472.png", "Ver Imagen")</f>
        <v>Ver Imagen</v>
      </c>
    </row>
    <row r="4213" spans="1:16" x14ac:dyDescent="0.25">
      <c r="A4213">
        <v>3777</v>
      </c>
      <c r="B4213" t="s">
        <v>7563</v>
      </c>
      <c r="C4213">
        <v>37.2147908874</v>
      </c>
      <c r="D4213">
        <v>-7.0236223043899999</v>
      </c>
      <c r="E4213">
        <v>4</v>
      </c>
      <c r="F4213">
        <v>3</v>
      </c>
      <c r="G4213">
        <v>4</v>
      </c>
      <c r="J4213" t="s">
        <v>15</v>
      </c>
      <c r="K4213">
        <v>4</v>
      </c>
      <c r="L4213">
        <v>3.7250000000000001</v>
      </c>
      <c r="M4213">
        <v>0</v>
      </c>
      <c r="N4213" t="s">
        <v>10019</v>
      </c>
      <c r="O4213" t="str">
        <f>HYPERLINK("4\1\marker_427_363727.png", "Ver Imagen")</f>
        <v>Ver Imagen</v>
      </c>
      <c r="P4213" t="str">
        <f>HYPERLINK("SE\A-497_2C\A-497_2C__477.png", "Ver Imagen")</f>
        <v>Ver Imagen</v>
      </c>
    </row>
    <row r="4214" spans="1:16" x14ac:dyDescent="0.25">
      <c r="A4214">
        <v>3778</v>
      </c>
      <c r="B4214" t="s">
        <v>7565</v>
      </c>
      <c r="C4214">
        <v>37.2145465284</v>
      </c>
      <c r="D4214">
        <v>-7.0236677940999996</v>
      </c>
      <c r="E4214">
        <v>4</v>
      </c>
      <c r="F4214">
        <v>3</v>
      </c>
      <c r="G4214">
        <v>4</v>
      </c>
      <c r="J4214" t="s">
        <v>15</v>
      </c>
      <c r="K4214">
        <v>4</v>
      </c>
      <c r="L4214">
        <v>4.26</v>
      </c>
      <c r="M4214">
        <v>0</v>
      </c>
      <c r="N4214" t="s">
        <v>10019</v>
      </c>
      <c r="O4214" t="str">
        <f>HYPERLINK("4\1\marker_135_363736.png", "Ver Imagen")</f>
        <v>Ver Imagen</v>
      </c>
      <c r="P4214" t="str">
        <f>HYPERLINK("SE\A-497_2C\A-497_2C__478.png", "Ver Imagen")</f>
        <v>Ver Imagen</v>
      </c>
    </row>
    <row r="4215" spans="1:16" x14ac:dyDescent="0.25">
      <c r="A4215">
        <v>3779</v>
      </c>
      <c r="B4215" t="s">
        <v>7567</v>
      </c>
      <c r="C4215">
        <v>37.214200621099998</v>
      </c>
      <c r="D4215">
        <v>-7.0237341759299996</v>
      </c>
      <c r="E4215">
        <v>4</v>
      </c>
      <c r="F4215">
        <v>3</v>
      </c>
      <c r="G4215">
        <v>4</v>
      </c>
      <c r="J4215" t="s">
        <v>15</v>
      </c>
      <c r="K4215">
        <v>4</v>
      </c>
      <c r="L4215">
        <v>4.1369999999999996</v>
      </c>
      <c r="M4215">
        <v>0</v>
      </c>
      <c r="N4215" t="s">
        <v>10019</v>
      </c>
      <c r="O4215" t="str">
        <f>HYPERLINK("4\1\marker_490_363758.png", "Ver Imagen")</f>
        <v>Ver Imagen</v>
      </c>
      <c r="P4215" t="str">
        <f>HYPERLINK("SE\A-497_2C\A-497_2C__480.png", "Ver Imagen")</f>
        <v>Ver Imagen</v>
      </c>
    </row>
    <row r="4216" spans="1:16" x14ac:dyDescent="0.25">
      <c r="A4216">
        <v>3780</v>
      </c>
      <c r="B4216" t="s">
        <v>7569</v>
      </c>
      <c r="C4216">
        <v>37.213371695900001</v>
      </c>
      <c r="D4216">
        <v>-7.0238818074499996</v>
      </c>
      <c r="E4216">
        <v>4</v>
      </c>
      <c r="F4216">
        <v>3</v>
      </c>
      <c r="G4216">
        <v>4</v>
      </c>
      <c r="J4216" t="s">
        <v>15</v>
      </c>
      <c r="K4216">
        <v>4</v>
      </c>
      <c r="L4216">
        <v>3.673</v>
      </c>
      <c r="M4216">
        <v>0</v>
      </c>
      <c r="N4216" t="s">
        <v>10019</v>
      </c>
      <c r="O4216" t="str">
        <f>HYPERLINK("4\1\marker_993_363813.png", "Ver Imagen")</f>
        <v>Ver Imagen</v>
      </c>
      <c r="P4216" t="str">
        <f>HYPERLINK("SE\A-497_2C\A-497_2C__484.png", "Ver Imagen")</f>
        <v>Ver Imagen</v>
      </c>
    </row>
    <row r="4217" spans="1:16" x14ac:dyDescent="0.25">
      <c r="A4217">
        <v>3781</v>
      </c>
      <c r="B4217" t="s">
        <v>7571</v>
      </c>
      <c r="C4217">
        <v>37.212419308599998</v>
      </c>
      <c r="D4217">
        <v>-7.0240180262000003</v>
      </c>
      <c r="E4217">
        <v>4</v>
      </c>
      <c r="F4217">
        <v>3</v>
      </c>
      <c r="G4217">
        <v>4</v>
      </c>
      <c r="J4217" t="s">
        <v>15</v>
      </c>
      <c r="K4217">
        <v>4</v>
      </c>
      <c r="L4217">
        <v>3.88</v>
      </c>
      <c r="M4217">
        <v>0</v>
      </c>
      <c r="N4217" t="s">
        <v>10019</v>
      </c>
      <c r="O4217" t="str">
        <f>HYPERLINK("4\1\marker_223_363867.png", "Ver Imagen")</f>
        <v>Ver Imagen</v>
      </c>
      <c r="P4217" t="str">
        <f>HYPERLINK("SE\A-497_2C\A-497_2C__489.png", "Ver Imagen")</f>
        <v>Ver Imagen</v>
      </c>
    </row>
    <row r="4218" spans="1:16" x14ac:dyDescent="0.25">
      <c r="A4218">
        <v>3783</v>
      </c>
      <c r="B4218" t="s">
        <v>7575</v>
      </c>
      <c r="C4218">
        <v>37.241352578499999</v>
      </c>
      <c r="D4218">
        <v>-7.01843492303</v>
      </c>
      <c r="E4218">
        <v>4</v>
      </c>
      <c r="F4218">
        <v>3</v>
      </c>
      <c r="G4218">
        <v>4</v>
      </c>
      <c r="J4218" t="s">
        <v>15</v>
      </c>
      <c r="K4218">
        <v>4</v>
      </c>
      <c r="L4218">
        <v>4.2220000000000004</v>
      </c>
      <c r="M4218">
        <v>0</v>
      </c>
      <c r="N4218" t="s">
        <v>10019</v>
      </c>
      <c r="O4218" t="str">
        <f>HYPERLINK("4\1\marker_420_377718.png", "Ver Imagen")</f>
        <v>Ver Imagen</v>
      </c>
      <c r="P4218" t="str">
        <f>HYPERLINK("SE\A-497\A-497__345.png", "Ver Imagen")</f>
        <v>Ver Imagen</v>
      </c>
    </row>
    <row r="4219" spans="1:16" x14ac:dyDescent="0.25">
      <c r="A4219">
        <v>3784</v>
      </c>
      <c r="B4219" t="s">
        <v>7577</v>
      </c>
      <c r="C4219">
        <v>37.241757465799999</v>
      </c>
      <c r="D4219">
        <v>-7.0184203419699998</v>
      </c>
      <c r="E4219">
        <v>4</v>
      </c>
      <c r="F4219">
        <v>3</v>
      </c>
      <c r="G4219">
        <v>4</v>
      </c>
      <c r="J4219" t="s">
        <v>15</v>
      </c>
      <c r="K4219">
        <v>4</v>
      </c>
      <c r="L4219">
        <v>4.1829999999999998</v>
      </c>
      <c r="M4219">
        <v>0</v>
      </c>
      <c r="N4219" t="s">
        <v>10019</v>
      </c>
      <c r="O4219" t="str">
        <f>HYPERLINK("4\1\marker_876_377740.png", "Ver Imagen")</f>
        <v>Ver Imagen</v>
      </c>
      <c r="P4219" t="str">
        <f>HYPERLINK("SE\A-497\A-497__343.png", "Ver Imagen")</f>
        <v>Ver Imagen</v>
      </c>
    </row>
    <row r="4220" spans="1:16" x14ac:dyDescent="0.25">
      <c r="A4220">
        <v>3785</v>
      </c>
      <c r="B4220" t="s">
        <v>7579</v>
      </c>
      <c r="C4220">
        <v>37.243158528599999</v>
      </c>
      <c r="D4220">
        <v>-7.0183634572700004</v>
      </c>
      <c r="E4220">
        <v>4</v>
      </c>
      <c r="F4220">
        <v>3</v>
      </c>
      <c r="G4220">
        <v>4</v>
      </c>
      <c r="J4220" t="s">
        <v>15</v>
      </c>
      <c r="K4220">
        <v>4</v>
      </c>
      <c r="L4220">
        <v>3.8959999999999999</v>
      </c>
      <c r="M4220">
        <v>0</v>
      </c>
      <c r="N4220" t="s">
        <v>10019</v>
      </c>
      <c r="O4220" t="str">
        <f>HYPERLINK("4\1\marker_452_377808.png", "Ver Imagen")</f>
        <v>Ver Imagen</v>
      </c>
      <c r="P4220" t="str">
        <f>HYPERLINK("SE\A-497\A-497__336.png", "Ver Imagen")</f>
        <v>Ver Imagen</v>
      </c>
    </row>
    <row r="4221" spans="1:16" x14ac:dyDescent="0.25">
      <c r="A4221">
        <v>3786</v>
      </c>
      <c r="B4221" t="s">
        <v>7581</v>
      </c>
      <c r="C4221">
        <v>37.243353251099997</v>
      </c>
      <c r="D4221">
        <v>-7.0183549112100003</v>
      </c>
      <c r="E4221">
        <v>4</v>
      </c>
      <c r="F4221">
        <v>3</v>
      </c>
      <c r="G4221">
        <v>4</v>
      </c>
      <c r="J4221" t="s">
        <v>15</v>
      </c>
      <c r="K4221">
        <v>4</v>
      </c>
      <c r="L4221">
        <v>4.0359999999999996</v>
      </c>
      <c r="M4221">
        <v>0</v>
      </c>
      <c r="N4221" t="s">
        <v>10019</v>
      </c>
      <c r="O4221" t="str">
        <f>HYPERLINK("4\1\marker_243_377817.png", "Ver Imagen")</f>
        <v>Ver Imagen</v>
      </c>
      <c r="P4221" t="str">
        <f>HYPERLINK("SE\A-497\A-497__335.png", "Ver Imagen")</f>
        <v>Ver Imagen</v>
      </c>
    </row>
    <row r="4222" spans="1:16" x14ac:dyDescent="0.25">
      <c r="A4222">
        <v>3787</v>
      </c>
      <c r="B4222" t="s">
        <v>7583</v>
      </c>
      <c r="C4222">
        <v>37.245421167400004</v>
      </c>
      <c r="D4222">
        <v>-7.0182808563699997</v>
      </c>
      <c r="E4222">
        <v>4</v>
      </c>
      <c r="F4222">
        <v>3</v>
      </c>
      <c r="G4222">
        <v>4</v>
      </c>
      <c r="J4222" t="s">
        <v>15</v>
      </c>
      <c r="K4222">
        <v>4</v>
      </c>
      <c r="L4222">
        <v>3.88</v>
      </c>
      <c r="M4222">
        <v>0</v>
      </c>
      <c r="N4222" t="s">
        <v>10019</v>
      </c>
      <c r="O4222" t="str">
        <f>HYPERLINK("4\1\marker_210_377916.png", "Ver Imagen")</f>
        <v>Ver Imagen</v>
      </c>
      <c r="P4222" t="str">
        <f>HYPERLINK("SE\A-497\A-497__325.png", "Ver Imagen")</f>
        <v>Ver Imagen</v>
      </c>
    </row>
    <row r="4223" spans="1:16" x14ac:dyDescent="0.25">
      <c r="A4223">
        <v>3788</v>
      </c>
      <c r="B4223" t="s">
        <v>7585</v>
      </c>
      <c r="C4223">
        <v>37.251642300999997</v>
      </c>
      <c r="D4223">
        <v>-7.01682977869</v>
      </c>
      <c r="E4223">
        <v>4</v>
      </c>
      <c r="F4223">
        <v>3</v>
      </c>
      <c r="G4223">
        <v>4</v>
      </c>
      <c r="J4223" t="s">
        <v>15</v>
      </c>
      <c r="K4223">
        <v>4</v>
      </c>
      <c r="L4223">
        <v>3.9350000000000001</v>
      </c>
      <c r="M4223">
        <v>0</v>
      </c>
      <c r="N4223" t="s">
        <v>10019</v>
      </c>
      <c r="O4223" t="str">
        <f>HYPERLINK("4\1\marker_670_378314.png", "Ver Imagen")</f>
        <v>Ver Imagen</v>
      </c>
      <c r="P4223" t="str">
        <f>HYPERLINK("SE\A-497\A-497__293.png", "Ver Imagen")</f>
        <v>Ver Imagen</v>
      </c>
    </row>
    <row r="4224" spans="1:16" x14ac:dyDescent="0.25">
      <c r="A4224">
        <v>3789</v>
      </c>
      <c r="B4224" t="s">
        <v>7587</v>
      </c>
      <c r="C4224">
        <v>37.255246076500001</v>
      </c>
      <c r="D4224">
        <v>-7.0145354844299996</v>
      </c>
      <c r="E4224">
        <v>4</v>
      </c>
      <c r="F4224">
        <v>3</v>
      </c>
      <c r="G4224">
        <v>4</v>
      </c>
      <c r="J4224" t="s">
        <v>15</v>
      </c>
      <c r="K4224">
        <v>4</v>
      </c>
      <c r="L4224">
        <v>4.1139999999999999</v>
      </c>
      <c r="M4224">
        <v>0</v>
      </c>
      <c r="N4224" t="s">
        <v>10019</v>
      </c>
      <c r="O4224" t="str">
        <f>HYPERLINK("4\1\marker_490_378549.png", "Ver Imagen")</f>
        <v>Ver Imagen</v>
      </c>
      <c r="P4224" t="str">
        <f>HYPERLINK("SE\A-497\A-497__273.png", "Ver Imagen")</f>
        <v>Ver Imagen</v>
      </c>
    </row>
    <row r="4225" spans="1:16" x14ac:dyDescent="0.25">
      <c r="A4225">
        <v>3790</v>
      </c>
      <c r="B4225" t="s">
        <v>7589</v>
      </c>
      <c r="C4225">
        <v>37.255796350300002</v>
      </c>
      <c r="D4225">
        <v>-7.01419036311</v>
      </c>
      <c r="E4225">
        <v>4</v>
      </c>
      <c r="F4225">
        <v>3</v>
      </c>
      <c r="G4225">
        <v>4</v>
      </c>
      <c r="J4225" t="s">
        <v>15</v>
      </c>
      <c r="K4225">
        <v>4</v>
      </c>
      <c r="L4225">
        <v>3.786</v>
      </c>
      <c r="M4225">
        <v>0</v>
      </c>
      <c r="N4225" t="s">
        <v>10019</v>
      </c>
      <c r="O4225" t="str">
        <f>HYPERLINK("4\1\marker_613_378583.png", "Ver Imagen")</f>
        <v>Ver Imagen</v>
      </c>
      <c r="P4225" t="str">
        <f>HYPERLINK("SE\A-497\A-497__270.png", "Ver Imagen")</f>
        <v>Ver Imagen</v>
      </c>
    </row>
    <row r="4226" spans="1:16" x14ac:dyDescent="0.25">
      <c r="A4226">
        <v>3795</v>
      </c>
      <c r="B4226" t="s">
        <v>7599</v>
      </c>
      <c r="C4226">
        <v>37.2712822839</v>
      </c>
      <c r="D4226">
        <v>-6.9839323385999998</v>
      </c>
      <c r="E4226">
        <v>5</v>
      </c>
      <c r="F4226">
        <v>4</v>
      </c>
      <c r="G4226">
        <v>4</v>
      </c>
      <c r="J4226" t="s">
        <v>15</v>
      </c>
      <c r="K4226">
        <v>4</v>
      </c>
      <c r="L4226">
        <v>4.0179999999999998</v>
      </c>
      <c r="M4226">
        <v>0</v>
      </c>
      <c r="N4226" t="s">
        <v>10019</v>
      </c>
      <c r="O4226" t="str">
        <f>HYPERLINK("4\1\marker_878_380677.png", "Ver Imagen")</f>
        <v>Ver Imagen</v>
      </c>
      <c r="P4226" t="str">
        <f>HYPERLINK("SE\A-497\A-497__114.png", "Ver Imagen")</f>
        <v>Ver Imagen</v>
      </c>
    </row>
    <row r="4227" spans="1:16" x14ac:dyDescent="0.25">
      <c r="A4227">
        <v>3799</v>
      </c>
      <c r="B4227" t="s">
        <v>7607</v>
      </c>
      <c r="C4227">
        <v>37.448608358900003</v>
      </c>
      <c r="D4227">
        <v>-7.1454678062600001</v>
      </c>
      <c r="E4227">
        <v>4</v>
      </c>
      <c r="F4227">
        <v>4</v>
      </c>
      <c r="G4227">
        <v>5</v>
      </c>
      <c r="J4227" t="s">
        <v>15</v>
      </c>
      <c r="K4227">
        <v>4</v>
      </c>
      <c r="L4227">
        <v>3.8889999999999998</v>
      </c>
      <c r="M4227">
        <v>0</v>
      </c>
      <c r="N4227" t="s">
        <v>10017</v>
      </c>
      <c r="O4227" t="str">
        <f>HYPERLINK("4\1\marker_856_738579.png", "Ver Imagen")</f>
        <v>Ver Imagen</v>
      </c>
      <c r="P4227" t="str">
        <f>HYPERLINK("NE\A-490\A-490__79.png", "Ver Imagen")</f>
        <v>Ver Imagen</v>
      </c>
    </row>
    <row r="4228" spans="1:16" x14ac:dyDescent="0.25">
      <c r="A4228">
        <v>3800</v>
      </c>
      <c r="B4228" t="s">
        <v>7609</v>
      </c>
      <c r="C4228">
        <v>37.464493792200003</v>
      </c>
      <c r="D4228">
        <v>-7.1794191304300004</v>
      </c>
      <c r="E4228">
        <v>4</v>
      </c>
      <c r="F4228">
        <v>4</v>
      </c>
      <c r="G4228">
        <v>5</v>
      </c>
      <c r="J4228" t="s">
        <v>15</v>
      </c>
      <c r="K4228">
        <v>4</v>
      </c>
      <c r="L4228">
        <v>3.992</v>
      </c>
      <c r="M4228">
        <v>0</v>
      </c>
      <c r="N4228" t="s">
        <v>10019</v>
      </c>
      <c r="O4228" t="str">
        <f>HYPERLINK("4\1\marker_196_744109.png", "Ver Imagen")</f>
        <v>Ver Imagen</v>
      </c>
      <c r="P4228" t="str">
        <f>HYPERLINK("NE\A-490\A-490__238.png", "Ver Imagen")</f>
        <v>Ver Imagen</v>
      </c>
    </row>
    <row r="4229" spans="1:16" x14ac:dyDescent="0.25">
      <c r="A4229">
        <v>3801</v>
      </c>
      <c r="B4229" t="s">
        <v>7611</v>
      </c>
      <c r="C4229">
        <v>37.466729768500002</v>
      </c>
      <c r="D4229">
        <v>-7.18354670103</v>
      </c>
      <c r="E4229">
        <v>4</v>
      </c>
      <c r="F4229">
        <v>4</v>
      </c>
      <c r="G4229">
        <v>5</v>
      </c>
      <c r="J4229" t="s">
        <v>15</v>
      </c>
      <c r="K4229">
        <v>4</v>
      </c>
      <c r="L4229">
        <v>4.1280000000000001</v>
      </c>
      <c r="M4229">
        <v>0</v>
      </c>
      <c r="N4229" t="s">
        <v>10018</v>
      </c>
      <c r="O4229" t="str">
        <f>HYPERLINK("4\1\marker_577_749660.png", "Ver Imagen")</f>
        <v>Ver Imagen</v>
      </c>
      <c r="P4229" t="str">
        <f>HYPERLINK("NE\A-490\A-490__258.png", "Ver Imagen")</f>
        <v>Ver Imagen</v>
      </c>
    </row>
    <row r="4230" spans="1:16" x14ac:dyDescent="0.25">
      <c r="A4230">
        <v>3801</v>
      </c>
      <c r="B4230" t="s">
        <v>7611</v>
      </c>
      <c r="C4230">
        <v>37.466729768500002</v>
      </c>
      <c r="D4230">
        <v>-7.18354670103</v>
      </c>
      <c r="E4230">
        <v>4</v>
      </c>
      <c r="F4230">
        <v>4</v>
      </c>
      <c r="G4230">
        <v>5</v>
      </c>
      <c r="J4230" t="s">
        <v>15</v>
      </c>
      <c r="K4230">
        <v>4</v>
      </c>
      <c r="L4230">
        <v>4.0119999999999996</v>
      </c>
      <c r="M4230">
        <v>0</v>
      </c>
      <c r="N4230" t="s">
        <v>10018</v>
      </c>
      <c r="O4230" t="str">
        <f>HYPERLINK("4\1\marker_577_749660.png", "Ver Imagen")</f>
        <v>Ver Imagen</v>
      </c>
      <c r="P4230" t="str">
        <f>HYPERLINK("NO\A-490\A-490__258.png", "Ver Imagen")</f>
        <v>Ver Imagen</v>
      </c>
    </row>
    <row r="4231" spans="1:16" x14ac:dyDescent="0.25">
      <c r="A4231">
        <v>3802</v>
      </c>
      <c r="B4231" t="s">
        <v>7613</v>
      </c>
      <c r="C4231">
        <v>37.490103055699997</v>
      </c>
      <c r="D4231">
        <v>-7.2592219176999997</v>
      </c>
      <c r="E4231">
        <v>4</v>
      </c>
      <c r="F4231">
        <v>4</v>
      </c>
      <c r="G4231">
        <v>5</v>
      </c>
      <c r="J4231" t="s">
        <v>15</v>
      </c>
      <c r="K4231">
        <v>4</v>
      </c>
      <c r="L4231">
        <v>4.0209999999999999</v>
      </c>
      <c r="M4231">
        <v>0</v>
      </c>
      <c r="N4231" t="s">
        <v>10019</v>
      </c>
      <c r="O4231" t="str">
        <f>HYPERLINK("4\1\marker_178_819564.png", "Ver Imagen")</f>
        <v>Ver Imagen</v>
      </c>
      <c r="P4231" t="str">
        <f>HYPERLINK("NO\A-490\A-490__586.png", "Ver Imagen")</f>
        <v>Ver Imagen</v>
      </c>
    </row>
    <row r="4232" spans="1:16" x14ac:dyDescent="0.25">
      <c r="A4232">
        <v>3803</v>
      </c>
      <c r="B4232" t="s">
        <v>7615</v>
      </c>
      <c r="C4232">
        <v>37.273564581199999</v>
      </c>
      <c r="D4232">
        <v>-6.99126632705</v>
      </c>
      <c r="E4232">
        <v>4</v>
      </c>
      <c r="F4232">
        <v>4</v>
      </c>
      <c r="G4232">
        <v>5</v>
      </c>
      <c r="J4232" t="s">
        <v>15</v>
      </c>
      <c r="K4232">
        <v>4</v>
      </c>
      <c r="L4232">
        <v>3.7109999999999999</v>
      </c>
      <c r="M4232">
        <v>0</v>
      </c>
      <c r="N4232" t="s">
        <v>10019</v>
      </c>
      <c r="O4232" t="str">
        <f>HYPERLINK("4\1\marker_311_821901.png", "Ver Imagen")</f>
        <v>Ver Imagen</v>
      </c>
      <c r="P4232" t="str">
        <f>HYPERLINK("SE\A-492\A-492__11.png", "Ver Imagen")</f>
        <v>Ver Imagen</v>
      </c>
    </row>
    <row r="4233" spans="1:16" x14ac:dyDescent="0.25">
      <c r="A4233">
        <v>3804</v>
      </c>
      <c r="B4233" t="s">
        <v>7617</v>
      </c>
      <c r="C4233">
        <v>37.276055164600002</v>
      </c>
      <c r="D4233">
        <v>-6.9908467110599997</v>
      </c>
      <c r="E4233">
        <v>4</v>
      </c>
      <c r="F4233">
        <v>4</v>
      </c>
      <c r="G4233">
        <v>5</v>
      </c>
      <c r="J4233" t="s">
        <v>15</v>
      </c>
      <c r="K4233">
        <v>4</v>
      </c>
      <c r="L4233">
        <v>3.61</v>
      </c>
      <c r="M4233">
        <v>0</v>
      </c>
      <c r="N4233" t="s">
        <v>10019</v>
      </c>
      <c r="O4233" t="str">
        <f>HYPERLINK("4\1\marker_631_822082.png", "Ver Imagen")</f>
        <v>Ver Imagen</v>
      </c>
      <c r="P4233" t="str">
        <f>HYPERLINK("SE\A-492\A-492__24.png", "Ver Imagen")</f>
        <v>Ver Imagen</v>
      </c>
    </row>
    <row r="4234" spans="1:16" x14ac:dyDescent="0.25">
      <c r="A4234">
        <v>3805</v>
      </c>
      <c r="B4234" t="s">
        <v>7619</v>
      </c>
      <c r="C4234">
        <v>37.280086998400002</v>
      </c>
      <c r="D4234">
        <v>-6.9994781365399996</v>
      </c>
      <c r="E4234">
        <v>5</v>
      </c>
      <c r="F4234">
        <v>4</v>
      </c>
      <c r="G4234">
        <v>4</v>
      </c>
      <c r="J4234" t="s">
        <v>15</v>
      </c>
      <c r="K4234">
        <v>4</v>
      </c>
      <c r="L4234">
        <v>3.5939999999999999</v>
      </c>
      <c r="M4234">
        <v>0</v>
      </c>
      <c r="N4234" t="s">
        <v>10019</v>
      </c>
      <c r="O4234" t="str">
        <f>HYPERLINK("4\1\marker_769_823218.png", "Ver Imagen")</f>
        <v>Ver Imagen</v>
      </c>
      <c r="P4234" t="str">
        <f>HYPERLINK("SE\A-492\A-492__66.png", "Ver Imagen")</f>
        <v>Ver Imagen</v>
      </c>
    </row>
    <row r="4235" spans="1:16" x14ac:dyDescent="0.25">
      <c r="A4235">
        <v>3806</v>
      </c>
      <c r="B4235" t="s">
        <v>7621</v>
      </c>
      <c r="C4235">
        <v>37.2802182378</v>
      </c>
      <c r="D4235">
        <v>-6.9999257012799996</v>
      </c>
      <c r="E4235">
        <v>5</v>
      </c>
      <c r="F4235">
        <v>4</v>
      </c>
      <c r="G4235">
        <v>4</v>
      </c>
      <c r="J4235" t="s">
        <v>15</v>
      </c>
      <c r="K4235">
        <v>4</v>
      </c>
      <c r="L4235">
        <v>4.069</v>
      </c>
      <c r="M4235">
        <v>0</v>
      </c>
      <c r="N4235" t="s">
        <v>10018</v>
      </c>
      <c r="O4235" t="str">
        <f>HYPERLINK("4\1\marker_622_823261.png", "Ver Imagen")</f>
        <v>Ver Imagen</v>
      </c>
      <c r="P4235" t="str">
        <f>HYPERLINK("SE\A-492\A-492__68.png", "Ver Imagen")</f>
        <v>Ver Imagen</v>
      </c>
    </row>
    <row r="4236" spans="1:16" x14ac:dyDescent="0.25">
      <c r="A4236">
        <v>3807</v>
      </c>
      <c r="B4236" t="s">
        <v>7623</v>
      </c>
      <c r="C4236">
        <v>37.4539103177</v>
      </c>
      <c r="D4236">
        <v>-7.1125578029499996</v>
      </c>
      <c r="E4236">
        <v>5</v>
      </c>
      <c r="F4236">
        <v>4</v>
      </c>
      <c r="G4236">
        <v>4</v>
      </c>
      <c r="J4236" t="s">
        <v>15</v>
      </c>
      <c r="K4236">
        <v>4</v>
      </c>
      <c r="L4236">
        <v>4.3079999999999998</v>
      </c>
      <c r="M4236">
        <v>0</v>
      </c>
      <c r="N4236" t="s">
        <v>10017</v>
      </c>
      <c r="O4236" t="str">
        <f>HYPERLINK("4\1\marker_553_935683.png", "Ver Imagen")</f>
        <v>Ver Imagen</v>
      </c>
      <c r="P4236" t="str">
        <f>HYPERLINK("NE\A-495R\A-495R__48.png", "Ver Imagen")</f>
        <v>Ver Imagen</v>
      </c>
    </row>
    <row r="4237" spans="1:16" x14ac:dyDescent="0.25">
      <c r="A4237">
        <v>3808</v>
      </c>
      <c r="B4237" t="s">
        <v>7625</v>
      </c>
      <c r="C4237">
        <v>37.453527905000001</v>
      </c>
      <c r="D4237">
        <v>-7.1123490303999999</v>
      </c>
      <c r="E4237">
        <v>4</v>
      </c>
      <c r="F4237">
        <v>4</v>
      </c>
      <c r="G4237">
        <v>5</v>
      </c>
      <c r="J4237" t="s">
        <v>15</v>
      </c>
      <c r="K4237">
        <v>4</v>
      </c>
      <c r="L4237">
        <v>4.2210000000000001</v>
      </c>
      <c r="M4237">
        <v>0</v>
      </c>
      <c r="O4237" t="str">
        <f>HYPERLINK("4\1\marker_710_935703.png", "Ver Imagen")</f>
        <v>Ver Imagen</v>
      </c>
      <c r="P4237" t="str">
        <f>HYPERLINK("NE\A-495R\A-495R__46.png", "Ver Imagen")</f>
        <v>Ver Imagen</v>
      </c>
    </row>
    <row r="4238" spans="1:16" x14ac:dyDescent="0.25">
      <c r="A4238">
        <v>3809</v>
      </c>
      <c r="B4238" t="s">
        <v>7627</v>
      </c>
      <c r="C4238">
        <v>37.450018553900001</v>
      </c>
      <c r="D4238">
        <v>-7.11038754454</v>
      </c>
      <c r="E4238">
        <v>4</v>
      </c>
      <c r="F4238">
        <v>4</v>
      </c>
      <c r="G4238">
        <v>5</v>
      </c>
      <c r="J4238" t="s">
        <v>15</v>
      </c>
      <c r="K4238">
        <v>4</v>
      </c>
      <c r="L4238">
        <v>3.798</v>
      </c>
      <c r="M4238">
        <v>0</v>
      </c>
      <c r="N4238" t="s">
        <v>10019</v>
      </c>
      <c r="O4238" t="str">
        <f>HYPERLINK("4\1\marker_662_936653.png", "Ver Imagen")</f>
        <v>Ver Imagen</v>
      </c>
      <c r="P4238" t="str">
        <f>HYPERLINK("NE\A-495R\A-495R__27.png", "Ver Imagen")</f>
        <v>Ver Imagen</v>
      </c>
    </row>
    <row r="4239" spans="1:16" x14ac:dyDescent="0.25">
      <c r="A4239">
        <v>3810</v>
      </c>
      <c r="B4239" t="s">
        <v>7629</v>
      </c>
      <c r="C4239">
        <v>37.449829983500003</v>
      </c>
      <c r="D4239">
        <v>-7.1103189797599997</v>
      </c>
      <c r="E4239">
        <v>4</v>
      </c>
      <c r="F4239">
        <v>4</v>
      </c>
      <c r="G4239">
        <v>5</v>
      </c>
      <c r="J4239" t="s">
        <v>15</v>
      </c>
      <c r="K4239">
        <v>4</v>
      </c>
      <c r="L4239">
        <v>3.6680000000000001</v>
      </c>
      <c r="M4239">
        <v>0</v>
      </c>
      <c r="N4239" t="s">
        <v>10019</v>
      </c>
      <c r="O4239" t="str">
        <f>HYPERLINK("4\1\marker_716_936668.png", "Ver Imagen")</f>
        <v>Ver Imagen</v>
      </c>
      <c r="P4239" t="str">
        <f>HYPERLINK("NE\A-495R\A-495R__26.png", "Ver Imagen")</f>
        <v>Ver Imagen</v>
      </c>
    </row>
    <row r="4240" spans="1:16" x14ac:dyDescent="0.25">
      <c r="A4240">
        <v>3811</v>
      </c>
      <c r="B4240" t="s">
        <v>7631</v>
      </c>
      <c r="C4240">
        <v>37.449635384499999</v>
      </c>
      <c r="D4240">
        <v>-7.1102255797199998</v>
      </c>
      <c r="E4240">
        <v>4</v>
      </c>
      <c r="F4240">
        <v>4</v>
      </c>
      <c r="G4240">
        <v>5</v>
      </c>
      <c r="J4240" t="s">
        <v>15</v>
      </c>
      <c r="K4240">
        <v>4</v>
      </c>
      <c r="L4240">
        <v>3.8410000000000002</v>
      </c>
      <c r="M4240">
        <v>0</v>
      </c>
      <c r="N4240" t="s">
        <v>10019</v>
      </c>
      <c r="O4240" t="str">
        <f>HYPERLINK("4\1\marker_770_936677.png", "Ver Imagen")</f>
        <v>Ver Imagen</v>
      </c>
      <c r="P4240" t="str">
        <f>HYPERLINK("NE\A-495R\A-495R__25.png", "Ver Imagen")</f>
        <v>Ver Imagen</v>
      </c>
    </row>
    <row r="4241" spans="1:16" x14ac:dyDescent="0.25">
      <c r="A4241">
        <v>3813</v>
      </c>
      <c r="B4241" t="s">
        <v>7635</v>
      </c>
      <c r="C4241">
        <v>37.268378359099998</v>
      </c>
      <c r="D4241">
        <v>-6.9730776348000001</v>
      </c>
      <c r="E4241">
        <v>4</v>
      </c>
      <c r="F4241">
        <v>4</v>
      </c>
      <c r="G4241">
        <v>5</v>
      </c>
      <c r="J4241" t="s">
        <v>15</v>
      </c>
      <c r="K4241">
        <v>4</v>
      </c>
      <c r="L4241">
        <v>3.7290000000000001</v>
      </c>
      <c r="M4241">
        <v>0</v>
      </c>
      <c r="N4241" t="s">
        <v>10019</v>
      </c>
      <c r="O4241" t="str">
        <f>HYPERLINK("4\1\marker_449_938053.png", "Ver Imagen")</f>
        <v>Ver Imagen</v>
      </c>
      <c r="P4241" t="str">
        <f>HYPERLINK("SE\A-497\A-497__69.png", "Ver Imagen")</f>
        <v>Ver Imagen</v>
      </c>
    </row>
    <row r="4242" spans="1:16" x14ac:dyDescent="0.25">
      <c r="A4242">
        <v>3814</v>
      </c>
      <c r="B4242" t="s">
        <v>7637</v>
      </c>
      <c r="C4242">
        <v>37.495462736699999</v>
      </c>
      <c r="D4242">
        <v>-7.2692276577500001</v>
      </c>
      <c r="E4242">
        <v>4</v>
      </c>
      <c r="F4242">
        <v>4</v>
      </c>
      <c r="G4242">
        <v>5</v>
      </c>
      <c r="J4242" t="s">
        <v>15</v>
      </c>
      <c r="K4242">
        <v>4</v>
      </c>
      <c r="L4242">
        <v>4.0810000000000004</v>
      </c>
      <c r="M4242">
        <v>0</v>
      </c>
      <c r="N4242" t="s">
        <v>10019</v>
      </c>
      <c r="O4242" t="str">
        <f>HYPERLINK("4\1\marker_832_789085.png", "Ver Imagen")</f>
        <v>Ver Imagen</v>
      </c>
      <c r="P4242" t="str">
        <f>HYPERLINK("NO\A-499\A-499__74.png", "Ver Imagen")</f>
        <v>Ver Imagen</v>
      </c>
    </row>
    <row r="4243" spans="1:16" x14ac:dyDescent="0.25">
      <c r="A4243">
        <v>3816</v>
      </c>
      <c r="B4243" t="s">
        <v>7641</v>
      </c>
      <c r="C4243">
        <v>37.4669439113</v>
      </c>
      <c r="D4243">
        <v>-7.1839806036600002</v>
      </c>
      <c r="E4243">
        <v>3</v>
      </c>
      <c r="F4243">
        <v>4</v>
      </c>
      <c r="G4243">
        <v>4</v>
      </c>
      <c r="J4243" t="s">
        <v>15</v>
      </c>
      <c r="K4243">
        <v>4</v>
      </c>
      <c r="L4243">
        <v>3.8130000000000002</v>
      </c>
      <c r="M4243">
        <v>0</v>
      </c>
      <c r="N4243" t="s">
        <v>10019</v>
      </c>
      <c r="O4243" t="str">
        <f>HYPERLINK("4\1\marker_466_749698.png", "Ver Imagen")</f>
        <v>Ver Imagen</v>
      </c>
      <c r="P4243" t="str">
        <f>HYPERLINK("NE\A-490\A-490__260.png", "Ver Imagen")</f>
        <v>Ver Imagen</v>
      </c>
    </row>
    <row r="4244" spans="1:16" x14ac:dyDescent="0.25">
      <c r="A4244">
        <v>3816</v>
      </c>
      <c r="B4244" t="s">
        <v>7641</v>
      </c>
      <c r="C4244">
        <v>37.4669439113</v>
      </c>
      <c r="D4244">
        <v>-7.1839806036600002</v>
      </c>
      <c r="E4244">
        <v>3</v>
      </c>
      <c r="F4244">
        <v>4</v>
      </c>
      <c r="G4244">
        <v>4</v>
      </c>
      <c r="J4244" t="s">
        <v>15</v>
      </c>
      <c r="K4244">
        <v>4</v>
      </c>
      <c r="L4244">
        <v>4.4349999999999996</v>
      </c>
      <c r="M4244">
        <v>0</v>
      </c>
      <c r="N4244" t="s">
        <v>10019</v>
      </c>
      <c r="O4244" t="str">
        <f>HYPERLINK("4\1\marker_466_749698.png", "Ver Imagen")</f>
        <v>Ver Imagen</v>
      </c>
      <c r="P4244" t="str">
        <f>HYPERLINK("NO\A-490\A-490__260.png", "Ver Imagen")</f>
        <v>Ver Imagen</v>
      </c>
    </row>
    <row r="4245" spans="1:16" x14ac:dyDescent="0.25">
      <c r="A4245">
        <v>3817</v>
      </c>
      <c r="B4245" t="s">
        <v>7643</v>
      </c>
      <c r="C4245">
        <v>37.273410440500001</v>
      </c>
      <c r="D4245">
        <v>-6.9913537851700003</v>
      </c>
      <c r="E4245">
        <v>3</v>
      </c>
      <c r="F4245">
        <v>4</v>
      </c>
      <c r="G4245">
        <v>4</v>
      </c>
      <c r="J4245" t="s">
        <v>15</v>
      </c>
      <c r="K4245">
        <v>4</v>
      </c>
      <c r="L4245">
        <v>3.7879999999999998</v>
      </c>
      <c r="M4245">
        <v>0</v>
      </c>
      <c r="N4245" t="s">
        <v>10019</v>
      </c>
      <c r="O4245" t="str">
        <f>HYPERLINK("4\1\marker_861_821884.png", "Ver Imagen")</f>
        <v>Ver Imagen</v>
      </c>
      <c r="P4245" t="str">
        <f>HYPERLINK("SE\A-492\A-492__10.png", "Ver Imagen")</f>
        <v>Ver Imagen</v>
      </c>
    </row>
    <row r="4246" spans="1:16" x14ac:dyDescent="0.25">
      <c r="A4246">
        <v>3818</v>
      </c>
      <c r="B4246" t="s">
        <v>7645</v>
      </c>
      <c r="C4246">
        <v>37.274963627399998</v>
      </c>
      <c r="D4246">
        <v>-6.9911985076100001</v>
      </c>
      <c r="E4246">
        <v>3</v>
      </c>
      <c r="F4246">
        <v>4</v>
      </c>
      <c r="G4246">
        <v>4</v>
      </c>
      <c r="J4246" t="s">
        <v>15</v>
      </c>
      <c r="K4246">
        <v>4</v>
      </c>
      <c r="L4246">
        <v>3.7450000000000001</v>
      </c>
      <c r="M4246">
        <v>0</v>
      </c>
      <c r="N4246" t="s">
        <v>10019</v>
      </c>
      <c r="O4246" t="str">
        <f>HYPERLINK("4\1\marker_494_821998.png", "Ver Imagen")</f>
        <v>Ver Imagen</v>
      </c>
      <c r="P4246" t="str">
        <f>HYPERLINK("SE\A-492\A-492__18.png", "Ver Imagen")</f>
        <v>Ver Imagen</v>
      </c>
    </row>
    <row r="4247" spans="1:16" x14ac:dyDescent="0.25">
      <c r="A4247">
        <v>3820</v>
      </c>
      <c r="B4247" t="s">
        <v>7649</v>
      </c>
      <c r="C4247">
        <v>37.276536661400002</v>
      </c>
      <c r="D4247">
        <v>-6.9913859504699998</v>
      </c>
      <c r="E4247">
        <v>3</v>
      </c>
      <c r="F4247">
        <v>4</v>
      </c>
      <c r="G4247">
        <v>4</v>
      </c>
      <c r="J4247" t="s">
        <v>15</v>
      </c>
      <c r="K4247">
        <v>4</v>
      </c>
      <c r="L4247">
        <v>3.7069999999999999</v>
      </c>
      <c r="M4247">
        <v>0</v>
      </c>
      <c r="N4247" t="s">
        <v>10019</v>
      </c>
      <c r="O4247" t="str">
        <f>HYPERLINK("4\1\marker_328_822262.png", "Ver Imagen")</f>
        <v>Ver Imagen</v>
      </c>
      <c r="P4247" t="str">
        <f>HYPERLINK("SE\A-492\A-492__28.png", "Ver Imagen")</f>
        <v>Ver Imagen</v>
      </c>
    </row>
    <row r="4248" spans="1:16" x14ac:dyDescent="0.25">
      <c r="A4248">
        <v>3821</v>
      </c>
      <c r="B4248" t="s">
        <v>7651</v>
      </c>
      <c r="C4248">
        <v>37.2769009565</v>
      </c>
      <c r="D4248">
        <v>-6.9916723308200002</v>
      </c>
      <c r="E4248">
        <v>3</v>
      </c>
      <c r="F4248">
        <v>4</v>
      </c>
      <c r="G4248">
        <v>4</v>
      </c>
      <c r="J4248" t="s">
        <v>15</v>
      </c>
      <c r="K4248">
        <v>4</v>
      </c>
      <c r="L4248">
        <v>3.9489999999999998</v>
      </c>
      <c r="M4248">
        <v>0</v>
      </c>
      <c r="N4248" t="s">
        <v>10019</v>
      </c>
      <c r="O4248" t="str">
        <f>HYPERLINK("4\1\marker_630_822310.png", "Ver Imagen")</f>
        <v>Ver Imagen</v>
      </c>
      <c r="P4248" t="str">
        <f>HYPERLINK("SE\A-492\A-492__30.png", "Ver Imagen")</f>
        <v>Ver Imagen</v>
      </c>
    </row>
    <row r="4249" spans="1:16" x14ac:dyDescent="0.25">
      <c r="A4249">
        <v>3822</v>
      </c>
      <c r="B4249" t="s">
        <v>7653</v>
      </c>
      <c r="C4249">
        <v>37.277730987600002</v>
      </c>
      <c r="D4249">
        <v>-6.9924025800600003</v>
      </c>
      <c r="E4249">
        <v>4</v>
      </c>
      <c r="F4249">
        <v>4</v>
      </c>
      <c r="G4249">
        <v>3</v>
      </c>
      <c r="J4249" t="s">
        <v>15</v>
      </c>
      <c r="K4249">
        <v>4</v>
      </c>
      <c r="L4249">
        <v>3.7250000000000001</v>
      </c>
      <c r="M4249">
        <v>0</v>
      </c>
      <c r="N4249" t="s">
        <v>10019</v>
      </c>
      <c r="O4249" t="str">
        <f>HYPERLINK("4\1\marker_888_822655.png", "Ver Imagen")</f>
        <v>Ver Imagen</v>
      </c>
      <c r="P4249" t="str">
        <f>HYPERLINK("SE\A-492\A-492__35.png", "Ver Imagen")</f>
        <v>Ver Imagen</v>
      </c>
    </row>
    <row r="4250" spans="1:16" x14ac:dyDescent="0.25">
      <c r="A4250">
        <v>3823</v>
      </c>
      <c r="B4250" t="s">
        <v>7655</v>
      </c>
      <c r="C4250">
        <v>37.2803935102</v>
      </c>
      <c r="D4250">
        <v>-7.0049959122800001</v>
      </c>
      <c r="E4250">
        <v>3</v>
      </c>
      <c r="F4250">
        <v>4</v>
      </c>
      <c r="G4250">
        <v>4</v>
      </c>
      <c r="J4250" t="s">
        <v>15</v>
      </c>
      <c r="K4250">
        <v>4</v>
      </c>
      <c r="L4250">
        <v>3.82</v>
      </c>
      <c r="M4250">
        <v>0</v>
      </c>
      <c r="N4250" t="s">
        <v>10019</v>
      </c>
      <c r="O4250" t="str">
        <f>HYPERLINK("4\1\marker_503_823617.png", "Ver Imagen")</f>
        <v>Ver Imagen</v>
      </c>
      <c r="P4250" t="str">
        <f>HYPERLINK("SE\A-492\A-492__90.png", "Ver Imagen")</f>
        <v>Ver Imagen</v>
      </c>
    </row>
    <row r="4251" spans="1:16" x14ac:dyDescent="0.25">
      <c r="A4251">
        <v>3826</v>
      </c>
      <c r="B4251" t="s">
        <v>7661</v>
      </c>
      <c r="C4251">
        <v>37.456941445299996</v>
      </c>
      <c r="D4251">
        <v>-7.1138876700300004</v>
      </c>
      <c r="E4251">
        <v>3</v>
      </c>
      <c r="F4251">
        <v>4</v>
      </c>
      <c r="G4251">
        <v>4</v>
      </c>
      <c r="J4251" t="s">
        <v>15</v>
      </c>
      <c r="K4251">
        <v>4</v>
      </c>
      <c r="L4251">
        <v>4.048</v>
      </c>
      <c r="M4251">
        <v>0</v>
      </c>
      <c r="N4251" t="s">
        <v>10019</v>
      </c>
      <c r="O4251" t="str">
        <f>HYPERLINK("4\1\marker_576_935397.png", "Ver Imagen")</f>
        <v>Ver Imagen</v>
      </c>
      <c r="P4251" t="str">
        <f>HYPERLINK("NE\A-495R\A-495R__64.png", "Ver Imagen")</f>
        <v>Ver Imagen</v>
      </c>
    </row>
    <row r="4252" spans="1:16" x14ac:dyDescent="0.25">
      <c r="A4252">
        <v>3827</v>
      </c>
      <c r="B4252" t="s">
        <v>7663</v>
      </c>
      <c r="C4252">
        <v>37.456364687899999</v>
      </c>
      <c r="D4252">
        <v>-7.1136770981200002</v>
      </c>
      <c r="E4252">
        <v>4</v>
      </c>
      <c r="F4252">
        <v>4</v>
      </c>
      <c r="G4252">
        <v>3</v>
      </c>
      <c r="J4252" t="s">
        <v>15</v>
      </c>
      <c r="K4252">
        <v>4</v>
      </c>
      <c r="L4252">
        <v>4.3209999999999997</v>
      </c>
      <c r="M4252">
        <v>0</v>
      </c>
      <c r="O4252" t="str">
        <f>HYPERLINK("4\1\marker_725_935511.png", "Ver Imagen")</f>
        <v>Ver Imagen</v>
      </c>
      <c r="P4252" t="str">
        <f>HYPERLINK("NE\A-495R\A-495R__61.png", "Ver Imagen")</f>
        <v>Ver Imagen</v>
      </c>
    </row>
    <row r="4253" spans="1:16" x14ac:dyDescent="0.25">
      <c r="A4253">
        <v>3828</v>
      </c>
      <c r="B4253" t="s">
        <v>7665</v>
      </c>
      <c r="C4253">
        <v>37.4559509523</v>
      </c>
      <c r="D4253">
        <v>-7.1135260763700003</v>
      </c>
      <c r="E4253">
        <v>4</v>
      </c>
      <c r="F4253">
        <v>4</v>
      </c>
      <c r="G4253">
        <v>3</v>
      </c>
      <c r="J4253" t="s">
        <v>15</v>
      </c>
      <c r="K4253">
        <v>4</v>
      </c>
      <c r="L4253">
        <v>4.1239999999999997</v>
      </c>
      <c r="M4253">
        <v>0</v>
      </c>
      <c r="N4253" t="s">
        <v>10019</v>
      </c>
      <c r="O4253" t="str">
        <f>HYPERLINK("4\1\marker_778_935563.png", "Ver Imagen")</f>
        <v>Ver Imagen</v>
      </c>
      <c r="P4253" t="str">
        <f>HYPERLINK("NE\A-495R\A-495R__59.png", "Ver Imagen")</f>
        <v>Ver Imagen</v>
      </c>
    </row>
    <row r="4254" spans="1:16" x14ac:dyDescent="0.25">
      <c r="A4254">
        <v>3829</v>
      </c>
      <c r="B4254" t="s">
        <v>7667</v>
      </c>
      <c r="C4254">
        <v>37.453316470200001</v>
      </c>
      <c r="D4254">
        <v>-7.1122360126200004</v>
      </c>
      <c r="E4254">
        <v>3</v>
      </c>
      <c r="F4254">
        <v>4</v>
      </c>
      <c r="G4254">
        <v>4</v>
      </c>
      <c r="J4254" t="s">
        <v>15</v>
      </c>
      <c r="K4254">
        <v>4</v>
      </c>
      <c r="L4254">
        <v>4.0010000000000003</v>
      </c>
      <c r="M4254">
        <v>0</v>
      </c>
      <c r="O4254" t="str">
        <f>HYPERLINK("4\1\marker_611_935713.png", "Ver Imagen")</f>
        <v>Ver Imagen</v>
      </c>
      <c r="P4254" t="str">
        <f>HYPERLINK("NE\A-495R\A-495R__45.png", "Ver Imagen")</f>
        <v>Ver Imagen</v>
      </c>
    </row>
    <row r="4255" spans="1:16" x14ac:dyDescent="0.25">
      <c r="A4255">
        <v>3830</v>
      </c>
      <c r="B4255" t="s">
        <v>7669</v>
      </c>
      <c r="C4255">
        <v>37.452961085600002</v>
      </c>
      <c r="D4255">
        <v>-7.11204652218</v>
      </c>
      <c r="E4255">
        <v>3</v>
      </c>
      <c r="F4255">
        <v>4</v>
      </c>
      <c r="G4255">
        <v>4</v>
      </c>
      <c r="J4255" t="s">
        <v>15</v>
      </c>
      <c r="K4255">
        <v>4</v>
      </c>
      <c r="L4255">
        <v>3.613</v>
      </c>
      <c r="M4255">
        <v>0</v>
      </c>
      <c r="N4255" t="s">
        <v>10019</v>
      </c>
      <c r="O4255" t="str">
        <f>HYPERLINK("4\1\marker_117_935730.png", "Ver Imagen")</f>
        <v>Ver Imagen</v>
      </c>
      <c r="P4255" t="str">
        <f>HYPERLINK("NE\A-495R\A-495R__43.png", "Ver Imagen")</f>
        <v>Ver Imagen</v>
      </c>
    </row>
    <row r="4256" spans="1:16" x14ac:dyDescent="0.25">
      <c r="A4256">
        <v>3831</v>
      </c>
      <c r="B4256" t="s">
        <v>7671</v>
      </c>
      <c r="C4256">
        <v>37.452212971500003</v>
      </c>
      <c r="D4256">
        <v>-7.11163461714</v>
      </c>
      <c r="E4256">
        <v>3</v>
      </c>
      <c r="F4256">
        <v>4</v>
      </c>
      <c r="G4256">
        <v>4</v>
      </c>
      <c r="J4256" t="s">
        <v>15</v>
      </c>
      <c r="K4256">
        <v>4</v>
      </c>
      <c r="L4256">
        <v>3.794</v>
      </c>
      <c r="M4256">
        <v>0</v>
      </c>
      <c r="N4256" t="s">
        <v>10019</v>
      </c>
      <c r="O4256" t="str">
        <f>HYPERLINK("4\1\marker_931_936532.png", "Ver Imagen")</f>
        <v>Ver Imagen</v>
      </c>
      <c r="P4256" t="str">
        <f>HYPERLINK("NE\A-495R\A-495R__39.png", "Ver Imagen")</f>
        <v>Ver Imagen</v>
      </c>
    </row>
    <row r="4257" spans="1:16" x14ac:dyDescent="0.25">
      <c r="A4257">
        <v>3832</v>
      </c>
      <c r="B4257" t="s">
        <v>7673</v>
      </c>
      <c r="C4257">
        <v>37.449081056300003</v>
      </c>
      <c r="D4257">
        <v>-7.1099196238299998</v>
      </c>
      <c r="E4257">
        <v>3</v>
      </c>
      <c r="F4257">
        <v>4</v>
      </c>
      <c r="G4257">
        <v>4</v>
      </c>
      <c r="J4257" t="s">
        <v>15</v>
      </c>
      <c r="K4257">
        <v>4</v>
      </c>
      <c r="L4257">
        <v>3.75</v>
      </c>
      <c r="M4257">
        <v>0</v>
      </c>
      <c r="O4257" t="str">
        <f>HYPERLINK("4\1\marker_940_936708.png", "Ver Imagen")</f>
        <v>Ver Imagen</v>
      </c>
      <c r="P4257" t="str">
        <f>HYPERLINK("NE\A-495R\A-495R__22.png", "Ver Imagen")</f>
        <v>Ver Imagen</v>
      </c>
    </row>
    <row r="4258" spans="1:16" x14ac:dyDescent="0.25">
      <c r="A4258">
        <v>3833</v>
      </c>
      <c r="B4258" t="s">
        <v>7675</v>
      </c>
      <c r="C4258">
        <v>37.268163879500001</v>
      </c>
      <c r="D4258">
        <v>-6.9718693588000002</v>
      </c>
      <c r="E4258">
        <v>4</v>
      </c>
      <c r="F4258">
        <v>4</v>
      </c>
      <c r="G4258">
        <v>3</v>
      </c>
      <c r="J4258" t="s">
        <v>15</v>
      </c>
      <c r="K4258">
        <v>4</v>
      </c>
      <c r="L4258">
        <v>3.8130000000000002</v>
      </c>
      <c r="M4258">
        <v>0</v>
      </c>
      <c r="N4258" t="s">
        <v>10019</v>
      </c>
      <c r="O4258" t="str">
        <f>HYPERLINK("4\1\marker_960_938215.png", "Ver Imagen")</f>
        <v>Ver Imagen</v>
      </c>
      <c r="P4258" t="str">
        <f>HYPERLINK("SE\A-497\A-497__64.png", "Ver Imagen")</f>
        <v>Ver Imagen</v>
      </c>
    </row>
    <row r="4259" spans="1:16" x14ac:dyDescent="0.25">
      <c r="A4259">
        <v>3834</v>
      </c>
      <c r="B4259" t="s">
        <v>7677</v>
      </c>
      <c r="C4259">
        <v>37.266655398300003</v>
      </c>
      <c r="D4259">
        <v>-6.9574632845500002</v>
      </c>
      <c r="E4259">
        <v>3</v>
      </c>
      <c r="F4259">
        <v>4</v>
      </c>
      <c r="G4259">
        <v>4</v>
      </c>
      <c r="J4259" t="s">
        <v>15</v>
      </c>
      <c r="K4259">
        <v>4</v>
      </c>
      <c r="L4259">
        <v>3.915</v>
      </c>
      <c r="M4259">
        <v>0</v>
      </c>
      <c r="N4259" t="s">
        <v>10019</v>
      </c>
      <c r="O4259" t="str">
        <f>HYPERLINK("4\1\marker_854_944017.png", "Ver Imagen")</f>
        <v>Ver Imagen</v>
      </c>
      <c r="P4259" t="str">
        <f>HYPERLINK("SE\A-497\A-497__6.png", "Ver Imagen")</f>
        <v>Ver Imagen</v>
      </c>
    </row>
    <row r="4260" spans="1:16" x14ac:dyDescent="0.25">
      <c r="A4260">
        <v>3835</v>
      </c>
      <c r="B4260" t="s">
        <v>7679</v>
      </c>
      <c r="C4260">
        <v>37.204580126300002</v>
      </c>
      <c r="D4260">
        <v>-7.02800256004</v>
      </c>
      <c r="E4260">
        <v>5</v>
      </c>
      <c r="F4260">
        <v>4</v>
      </c>
      <c r="G4260">
        <v>4</v>
      </c>
      <c r="J4260" t="s">
        <v>15</v>
      </c>
      <c r="K4260">
        <v>4</v>
      </c>
      <c r="L4260">
        <v>3.649</v>
      </c>
      <c r="M4260">
        <v>0</v>
      </c>
      <c r="N4260" t="s">
        <v>10019</v>
      </c>
      <c r="O4260" t="str">
        <f>HYPERLINK("4\1\marker_683_962690.png", "Ver Imagen")</f>
        <v>Ver Imagen</v>
      </c>
      <c r="P4260" t="str">
        <f>HYPERLINK("SE\A-5052\A-5052__402.png", "Ver Imagen")</f>
        <v>Ver Imagen</v>
      </c>
    </row>
    <row r="4261" spans="1:16" x14ac:dyDescent="0.25">
      <c r="A4261">
        <v>3836</v>
      </c>
      <c r="B4261" t="s">
        <v>7681</v>
      </c>
      <c r="C4261">
        <v>37.268546240299997</v>
      </c>
      <c r="D4261">
        <v>-7.1369599731199997</v>
      </c>
      <c r="E4261">
        <v>5</v>
      </c>
      <c r="F4261">
        <v>4</v>
      </c>
      <c r="G4261">
        <v>4</v>
      </c>
      <c r="J4261" t="s">
        <v>15</v>
      </c>
      <c r="K4261">
        <v>4</v>
      </c>
      <c r="L4261">
        <v>3.633</v>
      </c>
      <c r="M4261">
        <v>0</v>
      </c>
      <c r="N4261" t="s">
        <v>10019</v>
      </c>
      <c r="O4261" t="str">
        <f>HYPERLINK("4\1\marker_142_965225.png", "Ver Imagen")</f>
        <v>Ver Imagen</v>
      </c>
      <c r="P4261" t="str">
        <f>HYPERLINK("SO\A-5053\A-5053__263.png", "Ver Imagen")</f>
        <v>Ver Imagen</v>
      </c>
    </row>
    <row r="4262" spans="1:16" x14ac:dyDescent="0.25">
      <c r="A4262">
        <v>3837</v>
      </c>
      <c r="B4262" t="s">
        <v>7683</v>
      </c>
      <c r="C4262">
        <v>37.268326255600002</v>
      </c>
      <c r="D4262">
        <v>-7.1359682189000004</v>
      </c>
      <c r="E4262">
        <v>5</v>
      </c>
      <c r="F4262">
        <v>4</v>
      </c>
      <c r="G4262">
        <v>4</v>
      </c>
      <c r="J4262" t="s">
        <v>15</v>
      </c>
      <c r="K4262">
        <v>4</v>
      </c>
      <c r="L4262">
        <v>3.7090000000000001</v>
      </c>
      <c r="M4262">
        <v>0</v>
      </c>
      <c r="N4262" t="s">
        <v>10019</v>
      </c>
      <c r="O4262" t="str">
        <f>HYPERLINK("4\1\marker_461_965265.png", "Ver Imagen")</f>
        <v>Ver Imagen</v>
      </c>
      <c r="P4262" t="str">
        <f>HYPERLINK("SO\A-5053\A-5053__259.png", "Ver Imagen")</f>
        <v>Ver Imagen</v>
      </c>
    </row>
    <row r="4263" spans="1:16" x14ac:dyDescent="0.25">
      <c r="A4263">
        <v>3838</v>
      </c>
      <c r="B4263" t="s">
        <v>7685</v>
      </c>
      <c r="C4263">
        <v>37.268053686599998</v>
      </c>
      <c r="D4263">
        <v>-7.1350291871399998</v>
      </c>
      <c r="E4263">
        <v>5</v>
      </c>
      <c r="F4263">
        <v>4</v>
      </c>
      <c r="G4263">
        <v>4</v>
      </c>
      <c r="J4263" t="s">
        <v>15</v>
      </c>
      <c r="K4263">
        <v>4</v>
      </c>
      <c r="L4263">
        <v>3.7269999999999999</v>
      </c>
      <c r="M4263">
        <v>0</v>
      </c>
      <c r="N4263" t="s">
        <v>10019</v>
      </c>
      <c r="O4263" t="str">
        <f>HYPERLINK("4\1\marker_986_965305.png", "Ver Imagen")</f>
        <v>Ver Imagen</v>
      </c>
      <c r="P4263" t="str">
        <f>HYPERLINK("SO\A-5053\A-5053__255.png", "Ver Imagen")</f>
        <v>Ver Imagen</v>
      </c>
    </row>
    <row r="4264" spans="1:16" x14ac:dyDescent="0.25">
      <c r="A4264">
        <v>3839</v>
      </c>
      <c r="B4264" t="s">
        <v>7687</v>
      </c>
      <c r="C4264">
        <v>37.2646664241</v>
      </c>
      <c r="D4264">
        <v>-7.1320091254899998</v>
      </c>
      <c r="E4264">
        <v>5</v>
      </c>
      <c r="F4264">
        <v>4</v>
      </c>
      <c r="G4264">
        <v>4</v>
      </c>
      <c r="J4264" t="s">
        <v>15</v>
      </c>
      <c r="K4264">
        <v>4</v>
      </c>
      <c r="L4264">
        <v>3.7109999999999999</v>
      </c>
      <c r="M4264">
        <v>0</v>
      </c>
      <c r="N4264" t="s">
        <v>10019</v>
      </c>
      <c r="O4264" t="str">
        <f>HYPERLINK("4\1\marker_831_965557.png", "Ver Imagen")</f>
        <v>Ver Imagen</v>
      </c>
      <c r="P4264" t="str">
        <f>HYPERLINK("SO\A-5053\A-5053__234.png", "Ver Imagen")</f>
        <v>Ver Imagen</v>
      </c>
    </row>
    <row r="4265" spans="1:16" x14ac:dyDescent="0.25">
      <c r="A4265">
        <v>3840</v>
      </c>
      <c r="B4265" t="s">
        <v>7689</v>
      </c>
      <c r="C4265">
        <v>37.221229505099998</v>
      </c>
      <c r="D4265">
        <v>-7.0539042925500004</v>
      </c>
      <c r="E4265">
        <v>4</v>
      </c>
      <c r="F4265">
        <v>4</v>
      </c>
      <c r="G4265">
        <v>3</v>
      </c>
      <c r="J4265" t="s">
        <v>15</v>
      </c>
      <c r="K4265">
        <v>4</v>
      </c>
      <c r="L4265">
        <v>3.8929999999999998</v>
      </c>
      <c r="M4265">
        <v>0</v>
      </c>
      <c r="N4265" t="s">
        <v>10019</v>
      </c>
      <c r="O4265" t="str">
        <f>HYPERLINK("4\1\marker_387_378708.png", "Ver Imagen")</f>
        <v>Ver Imagen</v>
      </c>
      <c r="P4265" t="str">
        <f>HYPERLINK("SE\A-5059\A-5059__82.png", "Ver Imagen")</f>
        <v>Ver Imagen</v>
      </c>
    </row>
    <row r="4266" spans="1:16" x14ac:dyDescent="0.25">
      <c r="A4266">
        <v>3842</v>
      </c>
      <c r="B4266" t="s">
        <v>7693</v>
      </c>
      <c r="C4266">
        <v>37.435318246999998</v>
      </c>
      <c r="D4266">
        <v>-7.0719894499700002</v>
      </c>
      <c r="E4266">
        <v>4</v>
      </c>
      <c r="F4266">
        <v>4</v>
      </c>
      <c r="G4266">
        <v>3</v>
      </c>
      <c r="J4266" t="s">
        <v>15</v>
      </c>
      <c r="K4266">
        <v>4</v>
      </c>
      <c r="L4266">
        <v>3.569</v>
      </c>
      <c r="M4266">
        <v>0</v>
      </c>
      <c r="N4266" t="s">
        <v>10019</v>
      </c>
      <c r="O4266" t="str">
        <f>HYPERLINK("4\1\marker_385_382412.png", "Ver Imagen")</f>
        <v>Ver Imagen</v>
      </c>
      <c r="P4266" t="str">
        <f>HYPERLINK("NE\A-495\A-495__124.png", "Ver Imagen")</f>
        <v>Ver Imagen</v>
      </c>
    </row>
    <row r="4267" spans="1:16" x14ac:dyDescent="0.25">
      <c r="A4267">
        <v>3844</v>
      </c>
      <c r="B4267" t="s">
        <v>7697</v>
      </c>
      <c r="C4267">
        <v>37.243948678199999</v>
      </c>
      <c r="D4267">
        <v>-7.0898626526599999</v>
      </c>
      <c r="E4267">
        <v>3</v>
      </c>
      <c r="F4267">
        <v>4</v>
      </c>
      <c r="G4267">
        <v>4</v>
      </c>
      <c r="J4267" t="s">
        <v>15</v>
      </c>
      <c r="K4267">
        <v>4</v>
      </c>
      <c r="L4267">
        <v>3.73</v>
      </c>
      <c r="M4267">
        <v>0</v>
      </c>
      <c r="N4267" t="s">
        <v>10018</v>
      </c>
      <c r="O4267" t="str">
        <f>HYPERLINK("4\1\marker_656_384024.png", "Ver Imagen")</f>
        <v>Ver Imagen</v>
      </c>
      <c r="P4267" t="str">
        <f>HYPERLINK("SE\A-5058\A-5058__279.png", "Ver Imagen")</f>
        <v>Ver Imagen</v>
      </c>
    </row>
    <row r="4268" spans="1:16" x14ac:dyDescent="0.25">
      <c r="A4268">
        <v>3844</v>
      </c>
      <c r="B4268" t="s">
        <v>7697</v>
      </c>
      <c r="C4268">
        <v>37.243948678199999</v>
      </c>
      <c r="D4268">
        <v>-7.0898626526599999</v>
      </c>
      <c r="E4268">
        <v>3</v>
      </c>
      <c r="F4268">
        <v>4</v>
      </c>
      <c r="G4268">
        <v>4</v>
      </c>
      <c r="J4268" t="s">
        <v>15</v>
      </c>
      <c r="K4268">
        <v>4</v>
      </c>
      <c r="L4268">
        <v>4.09</v>
      </c>
      <c r="M4268">
        <v>0</v>
      </c>
      <c r="N4268" t="s">
        <v>10018</v>
      </c>
      <c r="O4268" t="str">
        <f>HYPERLINK("4\1\marker_656_384024.png", "Ver Imagen")</f>
        <v>Ver Imagen</v>
      </c>
      <c r="P4268" t="str">
        <f>HYPERLINK("SO\A-5058\A-5058__279.png", "Ver Imagen")</f>
        <v>Ver Imagen</v>
      </c>
    </row>
    <row r="4269" spans="1:16" x14ac:dyDescent="0.25">
      <c r="A4269">
        <v>3845</v>
      </c>
      <c r="B4269" t="s">
        <v>7699</v>
      </c>
      <c r="C4269">
        <v>37.245428770899998</v>
      </c>
      <c r="D4269">
        <v>-7.0939676072499998</v>
      </c>
      <c r="E4269">
        <v>5</v>
      </c>
      <c r="F4269">
        <v>4</v>
      </c>
      <c r="G4269">
        <v>4</v>
      </c>
      <c r="J4269" t="s">
        <v>15</v>
      </c>
      <c r="K4269">
        <v>4</v>
      </c>
      <c r="L4269">
        <v>3.6349999999999998</v>
      </c>
      <c r="M4269">
        <v>0</v>
      </c>
      <c r="N4269" t="s">
        <v>10017</v>
      </c>
      <c r="O4269" t="str">
        <f>HYPERLINK("4\1\marker_508_384233.png", "Ver Imagen")</f>
        <v>Ver Imagen</v>
      </c>
      <c r="P4269" t="str">
        <f>HYPERLINK("SE\A-5058\A-5058__297.png", "Ver Imagen")</f>
        <v>Ver Imagen</v>
      </c>
    </row>
    <row r="4270" spans="1:16" x14ac:dyDescent="0.25">
      <c r="A4270">
        <v>3845</v>
      </c>
      <c r="B4270" t="s">
        <v>7699</v>
      </c>
      <c r="C4270">
        <v>37.245428770899998</v>
      </c>
      <c r="D4270">
        <v>-7.0939676072499998</v>
      </c>
      <c r="E4270">
        <v>5</v>
      </c>
      <c r="F4270">
        <v>4</v>
      </c>
      <c r="G4270">
        <v>4</v>
      </c>
      <c r="J4270" t="s">
        <v>15</v>
      </c>
      <c r="K4270">
        <v>4</v>
      </c>
      <c r="L4270">
        <v>3.9460000000000002</v>
      </c>
      <c r="M4270">
        <v>0</v>
      </c>
      <c r="N4270" t="s">
        <v>10017</v>
      </c>
      <c r="O4270" t="str">
        <f>HYPERLINK("4\1\marker_508_384233.png", "Ver Imagen")</f>
        <v>Ver Imagen</v>
      </c>
      <c r="P4270" t="str">
        <f>HYPERLINK("SO\A-5058\A-5058__297.png", "Ver Imagen")</f>
        <v>Ver Imagen</v>
      </c>
    </row>
    <row r="4271" spans="1:16" x14ac:dyDescent="0.25">
      <c r="A4271">
        <v>3846</v>
      </c>
      <c r="B4271" t="s">
        <v>7701</v>
      </c>
      <c r="C4271">
        <v>37.2493200073</v>
      </c>
      <c r="D4271">
        <v>-7.1024388241400001</v>
      </c>
      <c r="E4271">
        <v>3</v>
      </c>
      <c r="F4271">
        <v>4</v>
      </c>
      <c r="G4271">
        <v>4</v>
      </c>
      <c r="J4271" t="s">
        <v>15</v>
      </c>
      <c r="K4271">
        <v>4</v>
      </c>
      <c r="L4271">
        <v>3.7269999999999999</v>
      </c>
      <c r="M4271">
        <v>0</v>
      </c>
      <c r="N4271" t="s">
        <v>10018</v>
      </c>
      <c r="O4271" t="str">
        <f>HYPERLINK("4\1\marker_735_384731.png", "Ver Imagen")</f>
        <v>Ver Imagen</v>
      </c>
      <c r="P4271" t="str">
        <f>HYPERLINK("SO\A-5058\A-5058__338.png", "Ver Imagen")</f>
        <v>Ver Imagen</v>
      </c>
    </row>
    <row r="4272" spans="1:16" x14ac:dyDescent="0.25">
      <c r="A4272">
        <v>3848</v>
      </c>
      <c r="B4272" t="s">
        <v>7705</v>
      </c>
      <c r="C4272">
        <v>37.258961337800002</v>
      </c>
      <c r="D4272">
        <v>-7.1243196695400002</v>
      </c>
      <c r="E4272">
        <v>4</v>
      </c>
      <c r="F4272">
        <v>4</v>
      </c>
      <c r="G4272">
        <v>5</v>
      </c>
      <c r="J4272" t="s">
        <v>15</v>
      </c>
      <c r="K4272">
        <v>4</v>
      </c>
      <c r="L4272">
        <v>3.7530000000000001</v>
      </c>
      <c r="M4272">
        <v>0</v>
      </c>
      <c r="N4272" t="s">
        <v>10019</v>
      </c>
      <c r="O4272" t="str">
        <f>HYPERLINK("4\1\marker_529_389065.png", "Ver Imagen")</f>
        <v>Ver Imagen</v>
      </c>
      <c r="P4272" t="str">
        <f>HYPERLINK("SO\A-5058\A-5058__449.png", "Ver Imagen")</f>
        <v>Ver Imagen</v>
      </c>
    </row>
    <row r="4273" spans="1:16" x14ac:dyDescent="0.25">
      <c r="A4273">
        <v>3851</v>
      </c>
      <c r="B4273" t="s">
        <v>7711</v>
      </c>
      <c r="C4273">
        <v>37.477106576600001</v>
      </c>
      <c r="D4273">
        <v>-7.1260708886900002</v>
      </c>
      <c r="E4273">
        <v>5</v>
      </c>
      <c r="F4273">
        <v>4</v>
      </c>
      <c r="G4273">
        <v>4</v>
      </c>
      <c r="J4273" t="s">
        <v>15</v>
      </c>
      <c r="K4273">
        <v>4</v>
      </c>
      <c r="L4273">
        <v>3.706</v>
      </c>
      <c r="M4273">
        <v>0</v>
      </c>
      <c r="N4273" t="s">
        <v>10017</v>
      </c>
      <c r="O4273" t="str">
        <f>HYPERLINK("4\1\marker_780_384231.png", "Ver Imagen")</f>
        <v>Ver Imagen</v>
      </c>
      <c r="P4273" t="str">
        <f>HYPERLINK("NE\A-495_1\A-495_1__151.png", "Ver Imagen")</f>
        <v>Ver Imagen</v>
      </c>
    </row>
    <row r="4274" spans="1:16" x14ac:dyDescent="0.25">
      <c r="A4274">
        <v>3852</v>
      </c>
      <c r="B4274" t="s">
        <v>7713</v>
      </c>
      <c r="C4274">
        <v>37.476948350299999</v>
      </c>
      <c r="D4274">
        <v>-7.1259372970700001</v>
      </c>
      <c r="E4274">
        <v>4</v>
      </c>
      <c r="F4274">
        <v>4</v>
      </c>
      <c r="G4274">
        <v>5</v>
      </c>
      <c r="J4274" t="s">
        <v>15</v>
      </c>
      <c r="K4274">
        <v>4</v>
      </c>
      <c r="L4274">
        <v>3.8130000000000002</v>
      </c>
      <c r="M4274">
        <v>0</v>
      </c>
      <c r="N4274" t="s">
        <v>10019</v>
      </c>
      <c r="O4274" t="str">
        <f>HYPERLINK("4\1\marker_148_384242.png", "Ver Imagen")</f>
        <v>Ver Imagen</v>
      </c>
      <c r="P4274" t="str">
        <f>HYPERLINK("NE\A-495_1\A-495_1__150.png", "Ver Imagen")</f>
        <v>Ver Imagen</v>
      </c>
    </row>
    <row r="4275" spans="1:16" x14ac:dyDescent="0.25">
      <c r="A4275">
        <v>3853</v>
      </c>
      <c r="B4275" t="s">
        <v>7715</v>
      </c>
      <c r="C4275">
        <v>37.468487608899999</v>
      </c>
      <c r="D4275">
        <v>-7.1236034911799999</v>
      </c>
      <c r="E4275">
        <v>4</v>
      </c>
      <c r="F4275">
        <v>4</v>
      </c>
      <c r="G4275">
        <v>5</v>
      </c>
      <c r="J4275" t="s">
        <v>15</v>
      </c>
      <c r="K4275">
        <v>4</v>
      </c>
      <c r="L4275">
        <v>3.669</v>
      </c>
      <c r="M4275">
        <v>0</v>
      </c>
      <c r="N4275" t="s">
        <v>10019</v>
      </c>
      <c r="O4275" t="str">
        <f>HYPERLINK("4\1\marker_208_384950.png", "Ver Imagen")</f>
        <v>Ver Imagen</v>
      </c>
      <c r="P4275" t="str">
        <f>HYPERLINK("NE\A-495_1\A-495_1__105.png", "Ver Imagen")</f>
        <v>Ver Imagen</v>
      </c>
    </row>
    <row r="4276" spans="1:16" x14ac:dyDescent="0.25">
      <c r="A4276">
        <v>3854</v>
      </c>
      <c r="B4276" t="s">
        <v>7717</v>
      </c>
      <c r="C4276">
        <v>37.4953476361</v>
      </c>
      <c r="D4276">
        <v>-7.2711960815600003</v>
      </c>
      <c r="E4276">
        <v>5</v>
      </c>
      <c r="F4276">
        <v>4</v>
      </c>
      <c r="G4276">
        <v>4</v>
      </c>
      <c r="J4276" t="s">
        <v>15</v>
      </c>
      <c r="K4276">
        <v>4</v>
      </c>
      <c r="L4276">
        <v>4.0129999999999999</v>
      </c>
      <c r="M4276">
        <v>0</v>
      </c>
      <c r="N4276" t="s">
        <v>10019</v>
      </c>
      <c r="O4276" t="str">
        <f>HYPERLINK("4\1\marker_122_535135.png", "Ver Imagen")</f>
        <v>Ver Imagen</v>
      </c>
      <c r="P4276" t="str">
        <f>HYPERLINK("NO\A-499\A-499__66.png", "Ver Imagen")</f>
        <v>Ver Imagen</v>
      </c>
    </row>
    <row r="4277" spans="1:16" x14ac:dyDescent="0.25">
      <c r="A4277">
        <v>3855</v>
      </c>
      <c r="B4277" t="s">
        <v>7719</v>
      </c>
      <c r="C4277">
        <v>37.193419833100002</v>
      </c>
      <c r="D4277">
        <v>-6.9776642567799998</v>
      </c>
      <c r="E4277">
        <v>3</v>
      </c>
      <c r="F4277">
        <v>4</v>
      </c>
      <c r="G4277">
        <v>4</v>
      </c>
      <c r="J4277" t="s">
        <v>15</v>
      </c>
      <c r="K4277">
        <v>4</v>
      </c>
      <c r="L4277">
        <v>3.9940000000000002</v>
      </c>
      <c r="M4277">
        <v>0</v>
      </c>
      <c r="N4277" t="s">
        <v>10019</v>
      </c>
      <c r="O4277" t="str">
        <f>HYPERLINK("4\1\marker_120_367949.png", "Ver Imagen")</f>
        <v>Ver Imagen</v>
      </c>
      <c r="P4277" t="str">
        <f>HYPERLINK("SE\A-497\A-497__800.png", "Ver Imagen")</f>
        <v>Ver Imagen</v>
      </c>
    </row>
    <row r="4278" spans="1:16" x14ac:dyDescent="0.25">
      <c r="A4278">
        <v>3856</v>
      </c>
      <c r="B4278" t="s">
        <v>7721</v>
      </c>
      <c r="C4278">
        <v>37.186608464700001</v>
      </c>
      <c r="D4278">
        <v>-6.9796009374199999</v>
      </c>
      <c r="E4278">
        <v>4</v>
      </c>
      <c r="F4278">
        <v>4</v>
      </c>
      <c r="G4278">
        <v>5</v>
      </c>
      <c r="J4278" t="s">
        <v>15</v>
      </c>
      <c r="K4278">
        <v>4</v>
      </c>
      <c r="L4278">
        <v>3.8039999999999998</v>
      </c>
      <c r="M4278">
        <v>0</v>
      </c>
      <c r="N4278" t="s">
        <v>10019</v>
      </c>
      <c r="O4278" t="str">
        <f>HYPERLINK("4\1\marker_563_368640.png", "Ver Imagen")</f>
        <v>Ver Imagen</v>
      </c>
      <c r="P4278" t="str">
        <f>HYPERLINK("SE\A-497\A-497__754.png", "Ver Imagen")</f>
        <v>Ver Imagen</v>
      </c>
    </row>
    <row r="4279" spans="1:16" x14ac:dyDescent="0.25">
      <c r="A4279">
        <v>3858</v>
      </c>
      <c r="B4279" t="s">
        <v>7725</v>
      </c>
      <c r="C4279">
        <v>37.269417466699998</v>
      </c>
      <c r="D4279">
        <v>-6.9769977701599997</v>
      </c>
      <c r="E4279">
        <v>4</v>
      </c>
      <c r="F4279">
        <v>4</v>
      </c>
      <c r="G4279">
        <v>3</v>
      </c>
      <c r="J4279" t="s">
        <v>15</v>
      </c>
      <c r="K4279">
        <v>4</v>
      </c>
      <c r="L4279">
        <v>3.7919999999999998</v>
      </c>
      <c r="M4279">
        <v>0</v>
      </c>
      <c r="N4279" t="s">
        <v>10019</v>
      </c>
      <c r="O4279" t="str">
        <f>HYPERLINK("4\1\marker_772_655127.png", "Ver Imagen")</f>
        <v>Ver Imagen</v>
      </c>
      <c r="P4279" t="str">
        <f>HYPERLINK("SE\A-497_2C\A-497_2C__80.png", "Ver Imagen")</f>
        <v>Ver Imagen</v>
      </c>
    </row>
    <row r="4280" spans="1:16" x14ac:dyDescent="0.25">
      <c r="A4280">
        <v>3859</v>
      </c>
      <c r="B4280" t="s">
        <v>7727</v>
      </c>
      <c r="C4280">
        <v>37.270238487599997</v>
      </c>
      <c r="D4280">
        <v>-6.9798723380199998</v>
      </c>
      <c r="E4280">
        <v>5</v>
      </c>
      <c r="F4280">
        <v>4</v>
      </c>
      <c r="G4280">
        <v>4</v>
      </c>
      <c r="J4280" t="s">
        <v>15</v>
      </c>
      <c r="K4280">
        <v>4</v>
      </c>
      <c r="L4280">
        <v>3.6059999999999999</v>
      </c>
      <c r="M4280">
        <v>0</v>
      </c>
      <c r="N4280" t="s">
        <v>10019</v>
      </c>
      <c r="O4280" t="str">
        <f>HYPERLINK("4\1\marker_254_655301.png", "Ver Imagen")</f>
        <v>Ver Imagen</v>
      </c>
      <c r="P4280" t="str">
        <f>HYPERLINK("SE\A-497_2C\A-497_2C__92.png", "Ver Imagen")</f>
        <v>Ver Imagen</v>
      </c>
    </row>
    <row r="4281" spans="1:16" x14ac:dyDescent="0.25">
      <c r="A4281">
        <v>3860</v>
      </c>
      <c r="B4281" t="s">
        <v>7729</v>
      </c>
      <c r="C4281">
        <v>37.270305886800003</v>
      </c>
      <c r="D4281">
        <v>-6.9801063715599998</v>
      </c>
      <c r="E4281">
        <v>3</v>
      </c>
      <c r="F4281">
        <v>4</v>
      </c>
      <c r="G4281">
        <v>4</v>
      </c>
      <c r="J4281" t="s">
        <v>15</v>
      </c>
      <c r="K4281">
        <v>4</v>
      </c>
      <c r="L4281">
        <v>3.7839999999999998</v>
      </c>
      <c r="M4281">
        <v>0</v>
      </c>
      <c r="N4281" t="s">
        <v>10019</v>
      </c>
      <c r="O4281" t="str">
        <f>HYPERLINK("4\1\marker_498_655312.png", "Ver Imagen")</f>
        <v>Ver Imagen</v>
      </c>
      <c r="P4281" t="str">
        <f>HYPERLINK("SE\A-497_2C\A-497_2C__93.png", "Ver Imagen")</f>
        <v>Ver Imagen</v>
      </c>
    </row>
    <row r="4282" spans="1:16" x14ac:dyDescent="0.25">
      <c r="A4282">
        <v>3861</v>
      </c>
      <c r="B4282" t="s">
        <v>7731</v>
      </c>
      <c r="C4282">
        <v>37.271260056099997</v>
      </c>
      <c r="D4282">
        <v>-6.9834164901899998</v>
      </c>
      <c r="E4282">
        <v>4</v>
      </c>
      <c r="F4282">
        <v>4</v>
      </c>
      <c r="G4282">
        <v>3</v>
      </c>
      <c r="J4282" t="s">
        <v>15</v>
      </c>
      <c r="K4282">
        <v>4</v>
      </c>
      <c r="L4282">
        <v>3.5369999999999999</v>
      </c>
      <c r="M4282">
        <v>0</v>
      </c>
      <c r="N4282" t="s">
        <v>10019</v>
      </c>
      <c r="O4282" t="str">
        <f>HYPERLINK("4\1\marker_826_655509.png", "Ver Imagen")</f>
        <v>Ver Imagen</v>
      </c>
      <c r="P4282" t="str">
        <f>HYPERLINK("SE\A-497_2C\A-497_2C__107.png", "Ver Imagen")</f>
        <v>Ver Imagen</v>
      </c>
    </row>
    <row r="4283" spans="1:16" x14ac:dyDescent="0.25">
      <c r="A4283">
        <v>3862</v>
      </c>
      <c r="B4283" t="s">
        <v>7733</v>
      </c>
      <c r="C4283">
        <v>37.266727068900003</v>
      </c>
      <c r="D4283">
        <v>-6.99225815459</v>
      </c>
      <c r="E4283">
        <v>4</v>
      </c>
      <c r="F4283">
        <v>4</v>
      </c>
      <c r="G4283">
        <v>3</v>
      </c>
      <c r="J4283" t="s">
        <v>15</v>
      </c>
      <c r="K4283">
        <v>4</v>
      </c>
      <c r="L4283">
        <v>4.0640000000000001</v>
      </c>
      <c r="M4283">
        <v>0</v>
      </c>
      <c r="N4283" t="s">
        <v>10019</v>
      </c>
      <c r="O4283" t="str">
        <f>HYPERLINK("4\1\marker_369_656056.png", "Ver Imagen")</f>
        <v>Ver Imagen</v>
      </c>
      <c r="P4283" t="str">
        <f>HYPERLINK("SE\A-497_2C\A-497_2C__155.png", "Ver Imagen")</f>
        <v>Ver Imagen</v>
      </c>
    </row>
    <row r="4284" spans="1:16" x14ac:dyDescent="0.25">
      <c r="A4284">
        <v>3864</v>
      </c>
      <c r="B4284" t="s">
        <v>7737</v>
      </c>
      <c r="C4284">
        <v>37.265141611899999</v>
      </c>
      <c r="D4284">
        <v>-6.9979507014899998</v>
      </c>
      <c r="E4284">
        <v>4</v>
      </c>
      <c r="F4284">
        <v>4</v>
      </c>
      <c r="G4284">
        <v>3</v>
      </c>
      <c r="J4284" t="s">
        <v>15</v>
      </c>
      <c r="K4284">
        <v>4</v>
      </c>
      <c r="L4284">
        <v>3.6179999999999999</v>
      </c>
      <c r="M4284">
        <v>0</v>
      </c>
      <c r="N4284" t="s">
        <v>10019</v>
      </c>
      <c r="O4284" t="str">
        <f>HYPERLINK("4\1\marker_922_656320.png", "Ver Imagen")</f>
        <v>Ver Imagen</v>
      </c>
      <c r="P4284" t="str">
        <f>HYPERLINK("SE\A-497_2C\A-497_2C__179.png", "Ver Imagen")</f>
        <v>Ver Imagen</v>
      </c>
    </row>
    <row r="4285" spans="1:16" x14ac:dyDescent="0.25">
      <c r="A4285">
        <v>3865</v>
      </c>
      <c r="B4285" t="s">
        <v>7739</v>
      </c>
      <c r="C4285">
        <v>37.194192452999999</v>
      </c>
      <c r="D4285">
        <v>-6.9776278315300004</v>
      </c>
      <c r="E4285">
        <v>3</v>
      </c>
      <c r="F4285">
        <v>4</v>
      </c>
      <c r="G4285">
        <v>4</v>
      </c>
      <c r="J4285" t="s">
        <v>15</v>
      </c>
      <c r="K4285">
        <v>4</v>
      </c>
      <c r="L4285">
        <v>3.9489999999999998</v>
      </c>
      <c r="M4285">
        <v>0</v>
      </c>
      <c r="N4285" t="s">
        <v>10019</v>
      </c>
      <c r="O4285" t="str">
        <f>HYPERLINK("4\1\marker_347_369124.png", "Ver Imagen")</f>
        <v>Ver Imagen</v>
      </c>
      <c r="P4285" t="str">
        <f>HYPERLINK("SE\A-497\A-497__714.png", "Ver Imagen")</f>
        <v>Ver Imagen</v>
      </c>
    </row>
    <row r="4286" spans="1:16" x14ac:dyDescent="0.25">
      <c r="A4286">
        <v>3866</v>
      </c>
      <c r="B4286" t="s">
        <v>7741</v>
      </c>
      <c r="C4286">
        <v>37.264951433199997</v>
      </c>
      <c r="D4286">
        <v>-6.9991606773499999</v>
      </c>
      <c r="E4286">
        <v>4</v>
      </c>
      <c r="F4286">
        <v>4</v>
      </c>
      <c r="G4286">
        <v>3</v>
      </c>
      <c r="J4286" t="s">
        <v>15</v>
      </c>
      <c r="K4286">
        <v>4</v>
      </c>
      <c r="L4286">
        <v>3.7290000000000001</v>
      </c>
      <c r="M4286">
        <v>0</v>
      </c>
      <c r="N4286" t="s">
        <v>10019</v>
      </c>
      <c r="O4286" t="str">
        <f>HYPERLINK("4\1\marker_401_656364.png", "Ver Imagen")</f>
        <v>Ver Imagen</v>
      </c>
      <c r="P4286" t="str">
        <f>HYPERLINK("SE\A-497_2C\A-497_2C__184.png", "Ver Imagen")</f>
        <v>Ver Imagen</v>
      </c>
    </row>
    <row r="4287" spans="1:16" x14ac:dyDescent="0.25">
      <c r="A4287">
        <v>3870</v>
      </c>
      <c r="B4287" t="s">
        <v>7749</v>
      </c>
      <c r="C4287">
        <v>37.196477002500004</v>
      </c>
      <c r="D4287">
        <v>-6.9787618056899996</v>
      </c>
      <c r="E4287">
        <v>3</v>
      </c>
      <c r="F4287">
        <v>4</v>
      </c>
      <c r="G4287">
        <v>4</v>
      </c>
      <c r="J4287" t="s">
        <v>15</v>
      </c>
      <c r="K4287">
        <v>4</v>
      </c>
      <c r="L4287">
        <v>3.5619999999999998</v>
      </c>
      <c r="M4287">
        <v>0</v>
      </c>
      <c r="N4287" t="s">
        <v>10019</v>
      </c>
      <c r="O4287" t="str">
        <f>HYPERLINK("4\1\marker_822_370360.png", "Ver Imagen")</f>
        <v>Ver Imagen</v>
      </c>
      <c r="P4287" t="str">
        <f>HYPERLINK("SE\A-497\A-497__702.png", "Ver Imagen")</f>
        <v>Ver Imagen</v>
      </c>
    </row>
    <row r="4288" spans="1:16" x14ac:dyDescent="0.25">
      <c r="A4288">
        <v>3877</v>
      </c>
      <c r="B4288" t="s">
        <v>7763</v>
      </c>
      <c r="C4288">
        <v>37.202258712800003</v>
      </c>
      <c r="D4288">
        <v>-6.9971284989999996</v>
      </c>
      <c r="E4288">
        <v>5</v>
      </c>
      <c r="F4288">
        <v>4</v>
      </c>
      <c r="G4288">
        <v>4</v>
      </c>
      <c r="J4288" t="s">
        <v>15</v>
      </c>
      <c r="K4288">
        <v>4</v>
      </c>
      <c r="L4288">
        <v>3.6059999999999999</v>
      </c>
      <c r="M4288">
        <v>0</v>
      </c>
      <c r="N4288" t="s">
        <v>10019</v>
      </c>
      <c r="O4288" t="str">
        <f>HYPERLINK("4\1\marker_524_371508.png", "Ver Imagen")</f>
        <v>Ver Imagen</v>
      </c>
      <c r="P4288" t="str">
        <f>HYPERLINK("SE\A-497\A-497__622.png", "Ver Imagen")</f>
        <v>Ver Imagen</v>
      </c>
    </row>
    <row r="4289" spans="1:16" x14ac:dyDescent="0.25">
      <c r="A4289">
        <v>3880</v>
      </c>
      <c r="B4289" t="s">
        <v>7769</v>
      </c>
      <c r="C4289">
        <v>37.203163088700002</v>
      </c>
      <c r="D4289">
        <v>-7.0043818869200001</v>
      </c>
      <c r="E4289">
        <v>5</v>
      </c>
      <c r="F4289">
        <v>4</v>
      </c>
      <c r="G4289">
        <v>4</v>
      </c>
      <c r="J4289" t="s">
        <v>15</v>
      </c>
      <c r="K4289">
        <v>4</v>
      </c>
      <c r="L4289">
        <v>3.5219999999999998</v>
      </c>
      <c r="M4289">
        <v>0</v>
      </c>
      <c r="N4289" t="s">
        <v>10019</v>
      </c>
      <c r="O4289" t="str">
        <f>HYPERLINK("4\1\marker_700_371793.png", "Ver Imagen")</f>
        <v>Ver Imagen</v>
      </c>
      <c r="P4289" t="str">
        <f>HYPERLINK("SE\A-497\A-497__593.png", "Ver Imagen")</f>
        <v>Ver Imagen</v>
      </c>
    </row>
    <row r="4290" spans="1:16" x14ac:dyDescent="0.25">
      <c r="A4290">
        <v>3882</v>
      </c>
      <c r="B4290" t="s">
        <v>7773</v>
      </c>
      <c r="C4290">
        <v>37.254649160600003</v>
      </c>
      <c r="D4290">
        <v>-7.0151190505400001</v>
      </c>
      <c r="E4290">
        <v>4</v>
      </c>
      <c r="F4290">
        <v>4</v>
      </c>
      <c r="G4290">
        <v>5</v>
      </c>
      <c r="J4290" t="s">
        <v>15</v>
      </c>
      <c r="K4290">
        <v>4</v>
      </c>
      <c r="L4290">
        <v>4.0439999999999996</v>
      </c>
      <c r="M4290">
        <v>0</v>
      </c>
      <c r="N4290" t="s">
        <v>10019</v>
      </c>
      <c r="O4290" t="str">
        <f>HYPERLINK("4\1\marker_537_319763.png", "Ver Imagen")</f>
        <v>Ver Imagen</v>
      </c>
      <c r="P4290" t="str">
        <f>HYPERLINK("SE\A-497_2C\A-497_2C__272.png", "Ver Imagen")</f>
        <v>Ver Imagen</v>
      </c>
    </row>
    <row r="4291" spans="1:16" x14ac:dyDescent="0.25">
      <c r="A4291">
        <v>3883</v>
      </c>
      <c r="B4291" t="s">
        <v>7775</v>
      </c>
      <c r="C4291">
        <v>37.203380489899999</v>
      </c>
      <c r="D4291">
        <v>-7.0060937804999996</v>
      </c>
      <c r="E4291">
        <v>5</v>
      </c>
      <c r="F4291">
        <v>4</v>
      </c>
      <c r="G4291">
        <v>4</v>
      </c>
      <c r="J4291" t="s">
        <v>15</v>
      </c>
      <c r="K4291">
        <v>4</v>
      </c>
      <c r="L4291">
        <v>3.617</v>
      </c>
      <c r="M4291">
        <v>0</v>
      </c>
      <c r="N4291" t="s">
        <v>10019</v>
      </c>
      <c r="O4291" t="str">
        <f>HYPERLINK("4\1\marker_701_371869.png", "Ver Imagen")</f>
        <v>Ver Imagen</v>
      </c>
      <c r="P4291" t="str">
        <f>HYPERLINK("SE\A-497\A-497__586.png", "Ver Imagen")</f>
        <v>Ver Imagen</v>
      </c>
    </row>
    <row r="4292" spans="1:16" x14ac:dyDescent="0.25">
      <c r="A4292">
        <v>3884</v>
      </c>
      <c r="B4292" t="s">
        <v>7777</v>
      </c>
      <c r="C4292">
        <v>37.203447841799999</v>
      </c>
      <c r="D4292">
        <v>-7.0066056702699999</v>
      </c>
      <c r="E4292">
        <v>5</v>
      </c>
      <c r="F4292">
        <v>4</v>
      </c>
      <c r="G4292">
        <v>4</v>
      </c>
      <c r="J4292" t="s">
        <v>15</v>
      </c>
      <c r="K4292">
        <v>4</v>
      </c>
      <c r="L4292">
        <v>3.65</v>
      </c>
      <c r="M4292">
        <v>0</v>
      </c>
      <c r="N4292" t="s">
        <v>10019</v>
      </c>
      <c r="O4292" t="str">
        <f>HYPERLINK("4\1\marker_954_371888.png", "Ver Imagen")</f>
        <v>Ver Imagen</v>
      </c>
      <c r="P4292" t="str">
        <f>HYPERLINK("SE\A-497\A-497__584.png", "Ver Imagen")</f>
        <v>Ver Imagen</v>
      </c>
    </row>
    <row r="4293" spans="1:16" x14ac:dyDescent="0.25">
      <c r="A4293">
        <v>3885</v>
      </c>
      <c r="B4293" t="s">
        <v>7779</v>
      </c>
      <c r="C4293">
        <v>37.251400528600001</v>
      </c>
      <c r="D4293">
        <v>-7.0172012095299996</v>
      </c>
      <c r="E4293">
        <v>3</v>
      </c>
      <c r="F4293">
        <v>4</v>
      </c>
      <c r="G4293">
        <v>4</v>
      </c>
      <c r="J4293" t="s">
        <v>15</v>
      </c>
      <c r="K4293">
        <v>4</v>
      </c>
      <c r="L4293">
        <v>3.8010000000000002</v>
      </c>
      <c r="M4293">
        <v>0</v>
      </c>
      <c r="N4293" t="s">
        <v>10019</v>
      </c>
      <c r="O4293" t="str">
        <f>HYPERLINK("4\1\marker_280_320073.png", "Ver Imagen")</f>
        <v>Ver Imagen</v>
      </c>
      <c r="P4293" t="str">
        <f>HYPERLINK("SE\A-497_2C\A-497_2C__290.png", "Ver Imagen")</f>
        <v>Ver Imagen</v>
      </c>
    </row>
    <row r="4294" spans="1:16" x14ac:dyDescent="0.25">
      <c r="A4294">
        <v>3886</v>
      </c>
      <c r="B4294" t="s">
        <v>7781</v>
      </c>
      <c r="C4294">
        <v>37.203902687800003</v>
      </c>
      <c r="D4294">
        <v>-7.0096495804599996</v>
      </c>
      <c r="E4294">
        <v>3</v>
      </c>
      <c r="F4294">
        <v>4</v>
      </c>
      <c r="G4294">
        <v>4</v>
      </c>
      <c r="J4294" t="s">
        <v>15</v>
      </c>
      <c r="K4294">
        <v>4</v>
      </c>
      <c r="L4294">
        <v>3.702</v>
      </c>
      <c r="M4294">
        <v>0</v>
      </c>
      <c r="N4294" t="s">
        <v>10019</v>
      </c>
      <c r="O4294" t="str">
        <f>HYPERLINK("4\1\marker_138_372005.png", "Ver Imagen")</f>
        <v>Ver Imagen</v>
      </c>
      <c r="P4294" t="str">
        <f>HYPERLINK("SE\A-497\A-497__572.png", "Ver Imagen")</f>
        <v>Ver Imagen</v>
      </c>
    </row>
    <row r="4295" spans="1:16" x14ac:dyDescent="0.25">
      <c r="A4295">
        <v>3887</v>
      </c>
      <c r="B4295" t="s">
        <v>7783</v>
      </c>
      <c r="C4295">
        <v>37.250661005600001</v>
      </c>
      <c r="D4295">
        <v>-7.0176606363599996</v>
      </c>
      <c r="E4295">
        <v>5</v>
      </c>
      <c r="F4295">
        <v>4</v>
      </c>
      <c r="G4295">
        <v>4</v>
      </c>
      <c r="J4295" t="s">
        <v>15</v>
      </c>
      <c r="K4295">
        <v>4</v>
      </c>
      <c r="L4295">
        <v>4.3390000000000004</v>
      </c>
      <c r="M4295">
        <v>0</v>
      </c>
      <c r="N4295" t="s">
        <v>10019</v>
      </c>
      <c r="O4295" t="str">
        <f>HYPERLINK("4\1\marker_924_320110.png", "Ver Imagen")</f>
        <v>Ver Imagen</v>
      </c>
      <c r="P4295" t="str">
        <f>HYPERLINK("SE\A-497_2C\A-497_2C__294.png", "Ver Imagen")</f>
        <v>Ver Imagen</v>
      </c>
    </row>
    <row r="4296" spans="1:16" x14ac:dyDescent="0.25">
      <c r="A4296">
        <v>3888</v>
      </c>
      <c r="B4296" t="s">
        <v>7785</v>
      </c>
      <c r="C4296">
        <v>37.248506414600001</v>
      </c>
      <c r="D4296">
        <v>-7.0183546969500004</v>
      </c>
      <c r="E4296">
        <v>5</v>
      </c>
      <c r="F4296">
        <v>4</v>
      </c>
      <c r="G4296">
        <v>4</v>
      </c>
      <c r="J4296" t="s">
        <v>15</v>
      </c>
      <c r="K4296">
        <v>4</v>
      </c>
      <c r="L4296">
        <v>3.9350000000000001</v>
      </c>
      <c r="M4296">
        <v>0</v>
      </c>
      <c r="N4296" t="s">
        <v>10019</v>
      </c>
      <c r="O4296" t="str">
        <f>HYPERLINK("4\1\marker_425_320220.png", "Ver Imagen")</f>
        <v>Ver Imagen</v>
      </c>
      <c r="P4296" t="str">
        <f>HYPERLINK("SE\A-497_2C\A-497_2C__305.png", "Ver Imagen")</f>
        <v>Ver Imagen</v>
      </c>
    </row>
    <row r="4297" spans="1:16" x14ac:dyDescent="0.25">
      <c r="A4297">
        <v>3889</v>
      </c>
      <c r="B4297" t="s">
        <v>7787</v>
      </c>
      <c r="C4297">
        <v>37.248270219600002</v>
      </c>
      <c r="D4297">
        <v>-7.0183676961400003</v>
      </c>
      <c r="E4297">
        <v>5</v>
      </c>
      <c r="F4297">
        <v>4</v>
      </c>
      <c r="G4297">
        <v>4</v>
      </c>
      <c r="J4297" t="s">
        <v>15</v>
      </c>
      <c r="K4297">
        <v>4</v>
      </c>
      <c r="L4297">
        <v>3.5950000000000002</v>
      </c>
      <c r="M4297">
        <v>0</v>
      </c>
      <c r="N4297" t="s">
        <v>10019</v>
      </c>
      <c r="O4297" t="str">
        <f>HYPERLINK("4\1\marker_827_361784.png", "Ver Imagen")</f>
        <v>Ver Imagen</v>
      </c>
      <c r="P4297" t="str">
        <f>HYPERLINK("SE\A-497_2C\A-497_2C__306.png", "Ver Imagen")</f>
        <v>Ver Imagen</v>
      </c>
    </row>
    <row r="4298" spans="1:16" x14ac:dyDescent="0.25">
      <c r="A4298">
        <v>3890</v>
      </c>
      <c r="B4298" t="s">
        <v>7789</v>
      </c>
      <c r="C4298">
        <v>37.2468993783</v>
      </c>
      <c r="D4298">
        <v>-7.0184194933799997</v>
      </c>
      <c r="E4298">
        <v>4</v>
      </c>
      <c r="F4298">
        <v>4</v>
      </c>
      <c r="G4298">
        <v>5</v>
      </c>
      <c r="J4298" t="s">
        <v>15</v>
      </c>
      <c r="K4298">
        <v>4</v>
      </c>
      <c r="L4298">
        <v>4.0350000000000001</v>
      </c>
      <c r="M4298">
        <v>0</v>
      </c>
      <c r="N4298" t="s">
        <v>10019</v>
      </c>
      <c r="O4298" t="str">
        <f>HYPERLINK("4\1\marker_835_361860.png", "Ver Imagen")</f>
        <v>Ver Imagen</v>
      </c>
      <c r="P4298" t="str">
        <f>HYPERLINK("SE\A-497_2C\A-497_2C__313.png", "Ver Imagen")</f>
        <v>Ver Imagen</v>
      </c>
    </row>
    <row r="4299" spans="1:16" x14ac:dyDescent="0.25">
      <c r="A4299">
        <v>3891</v>
      </c>
      <c r="B4299" t="s">
        <v>7791</v>
      </c>
      <c r="C4299">
        <v>37.204460816800001</v>
      </c>
      <c r="D4299">
        <v>-7.0128881013599997</v>
      </c>
      <c r="E4299">
        <v>4</v>
      </c>
      <c r="F4299">
        <v>4</v>
      </c>
      <c r="G4299">
        <v>5</v>
      </c>
      <c r="J4299" t="s">
        <v>15</v>
      </c>
      <c r="K4299">
        <v>4</v>
      </c>
      <c r="L4299">
        <v>3.839</v>
      </c>
      <c r="M4299">
        <v>0</v>
      </c>
      <c r="N4299" t="s">
        <v>10019</v>
      </c>
      <c r="O4299" t="str">
        <f>HYPERLINK("4\1\marker_362_372153.png", "Ver Imagen")</f>
        <v>Ver Imagen</v>
      </c>
      <c r="P4299" t="str">
        <f>HYPERLINK("SE\A-497\A-497__559.png", "Ver Imagen")</f>
        <v>Ver Imagen</v>
      </c>
    </row>
    <row r="4300" spans="1:16" x14ac:dyDescent="0.25">
      <c r="A4300">
        <v>3892</v>
      </c>
      <c r="B4300" t="s">
        <v>7793</v>
      </c>
      <c r="C4300">
        <v>37.245294791200003</v>
      </c>
      <c r="D4300">
        <v>-7.0184750082800003</v>
      </c>
      <c r="E4300">
        <v>3</v>
      </c>
      <c r="F4300">
        <v>4</v>
      </c>
      <c r="G4300">
        <v>4</v>
      </c>
      <c r="J4300" t="s">
        <v>15</v>
      </c>
      <c r="K4300">
        <v>4</v>
      </c>
      <c r="L4300">
        <v>3.9550000000000001</v>
      </c>
      <c r="M4300">
        <v>0</v>
      </c>
      <c r="N4300" t="s">
        <v>10019</v>
      </c>
      <c r="O4300" t="str">
        <f>HYPERLINK("4\1\marker_128_361940.png", "Ver Imagen")</f>
        <v>Ver Imagen</v>
      </c>
      <c r="P4300" t="str">
        <f>HYPERLINK("SE\A-497_2C\A-497_2C__321.png", "Ver Imagen")</f>
        <v>Ver Imagen</v>
      </c>
    </row>
    <row r="4301" spans="1:16" x14ac:dyDescent="0.25">
      <c r="A4301">
        <v>3893</v>
      </c>
      <c r="B4301" t="s">
        <v>7795</v>
      </c>
      <c r="C4301">
        <v>37.245058130799997</v>
      </c>
      <c r="D4301">
        <v>-7.0184824287999996</v>
      </c>
      <c r="E4301">
        <v>5</v>
      </c>
      <c r="F4301">
        <v>4</v>
      </c>
      <c r="G4301">
        <v>4</v>
      </c>
      <c r="J4301" t="s">
        <v>15</v>
      </c>
      <c r="K4301">
        <v>4</v>
      </c>
      <c r="L4301">
        <v>3.9529999999999998</v>
      </c>
      <c r="M4301">
        <v>0</v>
      </c>
      <c r="N4301" t="s">
        <v>10019</v>
      </c>
      <c r="O4301" t="str">
        <f>HYPERLINK("4\1\marker_337_361949.png", "Ver Imagen")</f>
        <v>Ver Imagen</v>
      </c>
      <c r="P4301" t="str">
        <f>HYPERLINK("SE\A-497_2C\A-497_2C__322.png", "Ver Imagen")</f>
        <v>Ver Imagen</v>
      </c>
    </row>
    <row r="4302" spans="1:16" x14ac:dyDescent="0.25">
      <c r="A4302">
        <v>3894</v>
      </c>
      <c r="B4302" t="s">
        <v>7797</v>
      </c>
      <c r="C4302">
        <v>37.244647876400002</v>
      </c>
      <c r="D4302">
        <v>-7.0184980300399999</v>
      </c>
      <c r="E4302">
        <v>4</v>
      </c>
      <c r="F4302">
        <v>4</v>
      </c>
      <c r="G4302">
        <v>3</v>
      </c>
      <c r="J4302" t="s">
        <v>15</v>
      </c>
      <c r="K4302">
        <v>4</v>
      </c>
      <c r="L4302">
        <v>3.8410000000000002</v>
      </c>
      <c r="M4302">
        <v>0</v>
      </c>
      <c r="N4302" t="s">
        <v>10019</v>
      </c>
      <c r="O4302" t="str">
        <f>HYPERLINK("4\1\marker_832_361966.png", "Ver Imagen")</f>
        <v>Ver Imagen</v>
      </c>
      <c r="P4302" t="str">
        <f>HYPERLINK("SE\A-497_2C\A-497_2C__324.png", "Ver Imagen")</f>
        <v>Ver Imagen</v>
      </c>
    </row>
    <row r="4303" spans="1:16" x14ac:dyDescent="0.25">
      <c r="A4303">
        <v>3896</v>
      </c>
      <c r="B4303" t="s">
        <v>7801</v>
      </c>
      <c r="C4303">
        <v>37.243446651100001</v>
      </c>
      <c r="D4303">
        <v>-7.0185503230500004</v>
      </c>
      <c r="E4303">
        <v>5</v>
      </c>
      <c r="F4303">
        <v>4</v>
      </c>
      <c r="G4303">
        <v>4</v>
      </c>
      <c r="J4303" t="s">
        <v>15</v>
      </c>
      <c r="K4303">
        <v>4</v>
      </c>
      <c r="L4303">
        <v>3.6509999999999998</v>
      </c>
      <c r="M4303">
        <v>0</v>
      </c>
      <c r="N4303" t="s">
        <v>10017</v>
      </c>
      <c r="O4303" t="str">
        <f>HYPERLINK("4\1\marker_981_362021.png", "Ver Imagen")</f>
        <v>Ver Imagen</v>
      </c>
      <c r="P4303" t="str">
        <f>HYPERLINK("SE\A-497_2C\A-497_2C__330.png", "Ver Imagen")</f>
        <v>Ver Imagen</v>
      </c>
    </row>
    <row r="4304" spans="1:16" x14ac:dyDescent="0.25">
      <c r="A4304">
        <v>3898</v>
      </c>
      <c r="B4304" t="s">
        <v>7805</v>
      </c>
      <c r="C4304">
        <v>37.242219530900002</v>
      </c>
      <c r="D4304">
        <v>-7.0185880411600001</v>
      </c>
      <c r="E4304">
        <v>5</v>
      </c>
      <c r="F4304">
        <v>4</v>
      </c>
      <c r="G4304">
        <v>4</v>
      </c>
      <c r="J4304" t="s">
        <v>15</v>
      </c>
      <c r="K4304">
        <v>4</v>
      </c>
      <c r="L4304">
        <v>4.2560000000000002</v>
      </c>
      <c r="M4304">
        <v>0</v>
      </c>
      <c r="N4304" t="s">
        <v>10019</v>
      </c>
      <c r="O4304" t="str">
        <f>HYPERLINK("4\1\marker_659_362080.png", "Ver Imagen")</f>
        <v>Ver Imagen</v>
      </c>
      <c r="P4304" t="str">
        <f>HYPERLINK("SE\A-497_2C\A-497_2C__336.png", "Ver Imagen")</f>
        <v>Ver Imagen</v>
      </c>
    </row>
    <row r="4305" spans="1:16" x14ac:dyDescent="0.25">
      <c r="A4305">
        <v>3899</v>
      </c>
      <c r="B4305" t="s">
        <v>7807</v>
      </c>
      <c r="C4305">
        <v>37.241425612999997</v>
      </c>
      <c r="D4305">
        <v>-7.0186188496500002</v>
      </c>
      <c r="E4305">
        <v>4</v>
      </c>
      <c r="F4305">
        <v>4</v>
      </c>
      <c r="G4305">
        <v>3</v>
      </c>
      <c r="J4305" t="s">
        <v>15</v>
      </c>
      <c r="K4305">
        <v>4</v>
      </c>
      <c r="L4305">
        <v>3.7730000000000001</v>
      </c>
      <c r="M4305">
        <v>0</v>
      </c>
      <c r="N4305" t="s">
        <v>10019</v>
      </c>
      <c r="O4305" t="str">
        <f>HYPERLINK("4\1\marker_267_362128.png", "Ver Imagen")</f>
        <v>Ver Imagen</v>
      </c>
      <c r="P4305" t="str">
        <f>HYPERLINK("SE\A-497_2C\A-497_2C__340.png", "Ver Imagen")</f>
        <v>Ver Imagen</v>
      </c>
    </row>
    <row r="4306" spans="1:16" x14ac:dyDescent="0.25">
      <c r="A4306">
        <v>3900</v>
      </c>
      <c r="B4306" t="s">
        <v>7809</v>
      </c>
      <c r="C4306">
        <v>37.240827165600003</v>
      </c>
      <c r="D4306">
        <v>-7.0186442232599999</v>
      </c>
      <c r="E4306">
        <v>4</v>
      </c>
      <c r="F4306">
        <v>4</v>
      </c>
      <c r="G4306">
        <v>3</v>
      </c>
      <c r="J4306" t="s">
        <v>15</v>
      </c>
      <c r="K4306">
        <v>4</v>
      </c>
      <c r="L4306">
        <v>3.8290000000000002</v>
      </c>
      <c r="M4306">
        <v>0</v>
      </c>
      <c r="N4306" t="s">
        <v>10019</v>
      </c>
      <c r="O4306" t="str">
        <f>HYPERLINK("4\1\marker_188_362155.png", "Ver Imagen")</f>
        <v>Ver Imagen</v>
      </c>
      <c r="P4306" t="str">
        <f>HYPERLINK("SE\A-497_2C\A-497_2C__343.png", "Ver Imagen")</f>
        <v>Ver Imagen</v>
      </c>
    </row>
    <row r="4307" spans="1:16" x14ac:dyDescent="0.25">
      <c r="A4307">
        <v>3901</v>
      </c>
      <c r="B4307" t="s">
        <v>7811</v>
      </c>
      <c r="C4307">
        <v>37.236406155399997</v>
      </c>
      <c r="D4307">
        <v>-7.0186341510999997</v>
      </c>
      <c r="E4307">
        <v>5</v>
      </c>
      <c r="F4307">
        <v>4</v>
      </c>
      <c r="G4307">
        <v>4</v>
      </c>
      <c r="J4307" t="s">
        <v>15</v>
      </c>
      <c r="K4307">
        <v>4</v>
      </c>
      <c r="L4307">
        <v>4.3410000000000002</v>
      </c>
      <c r="M4307">
        <v>0</v>
      </c>
      <c r="N4307" t="s">
        <v>10019</v>
      </c>
      <c r="O4307" t="str">
        <f>HYPERLINK("4\1\marker_102_362414.png", "Ver Imagen")</f>
        <v>Ver Imagen</v>
      </c>
      <c r="P4307" t="str">
        <f>HYPERLINK("SE\A-497_2C\A-497_2C__365.png", "Ver Imagen")</f>
        <v>Ver Imagen</v>
      </c>
    </row>
    <row r="4308" spans="1:16" x14ac:dyDescent="0.25">
      <c r="A4308">
        <v>3903</v>
      </c>
      <c r="B4308" t="s">
        <v>7815</v>
      </c>
      <c r="C4308">
        <v>37.231167534299999</v>
      </c>
      <c r="D4308">
        <v>-7.0195742509699999</v>
      </c>
      <c r="E4308">
        <v>5</v>
      </c>
      <c r="F4308">
        <v>4</v>
      </c>
      <c r="G4308">
        <v>4</v>
      </c>
      <c r="J4308" t="s">
        <v>15</v>
      </c>
      <c r="K4308">
        <v>4</v>
      </c>
      <c r="L4308">
        <v>3.8809999999999998</v>
      </c>
      <c r="M4308">
        <v>0</v>
      </c>
      <c r="N4308" t="s">
        <v>10019</v>
      </c>
      <c r="O4308" t="str">
        <f>HYPERLINK("4\1\marker_377_362827.png", "Ver Imagen")</f>
        <v>Ver Imagen</v>
      </c>
      <c r="P4308" t="str">
        <f>HYPERLINK("SE\A-497_2C\A-497_2C__392.png", "Ver Imagen")</f>
        <v>Ver Imagen</v>
      </c>
    </row>
    <row r="4309" spans="1:16" x14ac:dyDescent="0.25">
      <c r="A4309">
        <v>3904</v>
      </c>
      <c r="B4309" t="s">
        <v>7817</v>
      </c>
      <c r="C4309">
        <v>37.221417800200001</v>
      </c>
      <c r="D4309">
        <v>-7.0230902977999996</v>
      </c>
      <c r="E4309">
        <v>4</v>
      </c>
      <c r="F4309">
        <v>4</v>
      </c>
      <c r="G4309">
        <v>5</v>
      </c>
      <c r="J4309" t="s">
        <v>15</v>
      </c>
      <c r="K4309">
        <v>4</v>
      </c>
      <c r="L4309">
        <v>4.0149999999999997</v>
      </c>
      <c r="M4309">
        <v>0</v>
      </c>
      <c r="N4309" t="s">
        <v>10019</v>
      </c>
      <c r="O4309" t="str">
        <f>HYPERLINK("4\1\marker_127_363355.png", "Ver Imagen")</f>
        <v>Ver Imagen</v>
      </c>
      <c r="P4309" t="str">
        <f>HYPERLINK("SE\A-497_2C\A-497_2C__444.png", "Ver Imagen")</f>
        <v>Ver Imagen</v>
      </c>
    </row>
    <row r="4310" spans="1:16" x14ac:dyDescent="0.25">
      <c r="A4310">
        <v>3905</v>
      </c>
      <c r="B4310" t="s">
        <v>7819</v>
      </c>
      <c r="C4310">
        <v>37.220818696499997</v>
      </c>
      <c r="D4310">
        <v>-7.0230361868799998</v>
      </c>
      <c r="E4310">
        <v>4</v>
      </c>
      <c r="F4310">
        <v>4</v>
      </c>
      <c r="G4310">
        <v>5</v>
      </c>
      <c r="J4310" t="s">
        <v>15</v>
      </c>
      <c r="K4310">
        <v>4</v>
      </c>
      <c r="L4310">
        <v>3.903</v>
      </c>
      <c r="M4310">
        <v>0</v>
      </c>
      <c r="N4310" t="s">
        <v>10019</v>
      </c>
      <c r="O4310" t="str">
        <f>HYPERLINK("4\1\marker_534_363382.png", "Ver Imagen")</f>
        <v>Ver Imagen</v>
      </c>
      <c r="P4310" t="str">
        <f>HYPERLINK("SE\A-497_2C\A-497_2C__447.png", "Ver Imagen")</f>
        <v>Ver Imagen</v>
      </c>
    </row>
    <row r="4311" spans="1:16" x14ac:dyDescent="0.25">
      <c r="A4311">
        <v>3906</v>
      </c>
      <c r="B4311" t="s">
        <v>7821</v>
      </c>
      <c r="C4311">
        <v>37.217614382500003</v>
      </c>
      <c r="D4311">
        <v>-7.0231300709399997</v>
      </c>
      <c r="E4311">
        <v>4</v>
      </c>
      <c r="F4311">
        <v>4</v>
      </c>
      <c r="G4311">
        <v>3</v>
      </c>
      <c r="J4311" t="s">
        <v>15</v>
      </c>
      <c r="K4311">
        <v>4</v>
      </c>
      <c r="L4311">
        <v>4.0549999999999997</v>
      </c>
      <c r="M4311">
        <v>0</v>
      </c>
      <c r="N4311" t="s">
        <v>10019</v>
      </c>
      <c r="O4311" t="str">
        <f>HYPERLINK("4\1\marker_330_363567.png", "Ver Imagen")</f>
        <v>Ver Imagen</v>
      </c>
      <c r="P4311" t="str">
        <f>HYPERLINK("SE\A-497_2C\A-497_2C__463.png", "Ver Imagen")</f>
        <v>Ver Imagen</v>
      </c>
    </row>
    <row r="4312" spans="1:16" x14ac:dyDescent="0.25">
      <c r="A4312">
        <v>3907</v>
      </c>
      <c r="B4312" t="s">
        <v>7823</v>
      </c>
      <c r="C4312">
        <v>37.217393479499997</v>
      </c>
      <c r="D4312">
        <v>-7.0231676532999998</v>
      </c>
      <c r="E4312">
        <v>3</v>
      </c>
      <c r="F4312">
        <v>4</v>
      </c>
      <c r="G4312">
        <v>4</v>
      </c>
      <c r="J4312" t="s">
        <v>15</v>
      </c>
      <c r="K4312">
        <v>4</v>
      </c>
      <c r="L4312">
        <v>3.931</v>
      </c>
      <c r="M4312">
        <v>0</v>
      </c>
      <c r="N4312" t="s">
        <v>10019</v>
      </c>
      <c r="O4312" t="str">
        <f>HYPERLINK("4\1\marker_775_363576.png", "Ver Imagen")</f>
        <v>Ver Imagen</v>
      </c>
      <c r="P4312" t="str">
        <f>HYPERLINK("SE\A-497_2C\A-497_2C__464.png", "Ver Imagen")</f>
        <v>Ver Imagen</v>
      </c>
    </row>
    <row r="4313" spans="1:16" x14ac:dyDescent="0.25">
      <c r="A4313">
        <v>3908</v>
      </c>
      <c r="B4313" t="s">
        <v>7825</v>
      </c>
      <c r="C4313">
        <v>37.216824601900001</v>
      </c>
      <c r="D4313">
        <v>-7.0232701301900002</v>
      </c>
      <c r="E4313">
        <v>3</v>
      </c>
      <c r="F4313">
        <v>4</v>
      </c>
      <c r="G4313">
        <v>4</v>
      </c>
      <c r="J4313" t="s">
        <v>15</v>
      </c>
      <c r="K4313">
        <v>4</v>
      </c>
      <c r="L4313">
        <v>3.6419999999999999</v>
      </c>
      <c r="M4313">
        <v>0</v>
      </c>
      <c r="N4313" t="s">
        <v>10017</v>
      </c>
      <c r="O4313" t="str">
        <f>HYPERLINK("4\1\marker_100_363609.png", "Ver Imagen")</f>
        <v>Ver Imagen</v>
      </c>
      <c r="P4313" t="str">
        <f>HYPERLINK("SE\A-497_2C\A-497_2C__467.png", "Ver Imagen")</f>
        <v>Ver Imagen</v>
      </c>
    </row>
    <row r="4314" spans="1:16" x14ac:dyDescent="0.25">
      <c r="A4314">
        <v>3909</v>
      </c>
      <c r="B4314" t="s">
        <v>7827</v>
      </c>
      <c r="C4314">
        <v>37.215399082499999</v>
      </c>
      <c r="D4314">
        <v>-7.0235166060900003</v>
      </c>
      <c r="E4314">
        <v>4</v>
      </c>
      <c r="F4314">
        <v>4</v>
      </c>
      <c r="G4314">
        <v>3</v>
      </c>
      <c r="J4314" t="s">
        <v>15</v>
      </c>
      <c r="K4314">
        <v>4</v>
      </c>
      <c r="L4314">
        <v>4.16</v>
      </c>
      <c r="M4314">
        <v>0</v>
      </c>
      <c r="N4314" t="s">
        <v>10019</v>
      </c>
      <c r="O4314" t="str">
        <f>HYPERLINK("4\1\marker_267_363686.png", "Ver Imagen")</f>
        <v>Ver Imagen</v>
      </c>
      <c r="P4314" t="str">
        <f>HYPERLINK("SE\A-497_2C\A-497_2C__474.png", "Ver Imagen")</f>
        <v>Ver Imagen</v>
      </c>
    </row>
    <row r="4315" spans="1:16" x14ac:dyDescent="0.25">
      <c r="A4315">
        <v>3910</v>
      </c>
      <c r="B4315" t="s">
        <v>7829</v>
      </c>
      <c r="C4315">
        <v>37.204434307100001</v>
      </c>
      <c r="D4315">
        <v>-7.0135300114000003</v>
      </c>
      <c r="E4315">
        <v>3</v>
      </c>
      <c r="F4315">
        <v>4</v>
      </c>
      <c r="G4315">
        <v>4</v>
      </c>
      <c r="J4315" t="s">
        <v>15</v>
      </c>
      <c r="K4315">
        <v>4</v>
      </c>
      <c r="L4315">
        <v>3.7930000000000001</v>
      </c>
      <c r="M4315">
        <v>0</v>
      </c>
      <c r="N4315" t="s">
        <v>10019</v>
      </c>
      <c r="O4315" t="str">
        <f>HYPERLINK("4\1\marker_652_364718.png", "Ver Imagen")</f>
        <v>Ver Imagen</v>
      </c>
      <c r="P4315" t="str">
        <f>HYPERLINK("SE\A-497_2C\A-497_2C__553.png", "Ver Imagen")</f>
        <v>Ver Imagen</v>
      </c>
    </row>
    <row r="4316" spans="1:16" x14ac:dyDescent="0.25">
      <c r="A4316">
        <v>3911</v>
      </c>
      <c r="B4316" t="s">
        <v>7831</v>
      </c>
      <c r="C4316">
        <v>37.204392186500002</v>
      </c>
      <c r="D4316">
        <v>-7.0133036193800002</v>
      </c>
      <c r="E4316">
        <v>3</v>
      </c>
      <c r="F4316">
        <v>4</v>
      </c>
      <c r="G4316">
        <v>4</v>
      </c>
      <c r="J4316" t="s">
        <v>15</v>
      </c>
      <c r="K4316">
        <v>4</v>
      </c>
      <c r="L4316">
        <v>4.03</v>
      </c>
      <c r="M4316">
        <v>0</v>
      </c>
      <c r="N4316" t="s">
        <v>10019</v>
      </c>
      <c r="O4316" t="str">
        <f>HYPERLINK("4\1\marker_737_366317.png", "Ver Imagen")</f>
        <v>Ver Imagen</v>
      </c>
      <c r="P4316" t="str">
        <f>HYPERLINK("SE\A-497_2C\A-497_2C__554.png", "Ver Imagen")</f>
        <v>Ver Imagen</v>
      </c>
    </row>
    <row r="4317" spans="1:16" x14ac:dyDescent="0.25">
      <c r="A4317">
        <v>3912</v>
      </c>
      <c r="B4317" t="s">
        <v>7833</v>
      </c>
      <c r="C4317">
        <v>37.204351825700002</v>
      </c>
      <c r="D4317">
        <v>-7.0130841963800004</v>
      </c>
      <c r="E4317">
        <v>3</v>
      </c>
      <c r="F4317">
        <v>4</v>
      </c>
      <c r="G4317">
        <v>4</v>
      </c>
      <c r="J4317" t="s">
        <v>15</v>
      </c>
      <c r="K4317">
        <v>4</v>
      </c>
      <c r="L4317">
        <v>3.7519999999999998</v>
      </c>
      <c r="M4317">
        <v>0</v>
      </c>
      <c r="N4317" t="s">
        <v>10019</v>
      </c>
      <c r="O4317" t="str">
        <f>HYPERLINK("4\1\marker_556_366327.png", "Ver Imagen")</f>
        <v>Ver Imagen</v>
      </c>
      <c r="P4317" t="str">
        <f>HYPERLINK("SE\A-497_2C\A-497_2C__555.png", "Ver Imagen")</f>
        <v>Ver Imagen</v>
      </c>
    </row>
    <row r="4318" spans="1:16" x14ac:dyDescent="0.25">
      <c r="A4318">
        <v>3913</v>
      </c>
      <c r="B4318" t="s">
        <v>7835</v>
      </c>
      <c r="C4318">
        <v>37.203905347999999</v>
      </c>
      <c r="D4318">
        <v>-7.0105494081000002</v>
      </c>
      <c r="E4318">
        <v>4</v>
      </c>
      <c r="F4318">
        <v>4</v>
      </c>
      <c r="G4318">
        <v>3</v>
      </c>
      <c r="J4318" t="s">
        <v>15</v>
      </c>
      <c r="K4318">
        <v>4</v>
      </c>
      <c r="L4318">
        <v>3.536</v>
      </c>
      <c r="M4318">
        <v>0</v>
      </c>
      <c r="N4318" t="s">
        <v>10019</v>
      </c>
      <c r="O4318" t="str">
        <f>HYPERLINK("4\1\marker_224_366432.png", "Ver Imagen")</f>
        <v>Ver Imagen</v>
      </c>
      <c r="P4318" t="str">
        <f>HYPERLINK("SE\A-497_2C\A-497_2C__565.png", "Ver Imagen")</f>
        <v>Ver Imagen</v>
      </c>
    </row>
    <row r="4319" spans="1:16" x14ac:dyDescent="0.25">
      <c r="A4319">
        <v>3915</v>
      </c>
      <c r="B4319" t="s">
        <v>7839</v>
      </c>
      <c r="C4319">
        <v>37.203169446799997</v>
      </c>
      <c r="D4319">
        <v>-7.0055948842899998</v>
      </c>
      <c r="E4319">
        <v>4</v>
      </c>
      <c r="F4319">
        <v>4</v>
      </c>
      <c r="G4319">
        <v>3</v>
      </c>
      <c r="J4319" t="s">
        <v>15</v>
      </c>
      <c r="K4319">
        <v>4</v>
      </c>
      <c r="L4319">
        <v>3.899</v>
      </c>
      <c r="M4319">
        <v>0</v>
      </c>
      <c r="N4319" t="s">
        <v>10019</v>
      </c>
      <c r="O4319" t="str">
        <f>HYPERLINK("4\1\marker_871_366616.png", "Ver Imagen")</f>
        <v>Ver Imagen</v>
      </c>
      <c r="P4319" t="str">
        <f>HYPERLINK("SE\A-497_2C\A-497_2C__585.png", "Ver Imagen")</f>
        <v>Ver Imagen</v>
      </c>
    </row>
    <row r="4320" spans="1:16" x14ac:dyDescent="0.25">
      <c r="A4320">
        <v>3917</v>
      </c>
      <c r="B4320" t="s">
        <v>7843</v>
      </c>
      <c r="C4320">
        <v>37.2027357431</v>
      </c>
      <c r="D4320">
        <v>-7.0018921696699996</v>
      </c>
      <c r="E4320">
        <v>3</v>
      </c>
      <c r="F4320">
        <v>4</v>
      </c>
      <c r="G4320">
        <v>4</v>
      </c>
      <c r="J4320" t="s">
        <v>15</v>
      </c>
      <c r="K4320">
        <v>4</v>
      </c>
      <c r="L4320">
        <v>4.04</v>
      </c>
      <c r="M4320">
        <v>0</v>
      </c>
      <c r="N4320" t="s">
        <v>10019</v>
      </c>
      <c r="O4320" t="str">
        <f>HYPERLINK("4\1\marker_460_366763.png", "Ver Imagen")</f>
        <v>Ver Imagen</v>
      </c>
      <c r="P4320" t="str">
        <f>HYPERLINK("SE\A-497_2C\A-497_2C__600.png", "Ver Imagen")</f>
        <v>Ver Imagen</v>
      </c>
    </row>
    <row r="4321" spans="1:16" x14ac:dyDescent="0.25">
      <c r="A4321">
        <v>3919</v>
      </c>
      <c r="B4321" t="s">
        <v>7847</v>
      </c>
      <c r="C4321">
        <v>37.229879241200003</v>
      </c>
      <c r="D4321">
        <v>-7.02035050843</v>
      </c>
      <c r="E4321">
        <v>4</v>
      </c>
      <c r="F4321">
        <v>4</v>
      </c>
      <c r="G4321">
        <v>3</v>
      </c>
      <c r="J4321" t="s">
        <v>15</v>
      </c>
      <c r="K4321">
        <v>4</v>
      </c>
      <c r="L4321">
        <v>3.6150000000000002</v>
      </c>
      <c r="M4321">
        <v>0</v>
      </c>
      <c r="N4321" t="s">
        <v>10019</v>
      </c>
      <c r="O4321" t="str">
        <f>HYPERLINK("4\1\marker_107_377155.png", "Ver Imagen")</f>
        <v>Ver Imagen</v>
      </c>
      <c r="P4321" t="str">
        <f>HYPERLINK("SE\A-497\A-497__404.png", "Ver Imagen")</f>
        <v>Ver Imagen</v>
      </c>
    </row>
    <row r="4322" spans="1:16" x14ac:dyDescent="0.25">
      <c r="A4322">
        <v>3920</v>
      </c>
      <c r="B4322" t="s">
        <v>7849</v>
      </c>
      <c r="C4322">
        <v>37.230058411199998</v>
      </c>
      <c r="D4322">
        <v>-7.02021279608</v>
      </c>
      <c r="E4322">
        <v>4</v>
      </c>
      <c r="F4322">
        <v>4</v>
      </c>
      <c r="G4322">
        <v>3</v>
      </c>
      <c r="J4322" t="s">
        <v>15</v>
      </c>
      <c r="K4322">
        <v>4</v>
      </c>
      <c r="L4322">
        <v>3.5910000000000002</v>
      </c>
      <c r="M4322">
        <v>0</v>
      </c>
      <c r="N4322" t="s">
        <v>10019</v>
      </c>
      <c r="O4322" t="str">
        <f>HYPERLINK("4\1\marker_899_377164.png", "Ver Imagen")</f>
        <v>Ver Imagen</v>
      </c>
      <c r="P4322" t="str">
        <f>HYPERLINK("SE\A-497\A-497__403.png", "Ver Imagen")</f>
        <v>Ver Imagen</v>
      </c>
    </row>
    <row r="4323" spans="1:16" x14ac:dyDescent="0.25">
      <c r="A4323">
        <v>3923</v>
      </c>
      <c r="B4323" t="s">
        <v>7855</v>
      </c>
      <c r="C4323">
        <v>37.230779553300003</v>
      </c>
      <c r="D4323">
        <v>-7.0196574461900001</v>
      </c>
      <c r="E4323">
        <v>4</v>
      </c>
      <c r="F4323">
        <v>4</v>
      </c>
      <c r="G4323">
        <v>3</v>
      </c>
      <c r="J4323" t="s">
        <v>15</v>
      </c>
      <c r="K4323">
        <v>4</v>
      </c>
      <c r="L4323">
        <v>3.7389999999999999</v>
      </c>
      <c r="M4323">
        <v>0</v>
      </c>
      <c r="N4323" t="s">
        <v>10019</v>
      </c>
      <c r="O4323" t="str">
        <f>HYPERLINK("4\1\marker_411_377202.png", "Ver Imagen")</f>
        <v>Ver Imagen</v>
      </c>
      <c r="P4323" t="str">
        <f>HYPERLINK("SE\A-497\A-497__399.png", "Ver Imagen")</f>
        <v>Ver Imagen</v>
      </c>
    </row>
    <row r="4324" spans="1:16" x14ac:dyDescent="0.25">
      <c r="A4324">
        <v>3924</v>
      </c>
      <c r="B4324" t="s">
        <v>7857</v>
      </c>
      <c r="C4324">
        <v>37.230927216300003</v>
      </c>
      <c r="D4324">
        <v>-7.0195440479200002</v>
      </c>
      <c r="E4324">
        <v>4</v>
      </c>
      <c r="F4324">
        <v>4</v>
      </c>
      <c r="G4324">
        <v>3</v>
      </c>
      <c r="J4324" t="s">
        <v>15</v>
      </c>
      <c r="K4324">
        <v>4</v>
      </c>
      <c r="L4324">
        <v>3.9289999999999998</v>
      </c>
      <c r="M4324">
        <v>0</v>
      </c>
      <c r="N4324" t="s">
        <v>10019</v>
      </c>
      <c r="O4324" t="str">
        <f>HYPERLINK("4\1\marker_112_377211.png", "Ver Imagen")</f>
        <v>Ver Imagen</v>
      </c>
      <c r="P4324" t="str">
        <f>HYPERLINK("SE\A-497\A-497__398.png", "Ver Imagen")</f>
        <v>Ver Imagen</v>
      </c>
    </row>
    <row r="4325" spans="1:16" x14ac:dyDescent="0.25">
      <c r="A4325">
        <v>3925</v>
      </c>
      <c r="B4325" t="s">
        <v>7859</v>
      </c>
      <c r="C4325">
        <v>37.248448982100001</v>
      </c>
      <c r="D4325">
        <v>-7.0181609967299998</v>
      </c>
      <c r="E4325">
        <v>4</v>
      </c>
      <c r="F4325">
        <v>4</v>
      </c>
      <c r="G4325">
        <v>3</v>
      </c>
      <c r="J4325" t="s">
        <v>15</v>
      </c>
      <c r="K4325">
        <v>4</v>
      </c>
      <c r="L4325">
        <v>3.972</v>
      </c>
      <c r="M4325">
        <v>0</v>
      </c>
      <c r="N4325" t="s">
        <v>10019</v>
      </c>
      <c r="O4325" t="str">
        <f>HYPERLINK("4\1\marker_344_378099.png", "Ver Imagen")</f>
        <v>Ver Imagen</v>
      </c>
      <c r="P4325" t="str">
        <f>HYPERLINK("SE\A-497\A-497__310.png", "Ver Imagen")</f>
        <v>Ver Imagen</v>
      </c>
    </row>
    <row r="4326" spans="1:16" x14ac:dyDescent="0.25">
      <c r="A4326">
        <v>3926</v>
      </c>
      <c r="B4326" t="s">
        <v>7861</v>
      </c>
      <c r="C4326">
        <v>37.2496339506</v>
      </c>
      <c r="D4326">
        <v>-7.0179601865899999</v>
      </c>
      <c r="E4326">
        <v>3</v>
      </c>
      <c r="F4326">
        <v>4</v>
      </c>
      <c r="G4326">
        <v>4</v>
      </c>
      <c r="J4326" t="s">
        <v>15</v>
      </c>
      <c r="K4326">
        <v>4</v>
      </c>
      <c r="L4326">
        <v>4.0270000000000001</v>
      </c>
      <c r="M4326">
        <v>0</v>
      </c>
      <c r="N4326" t="s">
        <v>10019</v>
      </c>
      <c r="O4326" t="str">
        <f>HYPERLINK("4\1\marker_726_378162.png", "Ver Imagen")</f>
        <v>Ver Imagen</v>
      </c>
      <c r="P4326" t="str">
        <f>HYPERLINK("SE\A-497\A-497__304.png", "Ver Imagen")</f>
        <v>Ver Imagen</v>
      </c>
    </row>
    <row r="4327" spans="1:16" x14ac:dyDescent="0.25">
      <c r="A4327">
        <v>3927</v>
      </c>
      <c r="B4327" t="s">
        <v>7863</v>
      </c>
      <c r="C4327">
        <v>37.254192600300001</v>
      </c>
      <c r="D4327">
        <v>-7.01520826389</v>
      </c>
      <c r="E4327">
        <v>3</v>
      </c>
      <c r="F4327">
        <v>4</v>
      </c>
      <c r="G4327">
        <v>4</v>
      </c>
      <c r="J4327" t="s">
        <v>15</v>
      </c>
      <c r="K4327">
        <v>4</v>
      </c>
      <c r="L4327">
        <v>3.907</v>
      </c>
      <c r="M4327">
        <v>0</v>
      </c>
      <c r="N4327" t="s">
        <v>10019</v>
      </c>
      <c r="O4327" t="str">
        <f>HYPERLINK("4\1\marker_745_378487.png", "Ver Imagen")</f>
        <v>Ver Imagen</v>
      </c>
      <c r="P4327" t="str">
        <f>HYPERLINK("SE\A-497\A-497__279.png", "Ver Imagen")</f>
        <v>Ver Imagen</v>
      </c>
    </row>
    <row r="4328" spans="1:16" x14ac:dyDescent="0.25">
      <c r="A4328">
        <v>3928</v>
      </c>
      <c r="B4328" t="s">
        <v>7865</v>
      </c>
      <c r="C4328">
        <v>37.254521277199999</v>
      </c>
      <c r="D4328">
        <v>-7.0149969350700001</v>
      </c>
      <c r="E4328">
        <v>4</v>
      </c>
      <c r="F4328">
        <v>4</v>
      </c>
      <c r="G4328">
        <v>3</v>
      </c>
      <c r="J4328" t="s">
        <v>15</v>
      </c>
      <c r="K4328">
        <v>4</v>
      </c>
      <c r="L4328">
        <v>3.8940000000000001</v>
      </c>
      <c r="M4328">
        <v>0</v>
      </c>
      <c r="N4328" t="s">
        <v>10019</v>
      </c>
      <c r="O4328" t="str">
        <f>HYPERLINK("4\1\marker_670_378505.png", "Ver Imagen")</f>
        <v>Ver Imagen</v>
      </c>
      <c r="P4328" t="str">
        <f>HYPERLINK("SE\A-497\A-497__277.png", "Ver Imagen")</f>
        <v>Ver Imagen</v>
      </c>
    </row>
    <row r="4329" spans="1:16" x14ac:dyDescent="0.25">
      <c r="A4329">
        <v>3929</v>
      </c>
      <c r="B4329" t="s">
        <v>7867</v>
      </c>
      <c r="C4329">
        <v>37.263117804399997</v>
      </c>
      <c r="D4329">
        <v>-7.00817947003</v>
      </c>
      <c r="E4329">
        <v>4</v>
      </c>
      <c r="F4329">
        <v>4</v>
      </c>
      <c r="G4329">
        <v>3</v>
      </c>
      <c r="J4329" t="s">
        <v>15</v>
      </c>
      <c r="K4329">
        <v>4</v>
      </c>
      <c r="L4329">
        <v>3.7770000000000001</v>
      </c>
      <c r="M4329">
        <v>0</v>
      </c>
      <c r="N4329" t="s">
        <v>10019</v>
      </c>
      <c r="O4329" t="str">
        <f>HYPERLINK("4\1\marker_453_379079.png", "Ver Imagen")</f>
        <v>Ver Imagen</v>
      </c>
      <c r="P4329" t="str">
        <f>HYPERLINK("SE\A-497\A-497__226.png", "Ver Imagen")</f>
        <v>Ver Imagen</v>
      </c>
    </row>
    <row r="4330" spans="1:16" x14ac:dyDescent="0.25">
      <c r="A4330">
        <v>3931</v>
      </c>
      <c r="B4330" t="s">
        <v>7871</v>
      </c>
      <c r="C4330">
        <v>37.270800284499998</v>
      </c>
      <c r="D4330">
        <v>-6.9822550399400001</v>
      </c>
      <c r="E4330">
        <v>3</v>
      </c>
      <c r="F4330">
        <v>4</v>
      </c>
      <c r="G4330">
        <v>4</v>
      </c>
      <c r="J4330" t="s">
        <v>15</v>
      </c>
      <c r="K4330">
        <v>4</v>
      </c>
      <c r="L4330">
        <v>3.87</v>
      </c>
      <c r="M4330">
        <v>0</v>
      </c>
      <c r="N4330" t="s">
        <v>10019</v>
      </c>
      <c r="O4330" t="str">
        <f>HYPERLINK("4\1\marker_245_380758.png", "Ver Imagen")</f>
        <v>Ver Imagen</v>
      </c>
      <c r="P4330" t="str">
        <f>HYPERLINK("SE\A-497\A-497__107.png", "Ver Imagen")</f>
        <v>Ver Imagen</v>
      </c>
    </row>
    <row r="4331" spans="1:16" x14ac:dyDescent="0.25">
      <c r="A4331">
        <v>3932</v>
      </c>
      <c r="B4331" t="s">
        <v>7873</v>
      </c>
      <c r="C4331">
        <v>37.456176667599998</v>
      </c>
      <c r="D4331">
        <v>-7.1136105797500004</v>
      </c>
      <c r="E4331">
        <v>5</v>
      </c>
      <c r="F4331">
        <v>5</v>
      </c>
      <c r="G4331">
        <v>5</v>
      </c>
      <c r="J4331" t="s">
        <v>15</v>
      </c>
      <c r="K4331">
        <v>5</v>
      </c>
      <c r="L4331">
        <v>4.5869999999999997</v>
      </c>
      <c r="M4331">
        <v>0</v>
      </c>
      <c r="N4331" t="s">
        <v>10017</v>
      </c>
      <c r="O4331" t="str">
        <f>HYPERLINK("5\0\marker_232_935520.png", "Ver Imagen")</f>
        <v>Ver Imagen</v>
      </c>
      <c r="P4331" t="str">
        <f>HYPERLINK("NE\A-495R\A-495R__60.png", "Ver Imagen")</f>
        <v>Ver Imagen</v>
      </c>
    </row>
    <row r="4332" spans="1:16" x14ac:dyDescent="0.25">
      <c r="A4332">
        <v>3933</v>
      </c>
      <c r="B4332" t="s">
        <v>7875</v>
      </c>
      <c r="C4332">
        <v>37.455604473400001</v>
      </c>
      <c r="D4332">
        <v>-7.1133878514399997</v>
      </c>
      <c r="E4332">
        <v>5</v>
      </c>
      <c r="F4332">
        <v>5</v>
      </c>
      <c r="G4332">
        <v>5</v>
      </c>
      <c r="J4332" t="s">
        <v>15</v>
      </c>
      <c r="K4332">
        <v>5</v>
      </c>
      <c r="L4332">
        <v>4.6340000000000003</v>
      </c>
      <c r="M4332">
        <v>0</v>
      </c>
      <c r="N4332" t="s">
        <v>10018</v>
      </c>
      <c r="O4332" t="str">
        <f>HYPERLINK("5\0\marker_140_935590.png", "Ver Imagen")</f>
        <v>Ver Imagen</v>
      </c>
      <c r="P4332" t="str">
        <f>HYPERLINK("NE\A-495R\A-495R__57.png", "Ver Imagen")</f>
        <v>Ver Imagen</v>
      </c>
    </row>
    <row r="4333" spans="1:16" x14ac:dyDescent="0.25">
      <c r="A4333">
        <v>3934</v>
      </c>
      <c r="B4333" t="s">
        <v>7877</v>
      </c>
      <c r="C4333">
        <v>37.454808798599998</v>
      </c>
      <c r="D4333">
        <v>-7.1130373630600001</v>
      </c>
      <c r="E4333">
        <v>5</v>
      </c>
      <c r="F4333">
        <v>5</v>
      </c>
      <c r="G4333">
        <v>5</v>
      </c>
      <c r="J4333" t="s">
        <v>15</v>
      </c>
      <c r="K4333">
        <v>5</v>
      </c>
      <c r="L4333">
        <v>5</v>
      </c>
      <c r="M4333">
        <v>0</v>
      </c>
      <c r="N4333" t="s">
        <v>10019</v>
      </c>
      <c r="O4333" t="str">
        <f>HYPERLINK("5\0\marker_515_935632.png", "Ver Imagen")</f>
        <v>Ver Imagen</v>
      </c>
      <c r="P4333" t="str">
        <f>HYPERLINK("NE\A-495R\A-495R__53.png", "Ver Imagen")</f>
        <v>Ver Imagen</v>
      </c>
    </row>
    <row r="4334" spans="1:16" x14ac:dyDescent="0.25">
      <c r="A4334">
        <v>3936</v>
      </c>
      <c r="B4334" t="s">
        <v>7881</v>
      </c>
      <c r="C4334">
        <v>37.454275823400003</v>
      </c>
      <c r="D4334">
        <v>-7.1127576442300002</v>
      </c>
      <c r="E4334">
        <v>5</v>
      </c>
      <c r="F4334">
        <v>5</v>
      </c>
      <c r="G4334">
        <v>5</v>
      </c>
      <c r="J4334" t="s">
        <v>15</v>
      </c>
      <c r="K4334">
        <v>5</v>
      </c>
      <c r="L4334">
        <v>4.9420000000000002</v>
      </c>
      <c r="M4334">
        <v>0</v>
      </c>
      <c r="N4334" t="s">
        <v>10019</v>
      </c>
      <c r="O4334" t="str">
        <f>HYPERLINK("5\0\marker_597_935661.png", "Ver Imagen")</f>
        <v>Ver Imagen</v>
      </c>
      <c r="P4334" t="str">
        <f>HYPERLINK("NE\A-495R\A-495R__50.png", "Ver Imagen")</f>
        <v>Ver Imagen</v>
      </c>
    </row>
    <row r="4335" spans="1:16" x14ac:dyDescent="0.25">
      <c r="A4335">
        <v>3938</v>
      </c>
      <c r="B4335" t="s">
        <v>7885</v>
      </c>
      <c r="C4335">
        <v>37.450239091199997</v>
      </c>
      <c r="D4335">
        <v>-7.1104579866800002</v>
      </c>
      <c r="E4335">
        <v>5</v>
      </c>
      <c r="F4335">
        <v>5</v>
      </c>
      <c r="G4335">
        <v>5</v>
      </c>
      <c r="J4335" t="s">
        <v>15</v>
      </c>
      <c r="K4335">
        <v>5</v>
      </c>
      <c r="L4335">
        <v>5</v>
      </c>
      <c r="M4335">
        <v>0</v>
      </c>
      <c r="N4335" t="s">
        <v>10019</v>
      </c>
      <c r="O4335" t="str">
        <f>HYPERLINK("5\0\marker_276_936642.png", "Ver Imagen")</f>
        <v>Ver Imagen</v>
      </c>
      <c r="P4335" t="str">
        <f>HYPERLINK("NE\A-495R\A-495R__28.png", "Ver Imagen")</f>
        <v>Ver Imagen</v>
      </c>
    </row>
    <row r="4336" spans="1:16" x14ac:dyDescent="0.25">
      <c r="A4336">
        <v>3940</v>
      </c>
      <c r="B4336" t="s">
        <v>7889</v>
      </c>
      <c r="C4336">
        <v>37.213161532000001</v>
      </c>
      <c r="D4336">
        <v>-7.0646476186499996</v>
      </c>
      <c r="E4336">
        <v>5</v>
      </c>
      <c r="F4336">
        <v>5</v>
      </c>
      <c r="G4336">
        <v>5</v>
      </c>
      <c r="J4336" t="s">
        <v>15</v>
      </c>
      <c r="K4336">
        <v>5</v>
      </c>
      <c r="L4336">
        <v>4.992</v>
      </c>
      <c r="M4336">
        <v>0</v>
      </c>
      <c r="N4336" t="s">
        <v>10019</v>
      </c>
      <c r="O4336" t="str">
        <f>HYPERLINK("5\0\marker_772_960041.png", "Ver Imagen")</f>
        <v>Ver Imagen</v>
      </c>
      <c r="P4336" t="str">
        <f>HYPERLINK("SE\A-5052\A-5052__246.png", "Ver Imagen")</f>
        <v>Ver Imagen</v>
      </c>
    </row>
    <row r="4337" spans="1:16" x14ac:dyDescent="0.25">
      <c r="A4337">
        <v>3941</v>
      </c>
      <c r="B4337" t="s">
        <v>7891</v>
      </c>
      <c r="C4337">
        <v>37.468852637399998</v>
      </c>
      <c r="D4337">
        <v>-7.1238461906300001</v>
      </c>
      <c r="E4337">
        <v>5</v>
      </c>
      <c r="F4337">
        <v>5</v>
      </c>
      <c r="G4337">
        <v>5</v>
      </c>
      <c r="J4337" t="s">
        <v>15</v>
      </c>
      <c r="K4337">
        <v>5</v>
      </c>
      <c r="L4337">
        <v>4.5789999999999997</v>
      </c>
      <c r="M4337">
        <v>0</v>
      </c>
      <c r="N4337" t="s">
        <v>10019</v>
      </c>
      <c r="O4337" t="str">
        <f>HYPERLINK("5\0\marker_252_384926.png", "Ver Imagen")</f>
        <v>Ver Imagen</v>
      </c>
      <c r="P4337" t="str">
        <f>HYPERLINK("NE\A-495_1\A-495_1__107.png", "Ver Imagen")</f>
        <v>Ver Imagen</v>
      </c>
    </row>
    <row r="4338" spans="1:16" x14ac:dyDescent="0.25">
      <c r="A4338">
        <v>3942</v>
      </c>
      <c r="B4338" t="s">
        <v>7893</v>
      </c>
      <c r="C4338">
        <v>37.187036661599997</v>
      </c>
      <c r="D4338">
        <v>-6.9794642829700004</v>
      </c>
      <c r="E4338">
        <v>5</v>
      </c>
      <c r="F4338">
        <v>5</v>
      </c>
      <c r="G4338">
        <v>5</v>
      </c>
      <c r="J4338" t="s">
        <v>15</v>
      </c>
      <c r="K4338">
        <v>5</v>
      </c>
      <c r="L4338">
        <v>5</v>
      </c>
      <c r="M4338">
        <v>0</v>
      </c>
      <c r="N4338" t="s">
        <v>10019</v>
      </c>
      <c r="O4338" t="str">
        <f>HYPERLINK("5\0\marker_277_368480.png", "Ver Imagen")</f>
        <v>Ver Imagen</v>
      </c>
      <c r="P4338" t="str">
        <f>HYPERLINK("SE\A-497\A-497__767.png", "Ver Imagen")</f>
        <v>Ver Imagen</v>
      </c>
    </row>
    <row r="4339" spans="1:16" x14ac:dyDescent="0.25">
      <c r="A4339">
        <v>3943</v>
      </c>
      <c r="B4339" t="s">
        <v>7895</v>
      </c>
      <c r="C4339">
        <v>37.204148234599998</v>
      </c>
      <c r="D4339">
        <v>-7.0111197444700002</v>
      </c>
      <c r="E4339">
        <v>5</v>
      </c>
      <c r="F4339">
        <v>5</v>
      </c>
      <c r="G4339">
        <v>5</v>
      </c>
      <c r="J4339" t="s">
        <v>15</v>
      </c>
      <c r="K4339">
        <v>5</v>
      </c>
      <c r="L4339">
        <v>4.9509999999999996</v>
      </c>
      <c r="M4339">
        <v>0</v>
      </c>
      <c r="N4339" t="s">
        <v>10019</v>
      </c>
      <c r="O4339" t="str">
        <f>HYPERLINK("5\0\marker_120_372080.png", "Ver Imagen")</f>
        <v>Ver Imagen</v>
      </c>
      <c r="P4339" t="str">
        <f>HYPERLINK("SE\A-497\A-497__566.png", "Ver Imagen")</f>
        <v>Ver Imagen</v>
      </c>
    </row>
    <row r="4340" spans="1:16" x14ac:dyDescent="0.25">
      <c r="A4340">
        <v>3944</v>
      </c>
      <c r="B4340" t="s">
        <v>7897</v>
      </c>
      <c r="C4340">
        <v>37.242037004700002</v>
      </c>
      <c r="D4340">
        <v>-7.0185940635800002</v>
      </c>
      <c r="E4340">
        <v>5</v>
      </c>
      <c r="F4340">
        <v>5</v>
      </c>
      <c r="G4340">
        <v>5</v>
      </c>
      <c r="J4340" t="s">
        <v>15</v>
      </c>
      <c r="K4340">
        <v>5</v>
      </c>
      <c r="L4340">
        <v>5</v>
      </c>
      <c r="M4340">
        <v>0</v>
      </c>
      <c r="N4340" t="s">
        <v>10019</v>
      </c>
      <c r="O4340" t="str">
        <f>HYPERLINK("5\0\marker_838_362098.png", "Ver Imagen")</f>
        <v>Ver Imagen</v>
      </c>
      <c r="P4340" t="str">
        <f>HYPERLINK("SE\A-497_2C\A-497_2C__337.png", "Ver Imagen")</f>
        <v>Ver Imagen</v>
      </c>
    </row>
    <row r="4341" spans="1:16" x14ac:dyDescent="0.25">
      <c r="A4341">
        <v>3945</v>
      </c>
      <c r="B4341" t="s">
        <v>7899</v>
      </c>
      <c r="C4341">
        <v>37.253975818500003</v>
      </c>
      <c r="D4341">
        <v>-7.0153466037100003</v>
      </c>
      <c r="E4341">
        <v>5</v>
      </c>
      <c r="F4341">
        <v>5</v>
      </c>
      <c r="G4341">
        <v>5</v>
      </c>
      <c r="J4341" t="s">
        <v>15</v>
      </c>
      <c r="K4341">
        <v>5</v>
      </c>
      <c r="L4341">
        <v>5</v>
      </c>
      <c r="M4341">
        <v>0</v>
      </c>
      <c r="N4341" t="s">
        <v>10019</v>
      </c>
      <c r="O4341" t="str">
        <f>HYPERLINK("5\0\marker_349_378467.png", "Ver Imagen")</f>
        <v>Ver Imagen</v>
      </c>
      <c r="P4341" t="str">
        <f>HYPERLINK("SE\A-497\A-497__280.png", "Ver Imagen")</f>
        <v>Ver Imagen</v>
      </c>
    </row>
    <row r="4342" spans="1:16" x14ac:dyDescent="0.25">
      <c r="A4342">
        <v>3946</v>
      </c>
      <c r="B4342" t="s">
        <v>7901</v>
      </c>
      <c r="C4342">
        <v>37.451116187300002</v>
      </c>
      <c r="D4342">
        <v>-7.1542270568699999</v>
      </c>
      <c r="E4342">
        <v>4</v>
      </c>
      <c r="F4342">
        <v>5</v>
      </c>
      <c r="G4342">
        <v>5</v>
      </c>
      <c r="J4342" t="s">
        <v>15</v>
      </c>
      <c r="K4342">
        <v>5</v>
      </c>
      <c r="L4342">
        <v>5</v>
      </c>
      <c r="M4342">
        <v>0</v>
      </c>
      <c r="N4342" t="s">
        <v>10019</v>
      </c>
      <c r="O4342" t="str">
        <f>HYPERLINK("5\1\marker_505_739928.png", "Ver Imagen")</f>
        <v>Ver Imagen</v>
      </c>
      <c r="P4342" t="str">
        <f>HYPERLINK("NE\A-490\A-490__117.png", "Ver Imagen")</f>
        <v>Ver Imagen</v>
      </c>
    </row>
    <row r="4343" spans="1:16" x14ac:dyDescent="0.25">
      <c r="A4343">
        <v>3947</v>
      </c>
      <c r="B4343" t="s">
        <v>7903</v>
      </c>
      <c r="C4343">
        <v>37.465640173600001</v>
      </c>
      <c r="D4343">
        <v>-7.1815094256499998</v>
      </c>
      <c r="E4343">
        <v>4</v>
      </c>
      <c r="F4343">
        <v>5</v>
      </c>
      <c r="G4343">
        <v>5</v>
      </c>
      <c r="J4343" t="s">
        <v>15</v>
      </c>
      <c r="K4343">
        <v>5</v>
      </c>
      <c r="L4343">
        <v>4.9749999999999996</v>
      </c>
      <c r="M4343">
        <v>0</v>
      </c>
      <c r="N4343" t="s">
        <v>10019</v>
      </c>
      <c r="O4343" t="str">
        <f>HYPERLINK("5\1\marker_353_749460.png", "Ver Imagen")</f>
        <v>Ver Imagen</v>
      </c>
      <c r="P4343" t="str">
        <f>HYPERLINK("NE\A-490\A-490__248.png", "Ver Imagen")</f>
        <v>Ver Imagen</v>
      </c>
    </row>
    <row r="4344" spans="1:16" x14ac:dyDescent="0.25">
      <c r="A4344">
        <v>3948</v>
      </c>
      <c r="B4344" t="s">
        <v>7905</v>
      </c>
      <c r="C4344">
        <v>37.458116646400001</v>
      </c>
      <c r="D4344">
        <v>-7.11434482668</v>
      </c>
      <c r="E4344">
        <v>5</v>
      </c>
      <c r="F4344">
        <v>5</v>
      </c>
      <c r="G4344">
        <v>4</v>
      </c>
      <c r="J4344" t="s">
        <v>15</v>
      </c>
      <c r="K4344">
        <v>5</v>
      </c>
      <c r="L4344">
        <v>4.96</v>
      </c>
      <c r="M4344">
        <v>0</v>
      </c>
      <c r="N4344" t="s">
        <v>10019</v>
      </c>
      <c r="O4344" t="str">
        <f>HYPERLINK("5\1\marker_114_935234.png", "Ver Imagen")</f>
        <v>Ver Imagen</v>
      </c>
      <c r="P4344" t="str">
        <f>HYPERLINK("NE\A-495R\A-495R__70.png", "Ver Imagen")</f>
        <v>Ver Imagen</v>
      </c>
    </row>
    <row r="4345" spans="1:16" x14ac:dyDescent="0.25">
      <c r="A4345">
        <v>3949</v>
      </c>
      <c r="B4345" t="s">
        <v>7907</v>
      </c>
      <c r="C4345">
        <v>37.266601832600003</v>
      </c>
      <c r="D4345">
        <v>-6.9924371449600002</v>
      </c>
      <c r="E4345">
        <v>5</v>
      </c>
      <c r="F4345">
        <v>5</v>
      </c>
      <c r="G4345">
        <v>4</v>
      </c>
      <c r="J4345" t="s">
        <v>15</v>
      </c>
      <c r="K4345">
        <v>5</v>
      </c>
      <c r="L4345">
        <v>5</v>
      </c>
      <c r="M4345">
        <v>0</v>
      </c>
      <c r="N4345" t="s">
        <v>10019</v>
      </c>
      <c r="O4345" t="str">
        <f>HYPERLINK("5\1\marker_164_656065.png", "Ver Imagen")</f>
        <v>Ver Imagen</v>
      </c>
      <c r="P4345" t="str">
        <f>HYPERLINK("SE\A-497_2C\A-497_2C__156.png", "Ver Imagen")</f>
        <v>Ver Imagen</v>
      </c>
    </row>
    <row r="4346" spans="1:16" x14ac:dyDescent="0.25">
      <c r="A4346">
        <v>3950</v>
      </c>
      <c r="B4346" t="s">
        <v>7909</v>
      </c>
      <c r="C4346">
        <v>37.448934142699997</v>
      </c>
      <c r="D4346">
        <v>-7.14969086288</v>
      </c>
      <c r="E4346">
        <v>4</v>
      </c>
      <c r="F4346">
        <v>5</v>
      </c>
      <c r="G4346">
        <v>5</v>
      </c>
      <c r="J4346" t="s">
        <v>15</v>
      </c>
      <c r="K4346">
        <v>5</v>
      </c>
      <c r="L4346">
        <v>4.8949999999999996</v>
      </c>
      <c r="M4346">
        <v>0</v>
      </c>
      <c r="N4346" t="s">
        <v>10019</v>
      </c>
      <c r="O4346" t="str">
        <f>HYPERLINK("5\1\marker_343_739088.png", "Ver Imagen")</f>
        <v>Ver Imagen</v>
      </c>
      <c r="P4346" t="str">
        <f>HYPERLINK("NE\A-490\A-490__96.png", "Ver Imagen")</f>
        <v>Ver Imagen</v>
      </c>
    </row>
    <row r="4347" spans="1:16" x14ac:dyDescent="0.25">
      <c r="A4347">
        <v>3951</v>
      </c>
      <c r="B4347" t="s">
        <v>7911</v>
      </c>
      <c r="C4347">
        <v>37.495089083300002</v>
      </c>
      <c r="D4347">
        <v>-7.2675236462199999</v>
      </c>
      <c r="E4347">
        <v>4</v>
      </c>
      <c r="F4347">
        <v>5</v>
      </c>
      <c r="G4347">
        <v>5</v>
      </c>
      <c r="J4347" t="s">
        <v>15</v>
      </c>
      <c r="K4347">
        <v>5</v>
      </c>
      <c r="L4347">
        <v>4.8760000000000003</v>
      </c>
      <c r="M4347">
        <v>0</v>
      </c>
      <c r="N4347" t="s">
        <v>10019</v>
      </c>
      <c r="O4347" t="str">
        <f>HYPERLINK("5\1\marker_873_820402.png", "Ver Imagen")</f>
        <v>Ver Imagen</v>
      </c>
      <c r="P4347" t="str">
        <f>HYPERLINK("NO\A-490\A-490__628.png", "Ver Imagen")</f>
        <v>Ver Imagen</v>
      </c>
    </row>
    <row r="4348" spans="1:16" x14ac:dyDescent="0.25">
      <c r="A4348">
        <v>3952</v>
      </c>
      <c r="B4348" t="s">
        <v>7913</v>
      </c>
      <c r="C4348">
        <v>37.455777152300001</v>
      </c>
      <c r="D4348">
        <v>-7.1134574650899998</v>
      </c>
      <c r="E4348">
        <v>5</v>
      </c>
      <c r="F4348">
        <v>5</v>
      </c>
      <c r="G4348">
        <v>4</v>
      </c>
      <c r="J4348" t="s">
        <v>15</v>
      </c>
      <c r="K4348">
        <v>5</v>
      </c>
      <c r="L4348">
        <v>5</v>
      </c>
      <c r="M4348">
        <v>0</v>
      </c>
      <c r="N4348" t="s">
        <v>10019</v>
      </c>
      <c r="O4348" t="str">
        <f>HYPERLINK("5\1\marker_807_935573.png", "Ver Imagen")</f>
        <v>Ver Imagen</v>
      </c>
      <c r="P4348" t="str">
        <f>HYPERLINK("NE\A-495R\A-495R__58.png", "Ver Imagen")</f>
        <v>Ver Imagen</v>
      </c>
    </row>
    <row r="4349" spans="1:16" x14ac:dyDescent="0.25">
      <c r="A4349">
        <v>3953</v>
      </c>
      <c r="B4349" t="s">
        <v>7915</v>
      </c>
      <c r="C4349">
        <v>37.455413479400001</v>
      </c>
      <c r="D4349">
        <v>-7.1133098879099999</v>
      </c>
      <c r="E4349">
        <v>5</v>
      </c>
      <c r="F4349">
        <v>4</v>
      </c>
      <c r="G4349">
        <v>5</v>
      </c>
      <c r="J4349" t="s">
        <v>15</v>
      </c>
      <c r="K4349">
        <v>5</v>
      </c>
      <c r="L4349">
        <v>4.87</v>
      </c>
      <c r="M4349">
        <v>0</v>
      </c>
      <c r="N4349" t="s">
        <v>10019</v>
      </c>
      <c r="O4349" t="str">
        <f>HYPERLINK("5\1\marker_948_935601.png", "Ver Imagen")</f>
        <v>Ver Imagen</v>
      </c>
      <c r="P4349" t="str">
        <f>HYPERLINK("NE\A-495R\A-495R__56.png", "Ver Imagen")</f>
        <v>Ver Imagen</v>
      </c>
    </row>
    <row r="4350" spans="1:16" x14ac:dyDescent="0.25">
      <c r="A4350">
        <v>3954</v>
      </c>
      <c r="B4350" t="s">
        <v>7917</v>
      </c>
      <c r="C4350">
        <v>37.454072113800002</v>
      </c>
      <c r="D4350">
        <v>-7.1126459457099998</v>
      </c>
      <c r="E4350">
        <v>5</v>
      </c>
      <c r="F4350">
        <v>4</v>
      </c>
      <c r="G4350">
        <v>5</v>
      </c>
      <c r="J4350" t="s">
        <v>15</v>
      </c>
      <c r="K4350">
        <v>5</v>
      </c>
      <c r="L4350">
        <v>5</v>
      </c>
      <c r="M4350">
        <v>0</v>
      </c>
      <c r="N4350" t="s">
        <v>10019</v>
      </c>
      <c r="O4350" t="str">
        <f>HYPERLINK("5\1\marker_542_935673.png", "Ver Imagen")</f>
        <v>Ver Imagen</v>
      </c>
      <c r="P4350" t="str">
        <f>HYPERLINK("NE\A-495R\A-495R__49.png", "Ver Imagen")</f>
        <v>Ver Imagen</v>
      </c>
    </row>
    <row r="4351" spans="1:16" x14ac:dyDescent="0.25">
      <c r="A4351">
        <v>3955</v>
      </c>
      <c r="B4351" t="s">
        <v>7919</v>
      </c>
      <c r="C4351">
        <v>37.452772306</v>
      </c>
      <c r="D4351">
        <v>-7.1119426990000001</v>
      </c>
      <c r="E4351">
        <v>4</v>
      </c>
      <c r="F4351">
        <v>5</v>
      </c>
      <c r="G4351">
        <v>5</v>
      </c>
      <c r="J4351" t="s">
        <v>15</v>
      </c>
      <c r="K4351">
        <v>5</v>
      </c>
      <c r="L4351">
        <v>4.8949999999999996</v>
      </c>
      <c r="M4351">
        <v>0</v>
      </c>
      <c r="N4351" t="s">
        <v>10019</v>
      </c>
      <c r="O4351" t="str">
        <f>HYPERLINK("5\1\marker_109_935739.png", "Ver Imagen")</f>
        <v>Ver Imagen</v>
      </c>
      <c r="P4351" t="str">
        <f>HYPERLINK("NE\A-495R\A-495R__42.png", "Ver Imagen")</f>
        <v>Ver Imagen</v>
      </c>
    </row>
    <row r="4352" spans="1:16" x14ac:dyDescent="0.25">
      <c r="A4352">
        <v>3957</v>
      </c>
      <c r="B4352" t="s">
        <v>7923</v>
      </c>
      <c r="C4352">
        <v>37.451320361400001</v>
      </c>
      <c r="D4352">
        <v>-7.1110737112400004</v>
      </c>
      <c r="E4352">
        <v>5</v>
      </c>
      <c r="F4352">
        <v>4</v>
      </c>
      <c r="G4352">
        <v>5</v>
      </c>
      <c r="J4352" t="s">
        <v>15</v>
      </c>
      <c r="K4352">
        <v>5</v>
      </c>
      <c r="L4352">
        <v>4.6989999999999998</v>
      </c>
      <c r="M4352">
        <v>0</v>
      </c>
      <c r="N4352" t="s">
        <v>10019</v>
      </c>
      <c r="O4352" t="str">
        <f>HYPERLINK("5\1\marker_481_936582.png", "Ver Imagen")</f>
        <v>Ver Imagen</v>
      </c>
      <c r="P4352" t="str">
        <f>HYPERLINK("NE\A-495R\A-495R__34.png", "Ver Imagen")</f>
        <v>Ver Imagen</v>
      </c>
    </row>
    <row r="4353" spans="1:16" x14ac:dyDescent="0.25">
      <c r="A4353">
        <v>3958</v>
      </c>
      <c r="B4353" t="s">
        <v>7925</v>
      </c>
      <c r="C4353">
        <v>37.213062205900002</v>
      </c>
      <c r="D4353">
        <v>-7.0643811620900001</v>
      </c>
      <c r="E4353">
        <v>5</v>
      </c>
      <c r="F4353">
        <v>4</v>
      </c>
      <c r="G4353">
        <v>5</v>
      </c>
      <c r="J4353" t="s">
        <v>15</v>
      </c>
      <c r="K4353">
        <v>5</v>
      </c>
      <c r="L4353">
        <v>4.9859999999999998</v>
      </c>
      <c r="M4353">
        <v>0</v>
      </c>
      <c r="N4353" t="s">
        <v>10019</v>
      </c>
      <c r="O4353" t="str">
        <f>HYPERLINK("5\1\marker_124_960057.png", "Ver Imagen")</f>
        <v>Ver Imagen</v>
      </c>
      <c r="P4353" t="str">
        <f>HYPERLINK("SE\A-5052\A-5052__247.png", "Ver Imagen")</f>
        <v>Ver Imagen</v>
      </c>
    </row>
    <row r="4354" spans="1:16" x14ac:dyDescent="0.25">
      <c r="A4354">
        <v>3959</v>
      </c>
      <c r="B4354" t="s">
        <v>7927</v>
      </c>
      <c r="C4354">
        <v>37.213124738899999</v>
      </c>
      <c r="D4354">
        <v>-7.0641431506899997</v>
      </c>
      <c r="E4354">
        <v>5</v>
      </c>
      <c r="F4354">
        <v>4</v>
      </c>
      <c r="G4354">
        <v>5</v>
      </c>
      <c r="J4354" t="s">
        <v>15</v>
      </c>
      <c r="K4354">
        <v>5</v>
      </c>
      <c r="L4354">
        <v>4.9020000000000001</v>
      </c>
      <c r="M4354">
        <v>0</v>
      </c>
      <c r="N4354" t="s">
        <v>10019</v>
      </c>
      <c r="O4354" t="str">
        <f>HYPERLINK("5\1\marker_491_960069.png", "Ver Imagen")</f>
        <v>Ver Imagen</v>
      </c>
      <c r="P4354" t="str">
        <f>HYPERLINK("SE\A-5052\A-5052__248.png", "Ver Imagen")</f>
        <v>Ver Imagen</v>
      </c>
    </row>
    <row r="4355" spans="1:16" x14ac:dyDescent="0.25">
      <c r="A4355">
        <v>3961</v>
      </c>
      <c r="B4355" t="s">
        <v>7931</v>
      </c>
      <c r="C4355">
        <v>37.227470770300002</v>
      </c>
      <c r="D4355">
        <v>-7.1265228591799996</v>
      </c>
      <c r="E4355">
        <v>5</v>
      </c>
      <c r="F4355">
        <v>4</v>
      </c>
      <c r="G4355">
        <v>5</v>
      </c>
      <c r="J4355" t="s">
        <v>15</v>
      </c>
      <c r="K4355">
        <v>5</v>
      </c>
      <c r="L4355">
        <v>4.9139999999999997</v>
      </c>
      <c r="M4355">
        <v>0</v>
      </c>
      <c r="N4355" t="s">
        <v>10019</v>
      </c>
      <c r="O4355" t="str">
        <f>HYPERLINK("5\1\marker_798_021670.png", "Ver Imagen")</f>
        <v>Ver Imagen</v>
      </c>
      <c r="P4355" t="str">
        <f>HYPERLINK("SO\A-5053\A-5053__44.png", "Ver Imagen")</f>
        <v>Ver Imagen</v>
      </c>
    </row>
    <row r="4356" spans="1:16" x14ac:dyDescent="0.25">
      <c r="A4356">
        <v>3962</v>
      </c>
      <c r="B4356" t="s">
        <v>7933</v>
      </c>
      <c r="C4356">
        <v>37.227273177299999</v>
      </c>
      <c r="D4356">
        <v>-7.12646463955</v>
      </c>
      <c r="E4356">
        <v>5</v>
      </c>
      <c r="F4356">
        <v>4</v>
      </c>
      <c r="G4356">
        <v>5</v>
      </c>
      <c r="J4356" t="s">
        <v>15</v>
      </c>
      <c r="K4356">
        <v>5</v>
      </c>
      <c r="L4356">
        <v>4.9560000000000004</v>
      </c>
      <c r="M4356">
        <v>0</v>
      </c>
      <c r="N4356" t="s">
        <v>10019</v>
      </c>
      <c r="O4356" t="str">
        <f>HYPERLINK("5\1\marker_605_021684.png", "Ver Imagen")</f>
        <v>Ver Imagen</v>
      </c>
      <c r="P4356" t="str">
        <f>HYPERLINK("SO\A-5053\A-5053__43.png", "Ver Imagen")</f>
        <v>Ver Imagen</v>
      </c>
    </row>
    <row r="4357" spans="1:16" x14ac:dyDescent="0.25">
      <c r="A4357">
        <v>3963</v>
      </c>
      <c r="B4357" t="s">
        <v>7935</v>
      </c>
      <c r="C4357">
        <v>37.435551700300003</v>
      </c>
      <c r="D4357">
        <v>-7.0750546183800003</v>
      </c>
      <c r="E4357">
        <v>5</v>
      </c>
      <c r="F4357">
        <v>4</v>
      </c>
      <c r="G4357">
        <v>5</v>
      </c>
      <c r="J4357" t="s">
        <v>15</v>
      </c>
      <c r="K4357">
        <v>5</v>
      </c>
      <c r="L4357">
        <v>4.9530000000000003</v>
      </c>
      <c r="M4357">
        <v>0</v>
      </c>
      <c r="N4357" t="s">
        <v>10019</v>
      </c>
      <c r="O4357" t="str">
        <f>HYPERLINK("5\1\marker_487_382293.png", "Ver Imagen")</f>
        <v>Ver Imagen</v>
      </c>
      <c r="P4357" t="str">
        <f>HYPERLINK("NE\A-495\A-495__112.png", "Ver Imagen")</f>
        <v>Ver Imagen</v>
      </c>
    </row>
    <row r="4358" spans="1:16" x14ac:dyDescent="0.25">
      <c r="A4358">
        <v>3964</v>
      </c>
      <c r="B4358" t="s">
        <v>7937</v>
      </c>
      <c r="C4358">
        <v>37.4354710024</v>
      </c>
      <c r="D4358">
        <v>-7.0737735649999998</v>
      </c>
      <c r="E4358">
        <v>5</v>
      </c>
      <c r="F4358">
        <v>4</v>
      </c>
      <c r="G4358">
        <v>5</v>
      </c>
      <c r="J4358" t="s">
        <v>15</v>
      </c>
      <c r="K4358">
        <v>5</v>
      </c>
      <c r="L4358">
        <v>5</v>
      </c>
      <c r="M4358">
        <v>0</v>
      </c>
      <c r="N4358" t="s">
        <v>10019</v>
      </c>
      <c r="O4358" t="str">
        <f>HYPERLINK("5\1\marker_554_382339.png", "Ver Imagen")</f>
        <v>Ver Imagen</v>
      </c>
      <c r="P4358" t="str">
        <f>HYPERLINK("NE\A-495\A-495__117.png", "Ver Imagen")</f>
        <v>Ver Imagen</v>
      </c>
    </row>
    <row r="4359" spans="1:16" x14ac:dyDescent="0.25">
      <c r="A4359">
        <v>3965</v>
      </c>
      <c r="B4359" t="s">
        <v>7939</v>
      </c>
      <c r="C4359">
        <v>37.435447368200002</v>
      </c>
      <c r="D4359">
        <v>-7.0734994034999996</v>
      </c>
      <c r="E4359">
        <v>5</v>
      </c>
      <c r="F4359">
        <v>4</v>
      </c>
      <c r="G4359">
        <v>5</v>
      </c>
      <c r="J4359" t="s">
        <v>15</v>
      </c>
      <c r="K4359">
        <v>5</v>
      </c>
      <c r="L4359">
        <v>5</v>
      </c>
      <c r="M4359">
        <v>0</v>
      </c>
      <c r="N4359" t="s">
        <v>10019</v>
      </c>
      <c r="O4359" t="str">
        <f>HYPERLINK("5\1\marker_722_382348.png", "Ver Imagen")</f>
        <v>Ver Imagen</v>
      </c>
      <c r="P4359" t="str">
        <f>HYPERLINK("NE\A-495\A-495__118.png", "Ver Imagen")</f>
        <v>Ver Imagen</v>
      </c>
    </row>
    <row r="4360" spans="1:16" x14ac:dyDescent="0.25">
      <c r="A4360">
        <v>3966</v>
      </c>
      <c r="B4360" t="s">
        <v>7941</v>
      </c>
      <c r="C4360">
        <v>37.435366084800002</v>
      </c>
      <c r="D4360">
        <v>-7.0725195976600004</v>
      </c>
      <c r="E4360">
        <v>5</v>
      </c>
      <c r="F4360">
        <v>4</v>
      </c>
      <c r="G4360">
        <v>5</v>
      </c>
      <c r="J4360" t="s">
        <v>15</v>
      </c>
      <c r="K4360">
        <v>5</v>
      </c>
      <c r="L4360">
        <v>4.8159999999999998</v>
      </c>
      <c r="M4360">
        <v>0</v>
      </c>
      <c r="N4360" t="s">
        <v>10019</v>
      </c>
      <c r="O4360" t="str">
        <f>HYPERLINK("5\1\marker_410_382390.png", "Ver Imagen")</f>
        <v>Ver Imagen</v>
      </c>
      <c r="P4360" t="str">
        <f>HYPERLINK("NE\A-495\A-495__122.png", "Ver Imagen")</f>
        <v>Ver Imagen</v>
      </c>
    </row>
    <row r="4361" spans="1:16" x14ac:dyDescent="0.25">
      <c r="A4361">
        <v>3967</v>
      </c>
      <c r="B4361" t="s">
        <v>7943</v>
      </c>
      <c r="C4361">
        <v>37.244493214499997</v>
      </c>
      <c r="D4361">
        <v>-7.0909456554999997</v>
      </c>
      <c r="E4361">
        <v>5</v>
      </c>
      <c r="F4361">
        <v>4</v>
      </c>
      <c r="G4361">
        <v>5</v>
      </c>
      <c r="J4361" t="s">
        <v>15</v>
      </c>
      <c r="K4361">
        <v>5</v>
      </c>
      <c r="L4361">
        <v>4.7960000000000003</v>
      </c>
      <c r="M4361">
        <v>0</v>
      </c>
      <c r="N4361" t="s">
        <v>10019</v>
      </c>
      <c r="O4361" t="str">
        <f>HYPERLINK("5\1\marker_235_384070.png", "Ver Imagen")</f>
        <v>Ver Imagen</v>
      </c>
      <c r="P4361" t="str">
        <f>HYPERLINK("SE\A-5058\A-5058__284.png", "Ver Imagen")</f>
        <v>Ver Imagen</v>
      </c>
    </row>
    <row r="4362" spans="1:16" x14ac:dyDescent="0.25">
      <c r="A4362">
        <v>3967</v>
      </c>
      <c r="B4362" t="s">
        <v>7943</v>
      </c>
      <c r="C4362">
        <v>37.244493214499997</v>
      </c>
      <c r="D4362">
        <v>-7.0909456554999997</v>
      </c>
      <c r="E4362">
        <v>5</v>
      </c>
      <c r="F4362">
        <v>4</v>
      </c>
      <c r="G4362">
        <v>5</v>
      </c>
      <c r="J4362" t="s">
        <v>15</v>
      </c>
      <c r="K4362">
        <v>5</v>
      </c>
      <c r="L4362">
        <v>5</v>
      </c>
      <c r="M4362">
        <v>0</v>
      </c>
      <c r="N4362" t="s">
        <v>10019</v>
      </c>
      <c r="O4362" t="str">
        <f>HYPERLINK("5\1\marker_235_384070.png", "Ver Imagen")</f>
        <v>Ver Imagen</v>
      </c>
      <c r="P4362" t="str">
        <f>HYPERLINK("SO\A-5058\A-5058__284.png", "Ver Imagen")</f>
        <v>Ver Imagen</v>
      </c>
    </row>
    <row r="4363" spans="1:16" x14ac:dyDescent="0.25">
      <c r="A4363">
        <v>3968</v>
      </c>
      <c r="B4363" t="s">
        <v>7945</v>
      </c>
      <c r="C4363">
        <v>37.244590958700002</v>
      </c>
      <c r="D4363">
        <v>-7.0911390993900003</v>
      </c>
      <c r="E4363">
        <v>5</v>
      </c>
      <c r="F4363">
        <v>4</v>
      </c>
      <c r="G4363">
        <v>5</v>
      </c>
      <c r="J4363" t="s">
        <v>15</v>
      </c>
      <c r="K4363">
        <v>5</v>
      </c>
      <c r="L4363">
        <v>5</v>
      </c>
      <c r="M4363">
        <v>0</v>
      </c>
      <c r="N4363" t="s">
        <v>10019</v>
      </c>
      <c r="O4363" t="str">
        <f>HYPERLINK("5\1\marker_551_384084.png", "Ver Imagen")</f>
        <v>Ver Imagen</v>
      </c>
      <c r="P4363" t="str">
        <f>HYPERLINK("SE\A-5058\A-5058__285.png", "Ver Imagen")</f>
        <v>Ver Imagen</v>
      </c>
    </row>
    <row r="4364" spans="1:16" x14ac:dyDescent="0.25">
      <c r="A4364">
        <v>3968</v>
      </c>
      <c r="B4364" t="s">
        <v>7945</v>
      </c>
      <c r="C4364">
        <v>37.244590958700002</v>
      </c>
      <c r="D4364">
        <v>-7.0911390993900003</v>
      </c>
      <c r="E4364">
        <v>5</v>
      </c>
      <c r="F4364">
        <v>4</v>
      </c>
      <c r="G4364">
        <v>5</v>
      </c>
      <c r="J4364" t="s">
        <v>15</v>
      </c>
      <c r="K4364">
        <v>5</v>
      </c>
      <c r="L4364">
        <v>5</v>
      </c>
      <c r="M4364">
        <v>0</v>
      </c>
      <c r="N4364" t="s">
        <v>10019</v>
      </c>
      <c r="O4364" t="str">
        <f>HYPERLINK("5\1\marker_551_384084.png", "Ver Imagen")</f>
        <v>Ver Imagen</v>
      </c>
      <c r="P4364" t="str">
        <f>HYPERLINK("SO\A-5058\A-5058__285.png", "Ver Imagen")</f>
        <v>Ver Imagen</v>
      </c>
    </row>
    <row r="4365" spans="1:16" x14ac:dyDescent="0.25">
      <c r="A4365">
        <v>3969</v>
      </c>
      <c r="B4365" t="s">
        <v>7947</v>
      </c>
      <c r="C4365">
        <v>37.469203980899998</v>
      </c>
      <c r="D4365">
        <v>-7.1240828434700001</v>
      </c>
      <c r="E4365">
        <v>5</v>
      </c>
      <c r="F4365">
        <v>4</v>
      </c>
      <c r="G4365">
        <v>5</v>
      </c>
      <c r="J4365" t="s">
        <v>15</v>
      </c>
      <c r="K4365">
        <v>5</v>
      </c>
      <c r="L4365">
        <v>4.9740000000000002</v>
      </c>
      <c r="M4365">
        <v>0</v>
      </c>
      <c r="N4365" t="s">
        <v>10019</v>
      </c>
      <c r="O4365" t="str">
        <f>HYPERLINK("5\1\marker_580_384735.png", "Ver Imagen")</f>
        <v>Ver Imagen</v>
      </c>
      <c r="P4365" t="str">
        <f>HYPERLINK("NE\A-495_1\A-495_1__109.png", "Ver Imagen")</f>
        <v>Ver Imagen</v>
      </c>
    </row>
    <row r="4366" spans="1:16" x14ac:dyDescent="0.25">
      <c r="A4366">
        <v>3970</v>
      </c>
      <c r="B4366" t="s">
        <v>7949</v>
      </c>
      <c r="C4366">
        <v>37.469020231099996</v>
      </c>
      <c r="D4366">
        <v>-7.1239589931899996</v>
      </c>
      <c r="E4366">
        <v>5</v>
      </c>
      <c r="F4366">
        <v>4</v>
      </c>
      <c r="G4366">
        <v>5</v>
      </c>
      <c r="J4366" t="s">
        <v>15</v>
      </c>
      <c r="K4366">
        <v>5</v>
      </c>
      <c r="L4366">
        <v>4.8819999999999997</v>
      </c>
      <c r="M4366">
        <v>0</v>
      </c>
      <c r="N4366" t="s">
        <v>10019</v>
      </c>
      <c r="O4366" t="str">
        <f>HYPERLINK("5\1\marker_376_384755.png", "Ver Imagen")</f>
        <v>Ver Imagen</v>
      </c>
      <c r="P4366" t="str">
        <f>HYPERLINK("NE\A-495_1\A-495_1__108.png", "Ver Imagen")</f>
        <v>Ver Imagen</v>
      </c>
    </row>
    <row r="4367" spans="1:16" x14ac:dyDescent="0.25">
      <c r="A4367">
        <v>3971</v>
      </c>
      <c r="B4367" t="s">
        <v>7951</v>
      </c>
      <c r="C4367">
        <v>37.4686576836</v>
      </c>
      <c r="D4367">
        <v>-7.1237155539400003</v>
      </c>
      <c r="E4367">
        <v>5</v>
      </c>
      <c r="F4367">
        <v>4</v>
      </c>
      <c r="G4367">
        <v>5</v>
      </c>
      <c r="J4367" t="s">
        <v>15</v>
      </c>
      <c r="K4367">
        <v>5</v>
      </c>
      <c r="L4367">
        <v>5</v>
      </c>
      <c r="M4367">
        <v>0</v>
      </c>
      <c r="N4367" t="s">
        <v>10019</v>
      </c>
      <c r="O4367" t="str">
        <f>HYPERLINK("5\1\marker_586_384941.png", "Ver Imagen")</f>
        <v>Ver Imagen</v>
      </c>
      <c r="P4367" t="str">
        <f>HYPERLINK("NE\A-495_1\A-495_1__106.png", "Ver Imagen")</f>
        <v>Ver Imagen</v>
      </c>
    </row>
    <row r="4368" spans="1:16" x14ac:dyDescent="0.25">
      <c r="A4368">
        <v>3972</v>
      </c>
      <c r="B4368" t="s">
        <v>7953</v>
      </c>
      <c r="C4368">
        <v>37.495193525300003</v>
      </c>
      <c r="D4368">
        <v>-7.2680698097000001</v>
      </c>
      <c r="E4368">
        <v>5</v>
      </c>
      <c r="F4368">
        <v>4</v>
      </c>
      <c r="G4368">
        <v>5</v>
      </c>
      <c r="J4368" t="s">
        <v>15</v>
      </c>
      <c r="K4368">
        <v>5</v>
      </c>
      <c r="L4368">
        <v>4.9710000000000001</v>
      </c>
      <c r="M4368">
        <v>0</v>
      </c>
      <c r="N4368" t="s">
        <v>10019</v>
      </c>
      <c r="O4368" t="str">
        <f>HYPERLINK("5\1\marker_329_789245.png", "Ver Imagen")</f>
        <v>Ver Imagen</v>
      </c>
      <c r="P4368" t="str">
        <f>HYPERLINK("NO\A-499\A-499__79.png", "Ver Imagen")</f>
        <v>Ver Imagen</v>
      </c>
    </row>
    <row r="4369" spans="1:16" x14ac:dyDescent="0.25">
      <c r="A4369">
        <v>3973</v>
      </c>
      <c r="B4369" t="s">
        <v>7955</v>
      </c>
      <c r="C4369">
        <v>37.495108869200003</v>
      </c>
      <c r="D4369">
        <v>-7.2678224734699999</v>
      </c>
      <c r="E4369">
        <v>5</v>
      </c>
      <c r="F4369">
        <v>4</v>
      </c>
      <c r="G4369">
        <v>5</v>
      </c>
      <c r="J4369" t="s">
        <v>15</v>
      </c>
      <c r="K4369">
        <v>5</v>
      </c>
      <c r="L4369">
        <v>5</v>
      </c>
      <c r="M4369">
        <v>0</v>
      </c>
      <c r="N4369" t="s">
        <v>10019</v>
      </c>
      <c r="O4369" t="str">
        <f>HYPERLINK("5\1\marker_924_789270.png", "Ver Imagen")</f>
        <v>Ver Imagen</v>
      </c>
      <c r="P4369" t="str">
        <f>HYPERLINK("NO\A-499\A-499__80.png", "Ver Imagen")</f>
        <v>Ver Imagen</v>
      </c>
    </row>
    <row r="4370" spans="1:16" x14ac:dyDescent="0.25">
      <c r="A4370">
        <v>3974</v>
      </c>
      <c r="B4370" t="s">
        <v>7957</v>
      </c>
      <c r="C4370">
        <v>37.495518933600003</v>
      </c>
      <c r="D4370">
        <v>-7.26790009598</v>
      </c>
      <c r="E4370">
        <v>5</v>
      </c>
      <c r="F4370">
        <v>4</v>
      </c>
      <c r="G4370">
        <v>5</v>
      </c>
      <c r="J4370" t="s">
        <v>15</v>
      </c>
      <c r="K4370">
        <v>5</v>
      </c>
      <c r="L4370">
        <v>5</v>
      </c>
      <c r="M4370">
        <v>0</v>
      </c>
      <c r="N4370" t="s">
        <v>10019</v>
      </c>
      <c r="O4370" t="str">
        <f>HYPERLINK("5\1\marker_975_789355.png", "Ver Imagen")</f>
        <v>Ver Imagen</v>
      </c>
      <c r="P4370" t="str">
        <f>HYPERLINK("NO\A-499\A-499__83.png", "Ver Imagen")</f>
        <v>Ver Imagen</v>
      </c>
    </row>
    <row r="4371" spans="1:16" x14ac:dyDescent="0.25">
      <c r="A4371">
        <v>3976</v>
      </c>
      <c r="B4371" t="s">
        <v>7961</v>
      </c>
      <c r="C4371">
        <v>37.186736564500002</v>
      </c>
      <c r="D4371">
        <v>-6.9797515352400001</v>
      </c>
      <c r="E4371">
        <v>5</v>
      </c>
      <c r="F4371">
        <v>4</v>
      </c>
      <c r="G4371">
        <v>5</v>
      </c>
      <c r="J4371" t="s">
        <v>15</v>
      </c>
      <c r="K4371">
        <v>5</v>
      </c>
      <c r="L4371">
        <v>5</v>
      </c>
      <c r="M4371">
        <v>0</v>
      </c>
      <c r="N4371" t="s">
        <v>10019</v>
      </c>
      <c r="O4371" t="str">
        <f>HYPERLINK("5\1\marker_620_368503.png", "Ver Imagen")</f>
        <v>Ver Imagen</v>
      </c>
      <c r="P4371" t="str">
        <f>HYPERLINK("SE\A-497\A-497__765.png", "Ver Imagen")</f>
        <v>Ver Imagen</v>
      </c>
    </row>
    <row r="4372" spans="1:16" x14ac:dyDescent="0.25">
      <c r="A4372">
        <v>3977</v>
      </c>
      <c r="B4372" t="s">
        <v>7963</v>
      </c>
      <c r="C4372">
        <v>37.185995494499998</v>
      </c>
      <c r="D4372">
        <v>-6.9804521127600001</v>
      </c>
      <c r="E4372">
        <v>5</v>
      </c>
      <c r="F4372">
        <v>4</v>
      </c>
      <c r="G4372">
        <v>5</v>
      </c>
      <c r="J4372" t="s">
        <v>15</v>
      </c>
      <c r="K4372">
        <v>5</v>
      </c>
      <c r="L4372">
        <v>5</v>
      </c>
      <c r="M4372">
        <v>0</v>
      </c>
      <c r="N4372" t="s">
        <v>10019</v>
      </c>
      <c r="O4372" t="str">
        <f>HYPERLINK("5\1\marker_368_368568.png", "Ver Imagen")</f>
        <v>Ver Imagen</v>
      </c>
      <c r="P4372" t="str">
        <f>HYPERLINK("SE\A-497\A-497__760.png", "Ver Imagen")</f>
        <v>Ver Imagen</v>
      </c>
    </row>
    <row r="4373" spans="1:16" x14ac:dyDescent="0.25">
      <c r="A4373">
        <v>3978</v>
      </c>
      <c r="B4373" t="s">
        <v>7965</v>
      </c>
      <c r="C4373">
        <v>37.2714017634</v>
      </c>
      <c r="D4373">
        <v>-6.9839129403199998</v>
      </c>
      <c r="E4373">
        <v>5</v>
      </c>
      <c r="F4373">
        <v>4</v>
      </c>
      <c r="G4373">
        <v>5</v>
      </c>
      <c r="J4373" t="s">
        <v>15</v>
      </c>
      <c r="K4373">
        <v>5</v>
      </c>
      <c r="L4373">
        <v>4.8849999999999998</v>
      </c>
      <c r="M4373">
        <v>0</v>
      </c>
      <c r="N4373" t="s">
        <v>10019</v>
      </c>
      <c r="O4373" t="str">
        <f>HYPERLINK("5\1\marker_975_655526.png", "Ver Imagen")</f>
        <v>Ver Imagen</v>
      </c>
      <c r="P4373" t="str">
        <f>HYPERLINK("SE\A-497_2C\A-497_2C__109.png", "Ver Imagen")</f>
        <v>Ver Imagen</v>
      </c>
    </row>
    <row r="4374" spans="1:16" x14ac:dyDescent="0.25">
      <c r="A4374">
        <v>3979</v>
      </c>
      <c r="B4374" t="s">
        <v>7967</v>
      </c>
      <c r="C4374">
        <v>37.186930418000003</v>
      </c>
      <c r="D4374">
        <v>-6.9793605614700001</v>
      </c>
      <c r="E4374">
        <v>5</v>
      </c>
      <c r="F4374">
        <v>4</v>
      </c>
      <c r="G4374">
        <v>5</v>
      </c>
      <c r="J4374" t="s">
        <v>15</v>
      </c>
      <c r="K4374">
        <v>5</v>
      </c>
      <c r="L4374">
        <v>5</v>
      </c>
      <c r="M4374">
        <v>0</v>
      </c>
      <c r="N4374" t="s">
        <v>10019</v>
      </c>
      <c r="O4374" t="str">
        <f>HYPERLINK("5\1\marker_915_368662.png", "Ver Imagen")</f>
        <v>Ver Imagen</v>
      </c>
      <c r="P4374" t="str">
        <f>HYPERLINK("SE\A-497\A-497__752.png", "Ver Imagen")</f>
        <v>Ver Imagen</v>
      </c>
    </row>
    <row r="4375" spans="1:16" x14ac:dyDescent="0.25">
      <c r="A4375">
        <v>3980</v>
      </c>
      <c r="B4375" t="s">
        <v>7969</v>
      </c>
      <c r="C4375">
        <v>37.187071773100001</v>
      </c>
      <c r="D4375">
        <v>-6.9792338623100001</v>
      </c>
      <c r="E4375">
        <v>5</v>
      </c>
      <c r="F4375">
        <v>4</v>
      </c>
      <c r="G4375">
        <v>5</v>
      </c>
      <c r="J4375" t="s">
        <v>15</v>
      </c>
      <c r="K4375">
        <v>5</v>
      </c>
      <c r="L4375">
        <v>4.8559999999999999</v>
      </c>
      <c r="M4375">
        <v>0</v>
      </c>
      <c r="N4375" t="s">
        <v>10019</v>
      </c>
      <c r="O4375" t="str">
        <f>HYPERLINK("5\1\marker_142_368676.png", "Ver Imagen")</f>
        <v>Ver Imagen</v>
      </c>
      <c r="P4375" t="str">
        <f>HYPERLINK("SE\A-497\A-497__751.png", "Ver Imagen")</f>
        <v>Ver Imagen</v>
      </c>
    </row>
    <row r="4376" spans="1:16" x14ac:dyDescent="0.25">
      <c r="A4376">
        <v>3981</v>
      </c>
      <c r="B4376" t="s">
        <v>7971</v>
      </c>
      <c r="C4376">
        <v>37.201591689399997</v>
      </c>
      <c r="D4376">
        <v>-6.99320601267</v>
      </c>
      <c r="E4376">
        <v>5</v>
      </c>
      <c r="F4376">
        <v>4</v>
      </c>
      <c r="G4376">
        <v>5</v>
      </c>
      <c r="J4376" t="s">
        <v>15</v>
      </c>
      <c r="K4376">
        <v>5</v>
      </c>
      <c r="L4376">
        <v>5</v>
      </c>
      <c r="M4376">
        <v>0</v>
      </c>
      <c r="N4376" t="s">
        <v>10019</v>
      </c>
      <c r="O4376" t="str">
        <f>HYPERLINK("5\1\marker_438_371349.png", "Ver Imagen")</f>
        <v>Ver Imagen</v>
      </c>
      <c r="P4376" t="str">
        <f>HYPERLINK("SE\A-497\A-497__638.png", "Ver Imagen")</f>
        <v>Ver Imagen</v>
      </c>
    </row>
    <row r="4377" spans="1:16" x14ac:dyDescent="0.25">
      <c r="A4377">
        <v>3982</v>
      </c>
      <c r="B4377" t="s">
        <v>7973</v>
      </c>
      <c r="C4377">
        <v>37.202300255700003</v>
      </c>
      <c r="D4377">
        <v>-6.9974274110300003</v>
      </c>
      <c r="E4377">
        <v>5</v>
      </c>
      <c r="F4377">
        <v>4</v>
      </c>
      <c r="G4377">
        <v>5</v>
      </c>
      <c r="J4377" t="s">
        <v>15</v>
      </c>
      <c r="K4377">
        <v>5</v>
      </c>
      <c r="L4377">
        <v>5</v>
      </c>
      <c r="M4377">
        <v>0</v>
      </c>
      <c r="N4377" t="s">
        <v>10019</v>
      </c>
      <c r="O4377" t="str">
        <f>HYPERLINK("5\1\marker_338_371517.png", "Ver Imagen")</f>
        <v>Ver Imagen</v>
      </c>
      <c r="P4377" t="str">
        <f>HYPERLINK("SE\A-497\A-497__621.png", "Ver Imagen")</f>
        <v>Ver Imagen</v>
      </c>
    </row>
    <row r="4378" spans="1:16" x14ac:dyDescent="0.25">
      <c r="A4378">
        <v>3985</v>
      </c>
      <c r="B4378" t="s">
        <v>7979</v>
      </c>
      <c r="C4378">
        <v>37.252484124399999</v>
      </c>
      <c r="D4378">
        <v>-7.0165061804700004</v>
      </c>
      <c r="E4378">
        <v>5</v>
      </c>
      <c r="F4378">
        <v>4</v>
      </c>
      <c r="G4378">
        <v>5</v>
      </c>
      <c r="J4378" t="s">
        <v>15</v>
      </c>
      <c r="K4378">
        <v>5</v>
      </c>
      <c r="L4378">
        <v>5</v>
      </c>
      <c r="M4378">
        <v>0</v>
      </c>
      <c r="N4378" t="s">
        <v>10019</v>
      </c>
      <c r="O4378" t="str">
        <f>HYPERLINK("5\1\marker_763_319925.png", "Ver Imagen")</f>
        <v>Ver Imagen</v>
      </c>
      <c r="P4378" t="str">
        <f>HYPERLINK("SE\A-497_2C\A-497_2C__284.png", "Ver Imagen")</f>
        <v>Ver Imagen</v>
      </c>
    </row>
    <row r="4379" spans="1:16" x14ac:dyDescent="0.25">
      <c r="A4379">
        <v>3986</v>
      </c>
      <c r="B4379" t="s">
        <v>7981</v>
      </c>
      <c r="C4379">
        <v>37.252114236300002</v>
      </c>
      <c r="D4379">
        <v>-7.0167422043899998</v>
      </c>
      <c r="E4379">
        <v>5</v>
      </c>
      <c r="F4379">
        <v>4</v>
      </c>
      <c r="G4379">
        <v>5</v>
      </c>
      <c r="J4379" t="s">
        <v>15</v>
      </c>
      <c r="K4379">
        <v>5</v>
      </c>
      <c r="L4379">
        <v>5</v>
      </c>
      <c r="M4379">
        <v>0</v>
      </c>
      <c r="N4379" t="s">
        <v>10019</v>
      </c>
      <c r="O4379" t="str">
        <f>HYPERLINK("5\1\marker_423_320016.png", "Ver Imagen")</f>
        <v>Ver Imagen</v>
      </c>
      <c r="P4379" t="str">
        <f>HYPERLINK("SE\A-497_2C\A-497_2C__286.png", "Ver Imagen")</f>
        <v>Ver Imagen</v>
      </c>
    </row>
    <row r="4380" spans="1:16" x14ac:dyDescent="0.25">
      <c r="A4380">
        <v>3987</v>
      </c>
      <c r="B4380" t="s">
        <v>7983</v>
      </c>
      <c r="C4380">
        <v>37.204318274000002</v>
      </c>
      <c r="D4380">
        <v>-7.0120991506200001</v>
      </c>
      <c r="E4380">
        <v>5</v>
      </c>
      <c r="F4380">
        <v>4</v>
      </c>
      <c r="G4380">
        <v>5</v>
      </c>
      <c r="J4380" t="s">
        <v>15</v>
      </c>
      <c r="K4380">
        <v>5</v>
      </c>
      <c r="L4380">
        <v>4.8029999999999999</v>
      </c>
      <c r="M4380">
        <v>0</v>
      </c>
      <c r="N4380" t="s">
        <v>10019</v>
      </c>
      <c r="O4380" t="str">
        <f>HYPERLINK("5\1\marker_704_372126.png", "Ver Imagen")</f>
        <v>Ver Imagen</v>
      </c>
      <c r="P4380" t="str">
        <f>HYPERLINK("SE\A-497\A-497__562.png", "Ver Imagen")</f>
        <v>Ver Imagen</v>
      </c>
    </row>
    <row r="4381" spans="1:16" x14ac:dyDescent="0.25">
      <c r="A4381">
        <v>3988</v>
      </c>
      <c r="B4381" t="s">
        <v>7985</v>
      </c>
      <c r="C4381">
        <v>37.247079404099999</v>
      </c>
      <c r="D4381">
        <v>-7.0184132655699996</v>
      </c>
      <c r="E4381">
        <v>5</v>
      </c>
      <c r="F4381">
        <v>4</v>
      </c>
      <c r="G4381">
        <v>5</v>
      </c>
      <c r="J4381" t="s">
        <v>15</v>
      </c>
      <c r="K4381">
        <v>5</v>
      </c>
      <c r="L4381">
        <v>5</v>
      </c>
      <c r="M4381">
        <v>0</v>
      </c>
      <c r="N4381" t="s">
        <v>10019</v>
      </c>
      <c r="O4381" t="str">
        <f>HYPERLINK("5\1\marker_962_361850.png", "Ver Imagen")</f>
        <v>Ver Imagen</v>
      </c>
      <c r="P4381" t="str">
        <f>HYPERLINK("SE\A-497_2C\A-497_2C__312.png", "Ver Imagen")</f>
        <v>Ver Imagen</v>
      </c>
    </row>
    <row r="4382" spans="1:16" x14ac:dyDescent="0.25">
      <c r="A4382">
        <v>3990</v>
      </c>
      <c r="B4382" t="s">
        <v>7989</v>
      </c>
      <c r="C4382">
        <v>37.230699834600003</v>
      </c>
      <c r="D4382">
        <v>-7.0199336687300002</v>
      </c>
      <c r="E4382">
        <v>5</v>
      </c>
      <c r="F4382">
        <v>4</v>
      </c>
      <c r="G4382">
        <v>5</v>
      </c>
      <c r="J4382" t="s">
        <v>15</v>
      </c>
      <c r="K4382">
        <v>5</v>
      </c>
      <c r="L4382">
        <v>5</v>
      </c>
      <c r="M4382">
        <v>0</v>
      </c>
      <c r="N4382" t="s">
        <v>10019</v>
      </c>
      <c r="O4382" t="str">
        <f>HYPERLINK("5\1\marker_378_362857.png", "Ver Imagen")</f>
        <v>Ver Imagen</v>
      </c>
      <c r="P4382" t="str">
        <f>HYPERLINK("SE\A-497_2C\A-497_2C__395.png", "Ver Imagen")</f>
        <v>Ver Imagen</v>
      </c>
    </row>
    <row r="4383" spans="1:16" x14ac:dyDescent="0.25">
      <c r="A4383">
        <v>3994</v>
      </c>
      <c r="B4383" t="s">
        <v>7997</v>
      </c>
      <c r="C4383">
        <v>37.187381739499997</v>
      </c>
      <c r="D4383">
        <v>-6.9792049169699997</v>
      </c>
      <c r="E4383">
        <v>4</v>
      </c>
      <c r="F4383">
        <v>5</v>
      </c>
      <c r="G4383">
        <v>5</v>
      </c>
      <c r="J4383" t="s">
        <v>15</v>
      </c>
      <c r="K4383">
        <v>5</v>
      </c>
      <c r="L4383">
        <v>4.9349999999999996</v>
      </c>
      <c r="M4383">
        <v>0</v>
      </c>
      <c r="N4383" t="s">
        <v>10019</v>
      </c>
      <c r="O4383" t="str">
        <f>HYPERLINK("5\1\marker_797_368320.png", "Ver Imagen")</f>
        <v>Ver Imagen</v>
      </c>
      <c r="P4383" t="str">
        <f>HYPERLINK("SE\A-497\A-497__769.png", "Ver Imagen")</f>
        <v>Ver Imagen</v>
      </c>
    </row>
    <row r="4384" spans="1:16" x14ac:dyDescent="0.25">
      <c r="A4384">
        <v>3996</v>
      </c>
      <c r="B4384" t="s">
        <v>8001</v>
      </c>
      <c r="C4384">
        <v>37.230860532999998</v>
      </c>
      <c r="D4384">
        <v>-7.01981149596</v>
      </c>
      <c r="E4384">
        <v>5</v>
      </c>
      <c r="F4384">
        <v>5</v>
      </c>
      <c r="G4384">
        <v>4</v>
      </c>
      <c r="J4384" t="s">
        <v>15</v>
      </c>
      <c r="K4384">
        <v>5</v>
      </c>
      <c r="L4384">
        <v>5</v>
      </c>
      <c r="M4384">
        <v>0</v>
      </c>
      <c r="N4384" t="s">
        <v>10019</v>
      </c>
      <c r="O4384" t="str">
        <f>HYPERLINK("5\1\marker_416_362846.png", "Ver Imagen")</f>
        <v>Ver Imagen</v>
      </c>
      <c r="P4384" t="str">
        <f>HYPERLINK("SE\A-497_2C\A-497_2C__394.png", "Ver Imagen")</f>
        <v>Ver Imagen</v>
      </c>
    </row>
    <row r="4385" spans="1:16" x14ac:dyDescent="0.25">
      <c r="A4385">
        <v>3997</v>
      </c>
      <c r="B4385" t="s">
        <v>8003</v>
      </c>
      <c r="C4385">
        <v>37.482943332600001</v>
      </c>
      <c r="D4385">
        <v>-7.2198985349799996</v>
      </c>
      <c r="E4385">
        <v>1</v>
      </c>
      <c r="F4385">
        <v>3</v>
      </c>
      <c r="G4385">
        <v>1</v>
      </c>
      <c r="H4385">
        <v>2</v>
      </c>
      <c r="I4385">
        <v>2</v>
      </c>
      <c r="J4385" t="s">
        <v>8005</v>
      </c>
      <c r="K4385">
        <v>2</v>
      </c>
      <c r="L4385">
        <v>2.0680000000000001</v>
      </c>
      <c r="M4385">
        <v>0</v>
      </c>
      <c r="N4385" t="s">
        <v>10019</v>
      </c>
      <c r="O4385" t="str">
        <f>HYPERLINK("NoConsenso\marker_539_754345.png", "Ver Imagen")</f>
        <v>Ver Imagen</v>
      </c>
      <c r="P4385" t="str">
        <f>HYPERLINK("NO\A-490\A-490__423.png", "Ver Imagen")</f>
        <v>Ver Imagen</v>
      </c>
    </row>
    <row r="4386" spans="1:16" x14ac:dyDescent="0.25">
      <c r="A4386">
        <v>3998</v>
      </c>
      <c r="B4386" t="s">
        <v>8006</v>
      </c>
      <c r="C4386">
        <v>37.483110811700001</v>
      </c>
      <c r="D4386">
        <v>-7.2207443646299998</v>
      </c>
      <c r="E4386">
        <v>1</v>
      </c>
      <c r="F4386">
        <v>3</v>
      </c>
      <c r="G4386">
        <v>1</v>
      </c>
      <c r="H4386">
        <v>2</v>
      </c>
      <c r="I4386">
        <v>2</v>
      </c>
      <c r="J4386" t="s">
        <v>8005</v>
      </c>
      <c r="K4386">
        <v>2</v>
      </c>
      <c r="L4386">
        <v>2.2450000000000001</v>
      </c>
      <c r="M4386">
        <v>0</v>
      </c>
      <c r="N4386" t="s">
        <v>10019</v>
      </c>
      <c r="O4386" t="str">
        <f>HYPERLINK("NoConsenso\marker_436_754397.png", "Ver Imagen")</f>
        <v>Ver Imagen</v>
      </c>
      <c r="P4386" t="str">
        <f>HYPERLINK("NO\A-490\A-490__426.png", "Ver Imagen")</f>
        <v>Ver Imagen</v>
      </c>
    </row>
    <row r="4387" spans="1:16" x14ac:dyDescent="0.25">
      <c r="A4387">
        <v>3999</v>
      </c>
      <c r="B4387" t="s">
        <v>8008</v>
      </c>
      <c r="C4387">
        <v>37.483537333500003</v>
      </c>
      <c r="D4387">
        <v>-7.2229085960699999</v>
      </c>
      <c r="E4387">
        <v>1</v>
      </c>
      <c r="F4387">
        <v>3</v>
      </c>
      <c r="G4387">
        <v>1</v>
      </c>
      <c r="H4387">
        <v>1</v>
      </c>
      <c r="I4387">
        <v>2</v>
      </c>
      <c r="J4387" t="s">
        <v>8005</v>
      </c>
      <c r="K4387">
        <v>1</v>
      </c>
      <c r="L4387">
        <v>1.1639999999999999</v>
      </c>
      <c r="M4387">
        <v>0</v>
      </c>
      <c r="N4387" t="s">
        <v>10019</v>
      </c>
      <c r="O4387" t="str">
        <f>HYPERLINK("NoConsenso\marker_737_754574.png", "Ver Imagen")</f>
        <v>Ver Imagen</v>
      </c>
      <c r="P4387" t="str">
        <f>HYPERLINK("NO\A-490\A-490__435.png", "Ver Imagen")</f>
        <v>Ver Imagen</v>
      </c>
    </row>
    <row r="4388" spans="1:16" x14ac:dyDescent="0.25">
      <c r="A4388">
        <v>4000</v>
      </c>
      <c r="B4388" t="s">
        <v>8010</v>
      </c>
      <c r="C4388">
        <v>37.485022211199997</v>
      </c>
      <c r="D4388">
        <v>-7.2305648962299998</v>
      </c>
      <c r="E4388">
        <v>1</v>
      </c>
      <c r="F4388">
        <v>3</v>
      </c>
      <c r="G4388">
        <v>1</v>
      </c>
      <c r="H4388">
        <v>2</v>
      </c>
      <c r="I4388">
        <v>3</v>
      </c>
      <c r="J4388" t="s">
        <v>8005</v>
      </c>
      <c r="K4388">
        <v>2</v>
      </c>
      <c r="L4388">
        <v>1.9039999999999999</v>
      </c>
      <c r="M4388">
        <v>0</v>
      </c>
      <c r="N4388" t="s">
        <v>10019</v>
      </c>
      <c r="O4388" t="str">
        <f>HYPERLINK("NoConsenso\marker_781_755321.png", "Ver Imagen")</f>
        <v>Ver Imagen</v>
      </c>
      <c r="P4388" t="str">
        <f>HYPERLINK("NO\A-490\A-490__466.png", "Ver Imagen")</f>
        <v>Ver Imagen</v>
      </c>
    </row>
    <row r="4389" spans="1:16" x14ac:dyDescent="0.25">
      <c r="A4389">
        <v>4001</v>
      </c>
      <c r="B4389" t="s">
        <v>8012</v>
      </c>
      <c r="C4389">
        <v>37.485637992100003</v>
      </c>
      <c r="D4389">
        <v>-7.2337929219400001</v>
      </c>
      <c r="E4389">
        <v>1</v>
      </c>
      <c r="F4389">
        <v>3</v>
      </c>
      <c r="G4389">
        <v>1</v>
      </c>
      <c r="H4389">
        <v>2</v>
      </c>
      <c r="I4389">
        <v>2</v>
      </c>
      <c r="J4389" t="s">
        <v>8005</v>
      </c>
      <c r="K4389">
        <v>2</v>
      </c>
      <c r="L4389">
        <v>1.6950000000000001</v>
      </c>
      <c r="M4389">
        <v>0</v>
      </c>
      <c r="N4389" t="s">
        <v>10017</v>
      </c>
      <c r="O4389" t="str">
        <f>HYPERLINK("NoConsenso\marker_677_755566.png", "Ver Imagen")</f>
        <v>Ver Imagen</v>
      </c>
      <c r="P4389" t="str">
        <f>HYPERLINK("NO\A-490\A-490__479.png", "Ver Imagen")</f>
        <v>Ver Imagen</v>
      </c>
    </row>
    <row r="4390" spans="1:16" x14ac:dyDescent="0.25">
      <c r="A4390">
        <v>4002</v>
      </c>
      <c r="B4390" t="s">
        <v>8014</v>
      </c>
      <c r="C4390">
        <v>37.487010880699998</v>
      </c>
      <c r="D4390">
        <v>-7.2411830776299997</v>
      </c>
      <c r="E4390">
        <v>1</v>
      </c>
      <c r="F4390">
        <v>3</v>
      </c>
      <c r="G4390">
        <v>1</v>
      </c>
      <c r="H4390">
        <v>2</v>
      </c>
      <c r="I4390">
        <v>2</v>
      </c>
      <c r="J4390" t="s">
        <v>8005</v>
      </c>
      <c r="K4390">
        <v>2</v>
      </c>
      <c r="L4390">
        <v>2.0190000000000001</v>
      </c>
      <c r="M4390">
        <v>0</v>
      </c>
      <c r="N4390" t="s">
        <v>10019</v>
      </c>
      <c r="O4390" t="str">
        <f>HYPERLINK("NoConsenso\marker_233_817756.png", "Ver Imagen")</f>
        <v>Ver Imagen</v>
      </c>
      <c r="P4390" t="str">
        <f>HYPERLINK("NO\A-490\A-490__509.png", "Ver Imagen")</f>
        <v>Ver Imagen</v>
      </c>
    </row>
    <row r="4391" spans="1:16" x14ac:dyDescent="0.25">
      <c r="A4391">
        <v>4003</v>
      </c>
      <c r="B4391" t="s">
        <v>8016</v>
      </c>
      <c r="C4391">
        <v>37.487174332800002</v>
      </c>
      <c r="D4391">
        <v>-7.2429624946200004</v>
      </c>
      <c r="E4391">
        <v>1</v>
      </c>
      <c r="F4391">
        <v>3</v>
      </c>
      <c r="G4391">
        <v>1</v>
      </c>
      <c r="H4391">
        <v>2</v>
      </c>
      <c r="I4391">
        <v>2</v>
      </c>
      <c r="J4391" t="s">
        <v>8005</v>
      </c>
      <c r="K4391">
        <v>2</v>
      </c>
      <c r="L4391">
        <v>1.968</v>
      </c>
      <c r="M4391">
        <v>0</v>
      </c>
      <c r="N4391" t="s">
        <v>10019</v>
      </c>
      <c r="O4391" t="str">
        <f>HYPERLINK("NoConsenso\marker_213_817917.png", "Ver Imagen")</f>
        <v>Ver Imagen</v>
      </c>
      <c r="P4391" t="str">
        <f>HYPERLINK("NO\A-490\A-490__516.png", "Ver Imagen")</f>
        <v>Ver Imagen</v>
      </c>
    </row>
    <row r="4392" spans="1:16" x14ac:dyDescent="0.25">
      <c r="A4392">
        <v>4004</v>
      </c>
      <c r="B4392" t="s">
        <v>8018</v>
      </c>
      <c r="C4392">
        <v>37.279669582899999</v>
      </c>
      <c r="D4392">
        <v>-6.9972994238000004</v>
      </c>
      <c r="E4392">
        <v>1</v>
      </c>
      <c r="F4392">
        <v>1</v>
      </c>
      <c r="G4392">
        <v>3</v>
      </c>
      <c r="H4392">
        <v>2</v>
      </c>
      <c r="I4392">
        <v>1</v>
      </c>
      <c r="J4392" t="s">
        <v>8005</v>
      </c>
      <c r="K4392">
        <v>1</v>
      </c>
      <c r="L4392">
        <v>1.2969999999999999</v>
      </c>
      <c r="M4392">
        <v>0</v>
      </c>
      <c r="N4392" t="s">
        <v>10019</v>
      </c>
      <c r="O4392" t="str">
        <f>HYPERLINK("NoConsenso\marker_906_823095.png", "Ver Imagen")</f>
        <v>Ver Imagen</v>
      </c>
      <c r="P4392" t="str">
        <f>HYPERLINK("SE\A-492\A-492__57.png", "Ver Imagen")</f>
        <v>Ver Imagen</v>
      </c>
    </row>
    <row r="4393" spans="1:16" x14ac:dyDescent="0.25">
      <c r="A4393">
        <v>4005</v>
      </c>
      <c r="B4393" t="s">
        <v>8020</v>
      </c>
      <c r="C4393">
        <v>37.267369426499997</v>
      </c>
      <c r="D4393">
        <v>-6.9604849482000004</v>
      </c>
      <c r="E4393">
        <v>1</v>
      </c>
      <c r="F4393">
        <v>3</v>
      </c>
      <c r="G4393">
        <v>1</v>
      </c>
      <c r="H4393">
        <v>2</v>
      </c>
      <c r="I4393">
        <v>2</v>
      </c>
      <c r="J4393" t="s">
        <v>8005</v>
      </c>
      <c r="K4393">
        <v>2</v>
      </c>
      <c r="L4393">
        <v>1.66</v>
      </c>
      <c r="M4393">
        <v>0</v>
      </c>
      <c r="N4393" t="s">
        <v>10019</v>
      </c>
      <c r="O4393" t="str">
        <f>HYPERLINK("NoConsenso\marker_891_943786.png", "Ver Imagen")</f>
        <v>Ver Imagen</v>
      </c>
      <c r="P4393" t="str">
        <f>HYPERLINK("SE\A-497\A-497__19.png", "Ver Imagen")</f>
        <v>Ver Imagen</v>
      </c>
    </row>
    <row r="4394" spans="1:16" x14ac:dyDescent="0.25">
      <c r="A4394">
        <v>4006</v>
      </c>
      <c r="B4394" t="s">
        <v>8022</v>
      </c>
      <c r="C4394">
        <v>37.189671995099999</v>
      </c>
      <c r="D4394">
        <v>-6.9880815476600002</v>
      </c>
      <c r="E4394">
        <v>1</v>
      </c>
      <c r="F4394">
        <v>3</v>
      </c>
      <c r="G4394">
        <v>3</v>
      </c>
      <c r="H4394">
        <v>2</v>
      </c>
      <c r="I4394">
        <v>1</v>
      </c>
      <c r="J4394" t="s">
        <v>8005</v>
      </c>
      <c r="K4394">
        <v>2</v>
      </c>
      <c r="L4394">
        <v>2.0030000000000001</v>
      </c>
      <c r="M4394">
        <v>0</v>
      </c>
      <c r="N4394" t="s">
        <v>10019</v>
      </c>
      <c r="O4394" t="str">
        <f>HYPERLINK("NoConsenso\marker_440_944116.png", "Ver Imagen")</f>
        <v>Ver Imagen</v>
      </c>
      <c r="P4394" t="str">
        <f>HYPERLINK("SE\A-5050\A-5050__184.png", "Ver Imagen")</f>
        <v>Ver Imagen</v>
      </c>
    </row>
    <row r="4395" spans="1:16" x14ac:dyDescent="0.25">
      <c r="A4395">
        <v>4007</v>
      </c>
      <c r="B4395" t="s">
        <v>8024</v>
      </c>
      <c r="C4395">
        <v>37.191302991000001</v>
      </c>
      <c r="D4395">
        <v>-6.9916181010000003</v>
      </c>
      <c r="E4395">
        <v>1</v>
      </c>
      <c r="F4395">
        <v>2</v>
      </c>
      <c r="G4395">
        <v>3</v>
      </c>
      <c r="H4395">
        <v>1</v>
      </c>
      <c r="I4395">
        <v>2</v>
      </c>
      <c r="J4395" t="s">
        <v>8005</v>
      </c>
      <c r="K4395">
        <v>2</v>
      </c>
      <c r="L4395">
        <v>1.8540000000000001</v>
      </c>
      <c r="M4395">
        <v>0</v>
      </c>
      <c r="N4395" t="s">
        <v>10019</v>
      </c>
      <c r="O4395" t="str">
        <f>HYPERLINK("NoConsenso\marker_973_944309.png", "Ver Imagen")</f>
        <v>Ver Imagen</v>
      </c>
      <c r="P4395" t="str">
        <f>HYPERLINK("SE\A-5050\A-5050__168.png", "Ver Imagen")</f>
        <v>Ver Imagen</v>
      </c>
    </row>
    <row r="4396" spans="1:16" x14ac:dyDescent="0.25">
      <c r="A4396">
        <v>4009</v>
      </c>
      <c r="B4396" t="s">
        <v>8028</v>
      </c>
      <c r="C4396">
        <v>37.218208611400001</v>
      </c>
      <c r="D4396">
        <v>-7.12298624689</v>
      </c>
      <c r="E4396">
        <v>1</v>
      </c>
      <c r="F4396">
        <v>2</v>
      </c>
      <c r="G4396">
        <v>3</v>
      </c>
      <c r="H4396">
        <v>1</v>
      </c>
      <c r="I4396">
        <v>1</v>
      </c>
      <c r="J4396" t="s">
        <v>8005</v>
      </c>
      <c r="K4396">
        <v>1</v>
      </c>
      <c r="L4396">
        <v>1.25</v>
      </c>
      <c r="M4396">
        <v>0</v>
      </c>
      <c r="N4396" t="s">
        <v>10019</v>
      </c>
      <c r="O4396" t="str">
        <f>HYPERLINK("NoConsenso\marker_604_950124.png", "Ver Imagen")</f>
        <v>Ver Imagen</v>
      </c>
      <c r="P4396" t="str">
        <f>HYPERLINK("SO\A-5052\A-5052__12.png", "Ver Imagen")</f>
        <v>Ver Imagen</v>
      </c>
    </row>
    <row r="4397" spans="1:16" x14ac:dyDescent="0.25">
      <c r="A4397">
        <v>4010</v>
      </c>
      <c r="B4397" t="s">
        <v>8030</v>
      </c>
      <c r="C4397">
        <v>37.218126982999998</v>
      </c>
      <c r="D4397">
        <v>-7.1187505239900002</v>
      </c>
      <c r="E4397">
        <v>1</v>
      </c>
      <c r="F4397">
        <v>3</v>
      </c>
      <c r="G4397">
        <v>3</v>
      </c>
      <c r="H4397">
        <v>2</v>
      </c>
      <c r="I4397">
        <v>2</v>
      </c>
      <c r="J4397" t="s">
        <v>8005</v>
      </c>
      <c r="K4397">
        <v>2</v>
      </c>
      <c r="L4397">
        <v>2.4079999999999999</v>
      </c>
      <c r="M4397">
        <v>0</v>
      </c>
      <c r="N4397" t="s">
        <v>10018</v>
      </c>
      <c r="O4397" t="str">
        <f>HYPERLINK("NoConsenso\marker_656_951586.png", "Ver Imagen")</f>
        <v>Ver Imagen</v>
      </c>
      <c r="P4397" t="str">
        <f>HYPERLINK("SO\A-5052\A-5052__29.png", "Ver Imagen")</f>
        <v>Ver Imagen</v>
      </c>
    </row>
    <row r="4398" spans="1:16" x14ac:dyDescent="0.25">
      <c r="A4398">
        <v>4011</v>
      </c>
      <c r="B4398" t="s">
        <v>8032</v>
      </c>
      <c r="C4398">
        <v>37.217626067600001</v>
      </c>
      <c r="D4398">
        <v>-7.1092040251000004</v>
      </c>
      <c r="E4398">
        <v>1</v>
      </c>
      <c r="F4398">
        <v>1</v>
      </c>
      <c r="G4398">
        <v>3</v>
      </c>
      <c r="H4398">
        <v>1</v>
      </c>
      <c r="I4398">
        <v>1</v>
      </c>
      <c r="J4398" t="s">
        <v>8005</v>
      </c>
      <c r="K4398">
        <v>1</v>
      </c>
      <c r="L4398">
        <v>1.0329999999999999</v>
      </c>
      <c r="M4398">
        <v>0</v>
      </c>
      <c r="N4398" t="s">
        <v>10019</v>
      </c>
      <c r="O4398" t="str">
        <f>HYPERLINK("NoConsenso\marker_838_957138.png", "Ver Imagen")</f>
        <v>Ver Imagen</v>
      </c>
      <c r="P4398" t="str">
        <f>HYPERLINK("SO\A-5052\A-5052__67.png", "Ver Imagen")</f>
        <v>Ver Imagen</v>
      </c>
    </row>
    <row r="4399" spans="1:16" x14ac:dyDescent="0.25">
      <c r="A4399">
        <v>4012</v>
      </c>
      <c r="B4399" t="s">
        <v>8034</v>
      </c>
      <c r="C4399">
        <v>37.217491377199998</v>
      </c>
      <c r="D4399">
        <v>-7.1082108991400004</v>
      </c>
      <c r="E4399">
        <v>1</v>
      </c>
      <c r="F4399">
        <v>2</v>
      </c>
      <c r="G4399">
        <v>3</v>
      </c>
      <c r="H4399">
        <v>2</v>
      </c>
      <c r="I4399">
        <v>2</v>
      </c>
      <c r="J4399" t="s">
        <v>8005</v>
      </c>
      <c r="K4399">
        <v>2</v>
      </c>
      <c r="L4399">
        <v>1.9339999999999999</v>
      </c>
      <c r="M4399">
        <v>0</v>
      </c>
      <c r="N4399" t="s">
        <v>10019</v>
      </c>
      <c r="O4399" t="str">
        <f>HYPERLINK("NoConsenso\marker_901_957188.png", "Ver Imagen")</f>
        <v>Ver Imagen</v>
      </c>
      <c r="P4399" t="str">
        <f>HYPERLINK("SO\A-5052\A-5052__71.png", "Ver Imagen")</f>
        <v>Ver Imagen</v>
      </c>
    </row>
    <row r="4400" spans="1:16" x14ac:dyDescent="0.25">
      <c r="A4400">
        <v>4013</v>
      </c>
      <c r="B4400" t="s">
        <v>8036</v>
      </c>
      <c r="C4400">
        <v>37.216979223000003</v>
      </c>
      <c r="D4400">
        <v>-7.0988991863799997</v>
      </c>
      <c r="E4400">
        <v>1</v>
      </c>
      <c r="F4400">
        <v>1</v>
      </c>
      <c r="G4400">
        <v>3</v>
      </c>
      <c r="H4400">
        <v>1</v>
      </c>
      <c r="I4400">
        <v>1</v>
      </c>
      <c r="J4400" t="s">
        <v>8005</v>
      </c>
      <c r="K4400">
        <v>1</v>
      </c>
      <c r="L4400">
        <v>1</v>
      </c>
      <c r="M4400">
        <v>0</v>
      </c>
      <c r="N4400" t="s">
        <v>10019</v>
      </c>
      <c r="O4400" t="str">
        <f>HYPERLINK("NoConsenso\marker_856_957765.png", "Ver Imagen")</f>
        <v>Ver Imagen</v>
      </c>
      <c r="P4400" t="str">
        <f>HYPERLINK("SE\A-5052\A-5052__108.png", "Ver Imagen")</f>
        <v>Ver Imagen</v>
      </c>
    </row>
    <row r="4401" spans="1:16" x14ac:dyDescent="0.25">
      <c r="A4401">
        <v>4013</v>
      </c>
      <c r="B4401" t="s">
        <v>8036</v>
      </c>
      <c r="C4401">
        <v>37.216979223000003</v>
      </c>
      <c r="D4401">
        <v>-7.0988991863799997</v>
      </c>
      <c r="E4401">
        <v>1</v>
      </c>
      <c r="F4401">
        <v>1</v>
      </c>
      <c r="G4401">
        <v>3</v>
      </c>
      <c r="H4401">
        <v>1</v>
      </c>
      <c r="I4401">
        <v>1</v>
      </c>
      <c r="J4401" t="s">
        <v>8005</v>
      </c>
      <c r="K4401">
        <v>1</v>
      </c>
      <c r="L4401">
        <v>1.0249999999999999</v>
      </c>
      <c r="M4401">
        <v>0</v>
      </c>
      <c r="N4401" t="s">
        <v>10019</v>
      </c>
      <c r="O4401" t="str">
        <f>HYPERLINK("NoConsenso\marker_856_957765.png", "Ver Imagen")</f>
        <v>Ver Imagen</v>
      </c>
      <c r="P4401" t="str">
        <f>HYPERLINK("SO\A-5052\A-5052__108.png", "Ver Imagen")</f>
        <v>Ver Imagen</v>
      </c>
    </row>
    <row r="4402" spans="1:16" x14ac:dyDescent="0.25">
      <c r="A4402">
        <v>4014</v>
      </c>
      <c r="B4402" t="s">
        <v>8038</v>
      </c>
      <c r="C4402">
        <v>37.216033425299997</v>
      </c>
      <c r="D4402">
        <v>-7.0863714253200003</v>
      </c>
      <c r="E4402">
        <v>1</v>
      </c>
      <c r="F4402">
        <v>2</v>
      </c>
      <c r="G4402">
        <v>3</v>
      </c>
      <c r="H4402">
        <v>1</v>
      </c>
      <c r="I4402">
        <v>1</v>
      </c>
      <c r="J4402" t="s">
        <v>8005</v>
      </c>
      <c r="K4402">
        <v>1</v>
      </c>
      <c r="L4402">
        <v>1.4370000000000001</v>
      </c>
      <c r="M4402">
        <v>0</v>
      </c>
      <c r="N4402" t="s">
        <v>10018</v>
      </c>
      <c r="O4402" t="str">
        <f>HYPERLINK("NoConsenso\marker_226_958647.png", "Ver Imagen")</f>
        <v>Ver Imagen</v>
      </c>
      <c r="P4402" t="str">
        <f>HYPERLINK("SE\A-5052\A-5052__158.png", "Ver Imagen")</f>
        <v>Ver Imagen</v>
      </c>
    </row>
    <row r="4403" spans="1:16" x14ac:dyDescent="0.25">
      <c r="A4403">
        <v>4014</v>
      </c>
      <c r="B4403" t="s">
        <v>8038</v>
      </c>
      <c r="C4403">
        <v>37.216033425299997</v>
      </c>
      <c r="D4403">
        <v>-7.0863714253200003</v>
      </c>
      <c r="E4403">
        <v>1</v>
      </c>
      <c r="F4403">
        <v>2</v>
      </c>
      <c r="G4403">
        <v>3</v>
      </c>
      <c r="H4403">
        <v>1</v>
      </c>
      <c r="I4403">
        <v>1</v>
      </c>
      <c r="J4403" t="s">
        <v>8005</v>
      </c>
      <c r="K4403">
        <v>1</v>
      </c>
      <c r="L4403">
        <v>1.2529999999999999</v>
      </c>
      <c r="M4403">
        <v>0</v>
      </c>
      <c r="N4403" t="s">
        <v>10018</v>
      </c>
      <c r="O4403" t="str">
        <f>HYPERLINK("NoConsenso\marker_226_958647.png", "Ver Imagen")</f>
        <v>Ver Imagen</v>
      </c>
      <c r="P4403" t="str">
        <f>HYPERLINK("SO\A-5052\A-5052__158.png", "Ver Imagen")</f>
        <v>Ver Imagen</v>
      </c>
    </row>
    <row r="4404" spans="1:16" x14ac:dyDescent="0.25">
      <c r="A4404">
        <v>4015</v>
      </c>
      <c r="B4404" t="s">
        <v>8040</v>
      </c>
      <c r="C4404">
        <v>37.215454465400001</v>
      </c>
      <c r="D4404">
        <v>-7.0812427280100003</v>
      </c>
      <c r="E4404">
        <v>1</v>
      </c>
      <c r="F4404">
        <v>2</v>
      </c>
      <c r="G4404">
        <v>3</v>
      </c>
      <c r="H4404">
        <v>2</v>
      </c>
      <c r="I4404">
        <v>2</v>
      </c>
      <c r="J4404" t="s">
        <v>8005</v>
      </c>
      <c r="K4404">
        <v>2</v>
      </c>
      <c r="L4404">
        <v>1.8220000000000001</v>
      </c>
      <c r="M4404">
        <v>0</v>
      </c>
      <c r="N4404" t="s">
        <v>10017</v>
      </c>
      <c r="O4404" t="str">
        <f>HYPERLINK("NoConsenso\marker_597_959071.png", "Ver Imagen")</f>
        <v>Ver Imagen</v>
      </c>
      <c r="P4404" t="str">
        <f>HYPERLINK("SE\A-5052\A-5052__179.png", "Ver Imagen")</f>
        <v>Ver Imagen</v>
      </c>
    </row>
    <row r="4405" spans="1:16" x14ac:dyDescent="0.25">
      <c r="A4405">
        <v>4015</v>
      </c>
      <c r="B4405" t="s">
        <v>8040</v>
      </c>
      <c r="C4405">
        <v>37.215454465400001</v>
      </c>
      <c r="D4405">
        <v>-7.0812427280100003</v>
      </c>
      <c r="E4405">
        <v>1</v>
      </c>
      <c r="F4405">
        <v>2</v>
      </c>
      <c r="G4405">
        <v>3</v>
      </c>
      <c r="H4405">
        <v>2</v>
      </c>
      <c r="I4405">
        <v>2</v>
      </c>
      <c r="J4405" t="s">
        <v>8005</v>
      </c>
      <c r="K4405">
        <v>2</v>
      </c>
      <c r="L4405">
        <v>2.2469999999999999</v>
      </c>
      <c r="M4405">
        <v>0</v>
      </c>
      <c r="N4405" t="s">
        <v>10017</v>
      </c>
      <c r="O4405" t="str">
        <f>HYPERLINK("NoConsenso\marker_597_959071.png", "Ver Imagen")</f>
        <v>Ver Imagen</v>
      </c>
      <c r="P4405" t="str">
        <f>HYPERLINK("SO\A-5052\A-5052__179.png", "Ver Imagen")</f>
        <v>Ver Imagen</v>
      </c>
    </row>
    <row r="4406" spans="1:16" x14ac:dyDescent="0.25">
      <c r="A4406">
        <v>4016</v>
      </c>
      <c r="B4406" t="s">
        <v>8042</v>
      </c>
      <c r="C4406">
        <v>37.215383432499998</v>
      </c>
      <c r="D4406">
        <v>-7.0810003518100002</v>
      </c>
      <c r="E4406">
        <v>1</v>
      </c>
      <c r="F4406">
        <v>2</v>
      </c>
      <c r="G4406">
        <v>3</v>
      </c>
      <c r="H4406">
        <v>1</v>
      </c>
      <c r="I4406">
        <v>2</v>
      </c>
      <c r="J4406" t="s">
        <v>8005</v>
      </c>
      <c r="K4406">
        <v>2</v>
      </c>
      <c r="L4406">
        <v>2.008</v>
      </c>
      <c r="M4406">
        <v>0</v>
      </c>
      <c r="N4406" t="s">
        <v>10018</v>
      </c>
      <c r="O4406" t="str">
        <f>HYPERLINK("NoConsenso\marker_821_959081.png", "Ver Imagen")</f>
        <v>Ver Imagen</v>
      </c>
      <c r="P4406" t="str">
        <f>HYPERLINK("SE\A-5052\A-5052__180.png", "Ver Imagen")</f>
        <v>Ver Imagen</v>
      </c>
    </row>
    <row r="4407" spans="1:16" x14ac:dyDescent="0.25">
      <c r="A4407">
        <v>4016</v>
      </c>
      <c r="B4407" t="s">
        <v>8042</v>
      </c>
      <c r="C4407">
        <v>37.215383432499998</v>
      </c>
      <c r="D4407">
        <v>-7.0810003518100002</v>
      </c>
      <c r="E4407">
        <v>1</v>
      </c>
      <c r="F4407">
        <v>2</v>
      </c>
      <c r="G4407">
        <v>3</v>
      </c>
      <c r="H4407">
        <v>1</v>
      </c>
      <c r="I4407">
        <v>2</v>
      </c>
      <c r="J4407" t="s">
        <v>8005</v>
      </c>
      <c r="K4407">
        <v>2</v>
      </c>
      <c r="L4407">
        <v>2.278</v>
      </c>
      <c r="M4407">
        <v>0</v>
      </c>
      <c r="N4407" t="s">
        <v>10018</v>
      </c>
      <c r="O4407" t="str">
        <f>HYPERLINK("NoConsenso\marker_821_959081.png", "Ver Imagen")</f>
        <v>Ver Imagen</v>
      </c>
      <c r="P4407" t="str">
        <f>HYPERLINK("SO\A-5052\A-5052__180.png", "Ver Imagen")</f>
        <v>Ver Imagen</v>
      </c>
    </row>
    <row r="4408" spans="1:16" x14ac:dyDescent="0.25">
      <c r="A4408">
        <v>4017</v>
      </c>
      <c r="B4408" t="s">
        <v>8044</v>
      </c>
      <c r="C4408">
        <v>37.215304962499999</v>
      </c>
      <c r="D4408">
        <v>-7.0807341513899997</v>
      </c>
      <c r="E4408">
        <v>1</v>
      </c>
      <c r="F4408">
        <v>2</v>
      </c>
      <c r="G4408">
        <v>3</v>
      </c>
      <c r="H4408">
        <v>1</v>
      </c>
      <c r="I4408">
        <v>1</v>
      </c>
      <c r="J4408" t="s">
        <v>8005</v>
      </c>
      <c r="K4408">
        <v>1</v>
      </c>
      <c r="L4408">
        <v>1.266</v>
      </c>
      <c r="M4408">
        <v>0</v>
      </c>
      <c r="N4408" t="s">
        <v>10018</v>
      </c>
      <c r="O4408" t="str">
        <f>HYPERLINK("NoConsenso\marker_905_959094.png", "Ver Imagen")</f>
        <v>Ver Imagen</v>
      </c>
      <c r="P4408" t="str">
        <f>HYPERLINK("SO\A-5052\A-5052__181.png", "Ver Imagen")</f>
        <v>Ver Imagen</v>
      </c>
    </row>
    <row r="4409" spans="1:16" x14ac:dyDescent="0.25">
      <c r="A4409">
        <v>4018</v>
      </c>
      <c r="B4409" t="s">
        <v>8046</v>
      </c>
      <c r="C4409">
        <v>37.214514163099999</v>
      </c>
      <c r="D4409">
        <v>-7.0771109475099996</v>
      </c>
      <c r="E4409">
        <v>1</v>
      </c>
      <c r="F4409">
        <v>1</v>
      </c>
      <c r="G4409">
        <v>3</v>
      </c>
      <c r="H4409">
        <v>1</v>
      </c>
      <c r="I4409">
        <v>1</v>
      </c>
      <c r="J4409" t="s">
        <v>8005</v>
      </c>
      <c r="K4409">
        <v>1</v>
      </c>
      <c r="L4409">
        <v>1.0489999999999999</v>
      </c>
      <c r="M4409">
        <v>0</v>
      </c>
      <c r="N4409" t="s">
        <v>10019</v>
      </c>
      <c r="O4409" t="str">
        <f>HYPERLINK("NoConsenso\marker_681_959411.png", "Ver Imagen")</f>
        <v>Ver Imagen</v>
      </c>
      <c r="P4409" t="str">
        <f>HYPERLINK("SE\A-5052\A-5052__196.png", "Ver Imagen")</f>
        <v>Ver Imagen</v>
      </c>
    </row>
    <row r="4410" spans="1:16" x14ac:dyDescent="0.25">
      <c r="A4410">
        <v>4018</v>
      </c>
      <c r="B4410" t="s">
        <v>8046</v>
      </c>
      <c r="C4410">
        <v>37.214514163099999</v>
      </c>
      <c r="D4410">
        <v>-7.0771109475099996</v>
      </c>
      <c r="E4410">
        <v>1</v>
      </c>
      <c r="F4410">
        <v>1</v>
      </c>
      <c r="G4410">
        <v>3</v>
      </c>
      <c r="H4410">
        <v>1</v>
      </c>
      <c r="I4410">
        <v>1</v>
      </c>
      <c r="J4410" t="s">
        <v>8005</v>
      </c>
      <c r="K4410">
        <v>1</v>
      </c>
      <c r="L4410">
        <v>1</v>
      </c>
      <c r="M4410">
        <v>0</v>
      </c>
      <c r="N4410" t="s">
        <v>10019</v>
      </c>
      <c r="O4410" t="str">
        <f>HYPERLINK("NoConsenso\marker_681_959411.png", "Ver Imagen")</f>
        <v>Ver Imagen</v>
      </c>
      <c r="P4410" t="str">
        <f>HYPERLINK("SO\A-5052\A-5052__196.png", "Ver Imagen")</f>
        <v>Ver Imagen</v>
      </c>
    </row>
    <row r="4411" spans="1:16" x14ac:dyDescent="0.25">
      <c r="A4411">
        <v>4019</v>
      </c>
      <c r="B4411" t="s">
        <v>8048</v>
      </c>
      <c r="C4411">
        <v>37.213782197999997</v>
      </c>
      <c r="D4411">
        <v>-7.0726664589299997</v>
      </c>
      <c r="E4411">
        <v>1</v>
      </c>
      <c r="F4411">
        <v>2</v>
      </c>
      <c r="G4411">
        <v>3</v>
      </c>
      <c r="H4411">
        <v>2</v>
      </c>
      <c r="I4411">
        <v>2</v>
      </c>
      <c r="J4411" t="s">
        <v>8005</v>
      </c>
      <c r="K4411">
        <v>2</v>
      </c>
      <c r="L4411">
        <v>1.9710000000000001</v>
      </c>
      <c r="M4411">
        <v>0</v>
      </c>
      <c r="N4411" t="s">
        <v>10019</v>
      </c>
      <c r="O4411" t="str">
        <f>HYPERLINK("NoConsenso\marker_586_959632.png", "Ver Imagen")</f>
        <v>Ver Imagen</v>
      </c>
      <c r="P4411" t="str">
        <f>HYPERLINK("SE\A-5052\A-5052__214.png", "Ver Imagen")</f>
        <v>Ver Imagen</v>
      </c>
    </row>
    <row r="4412" spans="1:16" x14ac:dyDescent="0.25">
      <c r="A4412">
        <v>4020</v>
      </c>
      <c r="B4412" t="s">
        <v>8050</v>
      </c>
      <c r="C4412">
        <v>37.213033067700003</v>
      </c>
      <c r="D4412">
        <v>-7.0619315891500003</v>
      </c>
      <c r="E4412">
        <v>1</v>
      </c>
      <c r="F4412">
        <v>2</v>
      </c>
      <c r="G4412">
        <v>3</v>
      </c>
      <c r="H4412">
        <v>2</v>
      </c>
      <c r="I4412">
        <v>3</v>
      </c>
      <c r="J4412" t="s">
        <v>8052</v>
      </c>
      <c r="K4412">
        <v>3</v>
      </c>
      <c r="L4412">
        <v>2.9740000000000002</v>
      </c>
      <c r="M4412">
        <v>0</v>
      </c>
      <c r="N4412" t="s">
        <v>10019</v>
      </c>
      <c r="O4412" t="str">
        <f>HYPERLINK("NoConsenso\marker_336_960166.png", "Ver Imagen")</f>
        <v>Ver Imagen</v>
      </c>
      <c r="P4412" t="str">
        <f>HYPERLINK("SE\A-5052\A-5052__257.png", "Ver Imagen")</f>
        <v>Ver Imagen</v>
      </c>
    </row>
    <row r="4413" spans="1:16" x14ac:dyDescent="0.25">
      <c r="A4413">
        <v>4021</v>
      </c>
      <c r="B4413" t="s">
        <v>8053</v>
      </c>
      <c r="C4413">
        <v>37.201539770700002</v>
      </c>
      <c r="D4413">
        <v>-7.0197043756699999</v>
      </c>
      <c r="E4413">
        <v>1</v>
      </c>
      <c r="F4413">
        <v>2</v>
      </c>
      <c r="G4413">
        <v>3</v>
      </c>
      <c r="H4413">
        <v>2</v>
      </c>
      <c r="I4413">
        <v>2</v>
      </c>
      <c r="J4413" t="s">
        <v>8005</v>
      </c>
      <c r="K4413">
        <v>2</v>
      </c>
      <c r="L4413">
        <v>1.7709999999999999</v>
      </c>
      <c r="M4413">
        <v>0</v>
      </c>
      <c r="N4413" t="s">
        <v>10019</v>
      </c>
      <c r="O4413" t="str">
        <f>HYPERLINK("NoConsenso\marker_475_963057.png", "Ver Imagen")</f>
        <v>Ver Imagen</v>
      </c>
      <c r="P4413" t="str">
        <f>HYPERLINK("SE\A-5052\A-5052__438.png", "Ver Imagen")</f>
        <v>Ver Imagen</v>
      </c>
    </row>
    <row r="4414" spans="1:16" x14ac:dyDescent="0.25">
      <c r="A4414">
        <v>4022</v>
      </c>
      <c r="B4414" t="s">
        <v>8055</v>
      </c>
      <c r="C4414">
        <v>37.2876639037</v>
      </c>
      <c r="D4414">
        <v>-7.14124621731</v>
      </c>
      <c r="E4414">
        <v>1</v>
      </c>
      <c r="F4414">
        <v>2</v>
      </c>
      <c r="G4414">
        <v>3</v>
      </c>
      <c r="H4414">
        <v>2</v>
      </c>
      <c r="I4414">
        <v>2</v>
      </c>
      <c r="J4414" t="s">
        <v>8005</v>
      </c>
      <c r="K4414">
        <v>2</v>
      </c>
      <c r="L4414">
        <v>2.0920000000000001</v>
      </c>
      <c r="M4414">
        <v>0</v>
      </c>
      <c r="N4414" t="s">
        <v>10019</v>
      </c>
      <c r="O4414" t="str">
        <f>HYPERLINK("NoConsenso\marker_644_963898.png", "Ver Imagen")</f>
        <v>Ver Imagen</v>
      </c>
      <c r="P4414" t="str">
        <f>HYPERLINK("SO\A-5053\A-5053__376.png", "Ver Imagen")</f>
        <v>Ver Imagen</v>
      </c>
    </row>
    <row r="4415" spans="1:16" x14ac:dyDescent="0.25">
      <c r="A4415">
        <v>4023</v>
      </c>
      <c r="B4415" t="s">
        <v>8057</v>
      </c>
      <c r="C4415">
        <v>37.285472066300002</v>
      </c>
      <c r="D4415">
        <v>-7.1423377428199997</v>
      </c>
      <c r="E4415">
        <v>1</v>
      </c>
      <c r="F4415">
        <v>2</v>
      </c>
      <c r="G4415">
        <v>3</v>
      </c>
      <c r="H4415">
        <v>2</v>
      </c>
      <c r="I4415">
        <v>2</v>
      </c>
      <c r="J4415" t="s">
        <v>8005</v>
      </c>
      <c r="K4415">
        <v>2</v>
      </c>
      <c r="L4415">
        <v>1.8380000000000001</v>
      </c>
      <c r="M4415">
        <v>0</v>
      </c>
      <c r="N4415" t="s">
        <v>10019</v>
      </c>
      <c r="O4415" t="str">
        <f>HYPERLINK("NoConsenso\marker_993_964018.png", "Ver Imagen")</f>
        <v>Ver Imagen</v>
      </c>
      <c r="P4415" t="str">
        <f>HYPERLINK("SO\A-5053\A-5053__364.png", "Ver Imagen")</f>
        <v>Ver Imagen</v>
      </c>
    </row>
    <row r="4416" spans="1:16" x14ac:dyDescent="0.25">
      <c r="A4416">
        <v>4024</v>
      </c>
      <c r="B4416" t="s">
        <v>8059</v>
      </c>
      <c r="C4416">
        <v>37.279909794799998</v>
      </c>
      <c r="D4416">
        <v>-7.1458459692499998</v>
      </c>
      <c r="E4416">
        <v>1</v>
      </c>
      <c r="F4416">
        <v>3</v>
      </c>
      <c r="G4416">
        <v>3</v>
      </c>
      <c r="H4416">
        <v>2</v>
      </c>
      <c r="I4416">
        <v>2</v>
      </c>
      <c r="J4416" t="s">
        <v>8005</v>
      </c>
      <c r="K4416">
        <v>2</v>
      </c>
      <c r="L4416">
        <v>2.1030000000000002</v>
      </c>
      <c r="M4416">
        <v>0</v>
      </c>
      <c r="N4416" t="s">
        <v>10019</v>
      </c>
      <c r="O4416" t="str">
        <f>HYPERLINK("NoConsenso\marker_496_964437.png", "Ver Imagen")</f>
        <v>Ver Imagen</v>
      </c>
      <c r="P4416" t="str">
        <f>HYPERLINK("SO\A-5053\A-5053__332.png", "Ver Imagen")</f>
        <v>Ver Imagen</v>
      </c>
    </row>
    <row r="4417" spans="1:16" x14ac:dyDescent="0.25">
      <c r="A4417">
        <v>4025</v>
      </c>
      <c r="B4417" t="s">
        <v>8061</v>
      </c>
      <c r="C4417">
        <v>37.231667635299999</v>
      </c>
      <c r="D4417">
        <v>-7.1271118212499998</v>
      </c>
      <c r="E4417">
        <v>1</v>
      </c>
      <c r="F4417">
        <v>2</v>
      </c>
      <c r="G4417">
        <v>3</v>
      </c>
      <c r="H4417">
        <v>1</v>
      </c>
      <c r="I4417">
        <v>2</v>
      </c>
      <c r="J4417" t="s">
        <v>8005</v>
      </c>
      <c r="K4417">
        <v>2</v>
      </c>
      <c r="L4417">
        <v>2.1030000000000002</v>
      </c>
      <c r="M4417">
        <v>0</v>
      </c>
      <c r="N4417" t="s">
        <v>10019</v>
      </c>
      <c r="O4417" t="str">
        <f>HYPERLINK("NoConsenso\marker_982_020755.png", "Ver Imagen")</f>
        <v>Ver Imagen</v>
      </c>
      <c r="P4417" t="str">
        <f>HYPERLINK("SO\A-5053\A-5053__65.png", "Ver Imagen")</f>
        <v>Ver Imagen</v>
      </c>
    </row>
    <row r="4418" spans="1:16" x14ac:dyDescent="0.25">
      <c r="A4418">
        <v>4027</v>
      </c>
      <c r="B4418" t="s">
        <v>8065</v>
      </c>
      <c r="C4418">
        <v>37.435543081699997</v>
      </c>
      <c r="D4418">
        <v>-7.0753042170600002</v>
      </c>
      <c r="E4418">
        <v>3</v>
      </c>
      <c r="F4418">
        <v>3</v>
      </c>
      <c r="G4418">
        <v>1</v>
      </c>
      <c r="H4418">
        <v>2</v>
      </c>
      <c r="I4418">
        <v>3</v>
      </c>
      <c r="J4418" t="s">
        <v>8005</v>
      </c>
      <c r="K4418">
        <v>3</v>
      </c>
      <c r="L4418">
        <v>2.96</v>
      </c>
      <c r="M4418">
        <v>0</v>
      </c>
      <c r="N4418" t="s">
        <v>10019</v>
      </c>
      <c r="O4418" t="str">
        <f>HYPERLINK("NoConsenso\marker_336_382284.png", "Ver Imagen")</f>
        <v>Ver Imagen</v>
      </c>
      <c r="P4418" t="str">
        <f>HYPERLINK("NE\A-495\A-495__111.png", "Ver Imagen")</f>
        <v>Ver Imagen</v>
      </c>
    </row>
    <row r="4419" spans="1:16" x14ac:dyDescent="0.25">
      <c r="A4419">
        <v>4028</v>
      </c>
      <c r="B4419" t="s">
        <v>8067</v>
      </c>
      <c r="C4419">
        <v>37.221540128199997</v>
      </c>
      <c r="D4419">
        <v>-7.0545680201099996</v>
      </c>
      <c r="E4419">
        <v>3</v>
      </c>
      <c r="F4419">
        <v>2</v>
      </c>
      <c r="G4419">
        <v>1</v>
      </c>
      <c r="H4419">
        <v>2</v>
      </c>
      <c r="I4419">
        <v>2</v>
      </c>
      <c r="J4419" t="s">
        <v>8005</v>
      </c>
      <c r="K4419">
        <v>2</v>
      </c>
      <c r="L4419">
        <v>1.9870000000000001</v>
      </c>
      <c r="M4419">
        <v>0</v>
      </c>
      <c r="N4419" t="s">
        <v>10019</v>
      </c>
      <c r="O4419" t="str">
        <f>HYPERLINK("NoConsenso\marker_995_378750.png", "Ver Imagen")</f>
        <v>Ver Imagen</v>
      </c>
      <c r="P4419" t="str">
        <f>HYPERLINK("SE\A-5059\A-5059__79.png", "Ver Imagen")</f>
        <v>Ver Imagen</v>
      </c>
    </row>
    <row r="4420" spans="1:16" x14ac:dyDescent="0.25">
      <c r="A4420">
        <v>4029</v>
      </c>
      <c r="B4420" t="s">
        <v>8069</v>
      </c>
      <c r="C4420">
        <v>37.435209700400002</v>
      </c>
      <c r="D4420">
        <v>-7.0709827171599997</v>
      </c>
      <c r="E4420">
        <v>3</v>
      </c>
      <c r="F4420">
        <v>2</v>
      </c>
      <c r="G4420">
        <v>1</v>
      </c>
      <c r="H4420">
        <v>2</v>
      </c>
      <c r="I4420">
        <v>1</v>
      </c>
      <c r="J4420" t="s">
        <v>8005</v>
      </c>
      <c r="K4420">
        <v>2</v>
      </c>
      <c r="L4420">
        <v>1.819</v>
      </c>
      <c r="M4420">
        <v>0</v>
      </c>
      <c r="N4420" t="s">
        <v>10019</v>
      </c>
      <c r="O4420" t="str">
        <f>HYPERLINK("NoConsenso\marker_881_382454.png", "Ver Imagen")</f>
        <v>Ver Imagen</v>
      </c>
      <c r="P4420" t="str">
        <f>HYPERLINK("NE\A-495\A-495__128.png", "Ver Imagen")</f>
        <v>Ver Imagen</v>
      </c>
    </row>
    <row r="4421" spans="1:16" x14ac:dyDescent="0.25">
      <c r="A4421">
        <v>4030</v>
      </c>
      <c r="B4421" t="s">
        <v>8071</v>
      </c>
      <c r="C4421">
        <v>37.433316419299999</v>
      </c>
      <c r="D4421">
        <v>-7.06570817326</v>
      </c>
      <c r="E4421">
        <v>3</v>
      </c>
      <c r="F4421">
        <v>3</v>
      </c>
      <c r="G4421">
        <v>1</v>
      </c>
      <c r="H4421">
        <v>1</v>
      </c>
      <c r="I4421">
        <v>1</v>
      </c>
      <c r="J4421" t="s">
        <v>8052</v>
      </c>
      <c r="K4421">
        <v>2</v>
      </c>
      <c r="L4421">
        <v>2.181</v>
      </c>
      <c r="M4421">
        <v>0</v>
      </c>
      <c r="N4421" t="s">
        <v>10019</v>
      </c>
      <c r="O4421" t="str">
        <f>HYPERLINK("NoConsenso\marker_579_382696.png", "Ver Imagen")</f>
        <v>Ver Imagen</v>
      </c>
      <c r="P4421" t="str">
        <f>HYPERLINK("NE\A-495\A-495__151.png", "Ver Imagen")</f>
        <v>Ver Imagen</v>
      </c>
    </row>
    <row r="4422" spans="1:16" x14ac:dyDescent="0.25">
      <c r="A4422">
        <v>4031</v>
      </c>
      <c r="B4422" t="s">
        <v>8073</v>
      </c>
      <c r="C4422">
        <v>37.433125874700004</v>
      </c>
      <c r="D4422">
        <v>-7.06529395992</v>
      </c>
      <c r="E4422">
        <v>2</v>
      </c>
      <c r="F4422">
        <v>3</v>
      </c>
      <c r="G4422">
        <v>1</v>
      </c>
      <c r="H4422">
        <v>3</v>
      </c>
      <c r="I4422">
        <v>2</v>
      </c>
      <c r="J4422" t="s">
        <v>8005</v>
      </c>
      <c r="K4422">
        <v>2</v>
      </c>
      <c r="L4422">
        <v>2.0310000000000001</v>
      </c>
      <c r="M4422">
        <v>0</v>
      </c>
      <c r="N4422" t="s">
        <v>10019</v>
      </c>
      <c r="O4422" t="str">
        <f>HYPERLINK("NoConsenso\marker_795_382714.png", "Ver Imagen")</f>
        <v>Ver Imagen</v>
      </c>
      <c r="P4422" t="str">
        <f>HYPERLINK("NE\A-495\A-495__153.png", "Ver Imagen")</f>
        <v>Ver Imagen</v>
      </c>
    </row>
    <row r="4423" spans="1:16" x14ac:dyDescent="0.25">
      <c r="A4423">
        <v>4032</v>
      </c>
      <c r="B4423" t="s">
        <v>8075</v>
      </c>
      <c r="C4423">
        <v>37.270134270500002</v>
      </c>
      <c r="D4423">
        <v>-6.9895535603700001</v>
      </c>
      <c r="E4423">
        <v>1</v>
      </c>
      <c r="F4423">
        <v>2</v>
      </c>
      <c r="G4423">
        <v>3</v>
      </c>
      <c r="H4423">
        <v>2</v>
      </c>
      <c r="I4423">
        <v>1</v>
      </c>
      <c r="J4423" t="s">
        <v>8005</v>
      </c>
      <c r="K4423">
        <v>2</v>
      </c>
      <c r="L4423">
        <v>1.738</v>
      </c>
      <c r="M4423">
        <v>0</v>
      </c>
      <c r="N4423" t="s">
        <v>10019</v>
      </c>
      <c r="O4423" t="str">
        <f>HYPERLINK("NoConsenso\marker_642_655817.png", "Ver Imagen")</f>
        <v>Ver Imagen</v>
      </c>
      <c r="P4423" t="str">
        <f>HYPERLINK("SE\A-497_2C\A-497_2C__135.png", "Ver Imagen")</f>
        <v>Ver Imagen</v>
      </c>
    </row>
    <row r="4424" spans="1:16" x14ac:dyDescent="0.25">
      <c r="A4424">
        <v>4033</v>
      </c>
      <c r="B4424" t="s">
        <v>8077</v>
      </c>
      <c r="C4424">
        <v>37.263351762600003</v>
      </c>
      <c r="D4424">
        <v>-7.0078477448600003</v>
      </c>
      <c r="E4424">
        <v>1</v>
      </c>
      <c r="F4424">
        <v>2</v>
      </c>
      <c r="G4424">
        <v>3</v>
      </c>
      <c r="H4424">
        <v>1</v>
      </c>
      <c r="I4424">
        <v>3</v>
      </c>
      <c r="J4424" t="s">
        <v>8052</v>
      </c>
      <c r="K4424">
        <v>3</v>
      </c>
      <c r="L4424">
        <v>3.2989999999999999</v>
      </c>
      <c r="M4424">
        <v>0</v>
      </c>
      <c r="N4424" t="s">
        <v>10019</v>
      </c>
      <c r="O4424" t="str">
        <f>HYPERLINK("NoConsenso\marker_526_656757.png", "Ver Imagen")</f>
        <v>Ver Imagen</v>
      </c>
      <c r="P4424" t="str">
        <f>HYPERLINK("SE\A-497_2C\A-497_2C__219.png", "Ver Imagen")</f>
        <v>Ver Imagen</v>
      </c>
    </row>
    <row r="4425" spans="1:16" x14ac:dyDescent="0.25">
      <c r="A4425">
        <v>4034</v>
      </c>
      <c r="B4425" t="s">
        <v>8079</v>
      </c>
      <c r="C4425">
        <v>37.2632936953</v>
      </c>
      <c r="D4425">
        <v>-7.0080358455900003</v>
      </c>
      <c r="E4425">
        <v>1</v>
      </c>
      <c r="F4425">
        <v>2</v>
      </c>
      <c r="G4425">
        <v>3</v>
      </c>
      <c r="H4425">
        <v>2</v>
      </c>
      <c r="I4425">
        <v>1</v>
      </c>
      <c r="J4425" t="s">
        <v>8005</v>
      </c>
      <c r="K4425">
        <v>2</v>
      </c>
      <c r="L4425">
        <v>2.274</v>
      </c>
      <c r="M4425">
        <v>0</v>
      </c>
      <c r="N4425" t="s">
        <v>10019</v>
      </c>
      <c r="O4425" t="str">
        <f>HYPERLINK("NoConsenso\marker_251_656766.png", "Ver Imagen")</f>
        <v>Ver Imagen</v>
      </c>
      <c r="P4425" t="str">
        <f>HYPERLINK("SE\A-497_2C\A-497_2C__220.png", "Ver Imagen")</f>
        <v>Ver Imagen</v>
      </c>
    </row>
    <row r="4426" spans="1:16" x14ac:dyDescent="0.25">
      <c r="A4426">
        <v>4035</v>
      </c>
      <c r="B4426" t="s">
        <v>8081</v>
      </c>
      <c r="C4426">
        <v>37.263208622599997</v>
      </c>
      <c r="D4426">
        <v>-7.0082842895399997</v>
      </c>
      <c r="E4426">
        <v>1</v>
      </c>
      <c r="F4426">
        <v>2</v>
      </c>
      <c r="G4426">
        <v>3</v>
      </c>
      <c r="H4426">
        <v>2</v>
      </c>
      <c r="I4426">
        <v>2</v>
      </c>
      <c r="J4426" t="s">
        <v>8005</v>
      </c>
      <c r="K4426">
        <v>2</v>
      </c>
      <c r="L4426">
        <v>2.1859999999999999</v>
      </c>
      <c r="M4426">
        <v>0</v>
      </c>
      <c r="N4426" t="s">
        <v>10019</v>
      </c>
      <c r="O4426" t="str">
        <f>HYPERLINK("NoConsenso\marker_162_656775.png", "Ver Imagen")</f>
        <v>Ver Imagen</v>
      </c>
      <c r="P4426" t="str">
        <f>HYPERLINK("SE\A-497_2C\A-497_2C__221.png", "Ver Imagen")</f>
        <v>Ver Imagen</v>
      </c>
    </row>
    <row r="4427" spans="1:16" x14ac:dyDescent="0.25">
      <c r="A4427">
        <v>4036</v>
      </c>
      <c r="B4427" t="s">
        <v>8083</v>
      </c>
      <c r="C4427">
        <v>37.263022368000001</v>
      </c>
      <c r="D4427">
        <v>-7.0087419856000004</v>
      </c>
      <c r="E4427">
        <v>1</v>
      </c>
      <c r="F4427">
        <v>2</v>
      </c>
      <c r="G4427">
        <v>3</v>
      </c>
      <c r="H4427">
        <v>2</v>
      </c>
      <c r="I4427">
        <v>2</v>
      </c>
      <c r="J4427" t="s">
        <v>8005</v>
      </c>
      <c r="K4427">
        <v>2</v>
      </c>
      <c r="L4427">
        <v>2.3660000000000001</v>
      </c>
      <c r="M4427">
        <v>0</v>
      </c>
      <c r="N4427" t="s">
        <v>10019</v>
      </c>
      <c r="O4427" t="str">
        <f>HYPERLINK("NoConsenso\marker_989_656793.png", "Ver Imagen")</f>
        <v>Ver Imagen</v>
      </c>
      <c r="P4427" t="str">
        <f>HYPERLINK("SE\A-497_2C\A-497_2C__223.png", "Ver Imagen")</f>
        <v>Ver Imagen</v>
      </c>
    </row>
    <row r="4428" spans="1:16" x14ac:dyDescent="0.25">
      <c r="A4428">
        <v>4037</v>
      </c>
      <c r="B4428" t="s">
        <v>8085</v>
      </c>
      <c r="C4428">
        <v>37.202016534599998</v>
      </c>
      <c r="D4428">
        <v>-6.9955922041500003</v>
      </c>
      <c r="E4428">
        <v>1</v>
      </c>
      <c r="F4428">
        <v>2</v>
      </c>
      <c r="G4428">
        <v>3</v>
      </c>
      <c r="H4428">
        <v>2</v>
      </c>
      <c r="I4428">
        <v>2</v>
      </c>
      <c r="J4428" t="s">
        <v>8005</v>
      </c>
      <c r="K4428">
        <v>2</v>
      </c>
      <c r="L4428">
        <v>2.2189999999999999</v>
      </c>
      <c r="M4428">
        <v>0</v>
      </c>
      <c r="N4428" t="s">
        <v>10019</v>
      </c>
      <c r="O4428" t="str">
        <f>HYPERLINK("NoConsenso\marker_953_371449.png", "Ver Imagen")</f>
        <v>Ver Imagen</v>
      </c>
      <c r="P4428" t="str">
        <f>HYPERLINK("SE\A-497\A-497__628.png", "Ver Imagen")</f>
        <v>Ver Imagen</v>
      </c>
    </row>
    <row r="4429" spans="1:16" x14ac:dyDescent="0.25">
      <c r="A4429">
        <v>4038</v>
      </c>
      <c r="B4429" t="s">
        <v>8087</v>
      </c>
      <c r="C4429">
        <v>37.202070375200002</v>
      </c>
      <c r="D4429">
        <v>-6.99592415545</v>
      </c>
      <c r="E4429">
        <v>1</v>
      </c>
      <c r="F4429">
        <v>2</v>
      </c>
      <c r="G4429">
        <v>3</v>
      </c>
      <c r="H4429">
        <v>2</v>
      </c>
      <c r="I4429">
        <v>2</v>
      </c>
      <c r="J4429" t="s">
        <v>8005</v>
      </c>
      <c r="K4429">
        <v>2</v>
      </c>
      <c r="L4429">
        <v>2.2669999999999999</v>
      </c>
      <c r="M4429">
        <v>0</v>
      </c>
      <c r="N4429" t="s">
        <v>10019</v>
      </c>
      <c r="O4429" t="str">
        <f>HYPERLINK("NoConsenso\marker_268_371459.png", "Ver Imagen")</f>
        <v>Ver Imagen</v>
      </c>
      <c r="P4429" t="str">
        <f>HYPERLINK("SE\A-497\A-497__627.png", "Ver Imagen")</f>
        <v>Ver Imagen</v>
      </c>
    </row>
    <row r="4430" spans="1:16" x14ac:dyDescent="0.25">
      <c r="A4430">
        <v>4039</v>
      </c>
      <c r="B4430" t="s">
        <v>8089</v>
      </c>
      <c r="C4430">
        <v>37.204790169699997</v>
      </c>
      <c r="D4430">
        <v>-7.0145658392600003</v>
      </c>
      <c r="E4430">
        <v>1</v>
      </c>
      <c r="F4430">
        <v>2</v>
      </c>
      <c r="G4430">
        <v>3</v>
      </c>
      <c r="H4430">
        <v>2</v>
      </c>
      <c r="I4430">
        <v>1</v>
      </c>
      <c r="J4430" t="s">
        <v>8005</v>
      </c>
      <c r="K4430">
        <v>2</v>
      </c>
      <c r="L4430">
        <v>1.9590000000000001</v>
      </c>
      <c r="M4430">
        <v>0</v>
      </c>
      <c r="N4430" t="s">
        <v>10019</v>
      </c>
      <c r="O4430" t="str">
        <f>HYPERLINK("NoConsenso\marker_763_372242.png", "Ver Imagen")</f>
        <v>Ver Imagen</v>
      </c>
      <c r="P4430" t="str">
        <f>HYPERLINK("SE\A-497\A-497__552.png", "Ver Imagen")</f>
        <v>Ver Imagen</v>
      </c>
    </row>
    <row r="4431" spans="1:16" x14ac:dyDescent="0.25">
      <c r="A4431">
        <v>4040</v>
      </c>
      <c r="B4431" t="s">
        <v>8091</v>
      </c>
      <c r="C4431">
        <v>37.2048840052</v>
      </c>
      <c r="D4431">
        <v>-7.0150415456699999</v>
      </c>
      <c r="E4431">
        <v>1</v>
      </c>
      <c r="F4431">
        <v>2</v>
      </c>
      <c r="G4431">
        <v>3</v>
      </c>
      <c r="H4431">
        <v>2</v>
      </c>
      <c r="I4431">
        <v>1</v>
      </c>
      <c r="J4431" t="s">
        <v>8005</v>
      </c>
      <c r="K4431">
        <v>2</v>
      </c>
      <c r="L4431">
        <v>2.153</v>
      </c>
      <c r="M4431">
        <v>0</v>
      </c>
      <c r="N4431" t="s">
        <v>10019</v>
      </c>
      <c r="O4431" t="str">
        <f>HYPERLINK("NoConsenso\marker_415_372264.png", "Ver Imagen")</f>
        <v>Ver Imagen</v>
      </c>
      <c r="P4431" t="str">
        <f>HYPERLINK("SE\A-497\A-497__550.png", "Ver Imagen")</f>
        <v>Ver Imagen</v>
      </c>
    </row>
    <row r="4432" spans="1:16" x14ac:dyDescent="0.25">
      <c r="A4432">
        <v>4041</v>
      </c>
      <c r="B4432" t="s">
        <v>8093</v>
      </c>
      <c r="C4432">
        <v>37.205027983999997</v>
      </c>
      <c r="D4432">
        <v>-7.0157720371799996</v>
      </c>
      <c r="E4432">
        <v>1</v>
      </c>
      <c r="F4432">
        <v>2</v>
      </c>
      <c r="G4432">
        <v>3</v>
      </c>
      <c r="H4432">
        <v>2</v>
      </c>
      <c r="I4432">
        <v>1</v>
      </c>
      <c r="J4432" t="s">
        <v>8005</v>
      </c>
      <c r="K4432">
        <v>2</v>
      </c>
      <c r="L4432">
        <v>2.12</v>
      </c>
      <c r="M4432">
        <v>0</v>
      </c>
      <c r="N4432" t="s">
        <v>10019</v>
      </c>
      <c r="O4432" t="str">
        <f>HYPERLINK("NoConsenso\marker_994_372308.png", "Ver Imagen")</f>
        <v>Ver Imagen</v>
      </c>
      <c r="P4432" t="str">
        <f>HYPERLINK("SE\A-497\A-497__547.png", "Ver Imagen")</f>
        <v>Ver Imagen</v>
      </c>
    </row>
    <row r="4433" spans="1:16" x14ac:dyDescent="0.25">
      <c r="A4433">
        <v>4042</v>
      </c>
      <c r="B4433" t="s">
        <v>8095</v>
      </c>
      <c r="C4433">
        <v>37.2054792709</v>
      </c>
      <c r="D4433">
        <v>-7.0176976158200004</v>
      </c>
      <c r="E4433">
        <v>1</v>
      </c>
      <c r="F4433">
        <v>2</v>
      </c>
      <c r="G4433">
        <v>3</v>
      </c>
      <c r="H4433">
        <v>2</v>
      </c>
      <c r="I4433">
        <v>2</v>
      </c>
      <c r="J4433" t="s">
        <v>8005</v>
      </c>
      <c r="K4433">
        <v>2</v>
      </c>
      <c r="L4433">
        <v>2.4649999999999999</v>
      </c>
      <c r="M4433">
        <v>0</v>
      </c>
      <c r="N4433" t="s">
        <v>10017</v>
      </c>
      <c r="O4433" t="str">
        <f>HYPERLINK("NoConsenso\marker_923_372386.png", "Ver Imagen")</f>
        <v>Ver Imagen</v>
      </c>
      <c r="P4433" t="str">
        <f>HYPERLINK("SE\A-497\A-497__539.png", "Ver Imagen")</f>
        <v>Ver Imagen</v>
      </c>
    </row>
    <row r="4434" spans="1:16" x14ac:dyDescent="0.25">
      <c r="A4434">
        <v>4043</v>
      </c>
      <c r="B4434" t="s">
        <v>8097</v>
      </c>
      <c r="C4434">
        <v>37.2289104846</v>
      </c>
      <c r="D4434">
        <v>-7.0212888106999998</v>
      </c>
      <c r="E4434">
        <v>3</v>
      </c>
      <c r="F4434">
        <v>2</v>
      </c>
      <c r="G4434">
        <v>1</v>
      </c>
      <c r="H4434">
        <v>1</v>
      </c>
      <c r="I4434">
        <v>2</v>
      </c>
      <c r="J4434" t="s">
        <v>8005</v>
      </c>
      <c r="K4434">
        <v>2</v>
      </c>
      <c r="L4434">
        <v>2.0419999999999998</v>
      </c>
      <c r="M4434">
        <v>0</v>
      </c>
      <c r="N4434" t="s">
        <v>10019</v>
      </c>
      <c r="O4434" t="str">
        <f>HYPERLINK("NoConsenso\marker_846_362961.png", "Ver Imagen")</f>
        <v>Ver Imagen</v>
      </c>
      <c r="P4434" t="str">
        <f>HYPERLINK("SE\A-497_2C\A-497_2C__405.png", "Ver Imagen")</f>
        <v>Ver Imagen</v>
      </c>
    </row>
    <row r="4435" spans="1:16" x14ac:dyDescent="0.25">
      <c r="A4435">
        <v>4044</v>
      </c>
      <c r="B4435" t="s">
        <v>8099</v>
      </c>
      <c r="C4435">
        <v>37.228779005</v>
      </c>
      <c r="D4435">
        <v>-7.0213879009399998</v>
      </c>
      <c r="E4435">
        <v>3</v>
      </c>
      <c r="F4435">
        <v>2</v>
      </c>
      <c r="G4435">
        <v>1</v>
      </c>
      <c r="H4435">
        <v>1</v>
      </c>
      <c r="I4435">
        <v>2</v>
      </c>
      <c r="J4435" t="s">
        <v>8005</v>
      </c>
      <c r="K4435">
        <v>2</v>
      </c>
      <c r="L4435">
        <v>2.327</v>
      </c>
      <c r="M4435">
        <v>0</v>
      </c>
      <c r="N4435" t="s">
        <v>10019</v>
      </c>
      <c r="O4435" t="str">
        <f>HYPERLINK("NoConsenso\marker_636_362972.png", "Ver Imagen")</f>
        <v>Ver Imagen</v>
      </c>
      <c r="P4435" t="str">
        <f>HYPERLINK("SE\A-497_2C\A-497_2C__406.png", "Ver Imagen")</f>
        <v>Ver Imagen</v>
      </c>
    </row>
    <row r="4436" spans="1:16" x14ac:dyDescent="0.25">
      <c r="A4436">
        <v>4045</v>
      </c>
      <c r="B4436" t="s">
        <v>8101</v>
      </c>
      <c r="C4436">
        <v>37.222669823499999</v>
      </c>
      <c r="D4436">
        <v>-7.0232163677399999</v>
      </c>
      <c r="E4436">
        <v>1</v>
      </c>
      <c r="F4436">
        <v>2</v>
      </c>
      <c r="G4436">
        <v>3</v>
      </c>
      <c r="H4436">
        <v>2</v>
      </c>
      <c r="I4436">
        <v>2</v>
      </c>
      <c r="J4436" t="s">
        <v>8005</v>
      </c>
      <c r="K4436">
        <v>2</v>
      </c>
      <c r="L4436">
        <v>1.819</v>
      </c>
      <c r="M4436">
        <v>0</v>
      </c>
      <c r="N4436" t="s">
        <v>10019</v>
      </c>
      <c r="O4436" t="str">
        <f>HYPERLINK("NoConsenso\marker_649_363290.png", "Ver Imagen")</f>
        <v>Ver Imagen</v>
      </c>
      <c r="P4436" t="str">
        <f>HYPERLINK("SE\A-497_2C\A-497_2C__438.png", "Ver Imagen")</f>
        <v>Ver Imagen</v>
      </c>
    </row>
    <row r="4437" spans="1:16" x14ac:dyDescent="0.25">
      <c r="A4437">
        <v>4047</v>
      </c>
      <c r="B4437" t="s">
        <v>8105</v>
      </c>
      <c r="C4437">
        <v>37.220977784600002</v>
      </c>
      <c r="D4437">
        <v>-7.0228653112300004</v>
      </c>
      <c r="E4437">
        <v>1</v>
      </c>
      <c r="F4437">
        <v>2</v>
      </c>
      <c r="G4437">
        <v>3</v>
      </c>
      <c r="H4437">
        <v>2</v>
      </c>
      <c r="I4437">
        <v>1</v>
      </c>
      <c r="J4437" t="s">
        <v>8005</v>
      </c>
      <c r="K4437">
        <v>2</v>
      </c>
      <c r="L4437">
        <v>2.2120000000000002</v>
      </c>
      <c r="M4437">
        <v>0</v>
      </c>
      <c r="N4437" t="s">
        <v>10019</v>
      </c>
      <c r="O4437" t="str">
        <f>HYPERLINK("NoConsenso\marker_297_376675.png", "Ver Imagen")</f>
        <v>Ver Imagen</v>
      </c>
      <c r="P4437" t="str">
        <f>HYPERLINK("SE\A-497\A-497__451.png", "Ver Imagen")</f>
        <v>Ver Imagen</v>
      </c>
    </row>
    <row r="4438" spans="1:16" x14ac:dyDescent="0.25">
      <c r="A4438">
        <v>4048</v>
      </c>
      <c r="B4438" t="s">
        <v>8107</v>
      </c>
      <c r="C4438">
        <v>37.221212997099997</v>
      </c>
      <c r="D4438">
        <v>-7.0228880493199997</v>
      </c>
      <c r="E4438">
        <v>1</v>
      </c>
      <c r="F4438">
        <v>2</v>
      </c>
      <c r="G4438">
        <v>3</v>
      </c>
      <c r="H4438">
        <v>2</v>
      </c>
      <c r="I4438">
        <v>1</v>
      </c>
      <c r="J4438" t="s">
        <v>8005</v>
      </c>
      <c r="K4438">
        <v>2</v>
      </c>
      <c r="L4438">
        <v>1.88</v>
      </c>
      <c r="M4438">
        <v>0</v>
      </c>
      <c r="N4438" t="s">
        <v>10019</v>
      </c>
      <c r="O4438" t="str">
        <f>HYPERLINK("NoConsenso\marker_848_376685.png", "Ver Imagen")</f>
        <v>Ver Imagen</v>
      </c>
      <c r="P4438" t="str">
        <f>HYPERLINK("SE\A-497\A-497__450.png", "Ver Imagen")</f>
        <v>Ver Imagen</v>
      </c>
    </row>
    <row r="4439" spans="1:16" x14ac:dyDescent="0.25">
      <c r="A4439">
        <v>4049</v>
      </c>
      <c r="B4439" t="s">
        <v>8109</v>
      </c>
      <c r="C4439">
        <v>37.446426192499999</v>
      </c>
      <c r="D4439">
        <v>-7.1332344158499996</v>
      </c>
      <c r="E4439">
        <v>1</v>
      </c>
      <c r="F4439">
        <v>3</v>
      </c>
      <c r="G4439">
        <v>2</v>
      </c>
      <c r="H4439">
        <v>3</v>
      </c>
      <c r="I4439">
        <v>2</v>
      </c>
      <c r="J4439" t="s">
        <v>8052</v>
      </c>
      <c r="K4439">
        <v>3</v>
      </c>
      <c r="L4439">
        <v>2.5299999999999998</v>
      </c>
      <c r="M4439">
        <v>0</v>
      </c>
      <c r="N4439" t="s">
        <v>10019</v>
      </c>
      <c r="O4439" t="str">
        <f>HYPERLINK("NoConsenso\marker_108_730881.png", "Ver Imagen")</f>
        <v>Ver Imagen</v>
      </c>
      <c r="P4439" t="str">
        <f>HYPERLINK("NE\A-490\A-490__28.png", "Ver Imagen")</f>
        <v>Ver Imagen</v>
      </c>
    </row>
    <row r="4440" spans="1:16" x14ac:dyDescent="0.25">
      <c r="A4440">
        <v>4050</v>
      </c>
      <c r="B4440" t="s">
        <v>8111</v>
      </c>
      <c r="C4440">
        <v>37.446388626599997</v>
      </c>
      <c r="D4440">
        <v>-7.1334844241299997</v>
      </c>
      <c r="E4440">
        <v>1</v>
      </c>
      <c r="F4440">
        <v>3</v>
      </c>
      <c r="G4440">
        <v>2</v>
      </c>
      <c r="H4440">
        <v>2</v>
      </c>
      <c r="I4440">
        <v>2</v>
      </c>
      <c r="J4440" t="s">
        <v>8005</v>
      </c>
      <c r="K4440">
        <v>2</v>
      </c>
      <c r="L4440">
        <v>2.2080000000000002</v>
      </c>
      <c r="M4440">
        <v>0</v>
      </c>
      <c r="N4440" t="s">
        <v>10019</v>
      </c>
      <c r="O4440" t="str">
        <f>HYPERLINK("NoConsenso\marker_681_730902.png", "Ver Imagen")</f>
        <v>Ver Imagen</v>
      </c>
      <c r="P4440" t="str">
        <f>HYPERLINK("NE\A-490\A-490__29.png", "Ver Imagen")</f>
        <v>Ver Imagen</v>
      </c>
    </row>
    <row r="4441" spans="1:16" x14ac:dyDescent="0.25">
      <c r="A4441">
        <v>4051</v>
      </c>
      <c r="B4441" t="s">
        <v>8113</v>
      </c>
      <c r="C4441">
        <v>37.448725272399997</v>
      </c>
      <c r="D4441">
        <v>-7.1479807467800001</v>
      </c>
      <c r="E4441">
        <v>1</v>
      </c>
      <c r="F4441">
        <v>3</v>
      </c>
      <c r="G4441">
        <v>2</v>
      </c>
      <c r="H4441">
        <v>2</v>
      </c>
      <c r="I4441">
        <v>2</v>
      </c>
      <c r="J4441" t="s">
        <v>8005</v>
      </c>
      <c r="K4441">
        <v>2</v>
      </c>
      <c r="L4441">
        <v>2.2919999999999998</v>
      </c>
      <c r="M4441">
        <v>0</v>
      </c>
      <c r="N4441" t="s">
        <v>10019</v>
      </c>
      <c r="O4441" t="str">
        <f>HYPERLINK("NoConsenso\marker_220_738952.png", "Ver Imagen")</f>
        <v>Ver Imagen</v>
      </c>
      <c r="P4441" t="str">
        <f>HYPERLINK("NE\A-490\A-490__89.png", "Ver Imagen")</f>
        <v>Ver Imagen</v>
      </c>
    </row>
    <row r="4442" spans="1:16" x14ac:dyDescent="0.25">
      <c r="A4442">
        <v>4052</v>
      </c>
      <c r="B4442" t="s">
        <v>8115</v>
      </c>
      <c r="C4442">
        <v>37.451611906399997</v>
      </c>
      <c r="D4442">
        <v>-7.1564370179200001</v>
      </c>
      <c r="E4442">
        <v>2</v>
      </c>
      <c r="F4442">
        <v>3</v>
      </c>
      <c r="G4442">
        <v>4</v>
      </c>
      <c r="H4442">
        <v>2</v>
      </c>
      <c r="I4442">
        <v>3</v>
      </c>
      <c r="J4442" t="s">
        <v>8005</v>
      </c>
      <c r="K4442">
        <v>3</v>
      </c>
      <c r="L4442">
        <v>2.673</v>
      </c>
      <c r="M4442">
        <v>0</v>
      </c>
      <c r="N4442" t="s">
        <v>10019</v>
      </c>
      <c r="O4442" t="str">
        <f>HYPERLINK("NoConsenso\marker_791_740156.png", "Ver Imagen")</f>
        <v>Ver Imagen</v>
      </c>
      <c r="P4442" t="str">
        <f>HYPERLINK("NE\A-490\A-490__126.png", "Ver Imagen")</f>
        <v>Ver Imagen</v>
      </c>
    </row>
    <row r="4443" spans="1:16" x14ac:dyDescent="0.25">
      <c r="A4443">
        <v>4053</v>
      </c>
      <c r="B4443" t="s">
        <v>8117</v>
      </c>
      <c r="C4443">
        <v>37.467422612</v>
      </c>
      <c r="D4443">
        <v>-7.1848963071999998</v>
      </c>
      <c r="E4443">
        <v>1</v>
      </c>
      <c r="F4443">
        <v>3</v>
      </c>
      <c r="G4443">
        <v>2</v>
      </c>
      <c r="H4443">
        <v>2</v>
      </c>
      <c r="I4443">
        <v>2</v>
      </c>
      <c r="J4443" t="s">
        <v>8005</v>
      </c>
      <c r="K4443">
        <v>2</v>
      </c>
      <c r="L4443">
        <v>2.0750000000000002</v>
      </c>
      <c r="M4443">
        <v>0</v>
      </c>
      <c r="N4443" t="s">
        <v>10019</v>
      </c>
      <c r="O4443" t="str">
        <f>HYPERLINK("NoConsenso\marker_103_749788.png", "Ver Imagen")</f>
        <v>Ver Imagen</v>
      </c>
      <c r="P4443" t="str">
        <f>HYPERLINK("NE\A-490\A-490__264.png", "Ver Imagen")</f>
        <v>Ver Imagen</v>
      </c>
    </row>
    <row r="4444" spans="1:16" x14ac:dyDescent="0.25">
      <c r="A4444">
        <v>4053</v>
      </c>
      <c r="B4444" t="s">
        <v>8117</v>
      </c>
      <c r="C4444">
        <v>37.467422612</v>
      </c>
      <c r="D4444">
        <v>-7.1848963071999998</v>
      </c>
      <c r="E4444">
        <v>1</v>
      </c>
      <c r="F4444">
        <v>3</v>
      </c>
      <c r="G4444">
        <v>2</v>
      </c>
      <c r="H4444">
        <v>2</v>
      </c>
      <c r="I4444">
        <v>2</v>
      </c>
      <c r="J4444" t="s">
        <v>8005</v>
      </c>
      <c r="K4444">
        <v>2</v>
      </c>
      <c r="L4444">
        <v>1.891</v>
      </c>
      <c r="M4444">
        <v>0</v>
      </c>
      <c r="N4444" t="s">
        <v>10019</v>
      </c>
      <c r="O4444" t="str">
        <f>HYPERLINK("NoConsenso\marker_103_749788.png", "Ver Imagen")</f>
        <v>Ver Imagen</v>
      </c>
      <c r="P4444" t="str">
        <f>HYPERLINK("NO\A-490\A-490__264.png", "Ver Imagen")</f>
        <v>Ver Imagen</v>
      </c>
    </row>
    <row r="4445" spans="1:16" x14ac:dyDescent="0.25">
      <c r="A4445">
        <v>4054</v>
      </c>
      <c r="B4445" t="s">
        <v>8119</v>
      </c>
      <c r="C4445">
        <v>37.484354579799998</v>
      </c>
      <c r="D4445">
        <v>-7.22714698348</v>
      </c>
      <c r="E4445">
        <v>2</v>
      </c>
      <c r="F4445">
        <v>1</v>
      </c>
      <c r="G4445">
        <v>3</v>
      </c>
      <c r="H4445">
        <v>1</v>
      </c>
      <c r="I4445">
        <v>1</v>
      </c>
      <c r="J4445" t="s">
        <v>8005</v>
      </c>
      <c r="K4445">
        <v>1</v>
      </c>
      <c r="L4445">
        <v>1</v>
      </c>
      <c r="M4445">
        <v>0</v>
      </c>
      <c r="N4445" t="s">
        <v>10019</v>
      </c>
      <c r="O4445" t="str">
        <f>HYPERLINK("NoConsenso\marker_778_755082.png", "Ver Imagen")</f>
        <v>Ver Imagen</v>
      </c>
      <c r="P4445" t="str">
        <f>HYPERLINK("NO\A-490\A-490__452.png", "Ver Imagen")</f>
        <v>Ver Imagen</v>
      </c>
    </row>
    <row r="4446" spans="1:16" x14ac:dyDescent="0.25">
      <c r="A4446">
        <v>4055</v>
      </c>
      <c r="B4446" t="s">
        <v>8121</v>
      </c>
      <c r="C4446">
        <v>37.492702502299998</v>
      </c>
      <c r="D4446">
        <v>-7.2623383489300002</v>
      </c>
      <c r="E4446">
        <v>2</v>
      </c>
      <c r="F4446">
        <v>3</v>
      </c>
      <c r="G4446">
        <v>4</v>
      </c>
      <c r="H4446">
        <v>2</v>
      </c>
      <c r="I4446">
        <v>3</v>
      </c>
      <c r="J4446" t="s">
        <v>8005</v>
      </c>
      <c r="K4446">
        <v>3</v>
      </c>
      <c r="L4446">
        <v>2.5830000000000002</v>
      </c>
      <c r="M4446">
        <v>0</v>
      </c>
      <c r="N4446" t="s">
        <v>10019</v>
      </c>
      <c r="O4446" t="str">
        <f>HYPERLINK("NoConsenso\marker_564_820140.png", "Ver Imagen")</f>
        <v>Ver Imagen</v>
      </c>
      <c r="P4446" t="str">
        <f>HYPERLINK("NO\A-490\A-490__604.png", "Ver Imagen")</f>
        <v>Ver Imagen</v>
      </c>
    </row>
    <row r="4447" spans="1:16" x14ac:dyDescent="0.25">
      <c r="A4447">
        <v>4056</v>
      </c>
      <c r="B4447" t="s">
        <v>8123</v>
      </c>
      <c r="C4447">
        <v>37.494677487200001</v>
      </c>
      <c r="D4447">
        <v>-7.2664446967499998</v>
      </c>
      <c r="E4447">
        <v>2</v>
      </c>
      <c r="F4447">
        <v>4</v>
      </c>
      <c r="G4447">
        <v>3</v>
      </c>
      <c r="H4447">
        <v>3</v>
      </c>
      <c r="I4447">
        <v>2</v>
      </c>
      <c r="J4447" t="s">
        <v>8005</v>
      </c>
      <c r="K4447">
        <v>3</v>
      </c>
      <c r="L4447">
        <v>2.653</v>
      </c>
      <c r="M4447">
        <v>0</v>
      </c>
      <c r="N4447" t="s">
        <v>10017</v>
      </c>
      <c r="O4447" t="str">
        <f>HYPERLINK("NoConsenso\marker_404_820343.png", "Ver Imagen")</f>
        <v>Ver Imagen</v>
      </c>
      <c r="P4447" t="str">
        <f>HYPERLINK("NO\A-490\A-490__623.png", "Ver Imagen")</f>
        <v>Ver Imagen</v>
      </c>
    </row>
    <row r="4448" spans="1:16" x14ac:dyDescent="0.25">
      <c r="A4448">
        <v>4057</v>
      </c>
      <c r="B4448" t="s">
        <v>8125</v>
      </c>
      <c r="C4448">
        <v>37.280126403200001</v>
      </c>
      <c r="D4448">
        <v>-7.0056825665</v>
      </c>
      <c r="E4448">
        <v>2</v>
      </c>
      <c r="F4448">
        <v>2</v>
      </c>
      <c r="G4448">
        <v>4</v>
      </c>
      <c r="H4448">
        <v>2</v>
      </c>
      <c r="I4448">
        <v>2</v>
      </c>
      <c r="J4448" t="s">
        <v>8005</v>
      </c>
      <c r="K4448">
        <v>2</v>
      </c>
      <c r="L4448">
        <v>1.9159999999999999</v>
      </c>
      <c r="M4448">
        <v>0</v>
      </c>
      <c r="N4448" t="s">
        <v>10019</v>
      </c>
      <c r="O4448" t="str">
        <f>HYPERLINK("NoConsenso\marker_986_823683.png", "Ver Imagen")</f>
        <v>Ver Imagen</v>
      </c>
      <c r="P4448" t="str">
        <f>HYPERLINK("SE\A-492\A-492__93.png", "Ver Imagen")</f>
        <v>Ver Imagen</v>
      </c>
    </row>
    <row r="4449" spans="1:16" x14ac:dyDescent="0.25">
      <c r="A4449">
        <v>4058</v>
      </c>
      <c r="B4449" t="s">
        <v>8127</v>
      </c>
      <c r="C4449">
        <v>37.278515110900003</v>
      </c>
      <c r="D4449">
        <v>-7.0097369645900001</v>
      </c>
      <c r="E4449">
        <v>2</v>
      </c>
      <c r="F4449">
        <v>3</v>
      </c>
      <c r="G4449">
        <v>4</v>
      </c>
      <c r="H4449">
        <v>3</v>
      </c>
      <c r="I4449">
        <v>3</v>
      </c>
      <c r="J4449" t="s">
        <v>8005</v>
      </c>
      <c r="K4449">
        <v>3</v>
      </c>
      <c r="L4449">
        <v>2.5339999999999998</v>
      </c>
      <c r="M4449">
        <v>0</v>
      </c>
      <c r="N4449" t="s">
        <v>10019</v>
      </c>
      <c r="O4449" t="str">
        <f>HYPERLINK("NoConsenso\marker_881_824300.png", "Ver Imagen")</f>
        <v>Ver Imagen</v>
      </c>
      <c r="P4449" t="str">
        <f>HYPERLINK("SE\A-492\A-492__111.png", "Ver Imagen")</f>
        <v>Ver Imagen</v>
      </c>
    </row>
    <row r="4450" spans="1:16" x14ac:dyDescent="0.25">
      <c r="A4450">
        <v>4059</v>
      </c>
      <c r="B4450" t="s">
        <v>8129</v>
      </c>
      <c r="C4450">
        <v>37.276486305299997</v>
      </c>
      <c r="D4450">
        <v>-7.0135329930800001</v>
      </c>
      <c r="E4450">
        <v>2</v>
      </c>
      <c r="F4450">
        <v>3</v>
      </c>
      <c r="G4450">
        <v>4</v>
      </c>
      <c r="H4450">
        <v>2</v>
      </c>
      <c r="I4450">
        <v>3</v>
      </c>
      <c r="J4450" t="s">
        <v>8005</v>
      </c>
      <c r="K4450">
        <v>3</v>
      </c>
      <c r="L4450">
        <v>2.8620000000000001</v>
      </c>
      <c r="M4450">
        <v>0</v>
      </c>
      <c r="N4450" t="s">
        <v>10019</v>
      </c>
      <c r="O4450" t="str">
        <f>HYPERLINK("NoConsenso\marker_830_824527.png", "Ver Imagen")</f>
        <v>Ver Imagen</v>
      </c>
      <c r="P4450" t="str">
        <f>HYPERLINK("SE\A-492\A-492__129.png", "Ver Imagen")</f>
        <v>Ver Imagen</v>
      </c>
    </row>
    <row r="4451" spans="1:16" x14ac:dyDescent="0.25">
      <c r="A4451">
        <v>4060</v>
      </c>
      <c r="B4451" t="s">
        <v>8131</v>
      </c>
      <c r="C4451">
        <v>37.276389082599998</v>
      </c>
      <c r="D4451">
        <v>-7.0137384165499999</v>
      </c>
      <c r="E4451">
        <v>2</v>
      </c>
      <c r="F4451">
        <v>3</v>
      </c>
      <c r="G4451">
        <v>4</v>
      </c>
      <c r="H4451">
        <v>2</v>
      </c>
      <c r="I4451">
        <v>3</v>
      </c>
      <c r="J4451" t="s">
        <v>8005</v>
      </c>
      <c r="K4451">
        <v>3</v>
      </c>
      <c r="L4451">
        <v>2.8090000000000002</v>
      </c>
      <c r="M4451">
        <v>0</v>
      </c>
      <c r="N4451" t="s">
        <v>10018</v>
      </c>
      <c r="O4451" t="str">
        <f>HYPERLINK("NoConsenso\marker_670_824542.png", "Ver Imagen")</f>
        <v>Ver Imagen</v>
      </c>
      <c r="P4451" t="str">
        <f>HYPERLINK("SE\A-492\A-492__130.png", "Ver Imagen")</f>
        <v>Ver Imagen</v>
      </c>
    </row>
    <row r="4452" spans="1:16" x14ac:dyDescent="0.25">
      <c r="A4452">
        <v>4061</v>
      </c>
      <c r="B4452" t="s">
        <v>8133</v>
      </c>
      <c r="C4452">
        <v>37.276366353900002</v>
      </c>
      <c r="D4452">
        <v>-7.02423720007</v>
      </c>
      <c r="E4452">
        <v>2</v>
      </c>
      <c r="F4452">
        <v>3</v>
      </c>
      <c r="G4452">
        <v>4</v>
      </c>
      <c r="H4452">
        <v>2</v>
      </c>
      <c r="I4452">
        <v>2</v>
      </c>
      <c r="J4452" t="s">
        <v>8005</v>
      </c>
      <c r="K4452">
        <v>2</v>
      </c>
      <c r="L4452">
        <v>2.1059999999999999</v>
      </c>
      <c r="M4452">
        <v>0</v>
      </c>
      <c r="N4452" t="s">
        <v>10019</v>
      </c>
      <c r="O4452" t="str">
        <f>HYPERLINK("NoConsenso\marker_335_831517.png", "Ver Imagen")</f>
        <v>Ver Imagen</v>
      </c>
      <c r="P4452" t="str">
        <f>HYPERLINK("SE\A-492\A-492__174.png", "Ver Imagen")</f>
        <v>Ver Imagen</v>
      </c>
    </row>
    <row r="4453" spans="1:16" x14ac:dyDescent="0.25">
      <c r="A4453">
        <v>4062</v>
      </c>
      <c r="B4453" t="s">
        <v>8135</v>
      </c>
      <c r="C4453">
        <v>37.2765806325</v>
      </c>
      <c r="D4453">
        <v>-7.0257275513500002</v>
      </c>
      <c r="E4453">
        <v>2</v>
      </c>
      <c r="F4453">
        <v>3</v>
      </c>
      <c r="G4453">
        <v>4</v>
      </c>
      <c r="H4453">
        <v>2</v>
      </c>
      <c r="I4453">
        <v>2</v>
      </c>
      <c r="J4453" t="s">
        <v>8005</v>
      </c>
      <c r="K4453">
        <v>2</v>
      </c>
      <c r="L4453">
        <v>1.698</v>
      </c>
      <c r="M4453">
        <v>0</v>
      </c>
      <c r="N4453" t="s">
        <v>10018</v>
      </c>
      <c r="O4453" t="str">
        <f>HYPERLINK("NoConsenso\marker_833_831609.png", "Ver Imagen")</f>
        <v>Ver Imagen</v>
      </c>
      <c r="P4453" t="str">
        <f>HYPERLINK("SE\A-492\A-492__180.png", "Ver Imagen")</f>
        <v>Ver Imagen</v>
      </c>
    </row>
    <row r="4454" spans="1:16" x14ac:dyDescent="0.25">
      <c r="A4454">
        <v>4063</v>
      </c>
      <c r="B4454" t="s">
        <v>8137</v>
      </c>
      <c r="C4454">
        <v>37.276613304500003</v>
      </c>
      <c r="D4454">
        <v>-7.0259681884300003</v>
      </c>
      <c r="E4454">
        <v>2</v>
      </c>
      <c r="F4454">
        <v>3</v>
      </c>
      <c r="G4454">
        <v>4</v>
      </c>
      <c r="H4454">
        <v>2</v>
      </c>
      <c r="I4454">
        <v>3</v>
      </c>
      <c r="J4454" t="s">
        <v>8005</v>
      </c>
      <c r="K4454">
        <v>3</v>
      </c>
      <c r="L4454">
        <v>2.8180000000000001</v>
      </c>
      <c r="M4454">
        <v>0</v>
      </c>
      <c r="N4454" t="s">
        <v>10019</v>
      </c>
      <c r="O4454" t="str">
        <f>HYPERLINK("NoConsenso\marker_745_831646.png", "Ver Imagen")</f>
        <v>Ver Imagen</v>
      </c>
      <c r="P4454" t="str">
        <f>HYPERLINK("SE\A-492\A-492__181.png", "Ver Imagen")</f>
        <v>Ver Imagen</v>
      </c>
    </row>
    <row r="4455" spans="1:16" x14ac:dyDescent="0.25">
      <c r="A4455">
        <v>4064</v>
      </c>
      <c r="B4455" t="s">
        <v>8139</v>
      </c>
      <c r="C4455">
        <v>37.284900961300004</v>
      </c>
      <c r="D4455">
        <v>-7.0399592485699998</v>
      </c>
      <c r="E4455">
        <v>2</v>
      </c>
      <c r="F4455">
        <v>3</v>
      </c>
      <c r="G4455">
        <v>4</v>
      </c>
      <c r="H4455">
        <v>3</v>
      </c>
      <c r="I4455">
        <v>3</v>
      </c>
      <c r="J4455" t="s">
        <v>8005</v>
      </c>
      <c r="K4455">
        <v>3</v>
      </c>
      <c r="L4455">
        <v>3.0870000000000002</v>
      </c>
      <c r="M4455">
        <v>0</v>
      </c>
      <c r="N4455" t="s">
        <v>10019</v>
      </c>
      <c r="O4455" t="str">
        <f>HYPERLINK("NoConsenso\marker_595_836174.png", "Ver Imagen")</f>
        <v>Ver Imagen</v>
      </c>
      <c r="P4455" t="str">
        <f>HYPERLINK("SE\A-492\A-492__255.png", "Ver Imagen")</f>
        <v>Ver Imagen</v>
      </c>
    </row>
    <row r="4456" spans="1:16" x14ac:dyDescent="0.25">
      <c r="A4456">
        <v>4065</v>
      </c>
      <c r="B4456" t="s">
        <v>8141</v>
      </c>
      <c r="C4456">
        <v>37.286533185899998</v>
      </c>
      <c r="D4456">
        <v>-7.04173890691</v>
      </c>
      <c r="E4456">
        <v>2</v>
      </c>
      <c r="F4456">
        <v>2</v>
      </c>
      <c r="G4456">
        <v>4</v>
      </c>
      <c r="H4456">
        <v>2</v>
      </c>
      <c r="I4456">
        <v>2</v>
      </c>
      <c r="J4456" t="s">
        <v>8005</v>
      </c>
      <c r="K4456">
        <v>2</v>
      </c>
      <c r="L4456">
        <v>2.2599999999999998</v>
      </c>
      <c r="M4456">
        <v>0</v>
      </c>
      <c r="N4456" t="s">
        <v>10019</v>
      </c>
      <c r="O4456" t="str">
        <f>HYPERLINK("NoConsenso\marker_236_836701.png", "Ver Imagen")</f>
        <v>Ver Imagen</v>
      </c>
      <c r="P4456" t="str">
        <f>HYPERLINK("SE\A-492\A-492__266.png", "Ver Imagen")</f>
        <v>Ver Imagen</v>
      </c>
    </row>
    <row r="4457" spans="1:16" x14ac:dyDescent="0.25">
      <c r="A4457">
        <v>4066</v>
      </c>
      <c r="B4457" t="s">
        <v>8143</v>
      </c>
      <c r="C4457">
        <v>37.2867157616</v>
      </c>
      <c r="D4457">
        <v>-7.0418301949900002</v>
      </c>
      <c r="E4457">
        <v>2</v>
      </c>
      <c r="F4457">
        <v>2</v>
      </c>
      <c r="G4457">
        <v>4</v>
      </c>
      <c r="H4457">
        <v>2</v>
      </c>
      <c r="I4457">
        <v>1</v>
      </c>
      <c r="J4457" t="s">
        <v>8005</v>
      </c>
      <c r="K4457">
        <v>2</v>
      </c>
      <c r="L4457">
        <v>2.1440000000000001</v>
      </c>
      <c r="M4457">
        <v>0</v>
      </c>
      <c r="N4457" t="s">
        <v>10019</v>
      </c>
      <c r="O4457" t="str">
        <f>HYPERLINK("NoConsenso\marker_889_836713.png", "Ver Imagen")</f>
        <v>Ver Imagen</v>
      </c>
      <c r="P4457" t="str">
        <f>HYPERLINK("SE\A-492\A-492__267.png", "Ver Imagen")</f>
        <v>Ver Imagen</v>
      </c>
    </row>
    <row r="4458" spans="1:16" x14ac:dyDescent="0.25">
      <c r="A4458">
        <v>4067</v>
      </c>
      <c r="B4458" t="s">
        <v>8145</v>
      </c>
      <c r="C4458">
        <v>37.289251242699997</v>
      </c>
      <c r="D4458">
        <v>-7.0438399489999997</v>
      </c>
      <c r="E4458">
        <v>2</v>
      </c>
      <c r="F4458">
        <v>1</v>
      </c>
      <c r="G4458">
        <v>3</v>
      </c>
      <c r="H4458">
        <v>2</v>
      </c>
      <c r="I4458">
        <v>1</v>
      </c>
      <c r="J4458" t="s">
        <v>8005</v>
      </c>
      <c r="K4458">
        <v>2</v>
      </c>
      <c r="L4458">
        <v>1.875</v>
      </c>
      <c r="M4458">
        <v>0</v>
      </c>
      <c r="N4458" t="s">
        <v>10019</v>
      </c>
      <c r="O4458" t="str">
        <f>HYPERLINK("NoConsenso\marker_453_837329.png", "Ver Imagen")</f>
        <v>Ver Imagen</v>
      </c>
      <c r="P4458" t="str">
        <f>HYPERLINK("SE\A-492\A-492__282.png", "Ver Imagen")</f>
        <v>Ver Imagen</v>
      </c>
    </row>
    <row r="4459" spans="1:16" x14ac:dyDescent="0.25">
      <c r="A4459">
        <v>4068</v>
      </c>
      <c r="B4459" t="s">
        <v>8147</v>
      </c>
      <c r="C4459">
        <v>37.290259734400003</v>
      </c>
      <c r="D4459">
        <v>-7.04505791363</v>
      </c>
      <c r="E4459">
        <v>2</v>
      </c>
      <c r="F4459">
        <v>2</v>
      </c>
      <c r="G4459">
        <v>4</v>
      </c>
      <c r="H4459">
        <v>2</v>
      </c>
      <c r="I4459">
        <v>2</v>
      </c>
      <c r="J4459" t="s">
        <v>8005</v>
      </c>
      <c r="K4459">
        <v>2</v>
      </c>
      <c r="L4459">
        <v>2.2639999999999998</v>
      </c>
      <c r="M4459">
        <v>0</v>
      </c>
      <c r="N4459" t="s">
        <v>10019</v>
      </c>
      <c r="O4459" t="str">
        <f>HYPERLINK("NoConsenso\marker_423_837407.png", "Ver Imagen")</f>
        <v>Ver Imagen</v>
      </c>
      <c r="P4459" t="str">
        <f>HYPERLINK("SE\A-492\A-492__289.png", "Ver Imagen")</f>
        <v>Ver Imagen</v>
      </c>
    </row>
    <row r="4460" spans="1:16" x14ac:dyDescent="0.25">
      <c r="A4460">
        <v>4069</v>
      </c>
      <c r="B4460" t="s">
        <v>8149</v>
      </c>
      <c r="C4460">
        <v>37.296666369999997</v>
      </c>
      <c r="D4460">
        <v>-7.0506393363299997</v>
      </c>
      <c r="E4460">
        <v>2</v>
      </c>
      <c r="F4460">
        <v>2</v>
      </c>
      <c r="G4460">
        <v>4</v>
      </c>
      <c r="H4460">
        <v>2</v>
      </c>
      <c r="I4460">
        <v>1</v>
      </c>
      <c r="J4460" t="s">
        <v>8005</v>
      </c>
      <c r="K4460">
        <v>2</v>
      </c>
      <c r="L4460">
        <v>2.0830000000000002</v>
      </c>
      <c r="M4460">
        <v>0</v>
      </c>
      <c r="N4460" t="s">
        <v>10019</v>
      </c>
      <c r="O4460" t="str">
        <f>HYPERLINK("NoConsenso\marker_659_838068.png", "Ver Imagen")</f>
        <v>Ver Imagen</v>
      </c>
      <c r="P4460" t="str">
        <f>HYPERLINK("SE\A-492\A-492__329.png", "Ver Imagen")</f>
        <v>Ver Imagen</v>
      </c>
    </row>
    <row r="4461" spans="1:16" x14ac:dyDescent="0.25">
      <c r="A4461">
        <v>4072</v>
      </c>
      <c r="B4461" t="s">
        <v>8155</v>
      </c>
      <c r="C4461">
        <v>37.302661055999998</v>
      </c>
      <c r="D4461">
        <v>-7.05658149962</v>
      </c>
      <c r="E4461">
        <v>2</v>
      </c>
      <c r="F4461">
        <v>1</v>
      </c>
      <c r="G4461">
        <v>3</v>
      </c>
      <c r="H4461">
        <v>1</v>
      </c>
      <c r="I4461">
        <v>1</v>
      </c>
      <c r="J4461" t="s">
        <v>8005</v>
      </c>
      <c r="K4461">
        <v>1</v>
      </c>
      <c r="L4461">
        <v>1</v>
      </c>
      <c r="M4461">
        <v>0</v>
      </c>
      <c r="N4461" t="s">
        <v>10019</v>
      </c>
      <c r="O4461" t="str">
        <f>HYPERLINK("NoConsenso\marker_555_838745.png", "Ver Imagen")</f>
        <v>Ver Imagen</v>
      </c>
      <c r="P4461" t="str">
        <f>HYPERLINK("SE\A-492\A-492__369.png", "Ver Imagen")</f>
        <v>Ver Imagen</v>
      </c>
    </row>
    <row r="4462" spans="1:16" x14ac:dyDescent="0.25">
      <c r="A4462">
        <v>4073</v>
      </c>
      <c r="B4462" t="s">
        <v>8157</v>
      </c>
      <c r="C4462">
        <v>37.305509497499997</v>
      </c>
      <c r="D4462">
        <v>-7.05673476698</v>
      </c>
      <c r="E4462">
        <v>1</v>
      </c>
      <c r="F4462">
        <v>3</v>
      </c>
      <c r="G4462">
        <v>2</v>
      </c>
      <c r="H4462">
        <v>2</v>
      </c>
      <c r="I4462">
        <v>2</v>
      </c>
      <c r="J4462" t="s">
        <v>8005</v>
      </c>
      <c r="K4462">
        <v>2</v>
      </c>
      <c r="L4462">
        <v>1.774</v>
      </c>
      <c r="M4462">
        <v>0</v>
      </c>
      <c r="N4462" t="s">
        <v>10019</v>
      </c>
      <c r="O4462" t="str">
        <f>HYPERLINK("NoConsenso\marker_338_838924.png", "Ver Imagen")</f>
        <v>Ver Imagen</v>
      </c>
      <c r="P4462" t="str">
        <f>HYPERLINK("SE\A-492\A-492__383.png", "Ver Imagen")</f>
        <v>Ver Imagen</v>
      </c>
    </row>
    <row r="4463" spans="1:16" x14ac:dyDescent="0.25">
      <c r="A4463">
        <v>4074</v>
      </c>
      <c r="B4463" t="s">
        <v>8159</v>
      </c>
      <c r="C4463">
        <v>37.305714018499998</v>
      </c>
      <c r="D4463">
        <v>-7.0567393987999996</v>
      </c>
      <c r="E4463">
        <v>2</v>
      </c>
      <c r="F4463">
        <v>3</v>
      </c>
      <c r="G4463">
        <v>4</v>
      </c>
      <c r="H4463">
        <v>2</v>
      </c>
      <c r="I4463">
        <v>2</v>
      </c>
      <c r="J4463" t="s">
        <v>8005</v>
      </c>
      <c r="K4463">
        <v>2</v>
      </c>
      <c r="L4463">
        <v>1.921</v>
      </c>
      <c r="M4463">
        <v>0</v>
      </c>
      <c r="N4463" t="s">
        <v>10019</v>
      </c>
      <c r="O4463" t="str">
        <f>HYPERLINK("NoConsenso\marker_614_838957.png", "Ver Imagen")</f>
        <v>Ver Imagen</v>
      </c>
      <c r="P4463" t="str">
        <f>HYPERLINK("SE\A-492\A-492__384.png", "Ver Imagen")</f>
        <v>Ver Imagen</v>
      </c>
    </row>
    <row r="4464" spans="1:16" x14ac:dyDescent="0.25">
      <c r="A4464">
        <v>4075</v>
      </c>
      <c r="B4464" t="s">
        <v>8161</v>
      </c>
      <c r="C4464">
        <v>37.305882246400003</v>
      </c>
      <c r="D4464">
        <v>-7.0567475460500004</v>
      </c>
      <c r="E4464">
        <v>2</v>
      </c>
      <c r="F4464">
        <v>3</v>
      </c>
      <c r="G4464">
        <v>4</v>
      </c>
      <c r="H4464">
        <v>2</v>
      </c>
      <c r="I4464">
        <v>2</v>
      </c>
      <c r="J4464" t="s">
        <v>8005</v>
      </c>
      <c r="K4464">
        <v>2</v>
      </c>
      <c r="L4464">
        <v>2.1269999999999998</v>
      </c>
      <c r="M4464">
        <v>0</v>
      </c>
      <c r="N4464" t="s">
        <v>10019</v>
      </c>
      <c r="O4464" t="str">
        <f>HYPERLINK("NoConsenso\marker_907_838972.png", "Ver Imagen")</f>
        <v>Ver Imagen</v>
      </c>
      <c r="P4464" t="str">
        <f>HYPERLINK("SE\A-492\A-492__385.png", "Ver Imagen")</f>
        <v>Ver Imagen</v>
      </c>
    </row>
    <row r="4465" spans="1:16" x14ac:dyDescent="0.25">
      <c r="A4465">
        <v>4076</v>
      </c>
      <c r="B4465" t="s">
        <v>8163</v>
      </c>
      <c r="C4465">
        <v>37.306101182500001</v>
      </c>
      <c r="D4465">
        <v>-7.0567655735299999</v>
      </c>
      <c r="E4465">
        <v>2</v>
      </c>
      <c r="F4465">
        <v>2</v>
      </c>
      <c r="G4465">
        <v>4</v>
      </c>
      <c r="H4465">
        <v>2</v>
      </c>
      <c r="I4465">
        <v>1</v>
      </c>
      <c r="J4465" t="s">
        <v>8005</v>
      </c>
      <c r="K4465">
        <v>2</v>
      </c>
      <c r="L4465">
        <v>2.1160000000000001</v>
      </c>
      <c r="M4465">
        <v>0</v>
      </c>
      <c r="N4465" t="s">
        <v>10019</v>
      </c>
      <c r="O4465" t="str">
        <f>HYPERLINK("NoConsenso\marker_578_838981.png", "Ver Imagen")</f>
        <v>Ver Imagen</v>
      </c>
      <c r="P4465" t="str">
        <f>HYPERLINK("SE\A-492\A-492__386.png", "Ver Imagen")</f>
        <v>Ver Imagen</v>
      </c>
    </row>
    <row r="4466" spans="1:16" x14ac:dyDescent="0.25">
      <c r="A4466">
        <v>4077</v>
      </c>
      <c r="B4466" t="s">
        <v>8165</v>
      </c>
      <c r="C4466">
        <v>37.307119094000001</v>
      </c>
      <c r="D4466">
        <v>-7.0568954231200003</v>
      </c>
      <c r="E4466">
        <v>2</v>
      </c>
      <c r="F4466">
        <v>2</v>
      </c>
      <c r="G4466">
        <v>4</v>
      </c>
      <c r="H4466">
        <v>2</v>
      </c>
      <c r="I4466">
        <v>2</v>
      </c>
      <c r="J4466" t="s">
        <v>8005</v>
      </c>
      <c r="K4466">
        <v>2</v>
      </c>
      <c r="L4466">
        <v>1.9139999999999999</v>
      </c>
      <c r="M4466">
        <v>0</v>
      </c>
      <c r="N4466" t="s">
        <v>10019</v>
      </c>
      <c r="O4466" t="str">
        <f>HYPERLINK("NoConsenso\marker_636_839039.png", "Ver Imagen")</f>
        <v>Ver Imagen</v>
      </c>
      <c r="P4466" t="str">
        <f>HYPERLINK("SE\A-492\A-492__391.png", "Ver Imagen")</f>
        <v>Ver Imagen</v>
      </c>
    </row>
    <row r="4467" spans="1:16" x14ac:dyDescent="0.25">
      <c r="A4467">
        <v>4078</v>
      </c>
      <c r="B4467" t="s">
        <v>8167</v>
      </c>
      <c r="C4467">
        <v>37.308108661299997</v>
      </c>
      <c r="D4467">
        <v>-7.0571232896699998</v>
      </c>
      <c r="E4467">
        <v>2</v>
      </c>
      <c r="F4467">
        <v>2</v>
      </c>
      <c r="G4467">
        <v>4</v>
      </c>
      <c r="H4467">
        <v>1</v>
      </c>
      <c r="I4467">
        <v>1</v>
      </c>
      <c r="J4467" t="s">
        <v>8052</v>
      </c>
      <c r="K4467">
        <v>1</v>
      </c>
      <c r="L4467">
        <v>1.284</v>
      </c>
      <c r="M4467">
        <v>0</v>
      </c>
      <c r="N4467" t="s">
        <v>10019</v>
      </c>
      <c r="O4467" t="str">
        <f>HYPERLINK("NoConsenso\marker_947_839103.png", "Ver Imagen")</f>
        <v>Ver Imagen</v>
      </c>
      <c r="P4467" t="str">
        <f>HYPERLINK("SE\A-492\A-492__396.png", "Ver Imagen")</f>
        <v>Ver Imagen</v>
      </c>
    </row>
    <row r="4468" spans="1:16" x14ac:dyDescent="0.25">
      <c r="A4468">
        <v>4079</v>
      </c>
      <c r="B4468" t="s">
        <v>8169</v>
      </c>
      <c r="C4468">
        <v>37.308298649199997</v>
      </c>
      <c r="D4468">
        <v>-7.0571907137199998</v>
      </c>
      <c r="E4468">
        <v>2</v>
      </c>
      <c r="F4468">
        <v>3</v>
      </c>
      <c r="G4468">
        <v>4</v>
      </c>
      <c r="H4468">
        <v>2</v>
      </c>
      <c r="I4468">
        <v>2</v>
      </c>
      <c r="J4468" t="s">
        <v>8005</v>
      </c>
      <c r="K4468">
        <v>2</v>
      </c>
      <c r="L4468">
        <v>1.839</v>
      </c>
      <c r="M4468">
        <v>0</v>
      </c>
      <c r="N4468" t="s">
        <v>10019</v>
      </c>
      <c r="O4468" t="str">
        <f>HYPERLINK("NoConsenso\marker_366_839114.png", "Ver Imagen")</f>
        <v>Ver Imagen</v>
      </c>
      <c r="P4468" t="str">
        <f>HYPERLINK("SE\A-492\A-492__397.png", "Ver Imagen")</f>
        <v>Ver Imagen</v>
      </c>
    </row>
    <row r="4469" spans="1:16" x14ac:dyDescent="0.25">
      <c r="A4469">
        <v>4080</v>
      </c>
      <c r="B4469" t="s">
        <v>8171</v>
      </c>
      <c r="C4469">
        <v>37.3099271448</v>
      </c>
      <c r="D4469">
        <v>-7.0581763846300003</v>
      </c>
      <c r="E4469">
        <v>3</v>
      </c>
      <c r="F4469">
        <v>1</v>
      </c>
      <c r="G4469">
        <v>2</v>
      </c>
      <c r="H4469">
        <v>1</v>
      </c>
      <c r="I4469">
        <v>1</v>
      </c>
      <c r="J4469" t="s">
        <v>8005</v>
      </c>
      <c r="K4469">
        <v>1</v>
      </c>
      <c r="L4469">
        <v>1.222</v>
      </c>
      <c r="M4469">
        <v>0</v>
      </c>
      <c r="N4469" t="s">
        <v>10019</v>
      </c>
      <c r="O4469" t="str">
        <f>HYPERLINK("NoConsenso\marker_844_839248.png", "Ver Imagen")</f>
        <v>Ver Imagen</v>
      </c>
      <c r="P4469" t="str">
        <f>HYPERLINK("SE\A-492\A-492__406.png", "Ver Imagen")</f>
        <v>Ver Imagen</v>
      </c>
    </row>
    <row r="4470" spans="1:16" x14ac:dyDescent="0.25">
      <c r="A4470">
        <v>4082</v>
      </c>
      <c r="B4470" t="s">
        <v>8175</v>
      </c>
      <c r="C4470">
        <v>37.315474492600003</v>
      </c>
      <c r="D4470">
        <v>-7.06726114723</v>
      </c>
      <c r="E4470">
        <v>2</v>
      </c>
      <c r="F4470">
        <v>3</v>
      </c>
      <c r="G4470">
        <v>4</v>
      </c>
      <c r="H4470">
        <v>2</v>
      </c>
      <c r="I4470">
        <v>3</v>
      </c>
      <c r="J4470" t="s">
        <v>8005</v>
      </c>
      <c r="K4470">
        <v>3</v>
      </c>
      <c r="L4470">
        <v>3.0680000000000001</v>
      </c>
      <c r="M4470">
        <v>0</v>
      </c>
      <c r="N4470" t="s">
        <v>10019</v>
      </c>
      <c r="O4470" t="str">
        <f>HYPERLINK("NoConsenso\marker_147_839838.png", "Ver Imagen")</f>
        <v>Ver Imagen</v>
      </c>
      <c r="P4470" t="str">
        <f>HYPERLINK("SE\A-492\A-492__452.png", "Ver Imagen")</f>
        <v>Ver Imagen</v>
      </c>
    </row>
    <row r="4471" spans="1:16" x14ac:dyDescent="0.25">
      <c r="A4471">
        <v>4083</v>
      </c>
      <c r="B4471" t="s">
        <v>8177</v>
      </c>
      <c r="C4471">
        <v>37.315538072300001</v>
      </c>
      <c r="D4471">
        <v>-7.06755453299</v>
      </c>
      <c r="E4471">
        <v>2</v>
      </c>
      <c r="F4471">
        <v>2</v>
      </c>
      <c r="G4471">
        <v>4</v>
      </c>
      <c r="H4471">
        <v>2</v>
      </c>
      <c r="I4471">
        <v>1</v>
      </c>
      <c r="J4471" t="s">
        <v>8005</v>
      </c>
      <c r="K4471">
        <v>2</v>
      </c>
      <c r="L4471">
        <v>1.982</v>
      </c>
      <c r="M4471">
        <v>0</v>
      </c>
      <c r="N4471" t="s">
        <v>10019</v>
      </c>
      <c r="O4471" t="str">
        <f>HYPERLINK("NoConsenso\marker_906_839848.png", "Ver Imagen")</f>
        <v>Ver Imagen</v>
      </c>
      <c r="P4471" t="str">
        <f>HYPERLINK("SE\A-492\A-492__453.png", "Ver Imagen")</f>
        <v>Ver Imagen</v>
      </c>
    </row>
    <row r="4472" spans="1:16" x14ac:dyDescent="0.25">
      <c r="A4472">
        <v>4084</v>
      </c>
      <c r="B4472" t="s">
        <v>8179</v>
      </c>
      <c r="C4472">
        <v>37.315985560000001</v>
      </c>
      <c r="D4472">
        <v>-7.0689377478899997</v>
      </c>
      <c r="E4472">
        <v>2</v>
      </c>
      <c r="F4472">
        <v>3</v>
      </c>
      <c r="G4472">
        <v>4</v>
      </c>
      <c r="H4472">
        <v>3</v>
      </c>
      <c r="I4472">
        <v>3</v>
      </c>
      <c r="J4472" t="s">
        <v>8005</v>
      </c>
      <c r="K4472">
        <v>3</v>
      </c>
      <c r="L4472">
        <v>2.7360000000000002</v>
      </c>
      <c r="M4472">
        <v>0</v>
      </c>
      <c r="N4472" t="s">
        <v>10019</v>
      </c>
      <c r="O4472" t="str">
        <f>HYPERLINK("NoConsenso\marker_829_839918.png", "Ver Imagen")</f>
        <v>Ver Imagen</v>
      </c>
      <c r="P4472" t="str">
        <f>HYPERLINK("SE\A-492\A-492__459.png", "Ver Imagen")</f>
        <v>Ver Imagen</v>
      </c>
    </row>
    <row r="4473" spans="1:16" x14ac:dyDescent="0.25">
      <c r="A4473">
        <v>4085</v>
      </c>
      <c r="B4473" t="s">
        <v>8181</v>
      </c>
      <c r="C4473">
        <v>37.316297034400002</v>
      </c>
      <c r="D4473">
        <v>-7.0696053225200002</v>
      </c>
      <c r="E4473">
        <v>2</v>
      </c>
      <c r="F4473">
        <v>3</v>
      </c>
      <c r="G4473">
        <v>4</v>
      </c>
      <c r="H4473">
        <v>3</v>
      </c>
      <c r="I4473">
        <v>3</v>
      </c>
      <c r="J4473" t="s">
        <v>8005</v>
      </c>
      <c r="K4473">
        <v>3</v>
      </c>
      <c r="L4473">
        <v>2.6389999999999998</v>
      </c>
      <c r="M4473">
        <v>0</v>
      </c>
      <c r="N4473" t="s">
        <v>10018</v>
      </c>
      <c r="O4473" t="str">
        <f>HYPERLINK("NoConsenso\marker_320_839951.png", "Ver Imagen")</f>
        <v>Ver Imagen</v>
      </c>
      <c r="P4473" t="str">
        <f>HYPERLINK("SE\A-492\A-492__462.png", "Ver Imagen")</f>
        <v>Ver Imagen</v>
      </c>
    </row>
    <row r="4474" spans="1:16" x14ac:dyDescent="0.25">
      <c r="A4474">
        <v>4086</v>
      </c>
      <c r="B4474" t="s">
        <v>8183</v>
      </c>
      <c r="C4474">
        <v>37.316398151199998</v>
      </c>
      <c r="D4474">
        <v>-7.0698052682399997</v>
      </c>
      <c r="E4474">
        <v>2</v>
      </c>
      <c r="F4474">
        <v>3</v>
      </c>
      <c r="G4474">
        <v>4</v>
      </c>
      <c r="H4474">
        <v>3</v>
      </c>
      <c r="I4474">
        <v>3</v>
      </c>
      <c r="J4474" t="s">
        <v>8005</v>
      </c>
      <c r="K4474">
        <v>3</v>
      </c>
      <c r="L4474">
        <v>2.9710000000000001</v>
      </c>
      <c r="M4474">
        <v>0</v>
      </c>
      <c r="N4474" t="s">
        <v>10019</v>
      </c>
      <c r="O4474" t="str">
        <f>HYPERLINK("NoConsenso\marker_760_839960.png", "Ver Imagen")</f>
        <v>Ver Imagen</v>
      </c>
      <c r="P4474" t="str">
        <f>HYPERLINK("SE\A-492\A-492__463.png", "Ver Imagen")</f>
        <v>Ver Imagen</v>
      </c>
    </row>
    <row r="4475" spans="1:16" x14ac:dyDescent="0.25">
      <c r="A4475">
        <v>4087</v>
      </c>
      <c r="B4475" t="s">
        <v>8185</v>
      </c>
      <c r="C4475">
        <v>37.316907135500003</v>
      </c>
      <c r="D4475">
        <v>-7.0705775696600002</v>
      </c>
      <c r="E4475">
        <v>2</v>
      </c>
      <c r="F4475">
        <v>2</v>
      </c>
      <c r="G4475">
        <v>4</v>
      </c>
      <c r="H4475">
        <v>2</v>
      </c>
      <c r="I4475">
        <v>2</v>
      </c>
      <c r="J4475" t="s">
        <v>8005</v>
      </c>
      <c r="K4475">
        <v>2</v>
      </c>
      <c r="L4475">
        <v>2.2679999999999998</v>
      </c>
      <c r="M4475">
        <v>0</v>
      </c>
      <c r="N4475" t="s">
        <v>10019</v>
      </c>
      <c r="O4475" t="str">
        <f>HYPERLINK("NoConsenso\marker_170_840016.png", "Ver Imagen")</f>
        <v>Ver Imagen</v>
      </c>
      <c r="P4475" t="str">
        <f>HYPERLINK("SE\A-492\A-492__467.png", "Ver Imagen")</f>
        <v>Ver Imagen</v>
      </c>
    </row>
    <row r="4476" spans="1:16" x14ac:dyDescent="0.25">
      <c r="A4476">
        <v>4088</v>
      </c>
      <c r="B4476" t="s">
        <v>8187</v>
      </c>
      <c r="C4476">
        <v>37.317045973200003</v>
      </c>
      <c r="D4476">
        <v>-7.0707184741000004</v>
      </c>
      <c r="E4476">
        <v>2</v>
      </c>
      <c r="F4476">
        <v>3</v>
      </c>
      <c r="G4476">
        <v>4</v>
      </c>
      <c r="H4476">
        <v>3</v>
      </c>
      <c r="I4476">
        <v>3</v>
      </c>
      <c r="J4476" t="s">
        <v>8005</v>
      </c>
      <c r="K4476">
        <v>3</v>
      </c>
      <c r="L4476">
        <v>2.9569999999999999</v>
      </c>
      <c r="M4476">
        <v>0</v>
      </c>
      <c r="N4476" t="s">
        <v>10019</v>
      </c>
      <c r="O4476" t="str">
        <f>HYPERLINK("NoConsenso\marker_985_840026.png", "Ver Imagen")</f>
        <v>Ver Imagen</v>
      </c>
      <c r="P4476" t="str">
        <f>HYPERLINK("SE\A-492\A-492__468.png", "Ver Imagen")</f>
        <v>Ver Imagen</v>
      </c>
    </row>
    <row r="4477" spans="1:16" x14ac:dyDescent="0.25">
      <c r="A4477">
        <v>4089</v>
      </c>
      <c r="B4477" t="s">
        <v>8189</v>
      </c>
      <c r="C4477">
        <v>37.464233821699999</v>
      </c>
      <c r="D4477">
        <v>-7.1189614474000003</v>
      </c>
      <c r="E4477">
        <v>1</v>
      </c>
      <c r="F4477">
        <v>3</v>
      </c>
      <c r="G4477">
        <v>2</v>
      </c>
      <c r="H4477">
        <v>2</v>
      </c>
      <c r="I4477">
        <v>2</v>
      </c>
      <c r="J4477" t="s">
        <v>8005</v>
      </c>
      <c r="K4477">
        <v>2</v>
      </c>
      <c r="L4477">
        <v>2.327</v>
      </c>
      <c r="M4477">
        <v>0</v>
      </c>
      <c r="N4477" t="s">
        <v>10018</v>
      </c>
      <c r="O4477" t="str">
        <f>HYPERLINK("NoConsenso\marker_509_895797.png", "Ver Imagen")</f>
        <v>Ver Imagen</v>
      </c>
      <c r="P4477" t="str">
        <f>HYPERLINK("NE\A-495R\A-495R__106.png", "Ver Imagen")</f>
        <v>Ver Imagen</v>
      </c>
    </row>
    <row r="4478" spans="1:16" x14ac:dyDescent="0.25">
      <c r="A4478">
        <v>4090</v>
      </c>
      <c r="B4478" t="s">
        <v>8191</v>
      </c>
      <c r="C4478">
        <v>37.268425744600002</v>
      </c>
      <c r="D4478">
        <v>-6.9733208324099998</v>
      </c>
      <c r="E4478">
        <v>2</v>
      </c>
      <c r="F4478">
        <v>4</v>
      </c>
      <c r="G4478">
        <v>2</v>
      </c>
      <c r="H4478">
        <v>3</v>
      </c>
      <c r="I4478">
        <v>4</v>
      </c>
      <c r="J4478" t="s">
        <v>8052</v>
      </c>
      <c r="K4478">
        <v>4</v>
      </c>
      <c r="L4478">
        <v>3.8479999999999999</v>
      </c>
      <c r="M4478">
        <v>0</v>
      </c>
      <c r="N4478" t="s">
        <v>10019</v>
      </c>
      <c r="O4478" t="str">
        <f>HYPERLINK("NoConsenso\marker_980_938045.png", "Ver Imagen")</f>
        <v>Ver Imagen</v>
      </c>
      <c r="P4478" t="str">
        <f>HYPERLINK("SE\A-497\A-497__70.png", "Ver Imagen")</f>
        <v>Ver Imagen</v>
      </c>
    </row>
    <row r="4479" spans="1:16" x14ac:dyDescent="0.25">
      <c r="A4479">
        <v>4092</v>
      </c>
      <c r="B4479" t="s">
        <v>8195</v>
      </c>
      <c r="C4479">
        <v>37.267651575599999</v>
      </c>
      <c r="D4479">
        <v>-6.9675532462499996</v>
      </c>
      <c r="E4479">
        <v>2</v>
      </c>
      <c r="F4479">
        <v>4</v>
      </c>
      <c r="G4479">
        <v>2</v>
      </c>
      <c r="H4479">
        <v>3</v>
      </c>
      <c r="I4479">
        <v>3</v>
      </c>
      <c r="J4479" t="s">
        <v>8052</v>
      </c>
      <c r="K4479">
        <v>4</v>
      </c>
      <c r="L4479">
        <v>3.7709999999999999</v>
      </c>
      <c r="M4479">
        <v>0</v>
      </c>
      <c r="N4479" t="s">
        <v>10019</v>
      </c>
      <c r="O4479" t="str">
        <f>HYPERLINK("NoConsenso\marker_718_938426.png", "Ver Imagen")</f>
        <v>Ver Imagen</v>
      </c>
      <c r="P4479" t="str">
        <f>HYPERLINK("SE\A-497\A-497__47.png", "Ver Imagen")</f>
        <v>Ver Imagen</v>
      </c>
    </row>
    <row r="4480" spans="1:16" x14ac:dyDescent="0.25">
      <c r="A4480">
        <v>4094</v>
      </c>
      <c r="B4480" t="s">
        <v>8199</v>
      </c>
      <c r="C4480">
        <v>37.267560868799997</v>
      </c>
      <c r="D4480">
        <v>-6.9657946726000004</v>
      </c>
      <c r="E4480">
        <v>2</v>
      </c>
      <c r="F4480">
        <v>4</v>
      </c>
      <c r="G4480">
        <v>2</v>
      </c>
      <c r="H4480">
        <v>3</v>
      </c>
      <c r="I4480">
        <v>4</v>
      </c>
      <c r="J4480" t="s">
        <v>8052</v>
      </c>
      <c r="K4480">
        <v>4</v>
      </c>
      <c r="L4480">
        <v>3.8029999999999999</v>
      </c>
      <c r="M4480">
        <v>0</v>
      </c>
      <c r="N4480" t="s">
        <v>10019</v>
      </c>
      <c r="O4480" t="str">
        <f>HYPERLINK("NoConsenso\marker_813_940280.png", "Ver Imagen")</f>
        <v>Ver Imagen</v>
      </c>
      <c r="P4480" t="str">
        <f>HYPERLINK("SE\A-497\A-497__40.png", "Ver Imagen")</f>
        <v>Ver Imagen</v>
      </c>
    </row>
    <row r="4481" spans="1:16" x14ac:dyDescent="0.25">
      <c r="A4481">
        <v>4095</v>
      </c>
      <c r="B4481" t="s">
        <v>8201</v>
      </c>
      <c r="C4481">
        <v>37.267535414100003</v>
      </c>
      <c r="D4481">
        <v>-6.96477474887</v>
      </c>
      <c r="E4481">
        <v>2</v>
      </c>
      <c r="F4481">
        <v>4</v>
      </c>
      <c r="G4481">
        <v>2</v>
      </c>
      <c r="H4481">
        <v>3</v>
      </c>
      <c r="I4481">
        <v>3</v>
      </c>
      <c r="J4481" t="s">
        <v>8005</v>
      </c>
      <c r="K4481">
        <v>3</v>
      </c>
      <c r="L4481">
        <v>2.9039999999999999</v>
      </c>
      <c r="M4481">
        <v>0</v>
      </c>
      <c r="N4481" t="s">
        <v>10019</v>
      </c>
      <c r="O4481" t="str">
        <f>HYPERLINK("NoConsenso\marker_181_940322.png", "Ver Imagen")</f>
        <v>Ver Imagen</v>
      </c>
      <c r="P4481" t="str">
        <f>HYPERLINK("SE\A-497\A-497__36.png", "Ver Imagen")</f>
        <v>Ver Imagen</v>
      </c>
    </row>
    <row r="4482" spans="1:16" x14ac:dyDescent="0.25">
      <c r="A4482">
        <v>4096</v>
      </c>
      <c r="B4482" t="s">
        <v>8203</v>
      </c>
      <c r="C4482">
        <v>37.267435736300001</v>
      </c>
      <c r="D4482">
        <v>-6.9609774125000001</v>
      </c>
      <c r="E4482">
        <v>1</v>
      </c>
      <c r="F4482">
        <v>3</v>
      </c>
      <c r="G4482">
        <v>2</v>
      </c>
      <c r="H4482">
        <v>2</v>
      </c>
      <c r="I4482">
        <v>2</v>
      </c>
      <c r="J4482" t="s">
        <v>8005</v>
      </c>
      <c r="K4482">
        <v>2</v>
      </c>
      <c r="L4482">
        <v>1.929</v>
      </c>
      <c r="M4482">
        <v>0</v>
      </c>
      <c r="N4482" t="s">
        <v>10019</v>
      </c>
      <c r="O4482" t="str">
        <f>HYPERLINK("NoConsenso\marker_934_943767.png", "Ver Imagen")</f>
        <v>Ver Imagen</v>
      </c>
      <c r="P4482" t="str">
        <f>HYPERLINK("SE\A-497\A-497__21.png", "Ver Imagen")</f>
        <v>Ver Imagen</v>
      </c>
    </row>
    <row r="4483" spans="1:16" x14ac:dyDescent="0.25">
      <c r="A4483">
        <v>4098</v>
      </c>
      <c r="B4483" t="s">
        <v>8207</v>
      </c>
      <c r="C4483">
        <v>37.191627006200001</v>
      </c>
      <c r="D4483">
        <v>-6.9922840627299996</v>
      </c>
      <c r="E4483">
        <v>2</v>
      </c>
      <c r="F4483">
        <v>3</v>
      </c>
      <c r="G4483">
        <v>4</v>
      </c>
      <c r="H4483">
        <v>2</v>
      </c>
      <c r="I4483">
        <v>2</v>
      </c>
      <c r="J4483" t="s">
        <v>8005</v>
      </c>
      <c r="K4483">
        <v>2</v>
      </c>
      <c r="L4483">
        <v>1.7150000000000001</v>
      </c>
      <c r="M4483">
        <v>0</v>
      </c>
      <c r="N4483" t="s">
        <v>10019</v>
      </c>
      <c r="O4483" t="str">
        <f>HYPERLINK("NoConsenso\marker_115_944341.png", "Ver Imagen")</f>
        <v>Ver Imagen</v>
      </c>
      <c r="P4483" t="str">
        <f>HYPERLINK("SE\A-5050\A-5050__165.png", "Ver Imagen")</f>
        <v>Ver Imagen</v>
      </c>
    </row>
    <row r="4484" spans="1:16" x14ac:dyDescent="0.25">
      <c r="A4484">
        <v>4099</v>
      </c>
      <c r="B4484" t="s">
        <v>8209</v>
      </c>
      <c r="C4484">
        <v>37.191715540799997</v>
      </c>
      <c r="D4484">
        <v>-6.9924692566899997</v>
      </c>
      <c r="E4484">
        <v>2</v>
      </c>
      <c r="F4484">
        <v>3</v>
      </c>
      <c r="G4484">
        <v>4</v>
      </c>
      <c r="H4484">
        <v>2</v>
      </c>
      <c r="I4484">
        <v>1</v>
      </c>
      <c r="J4484" t="s">
        <v>8005</v>
      </c>
      <c r="K4484">
        <v>2</v>
      </c>
      <c r="L4484">
        <v>1.841</v>
      </c>
      <c r="M4484">
        <v>0</v>
      </c>
      <c r="N4484" t="s">
        <v>10019</v>
      </c>
      <c r="O4484" t="str">
        <f>HYPERLINK("NoConsenso\marker_175_944349.png", "Ver Imagen")</f>
        <v>Ver Imagen</v>
      </c>
      <c r="P4484" t="str">
        <f>HYPERLINK("SE\A-5050\A-5050__164.png", "Ver Imagen")</f>
        <v>Ver Imagen</v>
      </c>
    </row>
    <row r="4485" spans="1:16" x14ac:dyDescent="0.25">
      <c r="A4485">
        <v>4100</v>
      </c>
      <c r="B4485" t="s">
        <v>8211</v>
      </c>
      <c r="C4485">
        <v>37.192146516100003</v>
      </c>
      <c r="D4485">
        <v>-6.9933660973</v>
      </c>
      <c r="E4485">
        <v>2</v>
      </c>
      <c r="F4485">
        <v>3</v>
      </c>
      <c r="G4485">
        <v>4</v>
      </c>
      <c r="H4485">
        <v>2</v>
      </c>
      <c r="I4485">
        <v>1</v>
      </c>
      <c r="J4485" t="s">
        <v>8005</v>
      </c>
      <c r="K4485">
        <v>2</v>
      </c>
      <c r="L4485">
        <v>2.0539999999999998</v>
      </c>
      <c r="M4485">
        <v>0</v>
      </c>
      <c r="N4485" t="s">
        <v>10019</v>
      </c>
      <c r="O4485" t="str">
        <f>HYPERLINK("NoConsenso\marker_762_944692.png", "Ver Imagen")</f>
        <v>Ver Imagen</v>
      </c>
      <c r="P4485" t="str">
        <f>HYPERLINK("SE\A-5050\A-5050__160.png", "Ver Imagen")</f>
        <v>Ver Imagen</v>
      </c>
    </row>
    <row r="4486" spans="1:16" x14ac:dyDescent="0.25">
      <c r="A4486">
        <v>4101</v>
      </c>
      <c r="B4486" t="s">
        <v>8213</v>
      </c>
      <c r="C4486">
        <v>37.192344166399998</v>
      </c>
      <c r="D4486">
        <v>-6.9937821106099998</v>
      </c>
      <c r="E4486">
        <v>2</v>
      </c>
      <c r="F4486">
        <v>3</v>
      </c>
      <c r="G4486">
        <v>4</v>
      </c>
      <c r="H4486">
        <v>3</v>
      </c>
      <c r="I4486">
        <v>3</v>
      </c>
      <c r="J4486" t="s">
        <v>8005</v>
      </c>
      <c r="K4486">
        <v>3</v>
      </c>
      <c r="L4486">
        <v>2.6160000000000001</v>
      </c>
      <c r="M4486">
        <v>0</v>
      </c>
      <c r="N4486" t="s">
        <v>10018</v>
      </c>
      <c r="O4486" t="str">
        <f>HYPERLINK("NoConsenso\marker_341_944952.png", "Ver Imagen")</f>
        <v>Ver Imagen</v>
      </c>
      <c r="P4486" t="str">
        <f>HYPERLINK("SE\A-5050\A-5050__158.png", "Ver Imagen")</f>
        <v>Ver Imagen</v>
      </c>
    </row>
    <row r="4487" spans="1:16" x14ac:dyDescent="0.25">
      <c r="A4487">
        <v>4102</v>
      </c>
      <c r="B4487" t="s">
        <v>8215</v>
      </c>
      <c r="C4487">
        <v>37.197593906500003</v>
      </c>
      <c r="D4487">
        <v>-7.0063248729099996</v>
      </c>
      <c r="E4487">
        <v>2</v>
      </c>
      <c r="F4487">
        <v>3</v>
      </c>
      <c r="G4487">
        <v>4</v>
      </c>
      <c r="H4487">
        <v>2</v>
      </c>
      <c r="I4487">
        <v>2</v>
      </c>
      <c r="J4487" t="s">
        <v>8005</v>
      </c>
      <c r="K4487">
        <v>2</v>
      </c>
      <c r="L4487">
        <v>1.613</v>
      </c>
      <c r="M4487">
        <v>0</v>
      </c>
      <c r="N4487" t="s">
        <v>10019</v>
      </c>
      <c r="O4487" t="str">
        <f>HYPERLINK("NoConsenso\marker_537_946781.png", "Ver Imagen")</f>
        <v>Ver Imagen</v>
      </c>
      <c r="P4487" t="str">
        <f>HYPERLINK("SE\A-5050\A-5050__102.png", "Ver Imagen")</f>
        <v>Ver Imagen</v>
      </c>
    </row>
    <row r="4488" spans="1:16" x14ac:dyDescent="0.25">
      <c r="A4488">
        <v>4104</v>
      </c>
      <c r="B4488" t="s">
        <v>8219</v>
      </c>
      <c r="C4488">
        <v>37.203839306799999</v>
      </c>
      <c r="D4488">
        <v>-7.0166422463</v>
      </c>
      <c r="E4488">
        <v>2</v>
      </c>
      <c r="F4488">
        <v>3</v>
      </c>
      <c r="G4488">
        <v>4</v>
      </c>
      <c r="H4488">
        <v>3</v>
      </c>
      <c r="I4488">
        <v>4</v>
      </c>
      <c r="J4488" t="s">
        <v>8052</v>
      </c>
      <c r="K4488">
        <v>4</v>
      </c>
      <c r="L4488">
        <v>3.7890000000000001</v>
      </c>
      <c r="M4488">
        <v>0</v>
      </c>
      <c r="N4488" t="s">
        <v>10018</v>
      </c>
      <c r="O4488" t="str">
        <f>HYPERLINK("NoConsenso\marker_219_949147.png", "Ver Imagen")</f>
        <v>Ver Imagen</v>
      </c>
      <c r="P4488" t="str">
        <f>HYPERLINK("SE\A-5050\A-5050__51.png", "Ver Imagen")</f>
        <v>Ver Imagen</v>
      </c>
    </row>
    <row r="4489" spans="1:16" x14ac:dyDescent="0.25">
      <c r="A4489">
        <v>4105</v>
      </c>
      <c r="B4489" t="s">
        <v>8221</v>
      </c>
      <c r="C4489">
        <v>37.2082001721</v>
      </c>
      <c r="D4489">
        <v>-7.0232265818000004</v>
      </c>
      <c r="E4489">
        <v>2</v>
      </c>
      <c r="F4489">
        <v>2</v>
      </c>
      <c r="G4489">
        <v>4</v>
      </c>
      <c r="H4489">
        <v>2</v>
      </c>
      <c r="I4489">
        <v>2</v>
      </c>
      <c r="J4489" t="s">
        <v>8005</v>
      </c>
      <c r="K4489">
        <v>2</v>
      </c>
      <c r="L4489">
        <v>2.11</v>
      </c>
      <c r="M4489">
        <v>0</v>
      </c>
      <c r="N4489" t="s">
        <v>10019</v>
      </c>
      <c r="O4489" t="str">
        <f>HYPERLINK("NoConsenso\marker_765_949525.png", "Ver Imagen")</f>
        <v>Ver Imagen</v>
      </c>
      <c r="P4489" t="str">
        <f>HYPERLINK("SE\A-5050\A-5050__17.png", "Ver Imagen")</f>
        <v>Ver Imagen</v>
      </c>
    </row>
    <row r="4490" spans="1:16" x14ac:dyDescent="0.25">
      <c r="A4490">
        <v>4106</v>
      </c>
      <c r="B4490" t="s">
        <v>8223</v>
      </c>
      <c r="C4490">
        <v>37.217899849799998</v>
      </c>
      <c r="D4490">
        <v>-7.1169831211899997</v>
      </c>
      <c r="E4490">
        <v>3</v>
      </c>
      <c r="F4490">
        <v>1</v>
      </c>
      <c r="G4490">
        <v>2</v>
      </c>
      <c r="H4490">
        <v>2</v>
      </c>
      <c r="I4490">
        <v>1</v>
      </c>
      <c r="J4490" t="s">
        <v>8005</v>
      </c>
      <c r="K4490">
        <v>2</v>
      </c>
      <c r="L4490">
        <v>1.7869999999999999</v>
      </c>
      <c r="M4490">
        <v>0</v>
      </c>
      <c r="N4490" t="s">
        <v>10017</v>
      </c>
      <c r="O4490" t="str">
        <f>HYPERLINK("NoConsenso\marker_506_956756.png", "Ver Imagen")</f>
        <v>Ver Imagen</v>
      </c>
      <c r="P4490" t="str">
        <f>HYPERLINK("SO\A-5052\A-5052__36.png", "Ver Imagen")</f>
        <v>Ver Imagen</v>
      </c>
    </row>
    <row r="4491" spans="1:16" x14ac:dyDescent="0.25">
      <c r="A4491">
        <v>4107</v>
      </c>
      <c r="B4491" t="s">
        <v>8225</v>
      </c>
      <c r="C4491">
        <v>37.211777010200002</v>
      </c>
      <c r="D4491">
        <v>-7.0584503895199999</v>
      </c>
      <c r="E4491">
        <v>2</v>
      </c>
      <c r="F4491">
        <v>4</v>
      </c>
      <c r="G4491">
        <v>3</v>
      </c>
      <c r="H4491">
        <v>3</v>
      </c>
      <c r="I4491">
        <v>4</v>
      </c>
      <c r="J4491" t="s">
        <v>8005</v>
      </c>
      <c r="K4491">
        <v>3</v>
      </c>
      <c r="L4491">
        <v>2.8820000000000001</v>
      </c>
      <c r="M4491">
        <v>0</v>
      </c>
      <c r="N4491" t="s">
        <v>10019</v>
      </c>
      <c r="O4491" t="str">
        <f>HYPERLINK("NoConsenso\marker_917_960349.png", "Ver Imagen")</f>
        <v>Ver Imagen</v>
      </c>
      <c r="P4491" t="str">
        <f>HYPERLINK("SE\A-5052\A-5052__272.png", "Ver Imagen")</f>
        <v>Ver Imagen</v>
      </c>
    </row>
    <row r="4492" spans="1:16" x14ac:dyDescent="0.25">
      <c r="A4492">
        <v>4108</v>
      </c>
      <c r="B4492" t="s">
        <v>8227</v>
      </c>
      <c r="C4492">
        <v>37.210854674399997</v>
      </c>
      <c r="D4492">
        <v>-7.0535663098099999</v>
      </c>
      <c r="E4492">
        <v>2</v>
      </c>
      <c r="F4492">
        <v>3</v>
      </c>
      <c r="G4492">
        <v>4</v>
      </c>
      <c r="H4492">
        <v>3</v>
      </c>
      <c r="I4492">
        <v>3</v>
      </c>
      <c r="J4492" t="s">
        <v>8005</v>
      </c>
      <c r="K4492">
        <v>3</v>
      </c>
      <c r="L4492">
        <v>3.01</v>
      </c>
      <c r="M4492">
        <v>0</v>
      </c>
      <c r="N4492" t="s">
        <v>10017</v>
      </c>
      <c r="O4492" t="str">
        <f>HYPERLINK("NoConsenso\marker_618_960728.png", "Ver Imagen")</f>
        <v>Ver Imagen</v>
      </c>
      <c r="P4492" t="str">
        <f>HYPERLINK("SE\A-5052\A-5052__292.png", "Ver Imagen")</f>
        <v>Ver Imagen</v>
      </c>
    </row>
    <row r="4493" spans="1:16" x14ac:dyDescent="0.25">
      <c r="A4493">
        <v>4109</v>
      </c>
      <c r="B4493" t="s">
        <v>8229</v>
      </c>
      <c r="C4493">
        <v>37.211294215099997</v>
      </c>
      <c r="D4493">
        <v>-7.0501761801100002</v>
      </c>
      <c r="E4493">
        <v>2</v>
      </c>
      <c r="F4493">
        <v>4</v>
      </c>
      <c r="G4493">
        <v>3</v>
      </c>
      <c r="H4493">
        <v>3</v>
      </c>
      <c r="I4493">
        <v>3</v>
      </c>
      <c r="J4493" t="s">
        <v>8005</v>
      </c>
      <c r="K4493">
        <v>3</v>
      </c>
      <c r="L4493">
        <v>3.456</v>
      </c>
      <c r="M4493">
        <v>0</v>
      </c>
      <c r="N4493" t="s">
        <v>10019</v>
      </c>
      <c r="O4493" t="str">
        <f>HYPERLINK("NoConsenso\marker_792_961038.png", "Ver Imagen")</f>
        <v>Ver Imagen</v>
      </c>
      <c r="P4493" t="str">
        <f>HYPERLINK("SE\A-5052\A-5052__306.png", "Ver Imagen")</f>
        <v>Ver Imagen</v>
      </c>
    </row>
    <row r="4494" spans="1:16" x14ac:dyDescent="0.25">
      <c r="A4494">
        <v>4110</v>
      </c>
      <c r="B4494" t="s">
        <v>8231</v>
      </c>
      <c r="C4494">
        <v>37.211761001500001</v>
      </c>
      <c r="D4494">
        <v>-7.0484898792299999</v>
      </c>
      <c r="E4494">
        <v>2</v>
      </c>
      <c r="F4494">
        <v>2</v>
      </c>
      <c r="G4494">
        <v>4</v>
      </c>
      <c r="H4494">
        <v>2</v>
      </c>
      <c r="I4494">
        <v>2</v>
      </c>
      <c r="J4494" t="s">
        <v>8005</v>
      </c>
      <c r="K4494">
        <v>2</v>
      </c>
      <c r="L4494">
        <v>2.157</v>
      </c>
      <c r="M4494">
        <v>0</v>
      </c>
      <c r="N4494" t="s">
        <v>10018</v>
      </c>
      <c r="O4494" t="str">
        <f>HYPERLINK("NoConsenso\marker_739_961156.png", "Ver Imagen")</f>
        <v>Ver Imagen</v>
      </c>
      <c r="P4494" t="str">
        <f>HYPERLINK("SE\A-5052\A-5052__313.png", "Ver Imagen")</f>
        <v>Ver Imagen</v>
      </c>
    </row>
    <row r="4495" spans="1:16" x14ac:dyDescent="0.25">
      <c r="A4495">
        <v>4111</v>
      </c>
      <c r="B4495" t="s">
        <v>8233</v>
      </c>
      <c r="C4495">
        <v>37.206067809700002</v>
      </c>
      <c r="D4495">
        <v>-7.0315258636199998</v>
      </c>
      <c r="E4495">
        <v>2</v>
      </c>
      <c r="F4495">
        <v>3</v>
      </c>
      <c r="G4495">
        <v>4</v>
      </c>
      <c r="H4495">
        <v>2</v>
      </c>
      <c r="I4495">
        <v>3</v>
      </c>
      <c r="J4495" t="s">
        <v>8005</v>
      </c>
      <c r="K4495">
        <v>3</v>
      </c>
      <c r="L4495">
        <v>3.2</v>
      </c>
      <c r="M4495">
        <v>0</v>
      </c>
      <c r="N4495" t="s">
        <v>10019</v>
      </c>
      <c r="O4495" t="str">
        <f>HYPERLINK("NoConsenso\marker_149_962537.png", "Ver Imagen")</f>
        <v>Ver Imagen</v>
      </c>
      <c r="P4495" t="str">
        <f>HYPERLINK("SE\A-5052\A-5052__386.png", "Ver Imagen")</f>
        <v>Ver Imagen</v>
      </c>
    </row>
    <row r="4496" spans="1:16" x14ac:dyDescent="0.25">
      <c r="A4496">
        <v>4112</v>
      </c>
      <c r="B4496" t="s">
        <v>8235</v>
      </c>
      <c r="C4496">
        <v>37.204708008300003</v>
      </c>
      <c r="D4496">
        <v>-7.0282076506199997</v>
      </c>
      <c r="E4496">
        <v>2</v>
      </c>
      <c r="F4496">
        <v>3</v>
      </c>
      <c r="G4496">
        <v>4</v>
      </c>
      <c r="H4496">
        <v>3</v>
      </c>
      <c r="I4496">
        <v>3</v>
      </c>
      <c r="J4496" t="s">
        <v>8005</v>
      </c>
      <c r="K4496">
        <v>3</v>
      </c>
      <c r="L4496">
        <v>2.85</v>
      </c>
      <c r="M4496">
        <v>0</v>
      </c>
      <c r="N4496" t="s">
        <v>10019</v>
      </c>
      <c r="O4496" t="str">
        <f>HYPERLINK("NoConsenso\marker_849_962677.png", "Ver Imagen")</f>
        <v>Ver Imagen</v>
      </c>
      <c r="P4496" t="str">
        <f>HYPERLINK("SE\A-5052\A-5052__401.png", "Ver Imagen")</f>
        <v>Ver Imagen</v>
      </c>
    </row>
    <row r="4497" spans="1:16" x14ac:dyDescent="0.25">
      <c r="A4497">
        <v>4113</v>
      </c>
      <c r="B4497" t="s">
        <v>8237</v>
      </c>
      <c r="C4497">
        <v>37.200747690299998</v>
      </c>
      <c r="D4497">
        <v>-7.01764312312</v>
      </c>
      <c r="E4497">
        <v>1</v>
      </c>
      <c r="F4497">
        <v>3</v>
      </c>
      <c r="G4497">
        <v>2</v>
      </c>
      <c r="H4497">
        <v>2</v>
      </c>
      <c r="I4497">
        <v>1</v>
      </c>
      <c r="J4497" t="s">
        <v>8005</v>
      </c>
      <c r="K4497">
        <v>2</v>
      </c>
      <c r="L4497">
        <v>2.13</v>
      </c>
      <c r="M4497">
        <v>0</v>
      </c>
      <c r="N4497" t="s">
        <v>10019</v>
      </c>
      <c r="O4497" t="str">
        <f>HYPERLINK("NoConsenso\marker_414_963147.png", "Ver Imagen")</f>
        <v>Ver Imagen</v>
      </c>
      <c r="P4497" t="str">
        <f>HYPERLINK("SE\A-5052\A-5052__447.png", "Ver Imagen")</f>
        <v>Ver Imagen</v>
      </c>
    </row>
    <row r="4498" spans="1:16" x14ac:dyDescent="0.25">
      <c r="A4498">
        <v>4114</v>
      </c>
      <c r="B4498" t="s">
        <v>8239</v>
      </c>
      <c r="C4498">
        <v>37.288438956900002</v>
      </c>
      <c r="D4498">
        <v>-7.1414715441199998</v>
      </c>
      <c r="E4498">
        <v>2</v>
      </c>
      <c r="F4498">
        <v>4</v>
      </c>
      <c r="G4498">
        <v>3</v>
      </c>
      <c r="H4498">
        <v>3</v>
      </c>
      <c r="I4498">
        <v>4</v>
      </c>
      <c r="J4498" t="s">
        <v>8005</v>
      </c>
      <c r="K4498">
        <v>3</v>
      </c>
      <c r="L4498">
        <v>3.4980000000000002</v>
      </c>
      <c r="M4498">
        <v>0</v>
      </c>
      <c r="N4498" t="s">
        <v>10018</v>
      </c>
      <c r="O4498" t="str">
        <f>HYPERLINK("NoConsenso\marker_163_963839.png", "Ver Imagen")</f>
        <v>Ver Imagen</v>
      </c>
      <c r="P4498" t="str">
        <f>HYPERLINK("SO\A-5053\A-5053__381.png", "Ver Imagen")</f>
        <v>Ver Imagen</v>
      </c>
    </row>
    <row r="4499" spans="1:16" x14ac:dyDescent="0.25">
      <c r="A4499">
        <v>4115</v>
      </c>
      <c r="B4499" t="s">
        <v>8241</v>
      </c>
      <c r="C4499">
        <v>37.288299634099999</v>
      </c>
      <c r="D4499">
        <v>-7.1416791819199998</v>
      </c>
      <c r="E4499">
        <v>2</v>
      </c>
      <c r="F4499">
        <v>4</v>
      </c>
      <c r="G4499">
        <v>3</v>
      </c>
      <c r="H4499">
        <v>3</v>
      </c>
      <c r="I4499">
        <v>4</v>
      </c>
      <c r="J4499" t="s">
        <v>8005</v>
      </c>
      <c r="K4499">
        <v>3</v>
      </c>
      <c r="L4499">
        <v>2.835</v>
      </c>
      <c r="M4499">
        <v>0</v>
      </c>
      <c r="N4499" t="s">
        <v>10017</v>
      </c>
      <c r="O4499" t="str">
        <f>HYPERLINK("NoConsenso\marker_867_963850.png", "Ver Imagen")</f>
        <v>Ver Imagen</v>
      </c>
      <c r="P4499" t="str">
        <f>HYPERLINK("SO\A-5053\A-5053__380.png", "Ver Imagen")</f>
        <v>Ver Imagen</v>
      </c>
    </row>
    <row r="4500" spans="1:16" x14ac:dyDescent="0.25">
      <c r="A4500">
        <v>4116</v>
      </c>
      <c r="B4500" t="s">
        <v>8243</v>
      </c>
      <c r="C4500">
        <v>37.288122066699998</v>
      </c>
      <c r="D4500">
        <v>-7.1417369872399998</v>
      </c>
      <c r="E4500">
        <v>2</v>
      </c>
      <c r="F4500">
        <v>4</v>
      </c>
      <c r="G4500">
        <v>3</v>
      </c>
      <c r="H4500">
        <v>3</v>
      </c>
      <c r="I4500">
        <v>3</v>
      </c>
      <c r="J4500" t="s">
        <v>8005</v>
      </c>
      <c r="K4500">
        <v>3</v>
      </c>
      <c r="L4500">
        <v>2.7480000000000002</v>
      </c>
      <c r="M4500">
        <v>0</v>
      </c>
      <c r="N4500" t="s">
        <v>10019</v>
      </c>
      <c r="O4500" t="str">
        <f>HYPERLINK("NoConsenso\marker_556_963863.png", "Ver Imagen")</f>
        <v>Ver Imagen</v>
      </c>
      <c r="P4500" t="str">
        <f>HYPERLINK("SO\A-5053\A-5053__379.png", "Ver Imagen")</f>
        <v>Ver Imagen</v>
      </c>
    </row>
    <row r="4501" spans="1:16" x14ac:dyDescent="0.25">
      <c r="A4501">
        <v>4117</v>
      </c>
      <c r="B4501" t="s">
        <v>8245</v>
      </c>
      <c r="C4501">
        <v>37.285129816900003</v>
      </c>
      <c r="D4501">
        <v>-7.1429223149599999</v>
      </c>
      <c r="E4501">
        <v>2</v>
      </c>
      <c r="F4501">
        <v>4</v>
      </c>
      <c r="G4501">
        <v>3</v>
      </c>
      <c r="H4501">
        <v>2</v>
      </c>
      <c r="I4501">
        <v>3</v>
      </c>
      <c r="J4501" t="s">
        <v>8005</v>
      </c>
      <c r="K4501">
        <v>3</v>
      </c>
      <c r="L4501">
        <v>3.0270000000000001</v>
      </c>
      <c r="M4501">
        <v>0</v>
      </c>
      <c r="N4501" t="s">
        <v>10019</v>
      </c>
      <c r="O4501" t="str">
        <f>HYPERLINK("NoConsenso\marker_101_964051.png", "Ver Imagen")</f>
        <v>Ver Imagen</v>
      </c>
      <c r="P4501" t="str">
        <f>HYPERLINK("SO\A-5053\A-5053__361.png", "Ver Imagen")</f>
        <v>Ver Imagen</v>
      </c>
    </row>
    <row r="4502" spans="1:16" x14ac:dyDescent="0.25">
      <c r="A4502">
        <v>4118</v>
      </c>
      <c r="B4502" t="s">
        <v>8247</v>
      </c>
      <c r="C4502">
        <v>37.284778700799997</v>
      </c>
      <c r="D4502">
        <v>-7.1430828577299996</v>
      </c>
      <c r="E4502">
        <v>2</v>
      </c>
      <c r="F4502">
        <v>4</v>
      </c>
      <c r="G4502">
        <v>2</v>
      </c>
      <c r="H4502">
        <v>2</v>
      </c>
      <c r="I4502">
        <v>3</v>
      </c>
      <c r="J4502" t="s">
        <v>8005</v>
      </c>
      <c r="K4502">
        <v>2</v>
      </c>
      <c r="L4502">
        <v>2.2490000000000001</v>
      </c>
      <c r="M4502">
        <v>0</v>
      </c>
      <c r="N4502" t="s">
        <v>10019</v>
      </c>
      <c r="O4502" t="str">
        <f>HYPERLINK("NoConsenso\marker_631_964077.png", "Ver Imagen")</f>
        <v>Ver Imagen</v>
      </c>
      <c r="P4502" t="str">
        <f>HYPERLINK("SO\A-5053\A-5053__359.png", "Ver Imagen")</f>
        <v>Ver Imagen</v>
      </c>
    </row>
    <row r="4503" spans="1:16" x14ac:dyDescent="0.25">
      <c r="A4503">
        <v>4119</v>
      </c>
      <c r="B4503" t="s">
        <v>8249</v>
      </c>
      <c r="C4503">
        <v>37.273871323500003</v>
      </c>
      <c r="D4503">
        <v>-7.1421685880699997</v>
      </c>
      <c r="E4503">
        <v>3</v>
      </c>
      <c r="F4503">
        <v>4</v>
      </c>
      <c r="G4503">
        <v>2</v>
      </c>
      <c r="H4503">
        <v>3</v>
      </c>
      <c r="I4503">
        <v>3</v>
      </c>
      <c r="J4503" t="s">
        <v>8005</v>
      </c>
      <c r="K4503">
        <v>3</v>
      </c>
      <c r="L4503">
        <v>3.18</v>
      </c>
      <c r="M4503">
        <v>0</v>
      </c>
      <c r="N4503" t="s">
        <v>10019</v>
      </c>
      <c r="O4503" t="str">
        <f>HYPERLINK("NoConsenso\marker_347_964884.png", "Ver Imagen")</f>
        <v>Ver Imagen</v>
      </c>
      <c r="P4503" t="str">
        <f>HYPERLINK("SO\A-5053\A-5053__298.png", "Ver Imagen")</f>
        <v>Ver Imagen</v>
      </c>
    </row>
    <row r="4504" spans="1:16" x14ac:dyDescent="0.25">
      <c r="A4504">
        <v>4120</v>
      </c>
      <c r="B4504" t="s">
        <v>8251</v>
      </c>
      <c r="C4504">
        <v>37.269198087900001</v>
      </c>
      <c r="D4504">
        <v>-7.1387680503800004</v>
      </c>
      <c r="E4504">
        <v>2</v>
      </c>
      <c r="F4504">
        <v>2</v>
      </c>
      <c r="G4504">
        <v>4</v>
      </c>
      <c r="H4504">
        <v>2</v>
      </c>
      <c r="I4504">
        <v>2</v>
      </c>
      <c r="J4504" t="s">
        <v>8005</v>
      </c>
      <c r="K4504">
        <v>2</v>
      </c>
      <c r="L4504">
        <v>2.0499999999999998</v>
      </c>
      <c r="M4504">
        <v>0</v>
      </c>
      <c r="N4504" t="s">
        <v>10019</v>
      </c>
      <c r="O4504" t="str">
        <f>HYPERLINK("NoConsenso\marker_680_965139.png", "Ver Imagen")</f>
        <v>Ver Imagen</v>
      </c>
      <c r="P4504" t="str">
        <f>HYPERLINK("SO\A-5053\A-5053__271.png", "Ver Imagen")</f>
        <v>Ver Imagen</v>
      </c>
    </row>
    <row r="4505" spans="1:16" x14ac:dyDescent="0.25">
      <c r="A4505">
        <v>4121</v>
      </c>
      <c r="B4505" t="s">
        <v>8253</v>
      </c>
      <c r="C4505">
        <v>37.266673210599997</v>
      </c>
      <c r="D4505">
        <v>-7.1332869520499997</v>
      </c>
      <c r="E4505">
        <v>4</v>
      </c>
      <c r="F4505">
        <v>2</v>
      </c>
      <c r="G4505">
        <v>2</v>
      </c>
      <c r="H4505">
        <v>2</v>
      </c>
      <c r="I4505">
        <v>2</v>
      </c>
      <c r="J4505" t="s">
        <v>8005</v>
      </c>
      <c r="K4505">
        <v>2</v>
      </c>
      <c r="L4505">
        <v>2.1480000000000001</v>
      </c>
      <c r="M4505">
        <v>0</v>
      </c>
      <c r="N4505" t="s">
        <v>10019</v>
      </c>
      <c r="O4505" t="str">
        <f>HYPERLINK("NoConsenso\marker_307_965455.png", "Ver Imagen")</f>
        <v>Ver Imagen</v>
      </c>
      <c r="P4505" t="str">
        <f>HYPERLINK("SO\A-5053\A-5053__245.png", "Ver Imagen")</f>
        <v>Ver Imagen</v>
      </c>
    </row>
    <row r="4506" spans="1:16" x14ac:dyDescent="0.25">
      <c r="A4506">
        <v>4122</v>
      </c>
      <c r="B4506" t="s">
        <v>8255</v>
      </c>
      <c r="C4506">
        <v>37.2590618754</v>
      </c>
      <c r="D4506">
        <v>-7.1284963051699997</v>
      </c>
      <c r="E4506">
        <v>4</v>
      </c>
      <c r="F4506">
        <v>3</v>
      </c>
      <c r="G4506">
        <v>2</v>
      </c>
      <c r="H4506">
        <v>2</v>
      </c>
      <c r="I4506">
        <v>2</v>
      </c>
      <c r="J4506" t="s">
        <v>8005</v>
      </c>
      <c r="K4506">
        <v>2</v>
      </c>
      <c r="L4506">
        <v>2.4300000000000002</v>
      </c>
      <c r="M4506">
        <v>0</v>
      </c>
      <c r="N4506" t="s">
        <v>10017</v>
      </c>
      <c r="O4506" t="str">
        <f>HYPERLINK("NoConsenso\marker_548_965860.png", "Ver Imagen")</f>
        <v>Ver Imagen</v>
      </c>
      <c r="P4506" t="str">
        <f>HYPERLINK("SO\A-5053\A-5053__203.png", "Ver Imagen")</f>
        <v>Ver Imagen</v>
      </c>
    </row>
    <row r="4507" spans="1:16" x14ac:dyDescent="0.25">
      <c r="A4507">
        <v>4123</v>
      </c>
      <c r="B4507" t="s">
        <v>8257</v>
      </c>
      <c r="C4507">
        <v>37.440453067900002</v>
      </c>
      <c r="D4507">
        <v>-7.08859268385</v>
      </c>
      <c r="E4507">
        <v>4</v>
      </c>
      <c r="F4507">
        <v>4</v>
      </c>
      <c r="G4507">
        <v>2</v>
      </c>
      <c r="H4507">
        <v>3</v>
      </c>
      <c r="I4507">
        <v>3</v>
      </c>
      <c r="J4507" t="s">
        <v>8005</v>
      </c>
      <c r="K4507">
        <v>3</v>
      </c>
      <c r="L4507">
        <v>2.9630000000000001</v>
      </c>
      <c r="M4507">
        <v>0</v>
      </c>
      <c r="N4507" t="s">
        <v>10019</v>
      </c>
      <c r="O4507" t="str">
        <f>HYPERLINK("NoConsenso\marker_853_381625.png", "Ver Imagen")</f>
        <v>Ver Imagen</v>
      </c>
      <c r="P4507" t="str">
        <f>HYPERLINK("NE\A-495\A-495__51.png", "Ver Imagen")</f>
        <v>Ver Imagen</v>
      </c>
    </row>
    <row r="4508" spans="1:16" x14ac:dyDescent="0.25">
      <c r="A4508">
        <v>4124</v>
      </c>
      <c r="B4508" t="s">
        <v>8259</v>
      </c>
      <c r="C4508">
        <v>37.439406658800003</v>
      </c>
      <c r="D4508">
        <v>-7.08640329216</v>
      </c>
      <c r="E4508">
        <v>4</v>
      </c>
      <c r="F4508">
        <v>3</v>
      </c>
      <c r="G4508">
        <v>2</v>
      </c>
      <c r="H4508">
        <v>3</v>
      </c>
      <c r="I4508">
        <v>3</v>
      </c>
      <c r="J4508" t="s">
        <v>8005</v>
      </c>
      <c r="K4508">
        <v>3</v>
      </c>
      <c r="L4508">
        <v>3.1890000000000001</v>
      </c>
      <c r="M4508">
        <v>0</v>
      </c>
      <c r="N4508" t="s">
        <v>10019</v>
      </c>
      <c r="O4508" t="str">
        <f>HYPERLINK("NoConsenso\marker_109_381719.png", "Ver Imagen")</f>
        <v>Ver Imagen</v>
      </c>
      <c r="P4508" t="str">
        <f>HYPERLINK("NE\A-495\A-495__61.png", "Ver Imagen")</f>
        <v>Ver Imagen</v>
      </c>
    </row>
    <row r="4509" spans="1:16" x14ac:dyDescent="0.25">
      <c r="A4509">
        <v>4125</v>
      </c>
      <c r="B4509" t="s">
        <v>8261</v>
      </c>
      <c r="C4509">
        <v>37.437460978700003</v>
      </c>
      <c r="D4509">
        <v>-7.08116429735</v>
      </c>
      <c r="E4509">
        <v>2</v>
      </c>
      <c r="F4509">
        <v>3</v>
      </c>
      <c r="G4509">
        <v>4</v>
      </c>
      <c r="H4509">
        <v>2</v>
      </c>
      <c r="I4509">
        <v>3</v>
      </c>
      <c r="J4509" t="s">
        <v>8005</v>
      </c>
      <c r="K4509">
        <v>3</v>
      </c>
      <c r="L4509">
        <v>2.8450000000000002</v>
      </c>
      <c r="M4509">
        <v>0</v>
      </c>
      <c r="N4509" t="s">
        <v>10019</v>
      </c>
      <c r="O4509" t="str">
        <f>HYPERLINK("NoConsenso\marker_227_381977.png", "Ver Imagen")</f>
        <v>Ver Imagen</v>
      </c>
      <c r="P4509" t="str">
        <f>HYPERLINK("NE\A-495\A-495__84.png", "Ver Imagen")</f>
        <v>Ver Imagen</v>
      </c>
    </row>
    <row r="4510" spans="1:16" x14ac:dyDescent="0.25">
      <c r="A4510">
        <v>4126</v>
      </c>
      <c r="B4510" t="s">
        <v>8263</v>
      </c>
      <c r="C4510">
        <v>37.435396175599998</v>
      </c>
      <c r="D4510">
        <v>-7.0763503562499999</v>
      </c>
      <c r="E4510">
        <v>2</v>
      </c>
      <c r="F4510">
        <v>3</v>
      </c>
      <c r="G4510">
        <v>1</v>
      </c>
      <c r="H4510">
        <v>2</v>
      </c>
      <c r="I4510">
        <v>2</v>
      </c>
      <c r="J4510" t="s">
        <v>8005</v>
      </c>
      <c r="K4510">
        <v>2</v>
      </c>
      <c r="L4510">
        <v>2.0649999999999999</v>
      </c>
      <c r="M4510">
        <v>0</v>
      </c>
      <c r="N4510" t="s">
        <v>10019</v>
      </c>
      <c r="O4510" t="str">
        <f>HYPERLINK("NoConsenso\marker_368_382240.png", "Ver Imagen")</f>
        <v>Ver Imagen</v>
      </c>
      <c r="P4510" t="str">
        <f>HYPERLINK("NE\A-495\A-495__107.png", "Ver Imagen")</f>
        <v>Ver Imagen</v>
      </c>
    </row>
    <row r="4511" spans="1:16" x14ac:dyDescent="0.25">
      <c r="A4511">
        <v>4127</v>
      </c>
      <c r="B4511" t="s">
        <v>8265</v>
      </c>
      <c r="C4511">
        <v>37.433716658999998</v>
      </c>
      <c r="D4511">
        <v>-7.0665875577600001</v>
      </c>
      <c r="E4511">
        <v>2</v>
      </c>
      <c r="F4511">
        <v>3</v>
      </c>
      <c r="G4511">
        <v>1</v>
      </c>
      <c r="H4511">
        <v>2</v>
      </c>
      <c r="I4511">
        <v>2</v>
      </c>
      <c r="J4511" t="s">
        <v>8005</v>
      </c>
      <c r="K4511">
        <v>2</v>
      </c>
      <c r="L4511">
        <v>1.679</v>
      </c>
      <c r="M4511">
        <v>0</v>
      </c>
      <c r="N4511" t="s">
        <v>10019</v>
      </c>
      <c r="O4511" t="str">
        <f>HYPERLINK("NoConsenso\marker_987_382654.png", "Ver Imagen")</f>
        <v>Ver Imagen</v>
      </c>
      <c r="P4511" t="str">
        <f>HYPERLINK("NE\A-495\A-495__147.png", "Ver Imagen")</f>
        <v>Ver Imagen</v>
      </c>
    </row>
    <row r="4512" spans="1:16" x14ac:dyDescent="0.25">
      <c r="A4512">
        <v>4128</v>
      </c>
      <c r="B4512" t="s">
        <v>8267</v>
      </c>
      <c r="C4512">
        <v>37.432400434400002</v>
      </c>
      <c r="D4512">
        <v>-7.0637231922600003</v>
      </c>
      <c r="E4512">
        <v>2</v>
      </c>
      <c r="F4512">
        <v>3</v>
      </c>
      <c r="G4512">
        <v>1</v>
      </c>
      <c r="H4512">
        <v>2</v>
      </c>
      <c r="I4512">
        <v>2</v>
      </c>
      <c r="J4512" t="s">
        <v>8005</v>
      </c>
      <c r="K4512">
        <v>2</v>
      </c>
      <c r="L4512">
        <v>2.411</v>
      </c>
      <c r="M4512">
        <v>0</v>
      </c>
      <c r="N4512" t="s">
        <v>10018</v>
      </c>
      <c r="O4512" t="str">
        <f>HYPERLINK("NoConsenso\marker_565_382803.png", "Ver Imagen")</f>
        <v>Ver Imagen</v>
      </c>
      <c r="P4512" t="str">
        <f>HYPERLINK("NE\A-495\A-495__160.png", "Ver Imagen")</f>
        <v>Ver Imagen</v>
      </c>
    </row>
    <row r="4513" spans="1:16" x14ac:dyDescent="0.25">
      <c r="A4513">
        <v>4130</v>
      </c>
      <c r="B4513" t="s">
        <v>8271</v>
      </c>
      <c r="C4513">
        <v>37.448614036099997</v>
      </c>
      <c r="D4513">
        <v>-7.1267925711700002</v>
      </c>
      <c r="E4513">
        <v>2</v>
      </c>
      <c r="F4513">
        <v>3</v>
      </c>
      <c r="G4513">
        <v>4</v>
      </c>
      <c r="H4513">
        <v>3</v>
      </c>
      <c r="I4513">
        <v>3</v>
      </c>
      <c r="J4513" t="s">
        <v>8005</v>
      </c>
      <c r="K4513">
        <v>3</v>
      </c>
      <c r="L4513">
        <v>3.08</v>
      </c>
      <c r="M4513">
        <v>0</v>
      </c>
      <c r="N4513" t="s">
        <v>10019</v>
      </c>
      <c r="O4513" t="str">
        <f>HYPERLINK("NoConsenso\marker_340_386296.png", "Ver Imagen")</f>
        <v>Ver Imagen</v>
      </c>
      <c r="P4513" t="str">
        <f>HYPERLINK("NE\A-495_1\A-495_1__3.png", "Ver Imagen")</f>
        <v>Ver Imagen</v>
      </c>
    </row>
    <row r="4514" spans="1:16" x14ac:dyDescent="0.25">
      <c r="A4514">
        <v>4132</v>
      </c>
      <c r="B4514" t="s">
        <v>8275</v>
      </c>
      <c r="C4514">
        <v>37.500971654399997</v>
      </c>
      <c r="D4514">
        <v>-7.2667677661000001</v>
      </c>
      <c r="E4514">
        <v>3</v>
      </c>
      <c r="F4514">
        <v>1</v>
      </c>
      <c r="G4514">
        <v>2</v>
      </c>
      <c r="H4514">
        <v>1</v>
      </c>
      <c r="I4514">
        <v>1</v>
      </c>
      <c r="J4514" t="s">
        <v>8005</v>
      </c>
      <c r="K4514">
        <v>1</v>
      </c>
      <c r="L4514">
        <v>1</v>
      </c>
      <c r="M4514">
        <v>0</v>
      </c>
      <c r="N4514" t="s">
        <v>10019</v>
      </c>
      <c r="O4514" t="str">
        <f>HYPERLINK("NoConsenso\marker_548_793416.png", "Ver Imagen")</f>
        <v>Ver Imagen</v>
      </c>
      <c r="P4514" t="str">
        <f>HYPERLINK("NO\A-499\A-499__111.png", "Ver Imagen")</f>
        <v>Ver Imagen</v>
      </c>
    </row>
    <row r="4515" spans="1:16" x14ac:dyDescent="0.25">
      <c r="A4515">
        <v>4133</v>
      </c>
      <c r="B4515" t="s">
        <v>8277</v>
      </c>
      <c r="C4515">
        <v>37.511183932599998</v>
      </c>
      <c r="D4515">
        <v>-7.2680265350899997</v>
      </c>
      <c r="E4515">
        <v>2</v>
      </c>
      <c r="F4515">
        <v>1</v>
      </c>
      <c r="G4515">
        <v>3</v>
      </c>
      <c r="H4515">
        <v>1</v>
      </c>
      <c r="I4515">
        <v>1</v>
      </c>
      <c r="J4515" t="s">
        <v>8005</v>
      </c>
      <c r="K4515">
        <v>1</v>
      </c>
      <c r="L4515">
        <v>1</v>
      </c>
      <c r="M4515">
        <v>0</v>
      </c>
      <c r="N4515" t="s">
        <v>10019</v>
      </c>
      <c r="O4515" t="str">
        <f>HYPERLINK("NoConsenso\marker_637_794689.png", "Ver Imagen")</f>
        <v>Ver Imagen</v>
      </c>
      <c r="P4515" t="str">
        <f>HYPERLINK("NO\A-499\A-499__165.png", "Ver Imagen")</f>
        <v>Ver Imagen</v>
      </c>
    </row>
    <row r="4516" spans="1:16" x14ac:dyDescent="0.25">
      <c r="A4516">
        <v>4134</v>
      </c>
      <c r="B4516" t="s">
        <v>8279</v>
      </c>
      <c r="C4516">
        <v>37.511409685799997</v>
      </c>
      <c r="D4516">
        <v>-7.26812424395</v>
      </c>
      <c r="E4516">
        <v>2</v>
      </c>
      <c r="F4516">
        <v>1</v>
      </c>
      <c r="G4516">
        <v>3</v>
      </c>
      <c r="H4516">
        <v>1</v>
      </c>
      <c r="I4516">
        <v>1</v>
      </c>
      <c r="J4516" t="s">
        <v>8005</v>
      </c>
      <c r="K4516">
        <v>1</v>
      </c>
      <c r="L4516">
        <v>1.1910000000000001</v>
      </c>
      <c r="M4516">
        <v>0</v>
      </c>
      <c r="N4516" t="s">
        <v>10019</v>
      </c>
      <c r="O4516" t="str">
        <f>HYPERLINK("NoConsenso\marker_271_794702.png", "Ver Imagen")</f>
        <v>Ver Imagen</v>
      </c>
      <c r="P4516" t="str">
        <f>HYPERLINK("NO\A-499\A-499__166.png", "Ver Imagen")</f>
        <v>Ver Imagen</v>
      </c>
    </row>
    <row r="4517" spans="1:16" x14ac:dyDescent="0.25">
      <c r="A4517">
        <v>4136</v>
      </c>
      <c r="B4517" t="s">
        <v>8283</v>
      </c>
      <c r="C4517">
        <v>37.516626494699999</v>
      </c>
      <c r="D4517">
        <v>-7.2665917660700003</v>
      </c>
      <c r="E4517">
        <v>2</v>
      </c>
      <c r="F4517">
        <v>1</v>
      </c>
      <c r="G4517">
        <v>3</v>
      </c>
      <c r="H4517">
        <v>1</v>
      </c>
      <c r="I4517">
        <v>1</v>
      </c>
      <c r="J4517" t="s">
        <v>8005</v>
      </c>
      <c r="K4517">
        <v>1</v>
      </c>
      <c r="L4517">
        <v>1.1339999999999999</v>
      </c>
      <c r="M4517">
        <v>0</v>
      </c>
      <c r="N4517" t="s">
        <v>10019</v>
      </c>
      <c r="O4517" t="str">
        <f>HYPERLINK("NoConsenso\marker_366_795913.png", "Ver Imagen")</f>
        <v>Ver Imagen</v>
      </c>
      <c r="P4517" t="str">
        <f>HYPERLINK("NO\A-499\A-499__196.png", "Ver Imagen")</f>
        <v>Ver Imagen</v>
      </c>
    </row>
    <row r="4518" spans="1:16" x14ac:dyDescent="0.25">
      <c r="A4518">
        <v>4138</v>
      </c>
      <c r="B4518" t="s">
        <v>8287</v>
      </c>
      <c r="C4518">
        <v>37.521933930099998</v>
      </c>
      <c r="D4518">
        <v>-7.2595968749499997</v>
      </c>
      <c r="E4518">
        <v>2</v>
      </c>
      <c r="F4518">
        <v>1</v>
      </c>
      <c r="G4518">
        <v>3</v>
      </c>
      <c r="H4518">
        <v>2</v>
      </c>
      <c r="I4518">
        <v>1</v>
      </c>
      <c r="J4518" t="s">
        <v>8052</v>
      </c>
      <c r="K4518">
        <v>1</v>
      </c>
      <c r="L4518">
        <v>1.214</v>
      </c>
      <c r="M4518">
        <v>0</v>
      </c>
      <c r="N4518" t="s">
        <v>10019</v>
      </c>
      <c r="O4518" t="str">
        <f>HYPERLINK("NoConsenso\marker_142_796711.png", "Ver Imagen")</f>
        <v>Ver Imagen</v>
      </c>
      <c r="P4518" t="str">
        <f>HYPERLINK("NO\A-499\A-499__235.png", "Ver Imagen")</f>
        <v>Ver Imagen</v>
      </c>
    </row>
    <row r="4519" spans="1:16" x14ac:dyDescent="0.25">
      <c r="A4519">
        <v>4139</v>
      </c>
      <c r="B4519" t="s">
        <v>8289</v>
      </c>
      <c r="C4519">
        <v>37.522895970900002</v>
      </c>
      <c r="D4519">
        <v>-7.2591996546699997</v>
      </c>
      <c r="E4519">
        <v>2</v>
      </c>
      <c r="F4519">
        <v>1</v>
      </c>
      <c r="G4519">
        <v>3</v>
      </c>
      <c r="H4519">
        <v>1</v>
      </c>
      <c r="I4519">
        <v>2</v>
      </c>
      <c r="J4519" t="s">
        <v>8005</v>
      </c>
      <c r="K4519">
        <v>2</v>
      </c>
      <c r="L4519">
        <v>2.0070000000000001</v>
      </c>
      <c r="M4519">
        <v>0</v>
      </c>
      <c r="N4519" t="s">
        <v>10019</v>
      </c>
      <c r="O4519" t="str">
        <f>HYPERLINK("NoConsenso\marker_711_796871.png", "Ver Imagen")</f>
        <v>Ver Imagen</v>
      </c>
      <c r="P4519" t="str">
        <f>HYPERLINK("NO\A-499\A-499__240.png", "Ver Imagen")</f>
        <v>Ver Imagen</v>
      </c>
    </row>
    <row r="4520" spans="1:16" x14ac:dyDescent="0.25">
      <c r="A4520">
        <v>4141</v>
      </c>
      <c r="B4520" t="s">
        <v>8293</v>
      </c>
      <c r="C4520">
        <v>37.199879401600001</v>
      </c>
      <c r="D4520">
        <v>-6.9853686467999996</v>
      </c>
      <c r="E4520">
        <v>2</v>
      </c>
      <c r="F4520">
        <v>3</v>
      </c>
      <c r="G4520">
        <v>4</v>
      </c>
      <c r="H4520">
        <v>2</v>
      </c>
      <c r="I4520">
        <v>3</v>
      </c>
      <c r="J4520" t="s">
        <v>8005</v>
      </c>
      <c r="K4520">
        <v>3</v>
      </c>
      <c r="L4520">
        <v>2.774</v>
      </c>
      <c r="M4520">
        <v>0</v>
      </c>
      <c r="N4520" t="s">
        <v>10019</v>
      </c>
      <c r="O4520" t="str">
        <f>HYPERLINK("NoConsenso\marker_957_371025.png", "Ver Imagen")</f>
        <v>Ver Imagen</v>
      </c>
      <c r="P4520" t="str">
        <f>HYPERLINK("SE\A-497\A-497__670.png", "Ver Imagen")</f>
        <v>Ver Imagen</v>
      </c>
    </row>
    <row r="4521" spans="1:16" x14ac:dyDescent="0.25">
      <c r="A4521">
        <v>4142</v>
      </c>
      <c r="B4521" t="s">
        <v>8295</v>
      </c>
      <c r="C4521">
        <v>37.2544758003</v>
      </c>
      <c r="D4521">
        <v>-7.0152293641099996</v>
      </c>
      <c r="E4521">
        <v>2</v>
      </c>
      <c r="F4521">
        <v>3</v>
      </c>
      <c r="G4521">
        <v>4</v>
      </c>
      <c r="H4521">
        <v>2</v>
      </c>
      <c r="I4521">
        <v>2</v>
      </c>
      <c r="J4521" t="s">
        <v>8005</v>
      </c>
      <c r="K4521">
        <v>2</v>
      </c>
      <c r="L4521">
        <v>1.9419999999999999</v>
      </c>
      <c r="M4521">
        <v>0</v>
      </c>
      <c r="N4521" t="s">
        <v>10019</v>
      </c>
      <c r="O4521" t="str">
        <f>HYPERLINK("NoConsenso\marker_114_319772.png", "Ver Imagen")</f>
        <v>Ver Imagen</v>
      </c>
      <c r="P4521" t="str">
        <f>HYPERLINK("SE\A-497_2C\A-497_2C__273.png", "Ver Imagen")</f>
        <v>Ver Imagen</v>
      </c>
    </row>
    <row r="4522" spans="1:16" x14ac:dyDescent="0.25">
      <c r="A4522">
        <v>4143</v>
      </c>
      <c r="B4522" t="s">
        <v>8297</v>
      </c>
      <c r="C4522">
        <v>37.204277131399998</v>
      </c>
      <c r="D4522">
        <v>-7.0118644655300004</v>
      </c>
      <c r="E4522">
        <v>2</v>
      </c>
      <c r="F4522">
        <v>4</v>
      </c>
      <c r="G4522">
        <v>4</v>
      </c>
      <c r="H4522">
        <v>3</v>
      </c>
      <c r="I4522">
        <v>4</v>
      </c>
      <c r="J4522" t="s">
        <v>8005</v>
      </c>
      <c r="K4522">
        <v>4</v>
      </c>
      <c r="L4522">
        <v>3.75</v>
      </c>
      <c r="M4522">
        <v>0</v>
      </c>
      <c r="N4522" t="s">
        <v>10019</v>
      </c>
      <c r="O4522" t="str">
        <f>HYPERLINK("NoConsenso\marker_835_372116.png", "Ver Imagen")</f>
        <v>Ver Imagen</v>
      </c>
      <c r="P4522" t="str">
        <f>HYPERLINK("SE\A-497\A-497__563.png", "Ver Imagen")</f>
        <v>Ver Imagen</v>
      </c>
    </row>
    <row r="4523" spans="1:16" x14ac:dyDescent="0.25">
      <c r="A4523">
        <v>4145</v>
      </c>
      <c r="B4523" t="s">
        <v>8301</v>
      </c>
      <c r="C4523">
        <v>37.265378294900003</v>
      </c>
      <c r="D4523">
        <v>-6.9961319801500004</v>
      </c>
      <c r="E4523">
        <v>2</v>
      </c>
      <c r="F4523">
        <v>3</v>
      </c>
      <c r="G4523">
        <v>1</v>
      </c>
      <c r="H4523">
        <v>2</v>
      </c>
      <c r="I4523">
        <v>1</v>
      </c>
      <c r="J4523" t="s">
        <v>8005</v>
      </c>
      <c r="K4523">
        <v>2</v>
      </c>
      <c r="L4523">
        <v>1.869</v>
      </c>
      <c r="M4523">
        <v>0</v>
      </c>
      <c r="N4523" t="s">
        <v>10019</v>
      </c>
      <c r="O4523" t="str">
        <f>HYPERLINK("NoConsenso\marker_912_379675.png", "Ver Imagen")</f>
        <v>Ver Imagen</v>
      </c>
      <c r="P4523" t="str">
        <f>HYPERLINK("SE\A-497\A-497__177.png", "Ver Imagen")</f>
        <v>Ver Imagen</v>
      </c>
    </row>
    <row r="4524" spans="1:16" x14ac:dyDescent="0.25">
      <c r="A4524">
        <v>4146</v>
      </c>
      <c r="B4524" t="s">
        <v>8303</v>
      </c>
      <c r="C4524">
        <v>37.265468287700003</v>
      </c>
      <c r="D4524">
        <v>-6.9956099278900004</v>
      </c>
      <c r="E4524">
        <v>2</v>
      </c>
      <c r="F4524">
        <v>3</v>
      </c>
      <c r="G4524">
        <v>1</v>
      </c>
      <c r="H4524">
        <v>2</v>
      </c>
      <c r="I4524">
        <v>2</v>
      </c>
      <c r="J4524" t="s">
        <v>8005</v>
      </c>
      <c r="K4524">
        <v>2</v>
      </c>
      <c r="L4524">
        <v>1.542</v>
      </c>
      <c r="M4524">
        <v>0</v>
      </c>
      <c r="N4524" t="s">
        <v>10019</v>
      </c>
      <c r="O4524" t="str">
        <f>HYPERLINK("NoConsenso\marker_893_379698.png", "Ver Imagen")</f>
        <v>Ver Imagen</v>
      </c>
      <c r="P4524" t="str">
        <f>HYPERLINK("SE\A-497\A-497__175.png", "Ver Imagen")</f>
        <v>Ver Imagen</v>
      </c>
    </row>
    <row r="4525" spans="1:16" x14ac:dyDescent="0.25">
      <c r="A4525">
        <v>4147</v>
      </c>
      <c r="B4525" t="s">
        <v>8305</v>
      </c>
      <c r="C4525">
        <v>37.446910134200003</v>
      </c>
      <c r="D4525">
        <v>-7.1304969805500003</v>
      </c>
      <c r="E4525">
        <v>2</v>
      </c>
      <c r="F4525">
        <v>4</v>
      </c>
      <c r="G4525">
        <v>3</v>
      </c>
      <c r="H4525">
        <v>3</v>
      </c>
      <c r="I4525">
        <v>3</v>
      </c>
      <c r="J4525" t="s">
        <v>8005</v>
      </c>
      <c r="K4525">
        <v>3</v>
      </c>
      <c r="L4525">
        <v>3.1619999999999999</v>
      </c>
      <c r="M4525">
        <v>0</v>
      </c>
      <c r="N4525" t="s">
        <v>10019</v>
      </c>
      <c r="O4525" t="str">
        <f>HYPERLINK("NoConsenso\marker_949_730502.png", "Ver Imagen")</f>
        <v>Ver Imagen</v>
      </c>
      <c r="P4525" t="str">
        <f>HYPERLINK("NE\A-490\A-490__17.png", "Ver Imagen")</f>
        <v>Ver Imagen</v>
      </c>
    </row>
    <row r="4526" spans="1:16" x14ac:dyDescent="0.25">
      <c r="A4526">
        <v>4148</v>
      </c>
      <c r="B4526" t="s">
        <v>8307</v>
      </c>
      <c r="C4526">
        <v>37.4466928366</v>
      </c>
      <c r="D4526">
        <v>-7.1314937501799998</v>
      </c>
      <c r="E4526">
        <v>2</v>
      </c>
      <c r="F4526">
        <v>4</v>
      </c>
      <c r="G4526">
        <v>3</v>
      </c>
      <c r="H4526">
        <v>3</v>
      </c>
      <c r="I4526">
        <v>3</v>
      </c>
      <c r="J4526" t="s">
        <v>8005</v>
      </c>
      <c r="K4526">
        <v>3</v>
      </c>
      <c r="L4526">
        <v>2.9020000000000001</v>
      </c>
      <c r="M4526">
        <v>0</v>
      </c>
      <c r="N4526" t="s">
        <v>10019</v>
      </c>
      <c r="O4526" t="str">
        <f>HYPERLINK("NoConsenso\marker_527_730685.png", "Ver Imagen")</f>
        <v>Ver Imagen</v>
      </c>
      <c r="P4526" t="str">
        <f>HYPERLINK("NE\A-490\A-490__21.png", "Ver Imagen")</f>
        <v>Ver Imagen</v>
      </c>
    </row>
    <row r="4527" spans="1:16" x14ac:dyDescent="0.25">
      <c r="A4527">
        <v>4149</v>
      </c>
      <c r="B4527" t="s">
        <v>8309</v>
      </c>
      <c r="C4527">
        <v>37.446286003700003</v>
      </c>
      <c r="D4527">
        <v>-7.1342511435300002</v>
      </c>
      <c r="E4527">
        <v>2</v>
      </c>
      <c r="F4527">
        <v>4</v>
      </c>
      <c r="G4527">
        <v>3</v>
      </c>
      <c r="H4527">
        <v>3</v>
      </c>
      <c r="I4527">
        <v>3</v>
      </c>
      <c r="J4527" t="s">
        <v>8005</v>
      </c>
      <c r="K4527">
        <v>3</v>
      </c>
      <c r="L4527">
        <v>2.5329999999999999</v>
      </c>
      <c r="M4527">
        <v>0</v>
      </c>
      <c r="N4527" t="s">
        <v>10019</v>
      </c>
      <c r="O4527" t="str">
        <f>HYPERLINK("NoConsenso\marker_517_730986.png", "Ver Imagen")</f>
        <v>Ver Imagen</v>
      </c>
      <c r="P4527" t="str">
        <f>HYPERLINK("NE\A-490\A-490__32.png", "Ver Imagen")</f>
        <v>Ver Imagen</v>
      </c>
    </row>
    <row r="4528" spans="1:16" x14ac:dyDescent="0.25">
      <c r="A4528">
        <v>4150</v>
      </c>
      <c r="B4528" t="s">
        <v>8311</v>
      </c>
      <c r="C4528">
        <v>37.446214092200002</v>
      </c>
      <c r="D4528">
        <v>-7.13496879759</v>
      </c>
      <c r="E4528">
        <v>2</v>
      </c>
      <c r="F4528">
        <v>4</v>
      </c>
      <c r="G4528">
        <v>3</v>
      </c>
      <c r="H4528">
        <v>3</v>
      </c>
      <c r="I4528">
        <v>3</v>
      </c>
      <c r="J4528" t="s">
        <v>8005</v>
      </c>
      <c r="K4528">
        <v>3</v>
      </c>
      <c r="L4528">
        <v>2.907</v>
      </c>
      <c r="M4528">
        <v>0</v>
      </c>
      <c r="N4528" t="s">
        <v>10019</v>
      </c>
      <c r="O4528" t="str">
        <f>HYPERLINK("NoConsenso\marker_681_731056.png", "Ver Imagen")</f>
        <v>Ver Imagen</v>
      </c>
      <c r="P4528" t="str">
        <f>HYPERLINK("NE\A-490\A-490__35.png", "Ver Imagen")</f>
        <v>Ver Imagen</v>
      </c>
    </row>
    <row r="4529" spans="1:16" x14ac:dyDescent="0.25">
      <c r="A4529">
        <v>4151</v>
      </c>
      <c r="B4529" t="s">
        <v>8313</v>
      </c>
      <c r="C4529">
        <v>37.446156840599997</v>
      </c>
      <c r="D4529">
        <v>-7.1357027156299999</v>
      </c>
      <c r="E4529">
        <v>2</v>
      </c>
      <c r="F4529">
        <v>4</v>
      </c>
      <c r="G4529">
        <v>3</v>
      </c>
      <c r="H4529">
        <v>3</v>
      </c>
      <c r="I4529">
        <v>3</v>
      </c>
      <c r="J4529" t="s">
        <v>8005</v>
      </c>
      <c r="K4529">
        <v>3</v>
      </c>
      <c r="L4529">
        <v>2.9039999999999999</v>
      </c>
      <c r="M4529">
        <v>0</v>
      </c>
      <c r="N4529" t="s">
        <v>10019</v>
      </c>
      <c r="O4529" t="str">
        <f>HYPERLINK("NoConsenso\marker_562_731121.png", "Ver Imagen")</f>
        <v>Ver Imagen</v>
      </c>
      <c r="P4529" t="str">
        <f>HYPERLINK("NE\A-490\A-490__38.png", "Ver Imagen")</f>
        <v>Ver Imagen</v>
      </c>
    </row>
    <row r="4530" spans="1:16" x14ac:dyDescent="0.25">
      <c r="A4530">
        <v>4152</v>
      </c>
      <c r="B4530" t="s">
        <v>8315</v>
      </c>
      <c r="C4530">
        <v>37.446793766200003</v>
      </c>
      <c r="D4530">
        <v>-7.1386126507099998</v>
      </c>
      <c r="E4530">
        <v>2</v>
      </c>
      <c r="F4530">
        <v>4</v>
      </c>
      <c r="G4530">
        <v>3</v>
      </c>
      <c r="H4530">
        <v>3</v>
      </c>
      <c r="I4530">
        <v>3</v>
      </c>
      <c r="J4530" t="s">
        <v>8005</v>
      </c>
      <c r="K4530">
        <v>3</v>
      </c>
      <c r="L4530">
        <v>2.677</v>
      </c>
      <c r="M4530">
        <v>0</v>
      </c>
      <c r="N4530" t="s">
        <v>10019</v>
      </c>
      <c r="O4530" t="str">
        <f>HYPERLINK("NoConsenso\marker_693_732289.png", "Ver Imagen")</f>
        <v>Ver Imagen</v>
      </c>
      <c r="P4530" t="str">
        <f>HYPERLINK("NE\A-490\A-490__50.png", "Ver Imagen")</f>
        <v>Ver Imagen</v>
      </c>
    </row>
    <row r="4531" spans="1:16" x14ac:dyDescent="0.25">
      <c r="A4531">
        <v>4153</v>
      </c>
      <c r="B4531" t="s">
        <v>8317</v>
      </c>
      <c r="C4531">
        <v>37.447462861600002</v>
      </c>
      <c r="D4531">
        <v>-7.1404376162999998</v>
      </c>
      <c r="E4531">
        <v>2</v>
      </c>
      <c r="F4531">
        <v>4</v>
      </c>
      <c r="G4531">
        <v>3</v>
      </c>
      <c r="H4531">
        <v>3</v>
      </c>
      <c r="I4531">
        <v>3</v>
      </c>
      <c r="J4531" t="s">
        <v>8005</v>
      </c>
      <c r="K4531">
        <v>3</v>
      </c>
      <c r="L4531">
        <v>2.794</v>
      </c>
      <c r="M4531">
        <v>0</v>
      </c>
      <c r="N4531" t="s">
        <v>10019</v>
      </c>
      <c r="O4531" t="str">
        <f>HYPERLINK("NoConsenso\marker_762_737851.png", "Ver Imagen")</f>
        <v>Ver Imagen</v>
      </c>
      <c r="P4531" t="str">
        <f>HYPERLINK("NE\A-490\A-490__58.png", "Ver Imagen")</f>
        <v>Ver Imagen</v>
      </c>
    </row>
    <row r="4532" spans="1:16" x14ac:dyDescent="0.25">
      <c r="A4532">
        <v>4154</v>
      </c>
      <c r="B4532" t="s">
        <v>8319</v>
      </c>
      <c r="C4532">
        <v>37.448198362399999</v>
      </c>
      <c r="D4532">
        <v>-7.1420158672499996</v>
      </c>
      <c r="E4532">
        <v>1</v>
      </c>
      <c r="F4532">
        <v>3</v>
      </c>
      <c r="G4532">
        <v>3</v>
      </c>
      <c r="H4532">
        <v>2</v>
      </c>
      <c r="I4532">
        <v>2</v>
      </c>
      <c r="J4532" t="s">
        <v>8005</v>
      </c>
      <c r="K4532">
        <v>2</v>
      </c>
      <c r="L4532">
        <v>1.857</v>
      </c>
      <c r="M4532">
        <v>0</v>
      </c>
      <c r="N4532" t="s">
        <v>10019</v>
      </c>
      <c r="O4532" t="str">
        <f>HYPERLINK("NoConsenso\marker_793_738024.png", "Ver Imagen")</f>
        <v>Ver Imagen</v>
      </c>
      <c r="P4532" t="str">
        <f>HYPERLINK("NE\A-490\A-490__65.png", "Ver Imagen")</f>
        <v>Ver Imagen</v>
      </c>
    </row>
    <row r="4533" spans="1:16" x14ac:dyDescent="0.25">
      <c r="A4533">
        <v>4156</v>
      </c>
      <c r="B4533" t="s">
        <v>8323</v>
      </c>
      <c r="C4533">
        <v>37.448698696599998</v>
      </c>
      <c r="D4533">
        <v>-7.1474507433100003</v>
      </c>
      <c r="E4533">
        <v>1</v>
      </c>
      <c r="F4533">
        <v>3</v>
      </c>
      <c r="G4533">
        <v>3</v>
      </c>
      <c r="H4533">
        <v>3</v>
      </c>
      <c r="I4533">
        <v>2</v>
      </c>
      <c r="J4533" t="s">
        <v>8005</v>
      </c>
      <c r="K4533">
        <v>3</v>
      </c>
      <c r="L4533">
        <v>2.8610000000000002</v>
      </c>
      <c r="M4533">
        <v>0</v>
      </c>
      <c r="N4533" t="s">
        <v>10019</v>
      </c>
      <c r="O4533" t="str">
        <f>HYPERLINK("NoConsenso\marker_916_738820.png", "Ver Imagen")</f>
        <v>Ver Imagen</v>
      </c>
      <c r="P4533" t="str">
        <f>HYPERLINK("NE\A-490\A-490__86.png", "Ver Imagen")</f>
        <v>Ver Imagen</v>
      </c>
    </row>
    <row r="4534" spans="1:16" x14ac:dyDescent="0.25">
      <c r="A4534">
        <v>4157</v>
      </c>
      <c r="B4534" t="s">
        <v>8325</v>
      </c>
      <c r="C4534">
        <v>37.448714188799997</v>
      </c>
      <c r="D4534">
        <v>-7.1477403632299996</v>
      </c>
      <c r="E4534">
        <v>2</v>
      </c>
      <c r="F4534">
        <v>4</v>
      </c>
      <c r="G4534">
        <v>3</v>
      </c>
      <c r="H4534">
        <v>3</v>
      </c>
      <c r="I4534">
        <v>3</v>
      </c>
      <c r="J4534" t="s">
        <v>8005</v>
      </c>
      <c r="K4534">
        <v>3</v>
      </c>
      <c r="L4534">
        <v>3.2559999999999998</v>
      </c>
      <c r="M4534">
        <v>0</v>
      </c>
      <c r="N4534" t="s">
        <v>10019</v>
      </c>
      <c r="O4534" t="str">
        <f>HYPERLINK("NoConsenso\marker_536_738935.png", "Ver Imagen")</f>
        <v>Ver Imagen</v>
      </c>
      <c r="P4534" t="str">
        <f>HYPERLINK("NE\A-490\A-490__88.png", "Ver Imagen")</f>
        <v>Ver Imagen</v>
      </c>
    </row>
    <row r="4535" spans="1:16" x14ac:dyDescent="0.25">
      <c r="A4535">
        <v>4158</v>
      </c>
      <c r="B4535" t="s">
        <v>8327</v>
      </c>
      <c r="C4535">
        <v>37.4491360978</v>
      </c>
      <c r="D4535">
        <v>-7.1504621454499997</v>
      </c>
      <c r="E4535">
        <v>1</v>
      </c>
      <c r="F4535">
        <v>3</v>
      </c>
      <c r="G4535">
        <v>3</v>
      </c>
      <c r="H4535">
        <v>2</v>
      </c>
      <c r="I4535">
        <v>2</v>
      </c>
      <c r="J4535" t="s">
        <v>8005</v>
      </c>
      <c r="K4535">
        <v>2</v>
      </c>
      <c r="L4535">
        <v>2.2040000000000002</v>
      </c>
      <c r="M4535">
        <v>0</v>
      </c>
      <c r="N4535" t="s">
        <v>10018</v>
      </c>
      <c r="O4535" t="str">
        <f>HYPERLINK("NoConsenso\marker_350_739146.png", "Ver Imagen")</f>
        <v>Ver Imagen</v>
      </c>
      <c r="P4535" t="str">
        <f>HYPERLINK("NE\A-490\A-490__99.png", "Ver Imagen")</f>
        <v>Ver Imagen</v>
      </c>
    </row>
    <row r="4536" spans="1:16" x14ac:dyDescent="0.25">
      <c r="A4536">
        <v>4159</v>
      </c>
      <c r="B4536" t="s">
        <v>8329</v>
      </c>
      <c r="C4536">
        <v>37.4503379079</v>
      </c>
      <c r="D4536">
        <v>-7.1528104066799996</v>
      </c>
      <c r="E4536">
        <v>2</v>
      </c>
      <c r="F4536">
        <v>4</v>
      </c>
      <c r="G4536">
        <v>3</v>
      </c>
      <c r="H4536">
        <v>3</v>
      </c>
      <c r="I4536">
        <v>3</v>
      </c>
      <c r="J4536" t="s">
        <v>8005</v>
      </c>
      <c r="K4536">
        <v>3</v>
      </c>
      <c r="L4536">
        <v>3.0550000000000002</v>
      </c>
      <c r="M4536">
        <v>0</v>
      </c>
      <c r="N4536" t="s">
        <v>10019</v>
      </c>
      <c r="O4536" t="str">
        <f>HYPERLINK("NoConsenso\marker_630_739762.png", "Ver Imagen")</f>
        <v>Ver Imagen</v>
      </c>
      <c r="P4536" t="str">
        <f>HYPERLINK("NE\A-490\A-490__110.png", "Ver Imagen")</f>
        <v>Ver Imagen</v>
      </c>
    </row>
    <row r="4537" spans="1:16" x14ac:dyDescent="0.25">
      <c r="A4537">
        <v>4160</v>
      </c>
      <c r="B4537" t="s">
        <v>8331</v>
      </c>
      <c r="C4537">
        <v>37.452874003200002</v>
      </c>
      <c r="D4537">
        <v>-7.1615481966800001</v>
      </c>
      <c r="E4537">
        <v>1</v>
      </c>
      <c r="F4537">
        <v>3</v>
      </c>
      <c r="G4537">
        <v>3</v>
      </c>
      <c r="H4537">
        <v>3</v>
      </c>
      <c r="I4537">
        <v>3</v>
      </c>
      <c r="J4537" t="s">
        <v>8005</v>
      </c>
      <c r="K4537">
        <v>3</v>
      </c>
      <c r="L4537">
        <v>3.0550000000000002</v>
      </c>
      <c r="M4537">
        <v>0</v>
      </c>
      <c r="N4537" t="s">
        <v>10019</v>
      </c>
      <c r="O4537" t="str">
        <f>HYPERLINK("NoConsenso\marker_821_740698.png", "Ver Imagen")</f>
        <v>Ver Imagen</v>
      </c>
      <c r="P4537" t="str">
        <f>HYPERLINK("NE\A-490\A-490__147.png", "Ver Imagen")</f>
        <v>Ver Imagen</v>
      </c>
    </row>
    <row r="4538" spans="1:16" x14ac:dyDescent="0.25">
      <c r="A4538">
        <v>4161</v>
      </c>
      <c r="B4538" t="s">
        <v>8333</v>
      </c>
      <c r="C4538">
        <v>37.453178223099997</v>
      </c>
      <c r="D4538">
        <v>-7.1621428603200004</v>
      </c>
      <c r="E4538">
        <v>2</v>
      </c>
      <c r="F4538">
        <v>4</v>
      </c>
      <c r="G4538">
        <v>3</v>
      </c>
      <c r="H4538">
        <v>3</v>
      </c>
      <c r="I4538">
        <v>3</v>
      </c>
      <c r="J4538" t="s">
        <v>8005</v>
      </c>
      <c r="K4538">
        <v>3</v>
      </c>
      <c r="L4538">
        <v>2.9159999999999999</v>
      </c>
      <c r="M4538">
        <v>0</v>
      </c>
      <c r="N4538" t="s">
        <v>10019</v>
      </c>
      <c r="O4538" t="str">
        <f>HYPERLINK("NoConsenso\marker_638_740755.png", "Ver Imagen")</f>
        <v>Ver Imagen</v>
      </c>
      <c r="P4538" t="str">
        <f>HYPERLINK("NE\A-490\A-490__150.png", "Ver Imagen")</f>
        <v>Ver Imagen</v>
      </c>
    </row>
    <row r="4539" spans="1:16" x14ac:dyDescent="0.25">
      <c r="A4539">
        <v>4162</v>
      </c>
      <c r="B4539" t="s">
        <v>8335</v>
      </c>
      <c r="C4539">
        <v>37.453511388199999</v>
      </c>
      <c r="D4539">
        <v>-7.1628079746399997</v>
      </c>
      <c r="E4539">
        <v>2</v>
      </c>
      <c r="F4539">
        <v>4</v>
      </c>
      <c r="G4539">
        <v>3</v>
      </c>
      <c r="H4539">
        <v>3</v>
      </c>
      <c r="I4539">
        <v>3</v>
      </c>
      <c r="J4539" t="s">
        <v>8005</v>
      </c>
      <c r="K4539">
        <v>3</v>
      </c>
      <c r="L4539">
        <v>2.589</v>
      </c>
      <c r="M4539">
        <v>0</v>
      </c>
      <c r="N4539" t="s">
        <v>10019</v>
      </c>
      <c r="O4539" t="str">
        <f>HYPERLINK("NoConsenso\marker_567_740841.png", "Ver Imagen")</f>
        <v>Ver Imagen</v>
      </c>
      <c r="P4539" t="str">
        <f>HYPERLINK("NE\A-490\A-490__153.png", "Ver Imagen")</f>
        <v>Ver Imagen</v>
      </c>
    </row>
    <row r="4540" spans="1:16" x14ac:dyDescent="0.25">
      <c r="A4540">
        <v>4164</v>
      </c>
      <c r="B4540" t="s">
        <v>8339</v>
      </c>
      <c r="C4540">
        <v>37.454047183599997</v>
      </c>
      <c r="D4540">
        <v>-7.1638608332000002</v>
      </c>
      <c r="E4540">
        <v>2</v>
      </c>
      <c r="F4540">
        <v>4</v>
      </c>
      <c r="G4540">
        <v>3</v>
      </c>
      <c r="H4540">
        <v>3</v>
      </c>
      <c r="I4540">
        <v>2</v>
      </c>
      <c r="J4540" t="s">
        <v>8005</v>
      </c>
      <c r="K4540">
        <v>3</v>
      </c>
      <c r="L4540">
        <v>3.1059999999999999</v>
      </c>
      <c r="M4540">
        <v>0</v>
      </c>
      <c r="N4540" t="s">
        <v>10019</v>
      </c>
      <c r="O4540" t="str">
        <f>HYPERLINK("NoConsenso\marker_370_741171.png", "Ver Imagen")</f>
        <v>Ver Imagen</v>
      </c>
      <c r="P4540" t="str">
        <f>HYPERLINK("NE\A-490\A-490__158.png", "Ver Imagen")</f>
        <v>Ver Imagen</v>
      </c>
    </row>
    <row r="4541" spans="1:16" x14ac:dyDescent="0.25">
      <c r="A4541">
        <v>4166</v>
      </c>
      <c r="B4541" t="s">
        <v>8343</v>
      </c>
      <c r="C4541">
        <v>37.455417689199997</v>
      </c>
      <c r="D4541">
        <v>-7.1660862948900004</v>
      </c>
      <c r="E4541">
        <v>1</v>
      </c>
      <c r="F4541">
        <v>3</v>
      </c>
      <c r="G4541">
        <v>3</v>
      </c>
      <c r="H4541">
        <v>3</v>
      </c>
      <c r="I4541">
        <v>2</v>
      </c>
      <c r="J4541" t="s">
        <v>8052</v>
      </c>
      <c r="K4541">
        <v>2</v>
      </c>
      <c r="L4541">
        <v>1.8839999999999999</v>
      </c>
      <c r="M4541">
        <v>0</v>
      </c>
      <c r="N4541" t="s">
        <v>10019</v>
      </c>
      <c r="O4541" t="str">
        <f>HYPERLINK("NoConsenso\marker_338_741459.png", "Ver Imagen")</f>
        <v>Ver Imagen</v>
      </c>
      <c r="P4541" t="str">
        <f>HYPERLINK("NE\A-490\A-490__169.png", "Ver Imagen")</f>
        <v>Ver Imagen</v>
      </c>
    </row>
    <row r="4542" spans="1:16" x14ac:dyDescent="0.25">
      <c r="A4542">
        <v>4167</v>
      </c>
      <c r="B4542" t="s">
        <v>8345</v>
      </c>
      <c r="C4542">
        <v>37.457554610400003</v>
      </c>
      <c r="D4542">
        <v>-7.1687186473900004</v>
      </c>
      <c r="E4542">
        <v>2</v>
      </c>
      <c r="F4542">
        <v>1</v>
      </c>
      <c r="G4542">
        <v>3</v>
      </c>
      <c r="H4542">
        <v>3</v>
      </c>
      <c r="I4542">
        <v>2</v>
      </c>
      <c r="J4542" t="s">
        <v>8005</v>
      </c>
      <c r="K4542">
        <v>2</v>
      </c>
      <c r="L4542">
        <v>1.5840000000000001</v>
      </c>
      <c r="M4542">
        <v>0</v>
      </c>
      <c r="N4542" t="s">
        <v>10019</v>
      </c>
      <c r="O4542" t="str">
        <f>HYPERLINK("NoConsenso\marker_102_741894.png", "Ver Imagen")</f>
        <v>Ver Imagen</v>
      </c>
      <c r="P4542" t="str">
        <f>HYPERLINK("NE\A-490\A-490__184.png", "Ver Imagen")</f>
        <v>Ver Imagen</v>
      </c>
    </row>
    <row r="4543" spans="1:16" x14ac:dyDescent="0.25">
      <c r="A4543">
        <v>4168</v>
      </c>
      <c r="B4543" t="s">
        <v>8347</v>
      </c>
      <c r="C4543">
        <v>37.457999747999999</v>
      </c>
      <c r="D4543">
        <v>-7.1692652689600003</v>
      </c>
      <c r="E4543">
        <v>2</v>
      </c>
      <c r="F4543">
        <v>4</v>
      </c>
      <c r="G4543">
        <v>3</v>
      </c>
      <c r="H4543">
        <v>3</v>
      </c>
      <c r="I4543">
        <v>2</v>
      </c>
      <c r="J4543" t="s">
        <v>8005</v>
      </c>
      <c r="K4543">
        <v>3</v>
      </c>
      <c r="L4543">
        <v>2.9</v>
      </c>
      <c r="M4543">
        <v>0</v>
      </c>
      <c r="N4543" t="s">
        <v>10019</v>
      </c>
      <c r="O4543" t="str">
        <f>HYPERLINK("NoConsenso\marker_844_741980.png", "Ver Imagen")</f>
        <v>Ver Imagen</v>
      </c>
      <c r="P4543" t="str">
        <f>HYPERLINK("NE\A-490\A-490__187.png", "Ver Imagen")</f>
        <v>Ver Imagen</v>
      </c>
    </row>
    <row r="4544" spans="1:16" x14ac:dyDescent="0.25">
      <c r="A4544">
        <v>4169</v>
      </c>
      <c r="B4544" t="s">
        <v>8349</v>
      </c>
      <c r="C4544">
        <v>37.460217577800002</v>
      </c>
      <c r="D4544">
        <v>-7.1721958272300004</v>
      </c>
      <c r="E4544">
        <v>1</v>
      </c>
      <c r="F4544">
        <v>2</v>
      </c>
      <c r="G4544">
        <v>3</v>
      </c>
      <c r="H4544">
        <v>2</v>
      </c>
      <c r="I4544">
        <v>2</v>
      </c>
      <c r="J4544" t="s">
        <v>8005</v>
      </c>
      <c r="K4544">
        <v>2</v>
      </c>
      <c r="L4544">
        <v>1.8759999999999999</v>
      </c>
      <c r="M4544">
        <v>0</v>
      </c>
      <c r="N4544" t="s">
        <v>10019</v>
      </c>
      <c r="O4544" t="str">
        <f>HYPERLINK("NoConsenso\marker_112_742441.png", "Ver Imagen")</f>
        <v>Ver Imagen</v>
      </c>
      <c r="P4544" t="str">
        <f>HYPERLINK("NE\A-490\A-490__203.png", "Ver Imagen")</f>
        <v>Ver Imagen</v>
      </c>
    </row>
    <row r="4545" spans="1:16" x14ac:dyDescent="0.25">
      <c r="A4545">
        <v>4171</v>
      </c>
      <c r="B4545" t="s">
        <v>8353</v>
      </c>
      <c r="C4545">
        <v>37.464105237699997</v>
      </c>
      <c r="D4545">
        <v>-7.1787134250099998</v>
      </c>
      <c r="E4545">
        <v>2</v>
      </c>
      <c r="F4545">
        <v>4</v>
      </c>
      <c r="G4545">
        <v>3</v>
      </c>
      <c r="H4545">
        <v>3</v>
      </c>
      <c r="I4545">
        <v>3</v>
      </c>
      <c r="J4545" t="s">
        <v>8005</v>
      </c>
      <c r="K4545">
        <v>3</v>
      </c>
      <c r="L4545">
        <v>2.6949999999999998</v>
      </c>
      <c r="M4545">
        <v>0</v>
      </c>
      <c r="N4545" t="s">
        <v>10019</v>
      </c>
      <c r="O4545" t="str">
        <f>HYPERLINK("NoConsenso\marker_840_743985.png", "Ver Imagen")</f>
        <v>Ver Imagen</v>
      </c>
      <c r="P4545" t="str">
        <f>HYPERLINK("NE\A-490\A-490__235.png", "Ver Imagen")</f>
        <v>Ver Imagen</v>
      </c>
    </row>
    <row r="4546" spans="1:16" x14ac:dyDescent="0.25">
      <c r="A4546">
        <v>4172</v>
      </c>
      <c r="B4546" t="s">
        <v>8355</v>
      </c>
      <c r="C4546">
        <v>37.467297438099997</v>
      </c>
      <c r="D4546">
        <v>-7.1846628726499997</v>
      </c>
      <c r="E4546">
        <v>1</v>
      </c>
      <c r="F4546">
        <v>2</v>
      </c>
      <c r="G4546">
        <v>3</v>
      </c>
      <c r="H4546">
        <v>2</v>
      </c>
      <c r="I4546">
        <v>1</v>
      </c>
      <c r="J4546" t="s">
        <v>8005</v>
      </c>
      <c r="K4546">
        <v>2</v>
      </c>
      <c r="L4546">
        <v>1.851</v>
      </c>
      <c r="M4546">
        <v>0</v>
      </c>
      <c r="N4546" t="s">
        <v>10019</v>
      </c>
      <c r="O4546" t="str">
        <f>HYPERLINK("NoConsenso\marker_738_749769.png", "Ver Imagen")</f>
        <v>Ver Imagen</v>
      </c>
      <c r="P4546" t="str">
        <f>HYPERLINK("NE\A-490\A-490__263.png", "Ver Imagen")</f>
        <v>Ver Imagen</v>
      </c>
    </row>
    <row r="4547" spans="1:16" x14ac:dyDescent="0.25">
      <c r="A4547">
        <v>4172</v>
      </c>
      <c r="B4547" t="s">
        <v>8355</v>
      </c>
      <c r="C4547">
        <v>37.467297438099997</v>
      </c>
      <c r="D4547">
        <v>-7.1846628726499997</v>
      </c>
      <c r="E4547">
        <v>1</v>
      </c>
      <c r="F4547">
        <v>2</v>
      </c>
      <c r="G4547">
        <v>3</v>
      </c>
      <c r="H4547">
        <v>2</v>
      </c>
      <c r="I4547">
        <v>1</v>
      </c>
      <c r="J4547" t="s">
        <v>8005</v>
      </c>
      <c r="K4547">
        <v>2</v>
      </c>
      <c r="L4547">
        <v>2.0019999999999998</v>
      </c>
      <c r="M4547">
        <v>0</v>
      </c>
      <c r="N4547" t="s">
        <v>10019</v>
      </c>
      <c r="O4547" t="str">
        <f>HYPERLINK("NoConsenso\marker_738_749769.png", "Ver Imagen")</f>
        <v>Ver Imagen</v>
      </c>
      <c r="P4547" t="str">
        <f>HYPERLINK("NO\A-490\A-490__263.png", "Ver Imagen")</f>
        <v>Ver Imagen</v>
      </c>
    </row>
    <row r="4548" spans="1:16" x14ac:dyDescent="0.25">
      <c r="A4548">
        <v>4173</v>
      </c>
      <c r="B4548" t="s">
        <v>8357</v>
      </c>
      <c r="C4548">
        <v>37.449703218000003</v>
      </c>
      <c r="D4548">
        <v>-7.15177574362</v>
      </c>
      <c r="E4548">
        <v>3</v>
      </c>
      <c r="F4548">
        <v>3</v>
      </c>
      <c r="G4548">
        <v>5</v>
      </c>
      <c r="H4548">
        <v>3</v>
      </c>
      <c r="I4548">
        <v>3</v>
      </c>
      <c r="J4548" t="s">
        <v>8005</v>
      </c>
      <c r="K4548">
        <v>3</v>
      </c>
      <c r="L4548">
        <v>3.286</v>
      </c>
      <c r="M4548">
        <v>0</v>
      </c>
      <c r="N4548" t="s">
        <v>10017</v>
      </c>
      <c r="O4548" t="str">
        <f>HYPERLINK("NoConsenso\marker_720_739654.png", "Ver Imagen")</f>
        <v>Ver Imagen</v>
      </c>
      <c r="P4548" t="str">
        <f>HYPERLINK("NE\A-490\A-490__105.png", "Ver Imagen")</f>
        <v>Ver Imagen</v>
      </c>
    </row>
    <row r="4549" spans="1:16" x14ac:dyDescent="0.25">
      <c r="A4549">
        <v>4174</v>
      </c>
      <c r="B4549" t="s">
        <v>8359</v>
      </c>
      <c r="C4549">
        <v>37.476502255100002</v>
      </c>
      <c r="D4549">
        <v>-7.2022304877299996</v>
      </c>
      <c r="E4549">
        <v>1</v>
      </c>
      <c r="F4549">
        <v>3</v>
      </c>
      <c r="G4549">
        <v>3</v>
      </c>
      <c r="H4549">
        <v>2</v>
      </c>
      <c r="I4549">
        <v>1</v>
      </c>
      <c r="J4549" t="s">
        <v>8005</v>
      </c>
      <c r="K4549">
        <v>2</v>
      </c>
      <c r="L4549">
        <v>1.7130000000000001</v>
      </c>
      <c r="M4549">
        <v>0</v>
      </c>
      <c r="N4549" t="s">
        <v>10018</v>
      </c>
      <c r="O4549" t="str">
        <f>HYPERLINK("NoConsenso\marker_777_751614.png", "Ver Imagen")</f>
        <v>Ver Imagen</v>
      </c>
      <c r="P4549" t="str">
        <f>HYPERLINK("NE\A-490\A-490__346.png", "Ver Imagen")</f>
        <v>Ver Imagen</v>
      </c>
    </row>
    <row r="4550" spans="1:16" x14ac:dyDescent="0.25">
      <c r="A4550">
        <v>4174</v>
      </c>
      <c r="B4550" t="s">
        <v>8359</v>
      </c>
      <c r="C4550">
        <v>37.476502255100002</v>
      </c>
      <c r="D4550">
        <v>-7.2022304877299996</v>
      </c>
      <c r="E4550">
        <v>1</v>
      </c>
      <c r="F4550">
        <v>3</v>
      </c>
      <c r="G4550">
        <v>3</v>
      </c>
      <c r="H4550">
        <v>2</v>
      </c>
      <c r="I4550">
        <v>1</v>
      </c>
      <c r="J4550" t="s">
        <v>8005</v>
      </c>
      <c r="K4550">
        <v>2</v>
      </c>
      <c r="L4550">
        <v>2.238</v>
      </c>
      <c r="M4550">
        <v>0</v>
      </c>
      <c r="N4550" t="s">
        <v>10018</v>
      </c>
      <c r="O4550" t="str">
        <f>HYPERLINK("NoConsenso\marker_777_751614.png", "Ver Imagen")</f>
        <v>Ver Imagen</v>
      </c>
      <c r="P4550" t="str">
        <f>HYPERLINK("NO\A-490\A-490__346.png", "Ver Imagen")</f>
        <v>Ver Imagen</v>
      </c>
    </row>
    <row r="4551" spans="1:16" x14ac:dyDescent="0.25">
      <c r="A4551">
        <v>4175</v>
      </c>
      <c r="B4551" t="s">
        <v>8361</v>
      </c>
      <c r="C4551">
        <v>37.477393377200002</v>
      </c>
      <c r="D4551">
        <v>-7.2043045965500001</v>
      </c>
      <c r="E4551">
        <v>1</v>
      </c>
      <c r="F4551">
        <v>2</v>
      </c>
      <c r="G4551">
        <v>3</v>
      </c>
      <c r="H4551">
        <v>2</v>
      </c>
      <c r="I4551">
        <v>1</v>
      </c>
      <c r="J4551" t="s">
        <v>8005</v>
      </c>
      <c r="K4551">
        <v>2</v>
      </c>
      <c r="L4551">
        <v>2.3820000000000001</v>
      </c>
      <c r="M4551">
        <v>0</v>
      </c>
      <c r="N4551" t="s">
        <v>10017</v>
      </c>
      <c r="O4551" t="str">
        <f>HYPERLINK("NoConsenso\marker_190_751773.png", "Ver Imagen")</f>
        <v>Ver Imagen</v>
      </c>
      <c r="P4551" t="str">
        <f>HYPERLINK("NE\A-490\A-490__355.png", "Ver Imagen")</f>
        <v>Ver Imagen</v>
      </c>
    </row>
    <row r="4552" spans="1:16" x14ac:dyDescent="0.25">
      <c r="A4552">
        <v>4175</v>
      </c>
      <c r="B4552" t="s">
        <v>8361</v>
      </c>
      <c r="C4552">
        <v>37.477393377200002</v>
      </c>
      <c r="D4552">
        <v>-7.2043045965500001</v>
      </c>
      <c r="E4552">
        <v>1</v>
      </c>
      <c r="F4552">
        <v>2</v>
      </c>
      <c r="G4552">
        <v>3</v>
      </c>
      <c r="H4552">
        <v>2</v>
      </c>
      <c r="I4552">
        <v>1</v>
      </c>
      <c r="J4552" t="s">
        <v>8005</v>
      </c>
      <c r="K4552">
        <v>2</v>
      </c>
      <c r="L4552">
        <v>2.2090000000000001</v>
      </c>
      <c r="M4552">
        <v>0</v>
      </c>
      <c r="N4552" t="s">
        <v>10017</v>
      </c>
      <c r="O4552" t="str">
        <f>HYPERLINK("NoConsenso\marker_190_751773.png", "Ver Imagen")</f>
        <v>Ver Imagen</v>
      </c>
      <c r="P4552" t="str">
        <f>HYPERLINK("NO\A-490\A-490__355.png", "Ver Imagen")</f>
        <v>Ver Imagen</v>
      </c>
    </row>
    <row r="4553" spans="1:16" x14ac:dyDescent="0.25">
      <c r="A4553">
        <v>4176</v>
      </c>
      <c r="B4553" t="s">
        <v>8363</v>
      </c>
      <c r="C4553">
        <v>37.477469239900003</v>
      </c>
      <c r="D4553">
        <v>-7.2044783166100004</v>
      </c>
      <c r="E4553">
        <v>1</v>
      </c>
      <c r="F4553">
        <v>3</v>
      </c>
      <c r="G4553">
        <v>3</v>
      </c>
      <c r="H4553">
        <v>2</v>
      </c>
      <c r="I4553">
        <v>2</v>
      </c>
      <c r="J4553" t="s">
        <v>8005</v>
      </c>
      <c r="K4553">
        <v>2</v>
      </c>
      <c r="L4553">
        <v>1.859</v>
      </c>
      <c r="M4553">
        <v>0</v>
      </c>
      <c r="N4553" t="s">
        <v>10017</v>
      </c>
      <c r="O4553" t="str">
        <f>HYPERLINK("NoConsenso\marker_158_751789.png", "Ver Imagen")</f>
        <v>Ver Imagen</v>
      </c>
      <c r="P4553" t="str">
        <f>HYPERLINK("NE\A-490\A-490__356.png", "Ver Imagen")</f>
        <v>Ver Imagen</v>
      </c>
    </row>
    <row r="4554" spans="1:16" x14ac:dyDescent="0.25">
      <c r="A4554">
        <v>4176</v>
      </c>
      <c r="B4554" t="s">
        <v>8363</v>
      </c>
      <c r="C4554">
        <v>37.477469239900003</v>
      </c>
      <c r="D4554">
        <v>-7.2044783166100004</v>
      </c>
      <c r="E4554">
        <v>1</v>
      </c>
      <c r="F4554">
        <v>3</v>
      </c>
      <c r="G4554">
        <v>3</v>
      </c>
      <c r="H4554">
        <v>2</v>
      </c>
      <c r="I4554">
        <v>2</v>
      </c>
      <c r="J4554" t="s">
        <v>8005</v>
      </c>
      <c r="K4554">
        <v>2</v>
      </c>
      <c r="L4554">
        <v>2.2090000000000001</v>
      </c>
      <c r="M4554">
        <v>0</v>
      </c>
      <c r="N4554" t="s">
        <v>10017</v>
      </c>
      <c r="O4554" t="str">
        <f>HYPERLINK("NoConsenso\marker_158_751789.png", "Ver Imagen")</f>
        <v>Ver Imagen</v>
      </c>
      <c r="P4554" t="str">
        <f>HYPERLINK("NO\A-490\A-490__356.png", "Ver Imagen")</f>
        <v>Ver Imagen</v>
      </c>
    </row>
    <row r="4555" spans="1:16" x14ac:dyDescent="0.25">
      <c r="A4555">
        <v>4177</v>
      </c>
      <c r="B4555" t="s">
        <v>8365</v>
      </c>
      <c r="C4555">
        <v>37.4775653863</v>
      </c>
      <c r="D4555">
        <v>-7.2046976315400002</v>
      </c>
      <c r="E4555">
        <v>1</v>
      </c>
      <c r="F4555">
        <v>3</v>
      </c>
      <c r="G4555">
        <v>3</v>
      </c>
      <c r="H4555">
        <v>2</v>
      </c>
      <c r="I4555">
        <v>1</v>
      </c>
      <c r="J4555" t="s">
        <v>8005</v>
      </c>
      <c r="K4555">
        <v>2</v>
      </c>
      <c r="L4555">
        <v>2.0289999999999999</v>
      </c>
      <c r="M4555">
        <v>0</v>
      </c>
      <c r="N4555" t="s">
        <v>10019</v>
      </c>
      <c r="O4555" t="str">
        <f>HYPERLINK("NoConsenso\marker_355_751809.png", "Ver Imagen")</f>
        <v>Ver Imagen</v>
      </c>
      <c r="P4555" t="str">
        <f>HYPERLINK("NO\A-490\A-490__357.png", "Ver Imagen")</f>
        <v>Ver Imagen</v>
      </c>
    </row>
    <row r="4556" spans="1:16" x14ac:dyDescent="0.25">
      <c r="A4556">
        <v>4178</v>
      </c>
      <c r="B4556" t="s">
        <v>8367</v>
      </c>
      <c r="C4556">
        <v>37.478329623299999</v>
      </c>
      <c r="D4556">
        <v>-7.2064745667299999</v>
      </c>
      <c r="E4556">
        <v>1</v>
      </c>
      <c r="F4556">
        <v>3</v>
      </c>
      <c r="G4556">
        <v>3</v>
      </c>
      <c r="H4556">
        <v>2</v>
      </c>
      <c r="I4556">
        <v>2</v>
      </c>
      <c r="J4556" t="s">
        <v>8005</v>
      </c>
      <c r="K4556">
        <v>2</v>
      </c>
      <c r="L4556">
        <v>2.3980000000000001</v>
      </c>
      <c r="M4556">
        <v>0</v>
      </c>
      <c r="N4556" t="s">
        <v>10019</v>
      </c>
      <c r="O4556" t="str">
        <f>HYPERLINK("NoConsenso\marker_939_751997.png", "Ver Imagen")</f>
        <v>Ver Imagen</v>
      </c>
      <c r="P4556" t="str">
        <f>HYPERLINK("NO\A-490\A-490__365.png", "Ver Imagen")</f>
        <v>Ver Imagen</v>
      </c>
    </row>
    <row r="4557" spans="1:16" x14ac:dyDescent="0.25">
      <c r="A4557">
        <v>4179</v>
      </c>
      <c r="B4557" t="s">
        <v>8369</v>
      </c>
      <c r="C4557">
        <v>37.4790074386</v>
      </c>
      <c r="D4557">
        <v>-7.2080444133099997</v>
      </c>
      <c r="E4557">
        <v>1</v>
      </c>
      <c r="F4557">
        <v>3</v>
      </c>
      <c r="G4557">
        <v>3</v>
      </c>
      <c r="H4557">
        <v>2</v>
      </c>
      <c r="I4557">
        <v>2</v>
      </c>
      <c r="J4557" t="s">
        <v>8005</v>
      </c>
      <c r="K4557">
        <v>2</v>
      </c>
      <c r="L4557">
        <v>2.0329999999999999</v>
      </c>
      <c r="M4557">
        <v>0</v>
      </c>
      <c r="N4557" t="s">
        <v>10018</v>
      </c>
      <c r="O4557" t="str">
        <f>HYPERLINK("NoConsenso\marker_842_752141.png", "Ver Imagen")</f>
        <v>Ver Imagen</v>
      </c>
      <c r="P4557" t="str">
        <f>HYPERLINK("NO\A-490\A-490__372.png", "Ver Imagen")</f>
        <v>Ver Imagen</v>
      </c>
    </row>
    <row r="4558" spans="1:16" x14ac:dyDescent="0.25">
      <c r="A4558">
        <v>4180</v>
      </c>
      <c r="B4558" t="s">
        <v>8371</v>
      </c>
      <c r="C4558">
        <v>37.479296839600003</v>
      </c>
      <c r="D4558">
        <v>-7.20875237993</v>
      </c>
      <c r="E4558">
        <v>1</v>
      </c>
      <c r="F4558">
        <v>3</v>
      </c>
      <c r="G4558">
        <v>3</v>
      </c>
      <c r="H4558">
        <v>2</v>
      </c>
      <c r="I4558">
        <v>2</v>
      </c>
      <c r="J4558" t="s">
        <v>8005</v>
      </c>
      <c r="K4558">
        <v>2</v>
      </c>
      <c r="L4558">
        <v>2.1619999999999999</v>
      </c>
      <c r="M4558">
        <v>0</v>
      </c>
      <c r="N4558" t="s">
        <v>10019</v>
      </c>
      <c r="O4558" t="str">
        <f>HYPERLINK("NoConsenso\marker_389_752208.png", "Ver Imagen")</f>
        <v>Ver Imagen</v>
      </c>
      <c r="P4558" t="str">
        <f>HYPERLINK("NO\A-490\A-490__375.png", "Ver Imagen")</f>
        <v>Ver Imagen</v>
      </c>
    </row>
    <row r="4559" spans="1:16" x14ac:dyDescent="0.25">
      <c r="A4559">
        <v>4181</v>
      </c>
      <c r="B4559" t="s">
        <v>8373</v>
      </c>
      <c r="C4559">
        <v>37.481139063400001</v>
      </c>
      <c r="D4559">
        <v>-7.2132299237600002</v>
      </c>
      <c r="E4559">
        <v>1</v>
      </c>
      <c r="F4559">
        <v>3</v>
      </c>
      <c r="G4559">
        <v>3</v>
      </c>
      <c r="H4559">
        <v>1</v>
      </c>
      <c r="I4559">
        <v>2</v>
      </c>
      <c r="J4559" t="s">
        <v>8005</v>
      </c>
      <c r="K4559">
        <v>2</v>
      </c>
      <c r="L4559">
        <v>1.748</v>
      </c>
      <c r="M4559">
        <v>0</v>
      </c>
      <c r="N4559" t="s">
        <v>10019</v>
      </c>
      <c r="O4559" t="str">
        <f>HYPERLINK("NoConsenso\marker_290_752909.png", "Ver Imagen")</f>
        <v>Ver Imagen</v>
      </c>
      <c r="P4559" t="str">
        <f>HYPERLINK("NO\A-490\A-490__395.png", "Ver Imagen")</f>
        <v>Ver Imagen</v>
      </c>
    </row>
    <row r="4560" spans="1:16" x14ac:dyDescent="0.25">
      <c r="A4560">
        <v>4182</v>
      </c>
      <c r="B4560" t="s">
        <v>8375</v>
      </c>
      <c r="C4560">
        <v>37.481295563400003</v>
      </c>
      <c r="D4560">
        <v>-7.2136601086500001</v>
      </c>
      <c r="E4560">
        <v>1</v>
      </c>
      <c r="F4560">
        <v>2</v>
      </c>
      <c r="G4560">
        <v>3</v>
      </c>
      <c r="H4560">
        <v>2</v>
      </c>
      <c r="I4560">
        <v>2</v>
      </c>
      <c r="J4560" t="s">
        <v>8005</v>
      </c>
      <c r="K4560">
        <v>2</v>
      </c>
      <c r="L4560">
        <v>2.1840000000000002</v>
      </c>
      <c r="M4560">
        <v>0</v>
      </c>
      <c r="N4560" t="s">
        <v>10019</v>
      </c>
      <c r="O4560" t="str">
        <f>HYPERLINK("NoConsenso\marker_732_752962.png", "Ver Imagen")</f>
        <v>Ver Imagen</v>
      </c>
      <c r="P4560" t="str">
        <f>HYPERLINK("NO\A-490\A-490__397.png", "Ver Imagen")</f>
        <v>Ver Imagen</v>
      </c>
    </row>
    <row r="4561" spans="1:16" x14ac:dyDescent="0.25">
      <c r="A4561">
        <v>4183</v>
      </c>
      <c r="B4561" t="s">
        <v>8377</v>
      </c>
      <c r="C4561">
        <v>37.4814856757</v>
      </c>
      <c r="D4561">
        <v>-7.2141733538799997</v>
      </c>
      <c r="E4561">
        <v>1</v>
      </c>
      <c r="F4561">
        <v>3</v>
      </c>
      <c r="G4561">
        <v>3</v>
      </c>
      <c r="H4561">
        <v>2</v>
      </c>
      <c r="I4561">
        <v>2</v>
      </c>
      <c r="J4561" t="s">
        <v>8005</v>
      </c>
      <c r="K4561">
        <v>2</v>
      </c>
      <c r="L4561">
        <v>2.1339999999999999</v>
      </c>
      <c r="M4561">
        <v>0</v>
      </c>
      <c r="N4561" t="s">
        <v>10019</v>
      </c>
      <c r="O4561" t="str">
        <f>HYPERLINK("NoConsenso\marker_514_753000.png", "Ver Imagen")</f>
        <v>Ver Imagen</v>
      </c>
      <c r="P4561" t="str">
        <f>HYPERLINK("NO\A-490\A-490__399.png", "Ver Imagen")</f>
        <v>Ver Imagen</v>
      </c>
    </row>
    <row r="4562" spans="1:16" x14ac:dyDescent="0.25">
      <c r="A4562">
        <v>4184</v>
      </c>
      <c r="B4562" t="s">
        <v>8379</v>
      </c>
      <c r="C4562">
        <v>37.4823637115</v>
      </c>
      <c r="D4562">
        <v>-7.2169523132000002</v>
      </c>
      <c r="E4562">
        <v>1</v>
      </c>
      <c r="F4562">
        <v>2</v>
      </c>
      <c r="G4562">
        <v>3</v>
      </c>
      <c r="H4562">
        <v>1</v>
      </c>
      <c r="I4562">
        <v>2</v>
      </c>
      <c r="J4562" t="s">
        <v>8005</v>
      </c>
      <c r="K4562">
        <v>2</v>
      </c>
      <c r="L4562">
        <v>1.8740000000000001</v>
      </c>
      <c r="M4562">
        <v>0</v>
      </c>
      <c r="N4562" t="s">
        <v>10019</v>
      </c>
      <c r="O4562" t="str">
        <f>HYPERLINK("NoConsenso\marker_975_754140.png", "Ver Imagen")</f>
        <v>Ver Imagen</v>
      </c>
      <c r="P4562" t="str">
        <f>HYPERLINK("NO\A-490\A-490__411.png", "Ver Imagen")</f>
        <v>Ver Imagen</v>
      </c>
    </row>
    <row r="4563" spans="1:16" x14ac:dyDescent="0.25">
      <c r="A4563">
        <v>4185</v>
      </c>
      <c r="B4563" t="s">
        <v>8381</v>
      </c>
      <c r="C4563">
        <v>37.482463265600003</v>
      </c>
      <c r="D4563">
        <v>-7.2174480144600004</v>
      </c>
      <c r="E4563">
        <v>1</v>
      </c>
      <c r="F4563">
        <v>2</v>
      </c>
      <c r="G4563">
        <v>3</v>
      </c>
      <c r="H4563">
        <v>1</v>
      </c>
      <c r="I4563">
        <v>1</v>
      </c>
      <c r="J4563" t="s">
        <v>8005</v>
      </c>
      <c r="K4563">
        <v>1</v>
      </c>
      <c r="L4563">
        <v>1.377</v>
      </c>
      <c r="M4563">
        <v>0</v>
      </c>
      <c r="N4563" t="s">
        <v>10019</v>
      </c>
      <c r="O4563" t="str">
        <f>HYPERLINK("NoConsenso\marker_369_754176.png", "Ver Imagen")</f>
        <v>Ver Imagen</v>
      </c>
      <c r="P4563" t="str">
        <f>HYPERLINK("NO\A-490\A-490__413.png", "Ver Imagen")</f>
        <v>Ver Imagen</v>
      </c>
    </row>
    <row r="4564" spans="1:16" x14ac:dyDescent="0.25">
      <c r="A4564">
        <v>4186</v>
      </c>
      <c r="B4564" t="s">
        <v>8383</v>
      </c>
      <c r="C4564">
        <v>37.483158641700001</v>
      </c>
      <c r="D4564">
        <v>-7.2209799865199997</v>
      </c>
      <c r="E4564">
        <v>1</v>
      </c>
      <c r="F4564">
        <v>2</v>
      </c>
      <c r="G4564">
        <v>3</v>
      </c>
      <c r="H4564">
        <v>2</v>
      </c>
      <c r="I4564">
        <v>2</v>
      </c>
      <c r="J4564" t="s">
        <v>8005</v>
      </c>
      <c r="K4564">
        <v>2</v>
      </c>
      <c r="L4564">
        <v>1.8220000000000001</v>
      </c>
      <c r="M4564">
        <v>0</v>
      </c>
      <c r="N4564" t="s">
        <v>10019</v>
      </c>
      <c r="O4564" t="str">
        <f>HYPERLINK("NoConsenso\marker_932_754411.png", "Ver Imagen")</f>
        <v>Ver Imagen</v>
      </c>
      <c r="P4564" t="str">
        <f>HYPERLINK("NO\A-490\A-490__427.png", "Ver Imagen")</f>
        <v>Ver Imagen</v>
      </c>
    </row>
    <row r="4565" spans="1:16" x14ac:dyDescent="0.25">
      <c r="A4565">
        <v>4187</v>
      </c>
      <c r="B4565" t="s">
        <v>8385</v>
      </c>
      <c r="C4565">
        <v>37.487261899700002</v>
      </c>
      <c r="D4565">
        <v>-7.2434499822599996</v>
      </c>
      <c r="E4565">
        <v>1</v>
      </c>
      <c r="F4565">
        <v>3</v>
      </c>
      <c r="G4565">
        <v>3</v>
      </c>
      <c r="H4565">
        <v>3</v>
      </c>
      <c r="I4565">
        <v>3</v>
      </c>
      <c r="J4565" t="s">
        <v>8005</v>
      </c>
      <c r="K4565">
        <v>3</v>
      </c>
      <c r="L4565">
        <v>2.9470000000000001</v>
      </c>
      <c r="M4565">
        <v>0</v>
      </c>
      <c r="N4565" t="s">
        <v>10019</v>
      </c>
      <c r="O4565" t="str">
        <f>HYPERLINK("NoConsenso\marker_337_817944.png", "Ver Imagen")</f>
        <v>Ver Imagen</v>
      </c>
      <c r="P4565" t="str">
        <f>HYPERLINK("NO\A-490\A-490__518.png", "Ver Imagen")</f>
        <v>Ver Imagen</v>
      </c>
    </row>
    <row r="4566" spans="1:16" x14ac:dyDescent="0.25">
      <c r="A4566">
        <v>4188</v>
      </c>
      <c r="B4566" t="s">
        <v>8387</v>
      </c>
      <c r="C4566">
        <v>37.487412025200001</v>
      </c>
      <c r="D4566">
        <v>-7.2439129931300004</v>
      </c>
      <c r="E4566">
        <v>1</v>
      </c>
      <c r="F4566">
        <v>3</v>
      </c>
      <c r="G4566">
        <v>3</v>
      </c>
      <c r="H4566">
        <v>3</v>
      </c>
      <c r="I4566">
        <v>2</v>
      </c>
      <c r="J4566" t="s">
        <v>8005</v>
      </c>
      <c r="K4566">
        <v>3</v>
      </c>
      <c r="L4566">
        <v>2.7789999999999999</v>
      </c>
      <c r="M4566">
        <v>0</v>
      </c>
      <c r="N4566" t="s">
        <v>10019</v>
      </c>
      <c r="O4566" t="str">
        <f>HYPERLINK("NoConsenso\marker_109_818057.png", "Ver Imagen")</f>
        <v>Ver Imagen</v>
      </c>
      <c r="P4566" t="str">
        <f>HYPERLINK("NO\A-490\A-490__520.png", "Ver Imagen")</f>
        <v>Ver Imagen</v>
      </c>
    </row>
    <row r="4567" spans="1:16" x14ac:dyDescent="0.25">
      <c r="A4567">
        <v>4189</v>
      </c>
      <c r="B4567" t="s">
        <v>8389</v>
      </c>
      <c r="C4567">
        <v>37.4904093253</v>
      </c>
      <c r="D4567">
        <v>-7.2492653521200001</v>
      </c>
      <c r="E4567">
        <v>1</v>
      </c>
      <c r="F4567">
        <v>2</v>
      </c>
      <c r="G4567">
        <v>3</v>
      </c>
      <c r="H4567">
        <v>2</v>
      </c>
      <c r="I4567">
        <v>2</v>
      </c>
      <c r="J4567" t="s">
        <v>8005</v>
      </c>
      <c r="K4567">
        <v>2</v>
      </c>
      <c r="L4567">
        <v>1.8819999999999999</v>
      </c>
      <c r="M4567">
        <v>0</v>
      </c>
      <c r="N4567" t="s">
        <v>10019</v>
      </c>
      <c r="O4567" t="str">
        <f>HYPERLINK("NoConsenso\marker_794_818465.png", "Ver Imagen")</f>
        <v>Ver Imagen</v>
      </c>
      <c r="P4567" t="str">
        <f>HYPERLINK("NO\A-490\A-490__546.png", "Ver Imagen")</f>
        <v>Ver Imagen</v>
      </c>
    </row>
    <row r="4568" spans="1:16" x14ac:dyDescent="0.25">
      <c r="A4568">
        <v>4190</v>
      </c>
      <c r="B4568" t="s">
        <v>8391</v>
      </c>
      <c r="C4568">
        <v>37.490719107300002</v>
      </c>
      <c r="D4568">
        <v>-7.2501749411</v>
      </c>
      <c r="E4568">
        <v>1</v>
      </c>
      <c r="F4568">
        <v>3</v>
      </c>
      <c r="G4568">
        <v>3</v>
      </c>
      <c r="H4568">
        <v>2</v>
      </c>
      <c r="I4568">
        <v>2</v>
      </c>
      <c r="J4568" t="s">
        <v>8005</v>
      </c>
      <c r="K4568">
        <v>2</v>
      </c>
      <c r="L4568">
        <v>1.694</v>
      </c>
      <c r="M4568">
        <v>0</v>
      </c>
      <c r="N4568" t="s">
        <v>10019</v>
      </c>
      <c r="O4568" t="str">
        <f>HYPERLINK("NoConsenso\marker_349_818583.png", "Ver Imagen")</f>
        <v>Ver Imagen</v>
      </c>
      <c r="P4568" t="str">
        <f>HYPERLINK("NO\A-490\A-490__550.png", "Ver Imagen")</f>
        <v>Ver Imagen</v>
      </c>
    </row>
    <row r="4569" spans="1:16" x14ac:dyDescent="0.25">
      <c r="A4569">
        <v>4191</v>
      </c>
      <c r="B4569" t="s">
        <v>8393</v>
      </c>
      <c r="C4569">
        <v>37.490726564299997</v>
      </c>
      <c r="D4569">
        <v>-7.2503986872999997</v>
      </c>
      <c r="E4569">
        <v>1</v>
      </c>
      <c r="F4569">
        <v>3</v>
      </c>
      <c r="G4569">
        <v>3</v>
      </c>
      <c r="H4569">
        <v>2</v>
      </c>
      <c r="I4569">
        <v>2</v>
      </c>
      <c r="J4569" t="s">
        <v>8005</v>
      </c>
      <c r="K4569">
        <v>2</v>
      </c>
      <c r="L4569">
        <v>2.4009999999999998</v>
      </c>
      <c r="M4569">
        <v>0</v>
      </c>
      <c r="N4569" t="s">
        <v>10017</v>
      </c>
      <c r="O4569" t="str">
        <f>HYPERLINK("NoConsenso\marker_517_818620.png", "Ver Imagen")</f>
        <v>Ver Imagen</v>
      </c>
      <c r="P4569" t="str">
        <f>HYPERLINK("NO\A-490\A-490__551.png", "Ver Imagen")</f>
        <v>Ver Imagen</v>
      </c>
    </row>
    <row r="4570" spans="1:16" x14ac:dyDescent="0.25">
      <c r="A4570">
        <v>4192</v>
      </c>
      <c r="B4570" t="s">
        <v>8395</v>
      </c>
      <c r="C4570">
        <v>37.490723828999997</v>
      </c>
      <c r="D4570">
        <v>-7.2507021013599999</v>
      </c>
      <c r="E4570">
        <v>1</v>
      </c>
      <c r="F4570">
        <v>3</v>
      </c>
      <c r="G4570">
        <v>3</v>
      </c>
      <c r="H4570">
        <v>3</v>
      </c>
      <c r="I4570">
        <v>2</v>
      </c>
      <c r="J4570" t="s">
        <v>8005</v>
      </c>
      <c r="K4570">
        <v>3</v>
      </c>
      <c r="L4570">
        <v>3.266</v>
      </c>
      <c r="M4570">
        <v>0</v>
      </c>
      <c r="N4570" t="s">
        <v>10019</v>
      </c>
      <c r="O4570" t="str">
        <f>HYPERLINK("NoConsenso\marker_941_818633.png", "Ver Imagen")</f>
        <v>Ver Imagen</v>
      </c>
      <c r="P4570" t="str">
        <f>HYPERLINK("NO\A-490\A-490__552.png", "Ver Imagen")</f>
        <v>Ver Imagen</v>
      </c>
    </row>
    <row r="4571" spans="1:16" x14ac:dyDescent="0.25">
      <c r="A4571">
        <v>4193</v>
      </c>
      <c r="B4571" t="s">
        <v>8397</v>
      </c>
      <c r="C4571">
        <v>37.490263426299997</v>
      </c>
      <c r="D4571">
        <v>-7.2596637400899997</v>
      </c>
      <c r="E4571">
        <v>1</v>
      </c>
      <c r="F4571">
        <v>3</v>
      </c>
      <c r="G4571">
        <v>3</v>
      </c>
      <c r="H4571">
        <v>2</v>
      </c>
      <c r="I4571">
        <v>2</v>
      </c>
      <c r="J4571" t="s">
        <v>8005</v>
      </c>
      <c r="K4571">
        <v>2</v>
      </c>
      <c r="L4571">
        <v>1.7090000000000001</v>
      </c>
      <c r="M4571">
        <v>0</v>
      </c>
      <c r="N4571" t="s">
        <v>10019</v>
      </c>
      <c r="O4571" t="str">
        <f>HYPERLINK("NoConsenso\marker_957_819600.png", "Ver Imagen")</f>
        <v>Ver Imagen</v>
      </c>
      <c r="P4571" t="str">
        <f>HYPERLINK("NO\A-490\A-490__588.png", "Ver Imagen")</f>
        <v>Ver Imagen</v>
      </c>
    </row>
    <row r="4572" spans="1:16" x14ac:dyDescent="0.25">
      <c r="A4572">
        <v>4194</v>
      </c>
      <c r="B4572" t="s">
        <v>8399</v>
      </c>
      <c r="C4572">
        <v>37.491335297699997</v>
      </c>
      <c r="D4572">
        <v>-7.2608511551800001</v>
      </c>
      <c r="E4572">
        <v>1</v>
      </c>
      <c r="F4572">
        <v>3</v>
      </c>
      <c r="G4572">
        <v>3</v>
      </c>
      <c r="H4572">
        <v>3</v>
      </c>
      <c r="I4572">
        <v>2</v>
      </c>
      <c r="J4572" t="s">
        <v>8005</v>
      </c>
      <c r="K4572">
        <v>3</v>
      </c>
      <c r="L4572">
        <v>2.7080000000000002</v>
      </c>
      <c r="M4572">
        <v>0</v>
      </c>
      <c r="N4572" t="s">
        <v>10019</v>
      </c>
      <c r="O4572" t="str">
        <f>HYPERLINK("NoConsenso\marker_988_819694.png", "Ver Imagen")</f>
        <v>Ver Imagen</v>
      </c>
      <c r="P4572" t="str">
        <f>HYPERLINK("NO\A-490\A-490__595.png", "Ver Imagen")</f>
        <v>Ver Imagen</v>
      </c>
    </row>
    <row r="4573" spans="1:16" x14ac:dyDescent="0.25">
      <c r="A4573">
        <v>4195</v>
      </c>
      <c r="B4573" t="s">
        <v>8401</v>
      </c>
      <c r="C4573">
        <v>37.492282145499999</v>
      </c>
      <c r="D4573">
        <v>-7.2617836419100001</v>
      </c>
      <c r="E4573">
        <v>1</v>
      </c>
      <c r="F4573">
        <v>2</v>
      </c>
      <c r="G4573">
        <v>3</v>
      </c>
      <c r="H4573">
        <v>2</v>
      </c>
      <c r="I4573">
        <v>2</v>
      </c>
      <c r="J4573" t="s">
        <v>8005</v>
      </c>
      <c r="K4573">
        <v>2</v>
      </c>
      <c r="L4573">
        <v>2.0259999999999998</v>
      </c>
      <c r="M4573">
        <v>0</v>
      </c>
      <c r="N4573" t="s">
        <v>10019</v>
      </c>
      <c r="O4573" t="str">
        <f>HYPERLINK("NoConsenso\marker_186_819883.png", "Ver Imagen")</f>
        <v>Ver Imagen</v>
      </c>
      <c r="P4573" t="str">
        <f>HYPERLINK("NO\A-490\A-490__601.png", "Ver Imagen")</f>
        <v>Ver Imagen</v>
      </c>
    </row>
    <row r="4574" spans="1:16" x14ac:dyDescent="0.25">
      <c r="A4574">
        <v>4196</v>
      </c>
      <c r="B4574" t="s">
        <v>8403</v>
      </c>
      <c r="C4574">
        <v>37.492418312200002</v>
      </c>
      <c r="D4574">
        <v>-7.2619318317100001</v>
      </c>
      <c r="E4574">
        <v>1</v>
      </c>
      <c r="F4574">
        <v>2</v>
      </c>
      <c r="G4574">
        <v>3</v>
      </c>
      <c r="H4574">
        <v>2</v>
      </c>
      <c r="I4574">
        <v>2</v>
      </c>
      <c r="J4574" t="s">
        <v>8005</v>
      </c>
      <c r="K4574">
        <v>2</v>
      </c>
      <c r="L4574">
        <v>1.5369999999999999</v>
      </c>
      <c r="M4574">
        <v>0</v>
      </c>
      <c r="N4574" t="s">
        <v>10019</v>
      </c>
      <c r="O4574" t="str">
        <f>HYPERLINK("NoConsenso\marker_727_820116.png", "Ver Imagen")</f>
        <v>Ver Imagen</v>
      </c>
      <c r="P4574" t="str">
        <f>HYPERLINK("NO\A-490\A-490__602.png", "Ver Imagen")</f>
        <v>Ver Imagen</v>
      </c>
    </row>
    <row r="4575" spans="1:16" x14ac:dyDescent="0.25">
      <c r="A4575">
        <v>4197</v>
      </c>
      <c r="B4575" t="s">
        <v>8405</v>
      </c>
      <c r="C4575">
        <v>37.493679226399998</v>
      </c>
      <c r="D4575">
        <v>-7.2648325652799999</v>
      </c>
      <c r="E4575">
        <v>1</v>
      </c>
      <c r="F4575">
        <v>3</v>
      </c>
      <c r="G4575">
        <v>3</v>
      </c>
      <c r="H4575">
        <v>3</v>
      </c>
      <c r="I4575">
        <v>2</v>
      </c>
      <c r="J4575" t="s">
        <v>8005</v>
      </c>
      <c r="K4575">
        <v>3</v>
      </c>
      <c r="L4575">
        <v>3.0880000000000001</v>
      </c>
      <c r="M4575">
        <v>0</v>
      </c>
      <c r="N4575" t="s">
        <v>10019</v>
      </c>
      <c r="O4575" t="str">
        <f>HYPERLINK("NoConsenso\marker_354_820254.png", "Ver Imagen")</f>
        <v>Ver Imagen</v>
      </c>
      <c r="P4575" t="str">
        <f>HYPERLINK("NO\A-490\A-490__615.png", "Ver Imagen")</f>
        <v>Ver Imagen</v>
      </c>
    </row>
    <row r="4576" spans="1:16" x14ac:dyDescent="0.25">
      <c r="A4576">
        <v>4198</v>
      </c>
      <c r="B4576" t="s">
        <v>8407</v>
      </c>
      <c r="C4576">
        <v>37.493790938399997</v>
      </c>
      <c r="D4576">
        <v>-7.2650494271700001</v>
      </c>
      <c r="E4576">
        <v>1</v>
      </c>
      <c r="F4576">
        <v>3</v>
      </c>
      <c r="G4576">
        <v>3</v>
      </c>
      <c r="H4576">
        <v>3</v>
      </c>
      <c r="I4576">
        <v>3</v>
      </c>
      <c r="J4576" t="s">
        <v>8005</v>
      </c>
      <c r="K4576">
        <v>3</v>
      </c>
      <c r="L4576">
        <v>3.19</v>
      </c>
      <c r="M4576">
        <v>0</v>
      </c>
      <c r="N4576" t="s">
        <v>10019</v>
      </c>
      <c r="O4576" t="str">
        <f>HYPERLINK("NoConsenso\marker_694_820265.png", "Ver Imagen")</f>
        <v>Ver Imagen</v>
      </c>
      <c r="P4576" t="str">
        <f>HYPERLINK("NO\A-490\A-490__616.png", "Ver Imagen")</f>
        <v>Ver Imagen</v>
      </c>
    </row>
    <row r="4577" spans="1:16" x14ac:dyDescent="0.25">
      <c r="A4577">
        <v>4199</v>
      </c>
      <c r="B4577" t="s">
        <v>8409</v>
      </c>
      <c r="C4577">
        <v>37.494166233599998</v>
      </c>
      <c r="D4577">
        <v>-7.26564329185</v>
      </c>
      <c r="E4577">
        <v>1</v>
      </c>
      <c r="F4577">
        <v>3</v>
      </c>
      <c r="G4577">
        <v>3</v>
      </c>
      <c r="H4577">
        <v>3</v>
      </c>
      <c r="I4577">
        <v>2</v>
      </c>
      <c r="J4577" t="s">
        <v>8005</v>
      </c>
      <c r="K4577">
        <v>3</v>
      </c>
      <c r="L4577">
        <v>3.0419999999999998</v>
      </c>
      <c r="M4577">
        <v>0</v>
      </c>
      <c r="N4577" t="s">
        <v>10019</v>
      </c>
      <c r="O4577" t="str">
        <f>HYPERLINK("NoConsenso\marker_206_820296.png", "Ver Imagen")</f>
        <v>Ver Imagen</v>
      </c>
      <c r="P4577" t="str">
        <f>HYPERLINK("NO\A-490\A-490__619.png", "Ver Imagen")</f>
        <v>Ver Imagen</v>
      </c>
    </row>
    <row r="4578" spans="1:16" x14ac:dyDescent="0.25">
      <c r="A4578">
        <v>4201</v>
      </c>
      <c r="B4578" t="s">
        <v>8413</v>
      </c>
      <c r="C4578">
        <v>37.279683186699998</v>
      </c>
      <c r="D4578">
        <v>-7.00681331947</v>
      </c>
      <c r="E4578">
        <v>1</v>
      </c>
      <c r="F4578">
        <v>3</v>
      </c>
      <c r="G4578">
        <v>3</v>
      </c>
      <c r="H4578">
        <v>2</v>
      </c>
      <c r="I4578">
        <v>2</v>
      </c>
      <c r="J4578" t="s">
        <v>8005</v>
      </c>
      <c r="K4578">
        <v>2</v>
      </c>
      <c r="L4578">
        <v>1.9239999999999999</v>
      </c>
      <c r="M4578">
        <v>0</v>
      </c>
      <c r="N4578" t="s">
        <v>10019</v>
      </c>
      <c r="O4578" t="str">
        <f>HYPERLINK("NoConsenso\marker_650_823736.png", "Ver Imagen")</f>
        <v>Ver Imagen</v>
      </c>
      <c r="P4578" t="str">
        <f>HYPERLINK("SE\A-492\A-492__98.png", "Ver Imagen")</f>
        <v>Ver Imagen</v>
      </c>
    </row>
    <row r="4579" spans="1:16" x14ac:dyDescent="0.25">
      <c r="A4579">
        <v>4202</v>
      </c>
      <c r="B4579" t="s">
        <v>8415</v>
      </c>
      <c r="C4579">
        <v>37.279596013999999</v>
      </c>
      <c r="D4579">
        <v>-7.0070372614799998</v>
      </c>
      <c r="E4579">
        <v>1</v>
      </c>
      <c r="F4579">
        <v>1</v>
      </c>
      <c r="G4579">
        <v>3</v>
      </c>
      <c r="H4579">
        <v>3</v>
      </c>
      <c r="I4579">
        <v>2</v>
      </c>
      <c r="J4579" t="s">
        <v>8005</v>
      </c>
      <c r="K4579">
        <v>2</v>
      </c>
      <c r="L4579">
        <v>1.738</v>
      </c>
      <c r="M4579">
        <v>0</v>
      </c>
      <c r="N4579" t="s">
        <v>10019</v>
      </c>
      <c r="O4579" t="str">
        <f>HYPERLINK("NoConsenso\marker_578_823746.png", "Ver Imagen")</f>
        <v>Ver Imagen</v>
      </c>
      <c r="P4579" t="str">
        <f>HYPERLINK("SE\A-492\A-492__99.png", "Ver Imagen")</f>
        <v>Ver Imagen</v>
      </c>
    </row>
    <row r="4580" spans="1:16" x14ac:dyDescent="0.25">
      <c r="A4580">
        <v>4203</v>
      </c>
      <c r="B4580" t="s">
        <v>8417</v>
      </c>
      <c r="C4580">
        <v>37.279504054199997</v>
      </c>
      <c r="D4580">
        <v>-7.0072737415299997</v>
      </c>
      <c r="E4580">
        <v>1</v>
      </c>
      <c r="F4580">
        <v>2</v>
      </c>
      <c r="G4580">
        <v>3</v>
      </c>
      <c r="H4580">
        <v>2</v>
      </c>
      <c r="I4580">
        <v>2</v>
      </c>
      <c r="J4580" t="s">
        <v>8005</v>
      </c>
      <c r="K4580">
        <v>2</v>
      </c>
      <c r="L4580">
        <v>1.9410000000000001</v>
      </c>
      <c r="M4580">
        <v>0</v>
      </c>
      <c r="N4580" t="s">
        <v>10019</v>
      </c>
      <c r="O4580" t="str">
        <f>HYPERLINK("NoConsenso\marker_319_823762.png", "Ver Imagen")</f>
        <v>Ver Imagen</v>
      </c>
      <c r="P4580" t="str">
        <f>HYPERLINK("SE\A-492\A-492__100.png", "Ver Imagen")</f>
        <v>Ver Imagen</v>
      </c>
    </row>
    <row r="4581" spans="1:16" x14ac:dyDescent="0.25">
      <c r="A4581">
        <v>4204</v>
      </c>
      <c r="B4581" t="s">
        <v>8419</v>
      </c>
      <c r="C4581">
        <v>37.279317580600001</v>
      </c>
      <c r="D4581">
        <v>-7.0077513067500004</v>
      </c>
      <c r="E4581">
        <v>1</v>
      </c>
      <c r="F4581">
        <v>3</v>
      </c>
      <c r="G4581">
        <v>3</v>
      </c>
      <c r="H4581">
        <v>3</v>
      </c>
      <c r="I4581">
        <v>2</v>
      </c>
      <c r="J4581" t="s">
        <v>8052</v>
      </c>
      <c r="K4581">
        <v>2</v>
      </c>
      <c r="L4581">
        <v>1.81</v>
      </c>
      <c r="M4581">
        <v>0</v>
      </c>
      <c r="N4581" t="s">
        <v>10019</v>
      </c>
      <c r="O4581" t="str">
        <f>HYPERLINK("NoConsenso\marker_822_823784.png", "Ver Imagen")</f>
        <v>Ver Imagen</v>
      </c>
      <c r="P4581" t="str">
        <f>HYPERLINK("SE\A-492\A-492__102.png", "Ver Imagen")</f>
        <v>Ver Imagen</v>
      </c>
    </row>
    <row r="4582" spans="1:16" x14ac:dyDescent="0.25">
      <c r="A4582">
        <v>4205</v>
      </c>
      <c r="B4582" t="s">
        <v>8421</v>
      </c>
      <c r="C4582">
        <v>37.279249532400001</v>
      </c>
      <c r="D4582">
        <v>-7.0079239661999999</v>
      </c>
      <c r="E4582">
        <v>1</v>
      </c>
      <c r="F4582">
        <v>2</v>
      </c>
      <c r="G4582">
        <v>3</v>
      </c>
      <c r="H4582">
        <v>2</v>
      </c>
      <c r="I4582">
        <v>2</v>
      </c>
      <c r="J4582" t="s">
        <v>8005</v>
      </c>
      <c r="K4582">
        <v>2</v>
      </c>
      <c r="L4582">
        <v>2.2290000000000001</v>
      </c>
      <c r="M4582">
        <v>0</v>
      </c>
      <c r="N4582" t="s">
        <v>10018</v>
      </c>
      <c r="O4582" t="str">
        <f>HYPERLINK("NoConsenso\marker_222_823795.png", "Ver Imagen")</f>
        <v>Ver Imagen</v>
      </c>
      <c r="P4582" t="str">
        <f>HYPERLINK("SE\A-492\A-492__103.png", "Ver Imagen")</f>
        <v>Ver Imagen</v>
      </c>
    </row>
    <row r="4583" spans="1:16" x14ac:dyDescent="0.25">
      <c r="A4583">
        <v>4206</v>
      </c>
      <c r="B4583" t="s">
        <v>8423</v>
      </c>
      <c r="C4583">
        <v>37.278407482600002</v>
      </c>
      <c r="D4583">
        <v>-7.0099616754099996</v>
      </c>
      <c r="E4583">
        <v>2</v>
      </c>
      <c r="F4583">
        <v>4</v>
      </c>
      <c r="G4583">
        <v>3</v>
      </c>
      <c r="H4583">
        <v>3</v>
      </c>
      <c r="I4583">
        <v>3</v>
      </c>
      <c r="J4583" t="s">
        <v>8005</v>
      </c>
      <c r="K4583">
        <v>3</v>
      </c>
      <c r="L4583">
        <v>2.9390000000000001</v>
      </c>
      <c r="M4583">
        <v>0</v>
      </c>
      <c r="N4583" t="s">
        <v>10019</v>
      </c>
      <c r="O4583" t="str">
        <f>HYPERLINK("NoConsenso\marker_419_824313.png", "Ver Imagen")</f>
        <v>Ver Imagen</v>
      </c>
      <c r="P4583" t="str">
        <f>HYPERLINK("SE\A-492\A-492__112.png", "Ver Imagen")</f>
        <v>Ver Imagen</v>
      </c>
    </row>
    <row r="4584" spans="1:16" x14ac:dyDescent="0.25">
      <c r="A4584">
        <v>4209</v>
      </c>
      <c r="B4584" t="s">
        <v>8429</v>
      </c>
      <c r="C4584">
        <v>37.275818415300002</v>
      </c>
      <c r="D4584">
        <v>-7.0202587164299999</v>
      </c>
      <c r="E4584">
        <v>1</v>
      </c>
      <c r="F4584">
        <v>2</v>
      </c>
      <c r="G4584">
        <v>3</v>
      </c>
      <c r="H4584">
        <v>2</v>
      </c>
      <c r="I4584">
        <v>1</v>
      </c>
      <c r="J4584" t="s">
        <v>8005</v>
      </c>
      <c r="K4584">
        <v>2</v>
      </c>
      <c r="L4584">
        <v>1.9410000000000001</v>
      </c>
      <c r="M4584">
        <v>0</v>
      </c>
      <c r="N4584" t="s">
        <v>10019</v>
      </c>
      <c r="O4584" t="str">
        <f>HYPERLINK("NoConsenso\marker_494_824929.png", "Ver Imagen")</f>
        <v>Ver Imagen</v>
      </c>
      <c r="P4584" t="str">
        <f>HYPERLINK("SE\A-492\A-492__158.png", "Ver Imagen")</f>
        <v>Ver Imagen</v>
      </c>
    </row>
    <row r="4585" spans="1:16" x14ac:dyDescent="0.25">
      <c r="A4585">
        <v>4211</v>
      </c>
      <c r="B4585" t="s">
        <v>8433</v>
      </c>
      <c r="C4585">
        <v>37.276161392600002</v>
      </c>
      <c r="D4585">
        <v>-7.0227751541599996</v>
      </c>
      <c r="E4585">
        <v>3</v>
      </c>
      <c r="F4585">
        <v>1</v>
      </c>
      <c r="G4585">
        <v>3</v>
      </c>
      <c r="H4585">
        <v>2</v>
      </c>
      <c r="I4585">
        <v>1</v>
      </c>
      <c r="J4585" t="s">
        <v>8052</v>
      </c>
      <c r="K4585">
        <v>1</v>
      </c>
      <c r="L4585">
        <v>1.2809999999999999</v>
      </c>
      <c r="M4585">
        <v>0</v>
      </c>
      <c r="N4585" t="s">
        <v>10019</v>
      </c>
      <c r="O4585" t="str">
        <f>HYPERLINK("NoConsenso\marker_533_831425.png", "Ver Imagen")</f>
        <v>Ver Imagen</v>
      </c>
      <c r="P4585" t="str">
        <f>HYPERLINK("SE\A-492\A-492__168.png", "Ver Imagen")</f>
        <v>Ver Imagen</v>
      </c>
    </row>
    <row r="4586" spans="1:16" x14ac:dyDescent="0.25">
      <c r="A4586">
        <v>4212</v>
      </c>
      <c r="B4586" t="s">
        <v>8435</v>
      </c>
      <c r="C4586">
        <v>37.277051401199998</v>
      </c>
      <c r="D4586">
        <v>-7.0279401842800002</v>
      </c>
      <c r="E4586">
        <v>1</v>
      </c>
      <c r="F4586">
        <v>3</v>
      </c>
      <c r="G4586">
        <v>3</v>
      </c>
      <c r="H4586">
        <v>3</v>
      </c>
      <c r="I4586">
        <v>2</v>
      </c>
      <c r="J4586" t="s">
        <v>8005</v>
      </c>
      <c r="K4586">
        <v>3</v>
      </c>
      <c r="L4586">
        <v>2.6389999999999998</v>
      </c>
      <c r="M4586">
        <v>0</v>
      </c>
      <c r="N4586" t="s">
        <v>10019</v>
      </c>
      <c r="O4586" t="str">
        <f>HYPERLINK("NoConsenso\marker_139_831790.png", "Ver Imagen")</f>
        <v>Ver Imagen</v>
      </c>
      <c r="P4586" t="str">
        <f>HYPERLINK("SE\A-492\A-492__189.png", "Ver Imagen")</f>
        <v>Ver Imagen</v>
      </c>
    </row>
    <row r="4587" spans="1:16" x14ac:dyDescent="0.25">
      <c r="A4587">
        <v>4213</v>
      </c>
      <c r="B4587" t="s">
        <v>8437</v>
      </c>
      <c r="C4587">
        <v>37.2816588588</v>
      </c>
      <c r="D4587">
        <v>-7.0322179584900004</v>
      </c>
      <c r="E4587">
        <v>1</v>
      </c>
      <c r="F4587">
        <v>3</v>
      </c>
      <c r="G4587">
        <v>3</v>
      </c>
      <c r="H4587">
        <v>2</v>
      </c>
      <c r="I4587">
        <v>2</v>
      </c>
      <c r="J4587" t="s">
        <v>8005</v>
      </c>
      <c r="K4587">
        <v>2</v>
      </c>
      <c r="L4587">
        <v>2.0739999999999998</v>
      </c>
      <c r="M4587">
        <v>0</v>
      </c>
      <c r="N4587" t="s">
        <v>10018</v>
      </c>
      <c r="O4587" t="str">
        <f>HYPERLINK("NoConsenso\marker_360_832790.png", "Ver Imagen")</f>
        <v>Ver Imagen</v>
      </c>
      <c r="P4587" t="str">
        <f>HYPERLINK("SE\A-492\A-492__218.png", "Ver Imagen")</f>
        <v>Ver Imagen</v>
      </c>
    </row>
    <row r="4588" spans="1:16" x14ac:dyDescent="0.25">
      <c r="A4588">
        <v>4214</v>
      </c>
      <c r="B4588" t="s">
        <v>8439</v>
      </c>
      <c r="C4588">
        <v>37.283730218499997</v>
      </c>
      <c r="D4588">
        <v>-7.03414425341</v>
      </c>
      <c r="E4588">
        <v>1</v>
      </c>
      <c r="F4588">
        <v>3</v>
      </c>
      <c r="G4588">
        <v>3</v>
      </c>
      <c r="H4588">
        <v>2</v>
      </c>
      <c r="I4588">
        <v>1</v>
      </c>
      <c r="J4588" t="s">
        <v>8005</v>
      </c>
      <c r="K4588">
        <v>2</v>
      </c>
      <c r="L4588">
        <v>1.831</v>
      </c>
      <c r="M4588">
        <v>0</v>
      </c>
      <c r="N4588" t="s">
        <v>10019</v>
      </c>
      <c r="O4588" t="str">
        <f>HYPERLINK("NoConsenso\marker_654_835828.png", "Ver Imagen")</f>
        <v>Ver Imagen</v>
      </c>
      <c r="P4588" t="str">
        <f>HYPERLINK("SE\A-492\A-492__231.png", "Ver Imagen")</f>
        <v>Ver Imagen</v>
      </c>
    </row>
    <row r="4589" spans="1:16" x14ac:dyDescent="0.25">
      <c r="A4589">
        <v>4215</v>
      </c>
      <c r="B4589" t="s">
        <v>8441</v>
      </c>
      <c r="C4589">
        <v>37.2871388577</v>
      </c>
      <c r="D4589">
        <v>-7.0420227831200002</v>
      </c>
      <c r="E4589">
        <v>1</v>
      </c>
      <c r="F4589">
        <v>2</v>
      </c>
      <c r="G4589">
        <v>3</v>
      </c>
      <c r="H4589">
        <v>2</v>
      </c>
      <c r="I4589">
        <v>2</v>
      </c>
      <c r="J4589" t="s">
        <v>8005</v>
      </c>
      <c r="K4589">
        <v>2</v>
      </c>
      <c r="L4589">
        <v>2.2839999999999998</v>
      </c>
      <c r="M4589">
        <v>0</v>
      </c>
      <c r="N4589" t="s">
        <v>10019</v>
      </c>
      <c r="O4589" t="str">
        <f>HYPERLINK("NoConsenso\marker_617_836739.png", "Ver Imagen")</f>
        <v>Ver Imagen</v>
      </c>
      <c r="P4589" t="str">
        <f>HYPERLINK("SE\A-492\A-492__269.png", "Ver Imagen")</f>
        <v>Ver Imagen</v>
      </c>
    </row>
    <row r="4590" spans="1:16" x14ac:dyDescent="0.25">
      <c r="A4590">
        <v>4216</v>
      </c>
      <c r="B4590" t="s">
        <v>8443</v>
      </c>
      <c r="C4590">
        <v>37.287459783899997</v>
      </c>
      <c r="D4590">
        <v>-7.0421688173600003</v>
      </c>
      <c r="E4590">
        <v>1</v>
      </c>
      <c r="F4590">
        <v>2</v>
      </c>
      <c r="G4590">
        <v>3</v>
      </c>
      <c r="H4590">
        <v>2</v>
      </c>
      <c r="I4590">
        <v>2</v>
      </c>
      <c r="J4590" t="s">
        <v>8005</v>
      </c>
      <c r="K4590">
        <v>2</v>
      </c>
      <c r="L4590">
        <v>1.944</v>
      </c>
      <c r="M4590">
        <v>0</v>
      </c>
      <c r="N4590" t="s">
        <v>10017</v>
      </c>
      <c r="O4590" t="str">
        <f>HYPERLINK("NoConsenso\marker_297_836795.png", "Ver Imagen")</f>
        <v>Ver Imagen</v>
      </c>
      <c r="P4590" t="str">
        <f>HYPERLINK("SE\A-492\A-492__271.png", "Ver Imagen")</f>
        <v>Ver Imagen</v>
      </c>
    </row>
    <row r="4591" spans="1:16" x14ac:dyDescent="0.25">
      <c r="A4591">
        <v>4217</v>
      </c>
      <c r="B4591" t="s">
        <v>8445</v>
      </c>
      <c r="C4591">
        <v>37.2882232109</v>
      </c>
      <c r="D4591">
        <v>-7.0425839988499996</v>
      </c>
      <c r="E4591">
        <v>1</v>
      </c>
      <c r="F4591">
        <v>2</v>
      </c>
      <c r="G4591">
        <v>3</v>
      </c>
      <c r="H4591">
        <v>2</v>
      </c>
      <c r="I4591">
        <v>2</v>
      </c>
      <c r="J4591" t="s">
        <v>8005</v>
      </c>
      <c r="K4591">
        <v>2</v>
      </c>
      <c r="L4591">
        <v>1.97</v>
      </c>
      <c r="M4591">
        <v>0</v>
      </c>
      <c r="N4591" t="s">
        <v>10019</v>
      </c>
      <c r="O4591" t="str">
        <f>HYPERLINK("NoConsenso\marker_547_836855.png", "Ver Imagen")</f>
        <v>Ver Imagen</v>
      </c>
      <c r="P4591" t="str">
        <f>HYPERLINK("SE\A-492\A-492__275.png", "Ver Imagen")</f>
        <v>Ver Imagen</v>
      </c>
    </row>
    <row r="4592" spans="1:16" x14ac:dyDescent="0.25">
      <c r="A4592">
        <v>4218</v>
      </c>
      <c r="B4592" t="s">
        <v>8447</v>
      </c>
      <c r="C4592">
        <v>37.288396081199998</v>
      </c>
      <c r="D4592">
        <v>-7.0427222629799999</v>
      </c>
      <c r="E4592">
        <v>1</v>
      </c>
      <c r="F4592">
        <v>2</v>
      </c>
      <c r="G4592">
        <v>3</v>
      </c>
      <c r="H4592">
        <v>2</v>
      </c>
      <c r="I4592">
        <v>1</v>
      </c>
      <c r="J4592" t="s">
        <v>8005</v>
      </c>
      <c r="K4592">
        <v>2</v>
      </c>
      <c r="L4592">
        <v>1.825</v>
      </c>
      <c r="M4592">
        <v>0</v>
      </c>
      <c r="N4592" t="s">
        <v>10019</v>
      </c>
      <c r="O4592" t="str">
        <f>HYPERLINK("NoConsenso\marker_782_836865.png", "Ver Imagen")</f>
        <v>Ver Imagen</v>
      </c>
      <c r="P4592" t="str">
        <f>HYPERLINK("SE\A-492\A-492__276.png", "Ver Imagen")</f>
        <v>Ver Imagen</v>
      </c>
    </row>
    <row r="4593" spans="1:16" x14ac:dyDescent="0.25">
      <c r="A4593">
        <v>4219</v>
      </c>
      <c r="B4593" t="s">
        <v>8449</v>
      </c>
      <c r="C4593">
        <v>37.289932688299999</v>
      </c>
      <c r="D4593">
        <v>-7.0447713107599998</v>
      </c>
      <c r="E4593">
        <v>1</v>
      </c>
      <c r="F4593">
        <v>2</v>
      </c>
      <c r="G4593">
        <v>3</v>
      </c>
      <c r="H4593">
        <v>2</v>
      </c>
      <c r="I4593">
        <v>1</v>
      </c>
      <c r="J4593" t="s">
        <v>8005</v>
      </c>
      <c r="K4593">
        <v>2</v>
      </c>
      <c r="L4593">
        <v>1.956</v>
      </c>
      <c r="M4593">
        <v>0</v>
      </c>
      <c r="N4593" t="s">
        <v>10019</v>
      </c>
      <c r="O4593" t="str">
        <f>HYPERLINK("NoConsenso\marker_213_837381.png", "Ver Imagen")</f>
        <v>Ver Imagen</v>
      </c>
      <c r="P4593" t="str">
        <f>HYPERLINK("SE\A-492\A-492__287.png", "Ver Imagen")</f>
        <v>Ver Imagen</v>
      </c>
    </row>
    <row r="4594" spans="1:16" x14ac:dyDescent="0.25">
      <c r="A4594">
        <v>4220</v>
      </c>
      <c r="B4594" t="s">
        <v>8451</v>
      </c>
      <c r="C4594">
        <v>37.300880225100002</v>
      </c>
      <c r="D4594">
        <v>-7.05607795337</v>
      </c>
      <c r="E4594">
        <v>3</v>
      </c>
      <c r="F4594">
        <v>2</v>
      </c>
      <c r="G4594">
        <v>4</v>
      </c>
      <c r="H4594">
        <v>3</v>
      </c>
      <c r="I4594">
        <v>3</v>
      </c>
      <c r="J4594" t="s">
        <v>8005</v>
      </c>
      <c r="K4594">
        <v>3</v>
      </c>
      <c r="L4594">
        <v>2.7970000000000002</v>
      </c>
      <c r="M4594">
        <v>0</v>
      </c>
      <c r="N4594" t="s">
        <v>10019</v>
      </c>
      <c r="O4594" t="str">
        <f>HYPERLINK("NoConsenso\marker_125_838628.png", "Ver Imagen")</f>
        <v>Ver Imagen</v>
      </c>
      <c r="P4594" t="str">
        <f>HYPERLINK("SE\A-492\A-492__360.png", "Ver Imagen")</f>
        <v>Ver Imagen</v>
      </c>
    </row>
    <row r="4595" spans="1:16" x14ac:dyDescent="0.25">
      <c r="A4595">
        <v>4221</v>
      </c>
      <c r="B4595" t="s">
        <v>8453</v>
      </c>
      <c r="C4595">
        <v>37.312282596800003</v>
      </c>
      <c r="D4595">
        <v>-7.0606167169100003</v>
      </c>
      <c r="E4595">
        <v>1</v>
      </c>
      <c r="F4595">
        <v>3</v>
      </c>
      <c r="G4595">
        <v>3</v>
      </c>
      <c r="H4595">
        <v>2</v>
      </c>
      <c r="I4595">
        <v>2</v>
      </c>
      <c r="J4595" t="s">
        <v>8005</v>
      </c>
      <c r="K4595">
        <v>2</v>
      </c>
      <c r="L4595">
        <v>2.4119999999999999</v>
      </c>
      <c r="M4595">
        <v>0</v>
      </c>
      <c r="N4595" t="s">
        <v>10018</v>
      </c>
      <c r="O4595" t="str">
        <f>HYPERLINK("NoConsenso\marker_798_839426.png", "Ver Imagen")</f>
        <v>Ver Imagen</v>
      </c>
      <c r="P4595" t="str">
        <f>HYPERLINK("SE\A-492\A-492__421.png", "Ver Imagen")</f>
        <v>Ver Imagen</v>
      </c>
    </row>
    <row r="4596" spans="1:16" x14ac:dyDescent="0.25">
      <c r="A4596">
        <v>4222</v>
      </c>
      <c r="B4596" t="s">
        <v>8455</v>
      </c>
      <c r="C4596">
        <v>37.313469112999996</v>
      </c>
      <c r="D4596">
        <v>-7.06259714696</v>
      </c>
      <c r="E4596">
        <v>1</v>
      </c>
      <c r="F4596">
        <v>2</v>
      </c>
      <c r="G4596">
        <v>3</v>
      </c>
      <c r="H4596">
        <v>2</v>
      </c>
      <c r="I4596">
        <v>1</v>
      </c>
      <c r="J4596" t="s">
        <v>8005</v>
      </c>
      <c r="K4596">
        <v>2</v>
      </c>
      <c r="L4596">
        <v>2.1829999999999998</v>
      </c>
      <c r="M4596">
        <v>0</v>
      </c>
      <c r="N4596" t="s">
        <v>10019</v>
      </c>
      <c r="O4596" t="str">
        <f>HYPERLINK("NoConsenso\marker_969_839538.png", "Ver Imagen")</f>
        <v>Ver Imagen</v>
      </c>
      <c r="P4596" t="str">
        <f>HYPERLINK("SE\A-492\A-492__431.png", "Ver Imagen")</f>
        <v>Ver Imagen</v>
      </c>
    </row>
    <row r="4597" spans="1:16" x14ac:dyDescent="0.25">
      <c r="A4597">
        <v>4224</v>
      </c>
      <c r="B4597" t="s">
        <v>8457</v>
      </c>
      <c r="C4597">
        <v>37.2674988355</v>
      </c>
      <c r="D4597">
        <v>-6.9630069307599998</v>
      </c>
      <c r="E4597">
        <v>2</v>
      </c>
      <c r="F4597">
        <v>4</v>
      </c>
      <c r="G4597">
        <v>3</v>
      </c>
      <c r="H4597">
        <v>3</v>
      </c>
      <c r="I4597">
        <v>4</v>
      </c>
      <c r="J4597" t="s">
        <v>8005</v>
      </c>
      <c r="K4597">
        <v>3</v>
      </c>
      <c r="L4597">
        <v>2.9409999999999998</v>
      </c>
      <c r="M4597">
        <v>0</v>
      </c>
      <c r="N4597" t="s">
        <v>10019</v>
      </c>
      <c r="O4597" t="str">
        <f>HYPERLINK("NoConsenso\marker_793_940881.png", "Ver Imagen")</f>
        <v>Ver Imagen</v>
      </c>
      <c r="P4597" t="str">
        <f>HYPERLINK("SE\A-497\A-497__29.png", "Ver Imagen")</f>
        <v>Ver Imagen</v>
      </c>
    </row>
    <row r="4598" spans="1:16" x14ac:dyDescent="0.25">
      <c r="A4598">
        <v>4225</v>
      </c>
      <c r="B4598" t="s">
        <v>8459</v>
      </c>
      <c r="C4598">
        <v>37.267493460200001</v>
      </c>
      <c r="D4598">
        <v>-6.9627616828500001</v>
      </c>
      <c r="E4598">
        <v>2</v>
      </c>
      <c r="F4598">
        <v>4</v>
      </c>
      <c r="G4598">
        <v>3</v>
      </c>
      <c r="H4598">
        <v>4</v>
      </c>
      <c r="I4598">
        <v>4</v>
      </c>
      <c r="J4598" t="s">
        <v>8005</v>
      </c>
      <c r="K4598">
        <v>4</v>
      </c>
      <c r="L4598">
        <v>3.9790000000000001</v>
      </c>
      <c r="M4598">
        <v>0</v>
      </c>
      <c r="N4598" t="s">
        <v>10019</v>
      </c>
      <c r="O4598" t="str">
        <f>HYPERLINK("NoConsenso\marker_401_940890.png", "Ver Imagen")</f>
        <v>Ver Imagen</v>
      </c>
      <c r="P4598" t="str">
        <f>HYPERLINK("SE\A-497\A-497__28.png", "Ver Imagen")</f>
        <v>Ver Imagen</v>
      </c>
    </row>
    <row r="4599" spans="1:16" x14ac:dyDescent="0.25">
      <c r="A4599">
        <v>4226</v>
      </c>
      <c r="B4599" t="s">
        <v>8461</v>
      </c>
      <c r="C4599">
        <v>37.190892826899997</v>
      </c>
      <c r="D4599">
        <v>-6.9907708249700002</v>
      </c>
      <c r="E4599">
        <v>1</v>
      </c>
      <c r="F4599">
        <v>3</v>
      </c>
      <c r="G4599">
        <v>3</v>
      </c>
      <c r="H4599">
        <v>2</v>
      </c>
      <c r="I4599">
        <v>2</v>
      </c>
      <c r="J4599" t="s">
        <v>8005</v>
      </c>
      <c r="K4599">
        <v>2</v>
      </c>
      <c r="L4599">
        <v>1.7769999999999999</v>
      </c>
      <c r="M4599">
        <v>0</v>
      </c>
      <c r="N4599" t="s">
        <v>10019</v>
      </c>
      <c r="O4599" t="str">
        <f>HYPERLINK("NoConsenso\marker_878_944262.png", "Ver Imagen")</f>
        <v>Ver Imagen</v>
      </c>
      <c r="P4599" t="str">
        <f>HYPERLINK("SE\A-5050\A-5050__172.png", "Ver Imagen")</f>
        <v>Ver Imagen</v>
      </c>
    </row>
    <row r="4600" spans="1:16" x14ac:dyDescent="0.25">
      <c r="A4600">
        <v>4227</v>
      </c>
      <c r="B4600" t="s">
        <v>8463</v>
      </c>
      <c r="C4600">
        <v>37.192447562799998</v>
      </c>
      <c r="D4600">
        <v>-6.9940038922900003</v>
      </c>
      <c r="E4600">
        <v>2</v>
      </c>
      <c r="F4600">
        <v>4</v>
      </c>
      <c r="G4600">
        <v>3</v>
      </c>
      <c r="H4600">
        <v>3</v>
      </c>
      <c r="I4600">
        <v>4</v>
      </c>
      <c r="J4600" t="s">
        <v>8005</v>
      </c>
      <c r="K4600">
        <v>3</v>
      </c>
      <c r="L4600">
        <v>2.9780000000000002</v>
      </c>
      <c r="M4600">
        <v>0</v>
      </c>
      <c r="N4600" t="s">
        <v>10019</v>
      </c>
      <c r="O4600" t="str">
        <f>HYPERLINK("NoConsenso\marker_264_945291.png", "Ver Imagen")</f>
        <v>Ver Imagen</v>
      </c>
      <c r="P4600" t="str">
        <f>HYPERLINK("SE\A-5050\A-5050__157.png", "Ver Imagen")</f>
        <v>Ver Imagen</v>
      </c>
    </row>
    <row r="4601" spans="1:16" x14ac:dyDescent="0.25">
      <c r="A4601">
        <v>4228</v>
      </c>
      <c r="B4601" t="s">
        <v>8465</v>
      </c>
      <c r="C4601">
        <v>37.216263290900002</v>
      </c>
      <c r="D4601">
        <v>-7.0911848698400002</v>
      </c>
      <c r="E4601">
        <v>2</v>
      </c>
      <c r="F4601">
        <v>4</v>
      </c>
      <c r="G4601">
        <v>3</v>
      </c>
      <c r="H4601">
        <v>3</v>
      </c>
      <c r="I4601">
        <v>3</v>
      </c>
      <c r="J4601" t="s">
        <v>8005</v>
      </c>
      <c r="K4601">
        <v>3</v>
      </c>
      <c r="L4601">
        <v>2.9279999999999999</v>
      </c>
      <c r="M4601">
        <v>0</v>
      </c>
      <c r="N4601" t="s">
        <v>10019</v>
      </c>
      <c r="O4601" t="str">
        <f>HYPERLINK("NoConsenso\marker_241_958219.png", "Ver Imagen")</f>
        <v>Ver Imagen</v>
      </c>
      <c r="P4601" t="str">
        <f>HYPERLINK("SE\A-5052\A-5052__139.png", "Ver Imagen")</f>
        <v>Ver Imagen</v>
      </c>
    </row>
    <row r="4602" spans="1:16" x14ac:dyDescent="0.25">
      <c r="A4602">
        <v>4228</v>
      </c>
      <c r="B4602" t="s">
        <v>8465</v>
      </c>
      <c r="C4602">
        <v>37.216263290900002</v>
      </c>
      <c r="D4602">
        <v>-7.0911848698400002</v>
      </c>
      <c r="E4602">
        <v>2</v>
      </c>
      <c r="F4602">
        <v>4</v>
      </c>
      <c r="G4602">
        <v>3</v>
      </c>
      <c r="H4602">
        <v>3</v>
      </c>
      <c r="I4602">
        <v>3</v>
      </c>
      <c r="J4602" t="s">
        <v>8005</v>
      </c>
      <c r="K4602">
        <v>3</v>
      </c>
      <c r="L4602">
        <v>3.3919999999999999</v>
      </c>
      <c r="M4602">
        <v>0</v>
      </c>
      <c r="N4602" t="s">
        <v>10019</v>
      </c>
      <c r="O4602" t="str">
        <f>HYPERLINK("NoConsenso\marker_241_958219.png", "Ver Imagen")</f>
        <v>Ver Imagen</v>
      </c>
      <c r="P4602" t="str">
        <f>HYPERLINK("SO\A-5052\A-5052__139.png", "Ver Imagen")</f>
        <v>Ver Imagen</v>
      </c>
    </row>
    <row r="4603" spans="1:16" x14ac:dyDescent="0.25">
      <c r="A4603">
        <v>4229</v>
      </c>
      <c r="B4603" t="s">
        <v>8467</v>
      </c>
      <c r="C4603">
        <v>37.211317448499997</v>
      </c>
      <c r="D4603">
        <v>-7.0567758255699999</v>
      </c>
      <c r="E4603">
        <v>2</v>
      </c>
      <c r="F4603">
        <v>4</v>
      </c>
      <c r="G4603">
        <v>3</v>
      </c>
      <c r="H4603">
        <v>3</v>
      </c>
      <c r="I4603">
        <v>3</v>
      </c>
      <c r="J4603" t="s">
        <v>8005</v>
      </c>
      <c r="K4603">
        <v>3</v>
      </c>
      <c r="L4603">
        <v>2.97</v>
      </c>
      <c r="M4603">
        <v>0</v>
      </c>
      <c r="N4603" t="s">
        <v>10019</v>
      </c>
      <c r="O4603" t="str">
        <f>HYPERLINK("NoConsenso\marker_614_960507.png", "Ver Imagen")</f>
        <v>Ver Imagen</v>
      </c>
      <c r="P4603" t="str">
        <f>HYPERLINK("SE\A-5052\A-5052__279.png", "Ver Imagen")</f>
        <v>Ver Imagen</v>
      </c>
    </row>
    <row r="4604" spans="1:16" x14ac:dyDescent="0.25">
      <c r="A4604">
        <v>4230</v>
      </c>
      <c r="B4604" t="s">
        <v>8469</v>
      </c>
      <c r="C4604">
        <v>37.2107889284</v>
      </c>
      <c r="D4604">
        <v>-7.0525496502099996</v>
      </c>
      <c r="E4604">
        <v>2</v>
      </c>
      <c r="F4604">
        <v>4</v>
      </c>
      <c r="G4604">
        <v>3</v>
      </c>
      <c r="H4604">
        <v>3</v>
      </c>
      <c r="I4604">
        <v>3</v>
      </c>
      <c r="J4604" t="s">
        <v>8005</v>
      </c>
      <c r="K4604">
        <v>3</v>
      </c>
      <c r="L4604">
        <v>3.423</v>
      </c>
      <c r="M4604">
        <v>0</v>
      </c>
      <c r="N4604" t="s">
        <v>10019</v>
      </c>
      <c r="O4604" t="str">
        <f>HYPERLINK("NoConsenso\marker_990_960779.png", "Ver Imagen")</f>
        <v>Ver Imagen</v>
      </c>
      <c r="P4604" t="str">
        <f>HYPERLINK("SE\A-5052\A-5052__296.png", "Ver Imagen")</f>
        <v>Ver Imagen</v>
      </c>
    </row>
    <row r="4605" spans="1:16" x14ac:dyDescent="0.25">
      <c r="A4605">
        <v>4231</v>
      </c>
      <c r="B4605" t="s">
        <v>8471</v>
      </c>
      <c r="C4605">
        <v>37.2108140904</v>
      </c>
      <c r="D4605">
        <v>-7.0518026757800003</v>
      </c>
      <c r="E4605">
        <v>2</v>
      </c>
      <c r="F4605">
        <v>4</v>
      </c>
      <c r="G4605">
        <v>3</v>
      </c>
      <c r="H4605">
        <v>3</v>
      </c>
      <c r="I4605">
        <v>4</v>
      </c>
      <c r="J4605" t="s">
        <v>8052</v>
      </c>
      <c r="K4605">
        <v>4</v>
      </c>
      <c r="L4605">
        <v>4.0380000000000003</v>
      </c>
      <c r="M4605">
        <v>0</v>
      </c>
      <c r="N4605" t="s">
        <v>10019</v>
      </c>
      <c r="O4605" t="str">
        <f>HYPERLINK("NoConsenso\marker_156_960898.png", "Ver Imagen")</f>
        <v>Ver Imagen</v>
      </c>
      <c r="P4605" t="str">
        <f>HYPERLINK("SE\A-5052\A-5052__299.png", "Ver Imagen")</f>
        <v>Ver Imagen</v>
      </c>
    </row>
    <row r="4606" spans="1:16" x14ac:dyDescent="0.25">
      <c r="A4606">
        <v>4232</v>
      </c>
      <c r="B4606" t="s">
        <v>8473</v>
      </c>
      <c r="C4606">
        <v>37.210839917100003</v>
      </c>
      <c r="D4606">
        <v>-7.0515339724999997</v>
      </c>
      <c r="E4606">
        <v>2</v>
      </c>
      <c r="F4606">
        <v>4</v>
      </c>
      <c r="G4606">
        <v>3</v>
      </c>
      <c r="H4606">
        <v>3</v>
      </c>
      <c r="I4606">
        <v>3</v>
      </c>
      <c r="J4606" t="s">
        <v>8005</v>
      </c>
      <c r="K4606">
        <v>3</v>
      </c>
      <c r="L4606">
        <v>3.1240000000000001</v>
      </c>
      <c r="M4606">
        <v>0</v>
      </c>
      <c r="N4606" t="s">
        <v>10019</v>
      </c>
      <c r="O4606" t="str">
        <f>HYPERLINK("NoConsenso\marker_259_960909.png", "Ver Imagen")</f>
        <v>Ver Imagen</v>
      </c>
      <c r="P4606" t="str">
        <f>HYPERLINK("SE\A-5052\A-5052__300.png", "Ver Imagen")</f>
        <v>Ver Imagen</v>
      </c>
    </row>
    <row r="4607" spans="1:16" x14ac:dyDescent="0.25">
      <c r="A4607">
        <v>4233</v>
      </c>
      <c r="B4607" t="s">
        <v>8475</v>
      </c>
      <c r="C4607">
        <v>37.204146861200002</v>
      </c>
      <c r="D4607">
        <v>-7.0265626282499998</v>
      </c>
      <c r="E4607">
        <v>5</v>
      </c>
      <c r="F4607">
        <v>4</v>
      </c>
      <c r="G4607">
        <v>3</v>
      </c>
      <c r="H4607">
        <v>3</v>
      </c>
      <c r="I4607">
        <v>3</v>
      </c>
      <c r="J4607" t="s">
        <v>8005</v>
      </c>
      <c r="K4607">
        <v>3</v>
      </c>
      <c r="L4607">
        <v>2.72</v>
      </c>
      <c r="M4607">
        <v>0</v>
      </c>
      <c r="N4607" t="s">
        <v>10019</v>
      </c>
      <c r="O4607" t="str">
        <f>HYPERLINK("NoConsenso\marker_340_962755.png", "Ver Imagen")</f>
        <v>Ver Imagen</v>
      </c>
      <c r="P4607" t="str">
        <f>HYPERLINK("SE\A-5052\A-5052__408.png", "Ver Imagen")</f>
        <v>Ver Imagen</v>
      </c>
    </row>
    <row r="4608" spans="1:16" x14ac:dyDescent="0.25">
      <c r="A4608">
        <v>4234</v>
      </c>
      <c r="B4608" t="s">
        <v>8477</v>
      </c>
      <c r="C4608">
        <v>37.2675996782</v>
      </c>
      <c r="D4608">
        <v>-7.13418204295</v>
      </c>
      <c r="E4608">
        <v>5</v>
      </c>
      <c r="F4608">
        <v>4</v>
      </c>
      <c r="G4608">
        <v>3</v>
      </c>
      <c r="H4608">
        <v>4</v>
      </c>
      <c r="I4608">
        <v>4</v>
      </c>
      <c r="J4608" t="s">
        <v>8005</v>
      </c>
      <c r="K4608">
        <v>4</v>
      </c>
      <c r="L4608">
        <v>3.9140000000000001</v>
      </c>
      <c r="M4608">
        <v>0</v>
      </c>
      <c r="N4608" t="s">
        <v>10019</v>
      </c>
      <c r="O4608" t="str">
        <f>HYPERLINK("NoConsenso\marker_472_965341.png", "Ver Imagen")</f>
        <v>Ver Imagen</v>
      </c>
      <c r="P4608" t="str">
        <f>HYPERLINK("SO\A-5053\A-5053__251.png", "Ver Imagen")</f>
        <v>Ver Imagen</v>
      </c>
    </row>
    <row r="4609" spans="1:16" x14ac:dyDescent="0.25">
      <c r="A4609">
        <v>4235</v>
      </c>
      <c r="B4609" t="s">
        <v>8479</v>
      </c>
      <c r="C4609">
        <v>37.437993542599997</v>
      </c>
      <c r="D4609">
        <v>-7.08269907644</v>
      </c>
      <c r="E4609">
        <v>3</v>
      </c>
      <c r="F4609">
        <v>3</v>
      </c>
      <c r="G4609">
        <v>5</v>
      </c>
      <c r="H4609">
        <v>3</v>
      </c>
      <c r="I4609">
        <v>4</v>
      </c>
      <c r="J4609" t="s">
        <v>8005</v>
      </c>
      <c r="K4609">
        <v>3</v>
      </c>
      <c r="L4609">
        <v>2.7559999999999998</v>
      </c>
      <c r="M4609">
        <v>0</v>
      </c>
      <c r="N4609" t="s">
        <v>10019</v>
      </c>
      <c r="O4609" t="str">
        <f>HYPERLINK("NoConsenso\marker_516_381900.png", "Ver Imagen")</f>
        <v>Ver Imagen</v>
      </c>
      <c r="P4609" t="str">
        <f>HYPERLINK("NE\A-495\A-495__77.png", "Ver Imagen")</f>
        <v>Ver Imagen</v>
      </c>
    </row>
    <row r="4610" spans="1:16" x14ac:dyDescent="0.25">
      <c r="A4610">
        <v>4236</v>
      </c>
      <c r="B4610" t="s">
        <v>8481</v>
      </c>
      <c r="C4610">
        <v>37.224753500799999</v>
      </c>
      <c r="D4610">
        <v>-7.0390080739499998</v>
      </c>
      <c r="E4610">
        <v>3</v>
      </c>
      <c r="F4610">
        <v>1</v>
      </c>
      <c r="G4610">
        <v>3</v>
      </c>
      <c r="H4610">
        <v>2</v>
      </c>
      <c r="I4610">
        <v>2</v>
      </c>
      <c r="J4610" t="s">
        <v>8005</v>
      </c>
      <c r="K4610">
        <v>2</v>
      </c>
      <c r="L4610">
        <v>1.82</v>
      </c>
      <c r="M4610">
        <v>0</v>
      </c>
      <c r="N4610" t="s">
        <v>10017</v>
      </c>
      <c r="O4610" t="str">
        <f>HYPERLINK("NoConsenso\marker_100_380512.png", "Ver Imagen")</f>
        <v>Ver Imagen</v>
      </c>
      <c r="P4610" t="str">
        <f>HYPERLINK("SE\A-5058\A-5058__48.png", "Ver Imagen")</f>
        <v>Ver Imagen</v>
      </c>
    </row>
    <row r="4611" spans="1:16" x14ac:dyDescent="0.25">
      <c r="A4611">
        <v>4238</v>
      </c>
      <c r="B4611" t="s">
        <v>8485</v>
      </c>
      <c r="C4611">
        <v>37.234137532799998</v>
      </c>
      <c r="D4611">
        <v>-7.05974339607</v>
      </c>
      <c r="E4611">
        <v>3</v>
      </c>
      <c r="F4611">
        <v>1</v>
      </c>
      <c r="G4611">
        <v>3</v>
      </c>
      <c r="H4611">
        <v>2</v>
      </c>
      <c r="I4611">
        <v>1</v>
      </c>
      <c r="J4611" t="s">
        <v>8005</v>
      </c>
      <c r="K4611">
        <v>2</v>
      </c>
      <c r="L4611">
        <v>2.052</v>
      </c>
      <c r="M4611">
        <v>0</v>
      </c>
      <c r="N4611" t="s">
        <v>10019</v>
      </c>
      <c r="O4611" t="str">
        <f>HYPERLINK("NoConsenso\marker_164_381631.png", "Ver Imagen")</f>
        <v>Ver Imagen</v>
      </c>
      <c r="P4611" t="str">
        <f>HYPERLINK("SE\A-5058\A-5058__144.png", "Ver Imagen")</f>
        <v>Ver Imagen</v>
      </c>
    </row>
    <row r="4612" spans="1:16" x14ac:dyDescent="0.25">
      <c r="A4612">
        <v>4239</v>
      </c>
      <c r="B4612" t="s">
        <v>8487</v>
      </c>
      <c r="C4612">
        <v>37.248101973700003</v>
      </c>
      <c r="D4612">
        <v>-7.10156740511</v>
      </c>
      <c r="E4612">
        <v>3</v>
      </c>
      <c r="F4612">
        <v>1</v>
      </c>
      <c r="G4612">
        <v>3</v>
      </c>
      <c r="H4612">
        <v>2</v>
      </c>
      <c r="I4612">
        <v>2</v>
      </c>
      <c r="J4612" t="s">
        <v>8005</v>
      </c>
      <c r="K4612">
        <v>2</v>
      </c>
      <c r="L4612">
        <v>2.4430000000000001</v>
      </c>
      <c r="M4612">
        <v>0</v>
      </c>
      <c r="N4612" t="s">
        <v>10017</v>
      </c>
      <c r="O4612" t="str">
        <f>HYPERLINK("NoConsenso\marker_526_384645.png", "Ver Imagen")</f>
        <v>Ver Imagen</v>
      </c>
      <c r="P4612" t="str">
        <f>HYPERLINK("SE\A-5058\A-5058__331.png", "Ver Imagen")</f>
        <v>Ver Imagen</v>
      </c>
    </row>
    <row r="4613" spans="1:16" x14ac:dyDescent="0.25">
      <c r="A4613">
        <v>4240</v>
      </c>
      <c r="B4613" t="s">
        <v>8489</v>
      </c>
      <c r="C4613">
        <v>37.249852815499999</v>
      </c>
      <c r="D4613">
        <v>-7.1027484314100002</v>
      </c>
      <c r="E4613">
        <v>3</v>
      </c>
      <c r="F4613">
        <v>1</v>
      </c>
      <c r="G4613">
        <v>3</v>
      </c>
      <c r="H4613">
        <v>2</v>
      </c>
      <c r="I4613">
        <v>1</v>
      </c>
      <c r="J4613" t="s">
        <v>8005</v>
      </c>
      <c r="K4613">
        <v>2</v>
      </c>
      <c r="L4613">
        <v>2.194</v>
      </c>
      <c r="M4613">
        <v>0</v>
      </c>
      <c r="N4613" t="s">
        <v>10019</v>
      </c>
      <c r="O4613" t="str">
        <f>HYPERLINK("NoConsenso\marker_314_384775.png", "Ver Imagen")</f>
        <v>Ver Imagen</v>
      </c>
      <c r="P4613" t="str">
        <f>HYPERLINK("SE\A-5058\A-5058__341.png", "Ver Imagen")</f>
        <v>Ver Imagen</v>
      </c>
    </row>
    <row r="4614" spans="1:16" x14ac:dyDescent="0.25">
      <c r="A4614">
        <v>4240</v>
      </c>
      <c r="B4614" t="s">
        <v>8489</v>
      </c>
      <c r="C4614">
        <v>37.249852815499999</v>
      </c>
      <c r="D4614">
        <v>-7.1027484314100002</v>
      </c>
      <c r="E4614">
        <v>3</v>
      </c>
      <c r="F4614">
        <v>1</v>
      </c>
      <c r="G4614">
        <v>3</v>
      </c>
      <c r="H4614">
        <v>2</v>
      </c>
      <c r="I4614">
        <v>1</v>
      </c>
      <c r="J4614" t="s">
        <v>8005</v>
      </c>
      <c r="K4614">
        <v>2</v>
      </c>
      <c r="L4614">
        <v>2.198</v>
      </c>
      <c r="M4614">
        <v>0</v>
      </c>
      <c r="N4614" t="s">
        <v>10019</v>
      </c>
      <c r="O4614" t="str">
        <f>HYPERLINK("NoConsenso\marker_314_384775.png", "Ver Imagen")</f>
        <v>Ver Imagen</v>
      </c>
      <c r="P4614" t="str">
        <f>HYPERLINK("SO\A-5058\A-5058__341.png", "Ver Imagen")</f>
        <v>Ver Imagen</v>
      </c>
    </row>
    <row r="4615" spans="1:16" x14ac:dyDescent="0.25">
      <c r="A4615">
        <v>4241</v>
      </c>
      <c r="B4615" t="s">
        <v>8491</v>
      </c>
      <c r="C4615">
        <v>37.2526786751</v>
      </c>
      <c r="D4615">
        <v>-7.1050905753900002</v>
      </c>
      <c r="E4615">
        <v>3</v>
      </c>
      <c r="F4615">
        <v>1</v>
      </c>
      <c r="G4615">
        <v>3</v>
      </c>
      <c r="H4615">
        <v>2</v>
      </c>
      <c r="I4615">
        <v>2</v>
      </c>
      <c r="J4615" t="s">
        <v>8005</v>
      </c>
      <c r="K4615">
        <v>2</v>
      </c>
      <c r="L4615">
        <v>2.306</v>
      </c>
      <c r="M4615">
        <v>0</v>
      </c>
      <c r="N4615" t="s">
        <v>10018</v>
      </c>
      <c r="O4615" t="str">
        <f>HYPERLINK("NoConsenso\marker_681_384946.png", "Ver Imagen")</f>
        <v>Ver Imagen</v>
      </c>
      <c r="P4615" t="str">
        <f>HYPERLINK("SO\A-5058\A-5058__358.png", "Ver Imagen")</f>
        <v>Ver Imagen</v>
      </c>
    </row>
    <row r="4616" spans="1:16" x14ac:dyDescent="0.25">
      <c r="A4616">
        <v>4242</v>
      </c>
      <c r="B4616" t="s">
        <v>8493</v>
      </c>
      <c r="C4616">
        <v>37.253445637600002</v>
      </c>
      <c r="D4616">
        <v>-7.1068775745700004</v>
      </c>
      <c r="E4616">
        <v>3</v>
      </c>
      <c r="F4616">
        <v>1</v>
      </c>
      <c r="G4616">
        <v>3</v>
      </c>
      <c r="H4616">
        <v>2</v>
      </c>
      <c r="I4616">
        <v>1</v>
      </c>
      <c r="J4616" t="s">
        <v>8052</v>
      </c>
      <c r="K4616">
        <v>1</v>
      </c>
      <c r="L4616">
        <v>1</v>
      </c>
      <c r="M4616">
        <v>0</v>
      </c>
      <c r="N4616" t="s">
        <v>10019</v>
      </c>
      <c r="O4616" t="str">
        <f>HYPERLINK("NoConsenso\marker_448_385035.png", "Ver Imagen")</f>
        <v>Ver Imagen</v>
      </c>
      <c r="P4616" t="str">
        <f>HYPERLINK("SO\A-5058\A-5058__366.png", "Ver Imagen")</f>
        <v>Ver Imagen</v>
      </c>
    </row>
    <row r="4617" spans="1:16" x14ac:dyDescent="0.25">
      <c r="A4617">
        <v>4244</v>
      </c>
      <c r="B4617" t="s">
        <v>8497</v>
      </c>
      <c r="C4617">
        <v>37.2549618647</v>
      </c>
      <c r="D4617">
        <v>-7.10877665718</v>
      </c>
      <c r="E4617">
        <v>3</v>
      </c>
      <c r="F4617">
        <v>1</v>
      </c>
      <c r="G4617">
        <v>3</v>
      </c>
      <c r="H4617">
        <v>1</v>
      </c>
      <c r="I4617">
        <v>1</v>
      </c>
      <c r="J4617" t="s">
        <v>8005</v>
      </c>
      <c r="K4617">
        <v>1</v>
      </c>
      <c r="L4617">
        <v>1.242</v>
      </c>
      <c r="M4617">
        <v>0</v>
      </c>
      <c r="N4617" t="s">
        <v>10019</v>
      </c>
      <c r="O4617" t="str">
        <f>HYPERLINK("NoConsenso\marker_802_385156.png", "Ver Imagen")</f>
        <v>Ver Imagen</v>
      </c>
      <c r="P4617" t="str">
        <f>HYPERLINK("SO\A-5058\A-5058__377.png", "Ver Imagen")</f>
        <v>Ver Imagen</v>
      </c>
    </row>
    <row r="4618" spans="1:16" x14ac:dyDescent="0.25">
      <c r="A4618">
        <v>4246</v>
      </c>
      <c r="B4618" t="s">
        <v>8501</v>
      </c>
      <c r="C4618">
        <v>37.2553786832</v>
      </c>
      <c r="D4618">
        <v>-7.1178181453800002</v>
      </c>
      <c r="E4618">
        <v>3</v>
      </c>
      <c r="F4618">
        <v>1</v>
      </c>
      <c r="G4618">
        <v>3</v>
      </c>
      <c r="H4618">
        <v>2</v>
      </c>
      <c r="I4618">
        <v>2</v>
      </c>
      <c r="J4618" t="s">
        <v>8005</v>
      </c>
      <c r="K4618">
        <v>2</v>
      </c>
      <c r="L4618">
        <v>2.42</v>
      </c>
      <c r="M4618">
        <v>0</v>
      </c>
      <c r="N4618" t="s">
        <v>10019</v>
      </c>
      <c r="O4618" t="str">
        <f>HYPERLINK("NoConsenso\marker_147_388697.png", "Ver Imagen")</f>
        <v>Ver Imagen</v>
      </c>
      <c r="P4618" t="str">
        <f>HYPERLINK("SO\A-5058\A-5058__415.png", "Ver Imagen")</f>
        <v>Ver Imagen</v>
      </c>
    </row>
    <row r="4619" spans="1:16" x14ac:dyDescent="0.25">
      <c r="A4619">
        <v>4247</v>
      </c>
      <c r="B4619" t="s">
        <v>8503</v>
      </c>
      <c r="C4619">
        <v>37.4441055761</v>
      </c>
      <c r="D4619">
        <v>-7.1001978622199999</v>
      </c>
      <c r="E4619">
        <v>3</v>
      </c>
      <c r="F4619">
        <v>1</v>
      </c>
      <c r="G4619">
        <v>3</v>
      </c>
      <c r="H4619">
        <v>3</v>
      </c>
      <c r="I4619">
        <v>2</v>
      </c>
      <c r="J4619" t="s">
        <v>8005</v>
      </c>
      <c r="K4619">
        <v>3</v>
      </c>
      <c r="L4619">
        <v>2.7240000000000002</v>
      </c>
      <c r="M4619">
        <v>0</v>
      </c>
      <c r="N4619" t="s">
        <v>10019</v>
      </c>
      <c r="O4619" t="str">
        <f>HYPERLINK("NoConsenso\marker_723_380965.png", "Ver Imagen")</f>
        <v>Ver Imagen</v>
      </c>
      <c r="P4619" t="str">
        <f>HYPERLINK("NE\A-495\A-495__1.png", "Ver Imagen")</f>
        <v>Ver Imagen</v>
      </c>
    </row>
    <row r="4620" spans="1:16" x14ac:dyDescent="0.25">
      <c r="A4620">
        <v>4248</v>
      </c>
      <c r="B4620" t="s">
        <v>8505</v>
      </c>
      <c r="C4620">
        <v>37.494964994199997</v>
      </c>
      <c r="D4620">
        <v>-7.2766686014499999</v>
      </c>
      <c r="E4620">
        <v>3</v>
      </c>
      <c r="F4620">
        <v>1</v>
      </c>
      <c r="G4620">
        <v>3</v>
      </c>
      <c r="H4620">
        <v>2</v>
      </c>
      <c r="I4620">
        <v>2</v>
      </c>
      <c r="J4620" t="s">
        <v>8005</v>
      </c>
      <c r="K4620">
        <v>2</v>
      </c>
      <c r="L4620">
        <v>1.554</v>
      </c>
      <c r="M4620">
        <v>0</v>
      </c>
      <c r="N4620" t="s">
        <v>10019</v>
      </c>
      <c r="O4620" t="str">
        <f>HYPERLINK("NoConsenso\marker_542_534614.png", "Ver Imagen")</f>
        <v>Ver Imagen</v>
      </c>
      <c r="P4620" t="str">
        <f>HYPERLINK("NO\A-499\A-499__43.png", "Ver Imagen")</f>
        <v>Ver Imagen</v>
      </c>
    </row>
    <row r="4621" spans="1:16" x14ac:dyDescent="0.25">
      <c r="A4621">
        <v>4249</v>
      </c>
      <c r="B4621" t="s">
        <v>8507</v>
      </c>
      <c r="C4621">
        <v>37.497638237899999</v>
      </c>
      <c r="D4621">
        <v>-7.2679107884</v>
      </c>
      <c r="E4621">
        <v>3</v>
      </c>
      <c r="F4621">
        <v>4</v>
      </c>
      <c r="G4621">
        <v>2</v>
      </c>
      <c r="H4621">
        <v>4</v>
      </c>
      <c r="I4621">
        <v>1</v>
      </c>
      <c r="J4621" t="s">
        <v>8052</v>
      </c>
      <c r="K4621">
        <v>2</v>
      </c>
      <c r="L4621">
        <v>2.3809999999999998</v>
      </c>
      <c r="M4621">
        <v>0</v>
      </c>
      <c r="N4621" t="s">
        <v>10017</v>
      </c>
      <c r="O4621" t="str">
        <f>HYPERLINK("NoConsenso\marker_950_793121.png", "Ver Imagen")</f>
        <v>Ver Imagen</v>
      </c>
      <c r="P4621" t="str">
        <f>HYPERLINK("NO\A-499\A-499__94.png", "Ver Imagen")</f>
        <v>Ver Imagen</v>
      </c>
    </row>
    <row r="4622" spans="1:16" x14ac:dyDescent="0.25">
      <c r="A4622">
        <v>4250</v>
      </c>
      <c r="B4622" t="s">
        <v>8509</v>
      </c>
      <c r="C4622">
        <v>37.267653378799999</v>
      </c>
      <c r="D4622">
        <v>-6.9572833996799996</v>
      </c>
      <c r="E4622">
        <v>2</v>
      </c>
      <c r="F4622">
        <v>4</v>
      </c>
      <c r="G4622">
        <v>3</v>
      </c>
      <c r="H4622">
        <v>3</v>
      </c>
      <c r="I4622">
        <v>4</v>
      </c>
      <c r="J4622" t="s">
        <v>8005</v>
      </c>
      <c r="K4622">
        <v>3</v>
      </c>
      <c r="L4622">
        <v>3.028</v>
      </c>
      <c r="M4622">
        <v>0</v>
      </c>
      <c r="N4622" t="s">
        <v>10019</v>
      </c>
      <c r="O4622" t="str">
        <f>HYPERLINK("NoConsenso\marker_500_653725.png", "Ver Imagen")</f>
        <v>Ver Imagen</v>
      </c>
      <c r="P4622" t="str">
        <f>HYPERLINK("SE\A-497_2C\A-497_2C__1.png", "Ver Imagen")</f>
        <v>Ver Imagen</v>
      </c>
    </row>
    <row r="4623" spans="1:16" x14ac:dyDescent="0.25">
      <c r="A4623">
        <v>4251</v>
      </c>
      <c r="B4623" t="s">
        <v>8511</v>
      </c>
      <c r="C4623">
        <v>37.516808428799997</v>
      </c>
      <c r="D4623">
        <v>-7.2662390668199999</v>
      </c>
      <c r="E4623">
        <v>2</v>
      </c>
      <c r="F4623">
        <v>1</v>
      </c>
      <c r="G4623">
        <v>3</v>
      </c>
      <c r="H4623">
        <v>2</v>
      </c>
      <c r="I4623">
        <v>1</v>
      </c>
      <c r="J4623" t="s">
        <v>8005</v>
      </c>
      <c r="K4623">
        <v>2</v>
      </c>
      <c r="L4623">
        <v>1.7689999999999999</v>
      </c>
      <c r="M4623">
        <v>0</v>
      </c>
      <c r="N4623" t="s">
        <v>10018</v>
      </c>
      <c r="O4623" t="str">
        <f>HYPERLINK("NoConsenso\marker_522_796059.png", "Ver Imagen")</f>
        <v>Ver Imagen</v>
      </c>
      <c r="P4623" t="str">
        <f>HYPERLINK("NO\A-499\A-499__198.png", "Ver Imagen")</f>
        <v>Ver Imagen</v>
      </c>
    </row>
    <row r="4624" spans="1:16" x14ac:dyDescent="0.25">
      <c r="A4624">
        <v>4252</v>
      </c>
      <c r="B4624" t="s">
        <v>8513</v>
      </c>
      <c r="C4624">
        <v>37.27179477</v>
      </c>
      <c r="D4624">
        <v>-6.98560046351</v>
      </c>
      <c r="E4624">
        <v>3</v>
      </c>
      <c r="F4624">
        <v>1</v>
      </c>
      <c r="G4624">
        <v>3</v>
      </c>
      <c r="H4624">
        <v>2</v>
      </c>
      <c r="I4624">
        <v>2</v>
      </c>
      <c r="J4624" t="s">
        <v>8005</v>
      </c>
      <c r="K4624">
        <v>2</v>
      </c>
      <c r="L4624">
        <v>2.3769999999999998</v>
      </c>
      <c r="M4624">
        <v>0</v>
      </c>
      <c r="N4624" t="s">
        <v>10017</v>
      </c>
      <c r="O4624" t="str">
        <f>HYPERLINK("NoConsenso\marker_603_655646.png", "Ver Imagen")</f>
        <v>Ver Imagen</v>
      </c>
      <c r="P4624" t="str">
        <f>HYPERLINK("SE\A-497_2C\A-497_2C__116.png", "Ver Imagen")</f>
        <v>Ver Imagen</v>
      </c>
    </row>
    <row r="4625" spans="1:16" x14ac:dyDescent="0.25">
      <c r="A4625">
        <v>4253</v>
      </c>
      <c r="B4625" t="s">
        <v>8515</v>
      </c>
      <c r="C4625">
        <v>37.206364442899996</v>
      </c>
      <c r="D4625">
        <v>-7.0200654334400001</v>
      </c>
      <c r="E4625">
        <v>3</v>
      </c>
      <c r="F4625">
        <v>1</v>
      </c>
      <c r="G4625">
        <v>3</v>
      </c>
      <c r="H4625">
        <v>1</v>
      </c>
      <c r="I4625">
        <v>1</v>
      </c>
      <c r="J4625" t="s">
        <v>8005</v>
      </c>
      <c r="K4625">
        <v>1</v>
      </c>
      <c r="L4625">
        <v>1.419</v>
      </c>
      <c r="M4625">
        <v>0</v>
      </c>
      <c r="N4625" t="s">
        <v>10019</v>
      </c>
      <c r="O4625" t="str">
        <f>HYPERLINK("NoConsenso\marker_548_372511.png", "Ver Imagen")</f>
        <v>Ver Imagen</v>
      </c>
      <c r="P4625" t="str">
        <f>HYPERLINK("SE\A-497\A-497__529.png", "Ver Imagen")</f>
        <v>Ver Imagen</v>
      </c>
    </row>
    <row r="4626" spans="1:16" x14ac:dyDescent="0.25">
      <c r="A4626">
        <v>4255</v>
      </c>
      <c r="B4626" t="s">
        <v>8519</v>
      </c>
      <c r="C4626">
        <v>37.233780878700003</v>
      </c>
      <c r="D4626">
        <v>-7.0181860661400002</v>
      </c>
      <c r="E4626">
        <v>3</v>
      </c>
      <c r="F4626">
        <v>1</v>
      </c>
      <c r="G4626">
        <v>3</v>
      </c>
      <c r="H4626">
        <v>2</v>
      </c>
      <c r="I4626">
        <v>1</v>
      </c>
      <c r="J4626" t="s">
        <v>8052</v>
      </c>
      <c r="K4626">
        <v>1</v>
      </c>
      <c r="L4626">
        <v>1</v>
      </c>
      <c r="M4626">
        <v>0</v>
      </c>
      <c r="N4626" t="s">
        <v>10019</v>
      </c>
      <c r="O4626" t="str">
        <f>HYPERLINK("NoConsenso\marker_704_362605.png", "Ver Imagen")</f>
        <v>Ver Imagen</v>
      </c>
      <c r="P4626" t="str">
        <f>HYPERLINK("SE\A-497_2C\A-497_2C__378.png", "Ver Imagen")</f>
        <v>Ver Imagen</v>
      </c>
    </row>
    <row r="4627" spans="1:16" x14ac:dyDescent="0.25">
      <c r="A4627">
        <v>4256</v>
      </c>
      <c r="B4627" t="s">
        <v>8521</v>
      </c>
      <c r="C4627">
        <v>37.2111560707</v>
      </c>
      <c r="D4627">
        <v>-7.0238089636999996</v>
      </c>
      <c r="E4627">
        <v>3</v>
      </c>
      <c r="F4627">
        <v>1</v>
      </c>
      <c r="G4627">
        <v>3</v>
      </c>
      <c r="H4627">
        <v>2</v>
      </c>
      <c r="I4627">
        <v>3</v>
      </c>
      <c r="J4627" t="s">
        <v>8052</v>
      </c>
      <c r="K4627">
        <v>2</v>
      </c>
      <c r="L4627">
        <v>2.2080000000000002</v>
      </c>
      <c r="M4627">
        <v>0</v>
      </c>
      <c r="N4627" t="s">
        <v>10019</v>
      </c>
      <c r="O4627" t="str">
        <f>HYPERLINK("NoConsenso\marker_534_376098.png", "Ver Imagen")</f>
        <v>Ver Imagen</v>
      </c>
      <c r="P4627" t="str">
        <f>HYPERLINK("SE\A-497\A-497__500.png", "Ver Imagen")</f>
        <v>Ver Imagen</v>
      </c>
    </row>
    <row r="4628" spans="1:16" x14ac:dyDescent="0.25">
      <c r="A4628">
        <v>4257</v>
      </c>
      <c r="B4628" t="s">
        <v>8523</v>
      </c>
      <c r="C4628">
        <v>37.259567611599998</v>
      </c>
      <c r="D4628">
        <v>-7.0117814093500002</v>
      </c>
      <c r="E4628">
        <v>3</v>
      </c>
      <c r="F4628">
        <v>1</v>
      </c>
      <c r="G4628">
        <v>3</v>
      </c>
      <c r="H4628">
        <v>1</v>
      </c>
      <c r="I4628">
        <v>2</v>
      </c>
      <c r="J4628" t="s">
        <v>8005</v>
      </c>
      <c r="K4628">
        <v>2</v>
      </c>
      <c r="L4628">
        <v>2.0710000000000002</v>
      </c>
      <c r="M4628">
        <v>0</v>
      </c>
      <c r="N4628" t="s">
        <v>10019</v>
      </c>
      <c r="O4628" t="str">
        <f>HYPERLINK("NoConsenso\marker_192_378791.png", "Ver Imagen")</f>
        <v>Ver Imagen</v>
      </c>
      <c r="P4628" t="str">
        <f>HYPERLINK("SE\A-497\A-497__249.png", "Ver Imagen")</f>
        <v>Ver Imagen</v>
      </c>
    </row>
    <row r="4629" spans="1:16" x14ac:dyDescent="0.25">
      <c r="A4629">
        <v>4262</v>
      </c>
      <c r="B4629" t="s">
        <v>8533</v>
      </c>
      <c r="C4629">
        <v>37.447777211199998</v>
      </c>
      <c r="D4629">
        <v>-7.1411197386899996</v>
      </c>
      <c r="E4629">
        <v>2</v>
      </c>
      <c r="F4629">
        <v>3</v>
      </c>
      <c r="G4629">
        <v>4</v>
      </c>
      <c r="H4629">
        <v>4</v>
      </c>
      <c r="I4629">
        <v>4</v>
      </c>
      <c r="J4629" t="s">
        <v>8005</v>
      </c>
      <c r="K4629">
        <v>4</v>
      </c>
      <c r="L4629">
        <v>3.7970000000000002</v>
      </c>
      <c r="M4629">
        <v>0</v>
      </c>
      <c r="N4629" t="s">
        <v>10019</v>
      </c>
      <c r="O4629" t="str">
        <f>HYPERLINK("NoConsenso\marker_117_737930.png", "Ver Imagen")</f>
        <v>Ver Imagen</v>
      </c>
      <c r="P4629" t="str">
        <f>HYPERLINK("NE\A-490\A-490__61.png", "Ver Imagen")</f>
        <v>Ver Imagen</v>
      </c>
    </row>
    <row r="4630" spans="1:16" x14ac:dyDescent="0.25">
      <c r="A4630">
        <v>4264</v>
      </c>
      <c r="B4630" t="s">
        <v>8537</v>
      </c>
      <c r="C4630">
        <v>37.448096923500003</v>
      </c>
      <c r="D4630">
        <v>-7.1418015189200004</v>
      </c>
      <c r="E4630">
        <v>2</v>
      </c>
      <c r="F4630">
        <v>4</v>
      </c>
      <c r="G4630">
        <v>4</v>
      </c>
      <c r="H4630">
        <v>4</v>
      </c>
      <c r="I4630">
        <v>3</v>
      </c>
      <c r="J4630" t="s">
        <v>8005</v>
      </c>
      <c r="K4630">
        <v>4</v>
      </c>
      <c r="L4630">
        <v>4.1710000000000003</v>
      </c>
      <c r="M4630">
        <v>0</v>
      </c>
      <c r="N4630" t="s">
        <v>10019</v>
      </c>
      <c r="O4630" t="str">
        <f>HYPERLINK("NoConsenso\marker_585_738000.png", "Ver Imagen")</f>
        <v>Ver Imagen</v>
      </c>
      <c r="P4630" t="str">
        <f>HYPERLINK("NE\A-490\A-490__64.png", "Ver Imagen")</f>
        <v>Ver Imagen</v>
      </c>
    </row>
    <row r="4631" spans="1:16" x14ac:dyDescent="0.25">
      <c r="A4631">
        <v>4265</v>
      </c>
      <c r="B4631" t="s">
        <v>8539</v>
      </c>
      <c r="C4631">
        <v>37.449072147199999</v>
      </c>
      <c r="D4631">
        <v>-7.1502155207699998</v>
      </c>
      <c r="E4631">
        <v>2</v>
      </c>
      <c r="F4631">
        <v>3</v>
      </c>
      <c r="G4631">
        <v>4</v>
      </c>
      <c r="H4631">
        <v>3</v>
      </c>
      <c r="I4631">
        <v>3</v>
      </c>
      <c r="J4631" t="s">
        <v>8005</v>
      </c>
      <c r="K4631">
        <v>3</v>
      </c>
      <c r="L4631">
        <v>2.9630000000000001</v>
      </c>
      <c r="M4631">
        <v>0</v>
      </c>
      <c r="N4631" t="s">
        <v>10019</v>
      </c>
      <c r="O4631" t="str">
        <f>HYPERLINK("NoConsenso\marker_340_739129.png", "Ver Imagen")</f>
        <v>Ver Imagen</v>
      </c>
      <c r="P4631" t="str">
        <f>HYPERLINK("NE\A-490\A-490__98.png", "Ver Imagen")</f>
        <v>Ver Imagen</v>
      </c>
    </row>
    <row r="4632" spans="1:16" x14ac:dyDescent="0.25">
      <c r="A4632">
        <v>4266</v>
      </c>
      <c r="B4632" t="s">
        <v>8541</v>
      </c>
      <c r="C4632">
        <v>37.449193055400002</v>
      </c>
      <c r="D4632">
        <v>-7.1506714158699998</v>
      </c>
      <c r="E4632">
        <v>2</v>
      </c>
      <c r="F4632">
        <v>4</v>
      </c>
      <c r="G4632">
        <v>4</v>
      </c>
      <c r="H4632">
        <v>3</v>
      </c>
      <c r="I4632">
        <v>4</v>
      </c>
      <c r="J4632" t="s">
        <v>8052</v>
      </c>
      <c r="K4632">
        <v>3</v>
      </c>
      <c r="L4632">
        <v>2.8319999999999999</v>
      </c>
      <c r="M4632">
        <v>0</v>
      </c>
      <c r="N4632" t="s">
        <v>10019</v>
      </c>
      <c r="O4632" t="str">
        <f>HYPERLINK("NoConsenso\marker_401_739162.png", "Ver Imagen")</f>
        <v>Ver Imagen</v>
      </c>
      <c r="P4632" t="str">
        <f>HYPERLINK("NE\A-490\A-490__100.png", "Ver Imagen")</f>
        <v>Ver Imagen</v>
      </c>
    </row>
    <row r="4633" spans="1:16" x14ac:dyDescent="0.25">
      <c r="A4633">
        <v>4267</v>
      </c>
      <c r="B4633" t="s">
        <v>8543</v>
      </c>
      <c r="C4633">
        <v>37.450694000299997</v>
      </c>
      <c r="D4633">
        <v>-7.1533872384899997</v>
      </c>
      <c r="E4633">
        <v>2</v>
      </c>
      <c r="F4633">
        <v>3</v>
      </c>
      <c r="G4633">
        <v>4</v>
      </c>
      <c r="H4633">
        <v>3</v>
      </c>
      <c r="I4633">
        <v>3</v>
      </c>
      <c r="J4633" t="s">
        <v>8005</v>
      </c>
      <c r="K4633">
        <v>3</v>
      </c>
      <c r="L4633">
        <v>3.0710000000000002</v>
      </c>
      <c r="M4633">
        <v>0</v>
      </c>
      <c r="N4633" t="s">
        <v>10019</v>
      </c>
      <c r="O4633" t="str">
        <f>HYPERLINK("NoConsenso\marker_207_739826.png", "Ver Imagen")</f>
        <v>Ver Imagen</v>
      </c>
      <c r="P4633" t="str">
        <f>HYPERLINK("NE\A-490\A-490__113.png", "Ver Imagen")</f>
        <v>Ver Imagen</v>
      </c>
    </row>
    <row r="4634" spans="1:16" x14ac:dyDescent="0.25">
      <c r="A4634">
        <v>4268</v>
      </c>
      <c r="B4634" t="s">
        <v>8545</v>
      </c>
      <c r="C4634">
        <v>37.452494252900003</v>
      </c>
      <c r="D4634">
        <v>-7.1605797581799999</v>
      </c>
      <c r="E4634">
        <v>2</v>
      </c>
      <c r="F4634">
        <v>4</v>
      </c>
      <c r="G4634">
        <v>4</v>
      </c>
      <c r="H4634">
        <v>4</v>
      </c>
      <c r="I4634">
        <v>4</v>
      </c>
      <c r="J4634" t="s">
        <v>8005</v>
      </c>
      <c r="K4634">
        <v>4</v>
      </c>
      <c r="L4634">
        <v>3.7919999999999998</v>
      </c>
      <c r="M4634">
        <v>0</v>
      </c>
      <c r="N4634" t="s">
        <v>10019</v>
      </c>
      <c r="O4634" t="str">
        <f>HYPERLINK("NoConsenso\marker_431_740593.png", "Ver Imagen")</f>
        <v>Ver Imagen</v>
      </c>
      <c r="P4634" t="str">
        <f>HYPERLINK("NE\A-490\A-490__143.png", "Ver Imagen")</f>
        <v>Ver Imagen</v>
      </c>
    </row>
    <row r="4635" spans="1:16" x14ac:dyDescent="0.25">
      <c r="A4635">
        <v>4269</v>
      </c>
      <c r="B4635" t="s">
        <v>8547</v>
      </c>
      <c r="C4635">
        <v>37.452568618999997</v>
      </c>
      <c r="D4635">
        <v>-7.1608295461200004</v>
      </c>
      <c r="E4635">
        <v>2</v>
      </c>
      <c r="F4635">
        <v>4</v>
      </c>
      <c r="G4635">
        <v>4</v>
      </c>
      <c r="H4635">
        <v>4</v>
      </c>
      <c r="I4635">
        <v>4</v>
      </c>
      <c r="J4635" t="s">
        <v>8005</v>
      </c>
      <c r="K4635">
        <v>4</v>
      </c>
      <c r="L4635">
        <v>4.0199999999999996</v>
      </c>
      <c r="M4635">
        <v>0</v>
      </c>
      <c r="N4635" t="s">
        <v>10019</v>
      </c>
      <c r="O4635" t="str">
        <f>HYPERLINK("NoConsenso\marker_163_740611.png", "Ver Imagen")</f>
        <v>Ver Imagen</v>
      </c>
      <c r="P4635" t="str">
        <f>HYPERLINK("NE\A-490\A-490__144.png", "Ver Imagen")</f>
        <v>Ver Imagen</v>
      </c>
    </row>
    <row r="4636" spans="1:16" x14ac:dyDescent="0.25">
      <c r="A4636">
        <v>4270</v>
      </c>
      <c r="B4636" t="s">
        <v>8549</v>
      </c>
      <c r="C4636">
        <v>37.455971543899999</v>
      </c>
      <c r="D4636">
        <v>-7.1667630231899997</v>
      </c>
      <c r="E4636">
        <v>2</v>
      </c>
      <c r="F4636">
        <v>4</v>
      </c>
      <c r="G4636">
        <v>4</v>
      </c>
      <c r="H4636">
        <v>3</v>
      </c>
      <c r="I4636">
        <v>3</v>
      </c>
      <c r="J4636" t="s">
        <v>8005</v>
      </c>
      <c r="K4636">
        <v>3</v>
      </c>
      <c r="L4636">
        <v>2.8439999999999999</v>
      </c>
      <c r="M4636">
        <v>0</v>
      </c>
      <c r="N4636" t="s">
        <v>10019</v>
      </c>
      <c r="O4636" t="str">
        <f>HYPERLINK("NoConsenso\marker_602_741551.png", "Ver Imagen")</f>
        <v>Ver Imagen</v>
      </c>
      <c r="P4636" t="str">
        <f>HYPERLINK("NE\A-490\A-490__173.png", "Ver Imagen")</f>
        <v>Ver Imagen</v>
      </c>
    </row>
    <row r="4637" spans="1:16" x14ac:dyDescent="0.25">
      <c r="A4637">
        <v>4271</v>
      </c>
      <c r="B4637" t="s">
        <v>8551</v>
      </c>
      <c r="C4637">
        <v>37.456283139999996</v>
      </c>
      <c r="D4637">
        <v>-7.1671460751299998</v>
      </c>
      <c r="E4637">
        <v>2</v>
      </c>
      <c r="F4637">
        <v>4</v>
      </c>
      <c r="G4637">
        <v>4</v>
      </c>
      <c r="H4637">
        <v>4</v>
      </c>
      <c r="I4637">
        <v>4</v>
      </c>
      <c r="J4637" t="s">
        <v>8005</v>
      </c>
      <c r="K4637">
        <v>4</v>
      </c>
      <c r="L4637">
        <v>3.7770000000000001</v>
      </c>
      <c r="M4637">
        <v>0</v>
      </c>
      <c r="N4637" t="s">
        <v>10019</v>
      </c>
      <c r="O4637" t="str">
        <f>HYPERLINK("NoConsenso\marker_360_741609.png", "Ver Imagen")</f>
        <v>Ver Imagen</v>
      </c>
      <c r="P4637" t="str">
        <f>HYPERLINK("NE\A-490\A-490__175.png", "Ver Imagen")</f>
        <v>Ver Imagen</v>
      </c>
    </row>
    <row r="4638" spans="1:16" x14ac:dyDescent="0.25">
      <c r="A4638">
        <v>4272</v>
      </c>
      <c r="B4638" t="s">
        <v>8553</v>
      </c>
      <c r="C4638">
        <v>37.457851669500002</v>
      </c>
      <c r="D4638">
        <v>-7.1690829921699999</v>
      </c>
      <c r="E4638">
        <v>2</v>
      </c>
      <c r="F4638">
        <v>4</v>
      </c>
      <c r="G4638">
        <v>4</v>
      </c>
      <c r="H4638">
        <v>4</v>
      </c>
      <c r="I4638">
        <v>4</v>
      </c>
      <c r="J4638" t="s">
        <v>8005</v>
      </c>
      <c r="K4638">
        <v>4</v>
      </c>
      <c r="L4638">
        <v>3.8290000000000002</v>
      </c>
      <c r="M4638">
        <v>0</v>
      </c>
      <c r="N4638" t="s">
        <v>10019</v>
      </c>
      <c r="O4638" t="str">
        <f>HYPERLINK("NoConsenso\marker_825_741952.png", "Ver Imagen")</f>
        <v>Ver Imagen</v>
      </c>
      <c r="P4638" t="str">
        <f>HYPERLINK("NE\A-490\A-490__186.png", "Ver Imagen")</f>
        <v>Ver Imagen</v>
      </c>
    </row>
    <row r="4639" spans="1:16" x14ac:dyDescent="0.25">
      <c r="A4639">
        <v>4273</v>
      </c>
      <c r="B4639" t="s">
        <v>8555</v>
      </c>
      <c r="C4639">
        <v>37.458438225199998</v>
      </c>
      <c r="D4639">
        <v>-7.1698018530500001</v>
      </c>
      <c r="E4639">
        <v>2</v>
      </c>
      <c r="F4639">
        <v>4</v>
      </c>
      <c r="G4639">
        <v>4</v>
      </c>
      <c r="H4639">
        <v>4</v>
      </c>
      <c r="I4639">
        <v>4</v>
      </c>
      <c r="J4639" t="s">
        <v>8005</v>
      </c>
      <c r="K4639">
        <v>4</v>
      </c>
      <c r="L4639">
        <v>3.8039999999999998</v>
      </c>
      <c r="M4639">
        <v>0</v>
      </c>
      <c r="N4639" t="s">
        <v>10019</v>
      </c>
      <c r="O4639" t="str">
        <f>HYPERLINK("NoConsenso\marker_942_742047.png", "Ver Imagen")</f>
        <v>Ver Imagen</v>
      </c>
      <c r="P4639" t="str">
        <f>HYPERLINK("NE\A-490\A-490__190.png", "Ver Imagen")</f>
        <v>Ver Imagen</v>
      </c>
    </row>
    <row r="4640" spans="1:16" x14ac:dyDescent="0.25">
      <c r="A4640">
        <v>4274</v>
      </c>
      <c r="B4640" t="s">
        <v>8557</v>
      </c>
      <c r="C4640">
        <v>37.458573847899999</v>
      </c>
      <c r="D4640">
        <v>-7.1699683626999997</v>
      </c>
      <c r="E4640">
        <v>2</v>
      </c>
      <c r="F4640">
        <v>4</v>
      </c>
      <c r="G4640">
        <v>4</v>
      </c>
      <c r="H4640">
        <v>4</v>
      </c>
      <c r="I4640">
        <v>4</v>
      </c>
      <c r="J4640" t="s">
        <v>8005</v>
      </c>
      <c r="K4640">
        <v>4</v>
      </c>
      <c r="L4640">
        <v>3.5790000000000002</v>
      </c>
      <c r="M4640">
        <v>0</v>
      </c>
      <c r="N4640" t="s">
        <v>10019</v>
      </c>
      <c r="O4640" t="str">
        <f>HYPERLINK("NoConsenso\marker_108_742082.png", "Ver Imagen")</f>
        <v>Ver Imagen</v>
      </c>
      <c r="P4640" t="str">
        <f>HYPERLINK("NE\A-490\A-490__191.png", "Ver Imagen")</f>
        <v>Ver Imagen</v>
      </c>
    </row>
    <row r="4641" spans="1:16" x14ac:dyDescent="0.25">
      <c r="A4641">
        <v>4275</v>
      </c>
      <c r="B4641" t="s">
        <v>8559</v>
      </c>
      <c r="C4641">
        <v>37.458727684599999</v>
      </c>
      <c r="D4641">
        <v>-7.17015708934</v>
      </c>
      <c r="E4641">
        <v>2</v>
      </c>
      <c r="F4641">
        <v>4</v>
      </c>
      <c r="G4641">
        <v>4</v>
      </c>
      <c r="H4641">
        <v>4</v>
      </c>
      <c r="I4641">
        <v>4</v>
      </c>
      <c r="J4641" t="s">
        <v>8005</v>
      </c>
      <c r="K4641">
        <v>4</v>
      </c>
      <c r="L4641">
        <v>3.6219999999999999</v>
      </c>
      <c r="M4641">
        <v>0</v>
      </c>
      <c r="N4641" t="s">
        <v>10019</v>
      </c>
      <c r="O4641" t="str">
        <f>HYPERLINK("NoConsenso\marker_139_742103.png", "Ver Imagen")</f>
        <v>Ver Imagen</v>
      </c>
      <c r="P4641" t="str">
        <f>HYPERLINK("NE\A-490\A-490__192.png", "Ver Imagen")</f>
        <v>Ver Imagen</v>
      </c>
    </row>
    <row r="4642" spans="1:16" x14ac:dyDescent="0.25">
      <c r="A4642">
        <v>4276</v>
      </c>
      <c r="B4642" t="s">
        <v>8561</v>
      </c>
      <c r="C4642">
        <v>37.458864187499998</v>
      </c>
      <c r="D4642">
        <v>-7.1703240778400001</v>
      </c>
      <c r="E4642">
        <v>2</v>
      </c>
      <c r="F4642">
        <v>3</v>
      </c>
      <c r="G4642">
        <v>4</v>
      </c>
      <c r="H4642">
        <v>4</v>
      </c>
      <c r="I4642">
        <v>4</v>
      </c>
      <c r="J4642" t="s">
        <v>8005</v>
      </c>
      <c r="K4642">
        <v>4</v>
      </c>
      <c r="L4642">
        <v>3.9449999999999998</v>
      </c>
      <c r="M4642">
        <v>0</v>
      </c>
      <c r="N4642" t="s">
        <v>10019</v>
      </c>
      <c r="O4642" t="str">
        <f>HYPERLINK("NoConsenso\marker_116_742118.png", "Ver Imagen")</f>
        <v>Ver Imagen</v>
      </c>
      <c r="P4642" t="str">
        <f>HYPERLINK("NE\A-490\A-490__193.png", "Ver Imagen")</f>
        <v>Ver Imagen</v>
      </c>
    </row>
    <row r="4643" spans="1:16" x14ac:dyDescent="0.25">
      <c r="A4643">
        <v>4277</v>
      </c>
      <c r="B4643" t="s">
        <v>8563</v>
      </c>
      <c r="C4643">
        <v>37.459012210499999</v>
      </c>
      <c r="D4643">
        <v>-7.1705035555399999</v>
      </c>
      <c r="E4643">
        <v>2</v>
      </c>
      <c r="F4643">
        <v>4</v>
      </c>
      <c r="G4643">
        <v>4</v>
      </c>
      <c r="H4643">
        <v>4</v>
      </c>
      <c r="I4643">
        <v>4</v>
      </c>
      <c r="J4643" t="s">
        <v>8005</v>
      </c>
      <c r="K4643">
        <v>4</v>
      </c>
      <c r="L4643">
        <v>3.7149999999999999</v>
      </c>
      <c r="M4643">
        <v>0</v>
      </c>
      <c r="N4643" t="s">
        <v>10018</v>
      </c>
      <c r="O4643" t="str">
        <f>HYPERLINK("NoConsenso\marker_679_742139.png", "Ver Imagen")</f>
        <v>Ver Imagen</v>
      </c>
      <c r="P4643" t="str">
        <f>HYPERLINK("NE\A-490\A-490__194.png", "Ver Imagen")</f>
        <v>Ver Imagen</v>
      </c>
    </row>
    <row r="4644" spans="1:16" x14ac:dyDescent="0.25">
      <c r="A4644">
        <v>4278</v>
      </c>
      <c r="B4644" t="s">
        <v>8565</v>
      </c>
      <c r="C4644">
        <v>37.4591635166</v>
      </c>
      <c r="D4644">
        <v>-7.17068697759</v>
      </c>
      <c r="E4644">
        <v>2</v>
      </c>
      <c r="F4644">
        <v>4</v>
      </c>
      <c r="G4644">
        <v>4</v>
      </c>
      <c r="H4644">
        <v>4</v>
      </c>
      <c r="I4644">
        <v>4</v>
      </c>
      <c r="J4644" t="s">
        <v>8005</v>
      </c>
      <c r="K4644">
        <v>4</v>
      </c>
      <c r="L4644">
        <v>3.9849999999999999</v>
      </c>
      <c r="M4644">
        <v>0</v>
      </c>
      <c r="N4644" t="s">
        <v>10019</v>
      </c>
      <c r="O4644" t="str">
        <f>HYPERLINK("NoConsenso\marker_710_742167.png", "Ver Imagen")</f>
        <v>Ver Imagen</v>
      </c>
      <c r="P4644" t="str">
        <f>HYPERLINK("NE\A-490\A-490__195.png", "Ver Imagen")</f>
        <v>Ver Imagen</v>
      </c>
    </row>
    <row r="4645" spans="1:16" x14ac:dyDescent="0.25">
      <c r="A4645">
        <v>4279</v>
      </c>
      <c r="B4645" t="s">
        <v>8567</v>
      </c>
      <c r="C4645">
        <v>37.459349096300002</v>
      </c>
      <c r="D4645">
        <v>-7.1709160882600003</v>
      </c>
      <c r="E4645">
        <v>2</v>
      </c>
      <c r="F4645">
        <v>3</v>
      </c>
      <c r="G4645">
        <v>4</v>
      </c>
      <c r="H4645">
        <v>3</v>
      </c>
      <c r="I4645">
        <v>4</v>
      </c>
      <c r="J4645" t="s">
        <v>8052</v>
      </c>
      <c r="K4645">
        <v>4</v>
      </c>
      <c r="L4645">
        <v>3.8079999999999998</v>
      </c>
      <c r="M4645">
        <v>0</v>
      </c>
      <c r="N4645" t="s">
        <v>10019</v>
      </c>
      <c r="O4645" t="str">
        <f>HYPERLINK("NoConsenso\marker_686_742189.png", "Ver Imagen")</f>
        <v>Ver Imagen</v>
      </c>
      <c r="P4645" t="str">
        <f>HYPERLINK("NE\A-490\A-490__196.png", "Ver Imagen")</f>
        <v>Ver Imagen</v>
      </c>
    </row>
    <row r="4646" spans="1:16" x14ac:dyDescent="0.25">
      <c r="A4646">
        <v>4280</v>
      </c>
      <c r="B4646" t="s">
        <v>8569</v>
      </c>
      <c r="C4646">
        <v>37.459708779000003</v>
      </c>
      <c r="D4646">
        <v>-7.1713982716600002</v>
      </c>
      <c r="E4646">
        <v>2</v>
      </c>
      <c r="F4646">
        <v>4</v>
      </c>
      <c r="G4646">
        <v>4</v>
      </c>
      <c r="H4646">
        <v>4</v>
      </c>
      <c r="I4646">
        <v>4</v>
      </c>
      <c r="J4646" t="s">
        <v>8005</v>
      </c>
      <c r="K4646">
        <v>4</v>
      </c>
      <c r="L4646">
        <v>3.5369999999999999</v>
      </c>
      <c r="M4646">
        <v>0</v>
      </c>
      <c r="N4646" t="s">
        <v>10019</v>
      </c>
      <c r="O4646" t="str">
        <f>HYPERLINK("NoConsenso\marker_470_742325.png", "Ver Imagen")</f>
        <v>Ver Imagen</v>
      </c>
      <c r="P4646" t="str">
        <f>HYPERLINK("NE\A-490\A-490__199.png", "Ver Imagen")</f>
        <v>Ver Imagen</v>
      </c>
    </row>
    <row r="4647" spans="1:16" x14ac:dyDescent="0.25">
      <c r="A4647">
        <v>4281</v>
      </c>
      <c r="B4647" t="s">
        <v>8571</v>
      </c>
      <c r="C4647">
        <v>37.460958039200001</v>
      </c>
      <c r="D4647">
        <v>-7.1734112661999996</v>
      </c>
      <c r="E4647">
        <v>2</v>
      </c>
      <c r="F4647">
        <v>4</v>
      </c>
      <c r="G4647">
        <v>4</v>
      </c>
      <c r="H4647">
        <v>4</v>
      </c>
      <c r="I4647">
        <v>3</v>
      </c>
      <c r="J4647" t="s">
        <v>8005</v>
      </c>
      <c r="K4647">
        <v>4</v>
      </c>
      <c r="L4647">
        <v>3.79</v>
      </c>
      <c r="M4647">
        <v>0</v>
      </c>
      <c r="N4647" t="s">
        <v>10019</v>
      </c>
      <c r="O4647" t="str">
        <f>HYPERLINK("NoConsenso\marker_301_742643.png", "Ver Imagen")</f>
        <v>Ver Imagen</v>
      </c>
      <c r="P4647" t="str">
        <f>HYPERLINK("NE\A-490\A-490__209.png", "Ver Imagen")</f>
        <v>Ver Imagen</v>
      </c>
    </row>
    <row r="4648" spans="1:16" x14ac:dyDescent="0.25">
      <c r="A4648">
        <v>4282</v>
      </c>
      <c r="B4648" t="s">
        <v>8573</v>
      </c>
      <c r="C4648">
        <v>37.465960205000002</v>
      </c>
      <c r="D4648">
        <v>-7.1821022467600004</v>
      </c>
      <c r="E4648">
        <v>3</v>
      </c>
      <c r="F4648">
        <v>5</v>
      </c>
      <c r="G4648">
        <v>4</v>
      </c>
      <c r="H4648">
        <v>4</v>
      </c>
      <c r="I4648">
        <v>4</v>
      </c>
      <c r="J4648" t="s">
        <v>8005</v>
      </c>
      <c r="K4648">
        <v>4</v>
      </c>
      <c r="L4648">
        <v>4.2359999999999998</v>
      </c>
      <c r="M4648">
        <v>0</v>
      </c>
      <c r="N4648" t="s">
        <v>10017</v>
      </c>
      <c r="O4648" t="str">
        <f>HYPERLINK("NoConsenso\marker_124_749514.png", "Ver Imagen")</f>
        <v>Ver Imagen</v>
      </c>
      <c r="P4648" t="str">
        <f>HYPERLINK("NO\A-490\A-490__251.png", "Ver Imagen")</f>
        <v>Ver Imagen</v>
      </c>
    </row>
    <row r="4649" spans="1:16" x14ac:dyDescent="0.25">
      <c r="A4649">
        <v>4283</v>
      </c>
      <c r="B4649" t="s">
        <v>8575</v>
      </c>
      <c r="C4649">
        <v>37.4665176902</v>
      </c>
      <c r="D4649">
        <v>-7.1831391132100002</v>
      </c>
      <c r="E4649">
        <v>2</v>
      </c>
      <c r="F4649">
        <v>3</v>
      </c>
      <c r="G4649">
        <v>4</v>
      </c>
      <c r="H4649">
        <v>3</v>
      </c>
      <c r="I4649">
        <v>3</v>
      </c>
      <c r="J4649" t="s">
        <v>8005</v>
      </c>
      <c r="K4649">
        <v>3</v>
      </c>
      <c r="L4649">
        <v>3.4020000000000001</v>
      </c>
      <c r="M4649">
        <v>0</v>
      </c>
      <c r="N4649" t="s">
        <v>10018</v>
      </c>
      <c r="O4649" t="str">
        <f>HYPERLINK("NoConsenso\marker_319_749629.png", "Ver Imagen")</f>
        <v>Ver Imagen</v>
      </c>
      <c r="P4649" t="str">
        <f>HYPERLINK("NE\A-490\A-490__256.png", "Ver Imagen")</f>
        <v>Ver Imagen</v>
      </c>
    </row>
    <row r="4650" spans="1:16" x14ac:dyDescent="0.25">
      <c r="A4650">
        <v>4283</v>
      </c>
      <c r="B4650" t="s">
        <v>8575</v>
      </c>
      <c r="C4650">
        <v>37.4665176902</v>
      </c>
      <c r="D4650">
        <v>-7.1831391132100002</v>
      </c>
      <c r="E4650">
        <v>2</v>
      </c>
      <c r="F4650">
        <v>3</v>
      </c>
      <c r="G4650">
        <v>4</v>
      </c>
      <c r="H4650">
        <v>3</v>
      </c>
      <c r="I4650">
        <v>3</v>
      </c>
      <c r="J4650" t="s">
        <v>8005</v>
      </c>
      <c r="K4650">
        <v>3</v>
      </c>
      <c r="L4650">
        <v>2.742</v>
      </c>
      <c r="M4650">
        <v>0</v>
      </c>
      <c r="N4650" t="s">
        <v>10018</v>
      </c>
      <c r="O4650" t="str">
        <f>HYPERLINK("NoConsenso\marker_319_749629.png", "Ver Imagen")</f>
        <v>Ver Imagen</v>
      </c>
      <c r="P4650" t="str">
        <f>HYPERLINK("NO\A-490\A-490__256.png", "Ver Imagen")</f>
        <v>Ver Imagen</v>
      </c>
    </row>
    <row r="4651" spans="1:16" x14ac:dyDescent="0.25">
      <c r="A4651">
        <v>4284</v>
      </c>
      <c r="B4651" t="s">
        <v>8577</v>
      </c>
      <c r="C4651">
        <v>37.476808482999999</v>
      </c>
      <c r="D4651">
        <v>-7.2029460999800001</v>
      </c>
      <c r="E4651">
        <v>2</v>
      </c>
      <c r="F4651">
        <v>4</v>
      </c>
      <c r="G4651">
        <v>4</v>
      </c>
      <c r="H4651">
        <v>3</v>
      </c>
      <c r="I4651">
        <v>3</v>
      </c>
      <c r="J4651" t="s">
        <v>8005</v>
      </c>
      <c r="K4651">
        <v>3</v>
      </c>
      <c r="L4651">
        <v>2.9550000000000001</v>
      </c>
      <c r="M4651">
        <v>0</v>
      </c>
      <c r="N4651" t="s">
        <v>10018</v>
      </c>
      <c r="O4651" t="str">
        <f>HYPERLINK("NoConsenso\marker_428_751662.png", "Ver Imagen")</f>
        <v>Ver Imagen</v>
      </c>
      <c r="P4651" t="str">
        <f>HYPERLINK("NE\A-490\A-490__349.png", "Ver Imagen")</f>
        <v>Ver Imagen</v>
      </c>
    </row>
    <row r="4652" spans="1:16" x14ac:dyDescent="0.25">
      <c r="A4652">
        <v>4284</v>
      </c>
      <c r="B4652" t="s">
        <v>8577</v>
      </c>
      <c r="C4652">
        <v>37.476808482999999</v>
      </c>
      <c r="D4652">
        <v>-7.2029460999800001</v>
      </c>
      <c r="E4652">
        <v>2</v>
      </c>
      <c r="F4652">
        <v>4</v>
      </c>
      <c r="G4652">
        <v>4</v>
      </c>
      <c r="H4652">
        <v>3</v>
      </c>
      <c r="I4652">
        <v>3</v>
      </c>
      <c r="J4652" t="s">
        <v>8005</v>
      </c>
      <c r="K4652">
        <v>3</v>
      </c>
      <c r="L4652">
        <v>2.8319999999999999</v>
      </c>
      <c r="M4652">
        <v>0</v>
      </c>
      <c r="N4652" t="s">
        <v>10018</v>
      </c>
      <c r="O4652" t="str">
        <f>HYPERLINK("NoConsenso\marker_428_751662.png", "Ver Imagen")</f>
        <v>Ver Imagen</v>
      </c>
      <c r="P4652" t="str">
        <f>HYPERLINK("NO\A-490\A-490__349.png", "Ver Imagen")</f>
        <v>Ver Imagen</v>
      </c>
    </row>
    <row r="4653" spans="1:16" x14ac:dyDescent="0.25">
      <c r="A4653">
        <v>4285</v>
      </c>
      <c r="B4653" t="s">
        <v>8579</v>
      </c>
      <c r="C4653">
        <v>37.476974775999999</v>
      </c>
      <c r="D4653">
        <v>-7.2033314529499997</v>
      </c>
      <c r="E4653">
        <v>2</v>
      </c>
      <c r="F4653">
        <v>3</v>
      </c>
      <c r="G4653">
        <v>4</v>
      </c>
      <c r="H4653">
        <v>3</v>
      </c>
      <c r="I4653">
        <v>3</v>
      </c>
      <c r="J4653" t="s">
        <v>8005</v>
      </c>
      <c r="K4653">
        <v>3</v>
      </c>
      <c r="L4653">
        <v>2.621</v>
      </c>
      <c r="M4653">
        <v>0</v>
      </c>
      <c r="N4653" t="s">
        <v>10019</v>
      </c>
      <c r="O4653" t="str">
        <f>HYPERLINK("NoConsenso\marker_266_751693.png", "Ver Imagen")</f>
        <v>Ver Imagen</v>
      </c>
      <c r="P4653" t="str">
        <f>HYPERLINK("NE\A-490\A-490__351.png", "Ver Imagen")</f>
        <v>Ver Imagen</v>
      </c>
    </row>
    <row r="4654" spans="1:16" x14ac:dyDescent="0.25">
      <c r="A4654">
        <v>4285</v>
      </c>
      <c r="B4654" t="s">
        <v>8579</v>
      </c>
      <c r="C4654">
        <v>37.476974775999999</v>
      </c>
      <c r="D4654">
        <v>-7.2033314529499997</v>
      </c>
      <c r="E4654">
        <v>2</v>
      </c>
      <c r="F4654">
        <v>3</v>
      </c>
      <c r="G4654">
        <v>4</v>
      </c>
      <c r="H4654">
        <v>3</v>
      </c>
      <c r="I4654">
        <v>3</v>
      </c>
      <c r="J4654" t="s">
        <v>8005</v>
      </c>
      <c r="K4654">
        <v>3</v>
      </c>
      <c r="L4654">
        <v>2.8450000000000002</v>
      </c>
      <c r="M4654">
        <v>0</v>
      </c>
      <c r="N4654" t="s">
        <v>10019</v>
      </c>
      <c r="O4654" t="str">
        <f>HYPERLINK("NoConsenso\marker_266_751693.png", "Ver Imagen")</f>
        <v>Ver Imagen</v>
      </c>
      <c r="P4654" t="str">
        <f>HYPERLINK("NO\A-490\A-490__351.png", "Ver Imagen")</f>
        <v>Ver Imagen</v>
      </c>
    </row>
    <row r="4655" spans="1:16" x14ac:dyDescent="0.25">
      <c r="A4655">
        <v>4286</v>
      </c>
      <c r="B4655" t="s">
        <v>8581</v>
      </c>
      <c r="C4655">
        <v>37.479766871599999</v>
      </c>
      <c r="D4655">
        <v>-7.2098110479299997</v>
      </c>
      <c r="E4655">
        <v>2</v>
      </c>
      <c r="F4655">
        <v>3</v>
      </c>
      <c r="G4655">
        <v>4</v>
      </c>
      <c r="H4655">
        <v>3</v>
      </c>
      <c r="I4655">
        <v>3</v>
      </c>
      <c r="J4655" t="s">
        <v>8005</v>
      </c>
      <c r="K4655">
        <v>3</v>
      </c>
      <c r="L4655">
        <v>3.0960000000000001</v>
      </c>
      <c r="M4655">
        <v>0</v>
      </c>
      <c r="N4655" t="s">
        <v>10019</v>
      </c>
      <c r="O4655" t="str">
        <f>HYPERLINK("NoConsenso\marker_169_752333.png", "Ver Imagen")</f>
        <v>Ver Imagen</v>
      </c>
      <c r="P4655" t="str">
        <f>HYPERLINK("NO\A-490\A-490__380.png", "Ver Imagen")</f>
        <v>Ver Imagen</v>
      </c>
    </row>
    <row r="4656" spans="1:16" x14ac:dyDescent="0.25">
      <c r="A4656">
        <v>4287</v>
      </c>
      <c r="B4656" t="s">
        <v>8583</v>
      </c>
      <c r="C4656">
        <v>37.490617605499999</v>
      </c>
      <c r="D4656">
        <v>-7.24966322604</v>
      </c>
      <c r="E4656">
        <v>2</v>
      </c>
      <c r="F4656">
        <v>3</v>
      </c>
      <c r="G4656">
        <v>4</v>
      </c>
      <c r="H4656">
        <v>3</v>
      </c>
      <c r="I4656">
        <v>3</v>
      </c>
      <c r="J4656" t="s">
        <v>8005</v>
      </c>
      <c r="K4656">
        <v>3</v>
      </c>
      <c r="L4656">
        <v>3.1840000000000002</v>
      </c>
      <c r="M4656">
        <v>0</v>
      </c>
      <c r="N4656" t="s">
        <v>10019</v>
      </c>
      <c r="O4656" t="str">
        <f>HYPERLINK("NoConsenso\marker_125_818497.png", "Ver Imagen")</f>
        <v>Ver Imagen</v>
      </c>
      <c r="P4656" t="str">
        <f>HYPERLINK("NO\A-490\A-490__548.png", "Ver Imagen")</f>
        <v>Ver Imagen</v>
      </c>
    </row>
    <row r="4657" spans="1:16" x14ac:dyDescent="0.25">
      <c r="A4657">
        <v>4289</v>
      </c>
      <c r="B4657" t="s">
        <v>8587</v>
      </c>
      <c r="C4657">
        <v>37.494998450399997</v>
      </c>
      <c r="D4657">
        <v>-7.2673366617399999</v>
      </c>
      <c r="E4657">
        <v>2</v>
      </c>
      <c r="F4657">
        <v>3</v>
      </c>
      <c r="G4657">
        <v>4</v>
      </c>
      <c r="H4657">
        <v>2</v>
      </c>
      <c r="I4657">
        <v>3</v>
      </c>
      <c r="J4657" t="s">
        <v>8005</v>
      </c>
      <c r="K4657">
        <v>3</v>
      </c>
      <c r="L4657">
        <v>3.06</v>
      </c>
      <c r="M4657">
        <v>0</v>
      </c>
      <c r="N4657" t="s">
        <v>10019</v>
      </c>
      <c r="O4657" t="str">
        <f>HYPERLINK("NoConsenso\marker_613_820389.png", "Ver Imagen")</f>
        <v>Ver Imagen</v>
      </c>
      <c r="P4657" t="str">
        <f>HYPERLINK("NO\A-490\A-490__627.png", "Ver Imagen")</f>
        <v>Ver Imagen</v>
      </c>
    </row>
    <row r="4658" spans="1:16" x14ac:dyDescent="0.25">
      <c r="A4658">
        <v>4290</v>
      </c>
      <c r="B4658" t="s">
        <v>8589</v>
      </c>
      <c r="C4658">
        <v>37.2725971646</v>
      </c>
      <c r="D4658">
        <v>-6.9911038759100004</v>
      </c>
      <c r="E4658">
        <v>2</v>
      </c>
      <c r="F4658">
        <v>3</v>
      </c>
      <c r="G4658">
        <v>4</v>
      </c>
      <c r="H4658">
        <v>3</v>
      </c>
      <c r="I4658">
        <v>4</v>
      </c>
      <c r="J4658" t="s">
        <v>8005</v>
      </c>
      <c r="K4658">
        <v>3</v>
      </c>
      <c r="L4658">
        <v>3.1890000000000001</v>
      </c>
      <c r="M4658">
        <v>0</v>
      </c>
      <c r="N4658" t="s">
        <v>10018</v>
      </c>
      <c r="O4658" t="str">
        <f>HYPERLINK("NoConsenso\marker_501_821562.png", "Ver Imagen")</f>
        <v>Ver Imagen</v>
      </c>
      <c r="P4658" t="str">
        <f>HYPERLINK("SE\A-492\A-492__6.png", "Ver Imagen")</f>
        <v>Ver Imagen</v>
      </c>
    </row>
    <row r="4659" spans="1:16" x14ac:dyDescent="0.25">
      <c r="A4659">
        <v>4291</v>
      </c>
      <c r="B4659" t="s">
        <v>8591</v>
      </c>
      <c r="C4659">
        <v>37.272820255399999</v>
      </c>
      <c r="D4659">
        <v>-6.9912174702899996</v>
      </c>
      <c r="E4659">
        <v>2</v>
      </c>
      <c r="F4659">
        <v>3</v>
      </c>
      <c r="G4659">
        <v>4</v>
      </c>
      <c r="H4659">
        <v>3</v>
      </c>
      <c r="I4659">
        <v>4</v>
      </c>
      <c r="J4659" t="s">
        <v>8005</v>
      </c>
      <c r="K4659">
        <v>3</v>
      </c>
      <c r="L4659">
        <v>3.4390000000000001</v>
      </c>
      <c r="M4659">
        <v>0</v>
      </c>
      <c r="N4659" t="s">
        <v>10018</v>
      </c>
      <c r="O4659" t="str">
        <f>HYPERLINK("NoConsenso\marker_265_821575.png", "Ver Imagen")</f>
        <v>Ver Imagen</v>
      </c>
      <c r="P4659" t="str">
        <f>HYPERLINK("SE\A-492\A-492__7.png", "Ver Imagen")</f>
        <v>Ver Imagen</v>
      </c>
    </row>
    <row r="4660" spans="1:16" x14ac:dyDescent="0.25">
      <c r="A4660">
        <v>4292</v>
      </c>
      <c r="B4660" t="s">
        <v>8593</v>
      </c>
      <c r="C4660">
        <v>37.2745687026</v>
      </c>
      <c r="D4660">
        <v>-6.9912530745300003</v>
      </c>
      <c r="E4660">
        <v>2</v>
      </c>
      <c r="F4660">
        <v>4</v>
      </c>
      <c r="G4660">
        <v>4</v>
      </c>
      <c r="H4660">
        <v>3</v>
      </c>
      <c r="I4660">
        <v>4</v>
      </c>
      <c r="J4660" t="s">
        <v>8005</v>
      </c>
      <c r="K4660">
        <v>4</v>
      </c>
      <c r="L4660">
        <v>3.722</v>
      </c>
      <c r="M4660">
        <v>0</v>
      </c>
      <c r="N4660" t="s">
        <v>10019</v>
      </c>
      <c r="O4660" t="str">
        <f>HYPERLINK("NoConsenso\marker_114_821971.png", "Ver Imagen")</f>
        <v>Ver Imagen</v>
      </c>
      <c r="P4660" t="str">
        <f>HYPERLINK("SE\A-492\A-492__16.png", "Ver Imagen")</f>
        <v>Ver Imagen</v>
      </c>
    </row>
    <row r="4661" spans="1:16" x14ac:dyDescent="0.25">
      <c r="A4661">
        <v>4293</v>
      </c>
      <c r="B4661" t="s">
        <v>8595</v>
      </c>
      <c r="C4661">
        <v>37.276760819899998</v>
      </c>
      <c r="D4661">
        <v>-6.9915543435699998</v>
      </c>
      <c r="E4661">
        <v>2</v>
      </c>
      <c r="F4661">
        <v>3</v>
      </c>
      <c r="G4661">
        <v>4</v>
      </c>
      <c r="H4661">
        <v>3</v>
      </c>
      <c r="I4661">
        <v>4</v>
      </c>
      <c r="J4661" t="s">
        <v>8052</v>
      </c>
      <c r="K4661">
        <v>4</v>
      </c>
      <c r="L4661">
        <v>4.1310000000000002</v>
      </c>
      <c r="M4661">
        <v>0</v>
      </c>
      <c r="N4661" t="s">
        <v>10019</v>
      </c>
      <c r="O4661" t="str">
        <f>HYPERLINK("NoConsenso\marker_401_822297.png", "Ver Imagen")</f>
        <v>Ver Imagen</v>
      </c>
      <c r="P4661" t="str">
        <f>HYPERLINK("SE\A-492\A-492__29.png", "Ver Imagen")</f>
        <v>Ver Imagen</v>
      </c>
    </row>
    <row r="4662" spans="1:16" x14ac:dyDescent="0.25">
      <c r="A4662">
        <v>4294</v>
      </c>
      <c r="B4662" t="s">
        <v>8597</v>
      </c>
      <c r="C4662">
        <v>37.280702718000001</v>
      </c>
      <c r="D4662">
        <v>-7.0035102370600004</v>
      </c>
      <c r="E4662">
        <v>4</v>
      </c>
      <c r="F4662">
        <v>2</v>
      </c>
      <c r="G4662">
        <v>4</v>
      </c>
      <c r="H4662">
        <v>2</v>
      </c>
      <c r="I4662">
        <v>1</v>
      </c>
      <c r="J4662" t="s">
        <v>8005</v>
      </c>
      <c r="K4662">
        <v>2</v>
      </c>
      <c r="L4662">
        <v>2.0870000000000002</v>
      </c>
      <c r="M4662">
        <v>0</v>
      </c>
      <c r="N4662" t="s">
        <v>10019</v>
      </c>
      <c r="O4662" t="str">
        <f>HYPERLINK("NoConsenso\marker_739_823543.png", "Ver Imagen")</f>
        <v>Ver Imagen</v>
      </c>
      <c r="P4662" t="str">
        <f>HYPERLINK("SE\A-492\A-492__84.png", "Ver Imagen")</f>
        <v>Ver Imagen</v>
      </c>
    </row>
    <row r="4663" spans="1:16" x14ac:dyDescent="0.25">
      <c r="A4663">
        <v>4295</v>
      </c>
      <c r="B4663" t="s">
        <v>8599</v>
      </c>
      <c r="C4663">
        <v>37.2757974875</v>
      </c>
      <c r="D4663">
        <v>-7.0154515024700004</v>
      </c>
      <c r="E4663">
        <v>2</v>
      </c>
      <c r="F4663">
        <v>4</v>
      </c>
      <c r="G4663">
        <v>4</v>
      </c>
      <c r="H4663">
        <v>3</v>
      </c>
      <c r="I4663">
        <v>2</v>
      </c>
      <c r="J4663" t="s">
        <v>8005</v>
      </c>
      <c r="K4663">
        <v>3</v>
      </c>
      <c r="L4663">
        <v>2.9430000000000001</v>
      </c>
      <c r="M4663">
        <v>0</v>
      </c>
      <c r="N4663" t="s">
        <v>10019</v>
      </c>
      <c r="O4663" t="str">
        <f>HYPERLINK("NoConsenso\marker_840_824643.png", "Ver Imagen")</f>
        <v>Ver Imagen</v>
      </c>
      <c r="P4663" t="str">
        <f>HYPERLINK("SE\A-492\A-492__138.png", "Ver Imagen")</f>
        <v>Ver Imagen</v>
      </c>
    </row>
    <row r="4664" spans="1:16" x14ac:dyDescent="0.25">
      <c r="A4664">
        <v>4296</v>
      </c>
      <c r="B4664" t="s">
        <v>8601</v>
      </c>
      <c r="C4664">
        <v>37.311267532499997</v>
      </c>
      <c r="D4664">
        <v>-7.0593214938299997</v>
      </c>
      <c r="E4664">
        <v>2</v>
      </c>
      <c r="F4664">
        <v>3</v>
      </c>
      <c r="G4664">
        <v>4</v>
      </c>
      <c r="H4664">
        <v>3</v>
      </c>
      <c r="I4664">
        <v>3</v>
      </c>
      <c r="J4664" t="s">
        <v>8005</v>
      </c>
      <c r="K4664">
        <v>3</v>
      </c>
      <c r="L4664">
        <v>2.7360000000000002</v>
      </c>
      <c r="M4664">
        <v>0</v>
      </c>
      <c r="N4664" t="s">
        <v>10019</v>
      </c>
      <c r="O4664" t="str">
        <f>HYPERLINK("NoConsenso\marker_787_839331.png", "Ver Imagen")</f>
        <v>Ver Imagen</v>
      </c>
      <c r="P4664" t="str">
        <f>HYPERLINK("SE\A-492\A-492__414.png", "Ver Imagen")</f>
        <v>Ver Imagen</v>
      </c>
    </row>
    <row r="4665" spans="1:16" x14ac:dyDescent="0.25">
      <c r="A4665">
        <v>4298</v>
      </c>
      <c r="B4665" t="s">
        <v>8605</v>
      </c>
      <c r="C4665">
        <v>37.3181879276</v>
      </c>
      <c r="D4665">
        <v>-7.0712849246299996</v>
      </c>
      <c r="E4665">
        <v>4</v>
      </c>
      <c r="F4665">
        <v>2</v>
      </c>
      <c r="G4665">
        <v>4</v>
      </c>
      <c r="H4665">
        <v>2</v>
      </c>
      <c r="I4665">
        <v>1</v>
      </c>
      <c r="J4665" t="s">
        <v>8005</v>
      </c>
      <c r="K4665">
        <v>2</v>
      </c>
      <c r="L4665">
        <v>2.3940000000000001</v>
      </c>
      <c r="M4665">
        <v>0</v>
      </c>
      <c r="N4665" t="s">
        <v>10018</v>
      </c>
      <c r="O4665" t="str">
        <f>HYPERLINK("NoConsenso\marker_216_840092.png", "Ver Imagen")</f>
        <v>Ver Imagen</v>
      </c>
      <c r="P4665" t="str">
        <f>HYPERLINK("SE\A-492\A-492__474.png", "Ver Imagen")</f>
        <v>Ver Imagen</v>
      </c>
    </row>
    <row r="4666" spans="1:16" x14ac:dyDescent="0.25">
      <c r="A4666">
        <v>4299</v>
      </c>
      <c r="B4666" t="s">
        <v>8607</v>
      </c>
      <c r="C4666">
        <v>37.457519638000001</v>
      </c>
      <c r="D4666">
        <v>-7.1140987925500001</v>
      </c>
      <c r="E4666">
        <v>3</v>
      </c>
      <c r="F4666">
        <v>5</v>
      </c>
      <c r="G4666">
        <v>4</v>
      </c>
      <c r="H4666">
        <v>3</v>
      </c>
      <c r="I4666">
        <v>4</v>
      </c>
      <c r="J4666" t="s">
        <v>8005</v>
      </c>
      <c r="K4666">
        <v>4</v>
      </c>
      <c r="L4666">
        <v>3.9220000000000002</v>
      </c>
      <c r="M4666">
        <v>0</v>
      </c>
      <c r="N4666" t="s">
        <v>10019</v>
      </c>
      <c r="O4666" t="str">
        <f>HYPERLINK("NoConsenso\marker_252_935280.png", "Ver Imagen")</f>
        <v>Ver Imagen</v>
      </c>
      <c r="P4666" t="str">
        <f>HYPERLINK("NE\A-495R\A-495R__67.png", "Ver Imagen")</f>
        <v>Ver Imagen</v>
      </c>
    </row>
    <row r="4667" spans="1:16" x14ac:dyDescent="0.25">
      <c r="A4667">
        <v>4300</v>
      </c>
      <c r="B4667" t="s">
        <v>8609</v>
      </c>
      <c r="C4667">
        <v>37.269419433400003</v>
      </c>
      <c r="D4667">
        <v>-6.9774377885399996</v>
      </c>
      <c r="E4667">
        <v>2</v>
      </c>
      <c r="F4667">
        <v>4</v>
      </c>
      <c r="G4667">
        <v>4</v>
      </c>
      <c r="H4667">
        <v>3</v>
      </c>
      <c r="I4667">
        <v>4</v>
      </c>
      <c r="J4667" t="s">
        <v>8005</v>
      </c>
      <c r="K4667">
        <v>4</v>
      </c>
      <c r="L4667">
        <v>4.0359999999999996</v>
      </c>
      <c r="M4667">
        <v>0</v>
      </c>
      <c r="N4667" t="s">
        <v>10019</v>
      </c>
      <c r="O4667" t="str">
        <f>HYPERLINK("NoConsenso\marker_460_937382.png", "Ver Imagen")</f>
        <v>Ver Imagen</v>
      </c>
      <c r="P4667" t="str">
        <f>HYPERLINK("SE\A-497\A-497__87.png", "Ver Imagen")</f>
        <v>Ver Imagen</v>
      </c>
    </row>
    <row r="4668" spans="1:16" x14ac:dyDescent="0.25">
      <c r="A4668">
        <v>4301</v>
      </c>
      <c r="B4668" t="s">
        <v>8611</v>
      </c>
      <c r="C4668">
        <v>37.2673092948</v>
      </c>
      <c r="D4668">
        <v>-6.9574950935700004</v>
      </c>
      <c r="E4668">
        <v>2</v>
      </c>
      <c r="F4668">
        <v>4</v>
      </c>
      <c r="G4668">
        <v>4</v>
      </c>
      <c r="H4668">
        <v>3</v>
      </c>
      <c r="I4668">
        <v>3</v>
      </c>
      <c r="J4668" t="s">
        <v>8005</v>
      </c>
      <c r="K4668">
        <v>3</v>
      </c>
      <c r="L4668">
        <v>2.9409999999999998</v>
      </c>
      <c r="M4668">
        <v>0</v>
      </c>
      <c r="N4668" t="s">
        <v>10019</v>
      </c>
      <c r="O4668" t="str">
        <f>HYPERLINK("NoConsenso\marker_643_944060.png", "Ver Imagen")</f>
        <v>Ver Imagen</v>
      </c>
      <c r="P4668" t="str">
        <f>HYPERLINK("SE\A-497\A-497__2.png", "Ver Imagen")</f>
        <v>Ver Imagen</v>
      </c>
    </row>
    <row r="4669" spans="1:16" x14ac:dyDescent="0.25">
      <c r="A4669">
        <v>4302</v>
      </c>
      <c r="B4669" t="s">
        <v>8613</v>
      </c>
      <c r="C4669">
        <v>37.190994855500001</v>
      </c>
      <c r="D4669">
        <v>-6.99098168087</v>
      </c>
      <c r="E4669">
        <v>2</v>
      </c>
      <c r="F4669">
        <v>3</v>
      </c>
      <c r="G4669">
        <v>4</v>
      </c>
      <c r="H4669">
        <v>3</v>
      </c>
      <c r="I4669">
        <v>4</v>
      </c>
      <c r="J4669" t="s">
        <v>8005</v>
      </c>
      <c r="K4669">
        <v>3</v>
      </c>
      <c r="L4669">
        <v>2.8769999999999998</v>
      </c>
      <c r="M4669">
        <v>0</v>
      </c>
      <c r="N4669" t="s">
        <v>10019</v>
      </c>
      <c r="O4669" t="str">
        <f>HYPERLINK("NoConsenso\marker_117_944273.png", "Ver Imagen")</f>
        <v>Ver Imagen</v>
      </c>
      <c r="P4669" t="str">
        <f>HYPERLINK("SE\A-5050\A-5050__171.png", "Ver Imagen")</f>
        <v>Ver Imagen</v>
      </c>
    </row>
    <row r="4670" spans="1:16" x14ac:dyDescent="0.25">
      <c r="A4670">
        <v>4303</v>
      </c>
      <c r="B4670" t="s">
        <v>8615</v>
      </c>
      <c r="C4670">
        <v>37.191097421999999</v>
      </c>
      <c r="D4670">
        <v>-6.9911915203900001</v>
      </c>
      <c r="E4670">
        <v>2</v>
      </c>
      <c r="F4670">
        <v>3</v>
      </c>
      <c r="G4670">
        <v>4</v>
      </c>
      <c r="H4670">
        <v>3</v>
      </c>
      <c r="I4670">
        <v>4</v>
      </c>
      <c r="J4670" t="s">
        <v>8005</v>
      </c>
      <c r="K4670">
        <v>3</v>
      </c>
      <c r="L4670">
        <v>2.8610000000000002</v>
      </c>
      <c r="M4670">
        <v>0</v>
      </c>
      <c r="N4670" t="s">
        <v>10019</v>
      </c>
      <c r="O4670" t="str">
        <f>HYPERLINK("NoConsenso\marker_693_944287.png", "Ver Imagen")</f>
        <v>Ver Imagen</v>
      </c>
      <c r="P4670" t="str">
        <f>HYPERLINK("SE\A-5050\A-5050__170.png", "Ver Imagen")</f>
        <v>Ver Imagen</v>
      </c>
    </row>
    <row r="4671" spans="1:16" x14ac:dyDescent="0.25">
      <c r="A4671">
        <v>4305</v>
      </c>
      <c r="B4671" t="s">
        <v>8619</v>
      </c>
      <c r="C4671">
        <v>37.235992330400002</v>
      </c>
      <c r="D4671">
        <v>-7.0747909795400004</v>
      </c>
      <c r="E4671">
        <v>4</v>
      </c>
      <c r="F4671">
        <v>2</v>
      </c>
      <c r="G4671">
        <v>4</v>
      </c>
      <c r="H4671">
        <v>2</v>
      </c>
      <c r="I4671">
        <v>3</v>
      </c>
      <c r="J4671" t="s">
        <v>8005</v>
      </c>
      <c r="K4671">
        <v>3</v>
      </c>
      <c r="L4671">
        <v>2.742</v>
      </c>
      <c r="M4671">
        <v>0</v>
      </c>
      <c r="N4671" t="s">
        <v>10019</v>
      </c>
      <c r="O4671" t="str">
        <f>HYPERLINK("NoConsenso\marker_395_382979.png", "Ver Imagen")</f>
        <v>Ver Imagen</v>
      </c>
      <c r="P4671" t="str">
        <f>HYPERLINK("SE\A-5058\A-5058__207.png", "Ver Imagen")</f>
        <v>Ver Imagen</v>
      </c>
    </row>
    <row r="4672" spans="1:16" x14ac:dyDescent="0.25">
      <c r="A4672">
        <v>4305</v>
      </c>
      <c r="B4672" t="s">
        <v>8619</v>
      </c>
      <c r="C4672">
        <v>37.235992330400002</v>
      </c>
      <c r="D4672">
        <v>-7.0747909795400004</v>
      </c>
      <c r="E4672">
        <v>4</v>
      </c>
      <c r="F4672">
        <v>2</v>
      </c>
      <c r="G4672">
        <v>4</v>
      </c>
      <c r="H4672">
        <v>2</v>
      </c>
      <c r="I4672">
        <v>3</v>
      </c>
      <c r="J4672" t="s">
        <v>8005</v>
      </c>
      <c r="K4672">
        <v>3</v>
      </c>
      <c r="L4672">
        <v>2.72</v>
      </c>
      <c r="M4672">
        <v>0</v>
      </c>
      <c r="N4672" t="s">
        <v>10019</v>
      </c>
      <c r="O4672" t="str">
        <f>HYPERLINK("NoConsenso\marker_395_382979.png", "Ver Imagen")</f>
        <v>Ver Imagen</v>
      </c>
      <c r="P4672" t="str">
        <f>HYPERLINK("SO\A-5058\A-5058__207.png", "Ver Imagen")</f>
        <v>Ver Imagen</v>
      </c>
    </row>
    <row r="4673" spans="1:16" x14ac:dyDescent="0.25">
      <c r="A4673">
        <v>4306</v>
      </c>
      <c r="B4673" t="s">
        <v>8621</v>
      </c>
      <c r="C4673">
        <v>37.245248761399999</v>
      </c>
      <c r="D4673">
        <v>-7.0927032723099996</v>
      </c>
      <c r="E4673">
        <v>4</v>
      </c>
      <c r="F4673">
        <v>2</v>
      </c>
      <c r="G4673">
        <v>4</v>
      </c>
      <c r="H4673">
        <v>3</v>
      </c>
      <c r="I4673">
        <v>3</v>
      </c>
      <c r="J4673" t="s">
        <v>8005</v>
      </c>
      <c r="K4673">
        <v>3</v>
      </c>
      <c r="L4673">
        <v>3.0609999999999999</v>
      </c>
      <c r="M4673">
        <v>0</v>
      </c>
      <c r="N4673" t="s">
        <v>10018</v>
      </c>
      <c r="O4673" t="str">
        <f>HYPERLINK("NoConsenso\marker_197_384170.png", "Ver Imagen")</f>
        <v>Ver Imagen</v>
      </c>
      <c r="P4673" t="str">
        <f>HYPERLINK("SE\A-5058\A-5058__292.png", "Ver Imagen")</f>
        <v>Ver Imagen</v>
      </c>
    </row>
    <row r="4674" spans="1:16" x14ac:dyDescent="0.25">
      <c r="A4674">
        <v>4307</v>
      </c>
      <c r="B4674" t="s">
        <v>8623</v>
      </c>
      <c r="C4674">
        <v>37.245547779600003</v>
      </c>
      <c r="D4674">
        <v>-7.0954714589699996</v>
      </c>
      <c r="E4674">
        <v>4</v>
      </c>
      <c r="F4674">
        <v>2</v>
      </c>
      <c r="G4674">
        <v>4</v>
      </c>
      <c r="H4674">
        <v>2</v>
      </c>
      <c r="I4674">
        <v>3</v>
      </c>
      <c r="J4674" t="s">
        <v>8005</v>
      </c>
      <c r="K4674">
        <v>3</v>
      </c>
      <c r="L4674">
        <v>2.6139999999999999</v>
      </c>
      <c r="M4674">
        <v>0</v>
      </c>
      <c r="N4674" t="s">
        <v>10017</v>
      </c>
      <c r="O4674" t="str">
        <f>HYPERLINK("NoConsenso\marker_335_384312.png", "Ver Imagen")</f>
        <v>Ver Imagen</v>
      </c>
      <c r="P4674" t="str">
        <f>HYPERLINK("SE\A-5058\A-5058__303.png", "Ver Imagen")</f>
        <v>Ver Imagen</v>
      </c>
    </row>
    <row r="4675" spans="1:16" x14ac:dyDescent="0.25">
      <c r="A4675">
        <v>4307</v>
      </c>
      <c r="B4675" t="s">
        <v>8623</v>
      </c>
      <c r="C4675">
        <v>37.245547779600003</v>
      </c>
      <c r="D4675">
        <v>-7.0954714589699996</v>
      </c>
      <c r="E4675">
        <v>4</v>
      </c>
      <c r="F4675">
        <v>2</v>
      </c>
      <c r="G4675">
        <v>4</v>
      </c>
      <c r="H4675">
        <v>2</v>
      </c>
      <c r="I4675">
        <v>3</v>
      </c>
      <c r="J4675" t="s">
        <v>8005</v>
      </c>
      <c r="K4675">
        <v>3</v>
      </c>
      <c r="L4675">
        <v>3.0539999999999998</v>
      </c>
      <c r="M4675">
        <v>0</v>
      </c>
      <c r="N4675" t="s">
        <v>10017</v>
      </c>
      <c r="O4675" t="str">
        <f>HYPERLINK("NoConsenso\marker_335_384312.png", "Ver Imagen")</f>
        <v>Ver Imagen</v>
      </c>
      <c r="P4675" t="str">
        <f>HYPERLINK("SO\A-5058\A-5058__303.png", "Ver Imagen")</f>
        <v>Ver Imagen</v>
      </c>
    </row>
    <row r="4676" spans="1:16" x14ac:dyDescent="0.25">
      <c r="A4676">
        <v>4308</v>
      </c>
      <c r="B4676" t="s">
        <v>8625</v>
      </c>
      <c r="C4676">
        <v>37.258793255800001</v>
      </c>
      <c r="D4676">
        <v>-7.122306901</v>
      </c>
      <c r="E4676">
        <v>4</v>
      </c>
      <c r="F4676">
        <v>2</v>
      </c>
      <c r="G4676">
        <v>4</v>
      </c>
      <c r="H4676">
        <v>3</v>
      </c>
      <c r="I4676">
        <v>3</v>
      </c>
      <c r="J4676" t="s">
        <v>8005</v>
      </c>
      <c r="K4676">
        <v>3</v>
      </c>
      <c r="L4676">
        <v>3.09</v>
      </c>
      <c r="M4676">
        <v>0</v>
      </c>
      <c r="N4676" t="s">
        <v>10019</v>
      </c>
      <c r="O4676" t="str">
        <f>HYPERLINK("NoConsenso\marker_763_388984.png", "Ver Imagen")</f>
        <v>Ver Imagen</v>
      </c>
      <c r="P4676" t="str">
        <f>HYPERLINK("SO\A-5058\A-5058__441.png", "Ver Imagen")</f>
        <v>Ver Imagen</v>
      </c>
    </row>
    <row r="4677" spans="1:16" x14ac:dyDescent="0.25">
      <c r="A4677">
        <v>4309</v>
      </c>
      <c r="B4677" t="s">
        <v>8627</v>
      </c>
      <c r="C4677">
        <v>37.478092174499999</v>
      </c>
      <c r="D4677">
        <v>-7.1273946308899996</v>
      </c>
      <c r="E4677">
        <v>4</v>
      </c>
      <c r="F4677">
        <v>2</v>
      </c>
      <c r="G4677">
        <v>4</v>
      </c>
      <c r="H4677">
        <v>3</v>
      </c>
      <c r="I4677">
        <v>3</v>
      </c>
      <c r="J4677" t="s">
        <v>8005</v>
      </c>
      <c r="K4677">
        <v>3</v>
      </c>
      <c r="L4677">
        <v>2.891</v>
      </c>
      <c r="M4677">
        <v>0</v>
      </c>
      <c r="N4677" t="s">
        <v>10019</v>
      </c>
      <c r="O4677" t="str">
        <f>HYPERLINK("NoConsenso\marker_336_384111.png", "Ver Imagen")</f>
        <v>Ver Imagen</v>
      </c>
      <c r="P4677" t="str">
        <f>HYPERLINK("NE\A-495_1\A-495_1__158.png", "Ver Imagen")</f>
        <v>Ver Imagen</v>
      </c>
    </row>
    <row r="4678" spans="1:16" x14ac:dyDescent="0.25">
      <c r="A4678">
        <v>4310</v>
      </c>
      <c r="B4678" t="s">
        <v>8629</v>
      </c>
      <c r="C4678">
        <v>37.473159500599998</v>
      </c>
      <c r="D4678">
        <v>-7.1263866044600004</v>
      </c>
      <c r="E4678">
        <v>4</v>
      </c>
      <c r="F4678">
        <v>2</v>
      </c>
      <c r="G4678">
        <v>4</v>
      </c>
      <c r="H4678">
        <v>3</v>
      </c>
      <c r="I4678">
        <v>3</v>
      </c>
      <c r="J4678" t="s">
        <v>8005</v>
      </c>
      <c r="K4678">
        <v>3</v>
      </c>
      <c r="L4678">
        <v>2.6859999999999999</v>
      </c>
      <c r="M4678">
        <v>0</v>
      </c>
      <c r="N4678" t="s">
        <v>10019</v>
      </c>
      <c r="O4678" t="str">
        <f>HYPERLINK("NoConsenso\marker_943_384467.png", "Ver Imagen")</f>
        <v>Ver Imagen</v>
      </c>
      <c r="P4678" t="str">
        <f>HYPERLINK("NE\A-495_1\A-495_1__131.png", "Ver Imagen")</f>
        <v>Ver Imagen</v>
      </c>
    </row>
    <row r="4679" spans="1:16" x14ac:dyDescent="0.25">
      <c r="A4679">
        <v>4311</v>
      </c>
      <c r="B4679" t="s">
        <v>8631</v>
      </c>
      <c r="C4679">
        <v>37.472764194</v>
      </c>
      <c r="D4679">
        <v>-7.1264133948100001</v>
      </c>
      <c r="E4679">
        <v>4</v>
      </c>
      <c r="F4679">
        <v>2</v>
      </c>
      <c r="G4679">
        <v>4</v>
      </c>
      <c r="H4679">
        <v>3</v>
      </c>
      <c r="I4679">
        <v>3</v>
      </c>
      <c r="J4679" t="s">
        <v>8005</v>
      </c>
      <c r="K4679">
        <v>3</v>
      </c>
      <c r="L4679">
        <v>3.0190000000000001</v>
      </c>
      <c r="M4679">
        <v>0</v>
      </c>
      <c r="N4679" t="s">
        <v>10019</v>
      </c>
      <c r="O4679" t="str">
        <f>HYPERLINK("NoConsenso\marker_565_384484.png", "Ver Imagen")</f>
        <v>Ver Imagen</v>
      </c>
      <c r="P4679" t="str">
        <f>HYPERLINK("NE\A-495_1\A-495_1__129.png", "Ver Imagen")</f>
        <v>Ver Imagen</v>
      </c>
    </row>
    <row r="4680" spans="1:16" x14ac:dyDescent="0.25">
      <c r="A4680">
        <v>4312</v>
      </c>
      <c r="B4680" t="s">
        <v>8633</v>
      </c>
      <c r="C4680">
        <v>37.471814579899998</v>
      </c>
      <c r="D4680">
        <v>-7.1260644912400002</v>
      </c>
      <c r="E4680">
        <v>4</v>
      </c>
      <c r="F4680">
        <v>2</v>
      </c>
      <c r="G4680">
        <v>4</v>
      </c>
      <c r="H4680">
        <v>3</v>
      </c>
      <c r="I4680">
        <v>3</v>
      </c>
      <c r="J4680" t="s">
        <v>8005</v>
      </c>
      <c r="K4680">
        <v>3</v>
      </c>
      <c r="L4680">
        <v>2.758</v>
      </c>
      <c r="M4680">
        <v>0</v>
      </c>
      <c r="N4680" t="s">
        <v>10019</v>
      </c>
      <c r="O4680" t="str">
        <f>HYPERLINK("NoConsenso\marker_383_384530.png", "Ver Imagen")</f>
        <v>Ver Imagen</v>
      </c>
      <c r="P4680" t="str">
        <f>HYPERLINK("NE\A-495_1\A-495_1__124.png", "Ver Imagen")</f>
        <v>Ver Imagen</v>
      </c>
    </row>
    <row r="4681" spans="1:16" x14ac:dyDescent="0.25">
      <c r="A4681">
        <v>4313</v>
      </c>
      <c r="B4681" t="s">
        <v>8635</v>
      </c>
      <c r="C4681">
        <v>37.4953877031</v>
      </c>
      <c r="D4681">
        <v>-7.2707925221399998</v>
      </c>
      <c r="E4681">
        <v>4</v>
      </c>
      <c r="F4681">
        <v>2</v>
      </c>
      <c r="G4681">
        <v>4</v>
      </c>
      <c r="H4681">
        <v>2</v>
      </c>
      <c r="I4681">
        <v>2</v>
      </c>
      <c r="J4681" t="s">
        <v>8005</v>
      </c>
      <c r="K4681">
        <v>2</v>
      </c>
      <c r="L4681">
        <v>2.0129999999999999</v>
      </c>
      <c r="M4681">
        <v>0</v>
      </c>
      <c r="N4681" t="s">
        <v>10019</v>
      </c>
      <c r="O4681" t="str">
        <f>HYPERLINK("NoConsenso\marker_182_535153.png", "Ver Imagen")</f>
        <v>Ver Imagen</v>
      </c>
      <c r="P4681" t="str">
        <f>HYPERLINK("NO\A-499\A-499__68.png", "Ver Imagen")</f>
        <v>Ver Imagen</v>
      </c>
    </row>
    <row r="4682" spans="1:16" x14ac:dyDescent="0.25">
      <c r="A4682">
        <v>4314</v>
      </c>
      <c r="B4682" t="s">
        <v>8637</v>
      </c>
      <c r="C4682">
        <v>37.495416809600002</v>
      </c>
      <c r="D4682">
        <v>-7.2705188866699997</v>
      </c>
      <c r="E4682">
        <v>4</v>
      </c>
      <c r="F4682">
        <v>2</v>
      </c>
      <c r="G4682">
        <v>4</v>
      </c>
      <c r="H4682">
        <v>2</v>
      </c>
      <c r="I4682">
        <v>3</v>
      </c>
      <c r="J4682" t="s">
        <v>8005</v>
      </c>
      <c r="K4682">
        <v>3</v>
      </c>
      <c r="L4682">
        <v>3.1269999999999998</v>
      </c>
      <c r="M4682">
        <v>0</v>
      </c>
      <c r="N4682" t="s">
        <v>10019</v>
      </c>
      <c r="O4682" t="str">
        <f>HYPERLINK("NoConsenso\marker_244_535167.png", "Ver Imagen")</f>
        <v>Ver Imagen</v>
      </c>
      <c r="P4682" t="str">
        <f>HYPERLINK("NO\A-499\A-499__69.png", "Ver Imagen")</f>
        <v>Ver Imagen</v>
      </c>
    </row>
    <row r="4683" spans="1:16" x14ac:dyDescent="0.25">
      <c r="A4683">
        <v>4315</v>
      </c>
      <c r="B4683" t="s">
        <v>8639</v>
      </c>
      <c r="C4683">
        <v>37.495638115299997</v>
      </c>
      <c r="D4683">
        <v>-7.2680389754999997</v>
      </c>
      <c r="E4683">
        <v>4</v>
      </c>
      <c r="F4683">
        <v>3</v>
      </c>
      <c r="G4683">
        <v>5</v>
      </c>
      <c r="H4683">
        <v>3</v>
      </c>
      <c r="I4683">
        <v>4</v>
      </c>
      <c r="J4683" t="s">
        <v>8005</v>
      </c>
      <c r="K4683">
        <v>4</v>
      </c>
      <c r="L4683">
        <v>4.0439999999999996</v>
      </c>
      <c r="M4683">
        <v>0</v>
      </c>
      <c r="N4683" t="s">
        <v>10019</v>
      </c>
      <c r="O4683" t="str">
        <f>HYPERLINK("NoConsenso\marker_815_789375.png", "Ver Imagen")</f>
        <v>Ver Imagen</v>
      </c>
      <c r="P4683" t="str">
        <f>HYPERLINK("NO\A-499\A-499__84.png", "Ver Imagen")</f>
        <v>Ver Imagen</v>
      </c>
    </row>
    <row r="4684" spans="1:16" x14ac:dyDescent="0.25">
      <c r="A4684">
        <v>4316</v>
      </c>
      <c r="B4684" t="s">
        <v>8641</v>
      </c>
      <c r="C4684">
        <v>37.195148763600002</v>
      </c>
      <c r="D4684">
        <v>-6.9779563004299998</v>
      </c>
      <c r="E4684">
        <v>4</v>
      </c>
      <c r="F4684">
        <v>2</v>
      </c>
      <c r="G4684">
        <v>4</v>
      </c>
      <c r="H4684">
        <v>3</v>
      </c>
      <c r="I4684">
        <v>3</v>
      </c>
      <c r="J4684" t="s">
        <v>8005</v>
      </c>
      <c r="K4684">
        <v>3</v>
      </c>
      <c r="L4684">
        <v>2.851</v>
      </c>
      <c r="M4684">
        <v>0</v>
      </c>
      <c r="N4684" t="s">
        <v>10019</v>
      </c>
      <c r="O4684" t="str">
        <f>HYPERLINK("NoConsenso\marker_399_370288.png", "Ver Imagen")</f>
        <v>Ver Imagen</v>
      </c>
      <c r="P4684" t="str">
        <f>HYPERLINK("SE\A-497\A-497__709.png", "Ver Imagen")</f>
        <v>Ver Imagen</v>
      </c>
    </row>
    <row r="4685" spans="1:16" x14ac:dyDescent="0.25">
      <c r="A4685">
        <v>4317</v>
      </c>
      <c r="B4685" t="s">
        <v>8643</v>
      </c>
      <c r="C4685">
        <v>37.199931945800003</v>
      </c>
      <c r="D4685">
        <v>-6.9855737073700004</v>
      </c>
      <c r="E4685">
        <v>4</v>
      </c>
      <c r="F4685">
        <v>2</v>
      </c>
      <c r="G4685">
        <v>4</v>
      </c>
      <c r="H4685">
        <v>2</v>
      </c>
      <c r="I4685">
        <v>2</v>
      </c>
      <c r="J4685" t="s">
        <v>8005</v>
      </c>
      <c r="K4685">
        <v>2</v>
      </c>
      <c r="L4685">
        <v>1.734</v>
      </c>
      <c r="M4685">
        <v>0</v>
      </c>
      <c r="N4685" t="s">
        <v>10019</v>
      </c>
      <c r="O4685" t="str">
        <f>HYPERLINK("NoConsenso\marker_111_371034.png", "Ver Imagen")</f>
        <v>Ver Imagen</v>
      </c>
      <c r="P4685" t="str">
        <f>HYPERLINK("SE\A-497\A-497__669.png", "Ver Imagen")</f>
        <v>Ver Imagen</v>
      </c>
    </row>
    <row r="4686" spans="1:16" x14ac:dyDescent="0.25">
      <c r="A4686">
        <v>4319</v>
      </c>
      <c r="B4686" t="s">
        <v>8647</v>
      </c>
      <c r="C4686">
        <v>37.200963007399999</v>
      </c>
      <c r="D4686">
        <v>-6.9899869949799998</v>
      </c>
      <c r="E4686">
        <v>4</v>
      </c>
      <c r="F4686">
        <v>2</v>
      </c>
      <c r="G4686">
        <v>4</v>
      </c>
      <c r="H4686">
        <v>2</v>
      </c>
      <c r="I4686">
        <v>1</v>
      </c>
      <c r="J4686" t="s">
        <v>8005</v>
      </c>
      <c r="K4686">
        <v>2</v>
      </c>
      <c r="L4686">
        <v>2.4660000000000002</v>
      </c>
      <c r="M4686">
        <v>0</v>
      </c>
      <c r="N4686" t="s">
        <v>10019</v>
      </c>
      <c r="O4686" t="str">
        <f>HYPERLINK("NoConsenso\marker_664_371226.png", "Ver Imagen")</f>
        <v>Ver Imagen</v>
      </c>
      <c r="P4686" t="str">
        <f>HYPERLINK("SE\A-497\A-497__651.png", "Ver Imagen")</f>
        <v>Ver Imagen</v>
      </c>
    </row>
    <row r="4687" spans="1:16" x14ac:dyDescent="0.25">
      <c r="A4687">
        <v>4320</v>
      </c>
      <c r="B4687" t="s">
        <v>8649</v>
      </c>
      <c r="C4687">
        <v>37.202915038100002</v>
      </c>
      <c r="D4687">
        <v>-7.0021469361799999</v>
      </c>
      <c r="E4687">
        <v>4</v>
      </c>
      <c r="F4687">
        <v>2</v>
      </c>
      <c r="G4687">
        <v>4</v>
      </c>
      <c r="H4687">
        <v>2</v>
      </c>
      <c r="I4687">
        <v>2</v>
      </c>
      <c r="J4687" t="s">
        <v>8005</v>
      </c>
      <c r="K4687">
        <v>2</v>
      </c>
      <c r="L4687">
        <v>2.153</v>
      </c>
      <c r="M4687">
        <v>0</v>
      </c>
      <c r="N4687" t="s">
        <v>10019</v>
      </c>
      <c r="O4687" t="str">
        <f>HYPERLINK("NoConsenso\marker_182_371696.png", "Ver Imagen")</f>
        <v>Ver Imagen</v>
      </c>
      <c r="P4687" t="str">
        <f>HYPERLINK("SE\A-497\A-497__602.png", "Ver Imagen")</f>
        <v>Ver Imagen</v>
      </c>
    </row>
    <row r="4688" spans="1:16" x14ac:dyDescent="0.25">
      <c r="A4688">
        <v>4321</v>
      </c>
      <c r="B4688" t="s">
        <v>8651</v>
      </c>
      <c r="C4688">
        <v>37.205697302899999</v>
      </c>
      <c r="D4688">
        <v>-7.0184244718000004</v>
      </c>
      <c r="E4688">
        <v>4</v>
      </c>
      <c r="F4688">
        <v>2</v>
      </c>
      <c r="G4688">
        <v>4</v>
      </c>
      <c r="H4688">
        <v>1</v>
      </c>
      <c r="I4688">
        <v>2</v>
      </c>
      <c r="J4688" t="s">
        <v>8005</v>
      </c>
      <c r="K4688">
        <v>2</v>
      </c>
      <c r="L4688">
        <v>2.3740000000000001</v>
      </c>
      <c r="M4688">
        <v>0</v>
      </c>
      <c r="N4688" t="s">
        <v>10019</v>
      </c>
      <c r="O4688" t="str">
        <f>HYPERLINK("NoConsenso\marker_539_372431.png", "Ver Imagen")</f>
        <v>Ver Imagen</v>
      </c>
      <c r="P4688" t="str">
        <f>HYPERLINK("SE\A-497\A-497__536.png", "Ver Imagen")</f>
        <v>Ver Imagen</v>
      </c>
    </row>
    <row r="4689" spans="1:16" x14ac:dyDescent="0.25">
      <c r="A4689">
        <v>4322</v>
      </c>
      <c r="B4689" t="s">
        <v>8653</v>
      </c>
      <c r="C4689">
        <v>37.206798498399998</v>
      </c>
      <c r="D4689">
        <v>-7.0208330473</v>
      </c>
      <c r="E4689">
        <v>4</v>
      </c>
      <c r="F4689">
        <v>2</v>
      </c>
      <c r="G4689">
        <v>4</v>
      </c>
      <c r="H4689">
        <v>2</v>
      </c>
      <c r="I4689">
        <v>2</v>
      </c>
      <c r="J4689" t="s">
        <v>8005</v>
      </c>
      <c r="K4689">
        <v>2</v>
      </c>
      <c r="L4689">
        <v>1.9</v>
      </c>
      <c r="M4689">
        <v>0</v>
      </c>
      <c r="N4689" t="s">
        <v>10019</v>
      </c>
      <c r="O4689" t="str">
        <f>HYPERLINK("NoConsenso\marker_750_372548.png", "Ver Imagen")</f>
        <v>Ver Imagen</v>
      </c>
      <c r="P4689" t="str">
        <f>HYPERLINK("SE\A-497\A-497__525.png", "Ver Imagen")</f>
        <v>Ver Imagen</v>
      </c>
    </row>
    <row r="4690" spans="1:16" x14ac:dyDescent="0.25">
      <c r="A4690">
        <v>4324</v>
      </c>
      <c r="B4690" t="s">
        <v>8657</v>
      </c>
      <c r="C4690">
        <v>37.244188550300002</v>
      </c>
      <c r="D4690">
        <v>-7.01832637551</v>
      </c>
      <c r="E4690">
        <v>4</v>
      </c>
      <c r="F4690">
        <v>2</v>
      </c>
      <c r="G4690">
        <v>4</v>
      </c>
      <c r="H4690">
        <v>2</v>
      </c>
      <c r="I4690">
        <v>3</v>
      </c>
      <c r="J4690" t="s">
        <v>8005</v>
      </c>
      <c r="K4690">
        <v>3</v>
      </c>
      <c r="L4690">
        <v>3.0449999999999999</v>
      </c>
      <c r="M4690">
        <v>0</v>
      </c>
      <c r="N4690" t="s">
        <v>10019</v>
      </c>
      <c r="O4690" t="str">
        <f>HYPERLINK("NoConsenso\marker_115_377862.png", "Ver Imagen")</f>
        <v>Ver Imagen</v>
      </c>
      <c r="P4690" t="str">
        <f>HYPERLINK("SE\A-497\A-497__331.png", "Ver Imagen")</f>
        <v>Ver Imagen</v>
      </c>
    </row>
    <row r="4691" spans="1:16" x14ac:dyDescent="0.25">
      <c r="A4691">
        <v>4325</v>
      </c>
      <c r="B4691" t="s">
        <v>8659</v>
      </c>
      <c r="C4691">
        <v>37.244589565299997</v>
      </c>
      <c r="D4691">
        <v>-7.0183152179199997</v>
      </c>
      <c r="E4691">
        <v>4</v>
      </c>
      <c r="F4691">
        <v>2</v>
      </c>
      <c r="G4691">
        <v>4</v>
      </c>
      <c r="H4691">
        <v>2</v>
      </c>
      <c r="I4691">
        <v>3</v>
      </c>
      <c r="J4691" t="s">
        <v>8005</v>
      </c>
      <c r="K4691">
        <v>3</v>
      </c>
      <c r="L4691">
        <v>2.9380000000000002</v>
      </c>
      <c r="M4691">
        <v>0</v>
      </c>
      <c r="N4691" t="s">
        <v>10019</v>
      </c>
      <c r="O4691" t="str">
        <f>HYPERLINK("NoConsenso\marker_708_377881.png", "Ver Imagen")</f>
        <v>Ver Imagen</v>
      </c>
      <c r="P4691" t="str">
        <f>HYPERLINK("SE\A-497\A-497__329.png", "Ver Imagen")</f>
        <v>Ver Imagen</v>
      </c>
    </row>
    <row r="4692" spans="1:16" x14ac:dyDescent="0.25">
      <c r="A4692">
        <v>4326</v>
      </c>
      <c r="B4692" t="s">
        <v>8661</v>
      </c>
      <c r="C4692">
        <v>37.447155608700001</v>
      </c>
      <c r="D4692">
        <v>-7.1397522537100002</v>
      </c>
      <c r="E4692">
        <v>3</v>
      </c>
      <c r="F4692">
        <v>5</v>
      </c>
      <c r="G4692">
        <v>5</v>
      </c>
      <c r="H4692">
        <v>4</v>
      </c>
      <c r="I4692">
        <v>5</v>
      </c>
      <c r="J4692" t="s">
        <v>8005</v>
      </c>
      <c r="K4692">
        <v>5</v>
      </c>
      <c r="L4692">
        <v>5</v>
      </c>
      <c r="M4692">
        <v>0</v>
      </c>
      <c r="N4692" t="s">
        <v>10019</v>
      </c>
      <c r="O4692" t="str">
        <f>HYPERLINK("NoConsenso\marker_877_732399.png", "Ver Imagen")</f>
        <v>Ver Imagen</v>
      </c>
      <c r="P4692" t="str">
        <f>HYPERLINK("NE\A-490\A-490__55.png", "Ver Imagen")</f>
        <v>Ver Imagen</v>
      </c>
    </row>
    <row r="4693" spans="1:16" x14ac:dyDescent="0.25">
      <c r="A4693">
        <v>4327</v>
      </c>
      <c r="B4693" t="s">
        <v>8663</v>
      </c>
      <c r="C4693">
        <v>37.448519170099999</v>
      </c>
      <c r="D4693">
        <v>-7.1439212494</v>
      </c>
      <c r="E4693">
        <v>3</v>
      </c>
      <c r="F4693">
        <v>5</v>
      </c>
      <c r="G4693">
        <v>5</v>
      </c>
      <c r="H4693">
        <v>5</v>
      </c>
      <c r="I4693">
        <v>4</v>
      </c>
      <c r="J4693" t="s">
        <v>8005</v>
      </c>
      <c r="K4693">
        <v>5</v>
      </c>
      <c r="L4693">
        <v>4.6139999999999999</v>
      </c>
      <c r="M4693">
        <v>0</v>
      </c>
      <c r="N4693" t="s">
        <v>10019</v>
      </c>
      <c r="O4693" t="str">
        <f>HYPERLINK("NoConsenso\marker_200_738234.png", "Ver Imagen")</f>
        <v>Ver Imagen</v>
      </c>
      <c r="P4693" t="str">
        <f>HYPERLINK("NE\A-490\A-490__73.png", "Ver Imagen")</f>
        <v>Ver Imagen</v>
      </c>
    </row>
    <row r="4694" spans="1:16" x14ac:dyDescent="0.25">
      <c r="A4694">
        <v>4328</v>
      </c>
      <c r="B4694" t="s">
        <v>8665</v>
      </c>
      <c r="C4694">
        <v>37.448535827699999</v>
      </c>
      <c r="D4694">
        <v>-7.1442132693999998</v>
      </c>
      <c r="E4694">
        <v>3</v>
      </c>
      <c r="F4694">
        <v>5</v>
      </c>
      <c r="G4694">
        <v>5</v>
      </c>
      <c r="H4694">
        <v>5</v>
      </c>
      <c r="I4694">
        <v>5</v>
      </c>
      <c r="J4694" t="s">
        <v>8005</v>
      </c>
      <c r="K4694">
        <v>5</v>
      </c>
      <c r="L4694">
        <v>4.82</v>
      </c>
      <c r="M4694">
        <v>0</v>
      </c>
      <c r="N4694" t="s">
        <v>10019</v>
      </c>
      <c r="O4694" t="str">
        <f>HYPERLINK("NoConsenso\marker_833_738417.png", "Ver Imagen")</f>
        <v>Ver Imagen</v>
      </c>
      <c r="P4694" t="str">
        <f>HYPERLINK("NE\A-490\A-490__74.png", "Ver Imagen")</f>
        <v>Ver Imagen</v>
      </c>
    </row>
    <row r="4695" spans="1:16" x14ac:dyDescent="0.25">
      <c r="A4695">
        <v>4329</v>
      </c>
      <c r="B4695" t="s">
        <v>8667</v>
      </c>
      <c r="C4695">
        <v>37.273790079599998</v>
      </c>
      <c r="D4695">
        <v>-6.9912315743400004</v>
      </c>
      <c r="E4695">
        <v>4</v>
      </c>
      <c r="F4695">
        <v>3</v>
      </c>
      <c r="G4695">
        <v>5</v>
      </c>
      <c r="H4695">
        <v>3</v>
      </c>
      <c r="I4695">
        <v>4</v>
      </c>
      <c r="J4695" t="s">
        <v>8005</v>
      </c>
      <c r="K4695">
        <v>4</v>
      </c>
      <c r="L4695">
        <v>4.1340000000000003</v>
      </c>
      <c r="M4695">
        <v>0</v>
      </c>
      <c r="N4695" t="s">
        <v>10019</v>
      </c>
      <c r="O4695" t="str">
        <f>HYPERLINK("NoConsenso\marker_349_821916.png", "Ver Imagen")</f>
        <v>Ver Imagen</v>
      </c>
      <c r="P4695" t="str">
        <f>HYPERLINK("SE\A-492\A-492__12.png", "Ver Imagen")</f>
        <v>Ver Imagen</v>
      </c>
    </row>
    <row r="4696" spans="1:16" x14ac:dyDescent="0.25">
      <c r="A4696">
        <v>4330</v>
      </c>
      <c r="B4696" t="s">
        <v>8669</v>
      </c>
      <c r="C4696">
        <v>37.458319298900001</v>
      </c>
      <c r="D4696">
        <v>-7.1144589521199997</v>
      </c>
      <c r="E4696">
        <v>3</v>
      </c>
      <c r="F4696">
        <v>4</v>
      </c>
      <c r="G4696">
        <v>5</v>
      </c>
      <c r="H4696">
        <v>5</v>
      </c>
      <c r="I4696">
        <v>5</v>
      </c>
      <c r="J4696" t="s">
        <v>8005</v>
      </c>
      <c r="K4696">
        <v>5</v>
      </c>
      <c r="L4696">
        <v>4.9809999999999999</v>
      </c>
      <c r="M4696">
        <v>0</v>
      </c>
      <c r="N4696" t="s">
        <v>10019</v>
      </c>
      <c r="O4696" t="str">
        <f>HYPERLINK("NoConsenso\marker_680_935211.png", "Ver Imagen")</f>
        <v>Ver Imagen</v>
      </c>
      <c r="P4696" t="str">
        <f>HYPERLINK("NE\A-495R\A-495R__71.png", "Ver Imagen")</f>
        <v>Ver Imagen</v>
      </c>
    </row>
    <row r="4697" spans="1:16" x14ac:dyDescent="0.25">
      <c r="A4697">
        <v>4331</v>
      </c>
      <c r="B4697" t="s">
        <v>8671</v>
      </c>
      <c r="C4697">
        <v>37.454998102700003</v>
      </c>
      <c r="D4697">
        <v>-7.1131271897900001</v>
      </c>
      <c r="E4697">
        <v>5</v>
      </c>
      <c r="F4697">
        <v>3</v>
      </c>
      <c r="G4697">
        <v>5</v>
      </c>
      <c r="H4697">
        <v>4</v>
      </c>
      <c r="I4697">
        <v>4</v>
      </c>
      <c r="J4697" t="s">
        <v>8005</v>
      </c>
      <c r="K4697">
        <v>4</v>
      </c>
      <c r="L4697">
        <v>4.0129999999999999</v>
      </c>
      <c r="M4697">
        <v>0</v>
      </c>
      <c r="N4697" t="s">
        <v>10017</v>
      </c>
      <c r="O4697" t="str">
        <f>HYPERLINK("NoConsenso\marker_652_935620.png", "Ver Imagen")</f>
        <v>Ver Imagen</v>
      </c>
      <c r="P4697" t="str">
        <f>HYPERLINK("NE\A-495R\A-495R__54.png", "Ver Imagen")</f>
        <v>Ver Imagen</v>
      </c>
    </row>
    <row r="4698" spans="1:16" x14ac:dyDescent="0.25">
      <c r="A4698">
        <v>4332</v>
      </c>
      <c r="B4698" t="s">
        <v>8673</v>
      </c>
      <c r="C4698">
        <v>37.451499326799997</v>
      </c>
      <c r="D4698">
        <v>-7.1112113345100001</v>
      </c>
      <c r="E4698">
        <v>3</v>
      </c>
      <c r="F4698">
        <v>4</v>
      </c>
      <c r="G4698">
        <v>5</v>
      </c>
      <c r="H4698">
        <v>4</v>
      </c>
      <c r="I4698">
        <v>5</v>
      </c>
      <c r="J4698" t="s">
        <v>8052</v>
      </c>
      <c r="K4698">
        <v>5</v>
      </c>
      <c r="L4698">
        <v>4.9829999999999997</v>
      </c>
      <c r="M4698">
        <v>0</v>
      </c>
      <c r="N4698" t="s">
        <v>10019</v>
      </c>
      <c r="O4698" t="str">
        <f>HYPERLINK("NoConsenso\marker_935_936572.png", "Ver Imagen")</f>
        <v>Ver Imagen</v>
      </c>
      <c r="P4698" t="str">
        <f>HYPERLINK("NE\A-495R\A-495R__35.png", "Ver Imagen")</f>
        <v>Ver Imagen</v>
      </c>
    </row>
    <row r="4699" spans="1:16" x14ac:dyDescent="0.25">
      <c r="A4699">
        <v>4333</v>
      </c>
      <c r="B4699" t="s">
        <v>8675</v>
      </c>
      <c r="C4699">
        <v>37.449459716699998</v>
      </c>
      <c r="D4699">
        <v>-7.1101308235599996</v>
      </c>
      <c r="E4699">
        <v>3</v>
      </c>
      <c r="F4699">
        <v>4</v>
      </c>
      <c r="G4699">
        <v>5</v>
      </c>
      <c r="H4699">
        <v>4</v>
      </c>
      <c r="I4699">
        <v>5</v>
      </c>
      <c r="J4699" t="s">
        <v>8052</v>
      </c>
      <c r="K4699">
        <v>5</v>
      </c>
      <c r="L4699">
        <v>5</v>
      </c>
      <c r="M4699">
        <v>0</v>
      </c>
      <c r="N4699" t="s">
        <v>10019</v>
      </c>
      <c r="O4699" t="str">
        <f>HYPERLINK("NoConsenso\marker_985_936688.png", "Ver Imagen")</f>
        <v>Ver Imagen</v>
      </c>
      <c r="P4699" t="str">
        <f>HYPERLINK("NE\A-495R\A-495R__24.png", "Ver Imagen")</f>
        <v>Ver Imagen</v>
      </c>
    </row>
    <row r="4700" spans="1:16" x14ac:dyDescent="0.25">
      <c r="A4700">
        <v>4336</v>
      </c>
      <c r="B4700" t="s">
        <v>8679</v>
      </c>
      <c r="C4700">
        <v>37.2690234047</v>
      </c>
      <c r="D4700">
        <v>-6.9759818497300001</v>
      </c>
      <c r="E4700">
        <v>3</v>
      </c>
      <c r="F4700">
        <v>4</v>
      </c>
      <c r="G4700">
        <v>5</v>
      </c>
      <c r="H4700">
        <v>3</v>
      </c>
      <c r="I4700">
        <v>4</v>
      </c>
      <c r="J4700" t="s">
        <v>8005</v>
      </c>
      <c r="K4700">
        <v>4</v>
      </c>
      <c r="L4700">
        <v>3.8159999999999998</v>
      </c>
      <c r="M4700">
        <v>0</v>
      </c>
      <c r="N4700" t="s">
        <v>10019</v>
      </c>
      <c r="O4700" t="str">
        <f>HYPERLINK("NoConsenso\marker_706_937449.png", "Ver Imagen")</f>
        <v>Ver Imagen</v>
      </c>
      <c r="P4700" t="str">
        <f>HYPERLINK("SE\A-497\A-497__81.png", "Ver Imagen")</f>
        <v>Ver Imagen</v>
      </c>
    </row>
    <row r="4701" spans="1:16" x14ac:dyDescent="0.25">
      <c r="A4701">
        <v>4337</v>
      </c>
      <c r="B4701" t="s">
        <v>8681</v>
      </c>
      <c r="C4701">
        <v>37.268679775700001</v>
      </c>
      <c r="D4701">
        <v>-6.97452664457</v>
      </c>
      <c r="E4701">
        <v>3</v>
      </c>
      <c r="F4701">
        <v>3</v>
      </c>
      <c r="G4701">
        <v>5</v>
      </c>
      <c r="H4701">
        <v>3</v>
      </c>
      <c r="I4701">
        <v>4</v>
      </c>
      <c r="J4701" t="s">
        <v>8005</v>
      </c>
      <c r="K4701">
        <v>3</v>
      </c>
      <c r="L4701">
        <v>3.1960000000000002</v>
      </c>
      <c r="M4701">
        <v>0</v>
      </c>
      <c r="N4701" t="s">
        <v>10019</v>
      </c>
      <c r="O4701" t="str">
        <f>HYPERLINK("NoConsenso\marker_733_937988.png", "Ver Imagen")</f>
        <v>Ver Imagen</v>
      </c>
      <c r="P4701" t="str">
        <f>HYPERLINK("SE\A-497\A-497__75.png", "Ver Imagen")</f>
        <v>Ver Imagen</v>
      </c>
    </row>
    <row r="4702" spans="1:16" x14ac:dyDescent="0.25">
      <c r="A4702">
        <v>4338</v>
      </c>
      <c r="B4702" t="s">
        <v>8683</v>
      </c>
      <c r="C4702">
        <v>37.435550139999997</v>
      </c>
      <c r="D4702">
        <v>-7.0747629218199997</v>
      </c>
      <c r="E4702">
        <v>5</v>
      </c>
      <c r="F4702">
        <v>3</v>
      </c>
      <c r="G4702">
        <v>5</v>
      </c>
      <c r="H4702">
        <v>4</v>
      </c>
      <c r="I4702">
        <v>3</v>
      </c>
      <c r="J4702" t="s">
        <v>8005</v>
      </c>
      <c r="K4702">
        <v>4</v>
      </c>
      <c r="L4702">
        <v>4.4429999999999996</v>
      </c>
      <c r="M4702">
        <v>0</v>
      </c>
      <c r="N4702" t="s">
        <v>10019</v>
      </c>
      <c r="O4702" t="str">
        <f>HYPERLINK("NoConsenso\marker_747_382303.png", "Ver Imagen")</f>
        <v>Ver Imagen</v>
      </c>
      <c r="P4702" t="str">
        <f>HYPERLINK("NE\A-495\A-495__113.png", "Ver Imagen")</f>
        <v>Ver Imagen</v>
      </c>
    </row>
    <row r="4703" spans="1:16" x14ac:dyDescent="0.25">
      <c r="A4703">
        <v>4339</v>
      </c>
      <c r="B4703" t="s">
        <v>8685</v>
      </c>
      <c r="C4703">
        <v>37.186207335200002</v>
      </c>
      <c r="D4703">
        <v>-6.9805068966499997</v>
      </c>
      <c r="E4703">
        <v>5</v>
      </c>
      <c r="F4703">
        <v>3</v>
      </c>
      <c r="G4703">
        <v>5</v>
      </c>
      <c r="H4703">
        <v>3</v>
      </c>
      <c r="I4703">
        <v>4</v>
      </c>
      <c r="J4703" t="s">
        <v>8005</v>
      </c>
      <c r="K4703">
        <v>4</v>
      </c>
      <c r="L4703">
        <v>3.6120000000000001</v>
      </c>
      <c r="M4703">
        <v>0</v>
      </c>
      <c r="N4703" t="s">
        <v>10019</v>
      </c>
      <c r="O4703" t="str">
        <f>HYPERLINK("NoConsenso\marker_716_368557.png", "Ver Imagen")</f>
        <v>Ver Imagen</v>
      </c>
      <c r="P4703" t="str">
        <f>HYPERLINK("SE\A-497\A-497__761.png", "Ver Imagen")</f>
        <v>Ver Imagen</v>
      </c>
    </row>
    <row r="4704" spans="1:16" x14ac:dyDescent="0.25">
      <c r="A4704">
        <v>4340</v>
      </c>
      <c r="B4704" t="s">
        <v>8687</v>
      </c>
      <c r="C4704">
        <v>37.185863876699997</v>
      </c>
      <c r="D4704">
        <v>-6.9802462198099997</v>
      </c>
      <c r="E4704">
        <v>5</v>
      </c>
      <c r="F4704">
        <v>3</v>
      </c>
      <c r="G4704">
        <v>5</v>
      </c>
      <c r="H4704">
        <v>3</v>
      </c>
      <c r="I4704">
        <v>3</v>
      </c>
      <c r="J4704" t="s">
        <v>8005</v>
      </c>
      <c r="K4704">
        <v>3</v>
      </c>
      <c r="L4704">
        <v>2.8159999999999998</v>
      </c>
      <c r="M4704">
        <v>0</v>
      </c>
      <c r="N4704" t="s">
        <v>10019</v>
      </c>
      <c r="O4704" t="str">
        <f>HYPERLINK("NoConsenso\marker_331_368580.png", "Ver Imagen")</f>
        <v>Ver Imagen</v>
      </c>
      <c r="P4704" t="str">
        <f>HYPERLINK("SE\A-497\A-497__759.png", "Ver Imagen")</f>
        <v>Ver Imagen</v>
      </c>
    </row>
    <row r="4705" spans="1:16" x14ac:dyDescent="0.25">
      <c r="A4705">
        <v>4341</v>
      </c>
      <c r="B4705" t="s">
        <v>8689</v>
      </c>
      <c r="C4705">
        <v>37.186736868099999</v>
      </c>
      <c r="D4705">
        <v>-6.9795132735800003</v>
      </c>
      <c r="E4705">
        <v>5</v>
      </c>
      <c r="F4705">
        <v>3</v>
      </c>
      <c r="G4705">
        <v>5</v>
      </c>
      <c r="H4705">
        <v>3</v>
      </c>
      <c r="I4705">
        <v>4</v>
      </c>
      <c r="J4705" t="s">
        <v>8005</v>
      </c>
      <c r="K4705">
        <v>4</v>
      </c>
      <c r="L4705">
        <v>3.956</v>
      </c>
      <c r="M4705">
        <v>0</v>
      </c>
      <c r="N4705" t="s">
        <v>10019</v>
      </c>
      <c r="O4705" t="str">
        <f>HYPERLINK("NoConsenso\marker_576_368650.png", "Ver Imagen")</f>
        <v>Ver Imagen</v>
      </c>
      <c r="P4705" t="str">
        <f>HYPERLINK("SE\A-497\A-497__753.png", "Ver Imagen")</f>
        <v>Ver Imagen</v>
      </c>
    </row>
    <row r="4706" spans="1:16" x14ac:dyDescent="0.25">
      <c r="A4706">
        <v>4342</v>
      </c>
      <c r="B4706" t="s">
        <v>8691</v>
      </c>
      <c r="C4706">
        <v>37.267588447000001</v>
      </c>
      <c r="D4706">
        <v>-6.9618002267000003</v>
      </c>
      <c r="E4706">
        <v>5</v>
      </c>
      <c r="F4706">
        <v>3</v>
      </c>
      <c r="G4706">
        <v>5</v>
      </c>
      <c r="H4706">
        <v>3</v>
      </c>
      <c r="I4706">
        <v>4</v>
      </c>
      <c r="J4706" t="s">
        <v>8005</v>
      </c>
      <c r="K4706">
        <v>4</v>
      </c>
      <c r="L4706">
        <v>3.6819999999999999</v>
      </c>
      <c r="M4706">
        <v>0</v>
      </c>
      <c r="N4706" t="s">
        <v>10019</v>
      </c>
      <c r="O4706" t="str">
        <f>HYPERLINK("NoConsenso\marker_792_654378.png", "Ver Imagen")</f>
        <v>Ver Imagen</v>
      </c>
      <c r="P4706" t="str">
        <f>HYPERLINK("SE\A-497_2C\A-497_2C__19.png", "Ver Imagen")</f>
        <v>Ver Imagen</v>
      </c>
    </row>
    <row r="4707" spans="1:16" x14ac:dyDescent="0.25">
      <c r="A4707">
        <v>4343</v>
      </c>
      <c r="B4707" t="s">
        <v>8693</v>
      </c>
      <c r="C4707">
        <v>37.203109196600003</v>
      </c>
      <c r="D4707">
        <v>-7.0039202841100003</v>
      </c>
      <c r="E4707">
        <v>5</v>
      </c>
      <c r="F4707">
        <v>3</v>
      </c>
      <c r="G4707">
        <v>5</v>
      </c>
      <c r="H4707">
        <v>3</v>
      </c>
      <c r="I4707">
        <v>4</v>
      </c>
      <c r="J4707" t="s">
        <v>8052</v>
      </c>
      <c r="K4707">
        <v>3</v>
      </c>
      <c r="L4707">
        <v>2.8679999999999999</v>
      </c>
      <c r="M4707">
        <v>0</v>
      </c>
      <c r="N4707" t="s">
        <v>10018</v>
      </c>
      <c r="O4707" t="str">
        <f>HYPERLINK("NoConsenso\marker_310_371761.png", "Ver Imagen")</f>
        <v>Ver Imagen</v>
      </c>
      <c r="P4707" t="str">
        <f>HYPERLINK("SE\A-497\A-497__595.png", "Ver Imagen")</f>
        <v>Ver Imagen</v>
      </c>
    </row>
    <row r="4708" spans="1:16" x14ac:dyDescent="0.25">
      <c r="A4708">
        <v>4344</v>
      </c>
      <c r="B4708" t="s">
        <v>8695</v>
      </c>
      <c r="C4708">
        <v>37.203939104</v>
      </c>
      <c r="D4708">
        <v>-7.0098779594499998</v>
      </c>
      <c r="E4708">
        <v>5</v>
      </c>
      <c r="F4708">
        <v>3</v>
      </c>
      <c r="G4708">
        <v>5</v>
      </c>
      <c r="H4708">
        <v>4</v>
      </c>
      <c r="I4708">
        <v>4</v>
      </c>
      <c r="J4708" t="s">
        <v>8005</v>
      </c>
      <c r="K4708">
        <v>4</v>
      </c>
      <c r="L4708">
        <v>3.7730000000000001</v>
      </c>
      <c r="M4708">
        <v>0</v>
      </c>
      <c r="N4708" t="s">
        <v>10019</v>
      </c>
      <c r="O4708" t="str">
        <f>HYPERLINK("NoConsenso\marker_239_372016.png", "Ver Imagen")</f>
        <v>Ver Imagen</v>
      </c>
      <c r="P4708" t="str">
        <f>HYPERLINK("SE\A-497\A-497__571.png", "Ver Imagen")</f>
        <v>Ver Imagen</v>
      </c>
    </row>
    <row r="4709" spans="1:16" x14ac:dyDescent="0.25">
      <c r="A4709">
        <v>4345</v>
      </c>
      <c r="B4709" t="s">
        <v>8697</v>
      </c>
      <c r="C4709">
        <v>37.204058013500003</v>
      </c>
      <c r="D4709">
        <v>-7.0105954237999999</v>
      </c>
      <c r="E4709">
        <v>5</v>
      </c>
      <c r="F4709">
        <v>3</v>
      </c>
      <c r="G4709">
        <v>5</v>
      </c>
      <c r="H4709">
        <v>4</v>
      </c>
      <c r="I4709">
        <v>4</v>
      </c>
      <c r="J4709" t="s">
        <v>8005</v>
      </c>
      <c r="K4709">
        <v>4</v>
      </c>
      <c r="L4709">
        <v>3.968</v>
      </c>
      <c r="M4709">
        <v>0</v>
      </c>
      <c r="N4709" t="s">
        <v>10019</v>
      </c>
      <c r="O4709" t="str">
        <f>HYPERLINK("NoConsenso\marker_360_372059.png", "Ver Imagen")</f>
        <v>Ver Imagen</v>
      </c>
      <c r="P4709" t="str">
        <f>HYPERLINK("SE\A-497\A-497__568.png", "Ver Imagen")</f>
        <v>Ver Imagen</v>
      </c>
    </row>
    <row r="4710" spans="1:16" x14ac:dyDescent="0.25">
      <c r="A4710">
        <v>4346</v>
      </c>
      <c r="B4710" t="s">
        <v>8699</v>
      </c>
      <c r="C4710">
        <v>37.262803517199998</v>
      </c>
      <c r="D4710">
        <v>-7.0088809770899996</v>
      </c>
      <c r="E4710">
        <v>5</v>
      </c>
      <c r="F4710">
        <v>3</v>
      </c>
      <c r="G4710">
        <v>5</v>
      </c>
      <c r="H4710">
        <v>2</v>
      </c>
      <c r="I4710">
        <v>3</v>
      </c>
      <c r="J4710" t="s">
        <v>8005</v>
      </c>
      <c r="K4710">
        <v>3</v>
      </c>
      <c r="L4710">
        <v>3.395</v>
      </c>
      <c r="M4710">
        <v>0</v>
      </c>
      <c r="N4710" t="s">
        <v>10017</v>
      </c>
      <c r="O4710" t="str">
        <f>HYPERLINK("NoConsenso\marker_497_379048.png", "Ver Imagen")</f>
        <v>Ver Imagen</v>
      </c>
      <c r="P4710" t="str">
        <f>HYPERLINK("SE\A-497\A-497__229.png", "Ver Imagen")</f>
        <v>Ver Imagen</v>
      </c>
    </row>
    <row r="4711" spans="1:16" x14ac:dyDescent="0.25">
      <c r="A4711">
        <v>4347</v>
      </c>
      <c r="B4711" t="s">
        <v>8701</v>
      </c>
      <c r="C4711">
        <v>37.446783099400001</v>
      </c>
      <c r="D4711">
        <v>-7.1310085820199998</v>
      </c>
      <c r="E4711">
        <v>2</v>
      </c>
      <c r="F4711">
        <v>4</v>
      </c>
      <c r="G4711">
        <v>3</v>
      </c>
      <c r="H4711">
        <v>3</v>
      </c>
      <c r="I4711">
        <v>4</v>
      </c>
      <c r="J4711" t="s">
        <v>8005</v>
      </c>
      <c r="K4711">
        <v>3</v>
      </c>
      <c r="L4711">
        <v>2.8660000000000001</v>
      </c>
      <c r="M4711">
        <v>0</v>
      </c>
      <c r="N4711" t="s">
        <v>10019</v>
      </c>
      <c r="O4711" t="str">
        <f>HYPERLINK("NoConsenso\marker_830_730626.png", "Ver Imagen")</f>
        <v>Ver Imagen</v>
      </c>
      <c r="P4711" t="str">
        <f>HYPERLINK("NE\A-490\A-490__19.png", "Ver Imagen")</f>
        <v>Ver Imagen</v>
      </c>
    </row>
    <row r="4712" spans="1:16" x14ac:dyDescent="0.25">
      <c r="A4712">
        <v>4348</v>
      </c>
      <c r="B4712" t="s">
        <v>8703</v>
      </c>
      <c r="C4712">
        <v>37.446507447199998</v>
      </c>
      <c r="D4712">
        <v>-7.1326840336300004</v>
      </c>
      <c r="E4712">
        <v>3</v>
      </c>
      <c r="F4712">
        <v>4</v>
      </c>
      <c r="G4712">
        <v>5</v>
      </c>
      <c r="H4712">
        <v>4</v>
      </c>
      <c r="I4712">
        <v>4</v>
      </c>
      <c r="J4712" t="s">
        <v>8005</v>
      </c>
      <c r="K4712">
        <v>4</v>
      </c>
      <c r="L4712">
        <v>3.7210000000000001</v>
      </c>
      <c r="M4712">
        <v>0</v>
      </c>
      <c r="N4712" t="s">
        <v>10019</v>
      </c>
      <c r="O4712" t="str">
        <f>HYPERLINK("NoConsenso\marker_240_730823.png", "Ver Imagen")</f>
        <v>Ver Imagen</v>
      </c>
      <c r="P4712" t="str">
        <f>HYPERLINK("NE\A-490\A-490__26.png", "Ver Imagen")</f>
        <v>Ver Imagen</v>
      </c>
    </row>
    <row r="4713" spans="1:16" x14ac:dyDescent="0.25">
      <c r="A4713">
        <v>4350</v>
      </c>
      <c r="B4713" t="s">
        <v>8707</v>
      </c>
      <c r="C4713">
        <v>37.4461915125</v>
      </c>
      <c r="D4713">
        <v>-7.1352306344200001</v>
      </c>
      <c r="E4713">
        <v>2</v>
      </c>
      <c r="F4713">
        <v>3</v>
      </c>
      <c r="G4713">
        <v>4</v>
      </c>
      <c r="H4713">
        <v>3</v>
      </c>
      <c r="I4713">
        <v>3</v>
      </c>
      <c r="J4713" t="s">
        <v>8005</v>
      </c>
      <c r="K4713">
        <v>3</v>
      </c>
      <c r="L4713">
        <v>3.0310000000000001</v>
      </c>
      <c r="M4713">
        <v>0</v>
      </c>
      <c r="N4713" t="s">
        <v>10019</v>
      </c>
      <c r="O4713" t="str">
        <f>HYPERLINK("NoConsenso\marker_869_731078.png", "Ver Imagen")</f>
        <v>Ver Imagen</v>
      </c>
      <c r="P4713" t="str">
        <f>HYPERLINK("NE\A-490\A-490__36.png", "Ver Imagen")</f>
        <v>Ver Imagen</v>
      </c>
    </row>
    <row r="4714" spans="1:16" x14ac:dyDescent="0.25">
      <c r="A4714">
        <v>4351</v>
      </c>
      <c r="B4714" t="s">
        <v>8709</v>
      </c>
      <c r="C4714">
        <v>37.446151374899998</v>
      </c>
      <c r="D4714">
        <v>-7.1362223281899997</v>
      </c>
      <c r="E4714">
        <v>2</v>
      </c>
      <c r="F4714">
        <v>4</v>
      </c>
      <c r="G4714">
        <v>4</v>
      </c>
      <c r="H4714">
        <v>4</v>
      </c>
      <c r="I4714">
        <v>4</v>
      </c>
      <c r="J4714" t="s">
        <v>8005</v>
      </c>
      <c r="K4714">
        <v>4</v>
      </c>
      <c r="L4714">
        <v>3.6080000000000001</v>
      </c>
      <c r="M4714">
        <v>0</v>
      </c>
      <c r="N4714" t="s">
        <v>10019</v>
      </c>
      <c r="O4714" t="str">
        <f>HYPERLINK("NoConsenso\marker_921_731166.png", "Ver Imagen")</f>
        <v>Ver Imagen</v>
      </c>
      <c r="P4714" t="str">
        <f>HYPERLINK("NE\A-490\A-490__40.png", "Ver Imagen")</f>
        <v>Ver Imagen</v>
      </c>
    </row>
    <row r="4715" spans="1:16" x14ac:dyDescent="0.25">
      <c r="A4715">
        <v>4352</v>
      </c>
      <c r="B4715" t="s">
        <v>8711</v>
      </c>
      <c r="C4715">
        <v>37.446237928099997</v>
      </c>
      <c r="D4715">
        <v>-7.1367065503699996</v>
      </c>
      <c r="E4715">
        <v>2</v>
      </c>
      <c r="F4715">
        <v>4</v>
      </c>
      <c r="G4715">
        <v>4</v>
      </c>
      <c r="H4715">
        <v>4</v>
      </c>
      <c r="I4715">
        <v>3</v>
      </c>
      <c r="J4715" t="s">
        <v>8005</v>
      </c>
      <c r="K4715">
        <v>4</v>
      </c>
      <c r="L4715">
        <v>3.7829999999999999</v>
      </c>
      <c r="M4715">
        <v>0</v>
      </c>
      <c r="N4715" t="s">
        <v>10019</v>
      </c>
      <c r="O4715" t="str">
        <f>HYPERLINK("NoConsenso\marker_997_731241.png", "Ver Imagen")</f>
        <v>Ver Imagen</v>
      </c>
      <c r="P4715" t="str">
        <f>HYPERLINK("NE\A-490\A-490__42.png", "Ver Imagen")</f>
        <v>Ver Imagen</v>
      </c>
    </row>
    <row r="4716" spans="1:16" x14ac:dyDescent="0.25">
      <c r="A4716">
        <v>4353</v>
      </c>
      <c r="B4716" t="s">
        <v>8713</v>
      </c>
      <c r="C4716">
        <v>37.446863270199998</v>
      </c>
      <c r="D4716">
        <v>-7.1388415722199996</v>
      </c>
      <c r="E4716">
        <v>2</v>
      </c>
      <c r="F4716">
        <v>4</v>
      </c>
      <c r="G4716">
        <v>3</v>
      </c>
      <c r="H4716">
        <v>4</v>
      </c>
      <c r="I4716">
        <v>3</v>
      </c>
      <c r="J4716" t="s">
        <v>8005</v>
      </c>
      <c r="K4716">
        <v>3</v>
      </c>
      <c r="L4716">
        <v>3.423</v>
      </c>
      <c r="M4716">
        <v>0</v>
      </c>
      <c r="N4716" t="s">
        <v>10018</v>
      </c>
      <c r="O4716" t="str">
        <f>HYPERLINK("NoConsenso\marker_426_732318.png", "Ver Imagen")</f>
        <v>Ver Imagen</v>
      </c>
      <c r="P4716" t="str">
        <f>HYPERLINK("NE\A-490\A-490__51.png", "Ver Imagen")</f>
        <v>Ver Imagen</v>
      </c>
    </row>
    <row r="4717" spans="1:16" x14ac:dyDescent="0.25">
      <c r="A4717">
        <v>4354</v>
      </c>
      <c r="B4717" t="s">
        <v>8715</v>
      </c>
      <c r="C4717">
        <v>37.447260556400003</v>
      </c>
      <c r="D4717">
        <v>-7.1399972803800003</v>
      </c>
      <c r="E4717">
        <v>2</v>
      </c>
      <c r="F4717">
        <v>3</v>
      </c>
      <c r="G4717">
        <v>4</v>
      </c>
      <c r="H4717">
        <v>4</v>
      </c>
      <c r="I4717">
        <v>4</v>
      </c>
      <c r="J4717" t="s">
        <v>8005</v>
      </c>
      <c r="K4717">
        <v>4</v>
      </c>
      <c r="L4717">
        <v>3.778</v>
      </c>
      <c r="M4717">
        <v>0</v>
      </c>
      <c r="N4717" t="s">
        <v>10019</v>
      </c>
      <c r="O4717" t="str">
        <f>HYPERLINK("NoConsenso\marker_113_737798.png", "Ver Imagen")</f>
        <v>Ver Imagen</v>
      </c>
      <c r="P4717" t="str">
        <f>HYPERLINK("NE\A-490\A-490__56.png", "Ver Imagen")</f>
        <v>Ver Imagen</v>
      </c>
    </row>
    <row r="4718" spans="1:16" x14ac:dyDescent="0.25">
      <c r="A4718">
        <v>4355</v>
      </c>
      <c r="B4718" t="s">
        <v>8717</v>
      </c>
      <c r="C4718">
        <v>37.447641397799998</v>
      </c>
      <c r="D4718">
        <v>-7.1408249214000001</v>
      </c>
      <c r="E4718">
        <v>2</v>
      </c>
      <c r="F4718">
        <v>4</v>
      </c>
      <c r="G4718">
        <v>3</v>
      </c>
      <c r="H4718">
        <v>4</v>
      </c>
      <c r="I4718">
        <v>4</v>
      </c>
      <c r="J4718" t="s">
        <v>8005</v>
      </c>
      <c r="K4718">
        <v>4</v>
      </c>
      <c r="L4718">
        <v>3.7010000000000001</v>
      </c>
      <c r="M4718">
        <v>0</v>
      </c>
      <c r="N4718" t="s">
        <v>10019</v>
      </c>
      <c r="O4718" t="str">
        <f>HYPERLINK("NoConsenso\marker_468_737902.png", "Ver Imagen")</f>
        <v>Ver Imagen</v>
      </c>
      <c r="P4718" t="str">
        <f>HYPERLINK("NE\A-490\A-490__59.png", "Ver Imagen")</f>
        <v>Ver Imagen</v>
      </c>
    </row>
    <row r="4719" spans="1:16" x14ac:dyDescent="0.25">
      <c r="A4719">
        <v>4356</v>
      </c>
      <c r="B4719" t="s">
        <v>8719</v>
      </c>
      <c r="C4719">
        <v>37.448494257100002</v>
      </c>
      <c r="D4719">
        <v>-7.1434211157299998</v>
      </c>
      <c r="E4719">
        <v>2</v>
      </c>
      <c r="F4719">
        <v>4</v>
      </c>
      <c r="G4719">
        <v>4</v>
      </c>
      <c r="H4719">
        <v>4</v>
      </c>
      <c r="I4719">
        <v>4</v>
      </c>
      <c r="J4719" t="s">
        <v>8005</v>
      </c>
      <c r="K4719">
        <v>4</v>
      </c>
      <c r="L4719">
        <v>3.7650000000000001</v>
      </c>
      <c r="M4719">
        <v>0</v>
      </c>
      <c r="N4719" t="s">
        <v>10019</v>
      </c>
      <c r="O4719" t="str">
        <f>HYPERLINK("NoConsenso\marker_833_738189.png", "Ver Imagen")</f>
        <v>Ver Imagen</v>
      </c>
      <c r="P4719" t="str">
        <f>HYPERLINK("NE\A-490\A-490__71.png", "Ver Imagen")</f>
        <v>Ver Imagen</v>
      </c>
    </row>
    <row r="4720" spans="1:16" x14ac:dyDescent="0.25">
      <c r="A4720">
        <v>4357</v>
      </c>
      <c r="B4720" t="s">
        <v>8721</v>
      </c>
      <c r="C4720">
        <v>37.448619156299998</v>
      </c>
      <c r="D4720">
        <v>-7.14573899088</v>
      </c>
      <c r="E4720">
        <v>3</v>
      </c>
      <c r="F4720">
        <v>4</v>
      </c>
      <c r="G4720">
        <v>5</v>
      </c>
      <c r="H4720">
        <v>4</v>
      </c>
      <c r="I4720">
        <v>4</v>
      </c>
      <c r="J4720" t="s">
        <v>8005</v>
      </c>
      <c r="K4720">
        <v>4</v>
      </c>
      <c r="L4720">
        <v>3.609</v>
      </c>
      <c r="M4720">
        <v>0</v>
      </c>
      <c r="N4720" t="s">
        <v>10019</v>
      </c>
      <c r="O4720" t="str">
        <f>HYPERLINK("NoConsenso\marker_789_738603.png", "Ver Imagen")</f>
        <v>Ver Imagen</v>
      </c>
      <c r="P4720" t="str">
        <f>HYPERLINK("NE\A-490\A-490__80.png", "Ver Imagen")</f>
        <v>Ver Imagen</v>
      </c>
    </row>
    <row r="4721" spans="1:16" x14ac:dyDescent="0.25">
      <c r="A4721">
        <v>4358</v>
      </c>
      <c r="B4721" t="s">
        <v>8723</v>
      </c>
      <c r="C4721">
        <v>37.448639786599998</v>
      </c>
      <c r="D4721">
        <v>-7.1462209652700004</v>
      </c>
      <c r="E4721">
        <v>3</v>
      </c>
      <c r="F4721">
        <v>5</v>
      </c>
      <c r="G4721">
        <v>5</v>
      </c>
      <c r="H4721">
        <v>5</v>
      </c>
      <c r="I4721">
        <v>5</v>
      </c>
      <c r="J4721" t="s">
        <v>8005</v>
      </c>
      <c r="K4721">
        <v>5</v>
      </c>
      <c r="L4721">
        <v>4.54</v>
      </c>
      <c r="M4721">
        <v>0</v>
      </c>
      <c r="N4721" t="s">
        <v>10019</v>
      </c>
      <c r="O4721" t="str">
        <f>HYPERLINK("NoConsenso\marker_164_738698.png", "Ver Imagen")</f>
        <v>Ver Imagen</v>
      </c>
      <c r="P4721" t="str">
        <f>HYPERLINK("NE\A-490\A-490__82.png", "Ver Imagen")</f>
        <v>Ver Imagen</v>
      </c>
    </row>
    <row r="4722" spans="1:16" x14ac:dyDescent="0.25">
      <c r="A4722">
        <v>4360</v>
      </c>
      <c r="B4722" t="s">
        <v>8727</v>
      </c>
      <c r="C4722">
        <v>37.448796722700003</v>
      </c>
      <c r="D4722">
        <v>-7.1490203882700003</v>
      </c>
      <c r="E4722">
        <v>2</v>
      </c>
      <c r="F4722">
        <v>4</v>
      </c>
      <c r="G4722">
        <v>4</v>
      </c>
      <c r="H4722">
        <v>4</v>
      </c>
      <c r="I4722">
        <v>3</v>
      </c>
      <c r="J4722" t="s">
        <v>8005</v>
      </c>
      <c r="K4722">
        <v>4</v>
      </c>
      <c r="L4722">
        <v>3.786</v>
      </c>
      <c r="M4722">
        <v>0</v>
      </c>
      <c r="N4722" t="s">
        <v>10019</v>
      </c>
      <c r="O4722" t="str">
        <f>HYPERLINK("NoConsenso\marker_444_739032.png", "Ver Imagen")</f>
        <v>Ver Imagen</v>
      </c>
      <c r="P4722" t="str">
        <f>HYPERLINK("NE\A-490\A-490__93.png", "Ver Imagen")</f>
        <v>Ver Imagen</v>
      </c>
    </row>
    <row r="4723" spans="1:16" x14ac:dyDescent="0.25">
      <c r="A4723">
        <v>4361</v>
      </c>
      <c r="B4723" t="s">
        <v>8729</v>
      </c>
      <c r="C4723">
        <v>37.4517235199</v>
      </c>
      <c r="D4723">
        <v>-7.1569761461799999</v>
      </c>
      <c r="E4723">
        <v>2</v>
      </c>
      <c r="F4723">
        <v>4</v>
      </c>
      <c r="G4723">
        <v>4</v>
      </c>
      <c r="H4723">
        <v>3</v>
      </c>
      <c r="I4723">
        <v>3</v>
      </c>
      <c r="J4723" t="s">
        <v>8005</v>
      </c>
      <c r="K4723">
        <v>3</v>
      </c>
      <c r="L4723">
        <v>2.7559999999999998</v>
      </c>
      <c r="M4723">
        <v>0</v>
      </c>
      <c r="N4723" t="s">
        <v>10019</v>
      </c>
      <c r="O4723" t="str">
        <f>HYPERLINK("NoConsenso\marker_771_740188.png", "Ver Imagen")</f>
        <v>Ver Imagen</v>
      </c>
      <c r="P4723" t="str">
        <f>HYPERLINK("NE\A-490\A-490__128.png", "Ver Imagen")</f>
        <v>Ver Imagen</v>
      </c>
    </row>
    <row r="4724" spans="1:16" x14ac:dyDescent="0.25">
      <c r="A4724">
        <v>4362</v>
      </c>
      <c r="B4724" t="s">
        <v>8731</v>
      </c>
      <c r="C4724">
        <v>37.449825813700002</v>
      </c>
      <c r="D4724">
        <v>-7.1519762084999998</v>
      </c>
      <c r="E4724">
        <v>1</v>
      </c>
      <c r="F4724">
        <v>3</v>
      </c>
      <c r="G4724">
        <v>2</v>
      </c>
      <c r="H4724">
        <v>2</v>
      </c>
      <c r="I4724">
        <v>2</v>
      </c>
      <c r="J4724" t="s">
        <v>8005</v>
      </c>
      <c r="K4724">
        <v>2</v>
      </c>
      <c r="L4724">
        <v>2.2240000000000002</v>
      </c>
      <c r="M4724">
        <v>0</v>
      </c>
      <c r="N4724" t="s">
        <v>10019</v>
      </c>
      <c r="O4724" t="str">
        <f>HYPERLINK("NoConsenso\marker_189_739673.png", "Ver Imagen")</f>
        <v>Ver Imagen</v>
      </c>
      <c r="P4724" t="str">
        <f>HYPERLINK("NE\A-490\A-490__106.png", "Ver Imagen")</f>
        <v>Ver Imagen</v>
      </c>
    </row>
    <row r="4725" spans="1:16" x14ac:dyDescent="0.25">
      <c r="A4725">
        <v>4363</v>
      </c>
      <c r="B4725" t="s">
        <v>8733</v>
      </c>
      <c r="C4725">
        <v>37.450193476700001</v>
      </c>
      <c r="D4725">
        <v>-7.1525749299900001</v>
      </c>
      <c r="E4725">
        <v>1</v>
      </c>
      <c r="F4725">
        <v>3</v>
      </c>
      <c r="G4725">
        <v>3</v>
      </c>
      <c r="H4725">
        <v>2</v>
      </c>
      <c r="I4725">
        <v>2</v>
      </c>
      <c r="J4725" t="s">
        <v>8005</v>
      </c>
      <c r="K4725">
        <v>2</v>
      </c>
      <c r="L4725">
        <v>1.984</v>
      </c>
      <c r="M4725">
        <v>0</v>
      </c>
      <c r="N4725" t="s">
        <v>10019</v>
      </c>
      <c r="O4725" t="str">
        <f>HYPERLINK("NoConsenso\marker_291_739744.png", "Ver Imagen")</f>
        <v>Ver Imagen</v>
      </c>
      <c r="P4725" t="str">
        <f>HYPERLINK("NE\A-490\A-490__109.png", "Ver Imagen")</f>
        <v>Ver Imagen</v>
      </c>
    </row>
    <row r="4726" spans="1:16" x14ac:dyDescent="0.25">
      <c r="A4726">
        <v>4364</v>
      </c>
      <c r="B4726" t="s">
        <v>8735</v>
      </c>
      <c r="C4726">
        <v>37.4504376382</v>
      </c>
      <c r="D4726">
        <v>-7.1529726518799999</v>
      </c>
      <c r="E4726">
        <v>2</v>
      </c>
      <c r="F4726">
        <v>3</v>
      </c>
      <c r="G4726">
        <v>4</v>
      </c>
      <c r="H4726">
        <v>3</v>
      </c>
      <c r="I4726">
        <v>3</v>
      </c>
      <c r="J4726" t="s">
        <v>8005</v>
      </c>
      <c r="K4726">
        <v>3</v>
      </c>
      <c r="L4726">
        <v>2.8140000000000001</v>
      </c>
      <c r="M4726">
        <v>0</v>
      </c>
      <c r="N4726" t="s">
        <v>10019</v>
      </c>
      <c r="O4726" t="str">
        <f>HYPERLINK("NoConsenso\marker_932_739783.png", "Ver Imagen")</f>
        <v>Ver Imagen</v>
      </c>
      <c r="P4726" t="str">
        <f>HYPERLINK("NE\A-490\A-490__111.png", "Ver Imagen")</f>
        <v>Ver Imagen</v>
      </c>
    </row>
    <row r="4727" spans="1:16" x14ac:dyDescent="0.25">
      <c r="A4727">
        <v>4365</v>
      </c>
      <c r="B4727" t="s">
        <v>8737</v>
      </c>
      <c r="C4727">
        <v>37.450567774500001</v>
      </c>
      <c r="D4727">
        <v>-7.1531836049299997</v>
      </c>
      <c r="E4727">
        <v>2</v>
      </c>
      <c r="F4727">
        <v>3</v>
      </c>
      <c r="G4727">
        <v>4</v>
      </c>
      <c r="H4727">
        <v>3</v>
      </c>
      <c r="I4727">
        <v>2</v>
      </c>
      <c r="J4727" t="s">
        <v>8005</v>
      </c>
      <c r="K4727">
        <v>3</v>
      </c>
      <c r="L4727">
        <v>2.9239999999999999</v>
      </c>
      <c r="M4727">
        <v>0</v>
      </c>
      <c r="N4727" t="s">
        <v>10019</v>
      </c>
      <c r="O4727" t="str">
        <f>HYPERLINK("NoConsenso\marker_160_739800.png", "Ver Imagen")</f>
        <v>Ver Imagen</v>
      </c>
      <c r="P4727" t="str">
        <f>HYPERLINK("NE\A-490\A-490__112.png", "Ver Imagen")</f>
        <v>Ver Imagen</v>
      </c>
    </row>
    <row r="4728" spans="1:16" x14ac:dyDescent="0.25">
      <c r="A4728">
        <v>4366</v>
      </c>
      <c r="B4728" t="s">
        <v>8739</v>
      </c>
      <c r="C4728">
        <v>37.450971355699998</v>
      </c>
      <c r="D4728">
        <v>-7.1538662778099997</v>
      </c>
      <c r="E4728">
        <v>2</v>
      </c>
      <c r="F4728">
        <v>3</v>
      </c>
      <c r="G4728">
        <v>4</v>
      </c>
      <c r="H4728">
        <v>3</v>
      </c>
      <c r="I4728">
        <v>3</v>
      </c>
      <c r="J4728" t="s">
        <v>8005</v>
      </c>
      <c r="K4728">
        <v>3</v>
      </c>
      <c r="L4728">
        <v>2.879</v>
      </c>
      <c r="M4728">
        <v>0</v>
      </c>
      <c r="N4728" t="s">
        <v>10019</v>
      </c>
      <c r="O4728" t="str">
        <f>HYPERLINK("NoConsenso\marker_371_739880.png", "Ver Imagen")</f>
        <v>Ver Imagen</v>
      </c>
      <c r="P4728" t="str">
        <f>HYPERLINK("NE\A-490\A-490__115.png", "Ver Imagen")</f>
        <v>Ver Imagen</v>
      </c>
    </row>
    <row r="4729" spans="1:16" x14ac:dyDescent="0.25">
      <c r="A4729">
        <v>4369</v>
      </c>
      <c r="B4729" t="s">
        <v>8745</v>
      </c>
      <c r="C4729">
        <v>37.451503299099997</v>
      </c>
      <c r="D4729">
        <v>-7.15593909632</v>
      </c>
      <c r="E4729">
        <v>2</v>
      </c>
      <c r="F4729">
        <v>4</v>
      </c>
      <c r="G4729">
        <v>4</v>
      </c>
      <c r="H4729">
        <v>4</v>
      </c>
      <c r="I4729">
        <v>4</v>
      </c>
      <c r="J4729" t="s">
        <v>8005</v>
      </c>
      <c r="K4729">
        <v>4</v>
      </c>
      <c r="L4729">
        <v>3.7080000000000002</v>
      </c>
      <c r="M4729">
        <v>0</v>
      </c>
      <c r="N4729" t="s">
        <v>10019</v>
      </c>
      <c r="O4729" t="str">
        <f>HYPERLINK("NoConsenso\marker_225_740097.png", "Ver Imagen")</f>
        <v>Ver Imagen</v>
      </c>
      <c r="P4729" t="str">
        <f>HYPERLINK("NE\A-490\A-490__124.png", "Ver Imagen")</f>
        <v>Ver Imagen</v>
      </c>
    </row>
    <row r="4730" spans="1:16" x14ac:dyDescent="0.25">
      <c r="A4730">
        <v>4370</v>
      </c>
      <c r="B4730" t="s">
        <v>8747</v>
      </c>
      <c r="C4730">
        <v>37.451557409400003</v>
      </c>
      <c r="D4730">
        <v>-7.1561900700500001</v>
      </c>
      <c r="E4730">
        <v>2</v>
      </c>
      <c r="F4730">
        <v>4</v>
      </c>
      <c r="G4730">
        <v>4</v>
      </c>
      <c r="H4730">
        <v>3</v>
      </c>
      <c r="I4730">
        <v>3</v>
      </c>
      <c r="J4730" t="s">
        <v>8005</v>
      </c>
      <c r="K4730">
        <v>3</v>
      </c>
      <c r="L4730">
        <v>2.7970000000000002</v>
      </c>
      <c r="M4730">
        <v>0</v>
      </c>
      <c r="N4730" t="s">
        <v>10019</v>
      </c>
      <c r="O4730" t="str">
        <f>HYPERLINK("NoConsenso\marker_559_740122.png", "Ver Imagen")</f>
        <v>Ver Imagen</v>
      </c>
      <c r="P4730" t="str">
        <f>HYPERLINK("NE\A-490\A-490__125.png", "Ver Imagen")</f>
        <v>Ver Imagen</v>
      </c>
    </row>
    <row r="4731" spans="1:16" x14ac:dyDescent="0.25">
      <c r="A4731">
        <v>4371</v>
      </c>
      <c r="B4731" t="s">
        <v>8749</v>
      </c>
      <c r="C4731">
        <v>37.451667160100001</v>
      </c>
      <c r="D4731">
        <v>-7.1567019924400004</v>
      </c>
      <c r="E4731">
        <v>2</v>
      </c>
      <c r="F4731">
        <v>4</v>
      </c>
      <c r="G4731">
        <v>4</v>
      </c>
      <c r="H4731">
        <v>3</v>
      </c>
      <c r="I4731">
        <v>3</v>
      </c>
      <c r="J4731" t="s">
        <v>8005</v>
      </c>
      <c r="K4731">
        <v>3</v>
      </c>
      <c r="L4731">
        <v>3.052</v>
      </c>
      <c r="M4731">
        <v>0</v>
      </c>
      <c r="N4731" t="s">
        <v>10019</v>
      </c>
      <c r="O4731" t="str">
        <f>HYPERLINK("NoConsenso\marker_859_740172.png", "Ver Imagen")</f>
        <v>Ver Imagen</v>
      </c>
      <c r="P4731" t="str">
        <f>HYPERLINK("NE\A-490\A-490__127.png", "Ver Imagen")</f>
        <v>Ver Imagen</v>
      </c>
    </row>
    <row r="4732" spans="1:16" x14ac:dyDescent="0.25">
      <c r="A4732">
        <v>4372</v>
      </c>
      <c r="B4732" t="s">
        <v>8751</v>
      </c>
      <c r="C4732">
        <v>37.451771255899999</v>
      </c>
      <c r="D4732">
        <v>-7.1572035230899997</v>
      </c>
      <c r="E4732">
        <v>2</v>
      </c>
      <c r="F4732">
        <v>3</v>
      </c>
      <c r="G4732">
        <v>4</v>
      </c>
      <c r="H4732">
        <v>2</v>
      </c>
      <c r="I4732">
        <v>3</v>
      </c>
      <c r="J4732" t="s">
        <v>8052</v>
      </c>
      <c r="K4732">
        <v>2</v>
      </c>
      <c r="L4732">
        <v>1.6890000000000001</v>
      </c>
      <c r="M4732">
        <v>0</v>
      </c>
      <c r="N4732" t="s">
        <v>10019</v>
      </c>
      <c r="O4732" t="str">
        <f>HYPERLINK("NoConsenso\marker_845_740224.png", "Ver Imagen")</f>
        <v>Ver Imagen</v>
      </c>
      <c r="P4732" t="str">
        <f>HYPERLINK("NE\A-490\A-490__129.png", "Ver Imagen")</f>
        <v>Ver Imagen</v>
      </c>
    </row>
    <row r="4733" spans="1:16" x14ac:dyDescent="0.25">
      <c r="A4733">
        <v>4374</v>
      </c>
      <c r="B4733" t="s">
        <v>8755</v>
      </c>
      <c r="C4733">
        <v>37.451927887799997</v>
      </c>
      <c r="D4733">
        <v>-7.15794693461</v>
      </c>
      <c r="E4733">
        <v>1</v>
      </c>
      <c r="F4733">
        <v>3</v>
      </c>
      <c r="G4733">
        <v>3</v>
      </c>
      <c r="H4733">
        <v>2</v>
      </c>
      <c r="I4733">
        <v>2</v>
      </c>
      <c r="J4733" t="s">
        <v>8005</v>
      </c>
      <c r="K4733">
        <v>2</v>
      </c>
      <c r="L4733">
        <v>2.202</v>
      </c>
      <c r="M4733">
        <v>0</v>
      </c>
      <c r="N4733" t="s">
        <v>10018</v>
      </c>
      <c r="O4733" t="str">
        <f>HYPERLINK("NoConsenso\marker_207_740288.png", "Ver Imagen")</f>
        <v>Ver Imagen</v>
      </c>
      <c r="P4733" t="str">
        <f>HYPERLINK("NE\A-490\A-490__132.png", "Ver Imagen")</f>
        <v>Ver Imagen</v>
      </c>
    </row>
    <row r="4734" spans="1:16" x14ac:dyDescent="0.25">
      <c r="A4734">
        <v>4375</v>
      </c>
      <c r="B4734" t="s">
        <v>8757</v>
      </c>
      <c r="C4734">
        <v>37.452181018700003</v>
      </c>
      <c r="D4734">
        <v>-7.1591328167399997</v>
      </c>
      <c r="E4734">
        <v>2</v>
      </c>
      <c r="F4734">
        <v>3</v>
      </c>
      <c r="G4734">
        <v>4</v>
      </c>
      <c r="H4734">
        <v>3</v>
      </c>
      <c r="I4734">
        <v>3</v>
      </c>
      <c r="J4734" t="s">
        <v>8005</v>
      </c>
      <c r="K4734">
        <v>3</v>
      </c>
      <c r="L4734">
        <v>2.657</v>
      </c>
      <c r="M4734">
        <v>0</v>
      </c>
      <c r="N4734" t="s">
        <v>10019</v>
      </c>
      <c r="O4734" t="str">
        <f>HYPERLINK("NoConsenso\marker_540_740452.png", "Ver Imagen")</f>
        <v>Ver Imagen</v>
      </c>
      <c r="P4734" t="str">
        <f>HYPERLINK("NE\A-490\A-490__137.png", "Ver Imagen")</f>
        <v>Ver Imagen</v>
      </c>
    </row>
    <row r="4735" spans="1:16" x14ac:dyDescent="0.25">
      <c r="A4735">
        <v>4376</v>
      </c>
      <c r="B4735" t="s">
        <v>8759</v>
      </c>
      <c r="C4735">
        <v>37.452228633099999</v>
      </c>
      <c r="D4735">
        <v>-7.1593579119199999</v>
      </c>
      <c r="E4735">
        <v>3</v>
      </c>
      <c r="F4735">
        <v>2</v>
      </c>
      <c r="G4735">
        <v>4</v>
      </c>
      <c r="H4735">
        <v>2</v>
      </c>
      <c r="I4735">
        <v>2</v>
      </c>
      <c r="J4735" t="s">
        <v>8005</v>
      </c>
      <c r="K4735">
        <v>2</v>
      </c>
      <c r="L4735">
        <v>2.0619999999999998</v>
      </c>
      <c r="M4735">
        <v>0</v>
      </c>
      <c r="N4735" t="s">
        <v>10019</v>
      </c>
      <c r="O4735" t="str">
        <f>HYPERLINK("NoConsenso\marker_762_740472.png", "Ver Imagen")</f>
        <v>Ver Imagen</v>
      </c>
      <c r="P4735" t="str">
        <f>HYPERLINK("NE\A-490\A-490__138.png", "Ver Imagen")</f>
        <v>Ver Imagen</v>
      </c>
    </row>
    <row r="4736" spans="1:16" x14ac:dyDescent="0.25">
      <c r="A4736">
        <v>4377</v>
      </c>
      <c r="B4736" t="s">
        <v>8761</v>
      </c>
      <c r="C4736">
        <v>37.452280451999997</v>
      </c>
      <c r="D4736">
        <v>-7.1596030400900004</v>
      </c>
      <c r="E4736">
        <v>3</v>
      </c>
      <c r="F4736">
        <v>4</v>
      </c>
      <c r="G4736">
        <v>5</v>
      </c>
      <c r="H4736">
        <v>4</v>
      </c>
      <c r="I4736">
        <v>4</v>
      </c>
      <c r="J4736" t="s">
        <v>8005</v>
      </c>
      <c r="K4736">
        <v>4</v>
      </c>
      <c r="L4736">
        <v>3.609</v>
      </c>
      <c r="M4736">
        <v>0</v>
      </c>
      <c r="N4736" t="s">
        <v>10019</v>
      </c>
      <c r="O4736" t="str">
        <f>HYPERLINK("NoConsenso\marker_378_740490.png", "Ver Imagen")</f>
        <v>Ver Imagen</v>
      </c>
      <c r="P4736" t="str">
        <f>HYPERLINK("NE\A-490\A-490__139.png", "Ver Imagen")</f>
        <v>Ver Imagen</v>
      </c>
    </row>
    <row r="4737" spans="1:16" x14ac:dyDescent="0.25">
      <c r="A4737">
        <v>4378</v>
      </c>
      <c r="B4737" t="s">
        <v>8763</v>
      </c>
      <c r="C4737">
        <v>37.452664304300001</v>
      </c>
      <c r="D4737">
        <v>-7.16108830659</v>
      </c>
      <c r="E4737">
        <v>2</v>
      </c>
      <c r="F4737">
        <v>3</v>
      </c>
      <c r="G4737">
        <v>4</v>
      </c>
      <c r="H4737">
        <v>3</v>
      </c>
      <c r="I4737">
        <v>4</v>
      </c>
      <c r="J4737" t="s">
        <v>8005</v>
      </c>
      <c r="K4737">
        <v>3</v>
      </c>
      <c r="L4737">
        <v>2.8090000000000002</v>
      </c>
      <c r="M4737">
        <v>0</v>
      </c>
      <c r="N4737" t="s">
        <v>10019</v>
      </c>
      <c r="O4737" t="str">
        <f>HYPERLINK("NoConsenso\marker_442_740639.png", "Ver Imagen")</f>
        <v>Ver Imagen</v>
      </c>
      <c r="P4737" t="str">
        <f>HYPERLINK("NE\A-490\A-490__145.png", "Ver Imagen")</f>
        <v>Ver Imagen</v>
      </c>
    </row>
    <row r="4738" spans="1:16" x14ac:dyDescent="0.25">
      <c r="A4738">
        <v>4380</v>
      </c>
      <c r="B4738" t="s">
        <v>8767</v>
      </c>
      <c r="C4738">
        <v>37.4531007653</v>
      </c>
      <c r="D4738">
        <v>-7.1619908936099996</v>
      </c>
      <c r="E4738">
        <v>1</v>
      </c>
      <c r="F4738">
        <v>3</v>
      </c>
      <c r="G4738">
        <v>2</v>
      </c>
      <c r="H4738">
        <v>2</v>
      </c>
      <c r="I4738">
        <v>2</v>
      </c>
      <c r="J4738" t="s">
        <v>8005</v>
      </c>
      <c r="K4738">
        <v>2</v>
      </c>
      <c r="L4738">
        <v>2.0720000000000001</v>
      </c>
      <c r="M4738">
        <v>0</v>
      </c>
      <c r="N4738" t="s">
        <v>10019</v>
      </c>
      <c r="O4738" t="str">
        <f>HYPERLINK("NoConsenso\marker_145_740737.png", "Ver Imagen")</f>
        <v>Ver Imagen</v>
      </c>
      <c r="P4738" t="str">
        <f>HYPERLINK("NE\A-490\A-490__149.png", "Ver Imagen")</f>
        <v>Ver Imagen</v>
      </c>
    </row>
    <row r="4739" spans="1:16" x14ac:dyDescent="0.25">
      <c r="A4739">
        <v>4382</v>
      </c>
      <c r="B4739" t="s">
        <v>8771</v>
      </c>
      <c r="C4739">
        <v>37.4544893984</v>
      </c>
      <c r="D4739">
        <v>-7.1647405727700004</v>
      </c>
      <c r="E4739">
        <v>1</v>
      </c>
      <c r="F4739">
        <v>3</v>
      </c>
      <c r="G4739">
        <v>3</v>
      </c>
      <c r="H4739">
        <v>2</v>
      </c>
      <c r="I4739">
        <v>1</v>
      </c>
      <c r="J4739" t="s">
        <v>8005</v>
      </c>
      <c r="K4739">
        <v>2</v>
      </c>
      <c r="L4739">
        <v>1.8680000000000001</v>
      </c>
      <c r="M4739">
        <v>0</v>
      </c>
      <c r="N4739" t="s">
        <v>10019</v>
      </c>
      <c r="O4739" t="str">
        <f>HYPERLINK("NoConsenso\marker_639_741279.png", "Ver Imagen")</f>
        <v>Ver Imagen</v>
      </c>
      <c r="P4739" t="str">
        <f>HYPERLINK("NE\A-490\A-490__162.png", "Ver Imagen")</f>
        <v>Ver Imagen</v>
      </c>
    </row>
    <row r="4740" spans="1:16" x14ac:dyDescent="0.25">
      <c r="A4740">
        <v>4383</v>
      </c>
      <c r="B4740" t="s">
        <v>8773</v>
      </c>
      <c r="C4740">
        <v>37.454612946700003</v>
      </c>
      <c r="D4740">
        <v>-7.1649735841200002</v>
      </c>
      <c r="E4740">
        <v>2</v>
      </c>
      <c r="F4740">
        <v>4</v>
      </c>
      <c r="G4740">
        <v>3</v>
      </c>
      <c r="H4740">
        <v>3</v>
      </c>
      <c r="I4740">
        <v>4</v>
      </c>
      <c r="J4740" t="s">
        <v>8005</v>
      </c>
      <c r="K4740">
        <v>3</v>
      </c>
      <c r="L4740">
        <v>3.2210000000000001</v>
      </c>
      <c r="M4740">
        <v>0</v>
      </c>
      <c r="N4740" t="s">
        <v>10019</v>
      </c>
      <c r="O4740" t="str">
        <f>HYPERLINK("NoConsenso\marker_935_741303.png", "Ver Imagen")</f>
        <v>Ver Imagen</v>
      </c>
      <c r="P4740" t="str">
        <f>HYPERLINK("NE\A-490\A-490__163.png", "Ver Imagen")</f>
        <v>Ver Imagen</v>
      </c>
    </row>
    <row r="4741" spans="1:16" x14ac:dyDescent="0.25">
      <c r="A4741">
        <v>4384</v>
      </c>
      <c r="B4741" t="s">
        <v>8775</v>
      </c>
      <c r="C4741">
        <v>37.454970714600002</v>
      </c>
      <c r="D4741">
        <v>-7.1655314371000003</v>
      </c>
      <c r="E4741">
        <v>2</v>
      </c>
      <c r="F4741">
        <v>3</v>
      </c>
      <c r="G4741">
        <v>4</v>
      </c>
      <c r="H4741">
        <v>3</v>
      </c>
      <c r="I4741">
        <v>3</v>
      </c>
      <c r="J4741" t="s">
        <v>8005</v>
      </c>
      <c r="K4741">
        <v>3</v>
      </c>
      <c r="L4741">
        <v>3.1030000000000002</v>
      </c>
      <c r="M4741">
        <v>0</v>
      </c>
      <c r="N4741" t="s">
        <v>10019</v>
      </c>
      <c r="O4741" t="str">
        <f>HYPERLINK("NoConsenso\marker_621_741379.png", "Ver Imagen")</f>
        <v>Ver Imagen</v>
      </c>
      <c r="P4741" t="str">
        <f>HYPERLINK("NE\A-490\A-490__166.png", "Ver Imagen")</f>
        <v>Ver Imagen</v>
      </c>
    </row>
    <row r="4742" spans="1:16" x14ac:dyDescent="0.25">
      <c r="A4742">
        <v>4385</v>
      </c>
      <c r="B4742" t="s">
        <v>8777</v>
      </c>
      <c r="C4742">
        <v>37.456140520700004</v>
      </c>
      <c r="D4742">
        <v>-7.1669707868200003</v>
      </c>
      <c r="E4742">
        <v>2</v>
      </c>
      <c r="F4742">
        <v>4</v>
      </c>
      <c r="G4742">
        <v>3</v>
      </c>
      <c r="H4742">
        <v>3</v>
      </c>
      <c r="I4742">
        <v>3</v>
      </c>
      <c r="J4742" t="s">
        <v>8005</v>
      </c>
      <c r="K4742">
        <v>3</v>
      </c>
      <c r="L4742">
        <v>3.0390000000000001</v>
      </c>
      <c r="M4742">
        <v>0</v>
      </c>
      <c r="N4742" t="s">
        <v>10019</v>
      </c>
      <c r="O4742" t="str">
        <f>HYPERLINK("NoConsenso\marker_955_741587.png", "Ver Imagen")</f>
        <v>Ver Imagen</v>
      </c>
      <c r="P4742" t="str">
        <f>HYPERLINK("NE\A-490\A-490__174.png", "Ver Imagen")</f>
        <v>Ver Imagen</v>
      </c>
    </row>
    <row r="4743" spans="1:16" x14ac:dyDescent="0.25">
      <c r="A4743">
        <v>4386</v>
      </c>
      <c r="B4743" t="s">
        <v>8779</v>
      </c>
      <c r="C4743">
        <v>37.456758814200001</v>
      </c>
      <c r="D4743">
        <v>-7.1677378331500003</v>
      </c>
      <c r="E4743">
        <v>1</v>
      </c>
      <c r="F4743">
        <v>3</v>
      </c>
      <c r="G4743">
        <v>3</v>
      </c>
      <c r="H4743">
        <v>3</v>
      </c>
      <c r="I4743">
        <v>3</v>
      </c>
      <c r="J4743" t="s">
        <v>8005</v>
      </c>
      <c r="K4743">
        <v>3</v>
      </c>
      <c r="L4743">
        <v>2.827</v>
      </c>
      <c r="M4743">
        <v>0</v>
      </c>
      <c r="N4743" t="s">
        <v>10018</v>
      </c>
      <c r="O4743" t="str">
        <f>HYPERLINK("NoConsenso\marker_687_741721.png", "Ver Imagen")</f>
        <v>Ver Imagen</v>
      </c>
      <c r="P4743" t="str">
        <f>HYPERLINK("NE\A-490\A-490__178.png", "Ver Imagen")</f>
        <v>Ver Imagen</v>
      </c>
    </row>
    <row r="4744" spans="1:16" x14ac:dyDescent="0.25">
      <c r="A4744">
        <v>4387</v>
      </c>
      <c r="B4744" t="s">
        <v>8781</v>
      </c>
      <c r="C4744">
        <v>37.456845004400002</v>
      </c>
      <c r="D4744">
        <v>-7.1678458190000001</v>
      </c>
      <c r="E4744">
        <v>2</v>
      </c>
      <c r="F4744">
        <v>3</v>
      </c>
      <c r="G4744">
        <v>4</v>
      </c>
      <c r="H4744">
        <v>3</v>
      </c>
      <c r="I4744">
        <v>3</v>
      </c>
      <c r="J4744" t="s">
        <v>8005</v>
      </c>
      <c r="K4744">
        <v>3</v>
      </c>
      <c r="L4744">
        <v>3.0339999999999998</v>
      </c>
      <c r="M4744">
        <v>0</v>
      </c>
      <c r="N4744" t="s">
        <v>10019</v>
      </c>
      <c r="O4744" t="str">
        <f>HYPERLINK("NoConsenso\marker_374_741761.png", "Ver Imagen")</f>
        <v>Ver Imagen</v>
      </c>
      <c r="P4744" t="str">
        <f>HYPERLINK("NE\A-490\A-490__179.png", "Ver Imagen")</f>
        <v>Ver Imagen</v>
      </c>
    </row>
    <row r="4745" spans="1:16" x14ac:dyDescent="0.25">
      <c r="A4745">
        <v>4388</v>
      </c>
      <c r="B4745" t="s">
        <v>8783</v>
      </c>
      <c r="C4745">
        <v>37.457414288999999</v>
      </c>
      <c r="D4745">
        <v>-7.1685470213500002</v>
      </c>
      <c r="E4745">
        <v>2</v>
      </c>
      <c r="F4745">
        <v>4</v>
      </c>
      <c r="G4745">
        <v>3</v>
      </c>
      <c r="H4745">
        <v>3</v>
      </c>
      <c r="I4745">
        <v>3</v>
      </c>
      <c r="J4745" t="s">
        <v>8005</v>
      </c>
      <c r="K4745">
        <v>3</v>
      </c>
      <c r="L4745">
        <v>2.847</v>
      </c>
      <c r="M4745">
        <v>0</v>
      </c>
      <c r="N4745" t="s">
        <v>10019</v>
      </c>
      <c r="O4745" t="str">
        <f>HYPERLINK("NoConsenso\marker_584_741872.png", "Ver Imagen")</f>
        <v>Ver Imagen</v>
      </c>
      <c r="P4745" t="str">
        <f>HYPERLINK("NE\A-490\A-490__183.png", "Ver Imagen")</f>
        <v>Ver Imagen</v>
      </c>
    </row>
    <row r="4746" spans="1:16" x14ac:dyDescent="0.25">
      <c r="A4746">
        <v>4389</v>
      </c>
      <c r="B4746" t="s">
        <v>8785</v>
      </c>
      <c r="C4746">
        <v>37.459580490699999</v>
      </c>
      <c r="D4746">
        <v>-7.17121708106</v>
      </c>
      <c r="E4746">
        <v>2</v>
      </c>
      <c r="F4746">
        <v>4</v>
      </c>
      <c r="G4746">
        <v>3</v>
      </c>
      <c r="H4746">
        <v>3</v>
      </c>
      <c r="I4746">
        <v>4</v>
      </c>
      <c r="J4746" t="s">
        <v>8005</v>
      </c>
      <c r="K4746">
        <v>3</v>
      </c>
      <c r="L4746">
        <v>2.9</v>
      </c>
      <c r="M4746">
        <v>0</v>
      </c>
      <c r="N4746" t="s">
        <v>10019</v>
      </c>
      <c r="O4746" t="str">
        <f>HYPERLINK("NoConsenso\marker_546_742299.png", "Ver Imagen")</f>
        <v>Ver Imagen</v>
      </c>
      <c r="P4746" t="str">
        <f>HYPERLINK("NE\A-490\A-490__198.png", "Ver Imagen")</f>
        <v>Ver Imagen</v>
      </c>
    </row>
    <row r="4747" spans="1:16" x14ac:dyDescent="0.25">
      <c r="A4747">
        <v>4391</v>
      </c>
      <c r="B4747" t="s">
        <v>8789</v>
      </c>
      <c r="C4747">
        <v>37.460018847599997</v>
      </c>
      <c r="D4747">
        <v>-7.1718739280500001</v>
      </c>
      <c r="E4747">
        <v>1</v>
      </c>
      <c r="F4747">
        <v>3</v>
      </c>
      <c r="G4747">
        <v>2</v>
      </c>
      <c r="H4747">
        <v>2</v>
      </c>
      <c r="I4747">
        <v>2</v>
      </c>
      <c r="J4747" t="s">
        <v>8005</v>
      </c>
      <c r="K4747">
        <v>2</v>
      </c>
      <c r="L4747">
        <v>2.3740000000000001</v>
      </c>
      <c r="M4747">
        <v>0</v>
      </c>
      <c r="N4747" t="s">
        <v>10019</v>
      </c>
      <c r="O4747" t="str">
        <f>HYPERLINK("NoConsenso\marker_773_742374.png", "Ver Imagen")</f>
        <v>Ver Imagen</v>
      </c>
      <c r="P4747" t="str">
        <f>HYPERLINK("NE\A-490\A-490__201.png", "Ver Imagen")</f>
        <v>Ver Imagen</v>
      </c>
    </row>
    <row r="4748" spans="1:16" x14ac:dyDescent="0.25">
      <c r="A4748">
        <v>4392</v>
      </c>
      <c r="B4748" t="s">
        <v>8791</v>
      </c>
      <c r="C4748">
        <v>37.460098566699997</v>
      </c>
      <c r="D4748">
        <v>-7.1720020525499999</v>
      </c>
      <c r="E4748">
        <v>2</v>
      </c>
      <c r="F4748">
        <v>4</v>
      </c>
      <c r="G4748">
        <v>4</v>
      </c>
      <c r="H4748">
        <v>2</v>
      </c>
      <c r="I4748">
        <v>3</v>
      </c>
      <c r="J4748" t="s">
        <v>8005</v>
      </c>
      <c r="K4748">
        <v>3</v>
      </c>
      <c r="L4748">
        <v>2.9430000000000001</v>
      </c>
      <c r="M4748">
        <v>0</v>
      </c>
      <c r="N4748" t="s">
        <v>10019</v>
      </c>
      <c r="O4748" t="str">
        <f>HYPERLINK("NoConsenso\marker_286_742423.png", "Ver Imagen")</f>
        <v>Ver Imagen</v>
      </c>
      <c r="P4748" t="str">
        <f>HYPERLINK("NE\A-490\A-490__202.png", "Ver Imagen")</f>
        <v>Ver Imagen</v>
      </c>
    </row>
    <row r="4749" spans="1:16" x14ac:dyDescent="0.25">
      <c r="A4749">
        <v>4393</v>
      </c>
      <c r="B4749" t="s">
        <v>8793</v>
      </c>
      <c r="C4749">
        <v>37.4617056457</v>
      </c>
      <c r="D4749">
        <v>-7.1746499996099997</v>
      </c>
      <c r="E4749">
        <v>2</v>
      </c>
      <c r="F4749">
        <v>4</v>
      </c>
      <c r="G4749">
        <v>3</v>
      </c>
      <c r="H4749">
        <v>3</v>
      </c>
      <c r="I4749">
        <v>4</v>
      </c>
      <c r="J4749" t="s">
        <v>8005</v>
      </c>
      <c r="K4749">
        <v>3</v>
      </c>
      <c r="L4749">
        <v>3.278</v>
      </c>
      <c r="M4749">
        <v>0</v>
      </c>
      <c r="N4749" t="s">
        <v>10019</v>
      </c>
      <c r="O4749" t="str">
        <f>HYPERLINK("NoConsenso\marker_634_743083.png", "Ver Imagen")</f>
        <v>Ver Imagen</v>
      </c>
      <c r="P4749" t="str">
        <f>HYPERLINK("NE\A-490\A-490__215.png", "Ver Imagen")</f>
        <v>Ver Imagen</v>
      </c>
    </row>
    <row r="4750" spans="1:16" x14ac:dyDescent="0.25">
      <c r="A4750">
        <v>4394</v>
      </c>
      <c r="B4750" t="s">
        <v>8795</v>
      </c>
      <c r="C4750">
        <v>37.4631647884</v>
      </c>
      <c r="D4750">
        <v>-7.1770344857100001</v>
      </c>
      <c r="E4750">
        <v>1</v>
      </c>
      <c r="F4750">
        <v>3</v>
      </c>
      <c r="G4750">
        <v>2</v>
      </c>
      <c r="H4750">
        <v>2</v>
      </c>
      <c r="I4750">
        <v>2</v>
      </c>
      <c r="J4750" t="s">
        <v>8005</v>
      </c>
      <c r="K4750">
        <v>2</v>
      </c>
      <c r="L4750">
        <v>1.931</v>
      </c>
      <c r="M4750">
        <v>0</v>
      </c>
      <c r="N4750" t="s">
        <v>10019</v>
      </c>
      <c r="O4750" t="str">
        <f>HYPERLINK("NoConsenso\marker_354_743756.png", "Ver Imagen")</f>
        <v>Ver Imagen</v>
      </c>
      <c r="P4750" t="str">
        <f>HYPERLINK("NE\A-490\A-490__227.png", "Ver Imagen")</f>
        <v>Ver Imagen</v>
      </c>
    </row>
    <row r="4751" spans="1:16" x14ac:dyDescent="0.25">
      <c r="A4751">
        <v>4395</v>
      </c>
      <c r="B4751" t="s">
        <v>8797</v>
      </c>
      <c r="C4751">
        <v>37.463308615400003</v>
      </c>
      <c r="D4751">
        <v>-7.1772692703200001</v>
      </c>
      <c r="E4751">
        <v>2</v>
      </c>
      <c r="F4751">
        <v>3</v>
      </c>
      <c r="G4751">
        <v>1</v>
      </c>
      <c r="H4751">
        <v>2</v>
      </c>
      <c r="I4751">
        <v>2</v>
      </c>
      <c r="J4751" t="s">
        <v>8005</v>
      </c>
      <c r="K4751">
        <v>2</v>
      </c>
      <c r="L4751">
        <v>1.8859999999999999</v>
      </c>
      <c r="M4751">
        <v>0</v>
      </c>
      <c r="N4751" t="s">
        <v>10019</v>
      </c>
      <c r="O4751" t="str">
        <f>HYPERLINK("NoConsenso\marker_445_743786.png", "Ver Imagen")</f>
        <v>Ver Imagen</v>
      </c>
      <c r="P4751" t="str">
        <f>HYPERLINK("NE\A-490\A-490__228.png", "Ver Imagen")</f>
        <v>Ver Imagen</v>
      </c>
    </row>
    <row r="4752" spans="1:16" x14ac:dyDescent="0.25">
      <c r="A4752">
        <v>4397</v>
      </c>
      <c r="B4752" t="s">
        <v>8801</v>
      </c>
      <c r="C4752">
        <v>37.464733240599998</v>
      </c>
      <c r="D4752">
        <v>-7.1798257663599996</v>
      </c>
      <c r="E4752">
        <v>3</v>
      </c>
      <c r="F4752">
        <v>4</v>
      </c>
      <c r="G4752">
        <v>5</v>
      </c>
      <c r="H4752">
        <v>4</v>
      </c>
      <c r="I4752">
        <v>4</v>
      </c>
      <c r="J4752" t="s">
        <v>8005</v>
      </c>
      <c r="K4752">
        <v>4</v>
      </c>
      <c r="L4752">
        <v>4.1779999999999999</v>
      </c>
      <c r="M4752">
        <v>0</v>
      </c>
      <c r="N4752" t="s">
        <v>10019</v>
      </c>
      <c r="O4752" t="str">
        <f>HYPERLINK("NoConsenso\marker_865_749166.png", "Ver Imagen")</f>
        <v>Ver Imagen</v>
      </c>
      <c r="P4752" t="str">
        <f>HYPERLINK("NE\A-490\A-490__240.png", "Ver Imagen")</f>
        <v>Ver Imagen</v>
      </c>
    </row>
    <row r="4753" spans="1:16" x14ac:dyDescent="0.25">
      <c r="A4753">
        <v>4398</v>
      </c>
      <c r="B4753" t="s">
        <v>8803</v>
      </c>
      <c r="C4753">
        <v>37.465048571399997</v>
      </c>
      <c r="D4753">
        <v>-7.1803972365100002</v>
      </c>
      <c r="E4753">
        <v>2</v>
      </c>
      <c r="F4753">
        <v>3</v>
      </c>
      <c r="G4753">
        <v>4</v>
      </c>
      <c r="H4753">
        <v>3</v>
      </c>
      <c r="I4753">
        <v>3</v>
      </c>
      <c r="J4753" t="s">
        <v>8005</v>
      </c>
      <c r="K4753">
        <v>3</v>
      </c>
      <c r="L4753">
        <v>3.09</v>
      </c>
      <c r="M4753">
        <v>0</v>
      </c>
      <c r="N4753" t="s">
        <v>10019</v>
      </c>
      <c r="O4753" t="str">
        <f>HYPERLINK("NoConsenso\marker_473_749351.png", "Ver Imagen")</f>
        <v>Ver Imagen</v>
      </c>
      <c r="P4753" t="str">
        <f>HYPERLINK("NE\A-490\A-490__243.png", "Ver Imagen")</f>
        <v>Ver Imagen</v>
      </c>
    </row>
    <row r="4754" spans="1:16" x14ac:dyDescent="0.25">
      <c r="A4754">
        <v>4399</v>
      </c>
      <c r="B4754" t="s">
        <v>8805</v>
      </c>
      <c r="C4754">
        <v>37.465495453300001</v>
      </c>
      <c r="D4754">
        <v>-7.1812375824899997</v>
      </c>
      <c r="E4754">
        <v>3</v>
      </c>
      <c r="F4754">
        <v>4</v>
      </c>
      <c r="G4754">
        <v>5</v>
      </c>
      <c r="H4754">
        <v>4</v>
      </c>
      <c r="I4754">
        <v>4</v>
      </c>
      <c r="J4754" t="s">
        <v>8005</v>
      </c>
      <c r="K4754">
        <v>4</v>
      </c>
      <c r="L4754">
        <v>3.9510000000000001</v>
      </c>
      <c r="M4754">
        <v>0</v>
      </c>
      <c r="N4754" t="s">
        <v>10019</v>
      </c>
      <c r="O4754" t="str">
        <f>HYPERLINK("NoConsenso\marker_430_749441.png", "Ver Imagen")</f>
        <v>Ver Imagen</v>
      </c>
      <c r="P4754" t="str">
        <f>HYPERLINK("NE\A-490\A-490__247.png", "Ver Imagen")</f>
        <v>Ver Imagen</v>
      </c>
    </row>
    <row r="4755" spans="1:16" x14ac:dyDescent="0.25">
      <c r="A4755">
        <v>4400</v>
      </c>
      <c r="B4755" t="s">
        <v>8807</v>
      </c>
      <c r="C4755">
        <v>37.465716040799997</v>
      </c>
      <c r="D4755">
        <v>-7.18165073699</v>
      </c>
      <c r="E4755">
        <v>3</v>
      </c>
      <c r="F4755">
        <v>3</v>
      </c>
      <c r="G4755">
        <v>5</v>
      </c>
      <c r="H4755">
        <v>3</v>
      </c>
      <c r="I4755">
        <v>4</v>
      </c>
      <c r="J4755" t="s">
        <v>8005</v>
      </c>
      <c r="K4755">
        <v>3</v>
      </c>
      <c r="L4755">
        <v>2.625</v>
      </c>
      <c r="M4755">
        <v>0</v>
      </c>
      <c r="N4755" t="s">
        <v>10019</v>
      </c>
      <c r="O4755" t="str">
        <f>HYPERLINK("NoConsenso\marker_675_749478.png", "Ver Imagen")</f>
        <v>Ver Imagen</v>
      </c>
      <c r="P4755" t="str">
        <f>HYPERLINK("NE\A-490\A-490__249.png", "Ver Imagen")</f>
        <v>Ver Imagen</v>
      </c>
    </row>
    <row r="4756" spans="1:16" x14ac:dyDescent="0.25">
      <c r="A4756">
        <v>4401</v>
      </c>
      <c r="B4756" t="s">
        <v>8809</v>
      </c>
      <c r="C4756">
        <v>37.467183054700001</v>
      </c>
      <c r="D4756">
        <v>-7.1844487245600002</v>
      </c>
      <c r="E4756">
        <v>2</v>
      </c>
      <c r="F4756">
        <v>2</v>
      </c>
      <c r="G4756">
        <v>4</v>
      </c>
      <c r="H4756">
        <v>2</v>
      </c>
      <c r="I4756">
        <v>1</v>
      </c>
      <c r="J4756" t="s">
        <v>8005</v>
      </c>
      <c r="K4756">
        <v>2</v>
      </c>
      <c r="L4756">
        <v>2.1379999999999999</v>
      </c>
      <c r="M4756">
        <v>0</v>
      </c>
      <c r="N4756" t="s">
        <v>10019</v>
      </c>
      <c r="O4756" t="str">
        <f>HYPERLINK("NoConsenso\marker_577_749750.png", "Ver Imagen")</f>
        <v>Ver Imagen</v>
      </c>
      <c r="P4756" t="str">
        <f>HYPERLINK("NE\A-490\A-490__262.png", "Ver Imagen")</f>
        <v>Ver Imagen</v>
      </c>
    </row>
    <row r="4757" spans="1:16" x14ac:dyDescent="0.25">
      <c r="A4757">
        <v>4401</v>
      </c>
      <c r="B4757" t="s">
        <v>8809</v>
      </c>
      <c r="C4757">
        <v>37.467183054700001</v>
      </c>
      <c r="D4757">
        <v>-7.1844487245600002</v>
      </c>
      <c r="E4757">
        <v>2</v>
      </c>
      <c r="F4757">
        <v>2</v>
      </c>
      <c r="G4757">
        <v>4</v>
      </c>
      <c r="H4757">
        <v>2</v>
      </c>
      <c r="I4757">
        <v>1</v>
      </c>
      <c r="J4757" t="s">
        <v>8005</v>
      </c>
      <c r="K4757">
        <v>2</v>
      </c>
      <c r="L4757">
        <v>2.3940000000000001</v>
      </c>
      <c r="M4757">
        <v>0</v>
      </c>
      <c r="N4757" t="s">
        <v>10019</v>
      </c>
      <c r="O4757" t="str">
        <f>HYPERLINK("NoConsenso\marker_577_749750.png", "Ver Imagen")</f>
        <v>Ver Imagen</v>
      </c>
      <c r="P4757" t="str">
        <f>HYPERLINK("NO\A-490\A-490__262.png", "Ver Imagen")</f>
        <v>Ver Imagen</v>
      </c>
    </row>
    <row r="4758" spans="1:16" x14ac:dyDescent="0.25">
      <c r="A4758">
        <v>4402</v>
      </c>
      <c r="B4758" t="s">
        <v>8811</v>
      </c>
      <c r="C4758">
        <v>37.449276774099999</v>
      </c>
      <c r="D4758">
        <v>-7.1509357482700002</v>
      </c>
      <c r="E4758">
        <v>3</v>
      </c>
      <c r="F4758">
        <v>4</v>
      </c>
      <c r="G4758">
        <v>5</v>
      </c>
      <c r="H4758">
        <v>4</v>
      </c>
      <c r="I4758">
        <v>4</v>
      </c>
      <c r="J4758" t="s">
        <v>8005</v>
      </c>
      <c r="K4758">
        <v>4</v>
      </c>
      <c r="L4758">
        <v>3.6520000000000001</v>
      </c>
      <c r="M4758">
        <v>0</v>
      </c>
      <c r="N4758" t="s">
        <v>10018</v>
      </c>
      <c r="O4758" t="str">
        <f>HYPERLINK("NoConsenso\marker_347_739180.png", "Ver Imagen")</f>
        <v>Ver Imagen</v>
      </c>
      <c r="P4758" t="str">
        <f>HYPERLINK("NE\A-490\A-490__101.png", "Ver Imagen")</f>
        <v>Ver Imagen</v>
      </c>
    </row>
    <row r="4759" spans="1:16" x14ac:dyDescent="0.25">
      <c r="A4759">
        <v>4403</v>
      </c>
      <c r="B4759" t="s">
        <v>8813</v>
      </c>
      <c r="C4759">
        <v>37.4770721792</v>
      </c>
      <c r="D4759">
        <v>-7.2035579063500004</v>
      </c>
      <c r="E4759">
        <v>2</v>
      </c>
      <c r="F4759">
        <v>2</v>
      </c>
      <c r="G4759">
        <v>4</v>
      </c>
      <c r="H4759">
        <v>2</v>
      </c>
      <c r="I4759">
        <v>2</v>
      </c>
      <c r="J4759" t="s">
        <v>8005</v>
      </c>
      <c r="K4759">
        <v>2</v>
      </c>
      <c r="L4759">
        <v>1.742</v>
      </c>
      <c r="M4759">
        <v>0</v>
      </c>
      <c r="N4759" t="s">
        <v>10019</v>
      </c>
      <c r="O4759" t="str">
        <f>HYPERLINK("NoConsenso\marker_755_751711.png", "Ver Imagen")</f>
        <v>Ver Imagen</v>
      </c>
      <c r="P4759" t="str">
        <f>HYPERLINK("NE\A-490\A-490__352.png", "Ver Imagen")</f>
        <v>Ver Imagen</v>
      </c>
    </row>
    <row r="4760" spans="1:16" x14ac:dyDescent="0.25">
      <c r="A4760">
        <v>4403</v>
      </c>
      <c r="B4760" t="s">
        <v>8813</v>
      </c>
      <c r="C4760">
        <v>37.4770721792</v>
      </c>
      <c r="D4760">
        <v>-7.2035579063500004</v>
      </c>
      <c r="E4760">
        <v>2</v>
      </c>
      <c r="F4760">
        <v>2</v>
      </c>
      <c r="G4760">
        <v>4</v>
      </c>
      <c r="H4760">
        <v>2</v>
      </c>
      <c r="I4760">
        <v>2</v>
      </c>
      <c r="J4760" t="s">
        <v>8005</v>
      </c>
      <c r="K4760">
        <v>2</v>
      </c>
      <c r="L4760">
        <v>1.768</v>
      </c>
      <c r="M4760">
        <v>0</v>
      </c>
      <c r="N4760" t="s">
        <v>10019</v>
      </c>
      <c r="O4760" t="str">
        <f>HYPERLINK("NoConsenso\marker_755_751711.png", "Ver Imagen")</f>
        <v>Ver Imagen</v>
      </c>
      <c r="P4760" t="str">
        <f>HYPERLINK("NO\A-490\A-490__352.png", "Ver Imagen")</f>
        <v>Ver Imagen</v>
      </c>
    </row>
    <row r="4761" spans="1:16" x14ac:dyDescent="0.25">
      <c r="A4761">
        <v>4404</v>
      </c>
      <c r="B4761" t="s">
        <v>8815</v>
      </c>
      <c r="C4761">
        <v>37.478250012499998</v>
      </c>
      <c r="D4761">
        <v>-7.2062877517099997</v>
      </c>
      <c r="E4761">
        <v>1</v>
      </c>
      <c r="F4761">
        <v>3</v>
      </c>
      <c r="G4761">
        <v>2</v>
      </c>
      <c r="H4761">
        <v>1</v>
      </c>
      <c r="I4761">
        <v>1</v>
      </c>
      <c r="J4761" t="s">
        <v>8005</v>
      </c>
      <c r="K4761">
        <v>1</v>
      </c>
      <c r="L4761">
        <v>1.1950000000000001</v>
      </c>
      <c r="M4761">
        <v>0</v>
      </c>
      <c r="N4761" t="s">
        <v>10019</v>
      </c>
      <c r="O4761" t="str">
        <f>HYPERLINK("NoConsenso\marker_607_751979.png", "Ver Imagen")</f>
        <v>Ver Imagen</v>
      </c>
      <c r="P4761" t="str">
        <f>HYPERLINK("NO\A-490\A-490__364.png", "Ver Imagen")</f>
        <v>Ver Imagen</v>
      </c>
    </row>
    <row r="4762" spans="1:16" x14ac:dyDescent="0.25">
      <c r="A4762">
        <v>4405</v>
      </c>
      <c r="B4762" t="s">
        <v>8817</v>
      </c>
      <c r="C4762">
        <v>37.478428822600002</v>
      </c>
      <c r="D4762">
        <v>-7.2067080813000004</v>
      </c>
      <c r="E4762">
        <v>1</v>
      </c>
      <c r="F4762">
        <v>3</v>
      </c>
      <c r="G4762">
        <v>2</v>
      </c>
      <c r="H4762">
        <v>1</v>
      </c>
      <c r="I4762">
        <v>1</v>
      </c>
      <c r="J4762" t="s">
        <v>8005</v>
      </c>
      <c r="K4762">
        <v>1</v>
      </c>
      <c r="L4762">
        <v>1.3280000000000001</v>
      </c>
      <c r="M4762">
        <v>0</v>
      </c>
      <c r="N4762" t="s">
        <v>10019</v>
      </c>
      <c r="O4762" t="str">
        <f>HYPERLINK("NoConsenso\marker_243_752013.png", "Ver Imagen")</f>
        <v>Ver Imagen</v>
      </c>
      <c r="P4762" t="str">
        <f>HYPERLINK("NO\A-490\A-490__366.png", "Ver Imagen")</f>
        <v>Ver Imagen</v>
      </c>
    </row>
    <row r="4763" spans="1:16" x14ac:dyDescent="0.25">
      <c r="A4763">
        <v>4406</v>
      </c>
      <c r="B4763" t="s">
        <v>8819</v>
      </c>
      <c r="C4763">
        <v>37.478903657099998</v>
      </c>
      <c r="D4763">
        <v>-7.2078018693699999</v>
      </c>
      <c r="E4763">
        <v>1</v>
      </c>
      <c r="F4763">
        <v>3</v>
      </c>
      <c r="G4763">
        <v>2</v>
      </c>
      <c r="H4763">
        <v>2</v>
      </c>
      <c r="I4763">
        <v>2</v>
      </c>
      <c r="J4763" t="s">
        <v>8005</v>
      </c>
      <c r="K4763">
        <v>2</v>
      </c>
      <c r="L4763">
        <v>1.944</v>
      </c>
      <c r="M4763">
        <v>0</v>
      </c>
      <c r="N4763" t="s">
        <v>10019</v>
      </c>
      <c r="O4763" t="str">
        <f>HYPERLINK("NoConsenso\marker_893_752122.png", "Ver Imagen")</f>
        <v>Ver Imagen</v>
      </c>
      <c r="P4763" t="str">
        <f>HYPERLINK("NO\A-490\A-490__371.png", "Ver Imagen")</f>
        <v>Ver Imagen</v>
      </c>
    </row>
    <row r="4764" spans="1:16" x14ac:dyDescent="0.25">
      <c r="A4764">
        <v>4407</v>
      </c>
      <c r="B4764" t="s">
        <v>8821</v>
      </c>
      <c r="C4764">
        <v>37.4795749918</v>
      </c>
      <c r="D4764">
        <v>-7.2093798618799996</v>
      </c>
      <c r="E4764">
        <v>2</v>
      </c>
      <c r="F4764">
        <v>4</v>
      </c>
      <c r="G4764">
        <v>3</v>
      </c>
      <c r="H4764">
        <v>3</v>
      </c>
      <c r="I4764">
        <v>4</v>
      </c>
      <c r="J4764" t="s">
        <v>8005</v>
      </c>
      <c r="K4764">
        <v>3</v>
      </c>
      <c r="L4764">
        <v>3.0990000000000002</v>
      </c>
      <c r="M4764">
        <v>0</v>
      </c>
      <c r="N4764" t="s">
        <v>10019</v>
      </c>
      <c r="O4764" t="str">
        <f>HYPERLINK("NoConsenso\marker_566_752289.png", "Ver Imagen")</f>
        <v>Ver Imagen</v>
      </c>
      <c r="P4764" t="str">
        <f>HYPERLINK("NO\A-490\A-490__378.png", "Ver Imagen")</f>
        <v>Ver Imagen</v>
      </c>
    </row>
    <row r="4765" spans="1:16" x14ac:dyDescent="0.25">
      <c r="A4765">
        <v>4408</v>
      </c>
      <c r="B4765" t="s">
        <v>8823</v>
      </c>
      <c r="C4765">
        <v>37.480337441300001</v>
      </c>
      <c r="D4765">
        <v>-7.2111402555600002</v>
      </c>
      <c r="E4765">
        <v>1</v>
      </c>
      <c r="F4765">
        <v>3</v>
      </c>
      <c r="G4765">
        <v>2</v>
      </c>
      <c r="H4765">
        <v>2</v>
      </c>
      <c r="I4765">
        <v>2</v>
      </c>
      <c r="J4765" t="s">
        <v>8005</v>
      </c>
      <c r="K4765">
        <v>2</v>
      </c>
      <c r="L4765">
        <v>1.9079999999999999</v>
      </c>
      <c r="M4765">
        <v>0</v>
      </c>
      <c r="N4765" t="s">
        <v>10019</v>
      </c>
      <c r="O4765" t="str">
        <f>HYPERLINK("NoConsenso\marker_428_752462.png", "Ver Imagen")</f>
        <v>Ver Imagen</v>
      </c>
      <c r="P4765" t="str">
        <f>HYPERLINK("NO\A-490\A-490__386.png", "Ver Imagen")</f>
        <v>Ver Imagen</v>
      </c>
    </row>
    <row r="4766" spans="1:16" x14ac:dyDescent="0.25">
      <c r="A4766">
        <v>4409</v>
      </c>
      <c r="B4766" t="s">
        <v>8825</v>
      </c>
      <c r="C4766">
        <v>37.480717392899997</v>
      </c>
      <c r="D4766">
        <v>-7.2120829834500002</v>
      </c>
      <c r="E4766">
        <v>1</v>
      </c>
      <c r="F4766">
        <v>3</v>
      </c>
      <c r="G4766">
        <v>2</v>
      </c>
      <c r="H4766">
        <v>2</v>
      </c>
      <c r="I4766">
        <v>1</v>
      </c>
      <c r="J4766" t="s">
        <v>8005</v>
      </c>
      <c r="K4766">
        <v>2</v>
      </c>
      <c r="L4766">
        <v>2.2210000000000001</v>
      </c>
      <c r="M4766">
        <v>0</v>
      </c>
      <c r="N4766" t="s">
        <v>10019</v>
      </c>
      <c r="O4766" t="str">
        <f>HYPERLINK("NoConsenso\marker_530_752550.png", "Ver Imagen")</f>
        <v>Ver Imagen</v>
      </c>
      <c r="P4766" t="str">
        <f>HYPERLINK("NO\A-490\A-490__390.png", "Ver Imagen")</f>
        <v>Ver Imagen</v>
      </c>
    </row>
    <row r="4767" spans="1:16" x14ac:dyDescent="0.25">
      <c r="A4767">
        <v>4410</v>
      </c>
      <c r="B4767" t="s">
        <v>8827</v>
      </c>
      <c r="C4767">
        <v>37.4808033427</v>
      </c>
      <c r="D4767">
        <v>-7.2123154089800003</v>
      </c>
      <c r="E4767">
        <v>2</v>
      </c>
      <c r="F4767">
        <v>4</v>
      </c>
      <c r="G4767">
        <v>3</v>
      </c>
      <c r="H4767">
        <v>3</v>
      </c>
      <c r="I4767">
        <v>3</v>
      </c>
      <c r="J4767" t="s">
        <v>8005</v>
      </c>
      <c r="K4767">
        <v>3</v>
      </c>
      <c r="L4767">
        <v>2.6539999999999999</v>
      </c>
      <c r="M4767">
        <v>0</v>
      </c>
      <c r="N4767" t="s">
        <v>10019</v>
      </c>
      <c r="O4767" t="str">
        <f>HYPERLINK("NoConsenso\marker_581_752572.png", "Ver Imagen")</f>
        <v>Ver Imagen</v>
      </c>
      <c r="P4767" t="str">
        <f>HYPERLINK("NO\A-490\A-490__391.png", "Ver Imagen")</f>
        <v>Ver Imagen</v>
      </c>
    </row>
    <row r="4768" spans="1:16" x14ac:dyDescent="0.25">
      <c r="A4768">
        <v>4411</v>
      </c>
      <c r="B4768" t="s">
        <v>8829</v>
      </c>
      <c r="C4768">
        <v>37.480994505699996</v>
      </c>
      <c r="D4768">
        <v>-7.2128343843699998</v>
      </c>
      <c r="E4768">
        <v>1</v>
      </c>
      <c r="F4768">
        <v>3</v>
      </c>
      <c r="G4768">
        <v>2</v>
      </c>
      <c r="H4768">
        <v>3</v>
      </c>
      <c r="I4768">
        <v>3</v>
      </c>
      <c r="J4768" t="s">
        <v>8005</v>
      </c>
      <c r="K4768">
        <v>3</v>
      </c>
      <c r="L4768">
        <v>3.0619999999999998</v>
      </c>
      <c r="M4768">
        <v>0</v>
      </c>
      <c r="N4768" t="s">
        <v>10019</v>
      </c>
      <c r="O4768" t="str">
        <f>HYPERLINK("NoConsenso\marker_889_752710.png", "Ver Imagen")</f>
        <v>Ver Imagen</v>
      </c>
      <c r="P4768" t="str">
        <f>HYPERLINK("NO\A-490\A-490__393.png", "Ver Imagen")</f>
        <v>Ver Imagen</v>
      </c>
    </row>
    <row r="4769" spans="1:16" x14ac:dyDescent="0.25">
      <c r="A4769">
        <v>4412</v>
      </c>
      <c r="B4769" t="s">
        <v>8831</v>
      </c>
      <c r="C4769">
        <v>37.481554793100003</v>
      </c>
      <c r="D4769">
        <v>-7.2143612854699999</v>
      </c>
      <c r="E4769">
        <v>1</v>
      </c>
      <c r="F4769">
        <v>3</v>
      </c>
      <c r="G4769">
        <v>2</v>
      </c>
      <c r="H4769">
        <v>2</v>
      </c>
      <c r="I4769">
        <v>2</v>
      </c>
      <c r="J4769" t="s">
        <v>8005</v>
      </c>
      <c r="K4769">
        <v>2</v>
      </c>
      <c r="L4769">
        <v>2.33</v>
      </c>
      <c r="M4769">
        <v>0</v>
      </c>
      <c r="N4769" t="s">
        <v>10019</v>
      </c>
      <c r="O4769" t="str">
        <f>HYPERLINK("NoConsenso\marker_898_753017.png", "Ver Imagen")</f>
        <v>Ver Imagen</v>
      </c>
      <c r="P4769" t="str">
        <f>HYPERLINK("NO\A-490\A-490__400.png", "Ver Imagen")</f>
        <v>Ver Imagen</v>
      </c>
    </row>
    <row r="4770" spans="1:16" x14ac:dyDescent="0.25">
      <c r="A4770">
        <v>4413</v>
      </c>
      <c r="B4770" t="s">
        <v>8833</v>
      </c>
      <c r="C4770">
        <v>37.481750289499999</v>
      </c>
      <c r="D4770">
        <v>-7.2148914522699998</v>
      </c>
      <c r="E4770">
        <v>3</v>
      </c>
      <c r="F4770">
        <v>4</v>
      </c>
      <c r="G4770">
        <v>2</v>
      </c>
      <c r="H4770">
        <v>2</v>
      </c>
      <c r="I4770">
        <v>2</v>
      </c>
      <c r="J4770" t="s">
        <v>8005</v>
      </c>
      <c r="K4770">
        <v>2</v>
      </c>
      <c r="L4770">
        <v>1.9470000000000001</v>
      </c>
      <c r="M4770">
        <v>0</v>
      </c>
      <c r="N4770" t="s">
        <v>10019</v>
      </c>
      <c r="O4770" t="str">
        <f>HYPERLINK("NoConsenso\marker_264_753075.png", "Ver Imagen")</f>
        <v>Ver Imagen</v>
      </c>
      <c r="P4770" t="str">
        <f>HYPERLINK("NO\A-490\A-490__402.png", "Ver Imagen")</f>
        <v>Ver Imagen</v>
      </c>
    </row>
    <row r="4771" spans="1:16" x14ac:dyDescent="0.25">
      <c r="A4771">
        <v>4414</v>
      </c>
      <c r="B4771" t="s">
        <v>8835</v>
      </c>
      <c r="C4771">
        <v>37.481833380099999</v>
      </c>
      <c r="D4771">
        <v>-7.2151155984499997</v>
      </c>
      <c r="E4771">
        <v>2</v>
      </c>
      <c r="F4771">
        <v>3</v>
      </c>
      <c r="G4771">
        <v>1</v>
      </c>
      <c r="H4771">
        <v>2</v>
      </c>
      <c r="I4771">
        <v>2</v>
      </c>
      <c r="J4771" t="s">
        <v>8005</v>
      </c>
      <c r="K4771">
        <v>2</v>
      </c>
      <c r="L4771">
        <v>2.09</v>
      </c>
      <c r="M4771">
        <v>0</v>
      </c>
      <c r="N4771" t="s">
        <v>10019</v>
      </c>
      <c r="O4771" t="str">
        <f>HYPERLINK("NoConsenso\marker_902_753092.png", "Ver Imagen")</f>
        <v>Ver Imagen</v>
      </c>
      <c r="P4771" t="str">
        <f>HYPERLINK("NO\A-490\A-490__403.png", "Ver Imagen")</f>
        <v>Ver Imagen</v>
      </c>
    </row>
    <row r="4772" spans="1:16" x14ac:dyDescent="0.25">
      <c r="A4772">
        <v>4415</v>
      </c>
      <c r="B4772" t="s">
        <v>8837</v>
      </c>
      <c r="C4772">
        <v>37.481898612000002</v>
      </c>
      <c r="D4772">
        <v>-7.2152911309299999</v>
      </c>
      <c r="E4772">
        <v>2</v>
      </c>
      <c r="F4772">
        <v>3</v>
      </c>
      <c r="G4772">
        <v>1</v>
      </c>
      <c r="H4772">
        <v>2</v>
      </c>
      <c r="I4772">
        <v>2</v>
      </c>
      <c r="J4772" t="s">
        <v>8005</v>
      </c>
      <c r="K4772">
        <v>2</v>
      </c>
      <c r="L4772">
        <v>2.3479999999999999</v>
      </c>
      <c r="M4772">
        <v>0</v>
      </c>
      <c r="N4772" t="s">
        <v>10019</v>
      </c>
      <c r="O4772" t="str">
        <f>HYPERLINK("NoConsenso\marker_395_753109.png", "Ver Imagen")</f>
        <v>Ver Imagen</v>
      </c>
      <c r="P4772" t="str">
        <f>HYPERLINK("NO\A-490\A-490__404.png", "Ver Imagen")</f>
        <v>Ver Imagen</v>
      </c>
    </row>
    <row r="4773" spans="1:16" x14ac:dyDescent="0.25">
      <c r="A4773">
        <v>4416</v>
      </c>
      <c r="B4773" t="s">
        <v>8839</v>
      </c>
      <c r="C4773">
        <v>37.482150062800002</v>
      </c>
      <c r="D4773">
        <v>-7.2160193535200001</v>
      </c>
      <c r="E4773">
        <v>1</v>
      </c>
      <c r="F4773">
        <v>3</v>
      </c>
      <c r="G4773">
        <v>2</v>
      </c>
      <c r="H4773">
        <v>1</v>
      </c>
      <c r="I4773">
        <v>1</v>
      </c>
      <c r="J4773" t="s">
        <v>8005</v>
      </c>
      <c r="K4773">
        <v>1</v>
      </c>
      <c r="L4773">
        <v>1</v>
      </c>
      <c r="M4773">
        <v>0</v>
      </c>
      <c r="N4773" t="s">
        <v>10019</v>
      </c>
      <c r="O4773" t="str">
        <f>HYPERLINK("NoConsenso\marker_772_753889.png", "Ver Imagen")</f>
        <v>Ver Imagen</v>
      </c>
      <c r="P4773" t="str">
        <f>HYPERLINK("NO\A-490\A-490__407.png", "Ver Imagen")</f>
        <v>Ver Imagen</v>
      </c>
    </row>
    <row r="4774" spans="1:16" x14ac:dyDescent="0.25">
      <c r="A4774">
        <v>4417</v>
      </c>
      <c r="B4774" t="s">
        <v>8841</v>
      </c>
      <c r="C4774">
        <v>37.482219708899997</v>
      </c>
      <c r="D4774">
        <v>-7.2162862957899998</v>
      </c>
      <c r="E4774">
        <v>1</v>
      </c>
      <c r="F4774">
        <v>3</v>
      </c>
      <c r="G4774">
        <v>2</v>
      </c>
      <c r="H4774">
        <v>2</v>
      </c>
      <c r="I4774">
        <v>2</v>
      </c>
      <c r="J4774" t="s">
        <v>8005</v>
      </c>
      <c r="K4774">
        <v>2</v>
      </c>
      <c r="L4774">
        <v>2.0419999999999998</v>
      </c>
      <c r="M4774">
        <v>0</v>
      </c>
      <c r="N4774" t="s">
        <v>10018</v>
      </c>
      <c r="O4774" t="str">
        <f>HYPERLINK("NoConsenso\marker_716_754088.png", "Ver Imagen")</f>
        <v>Ver Imagen</v>
      </c>
      <c r="P4774" t="str">
        <f>HYPERLINK("NO\A-490\A-490__408.png", "Ver Imagen")</f>
        <v>Ver Imagen</v>
      </c>
    </row>
    <row r="4775" spans="1:16" x14ac:dyDescent="0.25">
      <c r="A4775">
        <v>4418</v>
      </c>
      <c r="B4775" t="s">
        <v>8843</v>
      </c>
      <c r="C4775">
        <v>37.482272309700001</v>
      </c>
      <c r="D4775">
        <v>-7.2165147477699998</v>
      </c>
      <c r="E4775">
        <v>1</v>
      </c>
      <c r="F4775">
        <v>3</v>
      </c>
      <c r="G4775">
        <v>2</v>
      </c>
      <c r="H4775">
        <v>2</v>
      </c>
      <c r="I4775">
        <v>2</v>
      </c>
      <c r="J4775" t="s">
        <v>8005</v>
      </c>
      <c r="K4775">
        <v>2</v>
      </c>
      <c r="L4775">
        <v>1.9079999999999999</v>
      </c>
      <c r="M4775">
        <v>0</v>
      </c>
      <c r="N4775" t="s">
        <v>10019</v>
      </c>
      <c r="O4775" t="str">
        <f>HYPERLINK("NoConsenso\marker_677_754106.png", "Ver Imagen")</f>
        <v>Ver Imagen</v>
      </c>
      <c r="P4775" t="str">
        <f>HYPERLINK("NO\A-490\A-490__409.png", "Ver Imagen")</f>
        <v>Ver Imagen</v>
      </c>
    </row>
    <row r="4776" spans="1:16" x14ac:dyDescent="0.25">
      <c r="A4776">
        <v>4419</v>
      </c>
      <c r="B4776" t="s">
        <v>8845</v>
      </c>
      <c r="C4776">
        <v>37.482425608500002</v>
      </c>
      <c r="D4776">
        <v>-7.2172590654200004</v>
      </c>
      <c r="E4776">
        <v>1</v>
      </c>
      <c r="F4776">
        <v>3</v>
      </c>
      <c r="G4776">
        <v>3</v>
      </c>
      <c r="H4776">
        <v>3</v>
      </c>
      <c r="I4776">
        <v>3</v>
      </c>
      <c r="J4776" t="s">
        <v>8005</v>
      </c>
      <c r="K4776">
        <v>3</v>
      </c>
      <c r="L4776">
        <v>2.8660000000000001</v>
      </c>
      <c r="M4776">
        <v>0</v>
      </c>
      <c r="N4776" t="s">
        <v>10019</v>
      </c>
      <c r="O4776" t="str">
        <f>HYPERLINK("NoConsenso\marker_334_754158.png", "Ver Imagen")</f>
        <v>Ver Imagen</v>
      </c>
      <c r="P4776" t="str">
        <f>HYPERLINK("NO\A-490\A-490__412.png", "Ver Imagen")</f>
        <v>Ver Imagen</v>
      </c>
    </row>
    <row r="4777" spans="1:16" x14ac:dyDescent="0.25">
      <c r="A4777">
        <v>4420</v>
      </c>
      <c r="B4777" t="s">
        <v>8847</v>
      </c>
      <c r="C4777">
        <v>37.4828612867</v>
      </c>
      <c r="D4777">
        <v>-7.21946788251</v>
      </c>
      <c r="E4777">
        <v>1</v>
      </c>
      <c r="F4777">
        <v>3</v>
      </c>
      <c r="G4777">
        <v>2</v>
      </c>
      <c r="H4777">
        <v>2</v>
      </c>
      <c r="I4777">
        <v>2</v>
      </c>
      <c r="J4777" t="s">
        <v>8005</v>
      </c>
      <c r="K4777">
        <v>2</v>
      </c>
      <c r="L4777">
        <v>2</v>
      </c>
      <c r="M4777">
        <v>0</v>
      </c>
      <c r="N4777" t="s">
        <v>10019</v>
      </c>
      <c r="O4777" t="str">
        <f>HYPERLINK("NoConsenso\marker_627_754307.png", "Ver Imagen")</f>
        <v>Ver Imagen</v>
      </c>
      <c r="P4777" t="str">
        <f>HYPERLINK("NO\A-490\A-490__421.png", "Ver Imagen")</f>
        <v>Ver Imagen</v>
      </c>
    </row>
    <row r="4778" spans="1:16" x14ac:dyDescent="0.25">
      <c r="A4778">
        <v>4421</v>
      </c>
      <c r="B4778" t="s">
        <v>8849</v>
      </c>
      <c r="C4778">
        <v>37.483003735399997</v>
      </c>
      <c r="D4778">
        <v>-7.2202090669899999</v>
      </c>
      <c r="E4778">
        <v>1</v>
      </c>
      <c r="F4778">
        <v>2</v>
      </c>
      <c r="G4778">
        <v>3</v>
      </c>
      <c r="H4778">
        <v>2</v>
      </c>
      <c r="I4778">
        <v>2</v>
      </c>
      <c r="J4778" t="s">
        <v>8005</v>
      </c>
      <c r="K4778">
        <v>2</v>
      </c>
      <c r="L4778">
        <v>1.677</v>
      </c>
      <c r="M4778">
        <v>0</v>
      </c>
      <c r="N4778" t="s">
        <v>10019</v>
      </c>
      <c r="O4778" t="str">
        <f>HYPERLINK("NoConsenso\marker_661_754363.png", "Ver Imagen")</f>
        <v>Ver Imagen</v>
      </c>
      <c r="P4778" t="str">
        <f>HYPERLINK("NO\A-490\A-490__424.png", "Ver Imagen")</f>
        <v>Ver Imagen</v>
      </c>
    </row>
    <row r="4779" spans="1:16" x14ac:dyDescent="0.25">
      <c r="A4779">
        <v>4422</v>
      </c>
      <c r="B4779" t="s">
        <v>8851</v>
      </c>
      <c r="C4779">
        <v>37.483678812699999</v>
      </c>
      <c r="D4779">
        <v>-7.2236380493699999</v>
      </c>
      <c r="E4779">
        <v>1</v>
      </c>
      <c r="F4779">
        <v>3</v>
      </c>
      <c r="G4779">
        <v>2</v>
      </c>
      <c r="H4779">
        <v>2</v>
      </c>
      <c r="I4779">
        <v>2</v>
      </c>
      <c r="J4779" t="s">
        <v>8005</v>
      </c>
      <c r="K4779">
        <v>2</v>
      </c>
      <c r="L4779">
        <v>2.16</v>
      </c>
      <c r="M4779">
        <v>0</v>
      </c>
      <c r="N4779" t="s">
        <v>10019</v>
      </c>
      <c r="O4779" t="str">
        <f>HYPERLINK("NoConsenso\marker_805_754620.png", "Ver Imagen")</f>
        <v>Ver Imagen</v>
      </c>
      <c r="P4779" t="str">
        <f>HYPERLINK("NO\A-490\A-490__438.png", "Ver Imagen")</f>
        <v>Ver Imagen</v>
      </c>
    </row>
    <row r="4780" spans="1:16" x14ac:dyDescent="0.25">
      <c r="A4780">
        <v>4423</v>
      </c>
      <c r="B4780" t="s">
        <v>8853</v>
      </c>
      <c r="C4780">
        <v>37.483775132200002</v>
      </c>
      <c r="D4780">
        <v>-7.2241461199100003</v>
      </c>
      <c r="E4780">
        <v>1</v>
      </c>
      <c r="F4780">
        <v>3</v>
      </c>
      <c r="G4780">
        <v>3</v>
      </c>
      <c r="H4780">
        <v>2</v>
      </c>
      <c r="I4780">
        <v>1</v>
      </c>
      <c r="J4780" t="s">
        <v>8005</v>
      </c>
      <c r="K4780">
        <v>2</v>
      </c>
      <c r="L4780">
        <v>1.879</v>
      </c>
      <c r="M4780">
        <v>0</v>
      </c>
      <c r="N4780" t="s">
        <v>10019</v>
      </c>
      <c r="O4780" t="str">
        <f>HYPERLINK("NoConsenso\marker_881_754656.png", "Ver Imagen")</f>
        <v>Ver Imagen</v>
      </c>
      <c r="P4780" t="str">
        <f>HYPERLINK("NO\A-490\A-490__440.png", "Ver Imagen")</f>
        <v>Ver Imagen</v>
      </c>
    </row>
    <row r="4781" spans="1:16" x14ac:dyDescent="0.25">
      <c r="A4781">
        <v>4424</v>
      </c>
      <c r="B4781" t="s">
        <v>8855</v>
      </c>
      <c r="C4781">
        <v>37.483821670799998</v>
      </c>
      <c r="D4781">
        <v>-7.2243909779499997</v>
      </c>
      <c r="E4781">
        <v>1</v>
      </c>
      <c r="F4781">
        <v>2</v>
      </c>
      <c r="G4781">
        <v>3</v>
      </c>
      <c r="H4781">
        <v>2</v>
      </c>
      <c r="I4781">
        <v>2</v>
      </c>
      <c r="J4781" t="s">
        <v>8005</v>
      </c>
      <c r="K4781">
        <v>2</v>
      </c>
      <c r="L4781">
        <v>2.2599999999999998</v>
      </c>
      <c r="M4781">
        <v>0</v>
      </c>
      <c r="N4781" t="s">
        <v>10019</v>
      </c>
      <c r="O4781" t="str">
        <f>HYPERLINK("NoConsenso\marker_563_754671.png", "Ver Imagen")</f>
        <v>Ver Imagen</v>
      </c>
      <c r="P4781" t="str">
        <f>HYPERLINK("NO\A-490\A-490__441.png", "Ver Imagen")</f>
        <v>Ver Imagen</v>
      </c>
    </row>
    <row r="4782" spans="1:16" x14ac:dyDescent="0.25">
      <c r="A4782">
        <v>4425</v>
      </c>
      <c r="B4782" t="s">
        <v>8857</v>
      </c>
      <c r="C4782">
        <v>37.484448160299998</v>
      </c>
      <c r="D4782">
        <v>-7.2276201136499996</v>
      </c>
      <c r="E4782">
        <v>1</v>
      </c>
      <c r="F4782">
        <v>3</v>
      </c>
      <c r="G4782">
        <v>2</v>
      </c>
      <c r="H4782">
        <v>2</v>
      </c>
      <c r="I4782">
        <v>2</v>
      </c>
      <c r="J4782" t="s">
        <v>8005</v>
      </c>
      <c r="K4782">
        <v>2</v>
      </c>
      <c r="L4782">
        <v>1.6319999999999999</v>
      </c>
      <c r="M4782">
        <v>0</v>
      </c>
      <c r="N4782" t="s">
        <v>10019</v>
      </c>
      <c r="O4782" t="str">
        <f>HYPERLINK("NoConsenso\marker_772_755113.png", "Ver Imagen")</f>
        <v>Ver Imagen</v>
      </c>
      <c r="P4782" t="str">
        <f>HYPERLINK("NO\A-490\A-490__454.png", "Ver Imagen")</f>
        <v>Ver Imagen</v>
      </c>
    </row>
    <row r="4783" spans="1:16" x14ac:dyDescent="0.25">
      <c r="A4783">
        <v>4426</v>
      </c>
      <c r="B4783" t="s">
        <v>8859</v>
      </c>
      <c r="C4783">
        <v>37.485067239599999</v>
      </c>
      <c r="D4783">
        <v>-7.23079662581</v>
      </c>
      <c r="E4783">
        <v>1</v>
      </c>
      <c r="F4783">
        <v>3</v>
      </c>
      <c r="G4783">
        <v>2</v>
      </c>
      <c r="H4783">
        <v>2</v>
      </c>
      <c r="I4783">
        <v>1</v>
      </c>
      <c r="J4783" t="s">
        <v>8005</v>
      </c>
      <c r="K4783">
        <v>2</v>
      </c>
      <c r="L4783">
        <v>1.8939999999999999</v>
      </c>
      <c r="M4783">
        <v>0</v>
      </c>
      <c r="N4783" t="s">
        <v>10019</v>
      </c>
      <c r="O4783" t="str">
        <f>HYPERLINK("NoConsenso\marker_695_755339.png", "Ver Imagen")</f>
        <v>Ver Imagen</v>
      </c>
      <c r="P4783" t="str">
        <f>HYPERLINK("NO\A-490\A-490__467.png", "Ver Imagen")</f>
        <v>Ver Imagen</v>
      </c>
    </row>
    <row r="4784" spans="1:16" x14ac:dyDescent="0.25">
      <c r="A4784">
        <v>4427</v>
      </c>
      <c r="B4784" t="s">
        <v>8861</v>
      </c>
      <c r="C4784">
        <v>37.485314214699997</v>
      </c>
      <c r="D4784">
        <v>-7.2320888122899998</v>
      </c>
      <c r="E4784">
        <v>1</v>
      </c>
      <c r="F4784">
        <v>3</v>
      </c>
      <c r="G4784">
        <v>2</v>
      </c>
      <c r="H4784">
        <v>2</v>
      </c>
      <c r="I4784">
        <v>1</v>
      </c>
      <c r="J4784" t="s">
        <v>8005</v>
      </c>
      <c r="K4784">
        <v>2</v>
      </c>
      <c r="L4784">
        <v>2.032</v>
      </c>
      <c r="M4784">
        <v>0</v>
      </c>
      <c r="N4784" t="s">
        <v>10019</v>
      </c>
      <c r="O4784" t="str">
        <f>HYPERLINK("NoConsenso\marker_385_755431.png", "Ver Imagen")</f>
        <v>Ver Imagen</v>
      </c>
      <c r="P4784" t="str">
        <f>HYPERLINK("NO\A-490\A-490__472.png", "Ver Imagen")</f>
        <v>Ver Imagen</v>
      </c>
    </row>
    <row r="4785" spans="1:16" x14ac:dyDescent="0.25">
      <c r="A4785">
        <v>4428</v>
      </c>
      <c r="B4785" t="s">
        <v>8863</v>
      </c>
      <c r="C4785">
        <v>37.4860190948</v>
      </c>
      <c r="D4785">
        <v>-7.2357628810900003</v>
      </c>
      <c r="E4785">
        <v>1</v>
      </c>
      <c r="F4785">
        <v>3</v>
      </c>
      <c r="G4785">
        <v>2</v>
      </c>
      <c r="H4785">
        <v>2</v>
      </c>
      <c r="I4785">
        <v>1</v>
      </c>
      <c r="J4785" t="s">
        <v>8005</v>
      </c>
      <c r="K4785">
        <v>2</v>
      </c>
      <c r="L4785">
        <v>1.82</v>
      </c>
      <c r="M4785">
        <v>0</v>
      </c>
      <c r="N4785" t="s">
        <v>10017</v>
      </c>
      <c r="O4785" t="str">
        <f>HYPERLINK("NoConsenso\marker_348_755711.png", "Ver Imagen")</f>
        <v>Ver Imagen</v>
      </c>
      <c r="P4785" t="str">
        <f>HYPERLINK("NO\A-490\A-490__487.png", "Ver Imagen")</f>
        <v>Ver Imagen</v>
      </c>
    </row>
    <row r="4786" spans="1:16" x14ac:dyDescent="0.25">
      <c r="A4786">
        <v>4429</v>
      </c>
      <c r="B4786" t="s">
        <v>8865</v>
      </c>
      <c r="C4786">
        <v>37.486111640300003</v>
      </c>
      <c r="D4786">
        <v>-7.2362394811500002</v>
      </c>
      <c r="E4786">
        <v>1</v>
      </c>
      <c r="F4786">
        <v>3</v>
      </c>
      <c r="G4786">
        <v>2</v>
      </c>
      <c r="H4786">
        <v>2</v>
      </c>
      <c r="I4786">
        <v>1</v>
      </c>
      <c r="J4786" t="s">
        <v>8005</v>
      </c>
      <c r="K4786">
        <v>2</v>
      </c>
      <c r="L4786">
        <v>1.919</v>
      </c>
      <c r="M4786">
        <v>0</v>
      </c>
      <c r="N4786" t="s">
        <v>10019</v>
      </c>
      <c r="O4786" t="str">
        <f>HYPERLINK("NoConsenso\marker_960_755750.png", "Ver Imagen")</f>
        <v>Ver Imagen</v>
      </c>
      <c r="P4786" t="str">
        <f>HYPERLINK("NO\A-490\A-490__489.png", "Ver Imagen")</f>
        <v>Ver Imagen</v>
      </c>
    </row>
    <row r="4787" spans="1:16" x14ac:dyDescent="0.25">
      <c r="A4787">
        <v>4430</v>
      </c>
      <c r="B4787" t="s">
        <v>8867</v>
      </c>
      <c r="C4787">
        <v>37.486159136399998</v>
      </c>
      <c r="D4787">
        <v>-7.2364839591300001</v>
      </c>
      <c r="E4787">
        <v>1</v>
      </c>
      <c r="F4787">
        <v>3</v>
      </c>
      <c r="G4787">
        <v>2</v>
      </c>
      <c r="H4787">
        <v>2</v>
      </c>
      <c r="I4787">
        <v>1</v>
      </c>
      <c r="J4787" t="s">
        <v>8005</v>
      </c>
      <c r="K4787">
        <v>2</v>
      </c>
      <c r="L4787">
        <v>2.121</v>
      </c>
      <c r="M4787">
        <v>0</v>
      </c>
      <c r="N4787" t="s">
        <v>10019</v>
      </c>
      <c r="O4787" t="str">
        <f>HYPERLINK("NoConsenso\marker_136_755765.png", "Ver Imagen")</f>
        <v>Ver Imagen</v>
      </c>
      <c r="P4787" t="str">
        <f>HYPERLINK("NO\A-490\A-490__490.png", "Ver Imagen")</f>
        <v>Ver Imagen</v>
      </c>
    </row>
    <row r="4788" spans="1:16" x14ac:dyDescent="0.25">
      <c r="A4788">
        <v>4431</v>
      </c>
      <c r="B4788" t="s">
        <v>8869</v>
      </c>
      <c r="C4788">
        <v>37.486346415299998</v>
      </c>
      <c r="D4788">
        <v>-7.2374524663999997</v>
      </c>
      <c r="E4788">
        <v>1</v>
      </c>
      <c r="F4788">
        <v>3</v>
      </c>
      <c r="G4788">
        <v>3</v>
      </c>
      <c r="H4788">
        <v>1</v>
      </c>
      <c r="I4788">
        <v>1</v>
      </c>
      <c r="J4788" t="s">
        <v>8005</v>
      </c>
      <c r="K4788">
        <v>1</v>
      </c>
      <c r="L4788">
        <v>1.137</v>
      </c>
      <c r="M4788">
        <v>0</v>
      </c>
      <c r="N4788" t="s">
        <v>10019</v>
      </c>
      <c r="O4788" t="str">
        <f>HYPERLINK("NoConsenso\marker_350_755860.png", "Ver Imagen")</f>
        <v>Ver Imagen</v>
      </c>
      <c r="P4788" t="str">
        <f>HYPERLINK("NO\A-490\A-490__494.png", "Ver Imagen")</f>
        <v>Ver Imagen</v>
      </c>
    </row>
    <row r="4789" spans="1:16" x14ac:dyDescent="0.25">
      <c r="A4789">
        <v>4432</v>
      </c>
      <c r="B4789" t="s">
        <v>8871</v>
      </c>
      <c r="C4789">
        <v>37.486401521600001</v>
      </c>
      <c r="D4789">
        <v>-7.2377429063000003</v>
      </c>
      <c r="E4789">
        <v>1</v>
      </c>
      <c r="F4789">
        <v>3</v>
      </c>
      <c r="G4789">
        <v>2</v>
      </c>
      <c r="H4789">
        <v>2</v>
      </c>
      <c r="I4789">
        <v>1</v>
      </c>
      <c r="J4789" t="s">
        <v>8005</v>
      </c>
      <c r="K4789">
        <v>2</v>
      </c>
      <c r="L4789">
        <v>1.8</v>
      </c>
      <c r="M4789">
        <v>0</v>
      </c>
      <c r="N4789" t="s">
        <v>10019</v>
      </c>
      <c r="O4789" t="str">
        <f>HYPERLINK("NoConsenso\marker_235_755880.png", "Ver Imagen")</f>
        <v>Ver Imagen</v>
      </c>
      <c r="P4789" t="str">
        <f>HYPERLINK("NO\A-490\A-490__495.png", "Ver Imagen")</f>
        <v>Ver Imagen</v>
      </c>
    </row>
    <row r="4790" spans="1:16" x14ac:dyDescent="0.25">
      <c r="A4790">
        <v>4433</v>
      </c>
      <c r="B4790" t="s">
        <v>8873</v>
      </c>
      <c r="C4790">
        <v>37.486633912099997</v>
      </c>
      <c r="D4790">
        <v>-7.2389676938000003</v>
      </c>
      <c r="E4790">
        <v>1</v>
      </c>
      <c r="F4790">
        <v>3</v>
      </c>
      <c r="G4790">
        <v>3</v>
      </c>
      <c r="H4790">
        <v>2</v>
      </c>
      <c r="I4790">
        <v>3</v>
      </c>
      <c r="J4790" t="s">
        <v>8052</v>
      </c>
      <c r="K4790">
        <v>2</v>
      </c>
      <c r="L4790">
        <v>2.1259999999999999</v>
      </c>
      <c r="M4790">
        <v>0</v>
      </c>
      <c r="N4790" t="s">
        <v>10019</v>
      </c>
      <c r="O4790" t="str">
        <f>HYPERLINK("NoConsenso\marker_712_817588.png", "Ver Imagen")</f>
        <v>Ver Imagen</v>
      </c>
      <c r="P4790" t="str">
        <f>HYPERLINK("NO\A-490\A-490__500.png", "Ver Imagen")</f>
        <v>Ver Imagen</v>
      </c>
    </row>
    <row r="4791" spans="1:16" x14ac:dyDescent="0.25">
      <c r="A4791">
        <v>4434</v>
      </c>
      <c r="B4791" t="s">
        <v>8875</v>
      </c>
      <c r="C4791">
        <v>37.486829003499999</v>
      </c>
      <c r="D4791">
        <v>-7.2399505321299999</v>
      </c>
      <c r="E4791">
        <v>1</v>
      </c>
      <c r="F4791">
        <v>3</v>
      </c>
      <c r="G4791">
        <v>3</v>
      </c>
      <c r="H4791">
        <v>2</v>
      </c>
      <c r="I4791">
        <v>1</v>
      </c>
      <c r="J4791" t="s">
        <v>8005</v>
      </c>
      <c r="K4791">
        <v>2</v>
      </c>
      <c r="L4791">
        <v>2.1339999999999999</v>
      </c>
      <c r="M4791">
        <v>0</v>
      </c>
      <c r="N4791" t="s">
        <v>10019</v>
      </c>
      <c r="O4791" t="str">
        <f>HYPERLINK("NoConsenso\marker_262_817657.png", "Ver Imagen")</f>
        <v>Ver Imagen</v>
      </c>
      <c r="P4791" t="str">
        <f>HYPERLINK("NO\A-490\A-490__504.png", "Ver Imagen")</f>
        <v>Ver Imagen</v>
      </c>
    </row>
    <row r="4792" spans="1:16" x14ac:dyDescent="0.25">
      <c r="A4792">
        <v>4435</v>
      </c>
      <c r="B4792" t="s">
        <v>8877</v>
      </c>
      <c r="C4792">
        <v>37.486878039799997</v>
      </c>
      <c r="D4792">
        <v>-7.2402037740500003</v>
      </c>
      <c r="E4792">
        <v>1</v>
      </c>
      <c r="F4792">
        <v>3</v>
      </c>
      <c r="G4792">
        <v>3</v>
      </c>
      <c r="H4792">
        <v>3</v>
      </c>
      <c r="I4792">
        <v>3</v>
      </c>
      <c r="J4792" t="s">
        <v>8005</v>
      </c>
      <c r="K4792">
        <v>3</v>
      </c>
      <c r="L4792">
        <v>3.0880000000000001</v>
      </c>
      <c r="M4792">
        <v>0</v>
      </c>
      <c r="N4792" t="s">
        <v>10019</v>
      </c>
      <c r="O4792" t="str">
        <f>HYPERLINK("NoConsenso\marker_787_817671.png", "Ver Imagen")</f>
        <v>Ver Imagen</v>
      </c>
      <c r="P4792" t="str">
        <f>HYPERLINK("NO\A-490\A-490__505.png", "Ver Imagen")</f>
        <v>Ver Imagen</v>
      </c>
    </row>
    <row r="4793" spans="1:16" x14ac:dyDescent="0.25">
      <c r="A4793">
        <v>4436</v>
      </c>
      <c r="B4793" t="s">
        <v>8879</v>
      </c>
      <c r="C4793">
        <v>37.486989192899998</v>
      </c>
      <c r="D4793">
        <v>-7.2409487863799997</v>
      </c>
      <c r="E4793">
        <v>1</v>
      </c>
      <c r="F4793">
        <v>3</v>
      </c>
      <c r="G4793">
        <v>2</v>
      </c>
      <c r="H4793">
        <v>2</v>
      </c>
      <c r="I4793">
        <v>1</v>
      </c>
      <c r="J4793" t="s">
        <v>8005</v>
      </c>
      <c r="K4793">
        <v>2</v>
      </c>
      <c r="L4793">
        <v>2.16</v>
      </c>
      <c r="M4793">
        <v>0</v>
      </c>
      <c r="N4793" t="s">
        <v>10019</v>
      </c>
      <c r="O4793" t="str">
        <f>HYPERLINK("NoConsenso\marker_474_817736.png", "Ver Imagen")</f>
        <v>Ver Imagen</v>
      </c>
      <c r="P4793" t="str">
        <f>HYPERLINK("NO\A-490\A-490__508.png", "Ver Imagen")</f>
        <v>Ver Imagen</v>
      </c>
    </row>
    <row r="4794" spans="1:16" x14ac:dyDescent="0.25">
      <c r="A4794">
        <v>4437</v>
      </c>
      <c r="B4794" t="s">
        <v>8881</v>
      </c>
      <c r="C4794">
        <v>37.487056827499998</v>
      </c>
      <c r="D4794">
        <v>-7.24172533574</v>
      </c>
      <c r="E4794">
        <v>1</v>
      </c>
      <c r="F4794">
        <v>3</v>
      </c>
      <c r="G4794">
        <v>3</v>
      </c>
      <c r="H4794">
        <v>2</v>
      </c>
      <c r="I4794">
        <v>2</v>
      </c>
      <c r="J4794" t="s">
        <v>8005</v>
      </c>
      <c r="K4794">
        <v>2</v>
      </c>
      <c r="L4794">
        <v>1.677</v>
      </c>
      <c r="M4794">
        <v>0</v>
      </c>
      <c r="N4794" t="s">
        <v>10017</v>
      </c>
      <c r="O4794" t="str">
        <f>HYPERLINK("NoConsenso\marker_838_817833.png", "Ver Imagen")</f>
        <v>Ver Imagen</v>
      </c>
      <c r="P4794" t="str">
        <f>HYPERLINK("NO\A-490\A-490__511.png", "Ver Imagen")</f>
        <v>Ver Imagen</v>
      </c>
    </row>
    <row r="4795" spans="1:16" x14ac:dyDescent="0.25">
      <c r="A4795">
        <v>4438</v>
      </c>
      <c r="B4795" t="s">
        <v>8883</v>
      </c>
      <c r="C4795">
        <v>37.487124270700001</v>
      </c>
      <c r="D4795">
        <v>-7.2424584797399998</v>
      </c>
      <c r="E4795">
        <v>1</v>
      </c>
      <c r="F4795">
        <v>2</v>
      </c>
      <c r="G4795">
        <v>3</v>
      </c>
      <c r="H4795">
        <v>2</v>
      </c>
      <c r="I4795">
        <v>2</v>
      </c>
      <c r="J4795" t="s">
        <v>8005</v>
      </c>
      <c r="K4795">
        <v>2</v>
      </c>
      <c r="L4795">
        <v>1.633</v>
      </c>
      <c r="M4795">
        <v>0</v>
      </c>
      <c r="N4795" t="s">
        <v>10018</v>
      </c>
      <c r="O4795" t="str">
        <f>HYPERLINK("NoConsenso\marker_513_817884.png", "Ver Imagen")</f>
        <v>Ver Imagen</v>
      </c>
      <c r="P4795" t="str">
        <f>HYPERLINK("NO\A-490\A-490__514.png", "Ver Imagen")</f>
        <v>Ver Imagen</v>
      </c>
    </row>
    <row r="4796" spans="1:16" x14ac:dyDescent="0.25">
      <c r="A4796">
        <v>4439</v>
      </c>
      <c r="B4796" t="s">
        <v>8885</v>
      </c>
      <c r="C4796">
        <v>37.487212866900002</v>
      </c>
      <c r="D4796">
        <v>-7.2432229455600003</v>
      </c>
      <c r="E4796">
        <v>1</v>
      </c>
      <c r="F4796">
        <v>2</v>
      </c>
      <c r="G4796">
        <v>3</v>
      </c>
      <c r="H4796">
        <v>2</v>
      </c>
      <c r="I4796">
        <v>2</v>
      </c>
      <c r="J4796" t="s">
        <v>8005</v>
      </c>
      <c r="K4796">
        <v>2</v>
      </c>
      <c r="L4796">
        <v>2.3679999999999999</v>
      </c>
      <c r="M4796">
        <v>0</v>
      </c>
      <c r="N4796" t="s">
        <v>10018</v>
      </c>
      <c r="O4796" t="str">
        <f>HYPERLINK("NoConsenso\marker_821_817931.png", "Ver Imagen")</f>
        <v>Ver Imagen</v>
      </c>
      <c r="P4796" t="str">
        <f>HYPERLINK("NO\A-490\A-490__517.png", "Ver Imagen")</f>
        <v>Ver Imagen</v>
      </c>
    </row>
    <row r="4797" spans="1:16" x14ac:dyDescent="0.25">
      <c r="A4797">
        <v>4440</v>
      </c>
      <c r="B4797" t="s">
        <v>8887</v>
      </c>
      <c r="C4797">
        <v>37.487679749000002</v>
      </c>
      <c r="D4797">
        <v>-7.2445945349900001</v>
      </c>
      <c r="E4797">
        <v>1</v>
      </c>
      <c r="F4797">
        <v>3</v>
      </c>
      <c r="G4797">
        <v>2</v>
      </c>
      <c r="H4797">
        <v>3</v>
      </c>
      <c r="I4797">
        <v>2</v>
      </c>
      <c r="J4797" t="s">
        <v>8005</v>
      </c>
      <c r="K4797">
        <v>2</v>
      </c>
      <c r="L4797">
        <v>2.278</v>
      </c>
      <c r="M4797">
        <v>0</v>
      </c>
      <c r="N4797" t="s">
        <v>10017</v>
      </c>
      <c r="O4797" t="str">
        <f>HYPERLINK("NoConsenso\marker_138_818098.png", "Ver Imagen")</f>
        <v>Ver Imagen</v>
      </c>
      <c r="P4797" t="str">
        <f>HYPERLINK("NO\A-490\A-490__523.png", "Ver Imagen")</f>
        <v>Ver Imagen</v>
      </c>
    </row>
    <row r="4798" spans="1:16" x14ac:dyDescent="0.25">
      <c r="A4798">
        <v>4441</v>
      </c>
      <c r="B4798" t="s">
        <v>8889</v>
      </c>
      <c r="C4798">
        <v>37.4890402881</v>
      </c>
      <c r="D4798">
        <v>-7.2476781968199999</v>
      </c>
      <c r="E4798">
        <v>1</v>
      </c>
      <c r="F4798">
        <v>3</v>
      </c>
      <c r="G4798">
        <v>3</v>
      </c>
      <c r="H4798">
        <v>2</v>
      </c>
      <c r="I4798">
        <v>1</v>
      </c>
      <c r="J4798" t="s">
        <v>8005</v>
      </c>
      <c r="K4798">
        <v>2</v>
      </c>
      <c r="L4798">
        <v>1.9750000000000001</v>
      </c>
      <c r="M4798">
        <v>0</v>
      </c>
      <c r="N4798" t="s">
        <v>10019</v>
      </c>
      <c r="O4798" t="str">
        <f>HYPERLINK("NoConsenso\marker_951_818305.png", "Ver Imagen")</f>
        <v>Ver Imagen</v>
      </c>
      <c r="P4798" t="str">
        <f>HYPERLINK("NO\A-490\A-490__537.png", "Ver Imagen")</f>
        <v>Ver Imagen</v>
      </c>
    </row>
    <row r="4799" spans="1:16" x14ac:dyDescent="0.25">
      <c r="A4799">
        <v>4442</v>
      </c>
      <c r="B4799" t="s">
        <v>8891</v>
      </c>
      <c r="C4799">
        <v>37.489805220199997</v>
      </c>
      <c r="D4799">
        <v>-7.2485584563499996</v>
      </c>
      <c r="E4799">
        <v>1</v>
      </c>
      <c r="F4799">
        <v>3</v>
      </c>
      <c r="G4799">
        <v>2</v>
      </c>
      <c r="H4799">
        <v>2</v>
      </c>
      <c r="I4799">
        <v>1</v>
      </c>
      <c r="J4799" t="s">
        <v>8005</v>
      </c>
      <c r="K4799">
        <v>2</v>
      </c>
      <c r="L4799">
        <v>1.863</v>
      </c>
      <c r="M4799">
        <v>0</v>
      </c>
      <c r="N4799" t="s">
        <v>10019</v>
      </c>
      <c r="O4799" t="str">
        <f>HYPERLINK("NoConsenso\marker_929_818374.png", "Ver Imagen")</f>
        <v>Ver Imagen</v>
      </c>
      <c r="P4799" t="str">
        <f>HYPERLINK("NO\A-490\A-490__542.png", "Ver Imagen")</f>
        <v>Ver Imagen</v>
      </c>
    </row>
    <row r="4800" spans="1:16" x14ac:dyDescent="0.25">
      <c r="A4800">
        <v>4443</v>
      </c>
      <c r="B4800" t="s">
        <v>8893</v>
      </c>
      <c r="C4800">
        <v>37.489942746200001</v>
      </c>
      <c r="D4800">
        <v>-7.2487145554800003</v>
      </c>
      <c r="E4800">
        <v>1</v>
      </c>
      <c r="F4800">
        <v>3</v>
      </c>
      <c r="G4800">
        <v>2</v>
      </c>
      <c r="H4800">
        <v>2</v>
      </c>
      <c r="I4800">
        <v>2</v>
      </c>
      <c r="J4800" t="s">
        <v>8005</v>
      </c>
      <c r="K4800">
        <v>2</v>
      </c>
      <c r="L4800">
        <v>1.8320000000000001</v>
      </c>
      <c r="M4800">
        <v>0</v>
      </c>
      <c r="N4800" t="s">
        <v>10019</v>
      </c>
      <c r="O4800" t="str">
        <f>HYPERLINK("NoConsenso\marker_179_818390.png", "Ver Imagen")</f>
        <v>Ver Imagen</v>
      </c>
      <c r="P4800" t="str">
        <f>HYPERLINK("NO\A-490\A-490__543.png", "Ver Imagen")</f>
        <v>Ver Imagen</v>
      </c>
    </row>
    <row r="4801" spans="1:16" x14ac:dyDescent="0.25">
      <c r="A4801">
        <v>4444</v>
      </c>
      <c r="B4801" t="s">
        <v>8895</v>
      </c>
      <c r="C4801">
        <v>37.490260003300001</v>
      </c>
      <c r="D4801">
        <v>-7.2490766384300001</v>
      </c>
      <c r="E4801">
        <v>1</v>
      </c>
      <c r="F4801">
        <v>3</v>
      </c>
      <c r="G4801">
        <v>2</v>
      </c>
      <c r="H4801">
        <v>3</v>
      </c>
      <c r="I4801">
        <v>3</v>
      </c>
      <c r="J4801" t="s">
        <v>8052</v>
      </c>
      <c r="K4801">
        <v>2</v>
      </c>
      <c r="L4801">
        <v>1.8779999999999999</v>
      </c>
      <c r="M4801">
        <v>0</v>
      </c>
      <c r="N4801" t="s">
        <v>10019</v>
      </c>
      <c r="O4801" t="str">
        <f>HYPERLINK("NoConsenso\marker_587_818414.png", "Ver Imagen")</f>
        <v>Ver Imagen</v>
      </c>
      <c r="P4801" t="str">
        <f>HYPERLINK("NO\A-490\A-490__545.png", "Ver Imagen")</f>
        <v>Ver Imagen</v>
      </c>
    </row>
    <row r="4802" spans="1:16" x14ac:dyDescent="0.25">
      <c r="A4802">
        <v>4445</v>
      </c>
      <c r="B4802" t="s">
        <v>8897</v>
      </c>
      <c r="C4802">
        <v>37.490718386300003</v>
      </c>
      <c r="D4802">
        <v>-7.2509461352900004</v>
      </c>
      <c r="E4802">
        <v>1</v>
      </c>
      <c r="F4802">
        <v>3</v>
      </c>
      <c r="G4802">
        <v>2</v>
      </c>
      <c r="H4802">
        <v>2</v>
      </c>
      <c r="I4802">
        <v>1</v>
      </c>
      <c r="J4802" t="s">
        <v>8005</v>
      </c>
      <c r="K4802">
        <v>2</v>
      </c>
      <c r="L4802">
        <v>1.99</v>
      </c>
      <c r="M4802">
        <v>0</v>
      </c>
      <c r="N4802" t="s">
        <v>10019</v>
      </c>
      <c r="O4802" t="str">
        <f>HYPERLINK("NoConsenso\marker_778_818647.png", "Ver Imagen")</f>
        <v>Ver Imagen</v>
      </c>
      <c r="P4802" t="str">
        <f>HYPERLINK("NO\A-490\A-490__553.png", "Ver Imagen")</f>
        <v>Ver Imagen</v>
      </c>
    </row>
    <row r="4803" spans="1:16" x14ac:dyDescent="0.25">
      <c r="A4803">
        <v>4446</v>
      </c>
      <c r="B4803" t="s">
        <v>8899</v>
      </c>
      <c r="C4803">
        <v>37.490712464200001</v>
      </c>
      <c r="D4803">
        <v>-7.2511816190799996</v>
      </c>
      <c r="E4803">
        <v>1</v>
      </c>
      <c r="F4803">
        <v>3</v>
      </c>
      <c r="G4803">
        <v>2</v>
      </c>
      <c r="H4803">
        <v>2</v>
      </c>
      <c r="I4803">
        <v>3</v>
      </c>
      <c r="J4803" t="s">
        <v>8005</v>
      </c>
      <c r="K4803">
        <v>2</v>
      </c>
      <c r="L4803">
        <v>1.5880000000000001</v>
      </c>
      <c r="M4803">
        <v>0</v>
      </c>
      <c r="N4803" t="s">
        <v>10019</v>
      </c>
      <c r="O4803" t="str">
        <f>HYPERLINK("NoConsenso\marker_953_818660.png", "Ver Imagen")</f>
        <v>Ver Imagen</v>
      </c>
      <c r="P4803" t="str">
        <f>HYPERLINK("NO\A-490\A-490__554.png", "Ver Imagen")</f>
        <v>Ver Imagen</v>
      </c>
    </row>
    <row r="4804" spans="1:16" x14ac:dyDescent="0.25">
      <c r="A4804">
        <v>4449</v>
      </c>
      <c r="B4804" t="s">
        <v>8905</v>
      </c>
      <c r="C4804">
        <v>37.4904114518</v>
      </c>
      <c r="D4804">
        <v>-7.2598927457400002</v>
      </c>
      <c r="E4804">
        <v>1</v>
      </c>
      <c r="F4804">
        <v>2</v>
      </c>
      <c r="G4804">
        <v>3</v>
      </c>
      <c r="H4804">
        <v>2</v>
      </c>
      <c r="I4804">
        <v>2</v>
      </c>
      <c r="J4804" t="s">
        <v>8005</v>
      </c>
      <c r="K4804">
        <v>2</v>
      </c>
      <c r="L4804">
        <v>2.02</v>
      </c>
      <c r="M4804">
        <v>0</v>
      </c>
      <c r="N4804" t="s">
        <v>10019</v>
      </c>
      <c r="O4804" t="str">
        <f>HYPERLINK("NoConsenso\marker_159_819614.png", "Ver Imagen")</f>
        <v>Ver Imagen</v>
      </c>
      <c r="P4804" t="str">
        <f>HYPERLINK("NO\A-490\A-490__589.png", "Ver Imagen")</f>
        <v>Ver Imagen</v>
      </c>
    </row>
    <row r="4805" spans="1:16" x14ac:dyDescent="0.25">
      <c r="A4805">
        <v>4451</v>
      </c>
      <c r="B4805" t="s">
        <v>8909</v>
      </c>
      <c r="C4805">
        <v>37.490854639600002</v>
      </c>
      <c r="D4805">
        <v>-7.2603773863200001</v>
      </c>
      <c r="E4805">
        <v>1</v>
      </c>
      <c r="F4805">
        <v>2</v>
      </c>
      <c r="G4805">
        <v>3</v>
      </c>
      <c r="H4805">
        <v>2</v>
      </c>
      <c r="I4805">
        <v>2</v>
      </c>
      <c r="J4805" t="s">
        <v>8005</v>
      </c>
      <c r="K4805">
        <v>2</v>
      </c>
      <c r="L4805">
        <v>1.5309999999999999</v>
      </c>
      <c r="M4805">
        <v>0</v>
      </c>
      <c r="N4805" t="s">
        <v>10019</v>
      </c>
      <c r="O4805" t="str">
        <f>HYPERLINK("NoConsenso\marker_586_819653.png", "Ver Imagen")</f>
        <v>Ver Imagen</v>
      </c>
      <c r="P4805" t="str">
        <f>HYPERLINK("NO\A-490\A-490__592.png", "Ver Imagen")</f>
        <v>Ver Imagen</v>
      </c>
    </row>
    <row r="4806" spans="1:16" x14ac:dyDescent="0.25">
      <c r="A4806">
        <v>4452</v>
      </c>
      <c r="B4806" t="s">
        <v>8911</v>
      </c>
      <c r="C4806">
        <v>37.491449230400001</v>
      </c>
      <c r="D4806">
        <v>-7.2609630883399996</v>
      </c>
      <c r="E4806">
        <v>2</v>
      </c>
      <c r="F4806">
        <v>4</v>
      </c>
      <c r="G4806">
        <v>3</v>
      </c>
      <c r="H4806">
        <v>3</v>
      </c>
      <c r="I4806">
        <v>4</v>
      </c>
      <c r="J4806" t="s">
        <v>8005</v>
      </c>
      <c r="K4806">
        <v>3</v>
      </c>
      <c r="L4806">
        <v>3.4569999999999999</v>
      </c>
      <c r="M4806">
        <v>0</v>
      </c>
      <c r="N4806" t="s">
        <v>10019</v>
      </c>
      <c r="O4806" t="str">
        <f>HYPERLINK("NoConsenso\marker_537_819709.png", "Ver Imagen")</f>
        <v>Ver Imagen</v>
      </c>
      <c r="P4806" t="str">
        <f>HYPERLINK("NO\A-490\A-490__596.png", "Ver Imagen")</f>
        <v>Ver Imagen</v>
      </c>
    </row>
    <row r="4807" spans="1:16" x14ac:dyDescent="0.25">
      <c r="A4807">
        <v>4453</v>
      </c>
      <c r="B4807" t="s">
        <v>8913</v>
      </c>
      <c r="C4807">
        <v>37.491609269400001</v>
      </c>
      <c r="D4807">
        <v>-7.2611207455200004</v>
      </c>
      <c r="E4807">
        <v>2</v>
      </c>
      <c r="F4807">
        <v>4</v>
      </c>
      <c r="G4807">
        <v>3</v>
      </c>
      <c r="H4807">
        <v>3</v>
      </c>
      <c r="I4807">
        <v>4</v>
      </c>
      <c r="J4807" t="s">
        <v>8005</v>
      </c>
      <c r="K4807">
        <v>3</v>
      </c>
      <c r="L4807">
        <v>3.343</v>
      </c>
      <c r="M4807">
        <v>0</v>
      </c>
      <c r="N4807" t="s">
        <v>10019</v>
      </c>
      <c r="O4807" t="str">
        <f>HYPERLINK("NoConsenso\marker_344_819723.png", "Ver Imagen")</f>
        <v>Ver Imagen</v>
      </c>
      <c r="P4807" t="str">
        <f>HYPERLINK("NO\A-490\A-490__597.png", "Ver Imagen")</f>
        <v>Ver Imagen</v>
      </c>
    </row>
    <row r="4808" spans="1:16" x14ac:dyDescent="0.25">
      <c r="A4808">
        <v>4455</v>
      </c>
      <c r="B4808" t="s">
        <v>8917</v>
      </c>
      <c r="C4808">
        <v>37.492088639899997</v>
      </c>
      <c r="D4808">
        <v>-7.2615908255999999</v>
      </c>
      <c r="E4808">
        <v>2</v>
      </c>
      <c r="F4808">
        <v>1</v>
      </c>
      <c r="G4808">
        <v>3</v>
      </c>
      <c r="H4808">
        <v>3</v>
      </c>
      <c r="I4808">
        <v>2</v>
      </c>
      <c r="J4808" t="s">
        <v>8005</v>
      </c>
      <c r="K4808">
        <v>2</v>
      </c>
      <c r="L4808">
        <v>2.2989999999999999</v>
      </c>
      <c r="M4808">
        <v>0</v>
      </c>
      <c r="N4808" t="s">
        <v>10019</v>
      </c>
      <c r="O4808" t="str">
        <f>HYPERLINK("NoConsenso\marker_101_819828.png", "Ver Imagen")</f>
        <v>Ver Imagen</v>
      </c>
      <c r="P4808" t="str">
        <f>HYPERLINK("NO\A-490\A-490__600.png", "Ver Imagen")</f>
        <v>Ver Imagen</v>
      </c>
    </row>
    <row r="4809" spans="1:16" x14ac:dyDescent="0.25">
      <c r="A4809">
        <v>4457</v>
      </c>
      <c r="B4809" t="s">
        <v>8921</v>
      </c>
      <c r="C4809">
        <v>37.492974644199997</v>
      </c>
      <c r="D4809">
        <v>-7.2630311088399999</v>
      </c>
      <c r="E4809">
        <v>1</v>
      </c>
      <c r="F4809">
        <v>3</v>
      </c>
      <c r="G4809">
        <v>2</v>
      </c>
      <c r="H4809">
        <v>1</v>
      </c>
      <c r="I4809">
        <v>1</v>
      </c>
      <c r="J4809" t="s">
        <v>8005</v>
      </c>
      <c r="K4809">
        <v>1</v>
      </c>
      <c r="L4809">
        <v>1.1339999999999999</v>
      </c>
      <c r="M4809">
        <v>0</v>
      </c>
      <c r="N4809" t="s">
        <v>10019</v>
      </c>
      <c r="O4809" t="str">
        <f>HYPERLINK("NoConsenso\marker_797_820174.png", "Ver Imagen")</f>
        <v>Ver Imagen</v>
      </c>
      <c r="P4809" t="str">
        <f>HYPERLINK("NO\A-490\A-490__607.png", "Ver Imagen")</f>
        <v>Ver Imagen</v>
      </c>
    </row>
    <row r="4810" spans="1:16" x14ac:dyDescent="0.25">
      <c r="A4810">
        <v>4458</v>
      </c>
      <c r="B4810" t="s">
        <v>8923</v>
      </c>
      <c r="C4810">
        <v>37.493305877899999</v>
      </c>
      <c r="D4810">
        <v>-7.2639260829300003</v>
      </c>
      <c r="E4810">
        <v>1</v>
      </c>
      <c r="F4810">
        <v>2</v>
      </c>
      <c r="G4810">
        <v>3</v>
      </c>
      <c r="H4810">
        <v>2</v>
      </c>
      <c r="I4810">
        <v>2</v>
      </c>
      <c r="J4810" t="s">
        <v>8005</v>
      </c>
      <c r="K4810">
        <v>2</v>
      </c>
      <c r="L4810">
        <v>1.7829999999999999</v>
      </c>
      <c r="M4810">
        <v>0</v>
      </c>
      <c r="N4810" t="s">
        <v>10019</v>
      </c>
      <c r="O4810" t="str">
        <f>HYPERLINK("NoConsenso\marker_234_820214.png", "Ver Imagen")</f>
        <v>Ver Imagen</v>
      </c>
      <c r="P4810" t="str">
        <f>HYPERLINK("NO\A-490\A-490__611.png", "Ver Imagen")</f>
        <v>Ver Imagen</v>
      </c>
    </row>
    <row r="4811" spans="1:16" x14ac:dyDescent="0.25">
      <c r="A4811">
        <v>4459</v>
      </c>
      <c r="B4811" t="s">
        <v>8925</v>
      </c>
      <c r="C4811">
        <v>37.4935946501</v>
      </c>
      <c r="D4811">
        <v>-7.26464475604</v>
      </c>
      <c r="E4811">
        <v>1</v>
      </c>
      <c r="F4811">
        <v>3</v>
      </c>
      <c r="G4811">
        <v>2</v>
      </c>
      <c r="H4811">
        <v>2</v>
      </c>
      <c r="I4811">
        <v>2</v>
      </c>
      <c r="J4811" t="s">
        <v>8005</v>
      </c>
      <c r="K4811">
        <v>2</v>
      </c>
      <c r="L4811">
        <v>1.9450000000000001</v>
      </c>
      <c r="M4811">
        <v>0</v>
      </c>
      <c r="N4811" t="s">
        <v>10019</v>
      </c>
      <c r="O4811" t="str">
        <f>HYPERLINK("NoConsenso\marker_624_820243.png", "Ver Imagen")</f>
        <v>Ver Imagen</v>
      </c>
      <c r="P4811" t="str">
        <f>HYPERLINK("NO\A-490\A-490__614.png", "Ver Imagen")</f>
        <v>Ver Imagen</v>
      </c>
    </row>
    <row r="4812" spans="1:16" x14ac:dyDescent="0.25">
      <c r="A4812">
        <v>4460</v>
      </c>
      <c r="B4812" t="s">
        <v>8927</v>
      </c>
      <c r="C4812">
        <v>37.494850927999998</v>
      </c>
      <c r="D4812">
        <v>-7.2668701104000002</v>
      </c>
      <c r="E4812">
        <v>2</v>
      </c>
      <c r="F4812">
        <v>2</v>
      </c>
      <c r="G4812">
        <v>4</v>
      </c>
      <c r="H4812">
        <v>3</v>
      </c>
      <c r="I4812">
        <v>4</v>
      </c>
      <c r="J4812" t="s">
        <v>8005</v>
      </c>
      <c r="K4812">
        <v>3</v>
      </c>
      <c r="L4812">
        <v>2.8540000000000001</v>
      </c>
      <c r="M4812">
        <v>0</v>
      </c>
      <c r="N4812" t="s">
        <v>10019</v>
      </c>
      <c r="O4812" t="str">
        <f>HYPERLINK("NoConsenso\marker_571_820366.png", "Ver Imagen")</f>
        <v>Ver Imagen</v>
      </c>
      <c r="P4812" t="str">
        <f>HYPERLINK("NO\A-490\A-490__625.png", "Ver Imagen")</f>
        <v>Ver Imagen</v>
      </c>
    </row>
    <row r="4813" spans="1:16" x14ac:dyDescent="0.25">
      <c r="A4813">
        <v>4461</v>
      </c>
      <c r="B4813" t="s">
        <v>8929</v>
      </c>
      <c r="C4813">
        <v>37.494919593699997</v>
      </c>
      <c r="D4813">
        <v>-7.2670876989800002</v>
      </c>
      <c r="E4813">
        <v>2</v>
      </c>
      <c r="F4813">
        <v>3</v>
      </c>
      <c r="G4813">
        <v>4</v>
      </c>
      <c r="H4813">
        <v>3</v>
      </c>
      <c r="I4813">
        <v>3</v>
      </c>
      <c r="J4813" t="s">
        <v>8005</v>
      </c>
      <c r="K4813">
        <v>3</v>
      </c>
      <c r="L4813">
        <v>3.2469999999999999</v>
      </c>
      <c r="M4813">
        <v>0</v>
      </c>
      <c r="N4813" t="s">
        <v>10019</v>
      </c>
      <c r="O4813" t="str">
        <f>HYPERLINK("NoConsenso\marker_106_820377.png", "Ver Imagen")</f>
        <v>Ver Imagen</v>
      </c>
      <c r="P4813" t="str">
        <f>HYPERLINK("NO\A-490\A-490__626.png", "Ver Imagen")</f>
        <v>Ver Imagen</v>
      </c>
    </row>
    <row r="4814" spans="1:16" x14ac:dyDescent="0.25">
      <c r="A4814">
        <v>4462</v>
      </c>
      <c r="B4814" t="s">
        <v>8931</v>
      </c>
      <c r="C4814">
        <v>37.272436514600003</v>
      </c>
      <c r="D4814">
        <v>-6.9910014300099999</v>
      </c>
      <c r="E4814">
        <v>2</v>
      </c>
      <c r="F4814">
        <v>3</v>
      </c>
      <c r="G4814">
        <v>4</v>
      </c>
      <c r="H4814">
        <v>3</v>
      </c>
      <c r="I4814">
        <v>4</v>
      </c>
      <c r="J4814" t="s">
        <v>8005</v>
      </c>
      <c r="K4814">
        <v>3</v>
      </c>
      <c r="L4814">
        <v>3.0249999999999999</v>
      </c>
      <c r="M4814">
        <v>0</v>
      </c>
      <c r="N4814" t="s">
        <v>10018</v>
      </c>
      <c r="O4814" t="str">
        <f>HYPERLINK("NoConsenso\marker_872_821549.png", "Ver Imagen")</f>
        <v>Ver Imagen</v>
      </c>
      <c r="P4814" t="str">
        <f>HYPERLINK("SE\A-492\A-492__5.png", "Ver Imagen")</f>
        <v>Ver Imagen</v>
      </c>
    </row>
    <row r="4815" spans="1:16" x14ac:dyDescent="0.25">
      <c r="A4815">
        <v>4463</v>
      </c>
      <c r="B4815" t="s">
        <v>8933</v>
      </c>
      <c r="C4815">
        <v>37.274384587699998</v>
      </c>
      <c r="D4815">
        <v>-6.9912795074599998</v>
      </c>
      <c r="E4815">
        <v>2</v>
      </c>
      <c r="F4815">
        <v>3</v>
      </c>
      <c r="G4815">
        <v>4</v>
      </c>
      <c r="H4815">
        <v>3</v>
      </c>
      <c r="I4815">
        <v>4</v>
      </c>
      <c r="J4815" t="s">
        <v>8005</v>
      </c>
      <c r="K4815">
        <v>3</v>
      </c>
      <c r="L4815">
        <v>2.8340000000000001</v>
      </c>
      <c r="M4815">
        <v>0</v>
      </c>
      <c r="N4815" t="s">
        <v>10019</v>
      </c>
      <c r="O4815" t="str">
        <f>HYPERLINK("NoConsenso\marker_553_821957.png", "Ver Imagen")</f>
        <v>Ver Imagen</v>
      </c>
      <c r="P4815" t="str">
        <f>HYPERLINK("SE\A-492\A-492__15.png", "Ver Imagen")</f>
        <v>Ver Imagen</v>
      </c>
    </row>
    <row r="4816" spans="1:16" x14ac:dyDescent="0.25">
      <c r="A4816">
        <v>4464</v>
      </c>
      <c r="B4816" t="s">
        <v>8935</v>
      </c>
      <c r="C4816">
        <v>37.274788813199997</v>
      </c>
      <c r="D4816">
        <v>-6.99122182202</v>
      </c>
      <c r="E4816">
        <v>2</v>
      </c>
      <c r="F4816">
        <v>3</v>
      </c>
      <c r="G4816">
        <v>4</v>
      </c>
      <c r="H4816">
        <v>4</v>
      </c>
      <c r="I4816">
        <v>4</v>
      </c>
      <c r="J4816" t="s">
        <v>8005</v>
      </c>
      <c r="K4816">
        <v>4</v>
      </c>
      <c r="L4816">
        <v>3.9790000000000001</v>
      </c>
      <c r="M4816">
        <v>0</v>
      </c>
      <c r="N4816" t="s">
        <v>10019</v>
      </c>
      <c r="O4816" t="str">
        <f>HYPERLINK("NoConsenso\marker_788_821984.png", "Ver Imagen")</f>
        <v>Ver Imagen</v>
      </c>
      <c r="P4816" t="str">
        <f>HYPERLINK("SE\A-492\A-492__17.png", "Ver Imagen")</f>
        <v>Ver Imagen</v>
      </c>
    </row>
    <row r="4817" spans="1:16" x14ac:dyDescent="0.25">
      <c r="A4817">
        <v>4465</v>
      </c>
      <c r="B4817" t="s">
        <v>8937</v>
      </c>
      <c r="C4817">
        <v>37.276240569899997</v>
      </c>
      <c r="D4817">
        <v>-6.9909336342800001</v>
      </c>
      <c r="E4817">
        <v>2</v>
      </c>
      <c r="F4817">
        <v>4</v>
      </c>
      <c r="G4817">
        <v>4</v>
      </c>
      <c r="H4817">
        <v>4</v>
      </c>
      <c r="I4817">
        <v>4</v>
      </c>
      <c r="J4817" t="s">
        <v>8005</v>
      </c>
      <c r="K4817">
        <v>4</v>
      </c>
      <c r="L4817">
        <v>3.573</v>
      </c>
      <c r="M4817">
        <v>0</v>
      </c>
      <c r="N4817" t="s">
        <v>10019</v>
      </c>
      <c r="O4817" t="str">
        <f>HYPERLINK("NoConsenso\marker_542_822223.png", "Ver Imagen")</f>
        <v>Ver Imagen</v>
      </c>
      <c r="P4817" t="str">
        <f>HYPERLINK("SE\A-492\A-492__25.png", "Ver Imagen")</f>
        <v>Ver Imagen</v>
      </c>
    </row>
    <row r="4818" spans="1:16" x14ac:dyDescent="0.25">
      <c r="A4818">
        <v>4466</v>
      </c>
      <c r="B4818" t="s">
        <v>8939</v>
      </c>
      <c r="C4818">
        <v>37.276420342599998</v>
      </c>
      <c r="D4818">
        <v>-6.9912765010399998</v>
      </c>
      <c r="E4818">
        <v>2</v>
      </c>
      <c r="F4818">
        <v>4</v>
      </c>
      <c r="G4818">
        <v>4</v>
      </c>
      <c r="H4818">
        <v>4</v>
      </c>
      <c r="I4818">
        <v>5</v>
      </c>
      <c r="J4818" t="s">
        <v>8052</v>
      </c>
      <c r="K4818">
        <v>5</v>
      </c>
      <c r="L4818">
        <v>4.9969999999999999</v>
      </c>
      <c r="M4818">
        <v>0</v>
      </c>
      <c r="N4818" t="s">
        <v>10019</v>
      </c>
      <c r="O4818" t="str">
        <f>HYPERLINK("NoConsenso\marker_429_822248.png", "Ver Imagen")</f>
        <v>Ver Imagen</v>
      </c>
      <c r="P4818" t="str">
        <f>HYPERLINK("SE\A-492\A-492__27.png", "Ver Imagen")</f>
        <v>Ver Imagen</v>
      </c>
    </row>
    <row r="4819" spans="1:16" x14ac:dyDescent="0.25">
      <c r="A4819">
        <v>4467</v>
      </c>
      <c r="B4819" t="s">
        <v>8941</v>
      </c>
      <c r="C4819">
        <v>37.278054407500001</v>
      </c>
      <c r="D4819">
        <v>-6.9927415357599996</v>
      </c>
      <c r="E4819">
        <v>3</v>
      </c>
      <c r="F4819">
        <v>5</v>
      </c>
      <c r="G4819">
        <v>4</v>
      </c>
      <c r="H4819">
        <v>4</v>
      </c>
      <c r="I4819">
        <v>4</v>
      </c>
      <c r="J4819" t="s">
        <v>8005</v>
      </c>
      <c r="K4819">
        <v>4</v>
      </c>
      <c r="L4819">
        <v>3.8029999999999999</v>
      </c>
      <c r="M4819">
        <v>0</v>
      </c>
      <c r="N4819" t="s">
        <v>10019</v>
      </c>
      <c r="O4819" t="str">
        <f>HYPERLINK("NoConsenso\marker_157_822818.png", "Ver Imagen")</f>
        <v>Ver Imagen</v>
      </c>
      <c r="P4819" t="str">
        <f>HYPERLINK("SE\A-492\A-492__37.png", "Ver Imagen")</f>
        <v>Ver Imagen</v>
      </c>
    </row>
    <row r="4820" spans="1:16" x14ac:dyDescent="0.25">
      <c r="A4820">
        <v>4468</v>
      </c>
      <c r="B4820" t="s">
        <v>8943</v>
      </c>
      <c r="C4820">
        <v>37.279290553099997</v>
      </c>
      <c r="D4820">
        <v>-6.9955819778899997</v>
      </c>
      <c r="E4820">
        <v>3</v>
      </c>
      <c r="F4820">
        <v>2</v>
      </c>
      <c r="G4820">
        <v>4</v>
      </c>
      <c r="H4820">
        <v>1</v>
      </c>
      <c r="I4820">
        <v>1</v>
      </c>
      <c r="J4820" t="s">
        <v>8052</v>
      </c>
      <c r="K4820">
        <v>1</v>
      </c>
      <c r="L4820">
        <v>1.387</v>
      </c>
      <c r="M4820">
        <v>0</v>
      </c>
      <c r="N4820" t="s">
        <v>10019</v>
      </c>
      <c r="O4820" t="str">
        <f>HYPERLINK("NoConsenso\marker_459_823004.png", "Ver Imagen")</f>
        <v>Ver Imagen</v>
      </c>
      <c r="P4820" t="str">
        <f>HYPERLINK("SE\A-492\A-492__50.png", "Ver Imagen")</f>
        <v>Ver Imagen</v>
      </c>
    </row>
    <row r="4821" spans="1:16" x14ac:dyDescent="0.25">
      <c r="A4821">
        <v>4469</v>
      </c>
      <c r="B4821" t="s">
        <v>8945</v>
      </c>
      <c r="C4821">
        <v>37.279353679099998</v>
      </c>
      <c r="D4821">
        <v>-6.9958476104700003</v>
      </c>
      <c r="E4821">
        <v>2</v>
      </c>
      <c r="F4821">
        <v>1</v>
      </c>
      <c r="G4821">
        <v>3</v>
      </c>
      <c r="H4821">
        <v>1</v>
      </c>
      <c r="I4821">
        <v>1</v>
      </c>
      <c r="J4821" t="s">
        <v>8005</v>
      </c>
      <c r="K4821">
        <v>1</v>
      </c>
      <c r="L4821">
        <v>1.1579999999999999</v>
      </c>
      <c r="M4821">
        <v>0</v>
      </c>
      <c r="N4821" t="s">
        <v>10019</v>
      </c>
      <c r="O4821" t="str">
        <f>HYPERLINK("NoConsenso\marker_642_823016.png", "Ver Imagen")</f>
        <v>Ver Imagen</v>
      </c>
      <c r="P4821" t="str">
        <f>HYPERLINK("SE\A-492\A-492__51.png", "Ver Imagen")</f>
        <v>Ver Imagen</v>
      </c>
    </row>
    <row r="4822" spans="1:16" x14ac:dyDescent="0.25">
      <c r="A4822">
        <v>4470</v>
      </c>
      <c r="B4822" t="s">
        <v>8947</v>
      </c>
      <c r="C4822">
        <v>37.280685539799997</v>
      </c>
      <c r="D4822">
        <v>-7.0037811971400004</v>
      </c>
      <c r="E4822">
        <v>3</v>
      </c>
      <c r="F4822">
        <v>2</v>
      </c>
      <c r="G4822">
        <v>4</v>
      </c>
      <c r="H4822">
        <v>2</v>
      </c>
      <c r="I4822">
        <v>3</v>
      </c>
      <c r="J4822" t="s">
        <v>8052</v>
      </c>
      <c r="K4822">
        <v>2</v>
      </c>
      <c r="L4822">
        <v>1.72</v>
      </c>
      <c r="M4822">
        <v>0</v>
      </c>
      <c r="N4822" t="s">
        <v>10019</v>
      </c>
      <c r="O4822" t="str">
        <f>HYPERLINK("NoConsenso\marker_422_823556.png", "Ver Imagen")</f>
        <v>Ver Imagen</v>
      </c>
      <c r="P4822" t="str">
        <f>HYPERLINK("SE\A-492\A-492__85.png", "Ver Imagen")</f>
        <v>Ver Imagen</v>
      </c>
    </row>
    <row r="4823" spans="1:16" x14ac:dyDescent="0.25">
      <c r="A4823">
        <v>4471</v>
      </c>
      <c r="B4823" t="s">
        <v>8949</v>
      </c>
      <c r="C4823">
        <v>37.279867769500001</v>
      </c>
      <c r="D4823">
        <v>-7.0063411804899998</v>
      </c>
      <c r="E4823">
        <v>1</v>
      </c>
      <c r="F4823">
        <v>3</v>
      </c>
      <c r="G4823">
        <v>3</v>
      </c>
      <c r="H4823">
        <v>2</v>
      </c>
      <c r="I4823">
        <v>2</v>
      </c>
      <c r="J4823" t="s">
        <v>8005</v>
      </c>
      <c r="K4823">
        <v>2</v>
      </c>
      <c r="L4823">
        <v>2.1080000000000001</v>
      </c>
      <c r="M4823">
        <v>0</v>
      </c>
      <c r="N4823" t="s">
        <v>10017</v>
      </c>
      <c r="O4823" t="str">
        <f>HYPERLINK("NoConsenso\marker_980_823715.png", "Ver Imagen")</f>
        <v>Ver Imagen</v>
      </c>
      <c r="P4823" t="str">
        <f>HYPERLINK("SE\A-492\A-492__96.png", "Ver Imagen")</f>
        <v>Ver Imagen</v>
      </c>
    </row>
    <row r="4824" spans="1:16" x14ac:dyDescent="0.25">
      <c r="A4824">
        <v>4472</v>
      </c>
      <c r="B4824" t="s">
        <v>8951</v>
      </c>
      <c r="C4824">
        <v>37.279436197099997</v>
      </c>
      <c r="D4824">
        <v>-7.0074481095200003</v>
      </c>
      <c r="E4824">
        <v>1</v>
      </c>
      <c r="F4824">
        <v>3</v>
      </c>
      <c r="G4824">
        <v>3</v>
      </c>
      <c r="H4824">
        <v>2</v>
      </c>
      <c r="I4824">
        <v>1</v>
      </c>
      <c r="J4824" t="s">
        <v>8005</v>
      </c>
      <c r="K4824">
        <v>2</v>
      </c>
      <c r="L4824">
        <v>1.9690000000000001</v>
      </c>
      <c r="M4824">
        <v>0</v>
      </c>
      <c r="N4824" t="s">
        <v>10019</v>
      </c>
      <c r="O4824" t="str">
        <f>HYPERLINK("NoConsenso\marker_798_823773.png", "Ver Imagen")</f>
        <v>Ver Imagen</v>
      </c>
      <c r="P4824" t="str">
        <f>HYPERLINK("SE\A-492\A-492__101.png", "Ver Imagen")</f>
        <v>Ver Imagen</v>
      </c>
    </row>
    <row r="4825" spans="1:16" x14ac:dyDescent="0.25">
      <c r="A4825">
        <v>4473</v>
      </c>
      <c r="B4825" t="s">
        <v>8953</v>
      </c>
      <c r="C4825">
        <v>37.277278342300001</v>
      </c>
      <c r="D4825">
        <v>-7.0120453566799998</v>
      </c>
      <c r="E4825">
        <v>2</v>
      </c>
      <c r="F4825">
        <v>3</v>
      </c>
      <c r="G4825">
        <v>4</v>
      </c>
      <c r="H4825">
        <v>2</v>
      </c>
      <c r="I4825">
        <v>2</v>
      </c>
      <c r="J4825" t="s">
        <v>8005</v>
      </c>
      <c r="K4825">
        <v>2</v>
      </c>
      <c r="L4825">
        <v>2.266</v>
      </c>
      <c r="M4825">
        <v>0</v>
      </c>
      <c r="N4825" t="s">
        <v>10019</v>
      </c>
      <c r="O4825" t="str">
        <f>HYPERLINK("NoConsenso\marker_887_824442.png", "Ver Imagen")</f>
        <v>Ver Imagen</v>
      </c>
      <c r="P4825" t="str">
        <f>HYPERLINK("SE\A-492\A-492__122.png", "Ver Imagen")</f>
        <v>Ver Imagen</v>
      </c>
    </row>
    <row r="4826" spans="1:16" x14ac:dyDescent="0.25">
      <c r="A4826">
        <v>4474</v>
      </c>
      <c r="B4826" t="s">
        <v>8955</v>
      </c>
      <c r="C4826">
        <v>37.277038343100003</v>
      </c>
      <c r="D4826">
        <v>-7.0124783124999999</v>
      </c>
      <c r="E4826">
        <v>2</v>
      </c>
      <c r="F4826">
        <v>3</v>
      </c>
      <c r="G4826">
        <v>4</v>
      </c>
      <c r="H4826">
        <v>3</v>
      </c>
      <c r="I4826">
        <v>3</v>
      </c>
      <c r="J4826" t="s">
        <v>8005</v>
      </c>
      <c r="K4826">
        <v>3</v>
      </c>
      <c r="L4826">
        <v>2.972</v>
      </c>
      <c r="M4826">
        <v>0</v>
      </c>
      <c r="N4826" t="s">
        <v>10019</v>
      </c>
      <c r="O4826" t="str">
        <f>HYPERLINK("NoConsenso\marker_748_824468.png", "Ver Imagen")</f>
        <v>Ver Imagen</v>
      </c>
      <c r="P4826" t="str">
        <f>HYPERLINK("SE\A-492\A-492__124.png", "Ver Imagen")</f>
        <v>Ver Imagen</v>
      </c>
    </row>
    <row r="4827" spans="1:16" x14ac:dyDescent="0.25">
      <c r="A4827">
        <v>4475</v>
      </c>
      <c r="B4827" t="s">
        <v>8957</v>
      </c>
      <c r="C4827">
        <v>37.2760942508</v>
      </c>
      <c r="D4827">
        <v>-7.0144139570800004</v>
      </c>
      <c r="E4827">
        <v>2</v>
      </c>
      <c r="F4827">
        <v>3</v>
      </c>
      <c r="G4827">
        <v>4</v>
      </c>
      <c r="H4827">
        <v>2</v>
      </c>
      <c r="I4827">
        <v>2</v>
      </c>
      <c r="J4827" t="s">
        <v>8005</v>
      </c>
      <c r="K4827">
        <v>2</v>
      </c>
      <c r="L4827">
        <v>2.0379999999999998</v>
      </c>
      <c r="M4827">
        <v>0</v>
      </c>
      <c r="N4827" t="s">
        <v>10019</v>
      </c>
      <c r="O4827" t="str">
        <f>HYPERLINK("NoConsenso\marker_155_824574.png", "Ver Imagen")</f>
        <v>Ver Imagen</v>
      </c>
      <c r="P4827" t="str">
        <f>HYPERLINK("SE\A-492\A-492__133.png", "Ver Imagen")</f>
        <v>Ver Imagen</v>
      </c>
    </row>
    <row r="4828" spans="1:16" x14ac:dyDescent="0.25">
      <c r="A4828">
        <v>4476</v>
      </c>
      <c r="B4828" t="s">
        <v>8959</v>
      </c>
      <c r="C4828">
        <v>37.275922778499996</v>
      </c>
      <c r="D4828">
        <v>-7.01525624738</v>
      </c>
      <c r="E4828">
        <v>2</v>
      </c>
      <c r="F4828">
        <v>3</v>
      </c>
      <c r="G4828">
        <v>4</v>
      </c>
      <c r="H4828">
        <v>4</v>
      </c>
      <c r="I4828">
        <v>3</v>
      </c>
      <c r="J4828" t="s">
        <v>8005</v>
      </c>
      <c r="K4828">
        <v>3</v>
      </c>
      <c r="L4828">
        <v>2.9369999999999998</v>
      </c>
      <c r="M4828">
        <v>0</v>
      </c>
      <c r="N4828" t="s">
        <v>10019</v>
      </c>
      <c r="O4828" t="str">
        <f>HYPERLINK("NoConsenso\marker_639_824630.png", "Ver Imagen")</f>
        <v>Ver Imagen</v>
      </c>
      <c r="P4828" t="str">
        <f>HYPERLINK("SE\A-492\A-492__137.png", "Ver Imagen")</f>
        <v>Ver Imagen</v>
      </c>
    </row>
    <row r="4829" spans="1:16" x14ac:dyDescent="0.25">
      <c r="A4829">
        <v>4477</v>
      </c>
      <c r="B4829" t="s">
        <v>8961</v>
      </c>
      <c r="C4829">
        <v>37.2756179577</v>
      </c>
      <c r="D4829">
        <v>-7.0187642885399999</v>
      </c>
      <c r="E4829">
        <v>1</v>
      </c>
      <c r="F4829">
        <v>2</v>
      </c>
      <c r="G4829">
        <v>3</v>
      </c>
      <c r="H4829">
        <v>1</v>
      </c>
      <c r="I4829">
        <v>1</v>
      </c>
      <c r="J4829" t="s">
        <v>8005</v>
      </c>
      <c r="K4829">
        <v>1</v>
      </c>
      <c r="L4829">
        <v>1.179</v>
      </c>
      <c r="M4829">
        <v>0</v>
      </c>
      <c r="N4829" t="s">
        <v>10019</v>
      </c>
      <c r="O4829" t="str">
        <f>HYPERLINK("NoConsenso\marker_661_824829.png", "Ver Imagen")</f>
        <v>Ver Imagen</v>
      </c>
      <c r="P4829" t="str">
        <f>HYPERLINK("SE\A-492\A-492__152.png", "Ver Imagen")</f>
        <v>Ver Imagen</v>
      </c>
    </row>
    <row r="4830" spans="1:16" x14ac:dyDescent="0.25">
      <c r="A4830">
        <v>4478</v>
      </c>
      <c r="B4830" t="s">
        <v>8963</v>
      </c>
      <c r="C4830">
        <v>37.275651360799998</v>
      </c>
      <c r="D4830">
        <v>-7.0190108473299997</v>
      </c>
      <c r="E4830">
        <v>1</v>
      </c>
      <c r="F4830">
        <v>2</v>
      </c>
      <c r="G4830">
        <v>3</v>
      </c>
      <c r="H4830">
        <v>1</v>
      </c>
      <c r="I4830">
        <v>1</v>
      </c>
      <c r="J4830" t="s">
        <v>8005</v>
      </c>
      <c r="K4830">
        <v>1</v>
      </c>
      <c r="L4830">
        <v>1.06</v>
      </c>
      <c r="M4830">
        <v>0</v>
      </c>
      <c r="N4830" t="s">
        <v>10019</v>
      </c>
      <c r="O4830" t="str">
        <f>HYPERLINK("NoConsenso\marker_242_824839.png", "Ver Imagen")</f>
        <v>Ver Imagen</v>
      </c>
      <c r="P4830" t="str">
        <f>HYPERLINK("SE\A-492\A-492__153.png", "Ver Imagen")</f>
        <v>Ver Imagen</v>
      </c>
    </row>
    <row r="4831" spans="1:16" x14ac:dyDescent="0.25">
      <c r="A4831">
        <v>4480</v>
      </c>
      <c r="B4831" t="s">
        <v>8967</v>
      </c>
      <c r="C4831">
        <v>37.275716269999997</v>
      </c>
      <c r="D4831">
        <v>-7.0194968841799996</v>
      </c>
      <c r="E4831">
        <v>1</v>
      </c>
      <c r="F4831">
        <v>2</v>
      </c>
      <c r="G4831">
        <v>3</v>
      </c>
      <c r="H4831">
        <v>2</v>
      </c>
      <c r="I4831">
        <v>2</v>
      </c>
      <c r="J4831" t="s">
        <v>8005</v>
      </c>
      <c r="K4831">
        <v>2</v>
      </c>
      <c r="L4831">
        <v>1.907</v>
      </c>
      <c r="M4831">
        <v>0</v>
      </c>
      <c r="N4831" t="s">
        <v>10019</v>
      </c>
      <c r="O4831" t="str">
        <f>HYPERLINK("NoConsenso\marker_224_824897.png", "Ver Imagen")</f>
        <v>Ver Imagen</v>
      </c>
      <c r="P4831" t="str">
        <f>HYPERLINK("SE\A-492\A-492__155.png", "Ver Imagen")</f>
        <v>Ver Imagen</v>
      </c>
    </row>
    <row r="4832" spans="1:16" x14ac:dyDescent="0.25">
      <c r="A4832">
        <v>4482</v>
      </c>
      <c r="B4832" t="s">
        <v>8971</v>
      </c>
      <c r="C4832">
        <v>37.275783980100002</v>
      </c>
      <c r="D4832">
        <v>-7.0200042415199997</v>
      </c>
      <c r="E4832">
        <v>1</v>
      </c>
      <c r="F4832">
        <v>2</v>
      </c>
      <c r="G4832">
        <v>3</v>
      </c>
      <c r="H4832">
        <v>1</v>
      </c>
      <c r="I4832">
        <v>2</v>
      </c>
      <c r="J4832" t="s">
        <v>8005</v>
      </c>
      <c r="K4832">
        <v>2</v>
      </c>
      <c r="L4832">
        <v>1.5760000000000001</v>
      </c>
      <c r="M4832">
        <v>0</v>
      </c>
      <c r="N4832" t="s">
        <v>10019</v>
      </c>
      <c r="O4832" t="str">
        <f>HYPERLINK("NoConsenso\marker_687_824918.png", "Ver Imagen")</f>
        <v>Ver Imagen</v>
      </c>
      <c r="P4832" t="str">
        <f>HYPERLINK("SE\A-492\A-492__157.png", "Ver Imagen")</f>
        <v>Ver Imagen</v>
      </c>
    </row>
    <row r="4833" spans="1:16" x14ac:dyDescent="0.25">
      <c r="A4833">
        <v>4483</v>
      </c>
      <c r="B4833" t="s">
        <v>8973</v>
      </c>
      <c r="C4833">
        <v>37.275856304500003</v>
      </c>
      <c r="D4833">
        <v>-7.0205363860199999</v>
      </c>
      <c r="E4833">
        <v>1</v>
      </c>
      <c r="F4833">
        <v>2</v>
      </c>
      <c r="G4833">
        <v>3</v>
      </c>
      <c r="H4833">
        <v>2</v>
      </c>
      <c r="I4833">
        <v>2</v>
      </c>
      <c r="J4833" t="s">
        <v>8005</v>
      </c>
      <c r="K4833">
        <v>2</v>
      </c>
      <c r="L4833">
        <v>2.0030000000000001</v>
      </c>
      <c r="M4833">
        <v>0</v>
      </c>
      <c r="N4833" t="s">
        <v>10018</v>
      </c>
      <c r="O4833" t="str">
        <f>HYPERLINK("NoConsenso\marker_582_824942.png", "Ver Imagen")</f>
        <v>Ver Imagen</v>
      </c>
      <c r="P4833" t="str">
        <f>HYPERLINK("SE\A-492\A-492__159.png", "Ver Imagen")</f>
        <v>Ver Imagen</v>
      </c>
    </row>
    <row r="4834" spans="1:16" x14ac:dyDescent="0.25">
      <c r="A4834">
        <v>4484</v>
      </c>
      <c r="B4834" t="s">
        <v>8975</v>
      </c>
      <c r="C4834">
        <v>37.275949412499997</v>
      </c>
      <c r="D4834">
        <v>-7.0212384021199998</v>
      </c>
      <c r="E4834">
        <v>1</v>
      </c>
      <c r="F4834">
        <v>2</v>
      </c>
      <c r="G4834">
        <v>3</v>
      </c>
      <c r="H4834">
        <v>2</v>
      </c>
      <c r="I4834">
        <v>2</v>
      </c>
      <c r="J4834" t="s">
        <v>8005</v>
      </c>
      <c r="K4834">
        <v>2</v>
      </c>
      <c r="L4834">
        <v>1.6519999999999999</v>
      </c>
      <c r="M4834">
        <v>0</v>
      </c>
      <c r="N4834" t="s">
        <v>10019</v>
      </c>
      <c r="O4834" t="str">
        <f>HYPERLINK("NoConsenso\marker_556_831344.png", "Ver Imagen")</f>
        <v>Ver Imagen</v>
      </c>
      <c r="P4834" t="str">
        <f>HYPERLINK("SE\A-492\A-492__162.png", "Ver Imagen")</f>
        <v>Ver Imagen</v>
      </c>
    </row>
    <row r="4835" spans="1:16" x14ac:dyDescent="0.25">
      <c r="A4835">
        <v>4485</v>
      </c>
      <c r="B4835" t="s">
        <v>8977</v>
      </c>
      <c r="C4835">
        <v>37.276014781400001</v>
      </c>
      <c r="D4835">
        <v>-7.0217456011700001</v>
      </c>
      <c r="E4835">
        <v>1</v>
      </c>
      <c r="F4835">
        <v>2</v>
      </c>
      <c r="G4835">
        <v>3</v>
      </c>
      <c r="H4835">
        <v>1</v>
      </c>
      <c r="I4835">
        <v>2</v>
      </c>
      <c r="J4835" t="s">
        <v>8005</v>
      </c>
      <c r="K4835">
        <v>2</v>
      </c>
      <c r="L4835">
        <v>1.76</v>
      </c>
      <c r="M4835">
        <v>0</v>
      </c>
      <c r="N4835" t="s">
        <v>10019</v>
      </c>
      <c r="O4835" t="str">
        <f>HYPERLINK("NoConsenso\marker_385_831366.png", "Ver Imagen")</f>
        <v>Ver Imagen</v>
      </c>
      <c r="P4835" t="str">
        <f>HYPERLINK("SE\A-492\A-492__164.png", "Ver Imagen")</f>
        <v>Ver Imagen</v>
      </c>
    </row>
    <row r="4836" spans="1:16" x14ac:dyDescent="0.25">
      <c r="A4836">
        <v>4486</v>
      </c>
      <c r="B4836" t="s">
        <v>8979</v>
      </c>
      <c r="C4836">
        <v>37.276121401899999</v>
      </c>
      <c r="D4836">
        <v>-7.0224979690099998</v>
      </c>
      <c r="E4836">
        <v>2</v>
      </c>
      <c r="F4836">
        <v>3</v>
      </c>
      <c r="G4836">
        <v>4</v>
      </c>
      <c r="H4836">
        <v>2</v>
      </c>
      <c r="I4836">
        <v>3</v>
      </c>
      <c r="J4836" t="s">
        <v>8005</v>
      </c>
      <c r="K4836">
        <v>3</v>
      </c>
      <c r="L4836">
        <v>3.3660000000000001</v>
      </c>
      <c r="M4836">
        <v>0</v>
      </c>
      <c r="N4836" t="s">
        <v>10019</v>
      </c>
      <c r="O4836" t="str">
        <f>HYPERLINK("NoConsenso\marker_925_831405.png", "Ver Imagen")</f>
        <v>Ver Imagen</v>
      </c>
      <c r="P4836" t="str">
        <f>HYPERLINK("SE\A-492\A-492__167.png", "Ver Imagen")</f>
        <v>Ver Imagen</v>
      </c>
    </row>
    <row r="4837" spans="1:16" x14ac:dyDescent="0.25">
      <c r="A4837">
        <v>4487</v>
      </c>
      <c r="B4837" t="s">
        <v>8981</v>
      </c>
      <c r="C4837">
        <v>37.276198944299999</v>
      </c>
      <c r="D4837">
        <v>-7.0230367999699999</v>
      </c>
      <c r="E4837">
        <v>1</v>
      </c>
      <c r="F4837">
        <v>2</v>
      </c>
      <c r="G4837">
        <v>3</v>
      </c>
      <c r="H4837">
        <v>2</v>
      </c>
      <c r="I4837">
        <v>2</v>
      </c>
      <c r="J4837" t="s">
        <v>8005</v>
      </c>
      <c r="K4837">
        <v>2</v>
      </c>
      <c r="L4837">
        <v>1.7609999999999999</v>
      </c>
      <c r="M4837">
        <v>0</v>
      </c>
      <c r="N4837" t="s">
        <v>10019</v>
      </c>
      <c r="O4837" t="str">
        <f>HYPERLINK("NoConsenso\marker_225_831440.png", "Ver Imagen")</f>
        <v>Ver Imagen</v>
      </c>
      <c r="P4837" t="str">
        <f>HYPERLINK("SE\A-492\A-492__169.png", "Ver Imagen")</f>
        <v>Ver Imagen</v>
      </c>
    </row>
    <row r="4838" spans="1:16" x14ac:dyDescent="0.25">
      <c r="A4838">
        <v>4488</v>
      </c>
      <c r="B4838" t="s">
        <v>8983</v>
      </c>
      <c r="C4838">
        <v>37.276401590200003</v>
      </c>
      <c r="D4838">
        <v>-7.0244796124100004</v>
      </c>
      <c r="E4838">
        <v>1</v>
      </c>
      <c r="F4838">
        <v>2</v>
      </c>
      <c r="G4838">
        <v>3</v>
      </c>
      <c r="H4838">
        <v>2</v>
      </c>
      <c r="I4838">
        <v>1</v>
      </c>
      <c r="J4838" t="s">
        <v>8005</v>
      </c>
      <c r="K4838">
        <v>2</v>
      </c>
      <c r="L4838">
        <v>1.841</v>
      </c>
      <c r="M4838">
        <v>0</v>
      </c>
      <c r="N4838" t="s">
        <v>10019</v>
      </c>
      <c r="O4838" t="str">
        <f>HYPERLINK("NoConsenso\marker_587_831529.png", "Ver Imagen")</f>
        <v>Ver Imagen</v>
      </c>
      <c r="P4838" t="str">
        <f>HYPERLINK("SE\A-492\A-492__175.png", "Ver Imagen")</f>
        <v>Ver Imagen</v>
      </c>
    </row>
    <row r="4839" spans="1:16" x14ac:dyDescent="0.25">
      <c r="A4839">
        <v>4489</v>
      </c>
      <c r="B4839" t="s">
        <v>8985</v>
      </c>
      <c r="C4839">
        <v>37.276651347600001</v>
      </c>
      <c r="D4839">
        <v>-7.02624839933</v>
      </c>
      <c r="E4839">
        <v>1</v>
      </c>
      <c r="F4839">
        <v>2</v>
      </c>
      <c r="G4839">
        <v>3</v>
      </c>
      <c r="H4839">
        <v>2</v>
      </c>
      <c r="I4839">
        <v>2</v>
      </c>
      <c r="J4839" t="s">
        <v>8005</v>
      </c>
      <c r="K4839">
        <v>2</v>
      </c>
      <c r="L4839">
        <v>2.1920000000000002</v>
      </c>
      <c r="M4839">
        <v>0</v>
      </c>
      <c r="N4839" t="s">
        <v>10019</v>
      </c>
      <c r="O4839" t="str">
        <f>HYPERLINK("NoConsenso\marker_745_831660.png", "Ver Imagen")</f>
        <v>Ver Imagen</v>
      </c>
      <c r="P4839" t="str">
        <f>HYPERLINK("SE\A-492\A-492__182.png", "Ver Imagen")</f>
        <v>Ver Imagen</v>
      </c>
    </row>
    <row r="4840" spans="1:16" x14ac:dyDescent="0.25">
      <c r="A4840">
        <v>4490</v>
      </c>
      <c r="B4840" t="s">
        <v>8987</v>
      </c>
      <c r="C4840">
        <v>37.276891823299998</v>
      </c>
      <c r="D4840">
        <v>-7.0274627651700001</v>
      </c>
      <c r="E4840">
        <v>1</v>
      </c>
      <c r="F4840">
        <v>3</v>
      </c>
      <c r="G4840">
        <v>3</v>
      </c>
      <c r="H4840">
        <v>2</v>
      </c>
      <c r="I4840">
        <v>1</v>
      </c>
      <c r="J4840" t="s">
        <v>8005</v>
      </c>
      <c r="K4840">
        <v>2</v>
      </c>
      <c r="L4840">
        <v>1.831</v>
      </c>
      <c r="M4840">
        <v>0</v>
      </c>
      <c r="N4840" t="s">
        <v>10019</v>
      </c>
      <c r="O4840" t="str">
        <f>HYPERLINK("NoConsenso\marker_606_831754.png", "Ver Imagen")</f>
        <v>Ver Imagen</v>
      </c>
      <c r="P4840" t="str">
        <f>HYPERLINK("SE\A-492\A-492__187.png", "Ver Imagen")</f>
        <v>Ver Imagen</v>
      </c>
    </row>
    <row r="4841" spans="1:16" x14ac:dyDescent="0.25">
      <c r="A4841">
        <v>4491</v>
      </c>
      <c r="B4841" t="s">
        <v>8989</v>
      </c>
      <c r="C4841">
        <v>37.2769611481</v>
      </c>
      <c r="D4841">
        <v>-7.0276874273000001</v>
      </c>
      <c r="E4841">
        <v>1</v>
      </c>
      <c r="F4841">
        <v>2</v>
      </c>
      <c r="G4841">
        <v>3</v>
      </c>
      <c r="H4841">
        <v>2</v>
      </c>
      <c r="I4841">
        <v>1</v>
      </c>
      <c r="J4841" t="s">
        <v>8005</v>
      </c>
      <c r="K4841">
        <v>2</v>
      </c>
      <c r="L4841">
        <v>2.427</v>
      </c>
      <c r="M4841">
        <v>0</v>
      </c>
      <c r="N4841" t="s">
        <v>10017</v>
      </c>
      <c r="O4841" t="str">
        <f>HYPERLINK("NoConsenso\marker_544_831773.png", "Ver Imagen")</f>
        <v>Ver Imagen</v>
      </c>
      <c r="P4841" t="str">
        <f>HYPERLINK("SE\A-492\A-492__188.png", "Ver Imagen")</f>
        <v>Ver Imagen</v>
      </c>
    </row>
    <row r="4842" spans="1:16" x14ac:dyDescent="0.25">
      <c r="A4842">
        <v>4492</v>
      </c>
      <c r="B4842" t="s">
        <v>8991</v>
      </c>
      <c r="C4842">
        <v>37.277251830600001</v>
      </c>
      <c r="D4842">
        <v>-7.0283966125599999</v>
      </c>
      <c r="E4842">
        <v>1</v>
      </c>
      <c r="F4842">
        <v>2</v>
      </c>
      <c r="G4842">
        <v>3</v>
      </c>
      <c r="H4842">
        <v>2</v>
      </c>
      <c r="I4842">
        <v>1</v>
      </c>
      <c r="J4842" t="s">
        <v>8005</v>
      </c>
      <c r="K4842">
        <v>2</v>
      </c>
      <c r="L4842">
        <v>1.7270000000000001</v>
      </c>
      <c r="M4842">
        <v>0</v>
      </c>
      <c r="N4842" t="s">
        <v>10019</v>
      </c>
      <c r="O4842" t="str">
        <f>HYPERLINK("NoConsenso\marker_116_831815.png", "Ver Imagen")</f>
        <v>Ver Imagen</v>
      </c>
      <c r="P4842" t="str">
        <f>HYPERLINK("SE\A-492\A-492__191.png", "Ver Imagen")</f>
        <v>Ver Imagen</v>
      </c>
    </row>
    <row r="4843" spans="1:16" x14ac:dyDescent="0.25">
      <c r="A4843">
        <v>4493</v>
      </c>
      <c r="B4843" t="s">
        <v>8993</v>
      </c>
      <c r="C4843">
        <v>37.277349851899999</v>
      </c>
      <c r="D4843">
        <v>-7.0285815464499999</v>
      </c>
      <c r="E4843">
        <v>1</v>
      </c>
      <c r="F4843">
        <v>2</v>
      </c>
      <c r="G4843">
        <v>3</v>
      </c>
      <c r="H4843">
        <v>2</v>
      </c>
      <c r="I4843">
        <v>1</v>
      </c>
      <c r="J4843" t="s">
        <v>8005</v>
      </c>
      <c r="K4843">
        <v>2</v>
      </c>
      <c r="L4843">
        <v>1.704</v>
      </c>
      <c r="M4843">
        <v>0</v>
      </c>
      <c r="N4843" t="s">
        <v>10019</v>
      </c>
      <c r="O4843" t="str">
        <f>HYPERLINK("NoConsenso\marker_146_831827.png", "Ver Imagen")</f>
        <v>Ver Imagen</v>
      </c>
      <c r="P4843" t="str">
        <f>HYPERLINK("SE\A-492\A-492__192.png", "Ver Imagen")</f>
        <v>Ver Imagen</v>
      </c>
    </row>
    <row r="4844" spans="1:16" x14ac:dyDescent="0.25">
      <c r="A4844">
        <v>4494</v>
      </c>
      <c r="B4844" t="s">
        <v>8995</v>
      </c>
      <c r="C4844">
        <v>37.278334386600001</v>
      </c>
      <c r="D4844">
        <v>-7.0298179964700003</v>
      </c>
      <c r="E4844">
        <v>1</v>
      </c>
      <c r="F4844">
        <v>3</v>
      </c>
      <c r="G4844">
        <v>3</v>
      </c>
      <c r="H4844">
        <v>1</v>
      </c>
      <c r="I4844">
        <v>1</v>
      </c>
      <c r="J4844" t="s">
        <v>8005</v>
      </c>
      <c r="K4844">
        <v>1</v>
      </c>
      <c r="L4844">
        <v>1</v>
      </c>
      <c r="M4844">
        <v>0</v>
      </c>
      <c r="N4844" t="s">
        <v>10019</v>
      </c>
      <c r="O4844" t="str">
        <f>HYPERLINK("NoConsenso\marker_916_831907.png", "Ver Imagen")</f>
        <v>Ver Imagen</v>
      </c>
      <c r="P4844" t="str">
        <f>HYPERLINK("SE\A-492\A-492__199.png", "Ver Imagen")</f>
        <v>Ver Imagen</v>
      </c>
    </row>
    <row r="4845" spans="1:16" x14ac:dyDescent="0.25">
      <c r="A4845">
        <v>4495</v>
      </c>
      <c r="B4845" t="s">
        <v>8997</v>
      </c>
      <c r="C4845">
        <v>37.278501168699997</v>
      </c>
      <c r="D4845">
        <v>-7.02997186184</v>
      </c>
      <c r="E4845">
        <v>1</v>
      </c>
      <c r="F4845">
        <v>3</v>
      </c>
      <c r="G4845">
        <v>3</v>
      </c>
      <c r="H4845">
        <v>2</v>
      </c>
      <c r="I4845">
        <v>1</v>
      </c>
      <c r="J4845" t="s">
        <v>8005</v>
      </c>
      <c r="K4845">
        <v>2</v>
      </c>
      <c r="L4845">
        <v>2.028</v>
      </c>
      <c r="M4845">
        <v>0</v>
      </c>
      <c r="N4845" t="s">
        <v>10019</v>
      </c>
      <c r="O4845" t="str">
        <f>HYPERLINK("NoConsenso\marker_507_831920.png", "Ver Imagen")</f>
        <v>Ver Imagen</v>
      </c>
      <c r="P4845" t="str">
        <f>HYPERLINK("SE\A-492\A-492__200.png", "Ver Imagen")</f>
        <v>Ver Imagen</v>
      </c>
    </row>
    <row r="4846" spans="1:16" x14ac:dyDescent="0.25">
      <c r="A4846">
        <v>4496</v>
      </c>
      <c r="B4846" t="s">
        <v>8999</v>
      </c>
      <c r="C4846">
        <v>37.278665053899999</v>
      </c>
      <c r="D4846">
        <v>-7.03012298267</v>
      </c>
      <c r="E4846">
        <v>1</v>
      </c>
      <c r="F4846">
        <v>2</v>
      </c>
      <c r="G4846">
        <v>3</v>
      </c>
      <c r="H4846">
        <v>2</v>
      </c>
      <c r="I4846">
        <v>1</v>
      </c>
      <c r="J4846" t="s">
        <v>8005</v>
      </c>
      <c r="K4846">
        <v>2</v>
      </c>
      <c r="L4846">
        <v>2.1059999999999999</v>
      </c>
      <c r="M4846">
        <v>0</v>
      </c>
      <c r="N4846" t="s">
        <v>10019</v>
      </c>
      <c r="O4846" t="str">
        <f>HYPERLINK("NoConsenso\marker_190_831935.png", "Ver Imagen")</f>
        <v>Ver Imagen</v>
      </c>
      <c r="P4846" t="str">
        <f>HYPERLINK("SE\A-492\A-492__201.png", "Ver Imagen")</f>
        <v>Ver Imagen</v>
      </c>
    </row>
    <row r="4847" spans="1:16" x14ac:dyDescent="0.25">
      <c r="A4847">
        <v>4497</v>
      </c>
      <c r="B4847" t="s">
        <v>9001</v>
      </c>
      <c r="C4847">
        <v>37.280140965699999</v>
      </c>
      <c r="D4847">
        <v>-7.0314287070699999</v>
      </c>
      <c r="E4847">
        <v>2</v>
      </c>
      <c r="F4847">
        <v>4</v>
      </c>
      <c r="G4847">
        <v>4</v>
      </c>
      <c r="H4847">
        <v>3</v>
      </c>
      <c r="I4847">
        <v>4</v>
      </c>
      <c r="J4847" t="s">
        <v>8005</v>
      </c>
      <c r="K4847">
        <v>4</v>
      </c>
      <c r="L4847">
        <v>3.871</v>
      </c>
      <c r="M4847">
        <v>0</v>
      </c>
      <c r="N4847" t="s">
        <v>10019</v>
      </c>
      <c r="O4847" t="str">
        <f>HYPERLINK("NoConsenso\marker_817_832075.png", "Ver Imagen")</f>
        <v>Ver Imagen</v>
      </c>
      <c r="P4847" t="str">
        <f>HYPERLINK("SE\A-492\A-492__210.png", "Ver Imagen")</f>
        <v>Ver Imagen</v>
      </c>
    </row>
    <row r="4848" spans="1:16" x14ac:dyDescent="0.25">
      <c r="A4848">
        <v>4498</v>
      </c>
      <c r="B4848" t="s">
        <v>9003</v>
      </c>
      <c r="C4848">
        <v>37.281071249199996</v>
      </c>
      <c r="D4848">
        <v>-7.0319227960999999</v>
      </c>
      <c r="E4848">
        <v>1</v>
      </c>
      <c r="F4848">
        <v>2</v>
      </c>
      <c r="G4848">
        <v>3</v>
      </c>
      <c r="H4848">
        <v>2</v>
      </c>
      <c r="I4848">
        <v>1</v>
      </c>
      <c r="J4848" t="s">
        <v>8005</v>
      </c>
      <c r="K4848">
        <v>2</v>
      </c>
      <c r="L4848">
        <v>1.7190000000000001</v>
      </c>
      <c r="M4848">
        <v>0</v>
      </c>
      <c r="N4848" t="s">
        <v>10019</v>
      </c>
      <c r="O4848" t="str">
        <f>HYPERLINK("NoConsenso\marker_225_832722.png", "Ver Imagen")</f>
        <v>Ver Imagen</v>
      </c>
      <c r="P4848" t="str">
        <f>HYPERLINK("SE\A-492\A-492__215.png", "Ver Imagen")</f>
        <v>Ver Imagen</v>
      </c>
    </row>
    <row r="4849" spans="1:16" x14ac:dyDescent="0.25">
      <c r="A4849">
        <v>4499</v>
      </c>
      <c r="B4849" t="s">
        <v>9005</v>
      </c>
      <c r="C4849">
        <v>37.281274648199997</v>
      </c>
      <c r="D4849">
        <v>-7.0320211812200002</v>
      </c>
      <c r="E4849">
        <v>1</v>
      </c>
      <c r="F4849">
        <v>3</v>
      </c>
      <c r="G4849">
        <v>3</v>
      </c>
      <c r="H4849">
        <v>2</v>
      </c>
      <c r="I4849">
        <v>1</v>
      </c>
      <c r="J4849" t="s">
        <v>8005</v>
      </c>
      <c r="K4849">
        <v>2</v>
      </c>
      <c r="L4849">
        <v>2.1850000000000001</v>
      </c>
      <c r="M4849">
        <v>0</v>
      </c>
      <c r="N4849" t="s">
        <v>10019</v>
      </c>
      <c r="O4849" t="str">
        <f>HYPERLINK("NoConsenso\marker_928_832749.png", "Ver Imagen")</f>
        <v>Ver Imagen</v>
      </c>
      <c r="P4849" t="str">
        <f>HYPERLINK("SE\A-492\A-492__216.png", "Ver Imagen")</f>
        <v>Ver Imagen</v>
      </c>
    </row>
    <row r="4850" spans="1:16" x14ac:dyDescent="0.25">
      <c r="A4850">
        <v>4500</v>
      </c>
      <c r="B4850" t="s">
        <v>9007</v>
      </c>
      <c r="C4850">
        <v>37.281844285399998</v>
      </c>
      <c r="D4850">
        <v>-7.0323192332</v>
      </c>
      <c r="E4850">
        <v>1</v>
      </c>
      <c r="F4850">
        <v>1</v>
      </c>
      <c r="G4850">
        <v>3</v>
      </c>
      <c r="H4850">
        <v>2</v>
      </c>
      <c r="I4850">
        <v>1</v>
      </c>
      <c r="J4850" t="s">
        <v>8005</v>
      </c>
      <c r="K4850">
        <v>1</v>
      </c>
      <c r="L4850">
        <v>1.1919999999999999</v>
      </c>
      <c r="M4850">
        <v>0</v>
      </c>
      <c r="N4850" t="s">
        <v>10019</v>
      </c>
      <c r="O4850" t="str">
        <f>HYPERLINK("NoConsenso\marker_529_832800.png", "Ver Imagen")</f>
        <v>Ver Imagen</v>
      </c>
      <c r="P4850" t="str">
        <f>HYPERLINK("SE\A-492\A-492__219.png", "Ver Imagen")</f>
        <v>Ver Imagen</v>
      </c>
    </row>
    <row r="4851" spans="1:16" x14ac:dyDescent="0.25">
      <c r="A4851">
        <v>4501</v>
      </c>
      <c r="B4851" t="s">
        <v>9009</v>
      </c>
      <c r="C4851">
        <v>37.282014281800002</v>
      </c>
      <c r="D4851">
        <v>-7.0324163822400001</v>
      </c>
      <c r="E4851">
        <v>1</v>
      </c>
      <c r="F4851">
        <v>2</v>
      </c>
      <c r="G4851">
        <v>3</v>
      </c>
      <c r="H4851">
        <v>2</v>
      </c>
      <c r="I4851">
        <v>1</v>
      </c>
      <c r="J4851" t="s">
        <v>8005</v>
      </c>
      <c r="K4851">
        <v>2</v>
      </c>
      <c r="L4851">
        <v>2.1429999999999998</v>
      </c>
      <c r="M4851">
        <v>0</v>
      </c>
      <c r="N4851" t="s">
        <v>10019</v>
      </c>
      <c r="O4851" t="str">
        <f>HYPERLINK("NoConsenso\marker_439_835660.png", "Ver Imagen")</f>
        <v>Ver Imagen</v>
      </c>
      <c r="P4851" t="str">
        <f>HYPERLINK("SE\A-492\A-492__220.png", "Ver Imagen")</f>
        <v>Ver Imagen</v>
      </c>
    </row>
    <row r="4852" spans="1:16" x14ac:dyDescent="0.25">
      <c r="A4852">
        <v>4502</v>
      </c>
      <c r="B4852" t="s">
        <v>9011</v>
      </c>
      <c r="C4852">
        <v>37.282542735600003</v>
      </c>
      <c r="D4852">
        <v>-7.0327452990200001</v>
      </c>
      <c r="E4852">
        <v>1</v>
      </c>
      <c r="F4852">
        <v>2</v>
      </c>
      <c r="G4852">
        <v>3</v>
      </c>
      <c r="H4852">
        <v>1</v>
      </c>
      <c r="I4852">
        <v>1</v>
      </c>
      <c r="J4852" t="s">
        <v>8005</v>
      </c>
      <c r="K4852">
        <v>1</v>
      </c>
      <c r="L4852">
        <v>1</v>
      </c>
      <c r="M4852">
        <v>0</v>
      </c>
      <c r="N4852" t="s">
        <v>10019</v>
      </c>
      <c r="O4852" t="str">
        <f>HYPERLINK("NoConsenso\marker_362_835693.png", "Ver Imagen")</f>
        <v>Ver Imagen</v>
      </c>
      <c r="P4852" t="str">
        <f>HYPERLINK("SE\A-492\A-492__223.png", "Ver Imagen")</f>
        <v>Ver Imagen</v>
      </c>
    </row>
    <row r="4853" spans="1:16" x14ac:dyDescent="0.25">
      <c r="A4853">
        <v>4503</v>
      </c>
      <c r="B4853" t="s">
        <v>9013</v>
      </c>
      <c r="C4853">
        <v>37.284030827000002</v>
      </c>
      <c r="D4853">
        <v>-7.0350728790400003</v>
      </c>
      <c r="E4853">
        <v>1</v>
      </c>
      <c r="F4853">
        <v>2</v>
      </c>
      <c r="G4853">
        <v>3</v>
      </c>
      <c r="H4853">
        <v>2</v>
      </c>
      <c r="I4853">
        <v>1</v>
      </c>
      <c r="J4853" t="s">
        <v>8005</v>
      </c>
      <c r="K4853">
        <v>2</v>
      </c>
      <c r="L4853">
        <v>1.8080000000000001</v>
      </c>
      <c r="M4853">
        <v>0</v>
      </c>
      <c r="N4853" t="s">
        <v>10019</v>
      </c>
      <c r="O4853" t="str">
        <f>HYPERLINK("NoConsenso\marker_997_835878.png", "Ver Imagen")</f>
        <v>Ver Imagen</v>
      </c>
      <c r="P4853" t="str">
        <f>HYPERLINK("SE\A-492\A-492__235.png", "Ver Imagen")</f>
        <v>Ver Imagen</v>
      </c>
    </row>
    <row r="4854" spans="1:16" x14ac:dyDescent="0.25">
      <c r="A4854">
        <v>4504</v>
      </c>
      <c r="B4854" t="s">
        <v>9015</v>
      </c>
      <c r="C4854">
        <v>37.284068630599997</v>
      </c>
      <c r="D4854">
        <v>-7.0353160429899999</v>
      </c>
      <c r="E4854">
        <v>1</v>
      </c>
      <c r="F4854">
        <v>2</v>
      </c>
      <c r="G4854">
        <v>3</v>
      </c>
      <c r="H4854">
        <v>2</v>
      </c>
      <c r="I4854">
        <v>1</v>
      </c>
      <c r="J4854" t="s">
        <v>8005</v>
      </c>
      <c r="K4854">
        <v>2</v>
      </c>
      <c r="L4854">
        <v>1.591</v>
      </c>
      <c r="M4854">
        <v>0</v>
      </c>
      <c r="N4854" t="s">
        <v>10019</v>
      </c>
      <c r="O4854" t="str">
        <f>HYPERLINK("NoConsenso\marker_270_835889.png", "Ver Imagen")</f>
        <v>Ver Imagen</v>
      </c>
      <c r="P4854" t="str">
        <f>HYPERLINK("SE\A-492\A-492__236.png", "Ver Imagen")</f>
        <v>Ver Imagen</v>
      </c>
    </row>
    <row r="4855" spans="1:16" x14ac:dyDescent="0.25">
      <c r="A4855">
        <v>4505</v>
      </c>
      <c r="B4855" t="s">
        <v>9017</v>
      </c>
      <c r="C4855">
        <v>37.284093046300001</v>
      </c>
      <c r="D4855">
        <v>-7.0355766860899998</v>
      </c>
      <c r="E4855">
        <v>1</v>
      </c>
      <c r="F4855">
        <v>2</v>
      </c>
      <c r="G4855">
        <v>3</v>
      </c>
      <c r="H4855">
        <v>2</v>
      </c>
      <c r="I4855">
        <v>1</v>
      </c>
      <c r="J4855" t="s">
        <v>8005</v>
      </c>
      <c r="K4855">
        <v>2</v>
      </c>
      <c r="L4855">
        <v>1.7190000000000001</v>
      </c>
      <c r="M4855">
        <v>0</v>
      </c>
      <c r="N4855" t="s">
        <v>10019</v>
      </c>
      <c r="O4855" t="str">
        <f>HYPERLINK("NoConsenso\marker_540_835904.png", "Ver Imagen")</f>
        <v>Ver Imagen</v>
      </c>
      <c r="P4855" t="str">
        <f>HYPERLINK("SE\A-492\A-492__237.png", "Ver Imagen")</f>
        <v>Ver Imagen</v>
      </c>
    </row>
    <row r="4856" spans="1:16" x14ac:dyDescent="0.25">
      <c r="A4856">
        <v>4506</v>
      </c>
      <c r="B4856" t="s">
        <v>9019</v>
      </c>
      <c r="C4856">
        <v>37.284105841600002</v>
      </c>
      <c r="D4856">
        <v>-7.0361148199299999</v>
      </c>
      <c r="E4856">
        <v>1</v>
      </c>
      <c r="F4856">
        <v>2</v>
      </c>
      <c r="G4856">
        <v>3</v>
      </c>
      <c r="H4856">
        <v>2</v>
      </c>
      <c r="I4856">
        <v>1</v>
      </c>
      <c r="J4856" t="s">
        <v>8005</v>
      </c>
      <c r="K4856">
        <v>2</v>
      </c>
      <c r="L4856">
        <v>2.069</v>
      </c>
      <c r="M4856">
        <v>0</v>
      </c>
      <c r="N4856" t="s">
        <v>10019</v>
      </c>
      <c r="O4856" t="str">
        <f>HYPERLINK("NoConsenso\marker_334_835933.png", "Ver Imagen")</f>
        <v>Ver Imagen</v>
      </c>
      <c r="P4856" t="str">
        <f>HYPERLINK("SE\A-492\A-492__239.png", "Ver Imagen")</f>
        <v>Ver Imagen</v>
      </c>
    </row>
    <row r="4857" spans="1:16" x14ac:dyDescent="0.25">
      <c r="A4857">
        <v>4507</v>
      </c>
      <c r="B4857" t="s">
        <v>9021</v>
      </c>
      <c r="C4857">
        <v>37.284104073899996</v>
      </c>
      <c r="D4857">
        <v>-7.0363499322800003</v>
      </c>
      <c r="E4857">
        <v>1</v>
      </c>
      <c r="F4857">
        <v>3</v>
      </c>
      <c r="G4857">
        <v>3</v>
      </c>
      <c r="H4857">
        <v>2</v>
      </c>
      <c r="I4857">
        <v>1</v>
      </c>
      <c r="J4857" t="s">
        <v>8005</v>
      </c>
      <c r="K4857">
        <v>2</v>
      </c>
      <c r="L4857">
        <v>2.0019999999999998</v>
      </c>
      <c r="M4857">
        <v>0</v>
      </c>
      <c r="N4857" t="s">
        <v>10019</v>
      </c>
      <c r="O4857" t="str">
        <f>HYPERLINK("NoConsenso\marker_890_835943.png", "Ver Imagen")</f>
        <v>Ver Imagen</v>
      </c>
      <c r="P4857" t="str">
        <f>HYPERLINK("SE\A-492\A-492__240.png", "Ver Imagen")</f>
        <v>Ver Imagen</v>
      </c>
    </row>
    <row r="4858" spans="1:16" x14ac:dyDescent="0.25">
      <c r="A4858">
        <v>4508</v>
      </c>
      <c r="B4858" t="s">
        <v>9023</v>
      </c>
      <c r="C4858">
        <v>37.284138338600002</v>
      </c>
      <c r="D4858">
        <v>-7.0371034395300001</v>
      </c>
      <c r="E4858">
        <v>1</v>
      </c>
      <c r="F4858">
        <v>2</v>
      </c>
      <c r="G4858">
        <v>3</v>
      </c>
      <c r="H4858">
        <v>2</v>
      </c>
      <c r="I4858">
        <v>1</v>
      </c>
      <c r="J4858" t="s">
        <v>8005</v>
      </c>
      <c r="K4858">
        <v>2</v>
      </c>
      <c r="L4858">
        <v>1.66</v>
      </c>
      <c r="M4858">
        <v>0</v>
      </c>
      <c r="N4858" t="s">
        <v>10018</v>
      </c>
      <c r="O4858" t="str">
        <f>HYPERLINK("NoConsenso\marker_391_835987.png", "Ver Imagen")</f>
        <v>Ver Imagen</v>
      </c>
      <c r="P4858" t="str">
        <f>HYPERLINK("SE\A-492\A-492__243.png", "Ver Imagen")</f>
        <v>Ver Imagen</v>
      </c>
    </row>
    <row r="4859" spans="1:16" x14ac:dyDescent="0.25">
      <c r="A4859">
        <v>4509</v>
      </c>
      <c r="B4859" t="s">
        <v>9025</v>
      </c>
      <c r="C4859">
        <v>37.284171631299998</v>
      </c>
      <c r="D4859">
        <v>-7.0373234483599996</v>
      </c>
      <c r="E4859">
        <v>1</v>
      </c>
      <c r="F4859">
        <v>2</v>
      </c>
      <c r="G4859">
        <v>3</v>
      </c>
      <c r="H4859">
        <v>2</v>
      </c>
      <c r="I4859">
        <v>1</v>
      </c>
      <c r="J4859" t="s">
        <v>8005</v>
      </c>
      <c r="K4859">
        <v>2</v>
      </c>
      <c r="L4859">
        <v>1.575</v>
      </c>
      <c r="M4859">
        <v>0</v>
      </c>
      <c r="N4859" t="s">
        <v>10019</v>
      </c>
      <c r="O4859" t="str">
        <f>HYPERLINK("NoConsenso\marker_505_836019.png", "Ver Imagen")</f>
        <v>Ver Imagen</v>
      </c>
      <c r="P4859" t="str">
        <f>HYPERLINK("SE\A-492\A-492__244.png", "Ver Imagen")</f>
        <v>Ver Imagen</v>
      </c>
    </row>
    <row r="4860" spans="1:16" x14ac:dyDescent="0.25">
      <c r="A4860">
        <v>4510</v>
      </c>
      <c r="B4860" t="s">
        <v>9027</v>
      </c>
      <c r="C4860">
        <v>37.284727959400001</v>
      </c>
      <c r="D4860">
        <v>-7.0395154636999999</v>
      </c>
      <c r="E4860">
        <v>2</v>
      </c>
      <c r="F4860">
        <v>2</v>
      </c>
      <c r="G4860">
        <v>4</v>
      </c>
      <c r="H4860">
        <v>2</v>
      </c>
      <c r="I4860">
        <v>1</v>
      </c>
      <c r="J4860" t="s">
        <v>8005</v>
      </c>
      <c r="K4860">
        <v>2</v>
      </c>
      <c r="L4860">
        <v>1.859</v>
      </c>
      <c r="M4860">
        <v>0</v>
      </c>
      <c r="N4860" t="s">
        <v>10019</v>
      </c>
      <c r="O4860" t="str">
        <f>HYPERLINK("NoConsenso\marker_444_836139.png", "Ver Imagen")</f>
        <v>Ver Imagen</v>
      </c>
      <c r="P4860" t="str">
        <f>HYPERLINK("SE\A-492\A-492__253.png", "Ver Imagen")</f>
        <v>Ver Imagen</v>
      </c>
    </row>
    <row r="4861" spans="1:16" x14ac:dyDescent="0.25">
      <c r="A4861">
        <v>4511</v>
      </c>
      <c r="B4861" t="s">
        <v>9029</v>
      </c>
      <c r="C4861">
        <v>37.285366423699998</v>
      </c>
      <c r="D4861">
        <v>-7.0407536137899998</v>
      </c>
      <c r="E4861">
        <v>1</v>
      </c>
      <c r="F4861">
        <v>2</v>
      </c>
      <c r="G4861">
        <v>3</v>
      </c>
      <c r="H4861">
        <v>3</v>
      </c>
      <c r="I4861">
        <v>2</v>
      </c>
      <c r="J4861" t="s">
        <v>8005</v>
      </c>
      <c r="K4861">
        <v>2</v>
      </c>
      <c r="L4861">
        <v>2.1459999999999999</v>
      </c>
      <c r="M4861">
        <v>0</v>
      </c>
      <c r="N4861" t="s">
        <v>10019</v>
      </c>
      <c r="O4861" t="str">
        <f>HYPERLINK("NoConsenso\marker_504_836573.png", "Ver Imagen")</f>
        <v>Ver Imagen</v>
      </c>
      <c r="P4861" t="str">
        <f>HYPERLINK("SE\A-492\A-492__259.png", "Ver Imagen")</f>
        <v>Ver Imagen</v>
      </c>
    </row>
    <row r="4862" spans="1:16" x14ac:dyDescent="0.25">
      <c r="A4862">
        <v>4512</v>
      </c>
      <c r="B4862" t="s">
        <v>9031</v>
      </c>
      <c r="C4862">
        <v>37.286368406199998</v>
      </c>
      <c r="D4862">
        <v>-7.0416489169799998</v>
      </c>
      <c r="E4862">
        <v>1</v>
      </c>
      <c r="F4862">
        <v>2</v>
      </c>
      <c r="G4862">
        <v>3</v>
      </c>
      <c r="H4862">
        <v>2</v>
      </c>
      <c r="I4862">
        <v>2</v>
      </c>
      <c r="J4862" t="s">
        <v>8005</v>
      </c>
      <c r="K4862">
        <v>2</v>
      </c>
      <c r="L4862">
        <v>2.15</v>
      </c>
      <c r="M4862">
        <v>0</v>
      </c>
      <c r="N4862" t="s">
        <v>10019</v>
      </c>
      <c r="O4862" t="str">
        <f>HYPERLINK("NoConsenso\marker_776_836690.png", "Ver Imagen")</f>
        <v>Ver Imagen</v>
      </c>
      <c r="P4862" t="str">
        <f>HYPERLINK("SE\A-492\A-492__265.png", "Ver Imagen")</f>
        <v>Ver Imagen</v>
      </c>
    </row>
    <row r="4863" spans="1:16" x14ac:dyDescent="0.25">
      <c r="A4863">
        <v>4513</v>
      </c>
      <c r="B4863" t="s">
        <v>9033</v>
      </c>
      <c r="C4863">
        <v>37.288981164399999</v>
      </c>
      <c r="D4863">
        <v>-7.0434193008200001</v>
      </c>
      <c r="E4863">
        <v>1</v>
      </c>
      <c r="F4863">
        <v>3</v>
      </c>
      <c r="G4863">
        <v>3</v>
      </c>
      <c r="H4863">
        <v>2</v>
      </c>
      <c r="I4863">
        <v>1</v>
      </c>
      <c r="J4863" t="s">
        <v>8005</v>
      </c>
      <c r="K4863">
        <v>2</v>
      </c>
      <c r="L4863">
        <v>2.141</v>
      </c>
      <c r="M4863">
        <v>0</v>
      </c>
      <c r="N4863" t="s">
        <v>10019</v>
      </c>
      <c r="O4863" t="str">
        <f>HYPERLINK("NoConsenso\marker_269_836914.png", "Ver Imagen")</f>
        <v>Ver Imagen</v>
      </c>
      <c r="P4863" t="str">
        <f>HYPERLINK("SE\A-492\A-492__280.png", "Ver Imagen")</f>
        <v>Ver Imagen</v>
      </c>
    </row>
    <row r="4864" spans="1:16" x14ac:dyDescent="0.25">
      <c r="A4864">
        <v>4514</v>
      </c>
      <c r="B4864" t="s">
        <v>9035</v>
      </c>
      <c r="C4864">
        <v>37.289492130299998</v>
      </c>
      <c r="D4864">
        <v>-7.0442161608699996</v>
      </c>
      <c r="E4864">
        <v>1</v>
      </c>
      <c r="F4864">
        <v>2</v>
      </c>
      <c r="G4864">
        <v>3</v>
      </c>
      <c r="H4864">
        <v>2</v>
      </c>
      <c r="I4864">
        <v>1</v>
      </c>
      <c r="J4864" t="s">
        <v>8005</v>
      </c>
      <c r="K4864">
        <v>2</v>
      </c>
      <c r="L4864">
        <v>2.085</v>
      </c>
      <c r="M4864">
        <v>0</v>
      </c>
      <c r="N4864" t="s">
        <v>10019</v>
      </c>
      <c r="O4864" t="str">
        <f>HYPERLINK("NoConsenso\marker_294_837348.png", "Ver Imagen")</f>
        <v>Ver Imagen</v>
      </c>
      <c r="P4864" t="str">
        <f>HYPERLINK("SE\A-492\A-492__284.png", "Ver Imagen")</f>
        <v>Ver Imagen</v>
      </c>
    </row>
    <row r="4865" spans="1:16" x14ac:dyDescent="0.25">
      <c r="A4865">
        <v>4515</v>
      </c>
      <c r="B4865" t="s">
        <v>9037</v>
      </c>
      <c r="C4865">
        <v>37.289646183099997</v>
      </c>
      <c r="D4865">
        <v>-7.0444313156299998</v>
      </c>
      <c r="E4865">
        <v>1</v>
      </c>
      <c r="F4865">
        <v>1</v>
      </c>
      <c r="G4865">
        <v>3</v>
      </c>
      <c r="H4865">
        <v>2</v>
      </c>
      <c r="I4865">
        <v>2</v>
      </c>
      <c r="J4865" t="s">
        <v>8005</v>
      </c>
      <c r="K4865">
        <v>2</v>
      </c>
      <c r="L4865">
        <v>1.9330000000000001</v>
      </c>
      <c r="M4865">
        <v>0</v>
      </c>
      <c r="N4865" t="s">
        <v>10019</v>
      </c>
      <c r="O4865" t="str">
        <f>HYPERLINK("NoConsenso\marker_437_837359.png", "Ver Imagen")</f>
        <v>Ver Imagen</v>
      </c>
      <c r="P4865" t="str">
        <f>HYPERLINK("SE\A-492\A-492__285.png", "Ver Imagen")</f>
        <v>Ver Imagen</v>
      </c>
    </row>
    <row r="4866" spans="1:16" x14ac:dyDescent="0.25">
      <c r="A4866">
        <v>4516</v>
      </c>
      <c r="B4866" t="s">
        <v>9039</v>
      </c>
      <c r="C4866">
        <v>37.290426994000001</v>
      </c>
      <c r="D4866">
        <v>-7.0451675554099999</v>
      </c>
      <c r="E4866">
        <v>1</v>
      </c>
      <c r="F4866">
        <v>2</v>
      </c>
      <c r="G4866">
        <v>3</v>
      </c>
      <c r="H4866">
        <v>3</v>
      </c>
      <c r="I4866">
        <v>2</v>
      </c>
      <c r="J4866" t="s">
        <v>8005</v>
      </c>
      <c r="K4866">
        <v>2</v>
      </c>
      <c r="L4866">
        <v>2.081</v>
      </c>
      <c r="M4866">
        <v>0</v>
      </c>
      <c r="N4866" t="s">
        <v>10019</v>
      </c>
      <c r="O4866" t="str">
        <f>HYPERLINK("NoConsenso\marker_557_837418.png", "Ver Imagen")</f>
        <v>Ver Imagen</v>
      </c>
      <c r="P4866" t="str">
        <f>HYPERLINK("SE\A-492\A-492__290.png", "Ver Imagen")</f>
        <v>Ver Imagen</v>
      </c>
    </row>
    <row r="4867" spans="1:16" x14ac:dyDescent="0.25">
      <c r="A4867">
        <v>4517</v>
      </c>
      <c r="B4867" t="s">
        <v>9041</v>
      </c>
      <c r="C4867">
        <v>37.290809697500002</v>
      </c>
      <c r="D4867">
        <v>-7.0453318880799998</v>
      </c>
      <c r="E4867">
        <v>1</v>
      </c>
      <c r="F4867">
        <v>2</v>
      </c>
      <c r="G4867">
        <v>3</v>
      </c>
      <c r="H4867">
        <v>2</v>
      </c>
      <c r="I4867">
        <v>1</v>
      </c>
      <c r="J4867" t="s">
        <v>8005</v>
      </c>
      <c r="K4867">
        <v>2</v>
      </c>
      <c r="L4867">
        <v>2.1619999999999999</v>
      </c>
      <c r="M4867">
        <v>0</v>
      </c>
      <c r="N4867" t="s">
        <v>10019</v>
      </c>
      <c r="O4867" t="str">
        <f>HYPERLINK("NoConsenso\marker_199_837446.png", "Ver Imagen")</f>
        <v>Ver Imagen</v>
      </c>
      <c r="P4867" t="str">
        <f>HYPERLINK("SE\A-492\A-492__292.png", "Ver Imagen")</f>
        <v>Ver Imagen</v>
      </c>
    </row>
    <row r="4868" spans="1:16" x14ac:dyDescent="0.25">
      <c r="A4868">
        <v>4518</v>
      </c>
      <c r="B4868" t="s">
        <v>9043</v>
      </c>
      <c r="C4868">
        <v>37.290999149100003</v>
      </c>
      <c r="D4868">
        <v>-7.0453800424699997</v>
      </c>
      <c r="E4868">
        <v>1</v>
      </c>
      <c r="F4868">
        <v>2</v>
      </c>
      <c r="G4868">
        <v>3</v>
      </c>
      <c r="H4868">
        <v>2</v>
      </c>
      <c r="I4868">
        <v>1</v>
      </c>
      <c r="J4868" t="s">
        <v>8005</v>
      </c>
      <c r="K4868">
        <v>2</v>
      </c>
      <c r="L4868">
        <v>1.6679999999999999</v>
      </c>
      <c r="M4868">
        <v>0</v>
      </c>
      <c r="N4868" t="s">
        <v>10017</v>
      </c>
      <c r="O4868" t="str">
        <f>HYPERLINK("NoConsenso\marker_862_837458.png", "Ver Imagen")</f>
        <v>Ver Imagen</v>
      </c>
      <c r="P4868" t="str">
        <f>HYPERLINK("SE\A-492\A-492__293.png", "Ver Imagen")</f>
        <v>Ver Imagen</v>
      </c>
    </row>
    <row r="4869" spans="1:16" x14ac:dyDescent="0.25">
      <c r="A4869">
        <v>4519</v>
      </c>
      <c r="B4869" t="s">
        <v>9045</v>
      </c>
      <c r="C4869">
        <v>37.291393483</v>
      </c>
      <c r="D4869">
        <v>-7.0454451147099997</v>
      </c>
      <c r="E4869">
        <v>1</v>
      </c>
      <c r="F4869">
        <v>2</v>
      </c>
      <c r="G4869">
        <v>3</v>
      </c>
      <c r="H4869">
        <v>3</v>
      </c>
      <c r="I4869">
        <v>2</v>
      </c>
      <c r="J4869" t="s">
        <v>8052</v>
      </c>
      <c r="K4869">
        <v>3</v>
      </c>
      <c r="L4869">
        <v>3.2120000000000002</v>
      </c>
      <c r="M4869">
        <v>0</v>
      </c>
      <c r="N4869" t="s">
        <v>10019</v>
      </c>
      <c r="O4869" t="str">
        <f>HYPERLINK("NoConsenso\marker_692_837482.png", "Ver Imagen")</f>
        <v>Ver Imagen</v>
      </c>
      <c r="P4869" t="str">
        <f>HYPERLINK("SE\A-492\A-492__295.png", "Ver Imagen")</f>
        <v>Ver Imagen</v>
      </c>
    </row>
    <row r="4870" spans="1:16" x14ac:dyDescent="0.25">
      <c r="A4870">
        <v>4520</v>
      </c>
      <c r="B4870" t="s">
        <v>9047</v>
      </c>
      <c r="C4870">
        <v>37.291583162199998</v>
      </c>
      <c r="D4870">
        <v>-7.0454714113000003</v>
      </c>
      <c r="E4870">
        <v>1</v>
      </c>
      <c r="F4870">
        <v>3</v>
      </c>
      <c r="G4870">
        <v>2</v>
      </c>
      <c r="H4870">
        <v>2</v>
      </c>
      <c r="I4870">
        <v>1</v>
      </c>
      <c r="J4870" t="s">
        <v>8005</v>
      </c>
      <c r="K4870">
        <v>2</v>
      </c>
      <c r="L4870">
        <v>2.2799999999999998</v>
      </c>
      <c r="M4870">
        <v>0</v>
      </c>
      <c r="N4870" t="s">
        <v>10017</v>
      </c>
      <c r="O4870" t="str">
        <f>HYPERLINK("NoConsenso\marker_918_837492.png", "Ver Imagen")</f>
        <v>Ver Imagen</v>
      </c>
      <c r="P4870" t="str">
        <f>HYPERLINK("SE\A-492\A-492__296.png", "Ver Imagen")</f>
        <v>Ver Imagen</v>
      </c>
    </row>
    <row r="4871" spans="1:16" x14ac:dyDescent="0.25">
      <c r="A4871">
        <v>4521</v>
      </c>
      <c r="B4871" t="s">
        <v>9049</v>
      </c>
      <c r="C4871">
        <v>37.2917957688</v>
      </c>
      <c r="D4871">
        <v>-7.0455052102</v>
      </c>
      <c r="E4871">
        <v>1</v>
      </c>
      <c r="F4871">
        <v>3</v>
      </c>
      <c r="G4871">
        <v>3</v>
      </c>
      <c r="H4871">
        <v>2</v>
      </c>
      <c r="I4871">
        <v>2</v>
      </c>
      <c r="J4871" t="s">
        <v>8005</v>
      </c>
      <c r="K4871">
        <v>2</v>
      </c>
      <c r="L4871">
        <v>1.9450000000000001</v>
      </c>
      <c r="M4871">
        <v>0</v>
      </c>
      <c r="N4871" t="s">
        <v>10019</v>
      </c>
      <c r="O4871" t="str">
        <f>HYPERLINK("NoConsenso\marker_874_837517.png", "Ver Imagen")</f>
        <v>Ver Imagen</v>
      </c>
      <c r="P4871" t="str">
        <f>HYPERLINK("SE\A-492\A-492__297.png", "Ver Imagen")</f>
        <v>Ver Imagen</v>
      </c>
    </row>
    <row r="4872" spans="1:16" x14ac:dyDescent="0.25">
      <c r="A4872">
        <v>4522</v>
      </c>
      <c r="B4872" t="s">
        <v>9051</v>
      </c>
      <c r="C4872">
        <v>37.292020571199998</v>
      </c>
      <c r="D4872">
        <v>-7.0455505433700001</v>
      </c>
      <c r="E4872">
        <v>1</v>
      </c>
      <c r="F4872">
        <v>2</v>
      </c>
      <c r="G4872">
        <v>3</v>
      </c>
      <c r="H4872">
        <v>2</v>
      </c>
      <c r="I4872">
        <v>1</v>
      </c>
      <c r="J4872" t="s">
        <v>8005</v>
      </c>
      <c r="K4872">
        <v>2</v>
      </c>
      <c r="L4872">
        <v>1.8640000000000001</v>
      </c>
      <c r="M4872">
        <v>0</v>
      </c>
      <c r="N4872" t="s">
        <v>10019</v>
      </c>
      <c r="O4872" t="str">
        <f>HYPERLINK("NoConsenso\marker_131_837526.png", "Ver Imagen")</f>
        <v>Ver Imagen</v>
      </c>
      <c r="P4872" t="str">
        <f>HYPERLINK("SE\A-492\A-492__298.png", "Ver Imagen")</f>
        <v>Ver Imagen</v>
      </c>
    </row>
    <row r="4873" spans="1:16" x14ac:dyDescent="0.25">
      <c r="A4873">
        <v>4523</v>
      </c>
      <c r="B4873" t="s">
        <v>9053</v>
      </c>
      <c r="C4873">
        <v>37.292229388700001</v>
      </c>
      <c r="D4873">
        <v>-7.0456065693100003</v>
      </c>
      <c r="E4873">
        <v>1</v>
      </c>
      <c r="F4873">
        <v>2</v>
      </c>
      <c r="G4873">
        <v>3</v>
      </c>
      <c r="H4873">
        <v>2</v>
      </c>
      <c r="I4873">
        <v>1</v>
      </c>
      <c r="J4873" t="s">
        <v>8005</v>
      </c>
      <c r="K4873">
        <v>2</v>
      </c>
      <c r="L4873">
        <v>2.218</v>
      </c>
      <c r="M4873">
        <v>0</v>
      </c>
      <c r="N4873" t="s">
        <v>10019</v>
      </c>
      <c r="O4873" t="str">
        <f>HYPERLINK("NoConsenso\marker_755_837542.png", "Ver Imagen")</f>
        <v>Ver Imagen</v>
      </c>
      <c r="P4873" t="str">
        <f>HYPERLINK("SE\A-492\A-492__299.png", "Ver Imagen")</f>
        <v>Ver Imagen</v>
      </c>
    </row>
    <row r="4874" spans="1:16" x14ac:dyDescent="0.25">
      <c r="A4874">
        <v>4524</v>
      </c>
      <c r="B4874" t="s">
        <v>9055</v>
      </c>
      <c r="C4874">
        <v>37.292414231800002</v>
      </c>
      <c r="D4874">
        <v>-7.04567380672</v>
      </c>
      <c r="E4874">
        <v>2</v>
      </c>
      <c r="F4874">
        <v>2</v>
      </c>
      <c r="G4874">
        <v>4</v>
      </c>
      <c r="H4874">
        <v>2</v>
      </c>
      <c r="I4874">
        <v>2</v>
      </c>
      <c r="J4874" t="s">
        <v>8005</v>
      </c>
      <c r="K4874">
        <v>2</v>
      </c>
      <c r="L4874">
        <v>1.887</v>
      </c>
      <c r="M4874">
        <v>0</v>
      </c>
      <c r="N4874" t="s">
        <v>10019</v>
      </c>
      <c r="O4874" t="str">
        <f>HYPERLINK("NoConsenso\marker_223_837551.png", "Ver Imagen")</f>
        <v>Ver Imagen</v>
      </c>
      <c r="P4874" t="str">
        <f>HYPERLINK("SE\A-492\A-492__300.png", "Ver Imagen")</f>
        <v>Ver Imagen</v>
      </c>
    </row>
    <row r="4875" spans="1:16" x14ac:dyDescent="0.25">
      <c r="A4875">
        <v>4525</v>
      </c>
      <c r="B4875" t="s">
        <v>9057</v>
      </c>
      <c r="C4875">
        <v>37.2927437815</v>
      </c>
      <c r="D4875">
        <v>-7.0458486278799999</v>
      </c>
      <c r="E4875">
        <v>1</v>
      </c>
      <c r="F4875">
        <v>2</v>
      </c>
      <c r="G4875">
        <v>3</v>
      </c>
      <c r="H4875">
        <v>2</v>
      </c>
      <c r="I4875">
        <v>1</v>
      </c>
      <c r="J4875" t="s">
        <v>8005</v>
      </c>
      <c r="K4875">
        <v>2</v>
      </c>
      <c r="L4875">
        <v>2.34</v>
      </c>
      <c r="M4875">
        <v>0</v>
      </c>
      <c r="N4875" t="s">
        <v>10019</v>
      </c>
      <c r="O4875" t="str">
        <f>HYPERLINK("NoConsenso\marker_611_837578.png", "Ver Imagen")</f>
        <v>Ver Imagen</v>
      </c>
      <c r="P4875" t="str">
        <f>HYPERLINK("SE\A-492\A-492__302.png", "Ver Imagen")</f>
        <v>Ver Imagen</v>
      </c>
    </row>
    <row r="4876" spans="1:16" x14ac:dyDescent="0.25">
      <c r="A4876">
        <v>4526</v>
      </c>
      <c r="B4876" t="s">
        <v>9059</v>
      </c>
      <c r="C4876">
        <v>37.292938444900003</v>
      </c>
      <c r="D4876">
        <v>-7.0459918219400004</v>
      </c>
      <c r="E4876">
        <v>1</v>
      </c>
      <c r="F4876">
        <v>3</v>
      </c>
      <c r="G4876">
        <v>3</v>
      </c>
      <c r="H4876">
        <v>2</v>
      </c>
      <c r="I4876">
        <v>1</v>
      </c>
      <c r="J4876" t="s">
        <v>8005</v>
      </c>
      <c r="K4876">
        <v>2</v>
      </c>
      <c r="L4876">
        <v>2.1269999999999998</v>
      </c>
      <c r="M4876">
        <v>0</v>
      </c>
      <c r="N4876" t="s">
        <v>10019</v>
      </c>
      <c r="O4876" t="str">
        <f>HYPERLINK("NoConsenso\marker_825_837589.png", "Ver Imagen")</f>
        <v>Ver Imagen</v>
      </c>
      <c r="P4876" t="str">
        <f>HYPERLINK("SE\A-492\A-492__303.png", "Ver Imagen")</f>
        <v>Ver Imagen</v>
      </c>
    </row>
    <row r="4877" spans="1:16" x14ac:dyDescent="0.25">
      <c r="A4877">
        <v>4528</v>
      </c>
      <c r="B4877" t="s">
        <v>9063</v>
      </c>
      <c r="C4877">
        <v>37.295204323199997</v>
      </c>
      <c r="D4877">
        <v>-7.0488766698500003</v>
      </c>
      <c r="E4877">
        <v>2</v>
      </c>
      <c r="F4877">
        <v>2</v>
      </c>
      <c r="G4877">
        <v>4</v>
      </c>
      <c r="H4877">
        <v>3</v>
      </c>
      <c r="I4877">
        <v>2</v>
      </c>
      <c r="J4877" t="s">
        <v>8005</v>
      </c>
      <c r="K4877">
        <v>2</v>
      </c>
      <c r="L4877">
        <v>1.857</v>
      </c>
      <c r="M4877">
        <v>0</v>
      </c>
      <c r="N4877" t="s">
        <v>10019</v>
      </c>
      <c r="O4877" t="str">
        <f>HYPERLINK("NoConsenso\marker_370_837937.png", "Ver Imagen")</f>
        <v>Ver Imagen</v>
      </c>
      <c r="P4877" t="str">
        <f>HYPERLINK("SE\A-492\A-492__319.png", "Ver Imagen")</f>
        <v>Ver Imagen</v>
      </c>
    </row>
    <row r="4878" spans="1:16" x14ac:dyDescent="0.25">
      <c r="A4878">
        <v>4529</v>
      </c>
      <c r="B4878" t="s">
        <v>9065</v>
      </c>
      <c r="C4878">
        <v>37.2965488221</v>
      </c>
      <c r="D4878">
        <v>-7.0504573180700003</v>
      </c>
      <c r="E4878">
        <v>1</v>
      </c>
      <c r="F4878">
        <v>2</v>
      </c>
      <c r="G4878">
        <v>3</v>
      </c>
      <c r="H4878">
        <v>2</v>
      </c>
      <c r="I4878">
        <v>2</v>
      </c>
      <c r="J4878" t="s">
        <v>8005</v>
      </c>
      <c r="K4878">
        <v>2</v>
      </c>
      <c r="L4878">
        <v>1.8859999999999999</v>
      </c>
      <c r="M4878">
        <v>0</v>
      </c>
      <c r="N4878" t="s">
        <v>10019</v>
      </c>
      <c r="O4878" t="str">
        <f>HYPERLINK("NoConsenso\marker_253_838056.png", "Ver Imagen")</f>
        <v>Ver Imagen</v>
      </c>
      <c r="P4878" t="str">
        <f>HYPERLINK("SE\A-492\A-492__328.png", "Ver Imagen")</f>
        <v>Ver Imagen</v>
      </c>
    </row>
    <row r="4879" spans="1:16" x14ac:dyDescent="0.25">
      <c r="A4879">
        <v>4530</v>
      </c>
      <c r="B4879" t="s">
        <v>9067</v>
      </c>
      <c r="C4879">
        <v>37.2972310384</v>
      </c>
      <c r="D4879">
        <v>-7.0519772061300001</v>
      </c>
      <c r="E4879">
        <v>1</v>
      </c>
      <c r="F4879">
        <v>3</v>
      </c>
      <c r="G4879">
        <v>3</v>
      </c>
      <c r="H4879">
        <v>2</v>
      </c>
      <c r="I4879">
        <v>1</v>
      </c>
      <c r="J4879" t="s">
        <v>8005</v>
      </c>
      <c r="K4879">
        <v>2</v>
      </c>
      <c r="L4879">
        <v>1.871</v>
      </c>
      <c r="M4879">
        <v>0</v>
      </c>
      <c r="N4879" t="s">
        <v>10019</v>
      </c>
      <c r="O4879" t="str">
        <f>HYPERLINK("NoConsenso\marker_910_838148.png", "Ver Imagen")</f>
        <v>Ver Imagen</v>
      </c>
      <c r="P4879" t="str">
        <f>HYPERLINK("SE\A-492\A-492__335.png", "Ver Imagen")</f>
        <v>Ver Imagen</v>
      </c>
    </row>
    <row r="4880" spans="1:16" x14ac:dyDescent="0.25">
      <c r="A4880">
        <v>4531</v>
      </c>
      <c r="B4880" t="s">
        <v>9069</v>
      </c>
      <c r="C4880">
        <v>37.297484930000003</v>
      </c>
      <c r="D4880">
        <v>-7.0527162171700004</v>
      </c>
      <c r="E4880">
        <v>1</v>
      </c>
      <c r="F4880">
        <v>1</v>
      </c>
      <c r="G4880">
        <v>3</v>
      </c>
      <c r="H4880">
        <v>2</v>
      </c>
      <c r="I4880">
        <v>1</v>
      </c>
      <c r="J4880" t="s">
        <v>8005</v>
      </c>
      <c r="K4880">
        <v>1</v>
      </c>
      <c r="L4880">
        <v>1</v>
      </c>
      <c r="M4880">
        <v>0</v>
      </c>
      <c r="N4880" t="s">
        <v>10019</v>
      </c>
      <c r="O4880" t="str">
        <f>HYPERLINK("NoConsenso\marker_640_838181.png", "Ver Imagen")</f>
        <v>Ver Imagen</v>
      </c>
      <c r="P4880" t="str">
        <f>HYPERLINK("SE\A-492\A-492__338.png", "Ver Imagen")</f>
        <v>Ver Imagen</v>
      </c>
    </row>
    <row r="4881" spans="1:16" x14ac:dyDescent="0.25">
      <c r="A4881">
        <v>4532</v>
      </c>
      <c r="B4881" t="s">
        <v>9071</v>
      </c>
      <c r="C4881">
        <v>37.298109839200002</v>
      </c>
      <c r="D4881">
        <v>-7.0536696979700002</v>
      </c>
      <c r="E4881">
        <v>1</v>
      </c>
      <c r="F4881">
        <v>3</v>
      </c>
      <c r="G4881">
        <v>3</v>
      </c>
      <c r="H4881">
        <v>2</v>
      </c>
      <c r="I4881">
        <v>1</v>
      </c>
      <c r="J4881" t="s">
        <v>8005</v>
      </c>
      <c r="K4881">
        <v>2</v>
      </c>
      <c r="L4881">
        <v>2.1030000000000002</v>
      </c>
      <c r="M4881">
        <v>0</v>
      </c>
      <c r="N4881" t="s">
        <v>10017</v>
      </c>
      <c r="O4881" t="str">
        <f>HYPERLINK("NoConsenso\marker_872_838257.png", "Ver Imagen")</f>
        <v>Ver Imagen</v>
      </c>
      <c r="P4881" t="str">
        <f>HYPERLINK("SE\A-492\A-492__343.png", "Ver Imagen")</f>
        <v>Ver Imagen</v>
      </c>
    </row>
    <row r="4882" spans="1:16" x14ac:dyDescent="0.25">
      <c r="A4882">
        <v>4533</v>
      </c>
      <c r="B4882" t="s">
        <v>9073</v>
      </c>
      <c r="C4882">
        <v>37.298287941200002</v>
      </c>
      <c r="D4882">
        <v>-7.05382536757</v>
      </c>
      <c r="E4882">
        <v>1</v>
      </c>
      <c r="F4882">
        <v>2</v>
      </c>
      <c r="G4882">
        <v>3</v>
      </c>
      <c r="H4882">
        <v>2</v>
      </c>
      <c r="I4882">
        <v>1</v>
      </c>
      <c r="J4882" t="s">
        <v>8005</v>
      </c>
      <c r="K4882">
        <v>2</v>
      </c>
      <c r="L4882">
        <v>2.2090000000000001</v>
      </c>
      <c r="M4882">
        <v>0</v>
      </c>
      <c r="N4882" t="s">
        <v>10019</v>
      </c>
      <c r="O4882" t="str">
        <f>HYPERLINK("NoConsenso\marker_688_838267.png", "Ver Imagen")</f>
        <v>Ver Imagen</v>
      </c>
      <c r="P4882" t="str">
        <f>HYPERLINK("SE\A-492\A-492__344.png", "Ver Imagen")</f>
        <v>Ver Imagen</v>
      </c>
    </row>
    <row r="4883" spans="1:16" x14ac:dyDescent="0.25">
      <c r="A4883">
        <v>4534</v>
      </c>
      <c r="B4883" t="s">
        <v>9075</v>
      </c>
      <c r="C4883">
        <v>37.298629755599997</v>
      </c>
      <c r="D4883">
        <v>-7.0540672950900003</v>
      </c>
      <c r="E4883">
        <v>1</v>
      </c>
      <c r="F4883">
        <v>2</v>
      </c>
      <c r="G4883">
        <v>3</v>
      </c>
      <c r="H4883">
        <v>2</v>
      </c>
      <c r="I4883">
        <v>1</v>
      </c>
      <c r="J4883" t="s">
        <v>8005</v>
      </c>
      <c r="K4883">
        <v>2</v>
      </c>
      <c r="L4883">
        <v>1.9630000000000001</v>
      </c>
      <c r="M4883">
        <v>0</v>
      </c>
      <c r="N4883" t="s">
        <v>10017</v>
      </c>
      <c r="O4883" t="str">
        <f>HYPERLINK("NoConsenso\marker_745_838313.png", "Ver Imagen")</f>
        <v>Ver Imagen</v>
      </c>
      <c r="P4883" t="str">
        <f>HYPERLINK("SE\A-492\A-492__346.png", "Ver Imagen")</f>
        <v>Ver Imagen</v>
      </c>
    </row>
    <row r="4884" spans="1:16" x14ac:dyDescent="0.25">
      <c r="A4884">
        <v>4535</v>
      </c>
      <c r="B4884" t="s">
        <v>9077</v>
      </c>
      <c r="C4884">
        <v>37.299153603599997</v>
      </c>
      <c r="D4884">
        <v>-7.0543928903199999</v>
      </c>
      <c r="E4884">
        <v>1</v>
      </c>
      <c r="F4884">
        <v>2</v>
      </c>
      <c r="G4884">
        <v>3</v>
      </c>
      <c r="H4884">
        <v>2</v>
      </c>
      <c r="I4884">
        <v>1</v>
      </c>
      <c r="J4884" t="s">
        <v>8005</v>
      </c>
      <c r="K4884">
        <v>2</v>
      </c>
      <c r="L4884">
        <v>2.0840000000000001</v>
      </c>
      <c r="M4884">
        <v>0</v>
      </c>
      <c r="N4884" t="s">
        <v>10019</v>
      </c>
      <c r="O4884" t="str">
        <f>HYPERLINK("NoConsenso\marker_571_838351.png", "Ver Imagen")</f>
        <v>Ver Imagen</v>
      </c>
      <c r="P4884" t="str">
        <f>HYPERLINK("SE\A-492\A-492__349.png", "Ver Imagen")</f>
        <v>Ver Imagen</v>
      </c>
    </row>
    <row r="4885" spans="1:16" x14ac:dyDescent="0.25">
      <c r="A4885">
        <v>4536</v>
      </c>
      <c r="B4885" t="s">
        <v>9079</v>
      </c>
      <c r="C4885">
        <v>37.306923176200002</v>
      </c>
      <c r="D4885">
        <v>-7.0568669317900001</v>
      </c>
      <c r="E4885">
        <v>1</v>
      </c>
      <c r="F4885">
        <v>2</v>
      </c>
      <c r="G4885">
        <v>3</v>
      </c>
      <c r="H4885">
        <v>1</v>
      </c>
      <c r="I4885">
        <v>1</v>
      </c>
      <c r="J4885" t="s">
        <v>8005</v>
      </c>
      <c r="K4885">
        <v>1</v>
      </c>
      <c r="L4885">
        <v>1.02</v>
      </c>
      <c r="M4885">
        <v>0</v>
      </c>
      <c r="N4885" t="s">
        <v>10019</v>
      </c>
      <c r="O4885" t="str">
        <f>HYPERLINK("NoConsenso\marker_782_839028.png", "Ver Imagen")</f>
        <v>Ver Imagen</v>
      </c>
      <c r="P4885" t="str">
        <f>HYPERLINK("SE\A-492\A-492__390.png", "Ver Imagen")</f>
        <v>Ver Imagen</v>
      </c>
    </row>
    <row r="4886" spans="1:16" x14ac:dyDescent="0.25">
      <c r="A4886">
        <v>4537</v>
      </c>
      <c r="B4886" t="s">
        <v>9081</v>
      </c>
      <c r="C4886">
        <v>37.310446097400003</v>
      </c>
      <c r="D4886">
        <v>-7.05861310468</v>
      </c>
      <c r="E4886">
        <v>1</v>
      </c>
      <c r="F4886">
        <v>2</v>
      </c>
      <c r="G4886">
        <v>3</v>
      </c>
      <c r="H4886">
        <v>1</v>
      </c>
      <c r="I4886">
        <v>1</v>
      </c>
      <c r="J4886" t="s">
        <v>8005</v>
      </c>
      <c r="K4886">
        <v>1</v>
      </c>
      <c r="L4886">
        <v>1.157</v>
      </c>
      <c r="M4886">
        <v>0</v>
      </c>
      <c r="N4886" t="s">
        <v>10019</v>
      </c>
      <c r="O4886" t="str">
        <f>HYPERLINK("NoConsenso\marker_316_839280.png", "Ver Imagen")</f>
        <v>Ver Imagen</v>
      </c>
      <c r="P4886" t="str">
        <f>HYPERLINK("SE\A-492\A-492__409.png", "Ver Imagen")</f>
        <v>Ver Imagen</v>
      </c>
    </row>
    <row r="4887" spans="1:16" x14ac:dyDescent="0.25">
      <c r="A4887">
        <v>4540</v>
      </c>
      <c r="B4887" t="s">
        <v>9087</v>
      </c>
      <c r="C4887">
        <v>37.313604726800001</v>
      </c>
      <c r="D4887">
        <v>-7.0628514658999997</v>
      </c>
      <c r="E4887">
        <v>2</v>
      </c>
      <c r="F4887">
        <v>4</v>
      </c>
      <c r="G4887">
        <v>3</v>
      </c>
      <c r="H4887">
        <v>3</v>
      </c>
      <c r="I4887">
        <v>2</v>
      </c>
      <c r="J4887" t="s">
        <v>8005</v>
      </c>
      <c r="K4887">
        <v>3</v>
      </c>
      <c r="L4887">
        <v>2.956</v>
      </c>
      <c r="M4887">
        <v>0</v>
      </c>
      <c r="N4887" t="s">
        <v>10019</v>
      </c>
      <c r="O4887" t="str">
        <f>HYPERLINK("NoConsenso\marker_803_839550.png", "Ver Imagen")</f>
        <v>Ver Imagen</v>
      </c>
      <c r="P4887" t="str">
        <f>HYPERLINK("SE\A-492\A-492__432.png", "Ver Imagen")</f>
        <v>Ver Imagen</v>
      </c>
    </row>
    <row r="4888" spans="1:16" x14ac:dyDescent="0.25">
      <c r="A4888">
        <v>4541</v>
      </c>
      <c r="B4888" t="s">
        <v>9089</v>
      </c>
      <c r="C4888">
        <v>37.313717486400002</v>
      </c>
      <c r="D4888">
        <v>-7.0630632784499996</v>
      </c>
      <c r="E4888">
        <v>2</v>
      </c>
      <c r="F4888">
        <v>2</v>
      </c>
      <c r="G4888">
        <v>4</v>
      </c>
      <c r="H4888">
        <v>2</v>
      </c>
      <c r="I4888">
        <v>1</v>
      </c>
      <c r="J4888" t="s">
        <v>8005</v>
      </c>
      <c r="K4888">
        <v>2</v>
      </c>
      <c r="L4888">
        <v>1.88</v>
      </c>
      <c r="M4888">
        <v>0</v>
      </c>
      <c r="N4888" t="s">
        <v>10019</v>
      </c>
      <c r="O4888" t="str">
        <f>HYPERLINK("NoConsenso\marker_549_839564.png", "Ver Imagen")</f>
        <v>Ver Imagen</v>
      </c>
      <c r="P4888" t="str">
        <f>HYPERLINK("SE\A-492\A-492__433.png", "Ver Imagen")</f>
        <v>Ver Imagen</v>
      </c>
    </row>
    <row r="4889" spans="1:16" x14ac:dyDescent="0.25">
      <c r="A4889">
        <v>4542</v>
      </c>
      <c r="B4889" t="s">
        <v>9091</v>
      </c>
      <c r="C4889">
        <v>37.315585241500003</v>
      </c>
      <c r="D4889">
        <v>-7.0677641637499997</v>
      </c>
      <c r="E4889">
        <v>2</v>
      </c>
      <c r="F4889">
        <v>4</v>
      </c>
      <c r="G4889">
        <v>4</v>
      </c>
      <c r="H4889">
        <v>3</v>
      </c>
      <c r="I4889">
        <v>3</v>
      </c>
      <c r="J4889" t="s">
        <v>8005</v>
      </c>
      <c r="K4889">
        <v>3</v>
      </c>
      <c r="L4889">
        <v>2.5920000000000001</v>
      </c>
      <c r="M4889">
        <v>0</v>
      </c>
      <c r="N4889" t="s">
        <v>10019</v>
      </c>
      <c r="O4889" t="str">
        <f>HYPERLINK("NoConsenso\marker_972_839857.png", "Ver Imagen")</f>
        <v>Ver Imagen</v>
      </c>
      <c r="P4889" t="str">
        <f>HYPERLINK("SE\A-492\A-492__454.png", "Ver Imagen")</f>
        <v>Ver Imagen</v>
      </c>
    </row>
    <row r="4890" spans="1:16" x14ac:dyDescent="0.25">
      <c r="A4890">
        <v>4543</v>
      </c>
      <c r="B4890" t="s">
        <v>9093</v>
      </c>
      <c r="C4890">
        <v>37.315801605200001</v>
      </c>
      <c r="D4890">
        <v>-7.0684868284000002</v>
      </c>
      <c r="E4890">
        <v>2</v>
      </c>
      <c r="F4890">
        <v>3</v>
      </c>
      <c r="G4890">
        <v>4</v>
      </c>
      <c r="H4890">
        <v>3</v>
      </c>
      <c r="I4890">
        <v>3</v>
      </c>
      <c r="J4890" t="s">
        <v>8005</v>
      </c>
      <c r="K4890">
        <v>3</v>
      </c>
      <c r="L4890">
        <v>2.976</v>
      </c>
      <c r="M4890">
        <v>0</v>
      </c>
      <c r="N4890" t="s">
        <v>10019</v>
      </c>
      <c r="O4890" t="str">
        <f>HYPERLINK("NoConsenso\marker_227_839896.png", "Ver Imagen")</f>
        <v>Ver Imagen</v>
      </c>
      <c r="P4890" t="str">
        <f>HYPERLINK("SE\A-492\A-492__457.png", "Ver Imagen")</f>
        <v>Ver Imagen</v>
      </c>
    </row>
    <row r="4891" spans="1:16" x14ac:dyDescent="0.25">
      <c r="A4891">
        <v>4544</v>
      </c>
      <c r="B4891" t="s">
        <v>9095</v>
      </c>
      <c r="C4891">
        <v>37.316754473300001</v>
      </c>
      <c r="D4891">
        <v>-7.0703947727200003</v>
      </c>
      <c r="E4891">
        <v>3</v>
      </c>
      <c r="F4891">
        <v>2</v>
      </c>
      <c r="G4891">
        <v>4</v>
      </c>
      <c r="H4891">
        <v>2</v>
      </c>
      <c r="I4891">
        <v>2</v>
      </c>
      <c r="J4891" t="s">
        <v>8005</v>
      </c>
      <c r="K4891">
        <v>2</v>
      </c>
      <c r="L4891">
        <v>2.0209999999999999</v>
      </c>
      <c r="M4891">
        <v>0</v>
      </c>
      <c r="N4891" t="s">
        <v>10019</v>
      </c>
      <c r="O4891" t="str">
        <f>HYPERLINK("NoConsenso\marker_736_839992.png", "Ver Imagen")</f>
        <v>Ver Imagen</v>
      </c>
      <c r="P4891" t="str">
        <f>HYPERLINK("SE\A-492\A-492__466.png", "Ver Imagen")</f>
        <v>Ver Imagen</v>
      </c>
    </row>
    <row r="4892" spans="1:16" x14ac:dyDescent="0.25">
      <c r="A4892">
        <v>4545</v>
      </c>
      <c r="B4892" t="s">
        <v>9097</v>
      </c>
      <c r="C4892">
        <v>37.317224410199998</v>
      </c>
      <c r="D4892">
        <v>-7.0708701684399999</v>
      </c>
      <c r="E4892">
        <v>3</v>
      </c>
      <c r="F4892">
        <v>2</v>
      </c>
      <c r="G4892">
        <v>4</v>
      </c>
      <c r="H4892">
        <v>2</v>
      </c>
      <c r="I4892">
        <v>3</v>
      </c>
      <c r="J4892" t="s">
        <v>8005</v>
      </c>
      <c r="K4892">
        <v>3</v>
      </c>
      <c r="L4892">
        <v>3.0569999999999999</v>
      </c>
      <c r="M4892">
        <v>0</v>
      </c>
      <c r="N4892" t="s">
        <v>10019</v>
      </c>
      <c r="O4892" t="str">
        <f>HYPERLINK("NoConsenso\marker_772_840035.png", "Ver Imagen")</f>
        <v>Ver Imagen</v>
      </c>
      <c r="P4892" t="str">
        <f>HYPERLINK("SE\A-492\A-492__469.png", "Ver Imagen")</f>
        <v>Ver Imagen</v>
      </c>
    </row>
    <row r="4893" spans="1:16" x14ac:dyDescent="0.25">
      <c r="A4893">
        <v>4546</v>
      </c>
      <c r="B4893" t="s">
        <v>9099</v>
      </c>
      <c r="C4893">
        <v>37.3179807243</v>
      </c>
      <c r="D4893">
        <v>-7.0712368937900001</v>
      </c>
      <c r="E4893">
        <v>2</v>
      </c>
      <c r="F4893">
        <v>3</v>
      </c>
      <c r="G4893">
        <v>4</v>
      </c>
      <c r="H4893">
        <v>3</v>
      </c>
      <c r="I4893">
        <v>2</v>
      </c>
      <c r="J4893" t="s">
        <v>8005</v>
      </c>
      <c r="K4893">
        <v>3</v>
      </c>
      <c r="L4893">
        <v>2.9980000000000002</v>
      </c>
      <c r="M4893">
        <v>0</v>
      </c>
      <c r="N4893" t="s">
        <v>10019</v>
      </c>
      <c r="O4893" t="str">
        <f>HYPERLINK("NoConsenso\marker_907_840079.png", "Ver Imagen")</f>
        <v>Ver Imagen</v>
      </c>
      <c r="P4893" t="str">
        <f>HYPERLINK("SE\A-492\A-492__473.png", "Ver Imagen")</f>
        <v>Ver Imagen</v>
      </c>
    </row>
    <row r="4894" spans="1:16" x14ac:dyDescent="0.25">
      <c r="A4894">
        <v>4547</v>
      </c>
      <c r="B4894" t="s">
        <v>9101</v>
      </c>
      <c r="C4894">
        <v>37.4577202957</v>
      </c>
      <c r="D4894">
        <v>-7.1141734009300004</v>
      </c>
      <c r="E4894">
        <v>3</v>
      </c>
      <c r="F4894">
        <v>4</v>
      </c>
      <c r="G4894">
        <v>5</v>
      </c>
      <c r="H4894">
        <v>5</v>
      </c>
      <c r="I4894">
        <v>4</v>
      </c>
      <c r="J4894" t="s">
        <v>8005</v>
      </c>
      <c r="K4894">
        <v>4</v>
      </c>
      <c r="L4894">
        <v>3.9340000000000002</v>
      </c>
      <c r="M4894">
        <v>0</v>
      </c>
      <c r="N4894" t="s">
        <v>10017</v>
      </c>
      <c r="O4894" t="str">
        <f>HYPERLINK("NoConsenso\marker_574_935258.png", "Ver Imagen")</f>
        <v>Ver Imagen</v>
      </c>
      <c r="P4894" t="str">
        <f>HYPERLINK("NE\A-495R\A-495R__68.png", "Ver Imagen")</f>
        <v>Ver Imagen</v>
      </c>
    </row>
    <row r="4895" spans="1:16" x14ac:dyDescent="0.25">
      <c r="A4895">
        <v>4548</v>
      </c>
      <c r="B4895" t="s">
        <v>9103</v>
      </c>
      <c r="C4895">
        <v>37.457372899399999</v>
      </c>
      <c r="D4895">
        <v>-7.1140452463099999</v>
      </c>
      <c r="E4895">
        <v>3</v>
      </c>
      <c r="F4895">
        <v>5</v>
      </c>
      <c r="G4895">
        <v>4</v>
      </c>
      <c r="H4895">
        <v>5</v>
      </c>
      <c r="I4895">
        <v>5</v>
      </c>
      <c r="J4895" t="s">
        <v>8005</v>
      </c>
      <c r="K4895">
        <v>5</v>
      </c>
      <c r="L4895">
        <v>5</v>
      </c>
      <c r="M4895">
        <v>0</v>
      </c>
      <c r="N4895" t="s">
        <v>10019</v>
      </c>
      <c r="O4895" t="str">
        <f>HYPERLINK("NoConsenso\marker_310_935374.png", "Ver Imagen")</f>
        <v>Ver Imagen</v>
      </c>
      <c r="P4895" t="str">
        <f>HYPERLINK("NE\A-495R\A-495R__66.png", "Ver Imagen")</f>
        <v>Ver Imagen</v>
      </c>
    </row>
    <row r="4896" spans="1:16" x14ac:dyDescent="0.25">
      <c r="A4896">
        <v>4549</v>
      </c>
      <c r="B4896" t="s">
        <v>9105</v>
      </c>
      <c r="C4896">
        <v>37.451873172799999</v>
      </c>
      <c r="D4896">
        <v>-7.11145028374</v>
      </c>
      <c r="E4896">
        <v>3</v>
      </c>
      <c r="F4896">
        <v>5</v>
      </c>
      <c r="G4896">
        <v>4</v>
      </c>
      <c r="H4896">
        <v>4</v>
      </c>
      <c r="I4896">
        <v>4</v>
      </c>
      <c r="J4896" t="s">
        <v>8005</v>
      </c>
      <c r="K4896">
        <v>4</v>
      </c>
      <c r="L4896">
        <v>3.8490000000000002</v>
      </c>
      <c r="M4896">
        <v>0</v>
      </c>
      <c r="N4896" t="s">
        <v>10019</v>
      </c>
      <c r="O4896" t="str">
        <f>HYPERLINK("NoConsenso\marker_924_936552.png", "Ver Imagen")</f>
        <v>Ver Imagen</v>
      </c>
      <c r="P4896" t="str">
        <f>HYPERLINK("NE\A-495R\A-495R__37.png", "Ver Imagen")</f>
        <v>Ver Imagen</v>
      </c>
    </row>
    <row r="4897" spans="1:16" x14ac:dyDescent="0.25">
      <c r="A4897">
        <v>4550</v>
      </c>
      <c r="B4897" t="s">
        <v>9107</v>
      </c>
      <c r="C4897">
        <v>37.451131752999999</v>
      </c>
      <c r="D4897">
        <v>-7.1109211430999997</v>
      </c>
      <c r="E4897">
        <v>3</v>
      </c>
      <c r="F4897">
        <v>5</v>
      </c>
      <c r="G4897">
        <v>4</v>
      </c>
      <c r="H4897">
        <v>5</v>
      </c>
      <c r="I4897">
        <v>4</v>
      </c>
      <c r="J4897" t="s">
        <v>8052</v>
      </c>
      <c r="K4897">
        <v>5</v>
      </c>
      <c r="L4897">
        <v>4.7720000000000002</v>
      </c>
      <c r="M4897">
        <v>0</v>
      </c>
      <c r="N4897" t="s">
        <v>10019</v>
      </c>
      <c r="O4897" t="str">
        <f>HYPERLINK("NoConsenso\marker_302_936591.png", "Ver Imagen")</f>
        <v>Ver Imagen</v>
      </c>
      <c r="P4897" t="str">
        <f>HYPERLINK("NE\A-495R\A-495R__33.png", "Ver Imagen")</f>
        <v>Ver Imagen</v>
      </c>
    </row>
    <row r="4898" spans="1:16" x14ac:dyDescent="0.25">
      <c r="A4898">
        <v>4551</v>
      </c>
      <c r="B4898" t="s">
        <v>9109</v>
      </c>
      <c r="C4898">
        <v>37.448886666299998</v>
      </c>
      <c r="D4898">
        <v>-7.10981227104</v>
      </c>
      <c r="E4898">
        <v>1</v>
      </c>
      <c r="F4898">
        <v>3</v>
      </c>
      <c r="G4898">
        <v>3</v>
      </c>
      <c r="H4898">
        <v>2</v>
      </c>
      <c r="I4898">
        <v>2</v>
      </c>
      <c r="J4898" t="s">
        <v>8005</v>
      </c>
      <c r="K4898">
        <v>2</v>
      </c>
      <c r="L4898">
        <v>2.012</v>
      </c>
      <c r="M4898">
        <v>0</v>
      </c>
      <c r="N4898" t="s">
        <v>10019</v>
      </c>
      <c r="O4898" t="str">
        <f>HYPERLINK("NoConsenso\marker_477_936719.png", "Ver Imagen")</f>
        <v>Ver Imagen</v>
      </c>
      <c r="P4898" t="str">
        <f>HYPERLINK("NE\A-495R\A-495R__21.png", "Ver Imagen")</f>
        <v>Ver Imagen</v>
      </c>
    </row>
    <row r="4899" spans="1:16" x14ac:dyDescent="0.25">
      <c r="A4899">
        <v>4552</v>
      </c>
      <c r="B4899" t="s">
        <v>9111</v>
      </c>
      <c r="C4899">
        <v>37.4481697047</v>
      </c>
      <c r="D4899">
        <v>-7.1094150015200004</v>
      </c>
      <c r="E4899">
        <v>2</v>
      </c>
      <c r="F4899">
        <v>3</v>
      </c>
      <c r="G4899">
        <v>4</v>
      </c>
      <c r="H4899">
        <v>3</v>
      </c>
      <c r="I4899">
        <v>3</v>
      </c>
      <c r="J4899" t="s">
        <v>8005</v>
      </c>
      <c r="K4899">
        <v>3</v>
      </c>
      <c r="L4899">
        <v>3.2959999999999998</v>
      </c>
      <c r="M4899">
        <v>0</v>
      </c>
      <c r="N4899" t="s">
        <v>10019</v>
      </c>
      <c r="O4899" t="str">
        <f>HYPERLINK("NoConsenso\marker_647_936823.png", "Ver Imagen")</f>
        <v>Ver Imagen</v>
      </c>
      <c r="P4899" t="str">
        <f>HYPERLINK("NE\A-495R\A-495R__17.png", "Ver Imagen")</f>
        <v>Ver Imagen</v>
      </c>
    </row>
    <row r="4900" spans="1:16" x14ac:dyDescent="0.25">
      <c r="A4900">
        <v>4553</v>
      </c>
      <c r="B4900" t="s">
        <v>9113</v>
      </c>
      <c r="C4900">
        <v>37.269553490500002</v>
      </c>
      <c r="D4900">
        <v>-6.9779051680700004</v>
      </c>
      <c r="E4900">
        <v>2</v>
      </c>
      <c r="F4900">
        <v>3</v>
      </c>
      <c r="G4900">
        <v>4</v>
      </c>
      <c r="H4900">
        <v>3</v>
      </c>
      <c r="I4900">
        <v>4</v>
      </c>
      <c r="J4900" t="s">
        <v>8005</v>
      </c>
      <c r="K4900">
        <v>3</v>
      </c>
      <c r="L4900">
        <v>2.794</v>
      </c>
      <c r="M4900">
        <v>0</v>
      </c>
      <c r="N4900" t="s">
        <v>10019</v>
      </c>
      <c r="O4900" t="str">
        <f>HYPERLINK("NoConsenso\marker_775_937358.png", "Ver Imagen")</f>
        <v>Ver Imagen</v>
      </c>
      <c r="P4900" t="str">
        <f>HYPERLINK("SE\A-497\A-497__89.png", "Ver Imagen")</f>
        <v>Ver Imagen</v>
      </c>
    </row>
    <row r="4901" spans="1:16" x14ac:dyDescent="0.25">
      <c r="A4901">
        <v>4554</v>
      </c>
      <c r="B4901" t="s">
        <v>9115</v>
      </c>
      <c r="C4901">
        <v>37.269500022300001</v>
      </c>
      <c r="D4901">
        <v>-6.9777197710700003</v>
      </c>
      <c r="E4901">
        <v>3</v>
      </c>
      <c r="F4901">
        <v>4</v>
      </c>
      <c r="G4901">
        <v>5</v>
      </c>
      <c r="H4901">
        <v>3</v>
      </c>
      <c r="I4901">
        <v>4</v>
      </c>
      <c r="J4901" t="s">
        <v>8005</v>
      </c>
      <c r="K4901">
        <v>4</v>
      </c>
      <c r="L4901">
        <v>3.6859999999999999</v>
      </c>
      <c r="M4901">
        <v>0</v>
      </c>
      <c r="N4901" t="s">
        <v>10019</v>
      </c>
      <c r="O4901" t="str">
        <f>HYPERLINK("NoConsenso\marker_461_937373.png", "Ver Imagen")</f>
        <v>Ver Imagen</v>
      </c>
      <c r="P4901" t="str">
        <f>HYPERLINK("SE\A-497\A-497__88.png", "Ver Imagen")</f>
        <v>Ver Imagen</v>
      </c>
    </row>
    <row r="4902" spans="1:16" x14ac:dyDescent="0.25">
      <c r="A4902">
        <v>4556</v>
      </c>
      <c r="B4902" t="s">
        <v>9119</v>
      </c>
      <c r="C4902">
        <v>37.2692177351</v>
      </c>
      <c r="D4902">
        <v>-6.9767126673100002</v>
      </c>
      <c r="E4902">
        <v>3</v>
      </c>
      <c r="F4902">
        <v>4</v>
      </c>
      <c r="G4902">
        <v>5</v>
      </c>
      <c r="H4902">
        <v>3</v>
      </c>
      <c r="I4902">
        <v>4</v>
      </c>
      <c r="J4902" t="s">
        <v>8005</v>
      </c>
      <c r="K4902">
        <v>4</v>
      </c>
      <c r="L4902">
        <v>3.83</v>
      </c>
      <c r="M4902">
        <v>0</v>
      </c>
      <c r="N4902" t="s">
        <v>10019</v>
      </c>
      <c r="O4902" t="str">
        <f>HYPERLINK("NoConsenso\marker_539_937421.png", "Ver Imagen")</f>
        <v>Ver Imagen</v>
      </c>
      <c r="P4902" t="str">
        <f>HYPERLINK("SE\A-497\A-497__84.png", "Ver Imagen")</f>
        <v>Ver Imagen</v>
      </c>
    </row>
    <row r="4903" spans="1:16" x14ac:dyDescent="0.25">
      <c r="A4903">
        <v>4557</v>
      </c>
      <c r="B4903" t="s">
        <v>9121</v>
      </c>
      <c r="C4903">
        <v>37.269153308600004</v>
      </c>
      <c r="D4903">
        <v>-6.9764762716200002</v>
      </c>
      <c r="E4903">
        <v>3</v>
      </c>
      <c r="F4903">
        <v>4</v>
      </c>
      <c r="G4903">
        <v>5</v>
      </c>
      <c r="H4903">
        <v>3</v>
      </c>
      <c r="I4903">
        <v>4</v>
      </c>
      <c r="J4903" t="s">
        <v>8005</v>
      </c>
      <c r="K4903">
        <v>4</v>
      </c>
      <c r="L4903">
        <v>3.859</v>
      </c>
      <c r="M4903">
        <v>0</v>
      </c>
      <c r="N4903" t="s">
        <v>10019</v>
      </c>
      <c r="O4903" t="str">
        <f>HYPERLINK("NoConsenso\marker_223_937430.png", "Ver Imagen")</f>
        <v>Ver Imagen</v>
      </c>
      <c r="P4903" t="str">
        <f>HYPERLINK("SE\A-497\A-497__83.png", "Ver Imagen")</f>
        <v>Ver Imagen</v>
      </c>
    </row>
    <row r="4904" spans="1:16" x14ac:dyDescent="0.25">
      <c r="A4904">
        <v>4558</v>
      </c>
      <c r="B4904" t="s">
        <v>9123</v>
      </c>
      <c r="C4904">
        <v>37.268853174299998</v>
      </c>
      <c r="D4904">
        <v>-6.9752865460200004</v>
      </c>
      <c r="E4904">
        <v>3</v>
      </c>
      <c r="F4904">
        <v>3</v>
      </c>
      <c r="G4904">
        <v>5</v>
      </c>
      <c r="H4904">
        <v>3</v>
      </c>
      <c r="I4904">
        <v>4</v>
      </c>
      <c r="J4904" t="s">
        <v>8005</v>
      </c>
      <c r="K4904">
        <v>3</v>
      </c>
      <c r="L4904">
        <v>2.79</v>
      </c>
      <c r="M4904">
        <v>0</v>
      </c>
      <c r="N4904" t="s">
        <v>10019</v>
      </c>
      <c r="O4904" t="str">
        <f>HYPERLINK("NoConsenso\marker_292_937953.png", "Ver Imagen")</f>
        <v>Ver Imagen</v>
      </c>
      <c r="P4904" t="str">
        <f>HYPERLINK("SE\A-497\A-497__78.png", "Ver Imagen")</f>
        <v>Ver Imagen</v>
      </c>
    </row>
    <row r="4905" spans="1:16" x14ac:dyDescent="0.25">
      <c r="A4905">
        <v>4559</v>
      </c>
      <c r="B4905" t="s">
        <v>9125</v>
      </c>
      <c r="C4905">
        <v>37.268573477499999</v>
      </c>
      <c r="D4905">
        <v>-6.9740411502699997</v>
      </c>
      <c r="E4905">
        <v>2</v>
      </c>
      <c r="F4905">
        <v>4</v>
      </c>
      <c r="G4905">
        <v>4</v>
      </c>
      <c r="H4905">
        <v>3</v>
      </c>
      <c r="I4905">
        <v>3</v>
      </c>
      <c r="J4905" t="s">
        <v>8005</v>
      </c>
      <c r="K4905">
        <v>3</v>
      </c>
      <c r="L4905">
        <v>3.0859999999999999</v>
      </c>
      <c r="M4905">
        <v>0</v>
      </c>
      <c r="N4905" t="s">
        <v>10019</v>
      </c>
      <c r="O4905" t="str">
        <f>HYPERLINK("NoConsenso\marker_551_938017.png", "Ver Imagen")</f>
        <v>Ver Imagen</v>
      </c>
      <c r="P4905" t="str">
        <f>HYPERLINK("SE\A-497\A-497__73.png", "Ver Imagen")</f>
        <v>Ver Imagen</v>
      </c>
    </row>
    <row r="4906" spans="1:16" x14ac:dyDescent="0.25">
      <c r="A4906">
        <v>4560</v>
      </c>
      <c r="B4906" t="s">
        <v>9127</v>
      </c>
      <c r="C4906">
        <v>37.268287598900002</v>
      </c>
      <c r="D4906">
        <v>-6.9725889455000001</v>
      </c>
      <c r="E4906">
        <v>3</v>
      </c>
      <c r="F4906">
        <v>4</v>
      </c>
      <c r="G4906">
        <v>2</v>
      </c>
      <c r="H4906">
        <v>3</v>
      </c>
      <c r="I4906">
        <v>4</v>
      </c>
      <c r="J4906" t="s">
        <v>8005</v>
      </c>
      <c r="K4906">
        <v>3</v>
      </c>
      <c r="L4906">
        <v>3.0670000000000002</v>
      </c>
      <c r="M4906">
        <v>0</v>
      </c>
      <c r="N4906" t="s">
        <v>10018</v>
      </c>
      <c r="O4906" t="str">
        <f>HYPERLINK("NoConsenso\marker_142_938182.png", "Ver Imagen")</f>
        <v>Ver Imagen</v>
      </c>
      <c r="P4906" t="str">
        <f>HYPERLINK("SE\A-497\A-497__67.png", "Ver Imagen")</f>
        <v>Ver Imagen</v>
      </c>
    </row>
    <row r="4907" spans="1:16" x14ac:dyDescent="0.25">
      <c r="A4907">
        <v>4561</v>
      </c>
      <c r="B4907" t="s">
        <v>9129</v>
      </c>
      <c r="C4907">
        <v>37.268008813000002</v>
      </c>
      <c r="D4907">
        <v>-6.9708497676699999</v>
      </c>
      <c r="E4907">
        <v>2</v>
      </c>
      <c r="F4907">
        <v>4</v>
      </c>
      <c r="G4907">
        <v>3</v>
      </c>
      <c r="H4907">
        <v>3</v>
      </c>
      <c r="I4907">
        <v>4</v>
      </c>
      <c r="J4907" t="s">
        <v>8005</v>
      </c>
      <c r="K4907">
        <v>3</v>
      </c>
      <c r="L4907">
        <v>2.6960000000000002</v>
      </c>
      <c r="M4907">
        <v>0</v>
      </c>
      <c r="N4907" t="s">
        <v>10019</v>
      </c>
      <c r="O4907" t="str">
        <f>HYPERLINK("NoConsenso\marker_461_938261.png", "Ver Imagen")</f>
        <v>Ver Imagen</v>
      </c>
      <c r="P4907" t="str">
        <f>HYPERLINK("SE\A-497\A-497__60.png", "Ver Imagen")</f>
        <v>Ver Imagen</v>
      </c>
    </row>
    <row r="4908" spans="1:16" x14ac:dyDescent="0.25">
      <c r="A4908">
        <v>4562</v>
      </c>
      <c r="B4908" t="s">
        <v>9131</v>
      </c>
      <c r="C4908">
        <v>37.267974051700001</v>
      </c>
      <c r="D4908">
        <v>-6.97060516232</v>
      </c>
      <c r="E4908">
        <v>2</v>
      </c>
      <c r="F4908">
        <v>4</v>
      </c>
      <c r="G4908">
        <v>3</v>
      </c>
      <c r="H4908">
        <v>3</v>
      </c>
      <c r="I4908">
        <v>4</v>
      </c>
      <c r="J4908" t="s">
        <v>8005</v>
      </c>
      <c r="K4908">
        <v>3</v>
      </c>
      <c r="L4908">
        <v>2.988</v>
      </c>
      <c r="M4908">
        <v>0</v>
      </c>
      <c r="N4908" t="s">
        <v>10019</v>
      </c>
      <c r="O4908" t="str">
        <f>HYPERLINK("NoConsenso\marker_232_938274.png", "Ver Imagen")</f>
        <v>Ver Imagen</v>
      </c>
      <c r="P4908" t="str">
        <f>HYPERLINK("SE\A-497\A-497__59.png", "Ver Imagen")</f>
        <v>Ver Imagen</v>
      </c>
    </row>
    <row r="4909" spans="1:16" x14ac:dyDescent="0.25">
      <c r="A4909">
        <v>4563</v>
      </c>
      <c r="B4909" t="s">
        <v>9133</v>
      </c>
      <c r="C4909">
        <v>37.267872011400001</v>
      </c>
      <c r="D4909">
        <v>-6.96981995256</v>
      </c>
      <c r="E4909">
        <v>2</v>
      </c>
      <c r="F4909">
        <v>4</v>
      </c>
      <c r="G4909">
        <v>3</v>
      </c>
      <c r="H4909">
        <v>3</v>
      </c>
      <c r="I4909">
        <v>4</v>
      </c>
      <c r="J4909" t="s">
        <v>8005</v>
      </c>
      <c r="K4909">
        <v>3</v>
      </c>
      <c r="L4909">
        <v>3.3119999999999998</v>
      </c>
      <c r="M4909">
        <v>0</v>
      </c>
      <c r="N4909" t="s">
        <v>10019</v>
      </c>
      <c r="O4909" t="str">
        <f>HYPERLINK("NoConsenso\marker_411_938306.png", "Ver Imagen")</f>
        <v>Ver Imagen</v>
      </c>
      <c r="P4909" t="str">
        <f>HYPERLINK("SE\A-497\A-497__56.png", "Ver Imagen")</f>
        <v>Ver Imagen</v>
      </c>
    </row>
    <row r="4910" spans="1:16" x14ac:dyDescent="0.25">
      <c r="A4910">
        <v>4564</v>
      </c>
      <c r="B4910" t="s">
        <v>9135</v>
      </c>
      <c r="C4910">
        <v>37.267838450299998</v>
      </c>
      <c r="D4910">
        <v>-6.9695412238000003</v>
      </c>
      <c r="E4910">
        <v>2</v>
      </c>
      <c r="F4910">
        <v>4</v>
      </c>
      <c r="G4910">
        <v>4</v>
      </c>
      <c r="H4910">
        <v>3</v>
      </c>
      <c r="I4910">
        <v>3</v>
      </c>
      <c r="J4910" t="s">
        <v>8005</v>
      </c>
      <c r="K4910">
        <v>3</v>
      </c>
      <c r="L4910">
        <v>2.9540000000000002</v>
      </c>
      <c r="M4910">
        <v>0</v>
      </c>
      <c r="N4910" t="s">
        <v>10018</v>
      </c>
      <c r="O4910" t="str">
        <f>HYPERLINK("NoConsenso\marker_946_938322.png", "Ver Imagen")</f>
        <v>Ver Imagen</v>
      </c>
      <c r="P4910" t="str">
        <f>HYPERLINK("SE\A-497\A-497__55.png", "Ver Imagen")</f>
        <v>Ver Imagen</v>
      </c>
    </row>
    <row r="4911" spans="1:16" x14ac:dyDescent="0.25">
      <c r="A4911">
        <v>4565</v>
      </c>
      <c r="B4911" t="s">
        <v>9137</v>
      </c>
      <c r="C4911">
        <v>37.267784784600003</v>
      </c>
      <c r="D4911">
        <v>-6.9690507451599997</v>
      </c>
      <c r="E4911">
        <v>2</v>
      </c>
      <c r="F4911">
        <v>4</v>
      </c>
      <c r="G4911">
        <v>3</v>
      </c>
      <c r="H4911">
        <v>3</v>
      </c>
      <c r="I4911">
        <v>3</v>
      </c>
      <c r="J4911" t="s">
        <v>8005</v>
      </c>
      <c r="K4911">
        <v>3</v>
      </c>
      <c r="L4911">
        <v>2.94</v>
      </c>
      <c r="M4911">
        <v>0</v>
      </c>
      <c r="N4911" t="s">
        <v>10019</v>
      </c>
      <c r="O4911" t="str">
        <f>HYPERLINK("NoConsenso\marker_448_938356.png", "Ver Imagen")</f>
        <v>Ver Imagen</v>
      </c>
      <c r="P4911" t="str">
        <f>HYPERLINK("SE\A-497\A-497__53.png", "Ver Imagen")</f>
        <v>Ver Imagen</v>
      </c>
    </row>
    <row r="4912" spans="1:16" x14ac:dyDescent="0.25">
      <c r="A4912">
        <v>4566</v>
      </c>
      <c r="B4912" t="s">
        <v>9139</v>
      </c>
      <c r="C4912">
        <v>37.267671501000002</v>
      </c>
      <c r="D4912">
        <v>-6.9678137401600004</v>
      </c>
      <c r="E4912">
        <v>2</v>
      </c>
      <c r="F4912">
        <v>4</v>
      </c>
      <c r="G4912">
        <v>3</v>
      </c>
      <c r="H4912">
        <v>3</v>
      </c>
      <c r="I4912">
        <v>4</v>
      </c>
      <c r="J4912" t="s">
        <v>8005</v>
      </c>
      <c r="K4912">
        <v>3</v>
      </c>
      <c r="L4912">
        <v>3.0489999999999999</v>
      </c>
      <c r="M4912">
        <v>0</v>
      </c>
      <c r="N4912" t="s">
        <v>10019</v>
      </c>
      <c r="O4912" t="str">
        <f>HYPERLINK("NoConsenso\marker_695_938417.png", "Ver Imagen")</f>
        <v>Ver Imagen</v>
      </c>
      <c r="P4912" t="str">
        <f>HYPERLINK("SE\A-497\A-497__48.png", "Ver Imagen")</f>
        <v>Ver Imagen</v>
      </c>
    </row>
    <row r="4913" spans="1:16" x14ac:dyDescent="0.25">
      <c r="A4913">
        <v>4567</v>
      </c>
      <c r="B4913" t="s">
        <v>9141</v>
      </c>
      <c r="C4913">
        <v>37.267591253200003</v>
      </c>
      <c r="D4913">
        <v>-6.9665411706600002</v>
      </c>
      <c r="E4913">
        <v>2</v>
      </c>
      <c r="F4913">
        <v>3</v>
      </c>
      <c r="G4913">
        <v>4</v>
      </c>
      <c r="H4913">
        <v>3</v>
      </c>
      <c r="I4913">
        <v>4</v>
      </c>
      <c r="J4913" t="s">
        <v>8005</v>
      </c>
      <c r="K4913">
        <v>3</v>
      </c>
      <c r="L4913">
        <v>2.6280000000000001</v>
      </c>
      <c r="M4913">
        <v>0</v>
      </c>
      <c r="N4913" t="s">
        <v>10019</v>
      </c>
      <c r="O4913" t="str">
        <f>HYPERLINK("NoConsenso\marker_299_938469.png", "Ver Imagen")</f>
        <v>Ver Imagen</v>
      </c>
      <c r="P4913" t="str">
        <f>HYPERLINK("SE\A-497\A-497__43.png", "Ver Imagen")</f>
        <v>Ver Imagen</v>
      </c>
    </row>
    <row r="4914" spans="1:16" x14ac:dyDescent="0.25">
      <c r="A4914">
        <v>4568</v>
      </c>
      <c r="B4914" t="s">
        <v>9143</v>
      </c>
      <c r="C4914">
        <v>37.267568733099999</v>
      </c>
      <c r="D4914">
        <v>-6.9660184529300002</v>
      </c>
      <c r="E4914">
        <v>2</v>
      </c>
      <c r="F4914">
        <v>4</v>
      </c>
      <c r="G4914">
        <v>3</v>
      </c>
      <c r="H4914">
        <v>3</v>
      </c>
      <c r="I4914">
        <v>3</v>
      </c>
      <c r="J4914" t="s">
        <v>8005</v>
      </c>
      <c r="K4914">
        <v>3</v>
      </c>
      <c r="L4914">
        <v>3.2170000000000001</v>
      </c>
      <c r="M4914">
        <v>0</v>
      </c>
      <c r="N4914" t="s">
        <v>10019</v>
      </c>
      <c r="O4914" t="str">
        <f>HYPERLINK("NoConsenso\marker_573_940267.png", "Ver Imagen")</f>
        <v>Ver Imagen</v>
      </c>
      <c r="P4914" t="str">
        <f>HYPERLINK("SE\A-497\A-497__41.png", "Ver Imagen")</f>
        <v>Ver Imagen</v>
      </c>
    </row>
    <row r="4915" spans="1:16" x14ac:dyDescent="0.25">
      <c r="A4915">
        <v>4569</v>
      </c>
      <c r="B4915" t="s">
        <v>9145</v>
      </c>
      <c r="C4915">
        <v>37.267553317000001</v>
      </c>
      <c r="D4915">
        <v>-6.9655561092099996</v>
      </c>
      <c r="E4915">
        <v>3</v>
      </c>
      <c r="F4915">
        <v>4</v>
      </c>
      <c r="G4915">
        <v>2</v>
      </c>
      <c r="H4915">
        <v>3</v>
      </c>
      <c r="I4915">
        <v>4</v>
      </c>
      <c r="J4915" t="s">
        <v>8005</v>
      </c>
      <c r="K4915">
        <v>3</v>
      </c>
      <c r="L4915">
        <v>2.802</v>
      </c>
      <c r="M4915">
        <v>0</v>
      </c>
      <c r="N4915" t="s">
        <v>10019</v>
      </c>
      <c r="O4915" t="str">
        <f>HYPERLINK("NoConsenso\marker_438_940290.png", "Ver Imagen")</f>
        <v>Ver Imagen</v>
      </c>
      <c r="P4915" t="str">
        <f>HYPERLINK("SE\A-497\A-497__39.png", "Ver Imagen")</f>
        <v>Ver Imagen</v>
      </c>
    </row>
    <row r="4916" spans="1:16" x14ac:dyDescent="0.25">
      <c r="A4916">
        <v>4570</v>
      </c>
      <c r="B4916" t="s">
        <v>9147</v>
      </c>
      <c r="C4916">
        <v>37.267540428499998</v>
      </c>
      <c r="D4916">
        <v>-6.965040396</v>
      </c>
      <c r="E4916">
        <v>2</v>
      </c>
      <c r="F4916">
        <v>4</v>
      </c>
      <c r="G4916">
        <v>3</v>
      </c>
      <c r="H4916">
        <v>3</v>
      </c>
      <c r="I4916">
        <v>4</v>
      </c>
      <c r="J4916" t="s">
        <v>8005</v>
      </c>
      <c r="K4916">
        <v>3</v>
      </c>
      <c r="L4916">
        <v>3.2839999999999998</v>
      </c>
      <c r="M4916">
        <v>0</v>
      </c>
      <c r="N4916" t="s">
        <v>10019</v>
      </c>
      <c r="O4916" t="str">
        <f>HYPERLINK("NoConsenso\marker_876_940312.png", "Ver Imagen")</f>
        <v>Ver Imagen</v>
      </c>
      <c r="P4916" t="str">
        <f>HYPERLINK("SE\A-497\A-497__37.png", "Ver Imagen")</f>
        <v>Ver Imagen</v>
      </c>
    </row>
    <row r="4917" spans="1:16" x14ac:dyDescent="0.25">
      <c r="A4917">
        <v>4571</v>
      </c>
      <c r="B4917" t="s">
        <v>9149</v>
      </c>
      <c r="C4917">
        <v>37.2675151344</v>
      </c>
      <c r="D4917">
        <v>-6.9637721257900003</v>
      </c>
      <c r="E4917">
        <v>2</v>
      </c>
      <c r="F4917">
        <v>4</v>
      </c>
      <c r="G4917">
        <v>4</v>
      </c>
      <c r="H4917">
        <v>3</v>
      </c>
      <c r="I4917">
        <v>4</v>
      </c>
      <c r="J4917" t="s">
        <v>8005</v>
      </c>
      <c r="K4917">
        <v>4</v>
      </c>
      <c r="L4917">
        <v>3.806</v>
      </c>
      <c r="M4917">
        <v>0</v>
      </c>
      <c r="N4917" t="s">
        <v>10019</v>
      </c>
      <c r="O4917" t="str">
        <f>HYPERLINK("NoConsenso\marker_939_940578.png", "Ver Imagen")</f>
        <v>Ver Imagen</v>
      </c>
      <c r="P4917" t="str">
        <f>HYPERLINK("SE\A-497\A-497__32.png", "Ver Imagen")</f>
        <v>Ver Imagen</v>
      </c>
    </row>
    <row r="4918" spans="1:16" x14ac:dyDescent="0.25">
      <c r="A4918">
        <v>4572</v>
      </c>
      <c r="B4918" t="s">
        <v>9151</v>
      </c>
      <c r="C4918">
        <v>37.2672421567</v>
      </c>
      <c r="D4918">
        <v>-6.9597790674300004</v>
      </c>
      <c r="E4918">
        <v>2</v>
      </c>
      <c r="F4918">
        <v>3</v>
      </c>
      <c r="G4918">
        <v>4</v>
      </c>
      <c r="H4918">
        <v>2</v>
      </c>
      <c r="I4918">
        <v>2</v>
      </c>
      <c r="J4918" t="s">
        <v>8005</v>
      </c>
      <c r="K4918">
        <v>2</v>
      </c>
      <c r="L4918">
        <v>2.34</v>
      </c>
      <c r="M4918">
        <v>0</v>
      </c>
      <c r="N4918" t="s">
        <v>10019</v>
      </c>
      <c r="O4918" t="str">
        <f>HYPERLINK("NoConsenso\marker_935_943822.png", "Ver Imagen")</f>
        <v>Ver Imagen</v>
      </c>
      <c r="P4918" t="str">
        <f>HYPERLINK("SE\A-497\A-497__16.png", "Ver Imagen")</f>
        <v>Ver Imagen</v>
      </c>
    </row>
    <row r="4919" spans="1:16" x14ac:dyDescent="0.25">
      <c r="A4919">
        <v>4574</v>
      </c>
      <c r="B4919" t="s">
        <v>9155</v>
      </c>
      <c r="C4919">
        <v>37.189772812400001</v>
      </c>
      <c r="D4919">
        <v>-6.9883260153200002</v>
      </c>
      <c r="E4919">
        <v>1</v>
      </c>
      <c r="F4919">
        <v>3</v>
      </c>
      <c r="G4919">
        <v>3</v>
      </c>
      <c r="H4919">
        <v>2</v>
      </c>
      <c r="I4919">
        <v>2</v>
      </c>
      <c r="J4919" t="s">
        <v>8005</v>
      </c>
      <c r="K4919">
        <v>2</v>
      </c>
      <c r="L4919">
        <v>2.2749999999999999</v>
      </c>
      <c r="M4919">
        <v>0</v>
      </c>
      <c r="N4919" t="s">
        <v>10017</v>
      </c>
      <c r="O4919" t="str">
        <f>HYPERLINK("NoConsenso\marker_528_944137.png", "Ver Imagen")</f>
        <v>Ver Imagen</v>
      </c>
      <c r="P4919" t="str">
        <f>HYPERLINK("SE\A-5050\A-5050__183.png", "Ver Imagen")</f>
        <v>Ver Imagen</v>
      </c>
    </row>
    <row r="4920" spans="1:16" x14ac:dyDescent="0.25">
      <c r="A4920">
        <v>4575</v>
      </c>
      <c r="B4920" t="s">
        <v>9157</v>
      </c>
      <c r="C4920">
        <v>37.191409309800001</v>
      </c>
      <c r="D4920">
        <v>-6.99183755404</v>
      </c>
      <c r="E4920">
        <v>2</v>
      </c>
      <c r="F4920">
        <v>3</v>
      </c>
      <c r="G4920">
        <v>4</v>
      </c>
      <c r="H4920">
        <v>3</v>
      </c>
      <c r="I4920">
        <v>3</v>
      </c>
      <c r="J4920" t="s">
        <v>8005</v>
      </c>
      <c r="K4920">
        <v>3</v>
      </c>
      <c r="L4920">
        <v>3.12</v>
      </c>
      <c r="M4920">
        <v>0</v>
      </c>
      <c r="N4920" t="s">
        <v>10019</v>
      </c>
      <c r="O4920" t="str">
        <f>HYPERLINK("NoConsenso\marker_234_944318.png", "Ver Imagen")</f>
        <v>Ver Imagen</v>
      </c>
      <c r="P4920" t="str">
        <f>HYPERLINK("SE\A-5050\A-5050__167.png", "Ver Imagen")</f>
        <v>Ver Imagen</v>
      </c>
    </row>
    <row r="4921" spans="1:16" x14ac:dyDescent="0.25">
      <c r="A4921">
        <v>4576</v>
      </c>
      <c r="B4921" t="s">
        <v>9159</v>
      </c>
      <c r="C4921">
        <v>37.191813606300002</v>
      </c>
      <c r="D4921">
        <v>-6.9926736008199999</v>
      </c>
      <c r="E4921">
        <v>2</v>
      </c>
      <c r="F4921">
        <v>3</v>
      </c>
      <c r="G4921">
        <v>4</v>
      </c>
      <c r="H4921">
        <v>2</v>
      </c>
      <c r="I4921">
        <v>2</v>
      </c>
      <c r="J4921" t="s">
        <v>8005</v>
      </c>
      <c r="K4921">
        <v>2</v>
      </c>
      <c r="L4921">
        <v>1.903</v>
      </c>
      <c r="M4921">
        <v>0</v>
      </c>
      <c r="N4921" t="s">
        <v>10019</v>
      </c>
      <c r="O4921" t="str">
        <f>HYPERLINK("NoConsenso\marker_527_944657.png", "Ver Imagen")</f>
        <v>Ver Imagen</v>
      </c>
      <c r="P4921" t="str">
        <f>HYPERLINK("SE\A-5050\A-5050__163.png", "Ver Imagen")</f>
        <v>Ver Imagen</v>
      </c>
    </row>
    <row r="4922" spans="1:16" x14ac:dyDescent="0.25">
      <c r="A4922">
        <v>4577</v>
      </c>
      <c r="B4922" t="s">
        <v>9161</v>
      </c>
      <c r="C4922">
        <v>37.192255322800001</v>
      </c>
      <c r="D4922">
        <v>-6.9935948532300003</v>
      </c>
      <c r="E4922">
        <v>2</v>
      </c>
      <c r="F4922">
        <v>2</v>
      </c>
      <c r="G4922">
        <v>4</v>
      </c>
      <c r="H4922">
        <v>2</v>
      </c>
      <c r="I4922">
        <v>2</v>
      </c>
      <c r="J4922" t="s">
        <v>8005</v>
      </c>
      <c r="K4922">
        <v>2</v>
      </c>
      <c r="L4922">
        <v>1.8859999999999999</v>
      </c>
      <c r="M4922">
        <v>0</v>
      </c>
      <c r="N4922" t="s">
        <v>10019</v>
      </c>
      <c r="O4922" t="str">
        <f>HYPERLINK("NoConsenso\marker_953_944940.png", "Ver Imagen")</f>
        <v>Ver Imagen</v>
      </c>
      <c r="P4922" t="str">
        <f>HYPERLINK("SE\A-5050\A-5050__159.png", "Ver Imagen")</f>
        <v>Ver Imagen</v>
      </c>
    </row>
    <row r="4923" spans="1:16" x14ac:dyDescent="0.25">
      <c r="A4923">
        <v>4578</v>
      </c>
      <c r="B4923" t="s">
        <v>9163</v>
      </c>
      <c r="C4923">
        <v>37.192647664600003</v>
      </c>
      <c r="D4923">
        <v>-6.9944547633300003</v>
      </c>
      <c r="E4923">
        <v>2</v>
      </c>
      <c r="F4923">
        <v>3</v>
      </c>
      <c r="G4923">
        <v>4</v>
      </c>
      <c r="H4923">
        <v>3</v>
      </c>
      <c r="I4923">
        <v>4</v>
      </c>
      <c r="J4923" t="s">
        <v>8005</v>
      </c>
      <c r="K4923">
        <v>3</v>
      </c>
      <c r="L4923">
        <v>3.0209999999999999</v>
      </c>
      <c r="M4923">
        <v>0</v>
      </c>
      <c r="N4923" t="s">
        <v>10017</v>
      </c>
      <c r="O4923" t="str">
        <f>HYPERLINK("NoConsenso\marker_551_945312.png", "Ver Imagen")</f>
        <v>Ver Imagen</v>
      </c>
      <c r="P4923" t="str">
        <f>HYPERLINK("SE\A-5050\A-5050__155.png", "Ver Imagen")</f>
        <v>Ver Imagen</v>
      </c>
    </row>
    <row r="4924" spans="1:16" x14ac:dyDescent="0.25">
      <c r="A4924">
        <v>4579</v>
      </c>
      <c r="B4924" t="s">
        <v>9165</v>
      </c>
      <c r="C4924">
        <v>37.1928288716</v>
      </c>
      <c r="D4924">
        <v>-6.9948838988600004</v>
      </c>
      <c r="E4924">
        <v>1</v>
      </c>
      <c r="F4924">
        <v>3</v>
      </c>
      <c r="G4924">
        <v>3</v>
      </c>
      <c r="H4924">
        <v>2</v>
      </c>
      <c r="I4924">
        <v>2</v>
      </c>
      <c r="J4924" t="s">
        <v>8005</v>
      </c>
      <c r="K4924">
        <v>2</v>
      </c>
      <c r="L4924">
        <v>2.411</v>
      </c>
      <c r="M4924">
        <v>0</v>
      </c>
      <c r="N4924" t="s">
        <v>10019</v>
      </c>
      <c r="O4924" t="str">
        <f>HYPERLINK("NoConsenso\marker_324_945341.png", "Ver Imagen")</f>
        <v>Ver Imagen</v>
      </c>
      <c r="P4924" t="str">
        <f>HYPERLINK("SE\A-5050\A-5050__153.png", "Ver Imagen")</f>
        <v>Ver Imagen</v>
      </c>
    </row>
    <row r="4925" spans="1:16" x14ac:dyDescent="0.25">
      <c r="A4925">
        <v>4580</v>
      </c>
      <c r="B4925" t="s">
        <v>9167</v>
      </c>
      <c r="C4925">
        <v>37.202673917299997</v>
      </c>
      <c r="D4925">
        <v>-7.0148559810600002</v>
      </c>
      <c r="E4925">
        <v>2</v>
      </c>
      <c r="F4925">
        <v>3</v>
      </c>
      <c r="G4925">
        <v>4</v>
      </c>
      <c r="H4925">
        <v>2</v>
      </c>
      <c r="I4925">
        <v>3</v>
      </c>
      <c r="J4925" t="s">
        <v>8005</v>
      </c>
      <c r="K4925">
        <v>3</v>
      </c>
      <c r="L4925">
        <v>3.23</v>
      </c>
      <c r="M4925">
        <v>0</v>
      </c>
      <c r="N4925" t="s">
        <v>10019</v>
      </c>
      <c r="O4925" t="str">
        <f>HYPERLINK("NoConsenso\marker_767_949041.png", "Ver Imagen")</f>
        <v>Ver Imagen</v>
      </c>
      <c r="P4925" t="str">
        <f>HYPERLINK("SE\A-5050\A-5050__60.png", "Ver Imagen")</f>
        <v>Ver Imagen</v>
      </c>
    </row>
    <row r="4926" spans="1:16" x14ac:dyDescent="0.25">
      <c r="A4926">
        <v>4581</v>
      </c>
      <c r="B4926" t="s">
        <v>9169</v>
      </c>
      <c r="C4926">
        <v>37.218677114599998</v>
      </c>
      <c r="D4926">
        <v>-7.1256196327700003</v>
      </c>
      <c r="E4926">
        <v>1</v>
      </c>
      <c r="F4926">
        <v>3</v>
      </c>
      <c r="G4926">
        <v>3</v>
      </c>
      <c r="H4926">
        <v>3</v>
      </c>
      <c r="I4926">
        <v>2</v>
      </c>
      <c r="J4926" t="s">
        <v>8005</v>
      </c>
      <c r="K4926">
        <v>3</v>
      </c>
      <c r="L4926">
        <v>2.9369999999999998</v>
      </c>
      <c r="M4926">
        <v>0</v>
      </c>
      <c r="N4926" t="s">
        <v>10019</v>
      </c>
      <c r="O4926" t="str">
        <f>HYPERLINK("NoConsenso\marker_190_949859.png", "Ver Imagen")</f>
        <v>Ver Imagen</v>
      </c>
      <c r="P4926" t="str">
        <f>HYPERLINK("SO\A-5052\A-5052__1.png", "Ver Imagen")</f>
        <v>Ver Imagen</v>
      </c>
    </row>
    <row r="4927" spans="1:16" x14ac:dyDescent="0.25">
      <c r="A4927">
        <v>4582</v>
      </c>
      <c r="B4927" t="s">
        <v>9171</v>
      </c>
      <c r="C4927">
        <v>37.217915483100001</v>
      </c>
      <c r="D4927">
        <v>-7.1215260016500004</v>
      </c>
      <c r="E4927">
        <v>5</v>
      </c>
      <c r="F4927">
        <v>3</v>
      </c>
      <c r="G4927">
        <v>4</v>
      </c>
      <c r="H4927">
        <v>3</v>
      </c>
      <c r="I4927">
        <v>3</v>
      </c>
      <c r="J4927" t="s">
        <v>8005</v>
      </c>
      <c r="K4927">
        <v>3</v>
      </c>
      <c r="L4927">
        <v>2.7949999999999999</v>
      </c>
      <c r="M4927">
        <v>0</v>
      </c>
      <c r="N4927" t="s">
        <v>10019</v>
      </c>
      <c r="O4927" t="str">
        <f>HYPERLINK("NoConsenso\marker_924_950215.png", "Ver Imagen")</f>
        <v>Ver Imagen</v>
      </c>
      <c r="P4927" t="str">
        <f>HYPERLINK("SO\A-5052\A-5052__18.png", "Ver Imagen")</f>
        <v>Ver Imagen</v>
      </c>
    </row>
    <row r="4928" spans="1:16" x14ac:dyDescent="0.25">
      <c r="A4928">
        <v>4583</v>
      </c>
      <c r="B4928" t="s">
        <v>9173</v>
      </c>
      <c r="C4928">
        <v>37.215780172800002</v>
      </c>
      <c r="D4928">
        <v>-7.0824649502400003</v>
      </c>
      <c r="E4928">
        <v>1</v>
      </c>
      <c r="F4928">
        <v>2</v>
      </c>
      <c r="G4928">
        <v>3</v>
      </c>
      <c r="H4928">
        <v>2</v>
      </c>
      <c r="I4928">
        <v>2</v>
      </c>
      <c r="J4928" t="s">
        <v>8005</v>
      </c>
      <c r="K4928">
        <v>2</v>
      </c>
      <c r="L4928">
        <v>1.9610000000000001</v>
      </c>
      <c r="M4928">
        <v>0</v>
      </c>
      <c r="N4928" t="s">
        <v>10019</v>
      </c>
      <c r="O4928" t="str">
        <f>HYPERLINK("NoConsenso\marker_652_959005.png", "Ver Imagen")</f>
        <v>Ver Imagen</v>
      </c>
      <c r="P4928" t="str">
        <f>HYPERLINK("SE\A-5052\A-5052__174.png", "Ver Imagen")</f>
        <v>Ver Imagen</v>
      </c>
    </row>
    <row r="4929" spans="1:16" x14ac:dyDescent="0.25">
      <c r="A4929">
        <v>4583</v>
      </c>
      <c r="B4929" t="s">
        <v>9173</v>
      </c>
      <c r="C4929">
        <v>37.215780172800002</v>
      </c>
      <c r="D4929">
        <v>-7.0824649502400003</v>
      </c>
      <c r="E4929">
        <v>1</v>
      </c>
      <c r="F4929">
        <v>2</v>
      </c>
      <c r="G4929">
        <v>3</v>
      </c>
      <c r="H4929">
        <v>2</v>
      </c>
      <c r="I4929">
        <v>2</v>
      </c>
      <c r="J4929" t="s">
        <v>8005</v>
      </c>
      <c r="K4929">
        <v>2</v>
      </c>
      <c r="L4929">
        <v>1.96</v>
      </c>
      <c r="M4929">
        <v>0</v>
      </c>
      <c r="N4929" t="s">
        <v>10019</v>
      </c>
      <c r="O4929" t="str">
        <f>HYPERLINK("NoConsenso\marker_652_959005.png", "Ver Imagen")</f>
        <v>Ver Imagen</v>
      </c>
      <c r="P4929" t="str">
        <f>HYPERLINK("SO\A-5052\A-5052__174.png", "Ver Imagen")</f>
        <v>Ver Imagen</v>
      </c>
    </row>
    <row r="4930" spans="1:16" x14ac:dyDescent="0.25">
      <c r="A4930">
        <v>4584</v>
      </c>
      <c r="B4930" t="s">
        <v>9175</v>
      </c>
      <c r="C4930">
        <v>37.213187541400004</v>
      </c>
      <c r="D4930">
        <v>-7.0639223153200001</v>
      </c>
      <c r="E4930">
        <v>3</v>
      </c>
      <c r="F4930">
        <v>3</v>
      </c>
      <c r="G4930">
        <v>5</v>
      </c>
      <c r="H4930">
        <v>3</v>
      </c>
      <c r="I4930">
        <v>4</v>
      </c>
      <c r="J4930" t="s">
        <v>8005</v>
      </c>
      <c r="K4930">
        <v>3</v>
      </c>
      <c r="L4930">
        <v>2.6240000000000001</v>
      </c>
      <c r="M4930">
        <v>0</v>
      </c>
      <c r="N4930" t="s">
        <v>10019</v>
      </c>
      <c r="O4930" t="str">
        <f>HYPERLINK("NoConsenso\marker_184_960083.png", "Ver Imagen")</f>
        <v>Ver Imagen</v>
      </c>
      <c r="P4930" t="str">
        <f>HYPERLINK("SE\A-5052\A-5052__249.png", "Ver Imagen")</f>
        <v>Ver Imagen</v>
      </c>
    </row>
    <row r="4931" spans="1:16" x14ac:dyDescent="0.25">
      <c r="A4931">
        <v>4585</v>
      </c>
      <c r="B4931" t="s">
        <v>9177</v>
      </c>
      <c r="C4931">
        <v>37.2122948162</v>
      </c>
      <c r="D4931">
        <v>-7.0598281572900001</v>
      </c>
      <c r="E4931">
        <v>1</v>
      </c>
      <c r="F4931">
        <v>3</v>
      </c>
      <c r="G4931">
        <v>3</v>
      </c>
      <c r="H4931">
        <v>2</v>
      </c>
      <c r="I4931">
        <v>2</v>
      </c>
      <c r="J4931" t="s">
        <v>8005</v>
      </c>
      <c r="K4931">
        <v>2</v>
      </c>
      <c r="L4931">
        <v>2.1850000000000001</v>
      </c>
      <c r="M4931">
        <v>0</v>
      </c>
      <c r="N4931" t="s">
        <v>10019</v>
      </c>
      <c r="O4931" t="str">
        <f>HYPERLINK("NoConsenso\marker_594_960270.png", "Ver Imagen")</f>
        <v>Ver Imagen</v>
      </c>
      <c r="P4931" t="str">
        <f>HYPERLINK("SE\A-5052\A-5052__266.png", "Ver Imagen")</f>
        <v>Ver Imagen</v>
      </c>
    </row>
    <row r="4932" spans="1:16" x14ac:dyDescent="0.25">
      <c r="A4932">
        <v>4586</v>
      </c>
      <c r="B4932" t="s">
        <v>9179</v>
      </c>
      <c r="C4932">
        <v>37.211702228199997</v>
      </c>
      <c r="D4932">
        <v>-7.04896105089</v>
      </c>
      <c r="E4932">
        <v>2</v>
      </c>
      <c r="F4932">
        <v>3</v>
      </c>
      <c r="G4932">
        <v>4</v>
      </c>
      <c r="H4932">
        <v>2</v>
      </c>
      <c r="I4932">
        <v>3</v>
      </c>
      <c r="J4932" t="s">
        <v>8005</v>
      </c>
      <c r="K4932">
        <v>3</v>
      </c>
      <c r="L4932">
        <v>2.9750000000000001</v>
      </c>
      <c r="M4932">
        <v>0</v>
      </c>
      <c r="N4932" t="s">
        <v>10019</v>
      </c>
      <c r="O4932" t="str">
        <f>HYPERLINK("NoConsenso\marker_570_961122.png", "Ver Imagen")</f>
        <v>Ver Imagen</v>
      </c>
      <c r="P4932" t="str">
        <f>HYPERLINK("SE\A-5052\A-5052__311.png", "Ver Imagen")</f>
        <v>Ver Imagen</v>
      </c>
    </row>
    <row r="4933" spans="1:16" x14ac:dyDescent="0.25">
      <c r="A4933">
        <v>4587</v>
      </c>
      <c r="B4933" t="s">
        <v>9181</v>
      </c>
      <c r="C4933">
        <v>37.2090796743</v>
      </c>
      <c r="D4933">
        <v>-7.0393122579999998</v>
      </c>
      <c r="E4933">
        <v>3</v>
      </c>
      <c r="F4933">
        <v>3</v>
      </c>
      <c r="G4933">
        <v>5</v>
      </c>
      <c r="H4933">
        <v>3</v>
      </c>
      <c r="I4933">
        <v>4</v>
      </c>
      <c r="J4933" t="s">
        <v>8005</v>
      </c>
      <c r="K4933">
        <v>3</v>
      </c>
      <c r="L4933">
        <v>2.8959999999999999</v>
      </c>
      <c r="M4933">
        <v>0</v>
      </c>
      <c r="N4933" t="s">
        <v>10018</v>
      </c>
      <c r="O4933" t="str">
        <f>HYPERLINK("NoConsenso\marker_211_961766.png", "Ver Imagen")</f>
        <v>Ver Imagen</v>
      </c>
      <c r="P4933" t="str">
        <f>HYPERLINK("SE\A-5052\A-5052__352.png", "Ver Imagen")</f>
        <v>Ver Imagen</v>
      </c>
    </row>
    <row r="4934" spans="1:16" x14ac:dyDescent="0.25">
      <c r="A4934">
        <v>4588</v>
      </c>
      <c r="B4934" t="s">
        <v>9183</v>
      </c>
      <c r="C4934">
        <v>37.2884512543</v>
      </c>
      <c r="D4934">
        <v>-7.1409801723799999</v>
      </c>
      <c r="E4934">
        <v>1</v>
      </c>
      <c r="F4934">
        <v>2</v>
      </c>
      <c r="G4934">
        <v>3</v>
      </c>
      <c r="H4934">
        <v>3</v>
      </c>
      <c r="I4934">
        <v>2</v>
      </c>
      <c r="J4934" t="s">
        <v>8005</v>
      </c>
      <c r="K4934">
        <v>2</v>
      </c>
      <c r="L4934">
        <v>1.8009999999999999</v>
      </c>
      <c r="M4934">
        <v>0</v>
      </c>
      <c r="N4934" t="s">
        <v>10019</v>
      </c>
      <c r="O4934" t="str">
        <f>HYPERLINK("NoConsenso\marker_173_963812.png", "Ver Imagen")</f>
        <v>Ver Imagen</v>
      </c>
      <c r="P4934" t="str">
        <f>HYPERLINK("SO\A-5053\A-5053__383.png", "Ver Imagen")</f>
        <v>Ver Imagen</v>
      </c>
    </row>
    <row r="4935" spans="1:16" x14ac:dyDescent="0.25">
      <c r="A4935">
        <v>4589</v>
      </c>
      <c r="B4935" t="s">
        <v>9185</v>
      </c>
      <c r="C4935">
        <v>37.269810902000003</v>
      </c>
      <c r="D4935">
        <v>-7.1394413126599998</v>
      </c>
      <c r="E4935">
        <v>3</v>
      </c>
      <c r="F4935">
        <v>3</v>
      </c>
      <c r="G4935">
        <v>5</v>
      </c>
      <c r="H4935">
        <v>3</v>
      </c>
      <c r="I4935">
        <v>3</v>
      </c>
      <c r="J4935" t="s">
        <v>8005</v>
      </c>
      <c r="K4935">
        <v>3</v>
      </c>
      <c r="L4935">
        <v>2.7719999999999998</v>
      </c>
      <c r="M4935">
        <v>0</v>
      </c>
      <c r="N4935" t="s">
        <v>10019</v>
      </c>
      <c r="O4935" t="str">
        <f>HYPERLINK("NoConsenso\marker_448_965105.png", "Ver Imagen")</f>
        <v>Ver Imagen</v>
      </c>
      <c r="P4935" t="str">
        <f>HYPERLINK("SO\A-5053\A-5053__275.png", "Ver Imagen")</f>
        <v>Ver Imagen</v>
      </c>
    </row>
    <row r="4936" spans="1:16" x14ac:dyDescent="0.25">
      <c r="A4936">
        <v>4590</v>
      </c>
      <c r="B4936" t="s">
        <v>9187</v>
      </c>
      <c r="C4936">
        <v>37.268594641500002</v>
      </c>
      <c r="D4936">
        <v>-7.1371755729500004</v>
      </c>
      <c r="E4936">
        <v>5</v>
      </c>
      <c r="F4936">
        <v>3</v>
      </c>
      <c r="G4936">
        <v>3</v>
      </c>
      <c r="H4936">
        <v>3</v>
      </c>
      <c r="I4936">
        <v>4</v>
      </c>
      <c r="J4936" t="s">
        <v>8005</v>
      </c>
      <c r="K4936">
        <v>3</v>
      </c>
      <c r="L4936">
        <v>2.823</v>
      </c>
      <c r="M4936">
        <v>0</v>
      </c>
      <c r="N4936" t="s">
        <v>10019</v>
      </c>
      <c r="O4936" t="str">
        <f>HYPERLINK("NoConsenso\marker_233_965217.png", "Ver Imagen")</f>
        <v>Ver Imagen</v>
      </c>
      <c r="P4936" t="str">
        <f>HYPERLINK("SO\A-5053\A-5053__264.png", "Ver Imagen")</f>
        <v>Ver Imagen</v>
      </c>
    </row>
    <row r="4937" spans="1:16" x14ac:dyDescent="0.25">
      <c r="A4937">
        <v>4591</v>
      </c>
      <c r="B4937" t="s">
        <v>9189</v>
      </c>
      <c r="C4937">
        <v>37.268499293399998</v>
      </c>
      <c r="D4937">
        <v>-7.1367486852299997</v>
      </c>
      <c r="E4937">
        <v>5</v>
      </c>
      <c r="F4937">
        <v>3</v>
      </c>
      <c r="G4937">
        <v>3</v>
      </c>
      <c r="H4937">
        <v>3</v>
      </c>
      <c r="I4937">
        <v>4</v>
      </c>
      <c r="J4937" t="s">
        <v>8005</v>
      </c>
      <c r="K4937">
        <v>3</v>
      </c>
      <c r="L4937">
        <v>3.0129999999999999</v>
      </c>
      <c r="M4937">
        <v>0</v>
      </c>
      <c r="N4937" t="s">
        <v>10019</v>
      </c>
      <c r="O4937" t="str">
        <f>HYPERLINK("NoConsenso\marker_627_965237.png", "Ver Imagen")</f>
        <v>Ver Imagen</v>
      </c>
      <c r="P4937" t="str">
        <f>HYPERLINK("SO\A-5053\A-5053__262.png", "Ver Imagen")</f>
        <v>Ver Imagen</v>
      </c>
    </row>
    <row r="4938" spans="1:16" x14ac:dyDescent="0.25">
      <c r="A4938">
        <v>4592</v>
      </c>
      <c r="B4938" t="s">
        <v>9191</v>
      </c>
      <c r="C4938">
        <v>37.268377724200001</v>
      </c>
      <c r="D4938">
        <v>-7.1361979708199996</v>
      </c>
      <c r="E4938">
        <v>5</v>
      </c>
      <c r="F4938">
        <v>3</v>
      </c>
      <c r="G4938">
        <v>4</v>
      </c>
      <c r="H4938">
        <v>3</v>
      </c>
      <c r="I4938">
        <v>4</v>
      </c>
      <c r="J4938" t="s">
        <v>8005</v>
      </c>
      <c r="K4938">
        <v>4</v>
      </c>
      <c r="L4938">
        <v>3.64</v>
      </c>
      <c r="M4938">
        <v>0</v>
      </c>
      <c r="N4938" t="s">
        <v>10019</v>
      </c>
      <c r="O4938" t="str">
        <f>HYPERLINK("NoConsenso\marker_232_965256.png", "Ver Imagen")</f>
        <v>Ver Imagen</v>
      </c>
      <c r="P4938" t="str">
        <f>HYPERLINK("SO\A-5053\A-5053__260.png", "Ver Imagen")</f>
        <v>Ver Imagen</v>
      </c>
    </row>
    <row r="4939" spans="1:16" x14ac:dyDescent="0.25">
      <c r="A4939">
        <v>4593</v>
      </c>
      <c r="B4939" t="s">
        <v>9193</v>
      </c>
      <c r="C4939">
        <v>37.268135730600001</v>
      </c>
      <c r="D4939">
        <v>-7.1352555130499997</v>
      </c>
      <c r="E4939">
        <v>5</v>
      </c>
      <c r="F4939">
        <v>3</v>
      </c>
      <c r="G4939">
        <v>4</v>
      </c>
      <c r="H4939">
        <v>3</v>
      </c>
      <c r="I4939">
        <v>4</v>
      </c>
      <c r="J4939" t="s">
        <v>8005</v>
      </c>
      <c r="K4939">
        <v>4</v>
      </c>
      <c r="L4939">
        <v>3.968</v>
      </c>
      <c r="M4939">
        <v>0</v>
      </c>
      <c r="N4939" t="s">
        <v>10019</v>
      </c>
      <c r="O4939" t="str">
        <f>HYPERLINK("NoConsenso\marker_915_965296.png", "Ver Imagen")</f>
        <v>Ver Imagen</v>
      </c>
      <c r="P4939" t="str">
        <f>HYPERLINK("SO\A-5053\A-5053__256.png", "Ver Imagen")</f>
        <v>Ver Imagen</v>
      </c>
    </row>
    <row r="4940" spans="1:16" x14ac:dyDescent="0.25">
      <c r="A4940">
        <v>4595</v>
      </c>
      <c r="B4940" t="s">
        <v>9197</v>
      </c>
      <c r="C4940">
        <v>37.267724328100002</v>
      </c>
      <c r="D4940">
        <v>-7.1343708749300001</v>
      </c>
      <c r="E4940">
        <v>5</v>
      </c>
      <c r="F4940">
        <v>3</v>
      </c>
      <c r="G4940">
        <v>4</v>
      </c>
      <c r="H4940">
        <v>3</v>
      </c>
      <c r="I4940">
        <v>4</v>
      </c>
      <c r="J4940" t="s">
        <v>8052</v>
      </c>
      <c r="K4940">
        <v>3</v>
      </c>
      <c r="L4940">
        <v>3.1320000000000001</v>
      </c>
      <c r="M4940">
        <v>0</v>
      </c>
      <c r="N4940" t="s">
        <v>10019</v>
      </c>
      <c r="O4940" t="str">
        <f>HYPERLINK("NoConsenso\marker_554_965332.png", "Ver Imagen")</f>
        <v>Ver Imagen</v>
      </c>
      <c r="P4940" t="str">
        <f>HYPERLINK("SO\A-5053\A-5053__252.png", "Ver Imagen")</f>
        <v>Ver Imagen</v>
      </c>
    </row>
    <row r="4941" spans="1:16" x14ac:dyDescent="0.25">
      <c r="A4941">
        <v>4596</v>
      </c>
      <c r="B4941" t="s">
        <v>9199</v>
      </c>
      <c r="C4941">
        <v>37.2671605707</v>
      </c>
      <c r="D4941">
        <v>-7.1336671750800003</v>
      </c>
      <c r="E4941">
        <v>5</v>
      </c>
      <c r="F4941">
        <v>3</v>
      </c>
      <c r="G4941">
        <v>4</v>
      </c>
      <c r="H4941">
        <v>3</v>
      </c>
      <c r="I4941">
        <v>4</v>
      </c>
      <c r="J4941" t="s">
        <v>8052</v>
      </c>
      <c r="K4941">
        <v>3</v>
      </c>
      <c r="L4941">
        <v>3.012</v>
      </c>
      <c r="M4941">
        <v>0</v>
      </c>
      <c r="N4941" t="s">
        <v>10019</v>
      </c>
      <c r="O4941" t="str">
        <f>HYPERLINK("NoConsenso\marker_978_965430.png", "Ver Imagen")</f>
        <v>Ver Imagen</v>
      </c>
      <c r="P4941" t="str">
        <f>HYPERLINK("SO\A-5053\A-5053__248.png", "Ver Imagen")</f>
        <v>Ver Imagen</v>
      </c>
    </row>
    <row r="4942" spans="1:16" x14ac:dyDescent="0.25">
      <c r="A4942">
        <v>4597</v>
      </c>
      <c r="B4942" t="s">
        <v>9201</v>
      </c>
      <c r="C4942">
        <v>37.259954510500002</v>
      </c>
      <c r="D4942">
        <v>-7.1290548513000003</v>
      </c>
      <c r="E4942">
        <v>5</v>
      </c>
      <c r="F4942">
        <v>3</v>
      </c>
      <c r="G4942">
        <v>4</v>
      </c>
      <c r="H4942">
        <v>3</v>
      </c>
      <c r="I4942">
        <v>3</v>
      </c>
      <c r="J4942" t="s">
        <v>8005</v>
      </c>
      <c r="K4942">
        <v>3</v>
      </c>
      <c r="L4942">
        <v>2.9350000000000001</v>
      </c>
      <c r="M4942">
        <v>0</v>
      </c>
      <c r="N4942" t="s">
        <v>10019</v>
      </c>
      <c r="O4942" t="str">
        <f>HYPERLINK("NoConsenso\marker_513_965815.png", "Ver Imagen")</f>
        <v>Ver Imagen</v>
      </c>
      <c r="P4942" t="str">
        <f>HYPERLINK("SO\A-5053\A-5053__208.png", "Ver Imagen")</f>
        <v>Ver Imagen</v>
      </c>
    </row>
    <row r="4943" spans="1:16" x14ac:dyDescent="0.25">
      <c r="A4943">
        <v>4598</v>
      </c>
      <c r="B4943" t="s">
        <v>9203</v>
      </c>
      <c r="C4943">
        <v>37.244664361399998</v>
      </c>
      <c r="D4943">
        <v>-7.1280705496200003</v>
      </c>
      <c r="E4943">
        <v>1</v>
      </c>
      <c r="F4943">
        <v>2</v>
      </c>
      <c r="G4943">
        <v>3</v>
      </c>
      <c r="H4943">
        <v>2</v>
      </c>
      <c r="I4943">
        <v>1</v>
      </c>
      <c r="J4943" t="s">
        <v>8005</v>
      </c>
      <c r="K4943">
        <v>2</v>
      </c>
      <c r="L4943">
        <v>2.2360000000000002</v>
      </c>
      <c r="M4943">
        <v>0</v>
      </c>
      <c r="N4943" t="s">
        <v>10019</v>
      </c>
      <c r="O4943" t="str">
        <f>HYPERLINK("NoConsenso\marker_145_966573.png", "Ver Imagen")</f>
        <v>Ver Imagen</v>
      </c>
      <c r="P4943" t="str">
        <f>HYPERLINK("SO\A-5053\A-5053__130.png", "Ver Imagen")</f>
        <v>Ver Imagen</v>
      </c>
    </row>
    <row r="4944" spans="1:16" x14ac:dyDescent="0.25">
      <c r="A4944">
        <v>4599</v>
      </c>
      <c r="B4944" t="s">
        <v>9205</v>
      </c>
      <c r="C4944">
        <v>37.2278516322</v>
      </c>
      <c r="D4944">
        <v>-7.12664941304</v>
      </c>
      <c r="E4944">
        <v>5</v>
      </c>
      <c r="F4944">
        <v>3</v>
      </c>
      <c r="G4944">
        <v>4</v>
      </c>
      <c r="H4944">
        <v>3</v>
      </c>
      <c r="I4944">
        <v>4</v>
      </c>
      <c r="J4944" t="s">
        <v>8005</v>
      </c>
      <c r="K4944">
        <v>4</v>
      </c>
      <c r="L4944">
        <v>3.613</v>
      </c>
      <c r="M4944">
        <v>0</v>
      </c>
      <c r="N4944" t="s">
        <v>10019</v>
      </c>
      <c r="O4944" t="str">
        <f>HYPERLINK("NoConsenso\marker_500_021045.png", "Ver Imagen")</f>
        <v>Ver Imagen</v>
      </c>
      <c r="P4944" t="str">
        <f>HYPERLINK("SO\A-5053\A-5053__46.png", "Ver Imagen")</f>
        <v>Ver Imagen</v>
      </c>
    </row>
    <row r="4945" spans="1:16" x14ac:dyDescent="0.25">
      <c r="A4945">
        <v>4600</v>
      </c>
      <c r="B4945" t="s">
        <v>9207</v>
      </c>
      <c r="C4945">
        <v>37.227073151399999</v>
      </c>
      <c r="D4945">
        <v>-7.1264033311899997</v>
      </c>
      <c r="E4945">
        <v>5</v>
      </c>
      <c r="F4945">
        <v>3</v>
      </c>
      <c r="G4945">
        <v>4</v>
      </c>
      <c r="H4945">
        <v>3</v>
      </c>
      <c r="I4945">
        <v>4</v>
      </c>
      <c r="J4945" t="s">
        <v>8005</v>
      </c>
      <c r="K4945">
        <v>4</v>
      </c>
      <c r="L4945">
        <v>3.7949999999999999</v>
      </c>
      <c r="M4945">
        <v>0</v>
      </c>
      <c r="N4945" t="s">
        <v>10017</v>
      </c>
      <c r="O4945" t="str">
        <f>HYPERLINK("NoConsenso\marker_427_021694.png", "Ver Imagen")</f>
        <v>Ver Imagen</v>
      </c>
      <c r="P4945" t="str">
        <f>HYPERLINK("SO\A-5053\A-5053__42.png", "Ver Imagen")</f>
        <v>Ver Imagen</v>
      </c>
    </row>
    <row r="4946" spans="1:16" x14ac:dyDescent="0.25">
      <c r="A4946">
        <v>4601</v>
      </c>
      <c r="B4946" t="s">
        <v>9209</v>
      </c>
      <c r="C4946">
        <v>37.223382157300001</v>
      </c>
      <c r="D4946">
        <v>-7.1250808812699997</v>
      </c>
      <c r="E4946">
        <v>4</v>
      </c>
      <c r="F4946">
        <v>2</v>
      </c>
      <c r="G4946">
        <v>2</v>
      </c>
      <c r="H4946">
        <v>2</v>
      </c>
      <c r="I4946">
        <v>1</v>
      </c>
      <c r="J4946" t="s">
        <v>8005</v>
      </c>
      <c r="K4946">
        <v>2</v>
      </c>
      <c r="L4946">
        <v>2.3359999999999999</v>
      </c>
      <c r="M4946">
        <v>0</v>
      </c>
      <c r="N4946" t="s">
        <v>10019</v>
      </c>
      <c r="O4946" t="str">
        <f>HYPERLINK("NoConsenso\marker_252_022875.png", "Ver Imagen")</f>
        <v>Ver Imagen</v>
      </c>
      <c r="P4946" t="str">
        <f>HYPERLINK("SO\A-5053\A-5053__23.png", "Ver Imagen")</f>
        <v>Ver Imagen</v>
      </c>
    </row>
    <row r="4947" spans="1:16" x14ac:dyDescent="0.25">
      <c r="A4947">
        <v>4602</v>
      </c>
      <c r="B4947" t="s">
        <v>9211</v>
      </c>
      <c r="C4947">
        <v>37.221138940499998</v>
      </c>
      <c r="D4947">
        <v>-7.1258030906099998</v>
      </c>
      <c r="E4947">
        <v>4</v>
      </c>
      <c r="F4947">
        <v>2</v>
      </c>
      <c r="G4947">
        <v>3</v>
      </c>
      <c r="H4947">
        <v>2</v>
      </c>
      <c r="I4947">
        <v>1</v>
      </c>
      <c r="J4947" t="s">
        <v>8005</v>
      </c>
      <c r="K4947">
        <v>2</v>
      </c>
      <c r="L4947">
        <v>1.673</v>
      </c>
      <c r="M4947">
        <v>0</v>
      </c>
      <c r="N4947" t="s">
        <v>10019</v>
      </c>
      <c r="O4947" t="str">
        <f>HYPERLINK("NoConsenso\marker_654_025094.png", "Ver Imagen")</f>
        <v>Ver Imagen</v>
      </c>
      <c r="P4947" t="str">
        <f>HYPERLINK("SO\A-5053\A-5053__11.png", "Ver Imagen")</f>
        <v>Ver Imagen</v>
      </c>
    </row>
    <row r="4948" spans="1:16" x14ac:dyDescent="0.25">
      <c r="A4948">
        <v>4604</v>
      </c>
      <c r="B4948" t="s">
        <v>9215</v>
      </c>
      <c r="C4948">
        <v>37.439006641799999</v>
      </c>
      <c r="D4948">
        <v>-7.0855233116800003</v>
      </c>
      <c r="E4948">
        <v>3</v>
      </c>
      <c r="F4948">
        <v>3</v>
      </c>
      <c r="G4948">
        <v>1</v>
      </c>
      <c r="H4948">
        <v>2</v>
      </c>
      <c r="I4948">
        <v>3</v>
      </c>
      <c r="J4948" t="s">
        <v>8005</v>
      </c>
      <c r="K4948">
        <v>3</v>
      </c>
      <c r="L4948">
        <v>3.27</v>
      </c>
      <c r="M4948">
        <v>0</v>
      </c>
      <c r="N4948" t="s">
        <v>10019</v>
      </c>
      <c r="O4948" t="str">
        <f>HYPERLINK("NoConsenso\marker_781_381765.png", "Ver Imagen")</f>
        <v>Ver Imagen</v>
      </c>
      <c r="P4948" t="str">
        <f>HYPERLINK("NE\A-495\A-495__65.png", "Ver Imagen")</f>
        <v>Ver Imagen</v>
      </c>
    </row>
    <row r="4949" spans="1:16" x14ac:dyDescent="0.25">
      <c r="A4949">
        <v>4605</v>
      </c>
      <c r="B4949" t="s">
        <v>9217</v>
      </c>
      <c r="C4949">
        <v>37.438735399099997</v>
      </c>
      <c r="D4949">
        <v>-7.0848557908899998</v>
      </c>
      <c r="E4949">
        <v>4</v>
      </c>
      <c r="F4949">
        <v>3</v>
      </c>
      <c r="G4949">
        <v>5</v>
      </c>
      <c r="H4949">
        <v>3</v>
      </c>
      <c r="I4949">
        <v>3</v>
      </c>
      <c r="J4949" t="s">
        <v>8005</v>
      </c>
      <c r="K4949">
        <v>3</v>
      </c>
      <c r="L4949">
        <v>2.698</v>
      </c>
      <c r="M4949">
        <v>0</v>
      </c>
      <c r="N4949" t="s">
        <v>10019</v>
      </c>
      <c r="O4949" t="str">
        <f>HYPERLINK("NoConsenso\marker_301_381795.png", "Ver Imagen")</f>
        <v>Ver Imagen</v>
      </c>
      <c r="P4949" t="str">
        <f>HYPERLINK("NE\A-495\A-495__68.png", "Ver Imagen")</f>
        <v>Ver Imagen</v>
      </c>
    </row>
    <row r="4950" spans="1:16" x14ac:dyDescent="0.25">
      <c r="A4950">
        <v>4606</v>
      </c>
      <c r="B4950" t="s">
        <v>9219</v>
      </c>
      <c r="C4950">
        <v>37.438484667300003</v>
      </c>
      <c r="D4950">
        <v>-7.0841689051500003</v>
      </c>
      <c r="E4950">
        <v>3</v>
      </c>
      <c r="F4950">
        <v>3</v>
      </c>
      <c r="G4950">
        <v>5</v>
      </c>
      <c r="H4950">
        <v>3</v>
      </c>
      <c r="I4950">
        <v>3</v>
      </c>
      <c r="J4950" t="s">
        <v>8005</v>
      </c>
      <c r="K4950">
        <v>3</v>
      </c>
      <c r="L4950">
        <v>3.1</v>
      </c>
      <c r="M4950">
        <v>0</v>
      </c>
      <c r="N4950" t="s">
        <v>10019</v>
      </c>
      <c r="O4950" t="str">
        <f>HYPERLINK("NoConsenso\marker_251_381826.png", "Ver Imagen")</f>
        <v>Ver Imagen</v>
      </c>
      <c r="P4950" t="str">
        <f>HYPERLINK("NE\A-495\A-495__71.png", "Ver Imagen")</f>
        <v>Ver Imagen</v>
      </c>
    </row>
    <row r="4951" spans="1:16" x14ac:dyDescent="0.25">
      <c r="A4951">
        <v>4607</v>
      </c>
      <c r="B4951" t="s">
        <v>9221</v>
      </c>
      <c r="C4951">
        <v>37.438080231999997</v>
      </c>
      <c r="D4951">
        <v>-7.0829584582700003</v>
      </c>
      <c r="E4951">
        <v>3</v>
      </c>
      <c r="F4951">
        <v>3</v>
      </c>
      <c r="G4951">
        <v>5</v>
      </c>
      <c r="H4951">
        <v>3</v>
      </c>
      <c r="I4951">
        <v>2</v>
      </c>
      <c r="J4951" t="s">
        <v>8052</v>
      </c>
      <c r="K4951">
        <v>2</v>
      </c>
      <c r="L4951">
        <v>1.85</v>
      </c>
      <c r="M4951">
        <v>0</v>
      </c>
      <c r="N4951" t="s">
        <v>10019</v>
      </c>
      <c r="O4951" t="str">
        <f>HYPERLINK("NoConsenso\marker_427_381888.png", "Ver Imagen")</f>
        <v>Ver Imagen</v>
      </c>
      <c r="P4951" t="str">
        <f>HYPERLINK("NE\A-495\A-495__76.png", "Ver Imagen")</f>
        <v>Ver Imagen</v>
      </c>
    </row>
    <row r="4952" spans="1:16" x14ac:dyDescent="0.25">
      <c r="A4952">
        <v>4608</v>
      </c>
      <c r="B4952" t="s">
        <v>9223</v>
      </c>
      <c r="C4952">
        <v>37.437699470600002</v>
      </c>
      <c r="D4952">
        <v>-7.08184496255</v>
      </c>
      <c r="E4952">
        <v>2</v>
      </c>
      <c r="F4952">
        <v>2</v>
      </c>
      <c r="G4952">
        <v>4</v>
      </c>
      <c r="H4952">
        <v>1</v>
      </c>
      <c r="I4952">
        <v>1</v>
      </c>
      <c r="J4952" t="s">
        <v>8052</v>
      </c>
      <c r="K4952">
        <v>1</v>
      </c>
      <c r="L4952">
        <v>1.208</v>
      </c>
      <c r="M4952">
        <v>0</v>
      </c>
      <c r="N4952" t="s">
        <v>10019</v>
      </c>
      <c r="O4952" t="str">
        <f>HYPERLINK("NoConsenso\marker_696_381942.png", "Ver Imagen")</f>
        <v>Ver Imagen</v>
      </c>
      <c r="P4952" t="str">
        <f>HYPERLINK("NE\A-495\A-495__81.png", "Ver Imagen")</f>
        <v>Ver Imagen</v>
      </c>
    </row>
    <row r="4953" spans="1:16" x14ac:dyDescent="0.25">
      <c r="A4953">
        <v>4609</v>
      </c>
      <c r="B4953" t="s">
        <v>9225</v>
      </c>
      <c r="C4953">
        <v>37.437538134299999</v>
      </c>
      <c r="D4953">
        <v>-7.0813872399099997</v>
      </c>
      <c r="E4953">
        <v>3</v>
      </c>
      <c r="F4953">
        <v>3</v>
      </c>
      <c r="G4953">
        <v>1</v>
      </c>
      <c r="H4953">
        <v>2</v>
      </c>
      <c r="I4953">
        <v>3</v>
      </c>
      <c r="J4953" t="s">
        <v>8005</v>
      </c>
      <c r="K4953">
        <v>3</v>
      </c>
      <c r="L4953">
        <v>2.7970000000000002</v>
      </c>
      <c r="M4953">
        <v>0</v>
      </c>
      <c r="N4953" t="s">
        <v>10019</v>
      </c>
      <c r="O4953" t="str">
        <f>HYPERLINK("NoConsenso\marker_610_381967.png", "Ver Imagen")</f>
        <v>Ver Imagen</v>
      </c>
      <c r="P4953" t="str">
        <f>HYPERLINK("NE\A-495\A-495__83.png", "Ver Imagen")</f>
        <v>Ver Imagen</v>
      </c>
    </row>
    <row r="4954" spans="1:16" x14ac:dyDescent="0.25">
      <c r="A4954">
        <v>4610</v>
      </c>
      <c r="B4954" t="s">
        <v>9227</v>
      </c>
      <c r="C4954">
        <v>37.437127494599999</v>
      </c>
      <c r="D4954">
        <v>-7.0803186620799998</v>
      </c>
      <c r="E4954">
        <v>3</v>
      </c>
      <c r="F4954">
        <v>3</v>
      </c>
      <c r="G4954">
        <v>5</v>
      </c>
      <c r="H4954">
        <v>2</v>
      </c>
      <c r="I4954">
        <v>2</v>
      </c>
      <c r="J4954" t="s">
        <v>8052</v>
      </c>
      <c r="K4954">
        <v>2</v>
      </c>
      <c r="L4954">
        <v>2.1</v>
      </c>
      <c r="M4954">
        <v>0</v>
      </c>
      <c r="N4954" t="s">
        <v>10019</v>
      </c>
      <c r="O4954" t="str">
        <f>HYPERLINK("NoConsenso\marker_735_382025.png", "Ver Imagen")</f>
        <v>Ver Imagen</v>
      </c>
      <c r="P4954" t="str">
        <f>HYPERLINK("NE\A-495\A-495__88.png", "Ver Imagen")</f>
        <v>Ver Imagen</v>
      </c>
    </row>
    <row r="4955" spans="1:16" x14ac:dyDescent="0.25">
      <c r="A4955">
        <v>4611</v>
      </c>
      <c r="B4955" t="s">
        <v>9229</v>
      </c>
      <c r="C4955">
        <v>37.437098555399999</v>
      </c>
      <c r="D4955">
        <v>-7.0801439884699997</v>
      </c>
      <c r="E4955">
        <v>3</v>
      </c>
      <c r="F4955">
        <v>3</v>
      </c>
      <c r="G4955">
        <v>5</v>
      </c>
      <c r="H4955">
        <v>2</v>
      </c>
      <c r="I4955">
        <v>3</v>
      </c>
      <c r="J4955" t="s">
        <v>8005</v>
      </c>
      <c r="K4955">
        <v>3</v>
      </c>
      <c r="L4955">
        <v>2.9569999999999999</v>
      </c>
      <c r="M4955">
        <v>0</v>
      </c>
      <c r="N4955" t="s">
        <v>10019</v>
      </c>
      <c r="O4955" t="str">
        <f>HYPERLINK("NoConsenso\marker_995_382045.png", "Ver Imagen")</f>
        <v>Ver Imagen</v>
      </c>
      <c r="P4955" t="str">
        <f>HYPERLINK("NE\A-495\A-495__89.png", "Ver Imagen")</f>
        <v>Ver Imagen</v>
      </c>
    </row>
    <row r="4956" spans="1:16" x14ac:dyDescent="0.25">
      <c r="A4956">
        <v>4612</v>
      </c>
      <c r="B4956" t="s">
        <v>9231</v>
      </c>
      <c r="C4956">
        <v>37.436930597500002</v>
      </c>
      <c r="D4956">
        <v>-7.0796558908799998</v>
      </c>
      <c r="E4956">
        <v>3</v>
      </c>
      <c r="F4956">
        <v>3</v>
      </c>
      <c r="G4956">
        <v>5</v>
      </c>
      <c r="H4956">
        <v>2</v>
      </c>
      <c r="I4956">
        <v>3</v>
      </c>
      <c r="J4956" t="s">
        <v>8005</v>
      </c>
      <c r="K4956">
        <v>3</v>
      </c>
      <c r="L4956">
        <v>2.9289999999999998</v>
      </c>
      <c r="M4956">
        <v>0</v>
      </c>
      <c r="N4956" t="s">
        <v>10019</v>
      </c>
      <c r="O4956" t="str">
        <f>HYPERLINK("NoConsenso\marker_999_382070.png", "Ver Imagen")</f>
        <v>Ver Imagen</v>
      </c>
      <c r="P4956" t="str">
        <f>HYPERLINK("NE\A-495\A-495__91.png", "Ver Imagen")</f>
        <v>Ver Imagen</v>
      </c>
    </row>
    <row r="4957" spans="1:16" x14ac:dyDescent="0.25">
      <c r="A4957">
        <v>4613</v>
      </c>
      <c r="B4957" t="s">
        <v>9233</v>
      </c>
      <c r="C4957">
        <v>37.221046032300002</v>
      </c>
      <c r="D4957">
        <v>-7.0534895250299998</v>
      </c>
      <c r="E4957">
        <v>3</v>
      </c>
      <c r="F4957">
        <v>4</v>
      </c>
      <c r="G4957">
        <v>5</v>
      </c>
      <c r="H4957">
        <v>3</v>
      </c>
      <c r="I4957">
        <v>3</v>
      </c>
      <c r="J4957" t="s">
        <v>8005</v>
      </c>
      <c r="K4957">
        <v>3</v>
      </c>
      <c r="L4957">
        <v>2.6219999999999999</v>
      </c>
      <c r="M4957">
        <v>0</v>
      </c>
      <c r="N4957" t="s">
        <v>10019</v>
      </c>
      <c r="O4957" t="str">
        <f>HYPERLINK("NoConsenso\marker_972_378676.png", "Ver Imagen")</f>
        <v>Ver Imagen</v>
      </c>
      <c r="P4957" t="str">
        <f>HYPERLINK("SE\A-5059\A-5059__84.png", "Ver Imagen")</f>
        <v>Ver Imagen</v>
      </c>
    </row>
    <row r="4958" spans="1:16" x14ac:dyDescent="0.25">
      <c r="A4958">
        <v>4614</v>
      </c>
      <c r="B4958" t="s">
        <v>9235</v>
      </c>
      <c r="C4958">
        <v>37.435495046299998</v>
      </c>
      <c r="D4958">
        <v>-7.0740269526899997</v>
      </c>
      <c r="E4958">
        <v>4</v>
      </c>
      <c r="F4958">
        <v>3</v>
      </c>
      <c r="G4958">
        <v>5</v>
      </c>
      <c r="H4958">
        <v>3</v>
      </c>
      <c r="I4958">
        <v>4</v>
      </c>
      <c r="J4958" t="s">
        <v>8005</v>
      </c>
      <c r="K4958">
        <v>4</v>
      </c>
      <c r="L4958">
        <v>4.1319999999999997</v>
      </c>
      <c r="M4958">
        <v>0</v>
      </c>
      <c r="N4958" t="s">
        <v>10019</v>
      </c>
      <c r="O4958" t="str">
        <f>HYPERLINK("NoConsenso\marker_660_382330.png", "Ver Imagen")</f>
        <v>Ver Imagen</v>
      </c>
      <c r="P4958" t="str">
        <f>HYPERLINK("NE\A-495\A-495__116.png", "Ver Imagen")</f>
        <v>Ver Imagen</v>
      </c>
    </row>
    <row r="4959" spans="1:16" x14ac:dyDescent="0.25">
      <c r="A4959">
        <v>4615</v>
      </c>
      <c r="B4959" t="s">
        <v>9237</v>
      </c>
      <c r="C4959">
        <v>37.435406222700003</v>
      </c>
      <c r="D4959">
        <v>-7.0730024488499996</v>
      </c>
      <c r="E4959">
        <v>3</v>
      </c>
      <c r="F4959">
        <v>3</v>
      </c>
      <c r="G4959">
        <v>5</v>
      </c>
      <c r="H4959">
        <v>2</v>
      </c>
      <c r="I4959">
        <v>2</v>
      </c>
      <c r="J4959" t="s">
        <v>8052</v>
      </c>
      <c r="K4959">
        <v>2</v>
      </c>
      <c r="L4959">
        <v>1.728</v>
      </c>
      <c r="M4959">
        <v>0</v>
      </c>
      <c r="N4959" t="s">
        <v>10019</v>
      </c>
      <c r="O4959" t="str">
        <f>HYPERLINK("NoConsenso\marker_820_382368.png", "Ver Imagen")</f>
        <v>Ver Imagen</v>
      </c>
      <c r="P4959" t="str">
        <f>HYPERLINK("NE\A-495\A-495__120.png", "Ver Imagen")</f>
        <v>Ver Imagen</v>
      </c>
    </row>
    <row r="4960" spans="1:16" x14ac:dyDescent="0.25">
      <c r="A4960">
        <v>4616</v>
      </c>
      <c r="B4960" t="s">
        <v>9239</v>
      </c>
      <c r="C4960">
        <v>37.435385066599999</v>
      </c>
      <c r="D4960">
        <v>-7.0727440786300004</v>
      </c>
      <c r="E4960">
        <v>3</v>
      </c>
      <c r="F4960">
        <v>3</v>
      </c>
      <c r="G4960">
        <v>5</v>
      </c>
      <c r="H4960">
        <v>3</v>
      </c>
      <c r="I4960">
        <v>3</v>
      </c>
      <c r="J4960" t="s">
        <v>8005</v>
      </c>
      <c r="K4960">
        <v>3</v>
      </c>
      <c r="L4960">
        <v>2.7589999999999999</v>
      </c>
      <c r="M4960">
        <v>0</v>
      </c>
      <c r="N4960" t="s">
        <v>10019</v>
      </c>
      <c r="O4960" t="str">
        <f>HYPERLINK("NoConsenso\marker_474_382377.png", "Ver Imagen")</f>
        <v>Ver Imagen</v>
      </c>
      <c r="P4960" t="str">
        <f>HYPERLINK("NE\A-495\A-495__121.png", "Ver Imagen")</f>
        <v>Ver Imagen</v>
      </c>
    </row>
    <row r="4961" spans="1:16" x14ac:dyDescent="0.25">
      <c r="A4961">
        <v>4619</v>
      </c>
      <c r="B4961" t="s">
        <v>9245</v>
      </c>
      <c r="C4961">
        <v>37.234646633899999</v>
      </c>
      <c r="D4961">
        <v>-7.0719821676199999</v>
      </c>
      <c r="E4961">
        <v>3</v>
      </c>
      <c r="F4961">
        <v>2</v>
      </c>
      <c r="G4961">
        <v>4</v>
      </c>
      <c r="H4961">
        <v>2</v>
      </c>
      <c r="I4961">
        <v>1</v>
      </c>
      <c r="J4961" t="s">
        <v>8052</v>
      </c>
      <c r="K4961">
        <v>1</v>
      </c>
      <c r="L4961">
        <v>1.0089999999999999</v>
      </c>
      <c r="M4961">
        <v>0</v>
      </c>
      <c r="N4961" t="s">
        <v>10019</v>
      </c>
      <c r="O4961" t="str">
        <f>HYPERLINK("NoConsenso\marker_221_382828.png", "Ver Imagen")</f>
        <v>Ver Imagen</v>
      </c>
      <c r="P4961" t="str">
        <f>HYPERLINK("SE\A-5058\A-5058__194.png", "Ver Imagen")</f>
        <v>Ver Imagen</v>
      </c>
    </row>
    <row r="4962" spans="1:16" x14ac:dyDescent="0.25">
      <c r="A4962">
        <v>4620</v>
      </c>
      <c r="B4962" t="s">
        <v>9247</v>
      </c>
      <c r="C4962">
        <v>37.234862778900002</v>
      </c>
      <c r="D4962">
        <v>-7.0726528652600003</v>
      </c>
      <c r="E4962">
        <v>3</v>
      </c>
      <c r="F4962">
        <v>2</v>
      </c>
      <c r="G4962">
        <v>4</v>
      </c>
      <c r="H4962">
        <v>2</v>
      </c>
      <c r="I4962">
        <v>1</v>
      </c>
      <c r="J4962" t="s">
        <v>8005</v>
      </c>
      <c r="K4962">
        <v>2</v>
      </c>
      <c r="L4962">
        <v>2.4449999999999998</v>
      </c>
      <c r="M4962">
        <v>0</v>
      </c>
      <c r="N4962" t="s">
        <v>10019</v>
      </c>
      <c r="O4962" t="str">
        <f>HYPERLINK("NoConsenso\marker_407_382856.png", "Ver Imagen")</f>
        <v>Ver Imagen</v>
      </c>
      <c r="P4962" t="str">
        <f>HYPERLINK("SE\A-5058\A-5058__197.png", "Ver Imagen")</f>
        <v>Ver Imagen</v>
      </c>
    </row>
    <row r="4963" spans="1:16" x14ac:dyDescent="0.25">
      <c r="A4963">
        <v>4621</v>
      </c>
      <c r="B4963" t="s">
        <v>9249</v>
      </c>
      <c r="C4963">
        <v>37.235504255999999</v>
      </c>
      <c r="D4963">
        <v>-7.0739227229599999</v>
      </c>
      <c r="E4963">
        <v>3</v>
      </c>
      <c r="F4963">
        <v>2</v>
      </c>
      <c r="G4963">
        <v>4</v>
      </c>
      <c r="H4963">
        <v>2</v>
      </c>
      <c r="I4963">
        <v>2</v>
      </c>
      <c r="J4963" t="s">
        <v>8005</v>
      </c>
      <c r="K4963">
        <v>2</v>
      </c>
      <c r="L4963">
        <v>2.419</v>
      </c>
      <c r="M4963">
        <v>0</v>
      </c>
      <c r="N4963" t="s">
        <v>10019</v>
      </c>
      <c r="O4963" t="str">
        <f>HYPERLINK("NoConsenso\marker_992_382920.png", "Ver Imagen")</f>
        <v>Ver Imagen</v>
      </c>
      <c r="P4963" t="str">
        <f>HYPERLINK("SE\A-5058\A-5058__203.png", "Ver Imagen")</f>
        <v>Ver Imagen</v>
      </c>
    </row>
    <row r="4964" spans="1:16" x14ac:dyDescent="0.25">
      <c r="A4964">
        <v>4621</v>
      </c>
      <c r="B4964" t="s">
        <v>9249</v>
      </c>
      <c r="C4964">
        <v>37.235504255999999</v>
      </c>
      <c r="D4964">
        <v>-7.0739227229599999</v>
      </c>
      <c r="E4964">
        <v>3</v>
      </c>
      <c r="F4964">
        <v>2</v>
      </c>
      <c r="G4964">
        <v>4</v>
      </c>
      <c r="H4964">
        <v>2</v>
      </c>
      <c r="I4964">
        <v>2</v>
      </c>
      <c r="J4964" t="s">
        <v>8005</v>
      </c>
      <c r="K4964">
        <v>2</v>
      </c>
      <c r="L4964">
        <v>2.2829999999999999</v>
      </c>
      <c r="M4964">
        <v>0</v>
      </c>
      <c r="N4964" t="s">
        <v>10019</v>
      </c>
      <c r="O4964" t="str">
        <f>HYPERLINK("NoConsenso\marker_992_382920.png", "Ver Imagen")</f>
        <v>Ver Imagen</v>
      </c>
      <c r="P4964" t="str">
        <f>HYPERLINK("SO\A-5058\A-5058__203.png", "Ver Imagen")</f>
        <v>Ver Imagen</v>
      </c>
    </row>
    <row r="4965" spans="1:16" x14ac:dyDescent="0.25">
      <c r="A4965">
        <v>4622</v>
      </c>
      <c r="B4965" t="s">
        <v>9251</v>
      </c>
      <c r="C4965">
        <v>37.238219489700001</v>
      </c>
      <c r="D4965">
        <v>-7.0787057613900002</v>
      </c>
      <c r="E4965">
        <v>3</v>
      </c>
      <c r="F4965">
        <v>2</v>
      </c>
      <c r="G4965">
        <v>4</v>
      </c>
      <c r="H4965">
        <v>2</v>
      </c>
      <c r="I4965">
        <v>2</v>
      </c>
      <c r="J4965" t="s">
        <v>8005</v>
      </c>
      <c r="K4965">
        <v>2</v>
      </c>
      <c r="L4965">
        <v>2.173</v>
      </c>
      <c r="M4965">
        <v>0</v>
      </c>
      <c r="N4965" t="s">
        <v>10019</v>
      </c>
      <c r="O4965" t="str">
        <f>HYPERLINK("NoConsenso\marker_221_383199.png", "Ver Imagen")</f>
        <v>Ver Imagen</v>
      </c>
      <c r="P4965" t="str">
        <f>HYPERLINK("SE\A-5058\A-5058__226.png", "Ver Imagen")</f>
        <v>Ver Imagen</v>
      </c>
    </row>
    <row r="4966" spans="1:16" x14ac:dyDescent="0.25">
      <c r="A4966">
        <v>4622</v>
      </c>
      <c r="B4966" t="s">
        <v>9251</v>
      </c>
      <c r="C4966">
        <v>37.238219489700001</v>
      </c>
      <c r="D4966">
        <v>-7.0787057613900002</v>
      </c>
      <c r="E4966">
        <v>3</v>
      </c>
      <c r="F4966">
        <v>2</v>
      </c>
      <c r="G4966">
        <v>4</v>
      </c>
      <c r="H4966">
        <v>2</v>
      </c>
      <c r="I4966">
        <v>2</v>
      </c>
      <c r="J4966" t="s">
        <v>8005</v>
      </c>
      <c r="K4966">
        <v>2</v>
      </c>
      <c r="L4966">
        <v>2.024</v>
      </c>
      <c r="M4966">
        <v>0</v>
      </c>
      <c r="N4966" t="s">
        <v>10019</v>
      </c>
      <c r="O4966" t="str">
        <f>HYPERLINK("NoConsenso\marker_221_383199.png", "Ver Imagen")</f>
        <v>Ver Imagen</v>
      </c>
      <c r="P4966" t="str">
        <f>HYPERLINK("SO\A-5058\A-5058__226.png", "Ver Imagen")</f>
        <v>Ver Imagen</v>
      </c>
    </row>
    <row r="4967" spans="1:16" x14ac:dyDescent="0.25">
      <c r="A4967">
        <v>4623</v>
      </c>
      <c r="B4967" t="s">
        <v>9253</v>
      </c>
      <c r="C4967">
        <v>37.241678919899996</v>
      </c>
      <c r="D4967">
        <v>-7.0839572134599997</v>
      </c>
      <c r="E4967">
        <v>3</v>
      </c>
      <c r="F4967">
        <v>2</v>
      </c>
      <c r="G4967">
        <v>4</v>
      </c>
      <c r="H4967">
        <v>2</v>
      </c>
      <c r="I4967">
        <v>2</v>
      </c>
      <c r="J4967" t="s">
        <v>8005</v>
      </c>
      <c r="K4967">
        <v>2</v>
      </c>
      <c r="L4967">
        <v>2.302</v>
      </c>
      <c r="M4967">
        <v>0</v>
      </c>
      <c r="N4967" t="s">
        <v>10019</v>
      </c>
      <c r="O4967" t="str">
        <f>HYPERLINK("NoConsenso\marker_604_383556.png", "Ver Imagen")</f>
        <v>Ver Imagen</v>
      </c>
      <c r="P4967" t="str">
        <f>HYPERLINK("SE\A-5058\A-5058__253.png", "Ver Imagen")</f>
        <v>Ver Imagen</v>
      </c>
    </row>
    <row r="4968" spans="1:16" x14ac:dyDescent="0.25">
      <c r="A4968">
        <v>4623</v>
      </c>
      <c r="B4968" t="s">
        <v>9253</v>
      </c>
      <c r="C4968">
        <v>37.241678919899996</v>
      </c>
      <c r="D4968">
        <v>-7.0839572134599997</v>
      </c>
      <c r="E4968">
        <v>3</v>
      </c>
      <c r="F4968">
        <v>2</v>
      </c>
      <c r="G4968">
        <v>4</v>
      </c>
      <c r="H4968">
        <v>2</v>
      </c>
      <c r="I4968">
        <v>2</v>
      </c>
      <c r="J4968" t="s">
        <v>8005</v>
      </c>
      <c r="K4968">
        <v>2</v>
      </c>
      <c r="L4968">
        <v>2.3889999999999998</v>
      </c>
      <c r="M4968">
        <v>0</v>
      </c>
      <c r="N4968" t="s">
        <v>10019</v>
      </c>
      <c r="O4968" t="str">
        <f>HYPERLINK("NoConsenso\marker_604_383556.png", "Ver Imagen")</f>
        <v>Ver Imagen</v>
      </c>
      <c r="P4968" t="str">
        <f>HYPERLINK("SO\A-5058\A-5058__253.png", "Ver Imagen")</f>
        <v>Ver Imagen</v>
      </c>
    </row>
    <row r="4969" spans="1:16" x14ac:dyDescent="0.25">
      <c r="A4969">
        <v>4626</v>
      </c>
      <c r="B4969" t="s">
        <v>9259</v>
      </c>
      <c r="C4969">
        <v>37.255375557699999</v>
      </c>
      <c r="D4969">
        <v>-7.1106908937900002</v>
      </c>
      <c r="E4969">
        <v>3</v>
      </c>
      <c r="F4969">
        <v>2</v>
      </c>
      <c r="G4969">
        <v>4</v>
      </c>
      <c r="H4969">
        <v>1</v>
      </c>
      <c r="I4969">
        <v>2</v>
      </c>
      <c r="J4969" t="s">
        <v>8005</v>
      </c>
      <c r="K4969">
        <v>2</v>
      </c>
      <c r="L4969">
        <v>2.3610000000000002</v>
      </c>
      <c r="M4969">
        <v>0</v>
      </c>
      <c r="N4969" t="s">
        <v>10018</v>
      </c>
      <c r="O4969" t="str">
        <f>HYPERLINK("NoConsenso\marker_978_385258.png", "Ver Imagen")</f>
        <v>Ver Imagen</v>
      </c>
      <c r="P4969" t="str">
        <f>HYPERLINK("SO\A-5058\A-5058__385.png", "Ver Imagen")</f>
        <v>Ver Imagen</v>
      </c>
    </row>
    <row r="4970" spans="1:16" x14ac:dyDescent="0.25">
      <c r="A4970">
        <v>4627</v>
      </c>
      <c r="B4970" t="s">
        <v>9261</v>
      </c>
      <c r="C4970">
        <v>37.255382617800002</v>
      </c>
      <c r="D4970">
        <v>-7.1109169864100004</v>
      </c>
      <c r="E4970">
        <v>3</v>
      </c>
      <c r="F4970">
        <v>2</v>
      </c>
      <c r="G4970">
        <v>4</v>
      </c>
      <c r="H4970">
        <v>2</v>
      </c>
      <c r="I4970">
        <v>2</v>
      </c>
      <c r="J4970" t="s">
        <v>8005</v>
      </c>
      <c r="K4970">
        <v>2</v>
      </c>
      <c r="L4970">
        <v>2.4969999999999999</v>
      </c>
      <c r="M4970">
        <v>0</v>
      </c>
      <c r="N4970" t="s">
        <v>10019</v>
      </c>
      <c r="O4970" t="str">
        <f>HYPERLINK("NoConsenso\marker_394_385268.png", "Ver Imagen")</f>
        <v>Ver Imagen</v>
      </c>
      <c r="P4970" t="str">
        <f>HYPERLINK("SO\A-5058\A-5058__386.png", "Ver Imagen")</f>
        <v>Ver Imagen</v>
      </c>
    </row>
    <row r="4971" spans="1:16" x14ac:dyDescent="0.25">
      <c r="A4971">
        <v>4628</v>
      </c>
      <c r="B4971" t="s">
        <v>9263</v>
      </c>
      <c r="C4971">
        <v>37.255376013099998</v>
      </c>
      <c r="D4971">
        <v>-7.1111734133300004</v>
      </c>
      <c r="E4971">
        <v>3</v>
      </c>
      <c r="F4971">
        <v>2</v>
      </c>
      <c r="G4971">
        <v>4</v>
      </c>
      <c r="H4971">
        <v>2</v>
      </c>
      <c r="I4971">
        <v>2</v>
      </c>
      <c r="J4971" t="s">
        <v>8005</v>
      </c>
      <c r="K4971">
        <v>2</v>
      </c>
      <c r="L4971">
        <v>2.246</v>
      </c>
      <c r="M4971">
        <v>0</v>
      </c>
      <c r="N4971" t="s">
        <v>10019</v>
      </c>
      <c r="O4971" t="str">
        <f>HYPERLINK("NoConsenso\marker_402_385278.png", "Ver Imagen")</f>
        <v>Ver Imagen</v>
      </c>
      <c r="P4971" t="str">
        <f>HYPERLINK("SO\A-5058\A-5058__387.png", "Ver Imagen")</f>
        <v>Ver Imagen</v>
      </c>
    </row>
    <row r="4972" spans="1:16" x14ac:dyDescent="0.25">
      <c r="A4972">
        <v>4629</v>
      </c>
      <c r="B4972" t="s">
        <v>9265</v>
      </c>
      <c r="C4972">
        <v>37.255111172399999</v>
      </c>
      <c r="D4972">
        <v>-7.1174468928000003</v>
      </c>
      <c r="E4972">
        <v>3</v>
      </c>
      <c r="F4972">
        <v>2</v>
      </c>
      <c r="G4972">
        <v>4</v>
      </c>
      <c r="H4972">
        <v>2</v>
      </c>
      <c r="I4972">
        <v>2</v>
      </c>
      <c r="J4972" t="s">
        <v>8005</v>
      </c>
      <c r="K4972">
        <v>2</v>
      </c>
      <c r="L4972">
        <v>2.1</v>
      </c>
      <c r="M4972">
        <v>0</v>
      </c>
      <c r="N4972" t="s">
        <v>10019</v>
      </c>
      <c r="O4972" t="str">
        <f>HYPERLINK("NoConsenso\marker_295_388679.png", "Ver Imagen")</f>
        <v>Ver Imagen</v>
      </c>
      <c r="P4972" t="str">
        <f>HYPERLINK("SO\A-5058\A-5058__413.png", "Ver Imagen")</f>
        <v>Ver Imagen</v>
      </c>
    </row>
    <row r="4973" spans="1:16" x14ac:dyDescent="0.25">
      <c r="A4973">
        <v>4630</v>
      </c>
      <c r="B4973" t="s">
        <v>9267</v>
      </c>
      <c r="C4973">
        <v>37.256550867000001</v>
      </c>
      <c r="D4973">
        <v>-7.1187973395900004</v>
      </c>
      <c r="E4973">
        <v>3</v>
      </c>
      <c r="F4973">
        <v>2</v>
      </c>
      <c r="G4973">
        <v>4</v>
      </c>
      <c r="H4973">
        <v>2</v>
      </c>
      <c r="I4973">
        <v>2</v>
      </c>
      <c r="J4973" t="s">
        <v>8005</v>
      </c>
      <c r="K4973">
        <v>2</v>
      </c>
      <c r="L4973">
        <v>2.335</v>
      </c>
      <c r="M4973">
        <v>0</v>
      </c>
      <c r="N4973" t="s">
        <v>10019</v>
      </c>
      <c r="O4973" t="str">
        <f>HYPERLINK("NoConsenso\marker_850_388772.png", "Ver Imagen")</f>
        <v>Ver Imagen</v>
      </c>
      <c r="P4973" t="str">
        <f>HYPERLINK("SO\A-5058\A-5058__422.png", "Ver Imagen")</f>
        <v>Ver Imagen</v>
      </c>
    </row>
    <row r="4974" spans="1:16" x14ac:dyDescent="0.25">
      <c r="A4974">
        <v>4631</v>
      </c>
      <c r="B4974" t="s">
        <v>9269</v>
      </c>
      <c r="C4974">
        <v>37.257769337799999</v>
      </c>
      <c r="D4974">
        <v>-7.1196901660899998</v>
      </c>
      <c r="E4974">
        <v>3</v>
      </c>
      <c r="F4974">
        <v>2</v>
      </c>
      <c r="G4974">
        <v>4</v>
      </c>
      <c r="H4974">
        <v>2</v>
      </c>
      <c r="I4974">
        <v>3</v>
      </c>
      <c r="J4974" t="s">
        <v>8005</v>
      </c>
      <c r="K4974">
        <v>3</v>
      </c>
      <c r="L4974">
        <v>2.9129999999999998</v>
      </c>
      <c r="M4974">
        <v>0</v>
      </c>
      <c r="N4974" t="s">
        <v>10018</v>
      </c>
      <c r="O4974" t="str">
        <f>HYPERLINK("NoConsenso\marker_578_388843.png", "Ver Imagen")</f>
        <v>Ver Imagen</v>
      </c>
      <c r="P4974" t="str">
        <f>HYPERLINK("SO\A-5058\A-5058__429.png", "Ver Imagen")</f>
        <v>Ver Imagen</v>
      </c>
    </row>
    <row r="4975" spans="1:16" x14ac:dyDescent="0.25">
      <c r="A4975">
        <v>4632</v>
      </c>
      <c r="B4975" t="s">
        <v>9271</v>
      </c>
      <c r="C4975">
        <v>37.258894044500003</v>
      </c>
      <c r="D4975">
        <v>-7.1235269267100003</v>
      </c>
      <c r="E4975">
        <v>4</v>
      </c>
      <c r="F4975">
        <v>3</v>
      </c>
      <c r="G4975">
        <v>5</v>
      </c>
      <c r="H4975">
        <v>3</v>
      </c>
      <c r="I4975">
        <v>4</v>
      </c>
      <c r="J4975" t="s">
        <v>8005</v>
      </c>
      <c r="K4975">
        <v>4</v>
      </c>
      <c r="L4975">
        <v>4.0860000000000003</v>
      </c>
      <c r="M4975">
        <v>0</v>
      </c>
      <c r="N4975" t="s">
        <v>10019</v>
      </c>
      <c r="O4975" t="str">
        <f>HYPERLINK("NoConsenso\marker_146_389037.png", "Ver Imagen")</f>
        <v>Ver Imagen</v>
      </c>
      <c r="P4975" t="str">
        <f>HYPERLINK("SO\A-5058\A-5058__446.png", "Ver Imagen")</f>
        <v>Ver Imagen</v>
      </c>
    </row>
    <row r="4976" spans="1:16" x14ac:dyDescent="0.25">
      <c r="A4976">
        <v>4633</v>
      </c>
      <c r="B4976" t="s">
        <v>9273</v>
      </c>
      <c r="C4976">
        <v>37.2589180931</v>
      </c>
      <c r="D4976">
        <v>-7.1238292239099996</v>
      </c>
      <c r="E4976">
        <v>4</v>
      </c>
      <c r="F4976">
        <v>3</v>
      </c>
      <c r="G4976">
        <v>5</v>
      </c>
      <c r="H4976">
        <v>3</v>
      </c>
      <c r="I4976">
        <v>4</v>
      </c>
      <c r="J4976" t="s">
        <v>8005</v>
      </c>
      <c r="K4976">
        <v>4</v>
      </c>
      <c r="L4976">
        <v>3.6019999999999999</v>
      </c>
      <c r="M4976">
        <v>0</v>
      </c>
      <c r="N4976" t="s">
        <v>10019</v>
      </c>
      <c r="O4976" t="str">
        <f>HYPERLINK("NoConsenso\marker_101_389046.png", "Ver Imagen")</f>
        <v>Ver Imagen</v>
      </c>
      <c r="P4976" t="str">
        <f>HYPERLINK("SO\A-5058\A-5058__447.png", "Ver Imagen")</f>
        <v>Ver Imagen</v>
      </c>
    </row>
    <row r="4977" spans="1:16" x14ac:dyDescent="0.25">
      <c r="A4977">
        <v>4634</v>
      </c>
      <c r="B4977" t="s">
        <v>9275</v>
      </c>
      <c r="C4977">
        <v>37.258990104399999</v>
      </c>
      <c r="D4977">
        <v>-7.1245738105500003</v>
      </c>
      <c r="E4977">
        <v>4</v>
      </c>
      <c r="F4977">
        <v>3</v>
      </c>
      <c r="G4977">
        <v>5</v>
      </c>
      <c r="H4977">
        <v>3</v>
      </c>
      <c r="I4977">
        <v>3</v>
      </c>
      <c r="J4977" t="s">
        <v>8005</v>
      </c>
      <c r="K4977">
        <v>3</v>
      </c>
      <c r="L4977">
        <v>3.0459999999999998</v>
      </c>
      <c r="M4977">
        <v>0</v>
      </c>
      <c r="N4977" t="s">
        <v>10019</v>
      </c>
      <c r="O4977" t="str">
        <f>HYPERLINK("NoConsenso\marker_809_389075.png", "Ver Imagen")</f>
        <v>Ver Imagen</v>
      </c>
      <c r="P4977" t="str">
        <f>HYPERLINK("SO\A-5058\A-5058__450.png", "Ver Imagen")</f>
        <v>Ver Imagen</v>
      </c>
    </row>
    <row r="4978" spans="1:16" x14ac:dyDescent="0.25">
      <c r="A4978">
        <v>4635</v>
      </c>
      <c r="B4978" t="s">
        <v>9277</v>
      </c>
      <c r="C4978">
        <v>37.259030052900002</v>
      </c>
      <c r="D4978">
        <v>-7.1248279390300002</v>
      </c>
      <c r="E4978">
        <v>3</v>
      </c>
      <c r="F4978">
        <v>3</v>
      </c>
      <c r="G4978">
        <v>5</v>
      </c>
      <c r="H4978">
        <v>2</v>
      </c>
      <c r="I4978">
        <v>3</v>
      </c>
      <c r="J4978" t="s">
        <v>8005</v>
      </c>
      <c r="K4978">
        <v>3</v>
      </c>
      <c r="L4978">
        <v>3.3180000000000001</v>
      </c>
      <c r="M4978">
        <v>0</v>
      </c>
      <c r="N4978" t="s">
        <v>10018</v>
      </c>
      <c r="O4978" t="str">
        <f>HYPERLINK("NoConsenso\marker_821_389084.png", "Ver Imagen")</f>
        <v>Ver Imagen</v>
      </c>
      <c r="P4978" t="str">
        <f>HYPERLINK("SO\A-5058\A-5058__451.png", "Ver Imagen")</f>
        <v>Ver Imagen</v>
      </c>
    </row>
    <row r="4979" spans="1:16" x14ac:dyDescent="0.25">
      <c r="A4979">
        <v>4638</v>
      </c>
      <c r="B4979" t="s">
        <v>9283</v>
      </c>
      <c r="C4979">
        <v>37.261066654099999</v>
      </c>
      <c r="D4979">
        <v>-7.1281587782600004</v>
      </c>
      <c r="E4979">
        <v>3</v>
      </c>
      <c r="F4979">
        <v>2</v>
      </c>
      <c r="G4979">
        <v>4</v>
      </c>
      <c r="H4979">
        <v>1</v>
      </c>
      <c r="I4979">
        <v>1</v>
      </c>
      <c r="J4979" t="s">
        <v>8052</v>
      </c>
      <c r="K4979">
        <v>1</v>
      </c>
      <c r="L4979">
        <v>1.1779999999999999</v>
      </c>
      <c r="M4979">
        <v>0</v>
      </c>
      <c r="N4979" t="s">
        <v>10019</v>
      </c>
      <c r="O4979" t="str">
        <f>HYPERLINK("NoConsenso\marker_975_389386.png", "Ver Imagen")</f>
        <v>Ver Imagen</v>
      </c>
      <c r="P4979" t="str">
        <f>HYPERLINK("SO\A-5058\A-5058__468.png", "Ver Imagen")</f>
        <v>Ver Imagen</v>
      </c>
    </row>
    <row r="4980" spans="1:16" x14ac:dyDescent="0.25">
      <c r="A4980">
        <v>4640</v>
      </c>
      <c r="B4980" t="s">
        <v>9287</v>
      </c>
      <c r="C4980">
        <v>37.4836230517</v>
      </c>
      <c r="D4980">
        <v>-7.1295216251299998</v>
      </c>
      <c r="E4980">
        <v>2</v>
      </c>
      <c r="F4980">
        <v>3</v>
      </c>
      <c r="G4980">
        <v>4</v>
      </c>
      <c r="H4980">
        <v>2</v>
      </c>
      <c r="I4980">
        <v>1</v>
      </c>
      <c r="J4980" t="s">
        <v>8005</v>
      </c>
      <c r="K4980">
        <v>2</v>
      </c>
      <c r="L4980">
        <v>1.7829999999999999</v>
      </c>
      <c r="M4980">
        <v>0</v>
      </c>
      <c r="N4980" t="s">
        <v>10019</v>
      </c>
      <c r="O4980" t="str">
        <f>HYPERLINK("NoConsenso\marker_100_383748.png", "Ver Imagen")</f>
        <v>Ver Imagen</v>
      </c>
      <c r="P4980" t="str">
        <f>HYPERLINK("NE\A-495_1\A-495_1__188.png", "Ver Imagen")</f>
        <v>Ver Imagen</v>
      </c>
    </row>
    <row r="4981" spans="1:16" x14ac:dyDescent="0.25">
      <c r="A4981">
        <v>4641</v>
      </c>
      <c r="B4981" t="s">
        <v>9289</v>
      </c>
      <c r="C4981">
        <v>37.480536313400002</v>
      </c>
      <c r="D4981">
        <v>-7.1277583396799997</v>
      </c>
      <c r="E4981">
        <v>5</v>
      </c>
      <c r="F4981">
        <v>3</v>
      </c>
      <c r="G4981">
        <v>4</v>
      </c>
      <c r="H4981">
        <v>4</v>
      </c>
      <c r="I4981">
        <v>3</v>
      </c>
      <c r="J4981" t="s">
        <v>8005</v>
      </c>
      <c r="K4981">
        <v>4</v>
      </c>
      <c r="L4981">
        <v>3.9449999999999998</v>
      </c>
      <c r="M4981">
        <v>0</v>
      </c>
      <c r="N4981" t="s">
        <v>10019</v>
      </c>
      <c r="O4981" t="str">
        <f>HYPERLINK("NoConsenso\marker_258_383976.png", "Ver Imagen")</f>
        <v>Ver Imagen</v>
      </c>
      <c r="P4981" t="str">
        <f>HYPERLINK("NE\A-495_1\A-495_1__171.png", "Ver Imagen")</f>
        <v>Ver Imagen</v>
      </c>
    </row>
    <row r="4982" spans="1:16" x14ac:dyDescent="0.25">
      <c r="A4982">
        <v>4642</v>
      </c>
      <c r="B4982" t="s">
        <v>9291</v>
      </c>
      <c r="C4982">
        <v>37.479328979100003</v>
      </c>
      <c r="D4982">
        <v>-7.1280194446199996</v>
      </c>
      <c r="E4982">
        <v>5</v>
      </c>
      <c r="F4982">
        <v>3</v>
      </c>
      <c r="G4982">
        <v>4</v>
      </c>
      <c r="H4982">
        <v>3</v>
      </c>
      <c r="I4982">
        <v>3</v>
      </c>
      <c r="J4982" t="s">
        <v>8005</v>
      </c>
      <c r="K4982">
        <v>3</v>
      </c>
      <c r="L4982">
        <v>2.9830000000000001</v>
      </c>
      <c r="M4982">
        <v>0</v>
      </c>
      <c r="N4982" t="s">
        <v>10019</v>
      </c>
      <c r="O4982" t="str">
        <f>HYPERLINK("NoConsenso\marker_879_384038.png", "Ver Imagen")</f>
        <v>Ver Imagen</v>
      </c>
      <c r="P4982" t="str">
        <f>HYPERLINK("NE\A-495_1\A-495_1__165.png", "Ver Imagen")</f>
        <v>Ver Imagen</v>
      </c>
    </row>
    <row r="4983" spans="1:16" x14ac:dyDescent="0.25">
      <c r="A4983">
        <v>4643</v>
      </c>
      <c r="B4983" t="s">
        <v>9293</v>
      </c>
      <c r="C4983">
        <v>37.478950059100001</v>
      </c>
      <c r="D4983">
        <v>-7.1279605572899998</v>
      </c>
      <c r="E4983">
        <v>4</v>
      </c>
      <c r="F4983">
        <v>3</v>
      </c>
      <c r="G4983">
        <v>2</v>
      </c>
      <c r="H4983">
        <v>2</v>
      </c>
      <c r="I4983">
        <v>2</v>
      </c>
      <c r="J4983" t="s">
        <v>8005</v>
      </c>
      <c r="K4983">
        <v>2</v>
      </c>
      <c r="L4983">
        <v>2.2229999999999999</v>
      </c>
      <c r="M4983">
        <v>0</v>
      </c>
      <c r="N4983" t="s">
        <v>10019</v>
      </c>
      <c r="O4983" t="str">
        <f>HYPERLINK("NoConsenso\marker_338_384055.png", "Ver Imagen")</f>
        <v>Ver Imagen</v>
      </c>
      <c r="P4983" t="str">
        <f>HYPERLINK("NE\A-495_1\A-495_1__163.png", "Ver Imagen")</f>
        <v>Ver Imagen</v>
      </c>
    </row>
    <row r="4984" spans="1:16" x14ac:dyDescent="0.25">
      <c r="A4984">
        <v>4644</v>
      </c>
      <c r="B4984" t="s">
        <v>9295</v>
      </c>
      <c r="C4984">
        <v>37.478388455599998</v>
      </c>
      <c r="D4984">
        <v>-7.1276847702400001</v>
      </c>
      <c r="E4984">
        <v>5</v>
      </c>
      <c r="F4984">
        <v>3</v>
      </c>
      <c r="G4984">
        <v>4</v>
      </c>
      <c r="H4984">
        <v>3</v>
      </c>
      <c r="I4984">
        <v>2</v>
      </c>
      <c r="J4984" t="s">
        <v>8005</v>
      </c>
      <c r="K4984">
        <v>3</v>
      </c>
      <c r="L4984">
        <v>3.0059999999999998</v>
      </c>
      <c r="M4984">
        <v>0</v>
      </c>
      <c r="N4984" t="s">
        <v>10019</v>
      </c>
      <c r="O4984" t="str">
        <f>HYPERLINK("NoConsenso\marker_266_384094.png", "Ver Imagen")</f>
        <v>Ver Imagen</v>
      </c>
      <c r="P4984" t="str">
        <f>HYPERLINK("NE\A-495_1\A-495_1__160.png", "Ver Imagen")</f>
        <v>Ver Imagen</v>
      </c>
    </row>
    <row r="4985" spans="1:16" x14ac:dyDescent="0.25">
      <c r="A4985">
        <v>4645</v>
      </c>
      <c r="B4985" t="s">
        <v>9297</v>
      </c>
      <c r="C4985">
        <v>37.477801395</v>
      </c>
      <c r="D4985">
        <v>-7.1270296388499998</v>
      </c>
      <c r="E4985">
        <v>5</v>
      </c>
      <c r="F4985">
        <v>3</v>
      </c>
      <c r="G4985">
        <v>3</v>
      </c>
      <c r="H4985">
        <v>2</v>
      </c>
      <c r="I4985">
        <v>2</v>
      </c>
      <c r="J4985" t="s">
        <v>8005</v>
      </c>
      <c r="K4985">
        <v>3</v>
      </c>
      <c r="L4985">
        <v>2.802</v>
      </c>
      <c r="M4985">
        <v>0</v>
      </c>
      <c r="N4985" t="s">
        <v>10019</v>
      </c>
      <c r="O4985" t="str">
        <f>HYPERLINK("NoConsenso\marker_908_384148.png", "Ver Imagen")</f>
        <v>Ver Imagen</v>
      </c>
      <c r="P4985" t="str">
        <f>HYPERLINK("NE\A-495_1\A-495_1__156.png", "Ver Imagen")</f>
        <v>Ver Imagen</v>
      </c>
    </row>
    <row r="4986" spans="1:16" x14ac:dyDescent="0.25">
      <c r="A4986">
        <v>4646</v>
      </c>
      <c r="B4986" t="s">
        <v>9299</v>
      </c>
      <c r="C4986">
        <v>37.477662707299999</v>
      </c>
      <c r="D4986">
        <v>-7.1268358664000004</v>
      </c>
      <c r="E4986">
        <v>5</v>
      </c>
      <c r="F4986">
        <v>3</v>
      </c>
      <c r="G4986">
        <v>4</v>
      </c>
      <c r="H4986">
        <v>3</v>
      </c>
      <c r="I4986">
        <v>3</v>
      </c>
      <c r="J4986" t="s">
        <v>8005</v>
      </c>
      <c r="K4986">
        <v>3</v>
      </c>
      <c r="L4986">
        <v>2.992</v>
      </c>
      <c r="M4986">
        <v>0</v>
      </c>
      <c r="N4986" t="s">
        <v>10017</v>
      </c>
      <c r="O4986" t="str">
        <f>HYPERLINK("NoConsenso\marker_224_384167.png", "Ver Imagen")</f>
        <v>Ver Imagen</v>
      </c>
      <c r="P4986" t="str">
        <f>HYPERLINK("NE\A-495_1\A-495_1__155.png", "Ver Imagen")</f>
        <v>Ver Imagen</v>
      </c>
    </row>
    <row r="4987" spans="1:16" x14ac:dyDescent="0.25">
      <c r="A4987">
        <v>4647</v>
      </c>
      <c r="B4987" t="s">
        <v>9301</v>
      </c>
      <c r="C4987">
        <v>37.477261398400003</v>
      </c>
      <c r="D4987">
        <v>-7.12624825359</v>
      </c>
      <c r="E4987">
        <v>5</v>
      </c>
      <c r="F4987">
        <v>3</v>
      </c>
      <c r="G4987">
        <v>4</v>
      </c>
      <c r="H4987">
        <v>3</v>
      </c>
      <c r="I4987">
        <v>3</v>
      </c>
      <c r="J4987" t="s">
        <v>8005</v>
      </c>
      <c r="K4987">
        <v>3</v>
      </c>
      <c r="L4987">
        <v>3.343</v>
      </c>
      <c r="M4987">
        <v>0</v>
      </c>
      <c r="N4987" t="s">
        <v>10019</v>
      </c>
      <c r="O4987" t="str">
        <f>HYPERLINK("NoConsenso\marker_831_384193.png", "Ver Imagen")</f>
        <v>Ver Imagen</v>
      </c>
      <c r="P4987" t="str">
        <f>HYPERLINK("NE\A-495_1\A-495_1__152.png", "Ver Imagen")</f>
        <v>Ver Imagen</v>
      </c>
    </row>
    <row r="4988" spans="1:16" x14ac:dyDescent="0.25">
      <c r="A4988">
        <v>4648</v>
      </c>
      <c r="B4988" t="s">
        <v>9303</v>
      </c>
      <c r="C4988">
        <v>37.475972873899998</v>
      </c>
      <c r="D4988">
        <v>-7.1258010164199996</v>
      </c>
      <c r="E4988">
        <v>4</v>
      </c>
      <c r="F4988">
        <v>3</v>
      </c>
      <c r="G4988">
        <v>2</v>
      </c>
      <c r="H4988">
        <v>3</v>
      </c>
      <c r="I4988">
        <v>3</v>
      </c>
      <c r="J4988" t="s">
        <v>8005</v>
      </c>
      <c r="K4988">
        <v>3</v>
      </c>
      <c r="L4988">
        <v>2.9420000000000002</v>
      </c>
      <c r="M4988">
        <v>0</v>
      </c>
      <c r="N4988" t="s">
        <v>10019</v>
      </c>
      <c r="O4988" t="str">
        <f>HYPERLINK("NoConsenso\marker_230_384301.png", "Ver Imagen")</f>
        <v>Ver Imagen</v>
      </c>
      <c r="P4988" t="str">
        <f>HYPERLINK("NE\A-495_1\A-495_1__145.png", "Ver Imagen")</f>
        <v>Ver Imagen</v>
      </c>
    </row>
    <row r="4989" spans="1:16" x14ac:dyDescent="0.25">
      <c r="A4989">
        <v>4649</v>
      </c>
      <c r="B4989" t="s">
        <v>9305</v>
      </c>
      <c r="C4989">
        <v>37.474388078499999</v>
      </c>
      <c r="D4989">
        <v>-7.1261377281799998</v>
      </c>
      <c r="E4989">
        <v>3</v>
      </c>
      <c r="F4989">
        <v>3</v>
      </c>
      <c r="G4989">
        <v>1</v>
      </c>
      <c r="H4989">
        <v>2</v>
      </c>
      <c r="I4989">
        <v>1</v>
      </c>
      <c r="J4989" t="s">
        <v>8005</v>
      </c>
      <c r="K4989">
        <v>2</v>
      </c>
      <c r="L4989">
        <v>2.4289999999999998</v>
      </c>
      <c r="M4989">
        <v>0</v>
      </c>
      <c r="N4989" t="s">
        <v>10019</v>
      </c>
      <c r="O4989" t="str">
        <f>HYPERLINK("NoConsenso\marker_539_384403.png", "Ver Imagen")</f>
        <v>Ver Imagen</v>
      </c>
      <c r="P4989" t="str">
        <f>HYPERLINK("NE\A-495_1\A-495_1__137.png", "Ver Imagen")</f>
        <v>Ver Imagen</v>
      </c>
    </row>
    <row r="4990" spans="1:16" x14ac:dyDescent="0.25">
      <c r="A4990">
        <v>4650</v>
      </c>
      <c r="B4990" t="s">
        <v>9307</v>
      </c>
      <c r="C4990">
        <v>37.464140699700003</v>
      </c>
      <c r="D4990">
        <v>-7.1237703983599996</v>
      </c>
      <c r="E4990">
        <v>1</v>
      </c>
      <c r="F4990">
        <v>3</v>
      </c>
      <c r="G4990">
        <v>3</v>
      </c>
      <c r="H4990">
        <v>1</v>
      </c>
      <c r="I4990">
        <v>1</v>
      </c>
      <c r="J4990" t="s">
        <v>8005</v>
      </c>
      <c r="K4990">
        <v>1</v>
      </c>
      <c r="L4990">
        <v>1</v>
      </c>
      <c r="M4990">
        <v>0</v>
      </c>
      <c r="N4990" t="s">
        <v>10019</v>
      </c>
      <c r="O4990" t="str">
        <f>HYPERLINK("NoConsenso\marker_542_385216.png", "Ver Imagen")</f>
        <v>Ver Imagen</v>
      </c>
      <c r="P4990" t="str">
        <f>HYPERLINK("NE\A-495_1\A-495_1__82.png", "Ver Imagen")</f>
        <v>Ver Imagen</v>
      </c>
    </row>
    <row r="4991" spans="1:16" x14ac:dyDescent="0.25">
      <c r="A4991">
        <v>4651</v>
      </c>
      <c r="B4991" t="s">
        <v>9309</v>
      </c>
      <c r="C4991">
        <v>37.191970929</v>
      </c>
      <c r="D4991">
        <v>-6.9777029872999998</v>
      </c>
      <c r="E4991">
        <v>5</v>
      </c>
      <c r="F4991">
        <v>3</v>
      </c>
      <c r="G4991">
        <v>3</v>
      </c>
      <c r="H4991">
        <v>2</v>
      </c>
      <c r="I4991">
        <v>3</v>
      </c>
      <c r="J4991" t="s">
        <v>8005</v>
      </c>
      <c r="K4991">
        <v>3</v>
      </c>
      <c r="L4991">
        <v>3.1070000000000002</v>
      </c>
      <c r="M4991">
        <v>0</v>
      </c>
      <c r="N4991" t="s">
        <v>10018</v>
      </c>
      <c r="O4991" t="str">
        <f>HYPERLINK("NoConsenso\marker_414_368028.png", "Ver Imagen")</f>
        <v>Ver Imagen</v>
      </c>
      <c r="P4991" t="str">
        <f>HYPERLINK("SE\A-497\A-497__793.png", "Ver Imagen")</f>
        <v>Ver Imagen</v>
      </c>
    </row>
    <row r="4992" spans="1:16" x14ac:dyDescent="0.25">
      <c r="A4992">
        <v>4653</v>
      </c>
      <c r="B4992" t="s">
        <v>9313</v>
      </c>
      <c r="C4992">
        <v>37.267346836500003</v>
      </c>
      <c r="D4992">
        <v>-6.95848794653</v>
      </c>
      <c r="E4992">
        <v>5</v>
      </c>
      <c r="F4992">
        <v>3</v>
      </c>
      <c r="G4992">
        <v>3</v>
      </c>
      <c r="H4992">
        <v>2</v>
      </c>
      <c r="I4992">
        <v>2</v>
      </c>
      <c r="J4992" t="s">
        <v>8052</v>
      </c>
      <c r="K4992">
        <v>2</v>
      </c>
      <c r="L4992">
        <v>1.7969999999999999</v>
      </c>
      <c r="M4992">
        <v>0</v>
      </c>
      <c r="N4992" t="s">
        <v>10017</v>
      </c>
      <c r="O4992" t="str">
        <f>HYPERLINK("NoConsenso\marker_751_653780.png", "Ver Imagen")</f>
        <v>Ver Imagen</v>
      </c>
      <c r="P4992" t="str">
        <f>HYPERLINK("SE\A-497_2C\A-497_2C__6.png", "Ver Imagen")</f>
        <v>Ver Imagen</v>
      </c>
    </row>
    <row r="4993" spans="1:16" x14ac:dyDescent="0.25">
      <c r="A4993">
        <v>4654</v>
      </c>
      <c r="B4993" t="s">
        <v>9315</v>
      </c>
      <c r="C4993">
        <v>37.2676474541</v>
      </c>
      <c r="D4993">
        <v>-6.9640481229200004</v>
      </c>
      <c r="E4993">
        <v>5</v>
      </c>
      <c r="F4993">
        <v>3</v>
      </c>
      <c r="G4993">
        <v>3</v>
      </c>
      <c r="H4993">
        <v>2</v>
      </c>
      <c r="I4993">
        <v>2</v>
      </c>
      <c r="J4993" t="s">
        <v>8005</v>
      </c>
      <c r="K4993">
        <v>3</v>
      </c>
      <c r="L4993">
        <v>2.86</v>
      </c>
      <c r="M4993">
        <v>0</v>
      </c>
      <c r="N4993" t="s">
        <v>10019</v>
      </c>
      <c r="O4993" t="str">
        <f>HYPERLINK("NoConsenso\marker_645_654469.png", "Ver Imagen")</f>
        <v>Ver Imagen</v>
      </c>
      <c r="P4993" t="str">
        <f>HYPERLINK("SE\A-497_2C\A-497_2C__28.png", "Ver Imagen")</f>
        <v>Ver Imagen</v>
      </c>
    </row>
    <row r="4994" spans="1:16" x14ac:dyDescent="0.25">
      <c r="A4994">
        <v>4655</v>
      </c>
      <c r="B4994" t="s">
        <v>9317</v>
      </c>
      <c r="C4994">
        <v>37.267653568199997</v>
      </c>
      <c r="D4994">
        <v>-6.9643232421299999</v>
      </c>
      <c r="E4994">
        <v>5</v>
      </c>
      <c r="F4994">
        <v>3</v>
      </c>
      <c r="G4994">
        <v>3</v>
      </c>
      <c r="H4994">
        <v>3</v>
      </c>
      <c r="I4994">
        <v>3</v>
      </c>
      <c r="J4994" t="s">
        <v>8005</v>
      </c>
      <c r="K4994">
        <v>3</v>
      </c>
      <c r="L4994">
        <v>2.9020000000000001</v>
      </c>
      <c r="M4994">
        <v>0</v>
      </c>
      <c r="N4994" t="s">
        <v>10018</v>
      </c>
      <c r="O4994" t="str">
        <f>HYPERLINK("NoConsenso\marker_286_654479.png", "Ver Imagen")</f>
        <v>Ver Imagen</v>
      </c>
      <c r="P4994" t="str">
        <f>HYPERLINK("SE\A-497_2C\A-497_2C__29.png", "Ver Imagen")</f>
        <v>Ver Imagen</v>
      </c>
    </row>
    <row r="4995" spans="1:16" x14ac:dyDescent="0.25">
      <c r="A4995">
        <v>4656</v>
      </c>
      <c r="B4995" t="s">
        <v>9319</v>
      </c>
      <c r="C4995">
        <v>37.267660096500002</v>
      </c>
      <c r="D4995">
        <v>-6.96459546002</v>
      </c>
      <c r="E4995">
        <v>5</v>
      </c>
      <c r="F4995">
        <v>3</v>
      </c>
      <c r="G4995">
        <v>3</v>
      </c>
      <c r="H4995">
        <v>3</v>
      </c>
      <c r="I4995">
        <v>3</v>
      </c>
      <c r="J4995" t="s">
        <v>8005</v>
      </c>
      <c r="K4995">
        <v>3</v>
      </c>
      <c r="L4995">
        <v>3.0859999999999999</v>
      </c>
      <c r="M4995">
        <v>0</v>
      </c>
      <c r="N4995" t="s">
        <v>10019</v>
      </c>
      <c r="O4995" t="str">
        <f>HYPERLINK("NoConsenso\marker_725_654488.png", "Ver Imagen")</f>
        <v>Ver Imagen</v>
      </c>
      <c r="P4995" t="str">
        <f>HYPERLINK("SE\A-497_2C\A-497_2C__30.png", "Ver Imagen")</f>
        <v>Ver Imagen</v>
      </c>
    </row>
    <row r="4996" spans="1:16" x14ac:dyDescent="0.25">
      <c r="A4996">
        <v>4657</v>
      </c>
      <c r="B4996" t="s">
        <v>9321</v>
      </c>
      <c r="C4996">
        <v>37.267667118200002</v>
      </c>
      <c r="D4996">
        <v>-6.9648796276200002</v>
      </c>
      <c r="E4996">
        <v>5</v>
      </c>
      <c r="F4996">
        <v>3</v>
      </c>
      <c r="G4996">
        <v>3</v>
      </c>
      <c r="H4996">
        <v>3</v>
      </c>
      <c r="I4996">
        <v>3</v>
      </c>
      <c r="J4996" t="s">
        <v>8005</v>
      </c>
      <c r="K4996">
        <v>3</v>
      </c>
      <c r="L4996">
        <v>3.157</v>
      </c>
      <c r="M4996">
        <v>0</v>
      </c>
      <c r="N4996" t="s">
        <v>10019</v>
      </c>
      <c r="O4996" t="str">
        <f>HYPERLINK("NoConsenso\marker_738_654499.png", "Ver Imagen")</f>
        <v>Ver Imagen</v>
      </c>
      <c r="P4996" t="str">
        <f>HYPERLINK("SE\A-497_2C\A-497_2C__31.png", "Ver Imagen")</f>
        <v>Ver Imagen</v>
      </c>
    </row>
    <row r="4997" spans="1:16" x14ac:dyDescent="0.25">
      <c r="A4997">
        <v>4658</v>
      </c>
      <c r="B4997" t="s">
        <v>9323</v>
      </c>
      <c r="C4997">
        <v>37.504460579800003</v>
      </c>
      <c r="D4997">
        <v>-7.2655789487</v>
      </c>
      <c r="E4997">
        <v>2</v>
      </c>
      <c r="F4997">
        <v>1</v>
      </c>
      <c r="G4997">
        <v>3</v>
      </c>
      <c r="H4997">
        <v>1</v>
      </c>
      <c r="I4997">
        <v>1</v>
      </c>
      <c r="J4997" t="s">
        <v>8005</v>
      </c>
      <c r="K4997">
        <v>1</v>
      </c>
      <c r="L4997">
        <v>1.099</v>
      </c>
      <c r="M4997">
        <v>0</v>
      </c>
      <c r="N4997" t="s">
        <v>10019</v>
      </c>
      <c r="O4997" t="str">
        <f>HYPERLINK("NoConsenso\marker_376_793769.png", "Ver Imagen")</f>
        <v>Ver Imagen</v>
      </c>
      <c r="P4997" t="str">
        <f>HYPERLINK("NO\A-499\A-499__129.png", "Ver Imagen")</f>
        <v>Ver Imagen</v>
      </c>
    </row>
    <row r="4998" spans="1:16" x14ac:dyDescent="0.25">
      <c r="A4998">
        <v>4659</v>
      </c>
      <c r="B4998" t="s">
        <v>9325</v>
      </c>
      <c r="C4998">
        <v>37.506462263700001</v>
      </c>
      <c r="D4998">
        <v>-7.2653512195200003</v>
      </c>
      <c r="E4998">
        <v>2</v>
      </c>
      <c r="F4998">
        <v>1</v>
      </c>
      <c r="G4998">
        <v>3</v>
      </c>
      <c r="H4998">
        <v>1</v>
      </c>
      <c r="I4998">
        <v>1</v>
      </c>
      <c r="J4998" t="s">
        <v>8005</v>
      </c>
      <c r="K4998">
        <v>1</v>
      </c>
      <c r="L4998">
        <v>1.355</v>
      </c>
      <c r="M4998">
        <v>0</v>
      </c>
      <c r="N4998" t="s">
        <v>10019</v>
      </c>
      <c r="O4998" t="str">
        <f>HYPERLINK("NoConsenso\marker_516_794054.png", "Ver Imagen")</f>
        <v>Ver Imagen</v>
      </c>
      <c r="P4998" t="str">
        <f>HYPERLINK("NO\A-499\A-499__139.png", "Ver Imagen")</f>
        <v>Ver Imagen</v>
      </c>
    </row>
    <row r="4999" spans="1:16" x14ac:dyDescent="0.25">
      <c r="A4999">
        <v>4661</v>
      </c>
      <c r="B4999" t="s">
        <v>9329</v>
      </c>
      <c r="C4999">
        <v>37.508215288000002</v>
      </c>
      <c r="D4999">
        <v>-7.2665347273699998</v>
      </c>
      <c r="E4999">
        <v>2</v>
      </c>
      <c r="F4999">
        <v>1</v>
      </c>
      <c r="G4999">
        <v>3</v>
      </c>
      <c r="H4999">
        <v>1</v>
      </c>
      <c r="I4999">
        <v>1</v>
      </c>
      <c r="J4999" t="s">
        <v>8005</v>
      </c>
      <c r="K4999">
        <v>1</v>
      </c>
      <c r="L4999">
        <v>1.1339999999999999</v>
      </c>
      <c r="M4999">
        <v>0</v>
      </c>
      <c r="N4999" t="s">
        <v>10019</v>
      </c>
      <c r="O4999" t="str">
        <f>HYPERLINK("NoConsenso\marker_973_794289.png", "Ver Imagen")</f>
        <v>Ver Imagen</v>
      </c>
      <c r="P4999" t="str">
        <f>HYPERLINK("NO\A-499\A-499__149.png", "Ver Imagen")</f>
        <v>Ver Imagen</v>
      </c>
    </row>
    <row r="5000" spans="1:16" x14ac:dyDescent="0.25">
      <c r="A5000">
        <v>4662</v>
      </c>
      <c r="B5000" t="s">
        <v>9331</v>
      </c>
      <c r="C5000">
        <v>37.516758156500003</v>
      </c>
      <c r="D5000">
        <v>-7.26633683851</v>
      </c>
      <c r="E5000">
        <v>1</v>
      </c>
      <c r="F5000">
        <v>1</v>
      </c>
      <c r="G5000">
        <v>3</v>
      </c>
      <c r="H5000">
        <v>1</v>
      </c>
      <c r="I5000">
        <v>1</v>
      </c>
      <c r="J5000" t="s">
        <v>8005</v>
      </c>
      <c r="K5000">
        <v>1</v>
      </c>
      <c r="L5000">
        <v>1.403</v>
      </c>
      <c r="M5000">
        <v>0</v>
      </c>
      <c r="N5000" t="s">
        <v>10019</v>
      </c>
      <c r="O5000" t="str">
        <f>HYPERLINK("NoConsenso\marker_981_795961.png", "Ver Imagen")</f>
        <v>Ver Imagen</v>
      </c>
      <c r="P5000" t="str">
        <f>HYPERLINK("NO\A-499\A-499__197.png", "Ver Imagen")</f>
        <v>Ver Imagen</v>
      </c>
    </row>
    <row r="5001" spans="1:16" x14ac:dyDescent="0.25">
      <c r="A5001">
        <v>4663</v>
      </c>
      <c r="B5001" t="s">
        <v>9333</v>
      </c>
      <c r="C5001">
        <v>37.520257884800003</v>
      </c>
      <c r="D5001">
        <v>-7.2610141158100001</v>
      </c>
      <c r="E5001">
        <v>2</v>
      </c>
      <c r="F5001">
        <v>1</v>
      </c>
      <c r="G5001">
        <v>3</v>
      </c>
      <c r="H5001">
        <v>1</v>
      </c>
      <c r="I5001">
        <v>1</v>
      </c>
      <c r="J5001" t="s">
        <v>8005</v>
      </c>
      <c r="K5001">
        <v>1</v>
      </c>
      <c r="L5001">
        <v>1.054</v>
      </c>
      <c r="M5001">
        <v>0</v>
      </c>
      <c r="N5001" t="s">
        <v>10019</v>
      </c>
      <c r="O5001" t="str">
        <f>HYPERLINK("NoConsenso\marker_760_796545.png", "Ver Imagen")</f>
        <v>Ver Imagen</v>
      </c>
      <c r="P5001" t="str">
        <f>HYPERLINK("NO\A-499\A-499__225.png", "Ver Imagen")</f>
        <v>Ver Imagen</v>
      </c>
    </row>
    <row r="5002" spans="1:16" x14ac:dyDescent="0.25">
      <c r="A5002">
        <v>4664</v>
      </c>
      <c r="B5002" t="s">
        <v>9335</v>
      </c>
      <c r="C5002">
        <v>37.267695473800003</v>
      </c>
      <c r="D5002">
        <v>-6.96582409099</v>
      </c>
      <c r="E5002">
        <v>5</v>
      </c>
      <c r="F5002">
        <v>3</v>
      </c>
      <c r="G5002">
        <v>3</v>
      </c>
      <c r="H5002">
        <v>3</v>
      </c>
      <c r="I5002">
        <v>3</v>
      </c>
      <c r="J5002" t="s">
        <v>8005</v>
      </c>
      <c r="K5002">
        <v>3</v>
      </c>
      <c r="L5002">
        <v>2.89</v>
      </c>
      <c r="M5002">
        <v>0</v>
      </c>
      <c r="N5002" t="s">
        <v>10019</v>
      </c>
      <c r="O5002" t="str">
        <f>HYPERLINK("NoConsenso\marker_537_654534.png", "Ver Imagen")</f>
        <v>Ver Imagen</v>
      </c>
      <c r="P5002" t="str">
        <f>HYPERLINK("SE\A-497_2C\A-497_2C__35.png", "Ver Imagen")</f>
        <v>Ver Imagen</v>
      </c>
    </row>
    <row r="5003" spans="1:16" x14ac:dyDescent="0.25">
      <c r="A5003">
        <v>4665</v>
      </c>
      <c r="B5003" t="s">
        <v>9337</v>
      </c>
      <c r="C5003">
        <v>37.267731386900003</v>
      </c>
      <c r="D5003">
        <v>-6.9666100803499997</v>
      </c>
      <c r="E5003">
        <v>5</v>
      </c>
      <c r="F5003">
        <v>3</v>
      </c>
      <c r="G5003">
        <v>3</v>
      </c>
      <c r="H5003">
        <v>3</v>
      </c>
      <c r="I5003">
        <v>4</v>
      </c>
      <c r="J5003" t="s">
        <v>8005</v>
      </c>
      <c r="K5003">
        <v>3</v>
      </c>
      <c r="L5003">
        <v>3.1309999999999998</v>
      </c>
      <c r="M5003">
        <v>0</v>
      </c>
      <c r="N5003" t="s">
        <v>10019</v>
      </c>
      <c r="O5003" t="str">
        <f>HYPERLINK("NoConsenso\marker_211_654629.png", "Ver Imagen")</f>
        <v>Ver Imagen</v>
      </c>
      <c r="P5003" t="str">
        <f>HYPERLINK("SE\A-497_2C\A-497_2C__38.png", "Ver Imagen")</f>
        <v>Ver Imagen</v>
      </c>
    </row>
    <row r="5004" spans="1:16" x14ac:dyDescent="0.25">
      <c r="A5004">
        <v>4666</v>
      </c>
      <c r="B5004" t="s">
        <v>9339</v>
      </c>
      <c r="C5004">
        <v>37.267745608399999</v>
      </c>
      <c r="D5004">
        <v>-6.9668735391299998</v>
      </c>
      <c r="E5004">
        <v>5</v>
      </c>
      <c r="F5004">
        <v>3</v>
      </c>
      <c r="G5004">
        <v>3</v>
      </c>
      <c r="H5004">
        <v>3</v>
      </c>
      <c r="I5004">
        <v>4</v>
      </c>
      <c r="J5004" t="s">
        <v>8005</v>
      </c>
      <c r="K5004">
        <v>3</v>
      </c>
      <c r="L5004">
        <v>3.323</v>
      </c>
      <c r="M5004">
        <v>0</v>
      </c>
      <c r="N5004" t="s">
        <v>10019</v>
      </c>
      <c r="O5004" t="str">
        <f>HYPERLINK("NoConsenso\marker_225_654638.png", "Ver Imagen")</f>
        <v>Ver Imagen</v>
      </c>
      <c r="P5004" t="str">
        <f>HYPERLINK("SE\A-497_2C\A-497_2C__39.png", "Ver Imagen")</f>
        <v>Ver Imagen</v>
      </c>
    </row>
    <row r="5005" spans="1:16" x14ac:dyDescent="0.25">
      <c r="A5005">
        <v>4667</v>
      </c>
      <c r="B5005" t="s">
        <v>9341</v>
      </c>
      <c r="C5005">
        <v>37.267813729399997</v>
      </c>
      <c r="D5005">
        <v>-6.96787423494</v>
      </c>
      <c r="E5005">
        <v>5</v>
      </c>
      <c r="F5005">
        <v>3</v>
      </c>
      <c r="G5005">
        <v>3</v>
      </c>
      <c r="H5005">
        <v>3</v>
      </c>
      <c r="I5005">
        <v>3</v>
      </c>
      <c r="J5005" t="s">
        <v>8005</v>
      </c>
      <c r="K5005">
        <v>3</v>
      </c>
      <c r="L5005">
        <v>3.0840000000000001</v>
      </c>
      <c r="M5005">
        <v>0</v>
      </c>
      <c r="N5005" t="s">
        <v>10019</v>
      </c>
      <c r="O5005" t="str">
        <f>HYPERLINK("NoConsenso\marker_597_654674.png", "Ver Imagen")</f>
        <v>Ver Imagen</v>
      </c>
      <c r="P5005" t="str">
        <f>HYPERLINK("SE\A-497_2C\A-497_2C__43.png", "Ver Imagen")</f>
        <v>Ver Imagen</v>
      </c>
    </row>
    <row r="5006" spans="1:16" x14ac:dyDescent="0.25">
      <c r="A5006">
        <v>4669</v>
      </c>
      <c r="B5006" t="s">
        <v>9345</v>
      </c>
      <c r="C5006">
        <v>37.268463122999997</v>
      </c>
      <c r="D5006">
        <v>-6.9728827624100003</v>
      </c>
      <c r="E5006">
        <v>5</v>
      </c>
      <c r="F5006">
        <v>3</v>
      </c>
      <c r="G5006">
        <v>3</v>
      </c>
      <c r="H5006">
        <v>3</v>
      </c>
      <c r="I5006">
        <v>3</v>
      </c>
      <c r="J5006" t="s">
        <v>8005</v>
      </c>
      <c r="K5006">
        <v>3</v>
      </c>
      <c r="L5006">
        <v>3.464</v>
      </c>
      <c r="M5006">
        <v>0</v>
      </c>
      <c r="N5006" t="s">
        <v>10018</v>
      </c>
      <c r="O5006" t="str">
        <f>HYPERLINK("NoConsenso\marker_830_654901.png", "Ver Imagen")</f>
        <v>Ver Imagen</v>
      </c>
      <c r="P5006" t="str">
        <f>HYPERLINK("SE\A-497_2C\A-497_2C__63.png", "Ver Imagen")</f>
        <v>Ver Imagen</v>
      </c>
    </row>
    <row r="5007" spans="1:16" x14ac:dyDescent="0.25">
      <c r="A5007">
        <v>4670</v>
      </c>
      <c r="B5007" t="s">
        <v>9347</v>
      </c>
      <c r="C5007">
        <v>37.268752058799997</v>
      </c>
      <c r="D5007">
        <v>-6.9743275764900003</v>
      </c>
      <c r="E5007">
        <v>4</v>
      </c>
      <c r="F5007">
        <v>3</v>
      </c>
      <c r="G5007">
        <v>2</v>
      </c>
      <c r="H5007">
        <v>2</v>
      </c>
      <c r="I5007">
        <v>2</v>
      </c>
      <c r="J5007" t="s">
        <v>8005</v>
      </c>
      <c r="K5007">
        <v>2</v>
      </c>
      <c r="L5007">
        <v>1.9730000000000001</v>
      </c>
      <c r="M5007">
        <v>0</v>
      </c>
      <c r="N5007" t="s">
        <v>10019</v>
      </c>
      <c r="O5007" t="str">
        <f>HYPERLINK("NoConsenso\marker_238_654957.png", "Ver Imagen")</f>
        <v>Ver Imagen</v>
      </c>
      <c r="P5007" t="str">
        <f>HYPERLINK("SE\A-497_2C\A-497_2C__69.png", "Ver Imagen")</f>
        <v>Ver Imagen</v>
      </c>
    </row>
    <row r="5008" spans="1:16" x14ac:dyDescent="0.25">
      <c r="A5008">
        <v>4671</v>
      </c>
      <c r="B5008" t="s">
        <v>9349</v>
      </c>
      <c r="C5008">
        <v>37.2703754602</v>
      </c>
      <c r="D5008">
        <v>-6.9803482128000001</v>
      </c>
      <c r="E5008">
        <v>5</v>
      </c>
      <c r="F5008">
        <v>3</v>
      </c>
      <c r="G5008">
        <v>3</v>
      </c>
      <c r="H5008">
        <v>3</v>
      </c>
      <c r="I5008">
        <v>3</v>
      </c>
      <c r="J5008" t="s">
        <v>8005</v>
      </c>
      <c r="K5008">
        <v>3</v>
      </c>
      <c r="L5008">
        <v>2.8</v>
      </c>
      <c r="M5008">
        <v>0</v>
      </c>
      <c r="N5008" t="s">
        <v>10019</v>
      </c>
      <c r="O5008" t="str">
        <f>HYPERLINK("NoConsenso\marker_281_655322.png", "Ver Imagen")</f>
        <v>Ver Imagen</v>
      </c>
      <c r="P5008" t="str">
        <f>HYPERLINK("SE\A-497_2C\A-497_2C__94.png", "Ver Imagen")</f>
        <v>Ver Imagen</v>
      </c>
    </row>
    <row r="5009" spans="1:16" x14ac:dyDescent="0.25">
      <c r="A5009">
        <v>4672</v>
      </c>
      <c r="B5009" t="s">
        <v>9351</v>
      </c>
      <c r="C5009">
        <v>37.271330866299998</v>
      </c>
      <c r="D5009">
        <v>-6.9836658706300003</v>
      </c>
      <c r="E5009">
        <v>5</v>
      </c>
      <c r="F5009">
        <v>4</v>
      </c>
      <c r="G5009">
        <v>3</v>
      </c>
      <c r="H5009">
        <v>4</v>
      </c>
      <c r="I5009">
        <v>4</v>
      </c>
      <c r="J5009" t="s">
        <v>8005</v>
      </c>
      <c r="K5009">
        <v>4</v>
      </c>
      <c r="L5009">
        <v>3.5920000000000001</v>
      </c>
      <c r="M5009">
        <v>0</v>
      </c>
      <c r="N5009" t="s">
        <v>10019</v>
      </c>
      <c r="O5009" t="str">
        <f>HYPERLINK("NoConsenso\marker_596_655517.png", "Ver Imagen")</f>
        <v>Ver Imagen</v>
      </c>
      <c r="P5009" t="str">
        <f>HYPERLINK("SE\A-497_2C\A-497_2C__108.png", "Ver Imagen")</f>
        <v>Ver Imagen</v>
      </c>
    </row>
    <row r="5010" spans="1:16" x14ac:dyDescent="0.25">
      <c r="A5010">
        <v>4673</v>
      </c>
      <c r="B5010" t="s">
        <v>9353</v>
      </c>
      <c r="C5010">
        <v>37.187237923200001</v>
      </c>
      <c r="D5010">
        <v>-6.97907327262</v>
      </c>
      <c r="E5010">
        <v>5</v>
      </c>
      <c r="F5010">
        <v>4</v>
      </c>
      <c r="G5010">
        <v>3</v>
      </c>
      <c r="H5010">
        <v>4</v>
      </c>
      <c r="I5010">
        <v>3</v>
      </c>
      <c r="J5010" t="s">
        <v>8005</v>
      </c>
      <c r="K5010">
        <v>4</v>
      </c>
      <c r="L5010">
        <v>3.8719999999999999</v>
      </c>
      <c r="M5010">
        <v>0</v>
      </c>
      <c r="N5010" t="s">
        <v>10019</v>
      </c>
      <c r="O5010" t="str">
        <f>HYPERLINK("NoConsenso\marker_739_368689.png", "Ver Imagen")</f>
        <v>Ver Imagen</v>
      </c>
      <c r="P5010" t="str">
        <f>HYPERLINK("SE\A-497\A-497__750.png", "Ver Imagen")</f>
        <v>Ver Imagen</v>
      </c>
    </row>
    <row r="5011" spans="1:16" x14ac:dyDescent="0.25">
      <c r="A5011">
        <v>4674</v>
      </c>
      <c r="B5011" t="s">
        <v>9355</v>
      </c>
      <c r="C5011">
        <v>37.267997630099998</v>
      </c>
      <c r="D5011">
        <v>-6.9910558328299999</v>
      </c>
      <c r="E5011">
        <v>4</v>
      </c>
      <c r="F5011">
        <v>2</v>
      </c>
      <c r="G5011">
        <v>3</v>
      </c>
      <c r="H5011">
        <v>3</v>
      </c>
      <c r="I5011">
        <v>1</v>
      </c>
      <c r="J5011" t="s">
        <v>8005</v>
      </c>
      <c r="K5011">
        <v>3</v>
      </c>
      <c r="L5011">
        <v>3.0760000000000001</v>
      </c>
      <c r="M5011">
        <v>0</v>
      </c>
      <c r="N5011" t="s">
        <v>10019</v>
      </c>
      <c r="O5011" t="str">
        <f>HYPERLINK("NoConsenso\marker_978_655943.png", "Ver Imagen")</f>
        <v>Ver Imagen</v>
      </c>
      <c r="P5011" t="str">
        <f>HYPERLINK("SE\A-497_2C\A-497_2C__147.png", "Ver Imagen")</f>
        <v>Ver Imagen</v>
      </c>
    </row>
    <row r="5012" spans="1:16" x14ac:dyDescent="0.25">
      <c r="A5012">
        <v>4675</v>
      </c>
      <c r="B5012" t="s">
        <v>9357</v>
      </c>
      <c r="C5012">
        <v>37.267313247200001</v>
      </c>
      <c r="D5012">
        <v>-6.9915957132599997</v>
      </c>
      <c r="E5012">
        <v>5</v>
      </c>
      <c r="F5012">
        <v>3</v>
      </c>
      <c r="G5012">
        <v>3</v>
      </c>
      <c r="H5012">
        <v>3</v>
      </c>
      <c r="I5012">
        <v>2</v>
      </c>
      <c r="J5012" t="s">
        <v>8005</v>
      </c>
      <c r="K5012">
        <v>3</v>
      </c>
      <c r="L5012">
        <v>3.4609999999999999</v>
      </c>
      <c r="M5012">
        <v>0</v>
      </c>
      <c r="N5012" t="s">
        <v>10017</v>
      </c>
      <c r="O5012" t="str">
        <f>HYPERLINK("NoConsenso\marker_924_656012.png", "Ver Imagen")</f>
        <v>Ver Imagen</v>
      </c>
      <c r="P5012" t="str">
        <f>HYPERLINK("SE\A-497_2C\A-497_2C__151.png", "Ver Imagen")</f>
        <v>Ver Imagen</v>
      </c>
    </row>
    <row r="5013" spans="1:16" x14ac:dyDescent="0.25">
      <c r="A5013">
        <v>4676</v>
      </c>
      <c r="B5013" t="s">
        <v>9359</v>
      </c>
      <c r="C5013">
        <v>37.2659811081</v>
      </c>
      <c r="D5013">
        <v>-6.99375332367</v>
      </c>
      <c r="E5013">
        <v>2</v>
      </c>
      <c r="F5013">
        <v>4</v>
      </c>
      <c r="G5013">
        <v>3</v>
      </c>
      <c r="H5013">
        <v>4</v>
      </c>
      <c r="I5013">
        <v>3</v>
      </c>
      <c r="J5013" t="s">
        <v>8005</v>
      </c>
      <c r="K5013">
        <v>3</v>
      </c>
      <c r="L5013">
        <v>2.9969999999999999</v>
      </c>
      <c r="M5013">
        <v>0</v>
      </c>
      <c r="N5013" t="s">
        <v>10019</v>
      </c>
      <c r="O5013" t="str">
        <f>HYPERLINK("NoConsenso\marker_220_656119.png", "Ver Imagen")</f>
        <v>Ver Imagen</v>
      </c>
      <c r="P5013" t="str">
        <f>HYPERLINK("SE\A-497_2C\A-497_2C__162.png", "Ver Imagen")</f>
        <v>Ver Imagen</v>
      </c>
    </row>
    <row r="5014" spans="1:16" x14ac:dyDescent="0.25">
      <c r="A5014">
        <v>4677</v>
      </c>
      <c r="B5014" t="s">
        <v>9361</v>
      </c>
      <c r="C5014">
        <v>37.265745587399998</v>
      </c>
      <c r="D5014">
        <v>-6.9947096175299999</v>
      </c>
      <c r="E5014">
        <v>2</v>
      </c>
      <c r="F5014">
        <v>4</v>
      </c>
      <c r="G5014">
        <v>3</v>
      </c>
      <c r="H5014">
        <v>3</v>
      </c>
      <c r="I5014">
        <v>2</v>
      </c>
      <c r="J5014" t="s">
        <v>8005</v>
      </c>
      <c r="K5014">
        <v>3</v>
      </c>
      <c r="L5014">
        <v>2.86</v>
      </c>
      <c r="M5014">
        <v>0</v>
      </c>
      <c r="N5014" t="s">
        <v>10018</v>
      </c>
      <c r="O5014" t="str">
        <f>HYPERLINK("NoConsenso\marker_850_656158.png", "Ver Imagen")</f>
        <v>Ver Imagen</v>
      </c>
      <c r="P5014" t="str">
        <f>HYPERLINK("SE\A-497_2C\A-497_2C__166.png", "Ver Imagen")</f>
        <v>Ver Imagen</v>
      </c>
    </row>
    <row r="5015" spans="1:16" x14ac:dyDescent="0.25">
      <c r="A5015">
        <v>4678</v>
      </c>
      <c r="B5015" t="s">
        <v>9363</v>
      </c>
      <c r="C5015">
        <v>37.196057144100003</v>
      </c>
      <c r="D5015">
        <v>-6.97845326821</v>
      </c>
      <c r="E5015">
        <v>2</v>
      </c>
      <c r="F5015">
        <v>4</v>
      </c>
      <c r="G5015">
        <v>4</v>
      </c>
      <c r="H5015">
        <v>3</v>
      </c>
      <c r="I5015">
        <v>3</v>
      </c>
      <c r="J5015" t="s">
        <v>8005</v>
      </c>
      <c r="K5015">
        <v>3</v>
      </c>
      <c r="L5015">
        <v>2.87</v>
      </c>
      <c r="M5015">
        <v>0</v>
      </c>
      <c r="N5015" t="s">
        <v>10019</v>
      </c>
      <c r="O5015" t="str">
        <f>HYPERLINK("NoConsenso\marker_378_370341.png", "Ver Imagen")</f>
        <v>Ver Imagen</v>
      </c>
      <c r="P5015" t="str">
        <f>HYPERLINK("SE\A-497\A-497__704.png", "Ver Imagen")</f>
        <v>Ver Imagen</v>
      </c>
    </row>
    <row r="5016" spans="1:16" x14ac:dyDescent="0.25">
      <c r="A5016">
        <v>4679</v>
      </c>
      <c r="B5016" t="s">
        <v>9365</v>
      </c>
      <c r="C5016">
        <v>37.196264403900003</v>
      </c>
      <c r="D5016">
        <v>-6.97859846361</v>
      </c>
      <c r="E5016">
        <v>2</v>
      </c>
      <c r="F5016">
        <v>4</v>
      </c>
      <c r="G5016">
        <v>4</v>
      </c>
      <c r="H5016">
        <v>3</v>
      </c>
      <c r="I5016">
        <v>3</v>
      </c>
      <c r="J5016" t="s">
        <v>8005</v>
      </c>
      <c r="K5016">
        <v>3</v>
      </c>
      <c r="L5016">
        <v>3.0649999999999999</v>
      </c>
      <c r="M5016">
        <v>0</v>
      </c>
      <c r="N5016" t="s">
        <v>10019</v>
      </c>
      <c r="O5016" t="str">
        <f>HYPERLINK("NoConsenso\marker_305_370350.png", "Ver Imagen")</f>
        <v>Ver Imagen</v>
      </c>
      <c r="P5016" t="str">
        <f>HYPERLINK("SE\A-497\A-497__703.png", "Ver Imagen")</f>
        <v>Ver Imagen</v>
      </c>
    </row>
    <row r="5017" spans="1:16" x14ac:dyDescent="0.25">
      <c r="A5017">
        <v>4680</v>
      </c>
      <c r="B5017" t="s">
        <v>9367</v>
      </c>
      <c r="C5017">
        <v>37.199114892499999</v>
      </c>
      <c r="D5017">
        <v>-6.9827149662499997</v>
      </c>
      <c r="E5017">
        <v>5</v>
      </c>
      <c r="F5017">
        <v>4</v>
      </c>
      <c r="G5017">
        <v>3</v>
      </c>
      <c r="H5017">
        <v>3</v>
      </c>
      <c r="I5017">
        <v>3</v>
      </c>
      <c r="J5017" t="s">
        <v>8005</v>
      </c>
      <c r="K5017">
        <v>3</v>
      </c>
      <c r="L5017">
        <v>2.9279999999999999</v>
      </c>
      <c r="M5017">
        <v>0</v>
      </c>
      <c r="N5017" t="s">
        <v>10019</v>
      </c>
      <c r="O5017" t="str">
        <f>HYPERLINK("NoConsenso\marker_334_370566.png", "Ver Imagen")</f>
        <v>Ver Imagen</v>
      </c>
      <c r="P5017" t="str">
        <f>HYPERLINK("SE\A-497\A-497__681.png", "Ver Imagen")</f>
        <v>Ver Imagen</v>
      </c>
    </row>
    <row r="5018" spans="1:16" x14ac:dyDescent="0.25">
      <c r="A5018">
        <v>4683</v>
      </c>
      <c r="B5018" t="s">
        <v>9373</v>
      </c>
      <c r="C5018">
        <v>37.201009881200001</v>
      </c>
      <c r="D5018">
        <v>-6.9902096059599996</v>
      </c>
      <c r="E5018">
        <v>2</v>
      </c>
      <c r="F5018">
        <v>3</v>
      </c>
      <c r="G5018">
        <v>4</v>
      </c>
      <c r="H5018">
        <v>2</v>
      </c>
      <c r="I5018">
        <v>2</v>
      </c>
      <c r="J5018" t="s">
        <v>8005</v>
      </c>
      <c r="K5018">
        <v>2</v>
      </c>
      <c r="L5018">
        <v>2.052</v>
      </c>
      <c r="M5018">
        <v>0</v>
      </c>
      <c r="N5018" t="s">
        <v>10019</v>
      </c>
      <c r="O5018" t="str">
        <f>HYPERLINK("NoConsenso\marker_558_371237.png", "Ver Imagen")</f>
        <v>Ver Imagen</v>
      </c>
      <c r="P5018" t="str">
        <f>HYPERLINK("SE\A-497\A-497__650.png", "Ver Imagen")</f>
        <v>Ver Imagen</v>
      </c>
    </row>
    <row r="5019" spans="1:16" x14ac:dyDescent="0.25">
      <c r="A5019">
        <v>4684</v>
      </c>
      <c r="B5019" t="s">
        <v>9375</v>
      </c>
      <c r="C5019">
        <v>37.201359139099999</v>
      </c>
      <c r="D5019">
        <v>-6.9919441567599998</v>
      </c>
      <c r="E5019">
        <v>2</v>
      </c>
      <c r="F5019">
        <v>3</v>
      </c>
      <c r="G5019">
        <v>4</v>
      </c>
      <c r="H5019">
        <v>2</v>
      </c>
      <c r="I5019">
        <v>2</v>
      </c>
      <c r="J5019" t="s">
        <v>8005</v>
      </c>
      <c r="K5019">
        <v>2</v>
      </c>
      <c r="L5019">
        <v>2.3359999999999999</v>
      </c>
      <c r="M5019">
        <v>0</v>
      </c>
      <c r="N5019" t="s">
        <v>10019</v>
      </c>
      <c r="O5019" t="str">
        <f>HYPERLINK("NoConsenso\marker_904_371300.png", "Ver Imagen")</f>
        <v>Ver Imagen</v>
      </c>
      <c r="P5019" t="str">
        <f>HYPERLINK("SE\A-497\A-497__643.png", "Ver Imagen")</f>
        <v>Ver Imagen</v>
      </c>
    </row>
    <row r="5020" spans="1:16" x14ac:dyDescent="0.25">
      <c r="A5020">
        <v>4685</v>
      </c>
      <c r="B5020" t="s">
        <v>9377</v>
      </c>
      <c r="C5020">
        <v>37.2014027934</v>
      </c>
      <c r="D5020">
        <v>-6.9921796371899996</v>
      </c>
      <c r="E5020">
        <v>5</v>
      </c>
      <c r="F5020">
        <v>3</v>
      </c>
      <c r="G5020">
        <v>4</v>
      </c>
      <c r="H5020">
        <v>2</v>
      </c>
      <c r="I5020">
        <v>2</v>
      </c>
      <c r="J5020" t="s">
        <v>8005</v>
      </c>
      <c r="K5020">
        <v>3</v>
      </c>
      <c r="L5020">
        <v>3.03</v>
      </c>
      <c r="M5020">
        <v>0</v>
      </c>
      <c r="N5020" t="s">
        <v>10019</v>
      </c>
      <c r="O5020" t="str">
        <f>HYPERLINK("NoConsenso\marker_521_371313.png", "Ver Imagen")</f>
        <v>Ver Imagen</v>
      </c>
      <c r="P5020" t="str">
        <f>HYPERLINK("SE\A-497\A-497__642.png", "Ver Imagen")</f>
        <v>Ver Imagen</v>
      </c>
    </row>
    <row r="5021" spans="1:16" x14ac:dyDescent="0.25">
      <c r="A5021">
        <v>4686</v>
      </c>
      <c r="B5021" t="s">
        <v>9379</v>
      </c>
      <c r="C5021">
        <v>37.201489169399999</v>
      </c>
      <c r="D5021">
        <v>-6.9926540412699998</v>
      </c>
      <c r="E5021">
        <v>2</v>
      </c>
      <c r="F5021">
        <v>3</v>
      </c>
      <c r="G5021">
        <v>4</v>
      </c>
      <c r="H5021">
        <v>3</v>
      </c>
      <c r="I5021">
        <v>2</v>
      </c>
      <c r="J5021" t="s">
        <v>8005</v>
      </c>
      <c r="K5021">
        <v>3</v>
      </c>
      <c r="L5021">
        <v>3.0609999999999999</v>
      </c>
      <c r="M5021">
        <v>0</v>
      </c>
      <c r="N5021" t="s">
        <v>10019</v>
      </c>
      <c r="O5021" t="str">
        <f>HYPERLINK("NoConsenso\marker_345_371329.png", "Ver Imagen")</f>
        <v>Ver Imagen</v>
      </c>
      <c r="P5021" t="str">
        <f>HYPERLINK("SE\A-497\A-497__640.png", "Ver Imagen")</f>
        <v>Ver Imagen</v>
      </c>
    </row>
    <row r="5022" spans="1:16" x14ac:dyDescent="0.25">
      <c r="A5022">
        <v>4687</v>
      </c>
      <c r="B5022" t="s">
        <v>9381</v>
      </c>
      <c r="C5022">
        <v>37.202548716800003</v>
      </c>
      <c r="D5022">
        <v>-6.9991637025299998</v>
      </c>
      <c r="E5022">
        <v>5</v>
      </c>
      <c r="F5022">
        <v>3</v>
      </c>
      <c r="G5022">
        <v>3</v>
      </c>
      <c r="H5022">
        <v>3</v>
      </c>
      <c r="I5022">
        <v>3</v>
      </c>
      <c r="J5022" t="s">
        <v>8005</v>
      </c>
      <c r="K5022">
        <v>3</v>
      </c>
      <c r="L5022">
        <v>3.1339999999999999</v>
      </c>
      <c r="M5022">
        <v>0</v>
      </c>
      <c r="N5022" t="s">
        <v>10019</v>
      </c>
      <c r="O5022" t="str">
        <f>HYPERLINK("NoConsenso\marker_129_371585.png", "Ver Imagen")</f>
        <v>Ver Imagen</v>
      </c>
      <c r="P5022" t="str">
        <f>HYPERLINK("SE\A-497\A-497__614.png", "Ver Imagen")</f>
        <v>Ver Imagen</v>
      </c>
    </row>
    <row r="5023" spans="1:16" x14ac:dyDescent="0.25">
      <c r="A5023">
        <v>4688</v>
      </c>
      <c r="B5023" t="s">
        <v>9383</v>
      </c>
      <c r="C5023">
        <v>37.2028848677</v>
      </c>
      <c r="D5023">
        <v>-7.0018743809900004</v>
      </c>
      <c r="E5023">
        <v>5</v>
      </c>
      <c r="F5023">
        <v>4</v>
      </c>
      <c r="G5023">
        <v>3</v>
      </c>
      <c r="H5023">
        <v>3</v>
      </c>
      <c r="I5023">
        <v>4</v>
      </c>
      <c r="J5023" t="s">
        <v>8005</v>
      </c>
      <c r="K5023">
        <v>4</v>
      </c>
      <c r="L5023">
        <v>3.6739999999999999</v>
      </c>
      <c r="M5023">
        <v>0</v>
      </c>
      <c r="N5023" t="s">
        <v>10019</v>
      </c>
      <c r="O5023" t="str">
        <f>HYPERLINK("NoConsenso\marker_601_371686.png", "Ver Imagen")</f>
        <v>Ver Imagen</v>
      </c>
      <c r="P5023" t="str">
        <f>HYPERLINK("SE\A-497\A-497__603.png", "Ver Imagen")</f>
        <v>Ver Imagen</v>
      </c>
    </row>
    <row r="5024" spans="1:16" x14ac:dyDescent="0.25">
      <c r="A5024">
        <v>4690</v>
      </c>
      <c r="B5024" t="s">
        <v>9387</v>
      </c>
      <c r="C5024">
        <v>37.203418097499998</v>
      </c>
      <c r="D5024">
        <v>-7.0063820507400001</v>
      </c>
      <c r="E5024">
        <v>5</v>
      </c>
      <c r="F5024">
        <v>3</v>
      </c>
      <c r="G5024">
        <v>4</v>
      </c>
      <c r="H5024">
        <v>3</v>
      </c>
      <c r="I5024">
        <v>3</v>
      </c>
      <c r="J5024" t="s">
        <v>8005</v>
      </c>
      <c r="K5024">
        <v>3</v>
      </c>
      <c r="L5024">
        <v>3.17</v>
      </c>
      <c r="M5024">
        <v>0</v>
      </c>
      <c r="N5024" t="s">
        <v>10018</v>
      </c>
      <c r="O5024" t="str">
        <f>HYPERLINK("NoConsenso\marker_856_371879.png", "Ver Imagen")</f>
        <v>Ver Imagen</v>
      </c>
      <c r="P5024" t="str">
        <f>HYPERLINK("SE\A-497\A-497__585.png", "Ver Imagen")</f>
        <v>Ver Imagen</v>
      </c>
    </row>
    <row r="5025" spans="1:16" x14ac:dyDescent="0.25">
      <c r="A5025">
        <v>4692</v>
      </c>
      <c r="B5025" t="s">
        <v>9391</v>
      </c>
      <c r="C5025">
        <v>37.203598107600001</v>
      </c>
      <c r="D5025">
        <v>-7.0076710028300004</v>
      </c>
      <c r="E5025">
        <v>5</v>
      </c>
      <c r="F5025">
        <v>3</v>
      </c>
      <c r="G5025">
        <v>4</v>
      </c>
      <c r="H5025">
        <v>2</v>
      </c>
      <c r="I5025">
        <v>2</v>
      </c>
      <c r="J5025" t="s">
        <v>8005</v>
      </c>
      <c r="K5025">
        <v>3</v>
      </c>
      <c r="L5025">
        <v>2.984</v>
      </c>
      <c r="M5025">
        <v>0</v>
      </c>
      <c r="N5025" t="s">
        <v>10019</v>
      </c>
      <c r="O5025" t="str">
        <f>HYPERLINK("NoConsenso\marker_277_371925.png", "Ver Imagen")</f>
        <v>Ver Imagen</v>
      </c>
      <c r="P5025" t="str">
        <f>HYPERLINK("SE\A-497\A-497__580.png", "Ver Imagen")</f>
        <v>Ver Imagen</v>
      </c>
    </row>
    <row r="5026" spans="1:16" x14ac:dyDescent="0.25">
      <c r="A5026">
        <v>4693</v>
      </c>
      <c r="B5026" t="s">
        <v>9393</v>
      </c>
      <c r="C5026">
        <v>37.203665459299998</v>
      </c>
      <c r="D5026">
        <v>-7.0081135405300001</v>
      </c>
      <c r="E5026">
        <v>5</v>
      </c>
      <c r="F5026">
        <v>3</v>
      </c>
      <c r="G5026">
        <v>3</v>
      </c>
      <c r="H5026">
        <v>3</v>
      </c>
      <c r="I5026">
        <v>3</v>
      </c>
      <c r="J5026" t="s">
        <v>8005</v>
      </c>
      <c r="K5026">
        <v>3</v>
      </c>
      <c r="L5026">
        <v>2.8919999999999999</v>
      </c>
      <c r="M5026">
        <v>0</v>
      </c>
      <c r="N5026" t="s">
        <v>10019</v>
      </c>
      <c r="O5026" t="str">
        <f>HYPERLINK("NoConsenso\marker_446_371943.png", "Ver Imagen")</f>
        <v>Ver Imagen</v>
      </c>
      <c r="P5026" t="str">
        <f>HYPERLINK("SE\A-497\A-497__578.png", "Ver Imagen")</f>
        <v>Ver Imagen</v>
      </c>
    </row>
    <row r="5027" spans="1:16" x14ac:dyDescent="0.25">
      <c r="A5027">
        <v>4695</v>
      </c>
      <c r="B5027" t="s">
        <v>9397</v>
      </c>
      <c r="C5027">
        <v>37.203745839900002</v>
      </c>
      <c r="D5027">
        <v>-7.0086479394800003</v>
      </c>
      <c r="E5027">
        <v>5</v>
      </c>
      <c r="F5027">
        <v>3</v>
      </c>
      <c r="G5027">
        <v>4</v>
      </c>
      <c r="H5027">
        <v>2</v>
      </c>
      <c r="I5027">
        <v>2</v>
      </c>
      <c r="J5027" t="s">
        <v>8005</v>
      </c>
      <c r="K5027">
        <v>3</v>
      </c>
      <c r="L5027">
        <v>2.968</v>
      </c>
      <c r="M5027">
        <v>0</v>
      </c>
      <c r="N5027" t="s">
        <v>10019</v>
      </c>
      <c r="O5027" t="str">
        <f>HYPERLINK("NoConsenso\marker_236_371963.png", "Ver Imagen")</f>
        <v>Ver Imagen</v>
      </c>
      <c r="P5027" t="str">
        <f>HYPERLINK("SE\A-497\A-497__576.png", "Ver Imagen")</f>
        <v>Ver Imagen</v>
      </c>
    </row>
    <row r="5028" spans="1:16" x14ac:dyDescent="0.25">
      <c r="A5028">
        <v>4696</v>
      </c>
      <c r="B5028" t="s">
        <v>9399</v>
      </c>
      <c r="C5028">
        <v>37.203820226600001</v>
      </c>
      <c r="D5028">
        <v>-7.0091259054300004</v>
      </c>
      <c r="E5028">
        <v>5</v>
      </c>
      <c r="F5028">
        <v>3</v>
      </c>
      <c r="G5028">
        <v>4</v>
      </c>
      <c r="H5028">
        <v>3</v>
      </c>
      <c r="I5028">
        <v>3</v>
      </c>
      <c r="J5028" t="s">
        <v>8005</v>
      </c>
      <c r="K5028">
        <v>3</v>
      </c>
      <c r="L5028">
        <v>2.7229999999999999</v>
      </c>
      <c r="M5028">
        <v>0</v>
      </c>
      <c r="N5028" t="s">
        <v>10019</v>
      </c>
      <c r="O5028" t="str">
        <f>HYPERLINK("NoConsenso\marker_471_371982.png", "Ver Imagen")</f>
        <v>Ver Imagen</v>
      </c>
      <c r="P5028" t="str">
        <f>HYPERLINK("SE\A-497\A-497__574.png", "Ver Imagen")</f>
        <v>Ver Imagen</v>
      </c>
    </row>
    <row r="5029" spans="1:16" x14ac:dyDescent="0.25">
      <c r="A5029">
        <v>4697</v>
      </c>
      <c r="B5029" t="s">
        <v>9401</v>
      </c>
      <c r="C5029">
        <v>37.251203813799997</v>
      </c>
      <c r="D5029">
        <v>-7.0173251476900003</v>
      </c>
      <c r="E5029">
        <v>5</v>
      </c>
      <c r="F5029">
        <v>3</v>
      </c>
      <c r="G5029">
        <v>4</v>
      </c>
      <c r="H5029">
        <v>3</v>
      </c>
      <c r="I5029">
        <v>3</v>
      </c>
      <c r="J5029" t="s">
        <v>8005</v>
      </c>
      <c r="K5029">
        <v>3</v>
      </c>
      <c r="L5029">
        <v>3.3769999999999998</v>
      </c>
      <c r="M5029">
        <v>0</v>
      </c>
      <c r="N5029" t="s">
        <v>10017</v>
      </c>
      <c r="O5029" t="str">
        <f>HYPERLINK("NoConsenso\marker_200_320084.png", "Ver Imagen")</f>
        <v>Ver Imagen</v>
      </c>
      <c r="P5029" t="str">
        <f>HYPERLINK("SE\A-497_2C\A-497_2C__291.png", "Ver Imagen")</f>
        <v>Ver Imagen</v>
      </c>
    </row>
    <row r="5030" spans="1:16" x14ac:dyDescent="0.25">
      <c r="A5030">
        <v>4698</v>
      </c>
      <c r="B5030" t="s">
        <v>9403</v>
      </c>
      <c r="C5030">
        <v>37.204185508599998</v>
      </c>
      <c r="D5030">
        <v>-7.0113361449899996</v>
      </c>
      <c r="E5030">
        <v>5</v>
      </c>
      <c r="F5030">
        <v>3</v>
      </c>
      <c r="G5030">
        <v>4</v>
      </c>
      <c r="H5030">
        <v>3</v>
      </c>
      <c r="I5030">
        <v>4</v>
      </c>
      <c r="J5030" t="s">
        <v>8005</v>
      </c>
      <c r="K5030">
        <v>4</v>
      </c>
      <c r="L5030">
        <v>3.722</v>
      </c>
      <c r="M5030">
        <v>0</v>
      </c>
      <c r="N5030" t="s">
        <v>10019</v>
      </c>
      <c r="O5030" t="str">
        <f>HYPERLINK("NoConsenso\marker_457_372091.png", "Ver Imagen")</f>
        <v>Ver Imagen</v>
      </c>
      <c r="P5030" t="str">
        <f>HYPERLINK("SE\A-497\A-497__565.png", "Ver Imagen")</f>
        <v>Ver Imagen</v>
      </c>
    </row>
    <row r="5031" spans="1:16" x14ac:dyDescent="0.25">
      <c r="A5031">
        <v>4699</v>
      </c>
      <c r="B5031" t="s">
        <v>9405</v>
      </c>
      <c r="C5031">
        <v>37.248701035700002</v>
      </c>
      <c r="D5031">
        <v>-7.0183392626899996</v>
      </c>
      <c r="E5031">
        <v>5</v>
      </c>
      <c r="F5031">
        <v>3</v>
      </c>
      <c r="G5031">
        <v>3</v>
      </c>
      <c r="H5031">
        <v>2</v>
      </c>
      <c r="I5031">
        <v>2</v>
      </c>
      <c r="J5031" t="s">
        <v>8052</v>
      </c>
      <c r="K5031">
        <v>2</v>
      </c>
      <c r="L5031">
        <v>2.0649999999999999</v>
      </c>
      <c r="M5031">
        <v>0</v>
      </c>
      <c r="N5031" t="s">
        <v>10019</v>
      </c>
      <c r="O5031" t="str">
        <f>HYPERLINK("NoConsenso\marker_494_320210.png", "Ver Imagen")</f>
        <v>Ver Imagen</v>
      </c>
      <c r="P5031" t="str">
        <f>HYPERLINK("SE\A-497_2C\A-497_2C__304.png", "Ver Imagen")</f>
        <v>Ver Imagen</v>
      </c>
    </row>
    <row r="5032" spans="1:16" x14ac:dyDescent="0.25">
      <c r="A5032">
        <v>4700</v>
      </c>
      <c r="B5032" t="s">
        <v>9407</v>
      </c>
      <c r="C5032">
        <v>37.2054213304</v>
      </c>
      <c r="D5032">
        <v>-7.0174835457400002</v>
      </c>
      <c r="E5032">
        <v>2</v>
      </c>
      <c r="F5032">
        <v>2</v>
      </c>
      <c r="G5032">
        <v>4</v>
      </c>
      <c r="H5032">
        <v>2</v>
      </c>
      <c r="I5032">
        <v>1</v>
      </c>
      <c r="J5032" t="s">
        <v>8005</v>
      </c>
      <c r="K5032">
        <v>2</v>
      </c>
      <c r="L5032">
        <v>2.0779999999999998</v>
      </c>
      <c r="M5032">
        <v>0</v>
      </c>
      <c r="N5032" t="s">
        <v>10019</v>
      </c>
      <c r="O5032" t="str">
        <f>HYPERLINK("NoConsenso\marker_305_372376.png", "Ver Imagen")</f>
        <v>Ver Imagen</v>
      </c>
      <c r="P5032" t="str">
        <f>HYPERLINK("SE\A-497\A-497__540.png", "Ver Imagen")</f>
        <v>Ver Imagen</v>
      </c>
    </row>
    <row r="5033" spans="1:16" x14ac:dyDescent="0.25">
      <c r="A5033">
        <v>4701</v>
      </c>
      <c r="B5033" t="s">
        <v>9409</v>
      </c>
      <c r="C5033">
        <v>37.241824241000003</v>
      </c>
      <c r="D5033">
        <v>-7.0186023680899998</v>
      </c>
      <c r="E5033">
        <v>5</v>
      </c>
      <c r="F5033">
        <v>3</v>
      </c>
      <c r="G5033">
        <v>4</v>
      </c>
      <c r="H5033">
        <v>3</v>
      </c>
      <c r="I5033">
        <v>3</v>
      </c>
      <c r="J5033" t="s">
        <v>8005</v>
      </c>
      <c r="K5033">
        <v>3</v>
      </c>
      <c r="L5033">
        <v>2.9169999999999998</v>
      </c>
      <c r="M5033">
        <v>0</v>
      </c>
      <c r="N5033" t="s">
        <v>10019</v>
      </c>
      <c r="O5033" t="str">
        <f>HYPERLINK("NoConsenso\marker_340_362109.png", "Ver Imagen")</f>
        <v>Ver Imagen</v>
      </c>
      <c r="P5033" t="str">
        <f>HYPERLINK("SE\A-497_2C\A-497_2C__338.png", "Ver Imagen")</f>
        <v>Ver Imagen</v>
      </c>
    </row>
    <row r="5034" spans="1:16" x14ac:dyDescent="0.25">
      <c r="A5034">
        <v>4703</v>
      </c>
      <c r="B5034" t="s">
        <v>9413</v>
      </c>
      <c r="C5034">
        <v>37.2406523573</v>
      </c>
      <c r="D5034">
        <v>-7.01865093342</v>
      </c>
      <c r="E5034">
        <v>5</v>
      </c>
      <c r="F5034">
        <v>3</v>
      </c>
      <c r="G5034">
        <v>3</v>
      </c>
      <c r="H5034">
        <v>3</v>
      </c>
      <c r="I5034">
        <v>3</v>
      </c>
      <c r="J5034" t="s">
        <v>8005</v>
      </c>
      <c r="K5034">
        <v>3</v>
      </c>
      <c r="L5034">
        <v>3.117</v>
      </c>
      <c r="M5034">
        <v>0</v>
      </c>
      <c r="N5034" t="s">
        <v>10019</v>
      </c>
      <c r="O5034" t="str">
        <f>HYPERLINK("NoConsenso\marker_421_362164.png", "Ver Imagen")</f>
        <v>Ver Imagen</v>
      </c>
      <c r="P5034" t="str">
        <f>HYPERLINK("SE\A-497_2C\A-497_2C__344.png", "Ver Imagen")</f>
        <v>Ver Imagen</v>
      </c>
    </row>
    <row r="5035" spans="1:16" x14ac:dyDescent="0.25">
      <c r="A5035">
        <v>4704</v>
      </c>
      <c r="B5035" t="s">
        <v>9415</v>
      </c>
      <c r="C5035">
        <v>37.206050155699998</v>
      </c>
      <c r="D5035">
        <v>-7.0193785822099999</v>
      </c>
      <c r="E5035">
        <v>4</v>
      </c>
      <c r="F5035">
        <v>2</v>
      </c>
      <c r="G5035">
        <v>3</v>
      </c>
      <c r="H5035">
        <v>3</v>
      </c>
      <c r="I5035">
        <v>1</v>
      </c>
      <c r="J5035" t="s">
        <v>8005</v>
      </c>
      <c r="K5035">
        <v>3</v>
      </c>
      <c r="L5035">
        <v>2.8340000000000001</v>
      </c>
      <c r="M5035">
        <v>0</v>
      </c>
      <c r="N5035" t="s">
        <v>10019</v>
      </c>
      <c r="O5035" t="str">
        <f>HYPERLINK("NoConsenso\marker_501_372482.png", "Ver Imagen")</f>
        <v>Ver Imagen</v>
      </c>
      <c r="P5035" t="str">
        <f>HYPERLINK("SE\A-497\A-497__532.png", "Ver Imagen")</f>
        <v>Ver Imagen</v>
      </c>
    </row>
    <row r="5036" spans="1:16" x14ac:dyDescent="0.25">
      <c r="A5036">
        <v>4705</v>
      </c>
      <c r="B5036" t="s">
        <v>9417</v>
      </c>
      <c r="C5036">
        <v>37.206567263499998</v>
      </c>
      <c r="D5036">
        <v>-7.02044860126</v>
      </c>
      <c r="E5036">
        <v>4</v>
      </c>
      <c r="F5036">
        <v>2</v>
      </c>
      <c r="G5036">
        <v>3</v>
      </c>
      <c r="H5036">
        <v>2</v>
      </c>
      <c r="I5036">
        <v>2</v>
      </c>
      <c r="J5036" t="s">
        <v>8005</v>
      </c>
      <c r="K5036">
        <v>2</v>
      </c>
      <c r="L5036">
        <v>1.913</v>
      </c>
      <c r="M5036">
        <v>0</v>
      </c>
      <c r="N5036" t="s">
        <v>10019</v>
      </c>
      <c r="O5036" t="str">
        <f>HYPERLINK("NoConsenso\marker_606_372529.png", "Ver Imagen")</f>
        <v>Ver Imagen</v>
      </c>
      <c r="P5036" t="str">
        <f>HYPERLINK("SE\A-497\A-497__527.png", "Ver Imagen")</f>
        <v>Ver Imagen</v>
      </c>
    </row>
    <row r="5037" spans="1:16" x14ac:dyDescent="0.25">
      <c r="A5037">
        <v>4706</v>
      </c>
      <c r="B5037" t="s">
        <v>9419</v>
      </c>
      <c r="C5037">
        <v>37.235956231700001</v>
      </c>
      <c r="D5037">
        <v>-7.0185301106700004</v>
      </c>
      <c r="E5037">
        <v>5</v>
      </c>
      <c r="F5037">
        <v>3</v>
      </c>
      <c r="G5037">
        <v>4</v>
      </c>
      <c r="H5037">
        <v>3</v>
      </c>
      <c r="I5037">
        <v>3</v>
      </c>
      <c r="J5037" t="s">
        <v>8005</v>
      </c>
      <c r="K5037">
        <v>3</v>
      </c>
      <c r="L5037">
        <v>3.48</v>
      </c>
      <c r="M5037">
        <v>0</v>
      </c>
      <c r="N5037" t="s">
        <v>10019</v>
      </c>
      <c r="O5037" t="str">
        <f>HYPERLINK("NoConsenso\marker_578_362434.png", "Ver Imagen")</f>
        <v>Ver Imagen</v>
      </c>
      <c r="P5037" t="str">
        <f>HYPERLINK("SE\A-497_2C\A-497_2C__367.png", "Ver Imagen")</f>
        <v>Ver Imagen</v>
      </c>
    </row>
    <row r="5038" spans="1:16" x14ac:dyDescent="0.25">
      <c r="A5038">
        <v>4707</v>
      </c>
      <c r="B5038" t="s">
        <v>9421</v>
      </c>
      <c r="C5038">
        <v>37.235757579999998</v>
      </c>
      <c r="D5038">
        <v>-7.0184781411400001</v>
      </c>
      <c r="E5038">
        <v>4</v>
      </c>
      <c r="F5038">
        <v>2</v>
      </c>
      <c r="G5038">
        <v>3</v>
      </c>
      <c r="H5038">
        <v>3</v>
      </c>
      <c r="I5038">
        <v>2</v>
      </c>
      <c r="J5038" t="s">
        <v>8005</v>
      </c>
      <c r="K5038">
        <v>3</v>
      </c>
      <c r="L5038">
        <v>3.1659999999999999</v>
      </c>
      <c r="M5038">
        <v>0</v>
      </c>
      <c r="N5038" t="s">
        <v>10019</v>
      </c>
      <c r="O5038" t="str">
        <f>HYPERLINK("NoConsenso\marker_268_362448.png", "Ver Imagen")</f>
        <v>Ver Imagen</v>
      </c>
      <c r="P5038" t="str">
        <f>HYPERLINK("SE\A-497_2C\A-497_2C__368.png", "Ver Imagen")</f>
        <v>Ver Imagen</v>
      </c>
    </row>
    <row r="5039" spans="1:16" x14ac:dyDescent="0.25">
      <c r="A5039">
        <v>4708</v>
      </c>
      <c r="B5039" t="s">
        <v>9423</v>
      </c>
      <c r="C5039">
        <v>37.235327005000002</v>
      </c>
      <c r="D5039">
        <v>-7.0183600339899996</v>
      </c>
      <c r="E5039">
        <v>5</v>
      </c>
      <c r="F5039">
        <v>3</v>
      </c>
      <c r="G5039">
        <v>4</v>
      </c>
      <c r="H5039">
        <v>3</v>
      </c>
      <c r="I5039">
        <v>3</v>
      </c>
      <c r="J5039" t="s">
        <v>8005</v>
      </c>
      <c r="K5039">
        <v>3</v>
      </c>
      <c r="L5039">
        <v>2.9540000000000002</v>
      </c>
      <c r="M5039">
        <v>0</v>
      </c>
      <c r="N5039" t="s">
        <v>10019</v>
      </c>
      <c r="O5039" t="str">
        <f>HYPERLINK("NoConsenso\marker_630_362478.png", "Ver Imagen")</f>
        <v>Ver Imagen</v>
      </c>
      <c r="P5039" t="str">
        <f>HYPERLINK("SE\A-497_2C\A-497_2C__370.png", "Ver Imagen")</f>
        <v>Ver Imagen</v>
      </c>
    </row>
    <row r="5040" spans="1:16" x14ac:dyDescent="0.25">
      <c r="A5040">
        <v>4709</v>
      </c>
      <c r="B5040" t="s">
        <v>9425</v>
      </c>
      <c r="C5040">
        <v>37.235194050600001</v>
      </c>
      <c r="D5040">
        <v>-7.0183241302999999</v>
      </c>
      <c r="E5040">
        <v>5</v>
      </c>
      <c r="F5040">
        <v>3</v>
      </c>
      <c r="G5040">
        <v>4</v>
      </c>
      <c r="H5040">
        <v>3</v>
      </c>
      <c r="I5040">
        <v>3</v>
      </c>
      <c r="J5040" t="s">
        <v>8005</v>
      </c>
      <c r="K5040">
        <v>3</v>
      </c>
      <c r="L5040">
        <v>2.754</v>
      </c>
      <c r="M5040">
        <v>0</v>
      </c>
      <c r="N5040" t="s">
        <v>10019</v>
      </c>
      <c r="O5040" t="str">
        <f>HYPERLINK("NoConsenso\marker_797_362490.png", "Ver Imagen")</f>
        <v>Ver Imagen</v>
      </c>
      <c r="P5040" t="str">
        <f>HYPERLINK("SE\A-497_2C\A-497_2C__371.png", "Ver Imagen")</f>
        <v>Ver Imagen</v>
      </c>
    </row>
    <row r="5041" spans="1:16" x14ac:dyDescent="0.25">
      <c r="A5041">
        <v>4711</v>
      </c>
      <c r="B5041" t="s">
        <v>9429</v>
      </c>
      <c r="C5041">
        <v>37.207970394299998</v>
      </c>
      <c r="D5041">
        <v>-7.0222331021300004</v>
      </c>
      <c r="E5041">
        <v>4</v>
      </c>
      <c r="F5041">
        <v>2</v>
      </c>
      <c r="G5041">
        <v>3</v>
      </c>
      <c r="H5041">
        <v>2</v>
      </c>
      <c r="I5041">
        <v>2</v>
      </c>
      <c r="J5041" t="s">
        <v>8005</v>
      </c>
      <c r="K5041">
        <v>2</v>
      </c>
      <c r="L5041">
        <v>1.93</v>
      </c>
      <c r="M5041">
        <v>0</v>
      </c>
      <c r="N5041" t="s">
        <v>10019</v>
      </c>
      <c r="O5041" t="str">
        <f>HYPERLINK("NoConsenso\marker_620_372623.png", "Ver Imagen")</f>
        <v>Ver Imagen</v>
      </c>
      <c r="P5041" t="str">
        <f>HYPERLINK("SE\A-497\A-497__517.png", "Ver Imagen")</f>
        <v>Ver Imagen</v>
      </c>
    </row>
    <row r="5042" spans="1:16" x14ac:dyDescent="0.25">
      <c r="A5042">
        <v>4712</v>
      </c>
      <c r="B5042" t="s">
        <v>9431</v>
      </c>
      <c r="C5042">
        <v>37.208666305900003</v>
      </c>
      <c r="D5042">
        <v>-7.0227989533099997</v>
      </c>
      <c r="E5042">
        <v>4</v>
      </c>
      <c r="F5042">
        <v>2</v>
      </c>
      <c r="G5042">
        <v>3</v>
      </c>
      <c r="H5042">
        <v>2</v>
      </c>
      <c r="I5042">
        <v>2</v>
      </c>
      <c r="J5042" t="s">
        <v>8005</v>
      </c>
      <c r="K5042">
        <v>2</v>
      </c>
      <c r="L5042">
        <v>2.149</v>
      </c>
      <c r="M5042">
        <v>0</v>
      </c>
      <c r="N5042" t="s">
        <v>10019</v>
      </c>
      <c r="O5042" t="str">
        <f>HYPERLINK("NoConsenso\marker_943_372660.png", "Ver Imagen")</f>
        <v>Ver Imagen</v>
      </c>
      <c r="P5042" t="str">
        <f>HYPERLINK("SE\A-497\A-497__513.png", "Ver Imagen")</f>
        <v>Ver Imagen</v>
      </c>
    </row>
    <row r="5043" spans="1:16" x14ac:dyDescent="0.25">
      <c r="A5043">
        <v>4713</v>
      </c>
      <c r="B5043" t="s">
        <v>9433</v>
      </c>
      <c r="C5043">
        <v>37.2088350633</v>
      </c>
      <c r="D5043">
        <v>-7.0229137072899999</v>
      </c>
      <c r="E5043">
        <v>4</v>
      </c>
      <c r="F5043">
        <v>2</v>
      </c>
      <c r="G5043">
        <v>3</v>
      </c>
      <c r="H5043">
        <v>3</v>
      </c>
      <c r="I5043">
        <v>2</v>
      </c>
      <c r="J5043" t="s">
        <v>8005</v>
      </c>
      <c r="K5043">
        <v>3</v>
      </c>
      <c r="L5043">
        <v>3.0840000000000001</v>
      </c>
      <c r="M5043">
        <v>0</v>
      </c>
      <c r="N5043" t="s">
        <v>10017</v>
      </c>
      <c r="O5043" t="str">
        <f>HYPERLINK("NoConsenso\marker_219_372672.png", "Ver Imagen")</f>
        <v>Ver Imagen</v>
      </c>
      <c r="P5043" t="str">
        <f>HYPERLINK("SE\A-497\A-497__512.png", "Ver Imagen")</f>
        <v>Ver Imagen</v>
      </c>
    </row>
    <row r="5044" spans="1:16" x14ac:dyDescent="0.25">
      <c r="A5044">
        <v>4714</v>
      </c>
      <c r="B5044" t="s">
        <v>9435</v>
      </c>
      <c r="C5044">
        <v>37.231015321299999</v>
      </c>
      <c r="D5044">
        <v>-7.0196923227300001</v>
      </c>
      <c r="E5044">
        <v>5</v>
      </c>
      <c r="F5044">
        <v>3</v>
      </c>
      <c r="G5044">
        <v>3</v>
      </c>
      <c r="H5044">
        <v>3</v>
      </c>
      <c r="I5044">
        <v>2</v>
      </c>
      <c r="J5044" t="s">
        <v>8005</v>
      </c>
      <c r="K5044">
        <v>3</v>
      </c>
      <c r="L5044">
        <v>3.169</v>
      </c>
      <c r="M5044">
        <v>0</v>
      </c>
      <c r="N5044" t="s">
        <v>10019</v>
      </c>
      <c r="O5044" t="str">
        <f>HYPERLINK("NoConsenso\marker_124_362836.png", "Ver Imagen")</f>
        <v>Ver Imagen</v>
      </c>
      <c r="P5044" t="str">
        <f>HYPERLINK("SE\A-497_2C\A-497_2C__393.png", "Ver Imagen")</f>
        <v>Ver Imagen</v>
      </c>
    </row>
    <row r="5045" spans="1:16" x14ac:dyDescent="0.25">
      <c r="A5045">
        <v>4715</v>
      </c>
      <c r="B5045" t="s">
        <v>9437</v>
      </c>
      <c r="C5045">
        <v>37.211960313500001</v>
      </c>
      <c r="D5045">
        <v>-7.0238570220099996</v>
      </c>
      <c r="E5045">
        <v>4</v>
      </c>
      <c r="F5045">
        <v>2</v>
      </c>
      <c r="G5045">
        <v>3</v>
      </c>
      <c r="H5045">
        <v>2</v>
      </c>
      <c r="I5045">
        <v>1</v>
      </c>
      <c r="J5045" t="s">
        <v>8005</v>
      </c>
      <c r="K5045">
        <v>2</v>
      </c>
      <c r="L5045">
        <v>2.2989999999999999</v>
      </c>
      <c r="M5045">
        <v>0</v>
      </c>
      <c r="N5045" t="s">
        <v>10019</v>
      </c>
      <c r="O5045" t="str">
        <f>HYPERLINK("NoConsenso\marker_957_376142.png", "Ver Imagen")</f>
        <v>Ver Imagen</v>
      </c>
      <c r="P5045" t="str">
        <f>HYPERLINK("SE\A-497\A-497__496.png", "Ver Imagen")</f>
        <v>Ver Imagen</v>
      </c>
    </row>
    <row r="5046" spans="1:16" x14ac:dyDescent="0.25">
      <c r="A5046">
        <v>4716</v>
      </c>
      <c r="B5046" t="s">
        <v>9439</v>
      </c>
      <c r="C5046">
        <v>37.228581738999999</v>
      </c>
      <c r="D5046">
        <v>-7.0215369128400003</v>
      </c>
      <c r="E5046">
        <v>4</v>
      </c>
      <c r="F5046">
        <v>2</v>
      </c>
      <c r="G5046">
        <v>2</v>
      </c>
      <c r="H5046">
        <v>2</v>
      </c>
      <c r="I5046">
        <v>2</v>
      </c>
      <c r="J5046" t="s">
        <v>8005</v>
      </c>
      <c r="K5046">
        <v>2</v>
      </c>
      <c r="L5046">
        <v>1.8879999999999999</v>
      </c>
      <c r="M5046">
        <v>0</v>
      </c>
      <c r="N5046" t="s">
        <v>10019</v>
      </c>
      <c r="O5046" t="str">
        <f>HYPERLINK("NoConsenso\marker_400_362981.png", "Ver Imagen")</f>
        <v>Ver Imagen</v>
      </c>
      <c r="P5046" t="str">
        <f>HYPERLINK("SE\A-497_2C\A-497_2C__407.png", "Ver Imagen")</f>
        <v>Ver Imagen</v>
      </c>
    </row>
    <row r="5047" spans="1:16" x14ac:dyDescent="0.25">
      <c r="A5047">
        <v>4717</v>
      </c>
      <c r="B5047" t="s">
        <v>9441</v>
      </c>
      <c r="C5047">
        <v>37.203750915000001</v>
      </c>
      <c r="D5047">
        <v>-7.0096247458600001</v>
      </c>
      <c r="E5047">
        <v>4</v>
      </c>
      <c r="F5047">
        <v>3</v>
      </c>
      <c r="G5047">
        <v>2</v>
      </c>
      <c r="H5047">
        <v>2</v>
      </c>
      <c r="I5047">
        <v>2</v>
      </c>
      <c r="J5047" t="s">
        <v>8005</v>
      </c>
      <c r="K5047">
        <v>2</v>
      </c>
      <c r="L5047">
        <v>2.246</v>
      </c>
      <c r="M5047">
        <v>0</v>
      </c>
      <c r="N5047" t="s">
        <v>10019</v>
      </c>
      <c r="O5047" t="str">
        <f>HYPERLINK("NoConsenso\marker_896_366477.png", "Ver Imagen")</f>
        <v>Ver Imagen</v>
      </c>
      <c r="P5047" t="str">
        <f>HYPERLINK("SE\A-497_2C\A-497_2C__569.png", "Ver Imagen")</f>
        <v>Ver Imagen</v>
      </c>
    </row>
    <row r="5048" spans="1:16" x14ac:dyDescent="0.25">
      <c r="A5048">
        <v>4718</v>
      </c>
      <c r="B5048" t="s">
        <v>9443</v>
      </c>
      <c r="C5048">
        <v>37.202670535700001</v>
      </c>
      <c r="D5048">
        <v>-7.0013197793500002</v>
      </c>
      <c r="E5048">
        <v>2</v>
      </c>
      <c r="F5048">
        <v>4</v>
      </c>
      <c r="G5048">
        <v>3</v>
      </c>
      <c r="H5048">
        <v>3</v>
      </c>
      <c r="I5048">
        <v>2</v>
      </c>
      <c r="J5048" t="s">
        <v>8005</v>
      </c>
      <c r="K5048">
        <v>3</v>
      </c>
      <c r="L5048">
        <v>3.4710000000000001</v>
      </c>
      <c r="M5048">
        <v>0</v>
      </c>
      <c r="N5048" t="s">
        <v>10018</v>
      </c>
      <c r="O5048" t="str">
        <f>HYPERLINK("NoConsenso\marker_541_366783.png", "Ver Imagen")</f>
        <v>Ver Imagen</v>
      </c>
      <c r="P5048" t="str">
        <f>HYPERLINK("SE\A-497_2C\A-497_2C__602.png", "Ver Imagen")</f>
        <v>Ver Imagen</v>
      </c>
    </row>
    <row r="5049" spans="1:16" x14ac:dyDescent="0.25">
      <c r="A5049">
        <v>4719</v>
      </c>
      <c r="B5049" t="s">
        <v>9445</v>
      </c>
      <c r="C5049">
        <v>37.229378549000003</v>
      </c>
      <c r="D5049">
        <v>-7.02072986653</v>
      </c>
      <c r="E5049">
        <v>4</v>
      </c>
      <c r="F5049">
        <v>3</v>
      </c>
      <c r="G5049">
        <v>2</v>
      </c>
      <c r="H5049">
        <v>2</v>
      </c>
      <c r="I5049">
        <v>2</v>
      </c>
      <c r="J5049" t="s">
        <v>8005</v>
      </c>
      <c r="K5049">
        <v>2</v>
      </c>
      <c r="L5049">
        <v>2.1970000000000001</v>
      </c>
      <c r="M5049">
        <v>0</v>
      </c>
      <c r="N5049" t="s">
        <v>10019</v>
      </c>
      <c r="O5049" t="str">
        <f>HYPERLINK("NoConsenso\marker_835_377126.png", "Ver Imagen")</f>
        <v>Ver Imagen</v>
      </c>
      <c r="P5049" t="str">
        <f>HYPERLINK("SE\A-497\A-497__407.png", "Ver Imagen")</f>
        <v>Ver Imagen</v>
      </c>
    </row>
    <row r="5050" spans="1:16" x14ac:dyDescent="0.25">
      <c r="A5050">
        <v>4720</v>
      </c>
      <c r="B5050" t="s">
        <v>9447</v>
      </c>
      <c r="C5050">
        <v>37.230437924199997</v>
      </c>
      <c r="D5050">
        <v>-7.0199201123100003</v>
      </c>
      <c r="E5050">
        <v>4</v>
      </c>
      <c r="F5050">
        <v>3</v>
      </c>
      <c r="G5050">
        <v>2</v>
      </c>
      <c r="H5050">
        <v>2</v>
      </c>
      <c r="I5050">
        <v>3</v>
      </c>
      <c r="J5050" t="s">
        <v>8052</v>
      </c>
      <c r="K5050">
        <v>2</v>
      </c>
      <c r="L5050">
        <v>2.1419999999999999</v>
      </c>
      <c r="M5050">
        <v>0</v>
      </c>
      <c r="N5050" t="s">
        <v>10019</v>
      </c>
      <c r="O5050" t="str">
        <f>HYPERLINK("NoConsenso\marker_359_377185.png", "Ver Imagen")</f>
        <v>Ver Imagen</v>
      </c>
      <c r="P5050" t="str">
        <f>HYPERLINK("SE\A-497\A-497__401.png", "Ver Imagen")</f>
        <v>Ver Imagen</v>
      </c>
    </row>
    <row r="5051" spans="1:16" x14ac:dyDescent="0.25">
      <c r="A5051">
        <v>4721</v>
      </c>
      <c r="B5051" t="s">
        <v>9449</v>
      </c>
      <c r="C5051">
        <v>37.252358893</v>
      </c>
      <c r="D5051">
        <v>-7.0163741383199998</v>
      </c>
      <c r="E5051">
        <v>2</v>
      </c>
      <c r="F5051">
        <v>4</v>
      </c>
      <c r="G5051">
        <v>3</v>
      </c>
      <c r="H5051">
        <v>3</v>
      </c>
      <c r="I5051">
        <v>2</v>
      </c>
      <c r="J5051" t="s">
        <v>8005</v>
      </c>
      <c r="K5051">
        <v>3</v>
      </c>
      <c r="L5051">
        <v>2.8879999999999999</v>
      </c>
      <c r="M5051">
        <v>0</v>
      </c>
      <c r="N5051" t="s">
        <v>10019</v>
      </c>
      <c r="O5051" t="str">
        <f>HYPERLINK("NoConsenso\marker_444_378364.png", "Ver Imagen")</f>
        <v>Ver Imagen</v>
      </c>
      <c r="P5051" t="str">
        <f>HYPERLINK("SE\A-497\A-497__289.png", "Ver Imagen")</f>
        <v>Ver Imagen</v>
      </c>
    </row>
    <row r="5052" spans="1:16" x14ac:dyDescent="0.25">
      <c r="A5052">
        <v>4723</v>
      </c>
      <c r="B5052" t="s">
        <v>9453</v>
      </c>
      <c r="C5052">
        <v>37.264665817599997</v>
      </c>
      <c r="D5052">
        <v>-7.0001334860900002</v>
      </c>
      <c r="E5052">
        <v>4</v>
      </c>
      <c r="F5052">
        <v>2</v>
      </c>
      <c r="G5052">
        <v>3</v>
      </c>
      <c r="H5052">
        <v>2</v>
      </c>
      <c r="I5052">
        <v>2</v>
      </c>
      <c r="J5052" t="s">
        <v>8005</v>
      </c>
      <c r="K5052">
        <v>2</v>
      </c>
      <c r="L5052">
        <v>2.3849999999999998</v>
      </c>
      <c r="M5052">
        <v>0</v>
      </c>
      <c r="N5052" t="s">
        <v>10019</v>
      </c>
      <c r="O5052" t="str">
        <f>HYPERLINK("NoConsenso\marker_432_379480.png", "Ver Imagen")</f>
        <v>Ver Imagen</v>
      </c>
      <c r="P5052" t="str">
        <f>HYPERLINK("SE\A-497\A-497__193.png", "Ver Imagen")</f>
        <v>Ver Imagen</v>
      </c>
    </row>
    <row r="5053" spans="1:16" x14ac:dyDescent="0.25">
      <c r="A5053">
        <v>4724</v>
      </c>
      <c r="B5053" t="s">
        <v>9455</v>
      </c>
      <c r="C5053">
        <v>37.264716993299999</v>
      </c>
      <c r="D5053">
        <v>-6.9998475814900001</v>
      </c>
      <c r="E5053">
        <v>5</v>
      </c>
      <c r="F5053">
        <v>3</v>
      </c>
      <c r="G5053">
        <v>4</v>
      </c>
      <c r="H5053">
        <v>3</v>
      </c>
      <c r="I5053">
        <v>4</v>
      </c>
      <c r="J5053" t="s">
        <v>8005</v>
      </c>
      <c r="K5053">
        <v>4</v>
      </c>
      <c r="L5053">
        <v>4.1420000000000003</v>
      </c>
      <c r="M5053">
        <v>0</v>
      </c>
      <c r="N5053" t="s">
        <v>10019</v>
      </c>
      <c r="O5053" t="str">
        <f>HYPERLINK("NoConsenso\marker_368_379490.png", "Ver Imagen")</f>
        <v>Ver Imagen</v>
      </c>
      <c r="P5053" t="str">
        <f>HYPERLINK("SE\A-497\A-497__192.png", "Ver Imagen")</f>
        <v>Ver Imagen</v>
      </c>
    </row>
    <row r="5054" spans="1:16" x14ac:dyDescent="0.25">
      <c r="A5054">
        <v>4725</v>
      </c>
      <c r="B5054" t="s">
        <v>9457</v>
      </c>
      <c r="C5054">
        <v>37.488040629899999</v>
      </c>
      <c r="D5054">
        <v>-7.2455046359299997</v>
      </c>
      <c r="E5054">
        <v>1</v>
      </c>
      <c r="F5054">
        <v>4</v>
      </c>
      <c r="G5054">
        <v>1</v>
      </c>
      <c r="H5054">
        <v>2</v>
      </c>
      <c r="I5054">
        <v>2</v>
      </c>
      <c r="J5054" t="s">
        <v>8005</v>
      </c>
      <c r="K5054">
        <v>2</v>
      </c>
      <c r="L5054">
        <v>2.206</v>
      </c>
      <c r="M5054">
        <v>0</v>
      </c>
      <c r="N5054" t="s">
        <v>10019</v>
      </c>
      <c r="O5054" t="str">
        <f>HYPERLINK("NoConsenso\marker_266_818163.png", "Ver Imagen")</f>
        <v>Ver Imagen</v>
      </c>
      <c r="P5054" t="str">
        <f>HYPERLINK("NO\A-490\A-490__527.png", "Ver Imagen")</f>
        <v>Ver Imagen</v>
      </c>
    </row>
    <row r="5055" spans="1:16" x14ac:dyDescent="0.25">
      <c r="A5055">
        <v>4726</v>
      </c>
      <c r="B5055" t="s">
        <v>9459</v>
      </c>
      <c r="C5055">
        <v>37.482805985900001</v>
      </c>
      <c r="D5055">
        <v>-7.1287884444399996</v>
      </c>
      <c r="E5055">
        <v>1</v>
      </c>
      <c r="F5055">
        <v>1</v>
      </c>
      <c r="G5055">
        <v>4</v>
      </c>
      <c r="H5055">
        <v>1</v>
      </c>
      <c r="I5055">
        <v>1</v>
      </c>
      <c r="J5055" t="s">
        <v>8005</v>
      </c>
      <c r="K5055">
        <v>1</v>
      </c>
      <c r="L5055">
        <v>1.046</v>
      </c>
      <c r="M5055">
        <v>0</v>
      </c>
      <c r="N5055" t="s">
        <v>10019</v>
      </c>
      <c r="O5055" t="str">
        <f>HYPERLINK("NoConsenso\marker_226_383792.png", "Ver Imagen")</f>
        <v>Ver Imagen</v>
      </c>
      <c r="P5055" t="str">
        <f>HYPERLINK("NE\A-495_1\A-495_1__183.png", "Ver Imagen")</f>
        <v>Ver Imagen</v>
      </c>
    </row>
    <row r="5056" spans="1:16" x14ac:dyDescent="0.25">
      <c r="A5056">
        <v>4727</v>
      </c>
      <c r="B5056" t="s">
        <v>9461</v>
      </c>
      <c r="C5056">
        <v>37.276280821900002</v>
      </c>
      <c r="D5056">
        <v>-7.0139774289499996</v>
      </c>
      <c r="E5056">
        <v>2</v>
      </c>
      <c r="F5056">
        <v>3</v>
      </c>
      <c r="G5056">
        <v>5</v>
      </c>
      <c r="H5056">
        <v>2</v>
      </c>
      <c r="I5056">
        <v>2</v>
      </c>
      <c r="J5056" t="s">
        <v>8005</v>
      </c>
      <c r="K5056">
        <v>2</v>
      </c>
      <c r="L5056">
        <v>1.881</v>
      </c>
      <c r="M5056">
        <v>0</v>
      </c>
      <c r="N5056" t="s">
        <v>10019</v>
      </c>
      <c r="O5056" t="str">
        <f>HYPERLINK("NoConsenso\marker_150_824554.png", "Ver Imagen")</f>
        <v>Ver Imagen</v>
      </c>
      <c r="P5056" t="str">
        <f>HYPERLINK("SE\A-492\A-492__131.png", "Ver Imagen")</f>
        <v>Ver Imagen</v>
      </c>
    </row>
    <row r="5057" spans="1:16" x14ac:dyDescent="0.25">
      <c r="A5057">
        <v>4728</v>
      </c>
      <c r="B5057" t="s">
        <v>9463</v>
      </c>
      <c r="C5057">
        <v>37.307716522900002</v>
      </c>
      <c r="D5057">
        <v>-7.0570138367300004</v>
      </c>
      <c r="E5057">
        <v>2</v>
      </c>
      <c r="F5057">
        <v>2</v>
      </c>
      <c r="G5057">
        <v>5</v>
      </c>
      <c r="H5057">
        <v>2</v>
      </c>
      <c r="I5057">
        <v>2</v>
      </c>
      <c r="J5057" t="s">
        <v>8005</v>
      </c>
      <c r="K5057">
        <v>2</v>
      </c>
      <c r="L5057">
        <v>2.1139999999999999</v>
      </c>
      <c r="M5057">
        <v>0</v>
      </c>
      <c r="N5057" t="s">
        <v>10019</v>
      </c>
      <c r="O5057" t="str">
        <f>HYPERLINK("NoConsenso\marker_982_839080.png", "Ver Imagen")</f>
        <v>Ver Imagen</v>
      </c>
      <c r="P5057" t="str">
        <f>HYPERLINK("SE\A-492\A-492__394.png", "Ver Imagen")</f>
        <v>Ver Imagen</v>
      </c>
    </row>
    <row r="5058" spans="1:16" x14ac:dyDescent="0.25">
      <c r="A5058">
        <v>4729</v>
      </c>
      <c r="B5058" t="s">
        <v>9465</v>
      </c>
      <c r="C5058">
        <v>37.3090769079</v>
      </c>
      <c r="D5058">
        <v>-7.0575609561099997</v>
      </c>
      <c r="E5058">
        <v>2</v>
      </c>
      <c r="F5058">
        <v>3</v>
      </c>
      <c r="G5058">
        <v>5</v>
      </c>
      <c r="H5058">
        <v>2</v>
      </c>
      <c r="I5058">
        <v>2</v>
      </c>
      <c r="J5058" t="s">
        <v>8005</v>
      </c>
      <c r="K5058">
        <v>2</v>
      </c>
      <c r="L5058">
        <v>1.889</v>
      </c>
      <c r="M5058">
        <v>0</v>
      </c>
      <c r="N5058" t="s">
        <v>10019</v>
      </c>
      <c r="O5058" t="str">
        <f>HYPERLINK("NoConsenso\marker_893_839173.png", "Ver Imagen")</f>
        <v>Ver Imagen</v>
      </c>
      <c r="P5058" t="str">
        <f>HYPERLINK("SE\A-492\A-492__401.png", "Ver Imagen")</f>
        <v>Ver Imagen</v>
      </c>
    </row>
    <row r="5059" spans="1:16" x14ac:dyDescent="0.25">
      <c r="A5059">
        <v>4731</v>
      </c>
      <c r="B5059" t="s">
        <v>9469</v>
      </c>
      <c r="C5059">
        <v>37.453936214300001</v>
      </c>
      <c r="D5059">
        <v>-7.1636378867500001</v>
      </c>
      <c r="E5059">
        <v>1</v>
      </c>
      <c r="F5059">
        <v>4</v>
      </c>
      <c r="G5059">
        <v>3</v>
      </c>
      <c r="H5059">
        <v>3</v>
      </c>
      <c r="I5059">
        <v>2</v>
      </c>
      <c r="J5059" t="s">
        <v>8005</v>
      </c>
      <c r="K5059">
        <v>3</v>
      </c>
      <c r="L5059">
        <v>3.1259999999999999</v>
      </c>
      <c r="M5059">
        <v>0</v>
      </c>
      <c r="N5059" t="s">
        <v>10019</v>
      </c>
      <c r="O5059" t="str">
        <f>HYPERLINK("NoConsenso\marker_213_740911.png", "Ver Imagen")</f>
        <v>Ver Imagen</v>
      </c>
      <c r="P5059" t="str">
        <f>HYPERLINK("NE\A-490\A-490__157.png", "Ver Imagen")</f>
        <v>Ver Imagen</v>
      </c>
    </row>
    <row r="5060" spans="1:16" x14ac:dyDescent="0.25">
      <c r="A5060">
        <v>4732</v>
      </c>
      <c r="B5060" t="s">
        <v>9471</v>
      </c>
      <c r="C5060">
        <v>37.477940813799997</v>
      </c>
      <c r="D5060">
        <v>-7.2055676605799999</v>
      </c>
      <c r="E5060">
        <v>1</v>
      </c>
      <c r="F5060">
        <v>4</v>
      </c>
      <c r="G5060">
        <v>3</v>
      </c>
      <c r="H5060">
        <v>2</v>
      </c>
      <c r="I5060">
        <v>2</v>
      </c>
      <c r="J5060" t="s">
        <v>8005</v>
      </c>
      <c r="K5060">
        <v>2</v>
      </c>
      <c r="L5060">
        <v>2.0310000000000001</v>
      </c>
      <c r="M5060">
        <v>0</v>
      </c>
      <c r="N5060" t="s">
        <v>10019</v>
      </c>
      <c r="O5060" t="str">
        <f>HYPERLINK("NoConsenso\marker_467_751898.png", "Ver Imagen")</f>
        <v>Ver Imagen</v>
      </c>
      <c r="P5060" t="str">
        <f>HYPERLINK("NO\A-490\A-490__361.png", "Ver Imagen")</f>
        <v>Ver Imagen</v>
      </c>
    </row>
    <row r="5061" spans="1:16" x14ac:dyDescent="0.25">
      <c r="A5061">
        <v>4733</v>
      </c>
      <c r="B5061" t="s">
        <v>9473</v>
      </c>
      <c r="C5061">
        <v>37.482323655199998</v>
      </c>
      <c r="D5061">
        <v>-7.2167566932099998</v>
      </c>
      <c r="E5061">
        <v>1</v>
      </c>
      <c r="F5061">
        <v>4</v>
      </c>
      <c r="G5061">
        <v>3</v>
      </c>
      <c r="H5061">
        <v>3</v>
      </c>
      <c r="I5061">
        <v>2</v>
      </c>
      <c r="J5061" t="s">
        <v>8005</v>
      </c>
      <c r="K5061">
        <v>3</v>
      </c>
      <c r="L5061">
        <v>2.984</v>
      </c>
      <c r="M5061">
        <v>0</v>
      </c>
      <c r="N5061" t="s">
        <v>10019</v>
      </c>
      <c r="O5061" t="str">
        <f>HYPERLINK("NoConsenso\marker_379_754123.png", "Ver Imagen")</f>
        <v>Ver Imagen</v>
      </c>
      <c r="P5061" t="str">
        <f>HYPERLINK("NO\A-490\A-490__410.png", "Ver Imagen")</f>
        <v>Ver Imagen</v>
      </c>
    </row>
    <row r="5062" spans="1:16" x14ac:dyDescent="0.25">
      <c r="A5062">
        <v>4734</v>
      </c>
      <c r="B5062" t="s">
        <v>9475</v>
      </c>
      <c r="C5062">
        <v>37.446236919599997</v>
      </c>
      <c r="D5062">
        <v>-7.13472187051</v>
      </c>
      <c r="E5062">
        <v>2</v>
      </c>
      <c r="F5062">
        <v>5</v>
      </c>
      <c r="G5062">
        <v>4</v>
      </c>
      <c r="H5062">
        <v>4</v>
      </c>
      <c r="I5062">
        <v>4</v>
      </c>
      <c r="J5062" t="s">
        <v>8005</v>
      </c>
      <c r="K5062">
        <v>4</v>
      </c>
      <c r="L5062">
        <v>3.5630000000000002</v>
      </c>
      <c r="M5062">
        <v>0</v>
      </c>
      <c r="N5062" t="s">
        <v>10019</v>
      </c>
      <c r="O5062" t="str">
        <f>HYPERLINK("NoConsenso\marker_161_731037.png", "Ver Imagen")</f>
        <v>Ver Imagen</v>
      </c>
      <c r="P5062" t="str">
        <f>HYPERLINK("NE\A-490\A-490__34.png", "Ver Imagen")</f>
        <v>Ver Imagen</v>
      </c>
    </row>
    <row r="5063" spans="1:16" x14ac:dyDescent="0.25">
      <c r="A5063">
        <v>4736</v>
      </c>
      <c r="B5063" t="s">
        <v>9479</v>
      </c>
      <c r="C5063">
        <v>37.476898562599999</v>
      </c>
      <c r="D5063">
        <v>-7.20315471346</v>
      </c>
      <c r="E5063">
        <v>1</v>
      </c>
      <c r="F5063">
        <v>3</v>
      </c>
      <c r="G5063">
        <v>4</v>
      </c>
      <c r="H5063">
        <v>3</v>
      </c>
      <c r="I5063">
        <v>3</v>
      </c>
      <c r="J5063" t="s">
        <v>8005</v>
      </c>
      <c r="K5063">
        <v>3</v>
      </c>
      <c r="L5063">
        <v>2.8820000000000001</v>
      </c>
      <c r="M5063">
        <v>0</v>
      </c>
      <c r="N5063" t="s">
        <v>10019</v>
      </c>
      <c r="O5063" t="str">
        <f>HYPERLINK("NoConsenso\marker_284_751678.png", "Ver Imagen")</f>
        <v>Ver Imagen</v>
      </c>
      <c r="P5063" t="str">
        <f>HYPERLINK("NE\A-490\A-490__350.png", "Ver Imagen")</f>
        <v>Ver Imagen</v>
      </c>
    </row>
    <row r="5064" spans="1:16" x14ac:dyDescent="0.25">
      <c r="A5064">
        <v>4736</v>
      </c>
      <c r="B5064" t="s">
        <v>9479</v>
      </c>
      <c r="C5064">
        <v>37.476898562599999</v>
      </c>
      <c r="D5064">
        <v>-7.20315471346</v>
      </c>
      <c r="E5064">
        <v>1</v>
      </c>
      <c r="F5064">
        <v>3</v>
      </c>
      <c r="G5064">
        <v>4</v>
      </c>
      <c r="H5064">
        <v>3</v>
      </c>
      <c r="I5064">
        <v>3</v>
      </c>
      <c r="J5064" t="s">
        <v>8005</v>
      </c>
      <c r="K5064">
        <v>3</v>
      </c>
      <c r="L5064">
        <v>3.0640000000000001</v>
      </c>
      <c r="M5064">
        <v>0</v>
      </c>
      <c r="N5064" t="s">
        <v>10019</v>
      </c>
      <c r="O5064" t="str">
        <f>HYPERLINK("NoConsenso\marker_284_751678.png", "Ver Imagen")</f>
        <v>Ver Imagen</v>
      </c>
      <c r="P5064" t="str">
        <f>HYPERLINK("NO\A-490\A-490__350.png", "Ver Imagen")</f>
        <v>Ver Imagen</v>
      </c>
    </row>
    <row r="5065" spans="1:16" x14ac:dyDescent="0.25">
      <c r="A5065">
        <v>4737</v>
      </c>
      <c r="B5065" t="s">
        <v>9481</v>
      </c>
      <c r="C5065">
        <v>37.458474407700002</v>
      </c>
      <c r="D5065">
        <v>-7.1145551607700002</v>
      </c>
      <c r="E5065">
        <v>1</v>
      </c>
      <c r="F5065">
        <v>4</v>
      </c>
      <c r="G5065">
        <v>4</v>
      </c>
      <c r="H5065">
        <v>4</v>
      </c>
      <c r="I5065">
        <v>4</v>
      </c>
      <c r="J5065" t="s">
        <v>8005</v>
      </c>
      <c r="K5065">
        <v>4</v>
      </c>
      <c r="L5065">
        <v>3.6309999999999998</v>
      </c>
      <c r="M5065">
        <v>0</v>
      </c>
      <c r="N5065" t="s">
        <v>10018</v>
      </c>
      <c r="O5065" t="str">
        <f>HYPERLINK("NoConsenso\marker_588_935195.png", "Ver Imagen")</f>
        <v>Ver Imagen</v>
      </c>
      <c r="P5065" t="str">
        <f>HYPERLINK("NE\A-495R\A-495R__72.png", "Ver Imagen")</f>
        <v>Ver Imagen</v>
      </c>
    </row>
    <row r="5066" spans="1:16" x14ac:dyDescent="0.25">
      <c r="A5066">
        <v>4738</v>
      </c>
      <c r="B5066" t="s">
        <v>9483</v>
      </c>
      <c r="C5066">
        <v>37.471641213700003</v>
      </c>
      <c r="D5066">
        <v>-7.1259292642899998</v>
      </c>
      <c r="E5066">
        <v>4</v>
      </c>
      <c r="F5066">
        <v>1</v>
      </c>
      <c r="G5066">
        <v>4</v>
      </c>
      <c r="H5066">
        <v>3</v>
      </c>
      <c r="I5066">
        <v>2</v>
      </c>
      <c r="J5066" t="s">
        <v>8005</v>
      </c>
      <c r="K5066">
        <v>3</v>
      </c>
      <c r="L5066">
        <v>3.4449999999999998</v>
      </c>
      <c r="M5066">
        <v>0</v>
      </c>
      <c r="N5066" t="s">
        <v>10018</v>
      </c>
      <c r="O5066" t="str">
        <f>HYPERLINK("NoConsenso\marker_578_384541.png", "Ver Imagen")</f>
        <v>Ver Imagen</v>
      </c>
      <c r="P5066" t="str">
        <f>HYPERLINK("NE\A-495_1\A-495_1__123.png", "Ver Imagen")</f>
        <v>Ver Imagen</v>
      </c>
    </row>
    <row r="5067" spans="1:16" x14ac:dyDescent="0.25">
      <c r="A5067">
        <v>4739</v>
      </c>
      <c r="B5067" t="s">
        <v>9485</v>
      </c>
      <c r="C5067">
        <v>37.4679271296</v>
      </c>
      <c r="D5067">
        <v>-7.1232493937700001</v>
      </c>
      <c r="E5067">
        <v>4</v>
      </c>
      <c r="F5067">
        <v>7</v>
      </c>
      <c r="G5067">
        <v>4</v>
      </c>
      <c r="H5067">
        <v>4</v>
      </c>
      <c r="I5067">
        <v>4</v>
      </c>
      <c r="J5067" t="s">
        <v>8005</v>
      </c>
      <c r="K5067">
        <v>4</v>
      </c>
      <c r="L5067">
        <v>3.9340000000000002</v>
      </c>
      <c r="M5067">
        <v>0</v>
      </c>
      <c r="N5067" t="s">
        <v>10019</v>
      </c>
      <c r="O5067" t="str">
        <f>HYPERLINK("NoConsenso\marker_405_384978.png", "Ver Imagen")</f>
        <v>Ver Imagen</v>
      </c>
      <c r="P5067" t="str">
        <f>HYPERLINK("NE\A-495_1\A-495_1__102.png", "Ver Imagen")</f>
        <v>Ver Imagen</v>
      </c>
    </row>
    <row r="5068" spans="1:16" x14ac:dyDescent="0.25">
      <c r="A5068">
        <v>4740</v>
      </c>
      <c r="B5068" t="s">
        <v>9487</v>
      </c>
      <c r="C5068">
        <v>37.218428876300003</v>
      </c>
      <c r="D5068">
        <v>-7.02300902052</v>
      </c>
      <c r="E5068">
        <v>4</v>
      </c>
      <c r="F5068">
        <v>1</v>
      </c>
      <c r="G5068">
        <v>4</v>
      </c>
      <c r="H5068">
        <v>2</v>
      </c>
      <c r="I5068">
        <v>1</v>
      </c>
      <c r="J5068" t="s">
        <v>8005</v>
      </c>
      <c r="K5068">
        <v>2</v>
      </c>
      <c r="L5068">
        <v>1.948</v>
      </c>
      <c r="M5068">
        <v>0</v>
      </c>
      <c r="N5068" t="s">
        <v>10019</v>
      </c>
      <c r="O5068" t="str">
        <f>HYPERLINK("NoConsenso\marker_260_363526.png", "Ver Imagen")</f>
        <v>Ver Imagen</v>
      </c>
      <c r="P5068" t="str">
        <f>HYPERLINK("SE\A-497_2C\A-497_2C__459.png", "Ver Imagen")</f>
        <v>Ver Imagen</v>
      </c>
    </row>
    <row r="5069" spans="1:16" x14ac:dyDescent="0.25">
      <c r="A5069">
        <v>4743</v>
      </c>
      <c r="B5069" t="s">
        <v>9493</v>
      </c>
      <c r="C5069">
        <v>37.268975123200001</v>
      </c>
      <c r="D5069">
        <v>-6.9757900834399997</v>
      </c>
      <c r="E5069">
        <v>2</v>
      </c>
      <c r="F5069">
        <v>4</v>
      </c>
      <c r="G5069">
        <v>5</v>
      </c>
      <c r="H5069">
        <v>3</v>
      </c>
      <c r="I5069">
        <v>4</v>
      </c>
      <c r="J5069" t="s">
        <v>8005</v>
      </c>
      <c r="K5069">
        <v>4</v>
      </c>
      <c r="L5069">
        <v>3.9049999999999998</v>
      </c>
      <c r="M5069">
        <v>0</v>
      </c>
      <c r="N5069" t="s">
        <v>10019</v>
      </c>
      <c r="O5069" t="str">
        <f>HYPERLINK("NoConsenso\marker_674_937461.png", "Ver Imagen")</f>
        <v>Ver Imagen</v>
      </c>
      <c r="P5069" t="str">
        <f>HYPERLINK("SE\A-497\A-497__80.png", "Ver Imagen")</f>
        <v>Ver Imagen</v>
      </c>
    </row>
    <row r="5070" spans="1:16" x14ac:dyDescent="0.25">
      <c r="A5070">
        <v>4744</v>
      </c>
      <c r="B5070" t="s">
        <v>9495</v>
      </c>
      <c r="C5070">
        <v>37.268633718499999</v>
      </c>
      <c r="D5070">
        <v>-6.9743199361399997</v>
      </c>
      <c r="E5070">
        <v>2</v>
      </c>
      <c r="F5070">
        <v>3</v>
      </c>
      <c r="G5070">
        <v>5</v>
      </c>
      <c r="H5070">
        <v>3</v>
      </c>
      <c r="I5070">
        <v>4</v>
      </c>
      <c r="J5070" t="s">
        <v>8005</v>
      </c>
      <c r="K5070">
        <v>3</v>
      </c>
      <c r="L5070">
        <v>3.1139999999999999</v>
      </c>
      <c r="M5070">
        <v>0</v>
      </c>
      <c r="N5070" t="s">
        <v>10017</v>
      </c>
      <c r="O5070" t="str">
        <f>HYPERLINK("NoConsenso\marker_921_937998.png", "Ver Imagen")</f>
        <v>Ver Imagen</v>
      </c>
      <c r="P5070" t="str">
        <f>HYPERLINK("SE\A-497\A-497__74.png", "Ver Imagen")</f>
        <v>Ver Imagen</v>
      </c>
    </row>
    <row r="5071" spans="1:16" x14ac:dyDescent="0.25">
      <c r="A5071">
        <v>4745</v>
      </c>
      <c r="B5071" t="s">
        <v>9497</v>
      </c>
      <c r="C5071">
        <v>37.447976764099998</v>
      </c>
      <c r="D5071">
        <v>-7.1415480206700002</v>
      </c>
      <c r="E5071">
        <v>1</v>
      </c>
      <c r="F5071">
        <v>2</v>
      </c>
      <c r="G5071">
        <v>4</v>
      </c>
      <c r="H5071">
        <v>3</v>
      </c>
      <c r="I5071">
        <v>2</v>
      </c>
      <c r="J5071" t="s">
        <v>8052</v>
      </c>
      <c r="K5071">
        <v>3</v>
      </c>
      <c r="L5071">
        <v>3.0550000000000002</v>
      </c>
      <c r="M5071">
        <v>0</v>
      </c>
      <c r="N5071" t="s">
        <v>10019</v>
      </c>
      <c r="O5071" t="str">
        <f>HYPERLINK("NoConsenso\marker_472_737970.png", "Ver Imagen")</f>
        <v>Ver Imagen</v>
      </c>
      <c r="P5071" t="str">
        <f>HYPERLINK("NE\A-490\A-490__63.png", "Ver Imagen")</f>
        <v>Ver Imagen</v>
      </c>
    </row>
    <row r="5072" spans="1:16" x14ac:dyDescent="0.25">
      <c r="A5072">
        <v>4746</v>
      </c>
      <c r="B5072" t="s">
        <v>9499</v>
      </c>
      <c r="C5072">
        <v>37.4461850012</v>
      </c>
      <c r="D5072">
        <v>-7.1364724975599998</v>
      </c>
      <c r="E5072">
        <v>2</v>
      </c>
      <c r="F5072">
        <v>5</v>
      </c>
      <c r="G5072">
        <v>5</v>
      </c>
      <c r="H5072">
        <v>4</v>
      </c>
      <c r="I5072">
        <v>4</v>
      </c>
      <c r="J5072" t="s">
        <v>8005</v>
      </c>
      <c r="K5072">
        <v>4</v>
      </c>
      <c r="L5072">
        <v>4.1020000000000003</v>
      </c>
      <c r="M5072">
        <v>0</v>
      </c>
      <c r="N5072" t="s">
        <v>10019</v>
      </c>
      <c r="O5072" t="str">
        <f>HYPERLINK("NoConsenso\marker_135_731218.png", "Ver Imagen")</f>
        <v>Ver Imagen</v>
      </c>
      <c r="P5072" t="str">
        <f>HYPERLINK("NE\A-490\A-490__41.png", "Ver Imagen")</f>
        <v>Ver Imagen</v>
      </c>
    </row>
    <row r="5073" spans="1:16" x14ac:dyDescent="0.25">
      <c r="A5073">
        <v>4748</v>
      </c>
      <c r="B5073" t="s">
        <v>9503</v>
      </c>
      <c r="C5073">
        <v>37.448467982700002</v>
      </c>
      <c r="D5073">
        <v>-7.1429567466500004</v>
      </c>
      <c r="E5073">
        <v>1</v>
      </c>
      <c r="F5073">
        <v>2</v>
      </c>
      <c r="G5073">
        <v>4</v>
      </c>
      <c r="H5073">
        <v>2</v>
      </c>
      <c r="I5073">
        <v>2</v>
      </c>
      <c r="J5073" t="s">
        <v>8005</v>
      </c>
      <c r="K5073">
        <v>2</v>
      </c>
      <c r="L5073">
        <v>2.0950000000000002</v>
      </c>
      <c r="M5073">
        <v>0</v>
      </c>
      <c r="N5073" t="s">
        <v>10019</v>
      </c>
      <c r="O5073" t="str">
        <f>HYPERLINK("NoConsenso\marker_423_738134.png", "Ver Imagen")</f>
        <v>Ver Imagen</v>
      </c>
      <c r="P5073" t="str">
        <f>HYPERLINK("NE\A-490\A-490__69.png", "Ver Imagen")</f>
        <v>Ver Imagen</v>
      </c>
    </row>
    <row r="5074" spans="1:16" x14ac:dyDescent="0.25">
      <c r="A5074">
        <v>4750</v>
      </c>
      <c r="B5074" t="s">
        <v>9507</v>
      </c>
      <c r="C5074">
        <v>37.451042043400001</v>
      </c>
      <c r="D5074">
        <v>-7.1540220853800003</v>
      </c>
      <c r="E5074">
        <v>2</v>
      </c>
      <c r="F5074">
        <v>4</v>
      </c>
      <c r="G5074">
        <v>5</v>
      </c>
      <c r="H5074">
        <v>4</v>
      </c>
      <c r="I5074">
        <v>4</v>
      </c>
      <c r="J5074" t="s">
        <v>8005</v>
      </c>
      <c r="K5074">
        <v>4</v>
      </c>
      <c r="L5074">
        <v>3.8090000000000002</v>
      </c>
      <c r="M5074">
        <v>0</v>
      </c>
      <c r="N5074" t="s">
        <v>10019</v>
      </c>
      <c r="O5074" t="str">
        <f>HYPERLINK("NoConsenso\marker_437_739899.png", "Ver Imagen")</f>
        <v>Ver Imagen</v>
      </c>
      <c r="P5074" t="str">
        <f>HYPERLINK("NE\A-490\A-490__116.png", "Ver Imagen")</f>
        <v>Ver Imagen</v>
      </c>
    </row>
    <row r="5075" spans="1:16" x14ac:dyDescent="0.25">
      <c r="A5075">
        <v>4751</v>
      </c>
      <c r="B5075" t="s">
        <v>9509</v>
      </c>
      <c r="C5075">
        <v>37.448833266000001</v>
      </c>
      <c r="D5075">
        <v>-7.1492565019800001</v>
      </c>
      <c r="E5075">
        <v>2</v>
      </c>
      <c r="F5075">
        <v>4</v>
      </c>
      <c r="G5075">
        <v>5</v>
      </c>
      <c r="H5075">
        <v>4</v>
      </c>
      <c r="I5075">
        <v>4</v>
      </c>
      <c r="J5075" t="s">
        <v>8005</v>
      </c>
      <c r="K5075">
        <v>4</v>
      </c>
      <c r="L5075">
        <v>3.6349999999999998</v>
      </c>
      <c r="M5075">
        <v>0</v>
      </c>
      <c r="N5075" t="s">
        <v>10019</v>
      </c>
      <c r="O5075" t="str">
        <f>HYPERLINK("NoConsenso\marker_997_739047.png", "Ver Imagen")</f>
        <v>Ver Imagen</v>
      </c>
      <c r="P5075" t="str">
        <f>HYPERLINK("NE\A-490\A-490__94.png", "Ver Imagen")</f>
        <v>Ver Imagen</v>
      </c>
    </row>
    <row r="5076" spans="1:16" x14ac:dyDescent="0.25">
      <c r="A5076">
        <v>4752</v>
      </c>
      <c r="B5076" t="s">
        <v>9511</v>
      </c>
      <c r="C5076">
        <v>37.449004012400003</v>
      </c>
      <c r="D5076">
        <v>-7.1499553029499996</v>
      </c>
      <c r="E5076">
        <v>2</v>
      </c>
      <c r="F5076">
        <v>3</v>
      </c>
      <c r="G5076">
        <v>5</v>
      </c>
      <c r="H5076">
        <v>3</v>
      </c>
      <c r="I5076">
        <v>4</v>
      </c>
      <c r="J5076" t="s">
        <v>8005</v>
      </c>
      <c r="K5076">
        <v>3</v>
      </c>
      <c r="L5076">
        <v>3.0310000000000001</v>
      </c>
      <c r="M5076">
        <v>0</v>
      </c>
      <c r="N5076" t="s">
        <v>10019</v>
      </c>
      <c r="O5076" t="str">
        <f>HYPERLINK("NoConsenso\marker_651_739107.png", "Ver Imagen")</f>
        <v>Ver Imagen</v>
      </c>
      <c r="P5076" t="str">
        <f>HYPERLINK("NE\A-490\A-490__97.png", "Ver Imagen")</f>
        <v>Ver Imagen</v>
      </c>
    </row>
    <row r="5077" spans="1:16" x14ac:dyDescent="0.25">
      <c r="A5077">
        <v>4753</v>
      </c>
      <c r="B5077" t="s">
        <v>9513</v>
      </c>
      <c r="C5077">
        <v>37.451870655999997</v>
      </c>
      <c r="D5077">
        <v>-7.1576723227799999</v>
      </c>
      <c r="E5077">
        <v>2</v>
      </c>
      <c r="F5077">
        <v>3</v>
      </c>
      <c r="G5077">
        <v>5</v>
      </c>
      <c r="H5077">
        <v>3</v>
      </c>
      <c r="I5077">
        <v>3</v>
      </c>
      <c r="J5077" t="s">
        <v>8005</v>
      </c>
      <c r="K5077">
        <v>3</v>
      </c>
      <c r="L5077">
        <v>3.1360000000000001</v>
      </c>
      <c r="M5077">
        <v>0</v>
      </c>
      <c r="N5077" t="s">
        <v>10018</v>
      </c>
      <c r="O5077" t="str">
        <f>HYPERLINK("NoConsenso\marker_854_740268.png", "Ver Imagen")</f>
        <v>Ver Imagen</v>
      </c>
      <c r="P5077" t="str">
        <f>HYPERLINK("NE\A-490\A-490__131.png", "Ver Imagen")</f>
        <v>Ver Imagen</v>
      </c>
    </row>
    <row r="5078" spans="1:16" x14ac:dyDescent="0.25">
      <c r="A5078">
        <v>4754</v>
      </c>
      <c r="B5078" t="s">
        <v>9515</v>
      </c>
      <c r="C5078">
        <v>37.452027841499998</v>
      </c>
      <c r="D5078">
        <v>-7.1584250229800004</v>
      </c>
      <c r="E5078">
        <v>2</v>
      </c>
      <c r="F5078">
        <v>3</v>
      </c>
      <c r="G5078">
        <v>5</v>
      </c>
      <c r="H5078">
        <v>3</v>
      </c>
      <c r="I5078">
        <v>3</v>
      </c>
      <c r="J5078" t="s">
        <v>8005</v>
      </c>
      <c r="K5078">
        <v>3</v>
      </c>
      <c r="L5078">
        <v>2.9969999999999999</v>
      </c>
      <c r="M5078">
        <v>0</v>
      </c>
      <c r="N5078" t="s">
        <v>10018</v>
      </c>
      <c r="O5078" t="str">
        <f>HYPERLINK("NoConsenso\marker_528_740320.png", "Ver Imagen")</f>
        <v>Ver Imagen</v>
      </c>
      <c r="P5078" t="str">
        <f>HYPERLINK("NE\A-490\A-490__134.png", "Ver Imagen")</f>
        <v>Ver Imagen</v>
      </c>
    </row>
    <row r="5079" spans="1:16" x14ac:dyDescent="0.25">
      <c r="A5079">
        <v>4755</v>
      </c>
      <c r="B5079" t="s">
        <v>9517</v>
      </c>
      <c r="C5079">
        <v>37.452757214800002</v>
      </c>
      <c r="D5079">
        <v>-7.1613038923900003</v>
      </c>
      <c r="E5079">
        <v>1</v>
      </c>
      <c r="F5079">
        <v>3</v>
      </c>
      <c r="G5079">
        <v>4</v>
      </c>
      <c r="H5079">
        <v>2</v>
      </c>
      <c r="I5079">
        <v>3</v>
      </c>
      <c r="J5079" t="s">
        <v>8052</v>
      </c>
      <c r="K5079">
        <v>2</v>
      </c>
      <c r="L5079">
        <v>2.2469999999999999</v>
      </c>
      <c r="M5079">
        <v>0</v>
      </c>
      <c r="N5079" t="s">
        <v>10019</v>
      </c>
      <c r="O5079" t="str">
        <f>HYPERLINK("NoConsenso\marker_736_740675.png", "Ver Imagen")</f>
        <v>Ver Imagen</v>
      </c>
      <c r="P5079" t="str">
        <f>HYPERLINK("NE\A-490\A-490__146.png", "Ver Imagen")</f>
        <v>Ver Imagen</v>
      </c>
    </row>
    <row r="5080" spans="1:16" x14ac:dyDescent="0.25">
      <c r="A5080">
        <v>4756</v>
      </c>
      <c r="B5080" t="s">
        <v>9519</v>
      </c>
      <c r="C5080">
        <v>37.4546834171</v>
      </c>
      <c r="D5080">
        <v>-7.1650981423699998</v>
      </c>
      <c r="E5080">
        <v>2</v>
      </c>
      <c r="F5080">
        <v>4</v>
      </c>
      <c r="G5080">
        <v>5</v>
      </c>
      <c r="H5080">
        <v>4</v>
      </c>
      <c r="I5080">
        <v>5</v>
      </c>
      <c r="J5080" t="s">
        <v>8005</v>
      </c>
      <c r="K5080">
        <v>4</v>
      </c>
      <c r="L5080">
        <v>3.6560000000000001</v>
      </c>
      <c r="M5080">
        <v>0</v>
      </c>
      <c r="N5080" t="s">
        <v>10019</v>
      </c>
      <c r="O5080" t="str">
        <f>HYPERLINK("NoConsenso\marker_877_741322.png", "Ver Imagen")</f>
        <v>Ver Imagen</v>
      </c>
      <c r="P5080" t="str">
        <f>HYPERLINK("NE\A-490\A-490__164.png", "Ver Imagen")</f>
        <v>Ver Imagen</v>
      </c>
    </row>
    <row r="5081" spans="1:16" x14ac:dyDescent="0.25">
      <c r="A5081">
        <v>4757</v>
      </c>
      <c r="B5081" t="s">
        <v>9521</v>
      </c>
      <c r="C5081">
        <v>37.456987168399998</v>
      </c>
      <c r="D5081">
        <v>-7.16802283071</v>
      </c>
      <c r="E5081">
        <v>1</v>
      </c>
      <c r="F5081">
        <v>3</v>
      </c>
      <c r="G5081">
        <v>4</v>
      </c>
      <c r="H5081">
        <v>3</v>
      </c>
      <c r="I5081">
        <v>3</v>
      </c>
      <c r="J5081" t="s">
        <v>8005</v>
      </c>
      <c r="K5081">
        <v>3</v>
      </c>
      <c r="L5081">
        <v>2.8260000000000001</v>
      </c>
      <c r="M5081">
        <v>0</v>
      </c>
      <c r="N5081" t="s">
        <v>10019</v>
      </c>
      <c r="O5081" t="str">
        <f>HYPERLINK("NoConsenso\marker_239_741790.png", "Ver Imagen")</f>
        <v>Ver Imagen</v>
      </c>
      <c r="P5081" t="str">
        <f>HYPERLINK("NE\A-490\A-490__180.png", "Ver Imagen")</f>
        <v>Ver Imagen</v>
      </c>
    </row>
    <row r="5082" spans="1:16" x14ac:dyDescent="0.25">
      <c r="A5082">
        <v>4758</v>
      </c>
      <c r="B5082" t="s">
        <v>9523</v>
      </c>
      <c r="C5082">
        <v>37.461836466999998</v>
      </c>
      <c r="D5082">
        <v>-7.1748650451199998</v>
      </c>
      <c r="E5082">
        <v>2</v>
      </c>
      <c r="F5082">
        <v>4</v>
      </c>
      <c r="G5082">
        <v>5</v>
      </c>
      <c r="H5082">
        <v>3</v>
      </c>
      <c r="I5082">
        <v>4</v>
      </c>
      <c r="J5082" t="s">
        <v>8005</v>
      </c>
      <c r="K5082">
        <v>4</v>
      </c>
      <c r="L5082">
        <v>3.798</v>
      </c>
      <c r="M5082">
        <v>0</v>
      </c>
      <c r="N5082" t="s">
        <v>10019</v>
      </c>
      <c r="O5082" t="str">
        <f>HYPERLINK("NoConsenso\marker_811_743223.png", "Ver Imagen")</f>
        <v>Ver Imagen</v>
      </c>
      <c r="P5082" t="str">
        <f>HYPERLINK("NE\A-490\A-490__216.png", "Ver Imagen")</f>
        <v>Ver Imagen</v>
      </c>
    </row>
    <row r="5083" spans="1:16" x14ac:dyDescent="0.25">
      <c r="A5083">
        <v>4759</v>
      </c>
      <c r="B5083" t="s">
        <v>9525</v>
      </c>
      <c r="C5083">
        <v>37.490075159200003</v>
      </c>
      <c r="D5083">
        <v>-7.2589985960099996</v>
      </c>
      <c r="E5083">
        <v>1</v>
      </c>
      <c r="F5083">
        <v>3</v>
      </c>
      <c r="G5083">
        <v>4</v>
      </c>
      <c r="H5083">
        <v>2</v>
      </c>
      <c r="I5083">
        <v>2</v>
      </c>
      <c r="J5083" t="s">
        <v>8005</v>
      </c>
      <c r="K5083">
        <v>2</v>
      </c>
      <c r="L5083">
        <v>1.7130000000000001</v>
      </c>
      <c r="M5083">
        <v>0</v>
      </c>
      <c r="N5083" t="s">
        <v>10019</v>
      </c>
      <c r="O5083" t="str">
        <f>HYPERLINK("NoConsenso\marker_233_819550.png", "Ver Imagen")</f>
        <v>Ver Imagen</v>
      </c>
      <c r="P5083" t="str">
        <f>HYPERLINK("NO\A-490\A-490__585.png", "Ver Imagen")</f>
        <v>Ver Imagen</v>
      </c>
    </row>
    <row r="5084" spans="1:16" x14ac:dyDescent="0.25">
      <c r="A5084">
        <v>4761</v>
      </c>
      <c r="B5084" t="s">
        <v>9529</v>
      </c>
      <c r="C5084">
        <v>37.489219012100001</v>
      </c>
      <c r="D5084">
        <v>-7.2478939739400001</v>
      </c>
      <c r="E5084">
        <v>1</v>
      </c>
      <c r="F5084">
        <v>4</v>
      </c>
      <c r="G5084">
        <v>3</v>
      </c>
      <c r="H5084">
        <v>2</v>
      </c>
      <c r="I5084">
        <v>1</v>
      </c>
      <c r="J5084" t="s">
        <v>8005</v>
      </c>
      <c r="K5084">
        <v>2</v>
      </c>
      <c r="L5084">
        <v>1.905</v>
      </c>
      <c r="M5084">
        <v>0</v>
      </c>
      <c r="N5084" t="s">
        <v>10019</v>
      </c>
      <c r="O5084" t="str">
        <f>HYPERLINK("NoConsenso\marker_353_818316.png", "Ver Imagen")</f>
        <v>Ver Imagen</v>
      </c>
      <c r="P5084" t="str">
        <f>HYPERLINK("NO\A-490\A-490__538.png", "Ver Imagen")</f>
        <v>Ver Imagen</v>
      </c>
    </row>
    <row r="5085" spans="1:16" x14ac:dyDescent="0.25">
      <c r="A5085">
        <v>4762</v>
      </c>
      <c r="B5085" t="s">
        <v>9531</v>
      </c>
      <c r="C5085">
        <v>37.490688680600002</v>
      </c>
      <c r="D5085">
        <v>-7.2499274502900004</v>
      </c>
      <c r="E5085">
        <v>1</v>
      </c>
      <c r="F5085">
        <v>3</v>
      </c>
      <c r="G5085">
        <v>4</v>
      </c>
      <c r="H5085">
        <v>2</v>
      </c>
      <c r="I5085">
        <v>3</v>
      </c>
      <c r="J5085" t="s">
        <v>8005</v>
      </c>
      <c r="K5085">
        <v>3</v>
      </c>
      <c r="L5085">
        <v>3.028</v>
      </c>
      <c r="M5085">
        <v>0</v>
      </c>
      <c r="N5085" t="s">
        <v>10019</v>
      </c>
      <c r="O5085" t="str">
        <f>HYPERLINK("NoConsenso\marker_476_818515.png", "Ver Imagen")</f>
        <v>Ver Imagen</v>
      </c>
      <c r="P5085" t="str">
        <f>HYPERLINK("NO\A-490\A-490__549.png", "Ver Imagen")</f>
        <v>Ver Imagen</v>
      </c>
    </row>
    <row r="5086" spans="1:16" x14ac:dyDescent="0.25">
      <c r="A5086">
        <v>4763</v>
      </c>
      <c r="B5086" t="s">
        <v>9533</v>
      </c>
      <c r="C5086">
        <v>37.4940436069</v>
      </c>
      <c r="D5086">
        <v>-7.2654572988300004</v>
      </c>
      <c r="E5086">
        <v>1</v>
      </c>
      <c r="F5086">
        <v>4</v>
      </c>
      <c r="G5086">
        <v>3</v>
      </c>
      <c r="H5086">
        <v>3</v>
      </c>
      <c r="I5086">
        <v>3</v>
      </c>
      <c r="J5086" t="s">
        <v>8005</v>
      </c>
      <c r="K5086">
        <v>3</v>
      </c>
      <c r="L5086">
        <v>3.0230000000000001</v>
      </c>
      <c r="M5086">
        <v>0</v>
      </c>
      <c r="N5086" t="s">
        <v>10019</v>
      </c>
      <c r="O5086" t="str">
        <f>HYPERLINK("NoConsenso\marker_291_820285.png", "Ver Imagen")</f>
        <v>Ver Imagen</v>
      </c>
      <c r="P5086" t="str">
        <f>HYPERLINK("NO\A-490\A-490__618.png", "Ver Imagen")</f>
        <v>Ver Imagen</v>
      </c>
    </row>
    <row r="5087" spans="1:16" x14ac:dyDescent="0.25">
      <c r="A5087">
        <v>4764</v>
      </c>
      <c r="B5087" t="s">
        <v>9535</v>
      </c>
      <c r="C5087">
        <v>37.279962006300003</v>
      </c>
      <c r="D5087">
        <v>-7.0061014871199996</v>
      </c>
      <c r="E5087">
        <v>1</v>
      </c>
      <c r="F5087">
        <v>2</v>
      </c>
      <c r="G5087">
        <v>4</v>
      </c>
      <c r="H5087">
        <v>2</v>
      </c>
      <c r="I5087">
        <v>1</v>
      </c>
      <c r="J5087" t="s">
        <v>8005</v>
      </c>
      <c r="K5087">
        <v>2</v>
      </c>
      <c r="L5087">
        <v>1.8380000000000001</v>
      </c>
      <c r="M5087">
        <v>0</v>
      </c>
      <c r="N5087" t="s">
        <v>10019</v>
      </c>
      <c r="O5087" t="str">
        <f>HYPERLINK("NoConsenso\marker_123_823705.png", "Ver Imagen")</f>
        <v>Ver Imagen</v>
      </c>
      <c r="P5087" t="str">
        <f>HYPERLINK("SE\A-492\A-492__95.png", "Ver Imagen")</f>
        <v>Ver Imagen</v>
      </c>
    </row>
    <row r="5088" spans="1:16" x14ac:dyDescent="0.25">
      <c r="A5088">
        <v>4765</v>
      </c>
      <c r="B5088" t="s">
        <v>9537</v>
      </c>
      <c r="C5088">
        <v>37.276299618000003</v>
      </c>
      <c r="D5088">
        <v>-7.0237627163100003</v>
      </c>
      <c r="E5088">
        <v>1</v>
      </c>
      <c r="F5088">
        <v>2</v>
      </c>
      <c r="G5088">
        <v>4</v>
      </c>
      <c r="H5088">
        <v>2</v>
      </c>
      <c r="I5088">
        <v>3</v>
      </c>
      <c r="J5088" t="s">
        <v>8005</v>
      </c>
      <c r="K5088">
        <v>2</v>
      </c>
      <c r="L5088">
        <v>1.946</v>
      </c>
      <c r="M5088">
        <v>0</v>
      </c>
      <c r="N5088" t="s">
        <v>10019</v>
      </c>
      <c r="O5088" t="str">
        <f>HYPERLINK("NoConsenso\marker_448_831483.png", "Ver Imagen")</f>
        <v>Ver Imagen</v>
      </c>
      <c r="P5088" t="str">
        <f>HYPERLINK("SE\A-492\A-492__172.png", "Ver Imagen")</f>
        <v>Ver Imagen</v>
      </c>
    </row>
    <row r="5089" spans="1:16" x14ac:dyDescent="0.25">
      <c r="A5089">
        <v>4766</v>
      </c>
      <c r="B5089" t="s">
        <v>9539</v>
      </c>
      <c r="C5089">
        <v>37.276335164499997</v>
      </c>
      <c r="D5089">
        <v>-7.0240178950000001</v>
      </c>
      <c r="E5089">
        <v>1</v>
      </c>
      <c r="F5089">
        <v>3</v>
      </c>
      <c r="G5089">
        <v>4</v>
      </c>
      <c r="H5089">
        <v>2</v>
      </c>
      <c r="I5089">
        <v>3</v>
      </c>
      <c r="J5089" t="s">
        <v>8005</v>
      </c>
      <c r="K5089">
        <v>3</v>
      </c>
      <c r="L5089">
        <v>2.8439999999999999</v>
      </c>
      <c r="M5089">
        <v>0</v>
      </c>
      <c r="N5089" t="s">
        <v>10019</v>
      </c>
      <c r="O5089" t="str">
        <f>HYPERLINK("NoConsenso\marker_594_831504.png", "Ver Imagen")</f>
        <v>Ver Imagen</v>
      </c>
      <c r="P5089" t="str">
        <f>HYPERLINK("SE\A-492\A-492__173.png", "Ver Imagen")</f>
        <v>Ver Imagen</v>
      </c>
    </row>
    <row r="5090" spans="1:16" x14ac:dyDescent="0.25">
      <c r="A5090">
        <v>4767</v>
      </c>
      <c r="B5090" t="s">
        <v>9541</v>
      </c>
      <c r="C5090">
        <v>37.283972236899999</v>
      </c>
      <c r="D5090">
        <v>-7.0348117318499996</v>
      </c>
      <c r="E5090">
        <v>1</v>
      </c>
      <c r="F5090">
        <v>3</v>
      </c>
      <c r="G5090">
        <v>4</v>
      </c>
      <c r="H5090">
        <v>2</v>
      </c>
      <c r="I5090">
        <v>1</v>
      </c>
      <c r="J5090" t="s">
        <v>8005</v>
      </c>
      <c r="K5090">
        <v>2</v>
      </c>
      <c r="L5090">
        <v>1.617</v>
      </c>
      <c r="M5090">
        <v>0</v>
      </c>
      <c r="N5090" t="s">
        <v>10019</v>
      </c>
      <c r="O5090" t="str">
        <f>HYPERLINK("NoConsenso\marker_952_835861.png", "Ver Imagen")</f>
        <v>Ver Imagen</v>
      </c>
      <c r="P5090" t="str">
        <f>HYPERLINK("SE\A-492\A-492__234.png", "Ver Imagen")</f>
        <v>Ver Imagen</v>
      </c>
    </row>
    <row r="5091" spans="1:16" x14ac:dyDescent="0.25">
      <c r="A5091">
        <v>4768</v>
      </c>
      <c r="B5091" t="s">
        <v>9543</v>
      </c>
      <c r="C5091">
        <v>37.288867498400002</v>
      </c>
      <c r="D5091">
        <v>-7.0432555748799999</v>
      </c>
      <c r="E5091">
        <v>1</v>
      </c>
      <c r="F5091">
        <v>2</v>
      </c>
      <c r="G5091">
        <v>4</v>
      </c>
      <c r="H5091">
        <v>2</v>
      </c>
      <c r="I5091">
        <v>1</v>
      </c>
      <c r="J5091" t="s">
        <v>8005</v>
      </c>
      <c r="K5091">
        <v>2</v>
      </c>
      <c r="L5091">
        <v>2.0670000000000002</v>
      </c>
      <c r="M5091">
        <v>0</v>
      </c>
      <c r="N5091" t="s">
        <v>10019</v>
      </c>
      <c r="O5091" t="str">
        <f>HYPERLINK("NoConsenso\marker_627_836903.png", "Ver Imagen")</f>
        <v>Ver Imagen</v>
      </c>
      <c r="P5091" t="str">
        <f>HYPERLINK("SE\A-492\A-492__279.png", "Ver Imagen")</f>
        <v>Ver Imagen</v>
      </c>
    </row>
    <row r="5092" spans="1:16" x14ac:dyDescent="0.25">
      <c r="A5092">
        <v>4769</v>
      </c>
      <c r="B5092" t="s">
        <v>9545</v>
      </c>
      <c r="C5092">
        <v>37.290087570300003</v>
      </c>
      <c r="D5092">
        <v>-7.04491966333</v>
      </c>
      <c r="E5092">
        <v>1</v>
      </c>
      <c r="F5092">
        <v>2</v>
      </c>
      <c r="G5092">
        <v>4</v>
      </c>
      <c r="H5092">
        <v>2</v>
      </c>
      <c r="I5092">
        <v>2</v>
      </c>
      <c r="J5092" t="s">
        <v>8005</v>
      </c>
      <c r="K5092">
        <v>2</v>
      </c>
      <c r="L5092">
        <v>2.2069999999999999</v>
      </c>
      <c r="M5092">
        <v>0</v>
      </c>
      <c r="N5092" t="s">
        <v>10019</v>
      </c>
      <c r="O5092" t="str">
        <f>HYPERLINK("NoConsenso\marker_389_837395.png", "Ver Imagen")</f>
        <v>Ver Imagen</v>
      </c>
      <c r="P5092" t="str">
        <f>HYPERLINK("SE\A-492\A-492__288.png", "Ver Imagen")</f>
        <v>Ver Imagen</v>
      </c>
    </row>
    <row r="5093" spans="1:16" x14ac:dyDescent="0.25">
      <c r="A5093">
        <v>4770</v>
      </c>
      <c r="B5093" t="s">
        <v>9547</v>
      </c>
      <c r="C5093">
        <v>37.290633774</v>
      </c>
      <c r="D5093">
        <v>-7.0452699472400004</v>
      </c>
      <c r="E5093">
        <v>1</v>
      </c>
      <c r="F5093">
        <v>2</v>
      </c>
      <c r="G5093">
        <v>4</v>
      </c>
      <c r="H5093">
        <v>2</v>
      </c>
      <c r="I5093">
        <v>2</v>
      </c>
      <c r="J5093" t="s">
        <v>8005</v>
      </c>
      <c r="K5093">
        <v>2</v>
      </c>
      <c r="L5093">
        <v>2.1989999999999998</v>
      </c>
      <c r="M5093">
        <v>0</v>
      </c>
      <c r="N5093" t="s">
        <v>10019</v>
      </c>
      <c r="O5093" t="str">
        <f>HYPERLINK("NoConsenso\marker_456_837437.png", "Ver Imagen")</f>
        <v>Ver Imagen</v>
      </c>
      <c r="P5093" t="str">
        <f>HYPERLINK("SE\A-492\A-492__291.png", "Ver Imagen")</f>
        <v>Ver Imagen</v>
      </c>
    </row>
    <row r="5094" spans="1:16" x14ac:dyDescent="0.25">
      <c r="A5094">
        <v>4771</v>
      </c>
      <c r="B5094" t="s">
        <v>9549</v>
      </c>
      <c r="C5094">
        <v>37.291194064899997</v>
      </c>
      <c r="D5094">
        <v>-7.0454162166999996</v>
      </c>
      <c r="E5094">
        <v>1</v>
      </c>
      <c r="F5094">
        <v>4</v>
      </c>
      <c r="G5094">
        <v>4</v>
      </c>
      <c r="H5094">
        <v>2</v>
      </c>
      <c r="I5094">
        <v>1</v>
      </c>
      <c r="J5094" t="s">
        <v>8005</v>
      </c>
      <c r="K5094">
        <v>2</v>
      </c>
      <c r="L5094">
        <v>2.032</v>
      </c>
      <c r="M5094">
        <v>0</v>
      </c>
      <c r="N5094" t="s">
        <v>10018</v>
      </c>
      <c r="O5094" t="str">
        <f>HYPERLINK("NoConsenso\marker_501_837469.png", "Ver Imagen")</f>
        <v>Ver Imagen</v>
      </c>
      <c r="P5094" t="str">
        <f>HYPERLINK("SE\A-492\A-492__294.png", "Ver Imagen")</f>
        <v>Ver Imagen</v>
      </c>
    </row>
    <row r="5095" spans="1:16" x14ac:dyDescent="0.25">
      <c r="A5095">
        <v>4772</v>
      </c>
      <c r="B5095" t="s">
        <v>9551</v>
      </c>
      <c r="C5095">
        <v>37.292584875099998</v>
      </c>
      <c r="D5095">
        <v>-7.04575450908</v>
      </c>
      <c r="E5095">
        <v>1</v>
      </c>
      <c r="F5095">
        <v>2</v>
      </c>
      <c r="G5095">
        <v>4</v>
      </c>
      <c r="H5095">
        <v>2</v>
      </c>
      <c r="I5095">
        <v>1</v>
      </c>
      <c r="J5095" t="s">
        <v>8005</v>
      </c>
      <c r="K5095">
        <v>2</v>
      </c>
      <c r="L5095">
        <v>2.1970000000000001</v>
      </c>
      <c r="M5095">
        <v>0</v>
      </c>
      <c r="N5095" t="s">
        <v>10017</v>
      </c>
      <c r="O5095" t="str">
        <f>HYPERLINK("NoConsenso\marker_683_837565.png", "Ver Imagen")</f>
        <v>Ver Imagen</v>
      </c>
      <c r="P5095" t="str">
        <f>HYPERLINK("SE\A-492\A-492__301.png", "Ver Imagen")</f>
        <v>Ver Imagen</v>
      </c>
    </row>
    <row r="5096" spans="1:16" x14ac:dyDescent="0.25">
      <c r="A5096">
        <v>4773</v>
      </c>
      <c r="B5096" t="s">
        <v>9553</v>
      </c>
      <c r="C5096">
        <v>37.295820915699998</v>
      </c>
      <c r="D5096">
        <v>-7.0495699534299998</v>
      </c>
      <c r="E5096">
        <v>1</v>
      </c>
      <c r="F5096">
        <v>2</v>
      </c>
      <c r="G5096">
        <v>4</v>
      </c>
      <c r="H5096">
        <v>3</v>
      </c>
      <c r="I5096">
        <v>2</v>
      </c>
      <c r="J5096" t="s">
        <v>8005</v>
      </c>
      <c r="K5096">
        <v>2</v>
      </c>
      <c r="L5096">
        <v>2.181</v>
      </c>
      <c r="M5096">
        <v>0</v>
      </c>
      <c r="N5096" t="s">
        <v>10019</v>
      </c>
      <c r="O5096" t="str">
        <f>HYPERLINK("NoConsenso\marker_116_837995.png", "Ver Imagen")</f>
        <v>Ver Imagen</v>
      </c>
      <c r="P5096" t="str">
        <f>HYPERLINK("SE\A-492\A-492__323.png", "Ver Imagen")</f>
        <v>Ver Imagen</v>
      </c>
    </row>
    <row r="5097" spans="1:16" x14ac:dyDescent="0.25">
      <c r="A5097">
        <v>4774</v>
      </c>
      <c r="B5097" t="s">
        <v>9555</v>
      </c>
      <c r="C5097">
        <v>37.297150189100002</v>
      </c>
      <c r="D5097">
        <v>-7.0517245161700002</v>
      </c>
      <c r="E5097">
        <v>1</v>
      </c>
      <c r="F5097">
        <v>2</v>
      </c>
      <c r="G5097">
        <v>4</v>
      </c>
      <c r="H5097">
        <v>2</v>
      </c>
      <c r="I5097">
        <v>2</v>
      </c>
      <c r="J5097" t="s">
        <v>8005</v>
      </c>
      <c r="K5097">
        <v>2</v>
      </c>
      <c r="L5097">
        <v>1.8979999999999999</v>
      </c>
      <c r="M5097">
        <v>0</v>
      </c>
      <c r="N5097" t="s">
        <v>10019</v>
      </c>
      <c r="O5097" t="str">
        <f>HYPERLINK("NoConsenso\marker_662_838139.png", "Ver Imagen")</f>
        <v>Ver Imagen</v>
      </c>
      <c r="P5097" t="str">
        <f>HYPERLINK("SE\A-492\A-492__334.png", "Ver Imagen")</f>
        <v>Ver Imagen</v>
      </c>
    </row>
    <row r="5098" spans="1:16" x14ac:dyDescent="0.25">
      <c r="A5098">
        <v>4775</v>
      </c>
      <c r="B5098" t="s">
        <v>9557</v>
      </c>
      <c r="C5098">
        <v>37.2973972355</v>
      </c>
      <c r="D5098">
        <v>-7.0524846101199996</v>
      </c>
      <c r="E5098">
        <v>1</v>
      </c>
      <c r="F5098">
        <v>2</v>
      </c>
      <c r="G5098">
        <v>4</v>
      </c>
      <c r="H5098">
        <v>2</v>
      </c>
      <c r="I5098">
        <v>3</v>
      </c>
      <c r="J5098" t="s">
        <v>8005</v>
      </c>
      <c r="K5098">
        <v>2</v>
      </c>
      <c r="L5098">
        <v>1.968</v>
      </c>
      <c r="M5098">
        <v>0</v>
      </c>
      <c r="N5098" t="s">
        <v>10019</v>
      </c>
      <c r="O5098" t="str">
        <f>HYPERLINK("NoConsenso\marker_177_838170.png", "Ver Imagen")</f>
        <v>Ver Imagen</v>
      </c>
      <c r="P5098" t="str">
        <f>HYPERLINK("SE\A-492\A-492__337.png", "Ver Imagen")</f>
        <v>Ver Imagen</v>
      </c>
    </row>
    <row r="5099" spans="1:16" x14ac:dyDescent="0.25">
      <c r="A5099">
        <v>4776</v>
      </c>
      <c r="B5099" t="s">
        <v>9559</v>
      </c>
      <c r="C5099">
        <v>37.301283745500001</v>
      </c>
      <c r="D5099">
        <v>-7.0562804679899997</v>
      </c>
      <c r="E5099">
        <v>1</v>
      </c>
      <c r="F5099">
        <v>3</v>
      </c>
      <c r="G5099">
        <v>4</v>
      </c>
      <c r="H5099">
        <v>3</v>
      </c>
      <c r="I5099">
        <v>2</v>
      </c>
      <c r="J5099" t="s">
        <v>8005</v>
      </c>
      <c r="K5099">
        <v>3</v>
      </c>
      <c r="L5099">
        <v>2.919</v>
      </c>
      <c r="M5099">
        <v>0</v>
      </c>
      <c r="N5099" t="s">
        <v>10019</v>
      </c>
      <c r="O5099" t="str">
        <f>HYPERLINK("NoConsenso\marker_873_838652.png", "Ver Imagen")</f>
        <v>Ver Imagen</v>
      </c>
      <c r="P5099" t="str">
        <f>HYPERLINK("SE\A-492\A-492__362.png", "Ver Imagen")</f>
        <v>Ver Imagen</v>
      </c>
    </row>
    <row r="5100" spans="1:16" x14ac:dyDescent="0.25">
      <c r="A5100">
        <v>4777</v>
      </c>
      <c r="B5100" t="s">
        <v>9561</v>
      </c>
      <c r="C5100">
        <v>37.306280931099998</v>
      </c>
      <c r="D5100">
        <v>-7.0567860571200001</v>
      </c>
      <c r="E5100">
        <v>1</v>
      </c>
      <c r="F5100">
        <v>2</v>
      </c>
      <c r="G5100">
        <v>4</v>
      </c>
      <c r="H5100">
        <v>2</v>
      </c>
      <c r="I5100">
        <v>1</v>
      </c>
      <c r="J5100" t="s">
        <v>8005</v>
      </c>
      <c r="K5100">
        <v>2</v>
      </c>
      <c r="L5100">
        <v>1.958</v>
      </c>
      <c r="M5100">
        <v>0</v>
      </c>
      <c r="N5100" t="s">
        <v>10019</v>
      </c>
      <c r="O5100" t="str">
        <f>HYPERLINK("NoConsenso\marker_620_838993.png", "Ver Imagen")</f>
        <v>Ver Imagen</v>
      </c>
      <c r="P5100" t="str">
        <f>HYPERLINK("SE\A-492\A-492__387.png", "Ver Imagen")</f>
        <v>Ver Imagen</v>
      </c>
    </row>
    <row r="5101" spans="1:16" x14ac:dyDescent="0.25">
      <c r="A5101">
        <v>4778</v>
      </c>
      <c r="B5101" t="s">
        <v>9563</v>
      </c>
      <c r="C5101">
        <v>37.306504625599999</v>
      </c>
      <c r="D5101">
        <v>-7.0568137009900003</v>
      </c>
      <c r="E5101">
        <v>1</v>
      </c>
      <c r="F5101">
        <v>2</v>
      </c>
      <c r="G5101">
        <v>4</v>
      </c>
      <c r="H5101">
        <v>2</v>
      </c>
      <c r="I5101">
        <v>1</v>
      </c>
      <c r="J5101" t="s">
        <v>8005</v>
      </c>
      <c r="K5101">
        <v>2</v>
      </c>
      <c r="L5101">
        <v>1.7290000000000001</v>
      </c>
      <c r="M5101">
        <v>0</v>
      </c>
      <c r="N5101" t="s">
        <v>10019</v>
      </c>
      <c r="O5101" t="str">
        <f>HYPERLINK("NoConsenso\marker_863_839005.png", "Ver Imagen")</f>
        <v>Ver Imagen</v>
      </c>
      <c r="P5101" t="str">
        <f>HYPERLINK("SE\A-492\A-492__388.png", "Ver Imagen")</f>
        <v>Ver Imagen</v>
      </c>
    </row>
    <row r="5102" spans="1:16" x14ac:dyDescent="0.25">
      <c r="A5102">
        <v>4779</v>
      </c>
      <c r="B5102" t="s">
        <v>9565</v>
      </c>
      <c r="C5102">
        <v>37.306697263300002</v>
      </c>
      <c r="D5102">
        <v>-7.05683753862</v>
      </c>
      <c r="E5102">
        <v>1</v>
      </c>
      <c r="F5102">
        <v>2</v>
      </c>
      <c r="G5102">
        <v>4</v>
      </c>
      <c r="H5102">
        <v>2</v>
      </c>
      <c r="I5102">
        <v>1</v>
      </c>
      <c r="J5102" t="s">
        <v>8005</v>
      </c>
      <c r="K5102">
        <v>2</v>
      </c>
      <c r="L5102">
        <v>1.7609999999999999</v>
      </c>
      <c r="M5102">
        <v>0</v>
      </c>
      <c r="N5102" t="s">
        <v>10017</v>
      </c>
      <c r="O5102" t="str">
        <f>HYPERLINK("NoConsenso\marker_589_839016.png", "Ver Imagen")</f>
        <v>Ver Imagen</v>
      </c>
      <c r="P5102" t="str">
        <f>HYPERLINK("SE\A-492\A-492__389.png", "Ver Imagen")</f>
        <v>Ver Imagen</v>
      </c>
    </row>
    <row r="5103" spans="1:16" x14ac:dyDescent="0.25">
      <c r="A5103">
        <v>4780</v>
      </c>
      <c r="B5103" t="s">
        <v>9567</v>
      </c>
      <c r="C5103">
        <v>37.307903363599998</v>
      </c>
      <c r="D5103">
        <v>-7.0570620221500002</v>
      </c>
      <c r="E5103">
        <v>1</v>
      </c>
      <c r="F5103">
        <v>2</v>
      </c>
      <c r="G5103">
        <v>4</v>
      </c>
      <c r="H5103">
        <v>2</v>
      </c>
      <c r="I5103">
        <v>1</v>
      </c>
      <c r="J5103" t="s">
        <v>8005</v>
      </c>
      <c r="K5103">
        <v>2</v>
      </c>
      <c r="L5103">
        <v>2.214</v>
      </c>
      <c r="M5103">
        <v>0</v>
      </c>
      <c r="N5103" t="s">
        <v>10019</v>
      </c>
      <c r="O5103" t="str">
        <f>HYPERLINK("NoConsenso\marker_548_839093.png", "Ver Imagen")</f>
        <v>Ver Imagen</v>
      </c>
      <c r="P5103" t="str">
        <f>HYPERLINK("SE\A-492\A-492__395.png", "Ver Imagen")</f>
        <v>Ver Imagen</v>
      </c>
    </row>
    <row r="5104" spans="1:16" x14ac:dyDescent="0.25">
      <c r="A5104">
        <v>4782</v>
      </c>
      <c r="B5104" t="s">
        <v>9571</v>
      </c>
      <c r="C5104">
        <v>37.315893582800001</v>
      </c>
      <c r="D5104">
        <v>-7.0687221528500004</v>
      </c>
      <c r="E5104">
        <v>2</v>
      </c>
      <c r="F5104">
        <v>3</v>
      </c>
      <c r="G5104">
        <v>5</v>
      </c>
      <c r="H5104">
        <v>3</v>
      </c>
      <c r="I5104">
        <v>3</v>
      </c>
      <c r="J5104" t="s">
        <v>8005</v>
      </c>
      <c r="K5104">
        <v>3</v>
      </c>
      <c r="L5104">
        <v>3.01</v>
      </c>
      <c r="M5104">
        <v>0</v>
      </c>
      <c r="N5104" t="s">
        <v>10019</v>
      </c>
      <c r="O5104" t="str">
        <f>HYPERLINK("NoConsenso\marker_980_839907.png", "Ver Imagen")</f>
        <v>Ver Imagen</v>
      </c>
      <c r="P5104" t="str">
        <f>HYPERLINK("SE\A-492\A-492__458.png", "Ver Imagen")</f>
        <v>Ver Imagen</v>
      </c>
    </row>
    <row r="5105" spans="1:16" x14ac:dyDescent="0.25">
      <c r="A5105">
        <v>4784</v>
      </c>
      <c r="B5105" t="s">
        <v>9573</v>
      </c>
      <c r="C5105">
        <v>37.279792257399997</v>
      </c>
      <c r="D5105">
        <v>-7.1456625319300002</v>
      </c>
      <c r="E5105">
        <v>1</v>
      </c>
      <c r="F5105">
        <v>3</v>
      </c>
      <c r="G5105">
        <v>4</v>
      </c>
      <c r="H5105">
        <v>2</v>
      </c>
      <c r="I5105">
        <v>3</v>
      </c>
      <c r="J5105" t="s">
        <v>8005</v>
      </c>
      <c r="K5105">
        <v>3</v>
      </c>
      <c r="L5105">
        <v>3.2469999999999999</v>
      </c>
      <c r="M5105">
        <v>0</v>
      </c>
      <c r="N5105" t="s">
        <v>10019</v>
      </c>
      <c r="O5105" t="str">
        <f>HYPERLINK("NoConsenso\marker_904_964448.png", "Ver Imagen")</f>
        <v>Ver Imagen</v>
      </c>
      <c r="P5105" t="str">
        <f>HYPERLINK("SO\A-5053\A-5053__331.png", "Ver Imagen")</f>
        <v>Ver Imagen</v>
      </c>
    </row>
    <row r="5106" spans="1:16" x14ac:dyDescent="0.25">
      <c r="A5106">
        <v>4787</v>
      </c>
      <c r="B5106" t="s">
        <v>9579</v>
      </c>
      <c r="C5106">
        <v>37.438408685200002</v>
      </c>
      <c r="D5106">
        <v>-7.0839473580999996</v>
      </c>
      <c r="E5106">
        <v>2</v>
      </c>
      <c r="F5106">
        <v>3</v>
      </c>
      <c r="G5106">
        <v>5</v>
      </c>
      <c r="H5106">
        <v>2</v>
      </c>
      <c r="I5106">
        <v>2</v>
      </c>
      <c r="J5106" t="s">
        <v>8005</v>
      </c>
      <c r="K5106">
        <v>2</v>
      </c>
      <c r="L5106">
        <v>1.8220000000000001</v>
      </c>
      <c r="M5106">
        <v>0</v>
      </c>
      <c r="N5106" t="s">
        <v>10019</v>
      </c>
      <c r="O5106" t="str">
        <f>HYPERLINK("NoConsenso\marker_248_381835.png", "Ver Imagen")</f>
        <v>Ver Imagen</v>
      </c>
      <c r="P5106" t="str">
        <f>HYPERLINK("NE\A-495\A-495__72.png", "Ver Imagen")</f>
        <v>Ver Imagen</v>
      </c>
    </row>
    <row r="5107" spans="1:16" x14ac:dyDescent="0.25">
      <c r="A5107">
        <v>4789</v>
      </c>
      <c r="B5107" t="s">
        <v>9583</v>
      </c>
      <c r="C5107">
        <v>37.438247116100001</v>
      </c>
      <c r="D5107">
        <v>-7.0834627387999998</v>
      </c>
      <c r="E5107">
        <v>2</v>
      </c>
      <c r="F5107">
        <v>3</v>
      </c>
      <c r="G5107">
        <v>5</v>
      </c>
      <c r="H5107">
        <v>2</v>
      </c>
      <c r="I5107">
        <v>3</v>
      </c>
      <c r="J5107" t="s">
        <v>8005</v>
      </c>
      <c r="K5107">
        <v>2</v>
      </c>
      <c r="L5107">
        <v>1.972</v>
      </c>
      <c r="M5107">
        <v>0</v>
      </c>
      <c r="N5107" t="s">
        <v>10019</v>
      </c>
      <c r="O5107" t="str">
        <f>HYPERLINK("NoConsenso\marker_662_381853.png", "Ver Imagen")</f>
        <v>Ver Imagen</v>
      </c>
      <c r="P5107" t="str">
        <f>HYPERLINK("NE\A-495\A-495__74.png", "Ver Imagen")</f>
        <v>Ver Imagen</v>
      </c>
    </row>
    <row r="5108" spans="1:16" x14ac:dyDescent="0.25">
      <c r="A5108">
        <v>4790</v>
      </c>
      <c r="B5108" t="s">
        <v>9585</v>
      </c>
      <c r="C5108">
        <v>37.437211188900001</v>
      </c>
      <c r="D5108">
        <v>-7.0807377412000001</v>
      </c>
      <c r="E5108">
        <v>2</v>
      </c>
      <c r="F5108">
        <v>2</v>
      </c>
      <c r="G5108">
        <v>5</v>
      </c>
      <c r="H5108">
        <v>2</v>
      </c>
      <c r="I5108">
        <v>2</v>
      </c>
      <c r="J5108" t="s">
        <v>8005</v>
      </c>
      <c r="K5108">
        <v>2</v>
      </c>
      <c r="L5108">
        <v>1.877</v>
      </c>
      <c r="M5108">
        <v>0</v>
      </c>
      <c r="N5108" t="s">
        <v>10019</v>
      </c>
      <c r="O5108" t="str">
        <f>HYPERLINK("NoConsenso\marker_138_382002.png", "Ver Imagen")</f>
        <v>Ver Imagen</v>
      </c>
      <c r="P5108" t="str">
        <f>HYPERLINK("NE\A-495\A-495__86.png", "Ver Imagen")</f>
        <v>Ver Imagen</v>
      </c>
    </row>
    <row r="5109" spans="1:16" x14ac:dyDescent="0.25">
      <c r="A5109">
        <v>4791</v>
      </c>
      <c r="B5109" t="s">
        <v>9587</v>
      </c>
      <c r="C5109">
        <v>37.437018311999999</v>
      </c>
      <c r="D5109">
        <v>-7.0799019480099998</v>
      </c>
      <c r="E5109">
        <v>2</v>
      </c>
      <c r="F5109">
        <v>3</v>
      </c>
      <c r="G5109">
        <v>5</v>
      </c>
      <c r="H5109">
        <v>2</v>
      </c>
      <c r="I5109">
        <v>2</v>
      </c>
      <c r="J5109" t="s">
        <v>8005</v>
      </c>
      <c r="K5109">
        <v>2</v>
      </c>
      <c r="L5109">
        <v>2.0859999999999999</v>
      </c>
      <c r="M5109">
        <v>0</v>
      </c>
      <c r="N5109" t="s">
        <v>10019</v>
      </c>
      <c r="O5109" t="str">
        <f>HYPERLINK("NoConsenso\marker_400_382056.png", "Ver Imagen")</f>
        <v>Ver Imagen</v>
      </c>
      <c r="P5109" t="str">
        <f>HYPERLINK("NE\A-495\A-495__90.png", "Ver Imagen")</f>
        <v>Ver Imagen</v>
      </c>
    </row>
    <row r="5110" spans="1:16" x14ac:dyDescent="0.25">
      <c r="A5110">
        <v>4792</v>
      </c>
      <c r="B5110" t="s">
        <v>9589</v>
      </c>
      <c r="C5110">
        <v>37.4355381819</v>
      </c>
      <c r="D5110">
        <v>-7.0745213375900002</v>
      </c>
      <c r="E5110">
        <v>4</v>
      </c>
      <c r="F5110">
        <v>3</v>
      </c>
      <c r="G5110">
        <v>1</v>
      </c>
      <c r="H5110">
        <v>2</v>
      </c>
      <c r="I5110">
        <v>3</v>
      </c>
      <c r="J5110" t="s">
        <v>8005</v>
      </c>
      <c r="K5110">
        <v>3</v>
      </c>
      <c r="L5110">
        <v>3.0209999999999999</v>
      </c>
      <c r="M5110">
        <v>0</v>
      </c>
      <c r="N5110" t="s">
        <v>10019</v>
      </c>
      <c r="O5110" t="str">
        <f>HYPERLINK("NoConsenso\marker_244_382312.png", "Ver Imagen")</f>
        <v>Ver Imagen</v>
      </c>
      <c r="P5110" t="str">
        <f>HYPERLINK("NE\A-495\A-495__114.png", "Ver Imagen")</f>
        <v>Ver Imagen</v>
      </c>
    </row>
    <row r="5111" spans="1:16" x14ac:dyDescent="0.25">
      <c r="A5111">
        <v>4793</v>
      </c>
      <c r="B5111" t="s">
        <v>9591</v>
      </c>
      <c r="C5111">
        <v>37.435340420400003</v>
      </c>
      <c r="D5111">
        <v>-7.0722324513599997</v>
      </c>
      <c r="E5111">
        <v>4</v>
      </c>
      <c r="F5111">
        <v>3</v>
      </c>
      <c r="G5111">
        <v>1</v>
      </c>
      <c r="H5111">
        <v>2</v>
      </c>
      <c r="I5111">
        <v>2</v>
      </c>
      <c r="J5111" t="s">
        <v>8005</v>
      </c>
      <c r="K5111">
        <v>2</v>
      </c>
      <c r="L5111">
        <v>1.756</v>
      </c>
      <c r="M5111">
        <v>0</v>
      </c>
      <c r="N5111" t="s">
        <v>10019</v>
      </c>
      <c r="O5111" t="str">
        <f>HYPERLINK("NoConsenso\marker_101_382401.png", "Ver Imagen")</f>
        <v>Ver Imagen</v>
      </c>
      <c r="P5111" t="str">
        <f>HYPERLINK("NE\A-495\A-495__123.png", "Ver Imagen")</f>
        <v>Ver Imagen</v>
      </c>
    </row>
    <row r="5112" spans="1:16" x14ac:dyDescent="0.25">
      <c r="A5112">
        <v>4794</v>
      </c>
      <c r="B5112" t="s">
        <v>9593</v>
      </c>
      <c r="C5112">
        <v>37.234986578399997</v>
      </c>
      <c r="D5112">
        <v>-7.0182730338199999</v>
      </c>
      <c r="E5112">
        <v>5</v>
      </c>
      <c r="F5112">
        <v>2</v>
      </c>
      <c r="G5112">
        <v>3</v>
      </c>
      <c r="H5112">
        <v>2</v>
      </c>
      <c r="I5112">
        <v>2</v>
      </c>
      <c r="J5112" t="s">
        <v>8005</v>
      </c>
      <c r="K5112">
        <v>2</v>
      </c>
      <c r="L5112">
        <v>2.11</v>
      </c>
      <c r="M5112">
        <v>0</v>
      </c>
      <c r="N5112" t="s">
        <v>10019</v>
      </c>
      <c r="O5112" t="str">
        <f>HYPERLINK("NoConsenso\marker_384_362510.png", "Ver Imagen")</f>
        <v>Ver Imagen</v>
      </c>
      <c r="P5112" t="str">
        <f>HYPERLINK("SE\A-497_2C\A-497_2C__372.png", "Ver Imagen")</f>
        <v>Ver Imagen</v>
      </c>
    </row>
    <row r="5113" spans="1:16" x14ac:dyDescent="0.25">
      <c r="A5113">
        <v>4795</v>
      </c>
      <c r="B5113" t="s">
        <v>9595</v>
      </c>
      <c r="C5113">
        <v>37.217006433800002</v>
      </c>
      <c r="D5113">
        <v>-7.0230486732899999</v>
      </c>
      <c r="E5113">
        <v>3</v>
      </c>
      <c r="F5113">
        <v>2</v>
      </c>
      <c r="G5113">
        <v>5</v>
      </c>
      <c r="H5113">
        <v>2</v>
      </c>
      <c r="I5113">
        <v>2</v>
      </c>
      <c r="J5113" t="s">
        <v>8005</v>
      </c>
      <c r="K5113">
        <v>2</v>
      </c>
      <c r="L5113">
        <v>2.0819999999999999</v>
      </c>
      <c r="M5113">
        <v>0</v>
      </c>
      <c r="N5113" t="s">
        <v>10019</v>
      </c>
      <c r="O5113" t="str">
        <f>HYPERLINK("NoConsenso\marker_461_376463.png", "Ver Imagen")</f>
        <v>Ver Imagen</v>
      </c>
      <c r="P5113" t="str">
        <f>HYPERLINK("SE\A-497\A-497__471.png", "Ver Imagen")</f>
        <v>Ver Imagen</v>
      </c>
    </row>
    <row r="5114" spans="1:16" x14ac:dyDescent="0.25">
      <c r="A5114">
        <v>4796</v>
      </c>
      <c r="B5114" t="s">
        <v>9597</v>
      </c>
      <c r="C5114">
        <v>37.246048004499997</v>
      </c>
      <c r="D5114">
        <v>-7.0182583368399998</v>
      </c>
      <c r="E5114">
        <v>5</v>
      </c>
      <c r="F5114">
        <v>2</v>
      </c>
      <c r="G5114">
        <v>4</v>
      </c>
      <c r="H5114">
        <v>1</v>
      </c>
      <c r="I5114">
        <v>1</v>
      </c>
      <c r="J5114" t="s">
        <v>8052</v>
      </c>
      <c r="K5114">
        <v>1</v>
      </c>
      <c r="L5114">
        <v>1</v>
      </c>
      <c r="M5114">
        <v>0</v>
      </c>
      <c r="N5114" t="s">
        <v>10019</v>
      </c>
      <c r="O5114" t="str">
        <f>HYPERLINK("NoConsenso\marker_163_377942.png", "Ver Imagen")</f>
        <v>Ver Imagen</v>
      </c>
      <c r="P5114" t="str">
        <f>HYPERLINK("SE\A-497\A-497__322.png", "Ver Imagen")</f>
        <v>Ver Imagen</v>
      </c>
    </row>
    <row r="5115" spans="1:16" x14ac:dyDescent="0.25">
      <c r="A5115">
        <v>4797</v>
      </c>
      <c r="B5115" t="s">
        <v>9599</v>
      </c>
      <c r="C5115">
        <v>37.307334496099998</v>
      </c>
      <c r="D5115">
        <v>-7.0569322060299999</v>
      </c>
      <c r="E5115">
        <v>2</v>
      </c>
      <c r="F5115">
        <v>1</v>
      </c>
      <c r="G5115">
        <v>5</v>
      </c>
      <c r="H5115">
        <v>2</v>
      </c>
      <c r="I5115">
        <v>1</v>
      </c>
      <c r="J5115" t="s">
        <v>8052</v>
      </c>
      <c r="K5115">
        <v>1</v>
      </c>
      <c r="L5115">
        <v>1.0429999999999999</v>
      </c>
      <c r="M5115">
        <v>0</v>
      </c>
      <c r="N5115" t="s">
        <v>10019</v>
      </c>
      <c r="O5115" t="str">
        <f>HYPERLINK("NoConsenso\marker_720_839055.png", "Ver Imagen")</f>
        <v>Ver Imagen</v>
      </c>
      <c r="P5115" t="str">
        <f>HYPERLINK("SE\A-492\A-492__392.png", "Ver Imagen")</f>
        <v>Ver Imagen</v>
      </c>
    </row>
    <row r="5116" spans="1:16" x14ac:dyDescent="0.25">
      <c r="A5116">
        <v>4798</v>
      </c>
      <c r="B5116" t="s">
        <v>9601</v>
      </c>
      <c r="C5116">
        <v>37.4828992371</v>
      </c>
      <c r="D5116">
        <v>-7.2196652625300004</v>
      </c>
      <c r="E5116">
        <v>1</v>
      </c>
      <c r="G5116">
        <v>1</v>
      </c>
      <c r="H5116">
        <v>2</v>
      </c>
      <c r="I5116">
        <v>2</v>
      </c>
      <c r="J5116" t="s">
        <v>8005</v>
      </c>
      <c r="K5116">
        <v>1.5</v>
      </c>
      <c r="L5116">
        <v>1.7549999999999999</v>
      </c>
      <c r="M5116">
        <v>0</v>
      </c>
      <c r="N5116" t="s">
        <v>10019</v>
      </c>
      <c r="O5116" t="str">
        <f>HYPERLINK("Solo2\marker_387_910667.png", "Ver Imagen")</f>
        <v>Ver Imagen</v>
      </c>
      <c r="P5116" t="str">
        <f>HYPERLINK("NO\A-490\A-490__422.png", "Ver Imagen")</f>
        <v>Ver Imagen</v>
      </c>
    </row>
    <row r="5117" spans="1:16" x14ac:dyDescent="0.25">
      <c r="A5117">
        <v>4799</v>
      </c>
      <c r="B5117" t="s">
        <v>9603</v>
      </c>
      <c r="C5117">
        <v>37.490697949199998</v>
      </c>
      <c r="D5117">
        <v>-7.2517047971000004</v>
      </c>
      <c r="E5117">
        <v>1</v>
      </c>
      <c r="G5117">
        <v>1</v>
      </c>
      <c r="H5117">
        <v>2</v>
      </c>
      <c r="I5117">
        <v>1</v>
      </c>
      <c r="J5117" t="s">
        <v>8005</v>
      </c>
      <c r="K5117">
        <v>1</v>
      </c>
      <c r="L5117">
        <v>1.272</v>
      </c>
      <c r="M5117">
        <v>0</v>
      </c>
      <c r="N5117" t="s">
        <v>10019</v>
      </c>
      <c r="O5117" t="str">
        <f>HYPERLINK("Solo2\marker_859_251653.png", "Ver Imagen")</f>
        <v>Ver Imagen</v>
      </c>
      <c r="P5117" t="str">
        <f>HYPERLINK("NO\A-490\A-490__556.png", "Ver Imagen")</f>
        <v>Ver Imagen</v>
      </c>
    </row>
    <row r="5118" spans="1:16" x14ac:dyDescent="0.25">
      <c r="A5118">
        <v>4800</v>
      </c>
      <c r="B5118" t="s">
        <v>9605</v>
      </c>
      <c r="C5118">
        <v>37.490495285500003</v>
      </c>
      <c r="D5118">
        <v>-7.2547271452300004</v>
      </c>
      <c r="E5118">
        <v>1</v>
      </c>
      <c r="G5118">
        <v>1</v>
      </c>
      <c r="H5118">
        <v>1</v>
      </c>
      <c r="I5118">
        <v>1</v>
      </c>
      <c r="J5118" t="s">
        <v>8005</v>
      </c>
      <c r="K5118">
        <v>1</v>
      </c>
      <c r="L5118">
        <v>1.1850000000000001</v>
      </c>
      <c r="M5118">
        <v>0</v>
      </c>
      <c r="N5118" t="s">
        <v>10019</v>
      </c>
      <c r="O5118" t="str">
        <f>HYPERLINK("Solo2\marker_456_251842.png", "Ver Imagen")</f>
        <v>Ver Imagen</v>
      </c>
      <c r="P5118" t="str">
        <f>HYPERLINK("NO\A-490\A-490__568.png", "Ver Imagen")</f>
        <v>Ver Imagen</v>
      </c>
    </row>
    <row r="5119" spans="1:16" x14ac:dyDescent="0.25">
      <c r="A5119">
        <v>4801</v>
      </c>
      <c r="B5119" t="s">
        <v>9607</v>
      </c>
      <c r="C5119">
        <v>37.487939070099998</v>
      </c>
      <c r="D5119">
        <v>-7.24524803114</v>
      </c>
      <c r="E5119">
        <v>2</v>
      </c>
      <c r="G5119">
        <v>2</v>
      </c>
      <c r="H5119">
        <v>2</v>
      </c>
      <c r="I5119">
        <v>2</v>
      </c>
      <c r="J5119" t="s">
        <v>8005</v>
      </c>
      <c r="K5119">
        <v>2</v>
      </c>
      <c r="L5119">
        <v>2.2210000000000001</v>
      </c>
      <c r="M5119">
        <v>0</v>
      </c>
      <c r="N5119" t="s">
        <v>10019</v>
      </c>
      <c r="O5119" t="str">
        <f>HYPERLINK("Solo2\marker_516_241149.png", "Ver Imagen")</f>
        <v>Ver Imagen</v>
      </c>
      <c r="P5119" t="str">
        <f>HYPERLINK("NO\A-490\A-490__526.png", "Ver Imagen")</f>
        <v>Ver Imagen</v>
      </c>
    </row>
    <row r="5120" spans="1:16" x14ac:dyDescent="0.25">
      <c r="A5120">
        <v>4802</v>
      </c>
      <c r="B5120" t="s">
        <v>9609</v>
      </c>
      <c r="C5120">
        <v>37.314609175999998</v>
      </c>
      <c r="D5120">
        <v>-7.0647290054800003</v>
      </c>
      <c r="E5120">
        <v>1</v>
      </c>
      <c r="G5120">
        <v>2</v>
      </c>
      <c r="H5120">
        <v>1</v>
      </c>
      <c r="I5120">
        <v>1</v>
      </c>
      <c r="J5120" t="s">
        <v>8005</v>
      </c>
      <c r="K5120">
        <v>1</v>
      </c>
      <c r="L5120">
        <v>1.1439999999999999</v>
      </c>
      <c r="M5120">
        <v>0</v>
      </c>
      <c r="N5120" t="s">
        <v>10019</v>
      </c>
      <c r="O5120" t="str">
        <f>HYPERLINK("Solo2\marker_840_518998.png", "Ver Imagen")</f>
        <v>Ver Imagen</v>
      </c>
      <c r="P5120" t="str">
        <f>HYPERLINK("SE\A-492\A-492__441.png", "Ver Imagen")</f>
        <v>Ver Imagen</v>
      </c>
    </row>
    <row r="5121" spans="1:16" x14ac:dyDescent="0.25">
      <c r="A5121">
        <v>4803</v>
      </c>
      <c r="B5121" t="s">
        <v>9611</v>
      </c>
      <c r="C5121">
        <v>37.244302734400001</v>
      </c>
      <c r="D5121">
        <v>-7.1281216538700001</v>
      </c>
      <c r="E5121">
        <v>2</v>
      </c>
      <c r="G5121">
        <v>2</v>
      </c>
      <c r="H5121">
        <v>2</v>
      </c>
      <c r="I5121">
        <v>1</v>
      </c>
      <c r="J5121" t="s">
        <v>8005</v>
      </c>
      <c r="K5121">
        <v>2</v>
      </c>
      <c r="L5121">
        <v>1.885</v>
      </c>
      <c r="M5121">
        <v>0</v>
      </c>
      <c r="N5121" t="s">
        <v>10019</v>
      </c>
      <c r="O5121" t="str">
        <f>HYPERLINK("Solo2\marker_459_962370.png", "Ver Imagen")</f>
        <v>Ver Imagen</v>
      </c>
      <c r="P5121" t="str">
        <f>HYPERLINK("SO\A-5053\A-5053__128.png", "Ver Imagen")</f>
        <v>Ver Imagen</v>
      </c>
    </row>
    <row r="5122" spans="1:16" x14ac:dyDescent="0.25">
      <c r="A5122">
        <v>4805</v>
      </c>
      <c r="B5122" t="s">
        <v>9615</v>
      </c>
      <c r="C5122">
        <v>37.447133840399999</v>
      </c>
      <c r="D5122">
        <v>-7.1284999518200003</v>
      </c>
      <c r="E5122">
        <v>1</v>
      </c>
      <c r="G5122">
        <v>2</v>
      </c>
      <c r="H5122">
        <v>2</v>
      </c>
      <c r="I5122">
        <v>2</v>
      </c>
      <c r="J5122" t="s">
        <v>8005</v>
      </c>
      <c r="K5122">
        <v>2</v>
      </c>
      <c r="L5122">
        <v>2.0070000000000001</v>
      </c>
      <c r="M5122">
        <v>0</v>
      </c>
      <c r="N5122" t="s">
        <v>10019</v>
      </c>
      <c r="O5122" t="str">
        <f>HYPERLINK("Solo2\marker_711_641330.png", "Ver Imagen")</f>
        <v>Ver Imagen</v>
      </c>
      <c r="P5122" t="str">
        <f>HYPERLINK("NE\A-490\A-490__9.png", "Ver Imagen")</f>
        <v>Ver Imagen</v>
      </c>
    </row>
    <row r="5123" spans="1:16" x14ac:dyDescent="0.25">
      <c r="A5123">
        <v>4806</v>
      </c>
      <c r="B5123" t="s">
        <v>9617</v>
      </c>
      <c r="C5123">
        <v>37.448272357299999</v>
      </c>
      <c r="D5123">
        <v>-7.1421819339199999</v>
      </c>
      <c r="E5123">
        <v>1</v>
      </c>
      <c r="G5123">
        <v>2</v>
      </c>
      <c r="H5123">
        <v>2</v>
      </c>
      <c r="I5123">
        <v>3</v>
      </c>
      <c r="J5123" t="s">
        <v>8052</v>
      </c>
      <c r="K5123">
        <v>3</v>
      </c>
      <c r="L5123">
        <v>2.98</v>
      </c>
      <c r="M5123">
        <v>0</v>
      </c>
      <c r="N5123" t="s">
        <v>10019</v>
      </c>
      <c r="O5123" t="str">
        <f>HYPERLINK("Solo2\marker_518_738044.png", "Ver Imagen")</f>
        <v>Ver Imagen</v>
      </c>
      <c r="P5123" t="str">
        <f>HYPERLINK("NE\A-490\A-490__66.png", "Ver Imagen")</f>
        <v>Ver Imagen</v>
      </c>
    </row>
    <row r="5124" spans="1:16" x14ac:dyDescent="0.25">
      <c r="A5124">
        <v>4807</v>
      </c>
      <c r="B5124" t="s">
        <v>9619</v>
      </c>
      <c r="C5124">
        <v>37.482573229000003</v>
      </c>
      <c r="D5124">
        <v>-7.2180062593700001</v>
      </c>
      <c r="E5124">
        <v>1</v>
      </c>
      <c r="G5124">
        <v>2</v>
      </c>
      <c r="H5124">
        <v>2</v>
      </c>
      <c r="I5124">
        <v>2</v>
      </c>
      <c r="J5124" t="s">
        <v>8005</v>
      </c>
      <c r="K5124">
        <v>2</v>
      </c>
      <c r="L5124">
        <v>2.2930000000000001</v>
      </c>
      <c r="M5124">
        <v>0</v>
      </c>
      <c r="N5124" t="s">
        <v>10019</v>
      </c>
      <c r="O5124" t="str">
        <f>HYPERLINK("Solo2\marker_271_910561.png", "Ver Imagen")</f>
        <v>Ver Imagen</v>
      </c>
      <c r="P5124" t="str">
        <f>HYPERLINK("NO\A-490\A-490__415.png", "Ver Imagen")</f>
        <v>Ver Imagen</v>
      </c>
    </row>
    <row r="5125" spans="1:16" x14ac:dyDescent="0.25">
      <c r="A5125">
        <v>4808</v>
      </c>
      <c r="B5125" t="s">
        <v>9621</v>
      </c>
      <c r="C5125">
        <v>37.446460214600002</v>
      </c>
      <c r="D5125">
        <v>-7.1329995630200003</v>
      </c>
      <c r="E5125">
        <v>2</v>
      </c>
      <c r="G5125">
        <v>3</v>
      </c>
      <c r="H5125">
        <v>3</v>
      </c>
      <c r="I5125">
        <v>3</v>
      </c>
      <c r="J5125" t="s">
        <v>8005</v>
      </c>
      <c r="K5125">
        <v>3</v>
      </c>
      <c r="L5125">
        <v>2.8559999999999999</v>
      </c>
      <c r="M5125">
        <v>0</v>
      </c>
      <c r="N5125" t="s">
        <v>10018</v>
      </c>
      <c r="O5125" t="str">
        <f>HYPERLINK("Solo2\marker_420_730849.png", "Ver Imagen")</f>
        <v>Ver Imagen</v>
      </c>
      <c r="P5125" t="str">
        <f>HYPERLINK("NE\A-490\A-490__27.png", "Ver Imagen")</f>
        <v>Ver Imagen</v>
      </c>
    </row>
    <row r="5126" spans="1:16" x14ac:dyDescent="0.25">
      <c r="A5126">
        <v>4809</v>
      </c>
      <c r="B5126" t="s">
        <v>9623</v>
      </c>
      <c r="C5126">
        <v>37.4838624442</v>
      </c>
      <c r="D5126">
        <v>-7.2246036953599999</v>
      </c>
      <c r="E5126">
        <v>1</v>
      </c>
      <c r="G5126">
        <v>3</v>
      </c>
      <c r="H5126">
        <v>2</v>
      </c>
      <c r="I5126">
        <v>1</v>
      </c>
      <c r="J5126" t="s">
        <v>8005</v>
      </c>
      <c r="K5126">
        <v>1.5</v>
      </c>
      <c r="L5126">
        <v>1.7430000000000001</v>
      </c>
      <c r="M5126">
        <v>0</v>
      </c>
      <c r="N5126" t="s">
        <v>10019</v>
      </c>
      <c r="O5126" t="str">
        <f>HYPERLINK("Solo2\marker_394_915441.png", "Ver Imagen")</f>
        <v>Ver Imagen</v>
      </c>
      <c r="P5126" t="str">
        <f>HYPERLINK("NO\A-490\A-490__442.png", "Ver Imagen")</f>
        <v>Ver Imagen</v>
      </c>
    </row>
    <row r="5127" spans="1:16" x14ac:dyDescent="0.25">
      <c r="A5127">
        <v>4813</v>
      </c>
      <c r="B5127" t="s">
        <v>9631</v>
      </c>
      <c r="C5127">
        <v>37.462085042200002</v>
      </c>
      <c r="D5127">
        <v>-7.1752709938099999</v>
      </c>
      <c r="E5127">
        <v>2</v>
      </c>
      <c r="G5127">
        <v>3</v>
      </c>
      <c r="H5127">
        <v>3</v>
      </c>
      <c r="I5127">
        <v>3</v>
      </c>
      <c r="J5127" t="s">
        <v>8005</v>
      </c>
      <c r="K5127">
        <v>3</v>
      </c>
      <c r="L5127">
        <v>3.157</v>
      </c>
      <c r="M5127">
        <v>0</v>
      </c>
      <c r="N5127" t="s">
        <v>10019</v>
      </c>
      <c r="O5127" t="str">
        <f>HYPERLINK("Solo2\marker_804_668928.png", "Ver Imagen")</f>
        <v>Ver Imagen</v>
      </c>
      <c r="P5127" t="str">
        <f>HYPERLINK("NE\A-490\A-490__218.png", "Ver Imagen")</f>
        <v>Ver Imagen</v>
      </c>
    </row>
    <row r="5128" spans="1:16" x14ac:dyDescent="0.25">
      <c r="A5128">
        <v>4814</v>
      </c>
      <c r="B5128" t="s">
        <v>9633</v>
      </c>
      <c r="C5128">
        <v>37.481690393800001</v>
      </c>
      <c r="D5128">
        <v>-7.2147297674299997</v>
      </c>
      <c r="E5128">
        <v>2</v>
      </c>
      <c r="G5128">
        <v>3</v>
      </c>
      <c r="H5128">
        <v>2</v>
      </c>
      <c r="I5128">
        <v>2</v>
      </c>
      <c r="J5128" t="s">
        <v>8005</v>
      </c>
      <c r="K5128">
        <v>2</v>
      </c>
      <c r="L5128">
        <v>1.9910000000000001</v>
      </c>
      <c r="M5128">
        <v>0</v>
      </c>
      <c r="N5128" t="s">
        <v>10019</v>
      </c>
      <c r="O5128" t="str">
        <f>HYPERLINK("Solo2\marker_962_909970.png", "Ver Imagen")</f>
        <v>Ver Imagen</v>
      </c>
      <c r="P5128" t="str">
        <f>HYPERLINK("NO\A-490\A-490__401.png", "Ver Imagen")</f>
        <v>Ver Imagen</v>
      </c>
    </row>
    <row r="5129" spans="1:16" x14ac:dyDescent="0.25">
      <c r="A5129">
        <v>4815</v>
      </c>
      <c r="B5129" t="s">
        <v>9635</v>
      </c>
      <c r="C5129">
        <v>37.2754063</v>
      </c>
      <c r="D5129">
        <v>-7.0172052139399996</v>
      </c>
      <c r="E5129">
        <v>1</v>
      </c>
      <c r="G5129">
        <v>3</v>
      </c>
      <c r="H5129">
        <v>2</v>
      </c>
      <c r="I5129">
        <v>2</v>
      </c>
      <c r="J5129" t="s">
        <v>8005</v>
      </c>
      <c r="K5129">
        <v>2</v>
      </c>
      <c r="L5129">
        <v>1.9970000000000001</v>
      </c>
      <c r="M5129">
        <v>0</v>
      </c>
      <c r="N5129" t="s">
        <v>10019</v>
      </c>
      <c r="O5129" t="str">
        <f>HYPERLINK("Solo2\marker_613_335844.png", "Ver Imagen")</f>
        <v>Ver Imagen</v>
      </c>
      <c r="P5129" t="str">
        <f>HYPERLINK("SE\A-492\A-492__146.png", "Ver Imagen")</f>
        <v>Ver Imagen</v>
      </c>
    </row>
    <row r="5130" spans="1:16" x14ac:dyDescent="0.25">
      <c r="A5130">
        <v>4816</v>
      </c>
      <c r="B5130" t="s">
        <v>9637</v>
      </c>
      <c r="C5130">
        <v>37.312901850300001</v>
      </c>
      <c r="D5130">
        <v>-7.0615903396900004</v>
      </c>
      <c r="E5130">
        <v>2</v>
      </c>
      <c r="G5130">
        <v>3</v>
      </c>
      <c r="H5130">
        <v>2</v>
      </c>
      <c r="I5130">
        <v>2</v>
      </c>
      <c r="J5130" t="s">
        <v>8005</v>
      </c>
      <c r="K5130">
        <v>2</v>
      </c>
      <c r="L5130">
        <v>2.13</v>
      </c>
      <c r="M5130">
        <v>0</v>
      </c>
      <c r="N5130" t="s">
        <v>10019</v>
      </c>
      <c r="O5130" t="str">
        <f>HYPERLINK("Solo2\marker_747_518748.png", "Ver Imagen")</f>
        <v>Ver Imagen</v>
      </c>
      <c r="P5130" t="str">
        <f>HYPERLINK("SE\A-492\A-492__426.png", "Ver Imagen")</f>
        <v>Ver Imagen</v>
      </c>
    </row>
    <row r="5131" spans="1:16" x14ac:dyDescent="0.25">
      <c r="A5131">
        <v>4817</v>
      </c>
      <c r="B5131" t="s">
        <v>9639</v>
      </c>
      <c r="C5131">
        <v>37.195154196300003</v>
      </c>
      <c r="D5131">
        <v>-7.0005226493899997</v>
      </c>
      <c r="E5131">
        <v>2</v>
      </c>
      <c r="G5131">
        <v>3</v>
      </c>
      <c r="H5131">
        <v>2</v>
      </c>
      <c r="I5131">
        <v>3</v>
      </c>
      <c r="J5131" t="s">
        <v>8052</v>
      </c>
      <c r="K5131">
        <v>2</v>
      </c>
      <c r="L5131">
        <v>1.7849999999999999</v>
      </c>
      <c r="M5131">
        <v>0</v>
      </c>
      <c r="N5131" t="s">
        <v>10019</v>
      </c>
      <c r="O5131" t="str">
        <f>HYPERLINK("Solo2\marker_606_776109.png", "Ver Imagen")</f>
        <v>Ver Imagen</v>
      </c>
      <c r="P5131" t="str">
        <f>HYPERLINK("SE\A-5050\A-5050__128.png", "Ver Imagen")</f>
        <v>Ver Imagen</v>
      </c>
    </row>
    <row r="5132" spans="1:16" x14ac:dyDescent="0.25">
      <c r="A5132">
        <v>4819</v>
      </c>
      <c r="B5132" t="s">
        <v>9643</v>
      </c>
      <c r="C5132">
        <v>37.451265847599998</v>
      </c>
      <c r="D5132">
        <v>-7.1548238854099999</v>
      </c>
      <c r="E5132">
        <v>2</v>
      </c>
      <c r="G5132">
        <v>4</v>
      </c>
      <c r="H5132">
        <v>3</v>
      </c>
      <c r="I5132">
        <v>3</v>
      </c>
      <c r="J5132" t="s">
        <v>8005</v>
      </c>
      <c r="K5132">
        <v>3</v>
      </c>
      <c r="L5132">
        <v>3.0350000000000001</v>
      </c>
      <c r="M5132">
        <v>0</v>
      </c>
      <c r="N5132" t="s">
        <v>10019</v>
      </c>
      <c r="O5132" t="str">
        <f>HYPERLINK("Solo2\marker_936_951949.png", "Ver Imagen")</f>
        <v>Ver Imagen</v>
      </c>
      <c r="P5132" t="str">
        <f>HYPERLINK("NE\A-490\A-490__119.png", "Ver Imagen")</f>
        <v>Ver Imagen</v>
      </c>
    </row>
    <row r="5133" spans="1:16" x14ac:dyDescent="0.25">
      <c r="A5133">
        <v>4820</v>
      </c>
      <c r="B5133" t="s">
        <v>9645</v>
      </c>
      <c r="C5133">
        <v>37.480141376900001</v>
      </c>
      <c r="D5133">
        <v>-7.1278396962699997</v>
      </c>
      <c r="E5133">
        <v>4</v>
      </c>
      <c r="G5133">
        <v>4</v>
      </c>
      <c r="H5133">
        <v>3</v>
      </c>
      <c r="I5133">
        <v>4</v>
      </c>
      <c r="J5133" t="s">
        <v>8005</v>
      </c>
      <c r="K5133">
        <v>4</v>
      </c>
      <c r="L5133">
        <v>4.0439999999999996</v>
      </c>
      <c r="M5133">
        <v>0</v>
      </c>
      <c r="N5133" t="s">
        <v>10019</v>
      </c>
      <c r="O5133" t="str">
        <f>HYPERLINK("Solo2\marker_107_383998.png", "Ver Imagen")</f>
        <v>Ver Imagen</v>
      </c>
      <c r="P5133" t="str">
        <f>HYPERLINK("NE\A-495_1\A-495_1__169.png", "Ver Imagen")</f>
        <v>Ver Imagen</v>
      </c>
    </row>
    <row r="5134" spans="1:16" x14ac:dyDescent="0.25">
      <c r="A5134">
        <v>4821</v>
      </c>
      <c r="B5134" t="s">
        <v>9647</v>
      </c>
      <c r="C5134">
        <v>37.4953607805</v>
      </c>
      <c r="D5134">
        <v>-7.2684965700499999</v>
      </c>
      <c r="E5134">
        <v>4</v>
      </c>
      <c r="G5134">
        <v>4</v>
      </c>
      <c r="H5134">
        <v>3</v>
      </c>
      <c r="I5134">
        <v>4</v>
      </c>
      <c r="J5134" t="s">
        <v>8005</v>
      </c>
      <c r="K5134">
        <v>4</v>
      </c>
      <c r="L5134">
        <v>4.024</v>
      </c>
      <c r="M5134">
        <v>0</v>
      </c>
      <c r="N5134" t="s">
        <v>10019</v>
      </c>
      <c r="O5134" t="str">
        <f>HYPERLINK("Solo2\marker_135_799777.png", "Ver Imagen")</f>
        <v>Ver Imagen</v>
      </c>
      <c r="P5134" t="str">
        <f>HYPERLINK("NO\A-499\A-499__77.png", "Ver Imagen")</f>
        <v>Ver Imagen</v>
      </c>
    </row>
    <row r="5135" spans="1:16" x14ac:dyDescent="0.25">
      <c r="A5135">
        <v>4822</v>
      </c>
      <c r="B5135" t="s">
        <v>9649</v>
      </c>
      <c r="C5135">
        <v>37.447465780900004</v>
      </c>
      <c r="D5135">
        <v>-7.1266855657999999</v>
      </c>
      <c r="E5135">
        <v>2</v>
      </c>
      <c r="G5135">
        <v>4</v>
      </c>
      <c r="H5135">
        <v>3</v>
      </c>
      <c r="I5135">
        <v>3</v>
      </c>
      <c r="J5135" t="s">
        <v>8005</v>
      </c>
      <c r="K5135">
        <v>3</v>
      </c>
      <c r="L5135">
        <v>3.2639999999999998</v>
      </c>
      <c r="M5135">
        <v>0</v>
      </c>
      <c r="N5135" t="s">
        <v>10019</v>
      </c>
      <c r="O5135" t="str">
        <f>HYPERLINK("Solo2\marker_245_645287.png", "Ver Imagen")</f>
        <v>Ver Imagen</v>
      </c>
      <c r="P5135" t="str">
        <f>HYPERLINK("NE\A-490\A-490__1.png", "Ver Imagen")</f>
        <v>Ver Imagen</v>
      </c>
    </row>
    <row r="5136" spans="1:16" x14ac:dyDescent="0.25">
      <c r="A5136">
        <v>4823</v>
      </c>
      <c r="B5136" t="s">
        <v>9651</v>
      </c>
      <c r="C5136">
        <v>37.4619560079</v>
      </c>
      <c r="D5136">
        <v>-7.1750601867799997</v>
      </c>
      <c r="E5136">
        <v>2</v>
      </c>
      <c r="G5136">
        <v>4</v>
      </c>
      <c r="H5136">
        <v>4</v>
      </c>
      <c r="I5136">
        <v>4</v>
      </c>
      <c r="J5136" t="s">
        <v>8005</v>
      </c>
      <c r="K5136">
        <v>4</v>
      </c>
      <c r="L5136">
        <v>3.8220000000000001</v>
      </c>
      <c r="M5136">
        <v>0</v>
      </c>
      <c r="N5136" t="s">
        <v>10019</v>
      </c>
      <c r="O5136" t="str">
        <f>HYPERLINK("Solo2\marker_410_668905.png", "Ver Imagen")</f>
        <v>Ver Imagen</v>
      </c>
      <c r="P5136" t="str">
        <f>HYPERLINK("NE\A-490\A-490__217.png", "Ver Imagen")</f>
        <v>Ver Imagen</v>
      </c>
    </row>
    <row r="5137" spans="1:16" x14ac:dyDescent="0.25">
      <c r="A5137">
        <v>4825</v>
      </c>
      <c r="B5137" t="s">
        <v>9655</v>
      </c>
      <c r="C5137">
        <v>37.279808194399997</v>
      </c>
      <c r="D5137">
        <v>-6.9980367333400002</v>
      </c>
      <c r="E5137">
        <v>3</v>
      </c>
      <c r="G5137">
        <v>4</v>
      </c>
      <c r="H5137">
        <v>4</v>
      </c>
      <c r="I5137">
        <v>4</v>
      </c>
      <c r="J5137" t="s">
        <v>8005</v>
      </c>
      <c r="K5137">
        <v>4</v>
      </c>
      <c r="L5137">
        <v>3.798</v>
      </c>
      <c r="M5137">
        <v>0</v>
      </c>
      <c r="N5137" t="s">
        <v>10019</v>
      </c>
      <c r="O5137" t="str">
        <f>HYPERLINK("Solo2\marker_413_823143.png", "Ver Imagen")</f>
        <v>Ver Imagen</v>
      </c>
      <c r="P5137" t="str">
        <f>HYPERLINK("SE\A-492\A-492__60.png", "Ver Imagen")</f>
        <v>Ver Imagen</v>
      </c>
    </row>
    <row r="5138" spans="1:16" x14ac:dyDescent="0.25">
      <c r="A5138">
        <v>4826</v>
      </c>
      <c r="B5138" t="s">
        <v>9657</v>
      </c>
      <c r="C5138">
        <v>37.273007209299998</v>
      </c>
      <c r="D5138">
        <v>-6.9912889489300003</v>
      </c>
      <c r="E5138">
        <v>2</v>
      </c>
      <c r="G5138">
        <v>4</v>
      </c>
      <c r="H5138">
        <v>4</v>
      </c>
      <c r="I5138">
        <v>4</v>
      </c>
      <c r="J5138" t="s">
        <v>8005</v>
      </c>
      <c r="K5138">
        <v>4</v>
      </c>
      <c r="L5138">
        <v>3.9790000000000001</v>
      </c>
      <c r="M5138">
        <v>0</v>
      </c>
      <c r="N5138" t="s">
        <v>10019</v>
      </c>
      <c r="O5138" t="str">
        <f>HYPERLINK("Solo2\marker_616_256562.png", "Ver Imagen")</f>
        <v>Ver Imagen</v>
      </c>
      <c r="P5138" t="str">
        <f>HYPERLINK("SE\A-492\A-492__8.png", "Ver Imagen")</f>
        <v>Ver Imagen</v>
      </c>
    </row>
    <row r="5139" spans="1:16" x14ac:dyDescent="0.25">
      <c r="A5139">
        <v>4827</v>
      </c>
      <c r="B5139" t="s">
        <v>9659</v>
      </c>
      <c r="C5139">
        <v>37.278457901800003</v>
      </c>
      <c r="D5139">
        <v>-7.1442063821300001</v>
      </c>
      <c r="E5139">
        <v>4</v>
      </c>
      <c r="G5139">
        <v>3</v>
      </c>
      <c r="H5139">
        <v>5</v>
      </c>
      <c r="I5139">
        <v>4</v>
      </c>
      <c r="J5139" t="s">
        <v>8005</v>
      </c>
      <c r="K5139">
        <v>4</v>
      </c>
      <c r="L5139">
        <v>3.5910000000000002</v>
      </c>
      <c r="M5139">
        <v>0</v>
      </c>
      <c r="N5139" t="s">
        <v>10019</v>
      </c>
      <c r="O5139" t="str">
        <f>HYPERLINK("Solo2\marker_534_942471.png", "Ver Imagen")</f>
        <v>Ver Imagen</v>
      </c>
      <c r="P5139" t="str">
        <f>HYPERLINK("SO\A-5053\A-5053__322.png", "Ver Imagen")</f>
        <v>Ver Imagen</v>
      </c>
    </row>
    <row r="5140" spans="1:16" x14ac:dyDescent="0.25">
      <c r="A5140">
        <v>4828</v>
      </c>
      <c r="B5140" t="s">
        <v>9661</v>
      </c>
      <c r="C5140">
        <v>37.230320964900002</v>
      </c>
      <c r="D5140">
        <v>-7.0633302661100004</v>
      </c>
      <c r="E5140">
        <v>3</v>
      </c>
      <c r="G5140">
        <v>4</v>
      </c>
      <c r="H5140">
        <v>3</v>
      </c>
      <c r="I5140">
        <v>3</v>
      </c>
      <c r="J5140" t="s">
        <v>8005</v>
      </c>
      <c r="K5140">
        <v>3</v>
      </c>
      <c r="L5140">
        <v>3.35</v>
      </c>
      <c r="M5140">
        <v>0</v>
      </c>
      <c r="N5140" t="s">
        <v>10019</v>
      </c>
      <c r="O5140" t="str">
        <f>HYPERLINK("Solo2\marker_136_877895.png", "Ver Imagen")</f>
        <v>Ver Imagen</v>
      </c>
      <c r="P5140" t="str">
        <f>HYPERLINK("SE\A-5059\A-5059__22.png", "Ver Imagen")</f>
        <v>Ver Imagen</v>
      </c>
    </row>
    <row r="5141" spans="1:16" x14ac:dyDescent="0.25">
      <c r="A5141">
        <v>4829</v>
      </c>
      <c r="B5141" t="s">
        <v>9663</v>
      </c>
      <c r="C5141">
        <v>37.448266158199999</v>
      </c>
      <c r="D5141">
        <v>-7.12666294959</v>
      </c>
      <c r="E5141">
        <v>2</v>
      </c>
      <c r="G5141">
        <v>4</v>
      </c>
      <c r="H5141">
        <v>3</v>
      </c>
      <c r="I5141">
        <v>3</v>
      </c>
      <c r="J5141" t="s">
        <v>8005</v>
      </c>
      <c r="K5141">
        <v>3</v>
      </c>
      <c r="L5141">
        <v>2.93</v>
      </c>
      <c r="M5141">
        <v>0</v>
      </c>
      <c r="N5141" t="s">
        <v>10019</v>
      </c>
      <c r="O5141" t="str">
        <f>HYPERLINK("Solo2\marker_939_882242.png", "Ver Imagen")</f>
        <v>Ver Imagen</v>
      </c>
      <c r="P5141" t="str">
        <f>HYPERLINK("NE\A-495_1\A-495_1__1.png", "Ver Imagen")</f>
        <v>Ver Imagen</v>
      </c>
    </row>
    <row r="5142" spans="1:16" x14ac:dyDescent="0.25">
      <c r="A5142">
        <v>4830</v>
      </c>
      <c r="B5142" t="s">
        <v>9665</v>
      </c>
      <c r="C5142">
        <v>37.451471938700003</v>
      </c>
      <c r="D5142">
        <v>-7.1557866900700002</v>
      </c>
      <c r="E5142">
        <v>4</v>
      </c>
      <c r="G5142">
        <v>5</v>
      </c>
      <c r="H5142">
        <v>5</v>
      </c>
      <c r="I5142">
        <v>4</v>
      </c>
      <c r="J5142" t="s">
        <v>8005</v>
      </c>
      <c r="K5142">
        <v>4.5</v>
      </c>
      <c r="L5142">
        <v>3.601</v>
      </c>
      <c r="M5142">
        <v>0</v>
      </c>
      <c r="N5142" t="s">
        <v>10019</v>
      </c>
      <c r="O5142" t="str">
        <f>HYPERLINK("Solo2\marker_788_651063.png", "Ver Imagen")</f>
        <v>Ver Imagen</v>
      </c>
      <c r="P5142" t="str">
        <f>HYPERLINK("NE\A-490\A-490__123.png", "Ver Imagen")</f>
        <v>Ver Imagen</v>
      </c>
    </row>
    <row r="5143" spans="1:16" x14ac:dyDescent="0.25">
      <c r="A5143">
        <v>4831</v>
      </c>
      <c r="B5143" t="s">
        <v>9667</v>
      </c>
      <c r="C5143">
        <v>37.463787750000002</v>
      </c>
      <c r="D5143">
        <v>-7.1184385397799996</v>
      </c>
      <c r="E5143">
        <v>1</v>
      </c>
      <c r="F5143">
        <v>1</v>
      </c>
      <c r="H5143">
        <v>1</v>
      </c>
      <c r="I5143">
        <v>1</v>
      </c>
      <c r="J5143" t="s">
        <v>8005</v>
      </c>
      <c r="K5143">
        <v>1</v>
      </c>
      <c r="L5143">
        <v>1</v>
      </c>
      <c r="M5143">
        <v>0</v>
      </c>
      <c r="N5143" t="s">
        <v>10019</v>
      </c>
      <c r="O5143" t="str">
        <f>HYPERLINK("Solo2\marker_538_895856.png", "Ver Imagen")</f>
        <v>Ver Imagen</v>
      </c>
      <c r="P5143" t="str">
        <f>HYPERLINK("NE\A-495R\A-495R__103.png", "Ver Imagen")</f>
        <v>Ver Imagen</v>
      </c>
    </row>
    <row r="5144" spans="1:16" x14ac:dyDescent="0.25">
      <c r="A5144">
        <v>4832</v>
      </c>
      <c r="B5144" t="s">
        <v>9669</v>
      </c>
      <c r="C5144">
        <v>37.200379593599997</v>
      </c>
      <c r="D5144">
        <v>-7.0166855323300004</v>
      </c>
      <c r="F5144">
        <v>1</v>
      </c>
      <c r="G5144">
        <v>1</v>
      </c>
      <c r="H5144">
        <v>1</v>
      </c>
      <c r="I5144">
        <v>1</v>
      </c>
      <c r="J5144" t="s">
        <v>8005</v>
      </c>
      <c r="K5144">
        <v>1</v>
      </c>
      <c r="L5144">
        <v>1</v>
      </c>
      <c r="M5144">
        <v>0</v>
      </c>
      <c r="N5144" t="s">
        <v>10019</v>
      </c>
      <c r="O5144" t="str">
        <f>HYPERLINK("Solo2\marker_209_963189.png", "Ver Imagen")</f>
        <v>Ver Imagen</v>
      </c>
      <c r="P5144" t="str">
        <f>HYPERLINK("SE\A-5052\A-5052__451.png", "Ver Imagen")</f>
        <v>Ver Imagen</v>
      </c>
    </row>
    <row r="5145" spans="1:16" x14ac:dyDescent="0.25">
      <c r="A5145">
        <v>4833</v>
      </c>
      <c r="B5145" t="s">
        <v>9671</v>
      </c>
      <c r="C5145">
        <v>37.469559783500003</v>
      </c>
      <c r="D5145">
        <v>-7.1888529869399997</v>
      </c>
      <c r="E5145">
        <v>2</v>
      </c>
      <c r="F5145">
        <v>1</v>
      </c>
      <c r="H5145">
        <v>1</v>
      </c>
      <c r="I5145">
        <v>1</v>
      </c>
      <c r="J5145" t="s">
        <v>8005</v>
      </c>
      <c r="K5145">
        <v>1</v>
      </c>
      <c r="L5145">
        <v>1.3220000000000001</v>
      </c>
      <c r="M5145">
        <v>0</v>
      </c>
      <c r="N5145" t="s">
        <v>10018</v>
      </c>
      <c r="O5145" t="str">
        <f>HYPERLINK("Solo2\marker_226_750216.png", "Ver Imagen")</f>
        <v>Ver Imagen</v>
      </c>
      <c r="P5145" t="str">
        <f>HYPERLINK("NE\A-490\A-490__283.png", "Ver Imagen")</f>
        <v>Ver Imagen</v>
      </c>
    </row>
    <row r="5146" spans="1:16" x14ac:dyDescent="0.25">
      <c r="A5146">
        <v>4834</v>
      </c>
      <c r="B5146" t="s">
        <v>9673</v>
      </c>
      <c r="C5146">
        <v>37.493485784199997</v>
      </c>
      <c r="D5146">
        <v>-7.2643815055800003</v>
      </c>
      <c r="F5146">
        <v>1</v>
      </c>
      <c r="G5146">
        <v>2</v>
      </c>
      <c r="H5146">
        <v>2</v>
      </c>
      <c r="I5146">
        <v>1</v>
      </c>
      <c r="J5146" t="s">
        <v>8005</v>
      </c>
      <c r="K5146">
        <v>1.5</v>
      </c>
      <c r="L5146">
        <v>1.8089999999999999</v>
      </c>
      <c r="M5146">
        <v>0</v>
      </c>
      <c r="N5146" t="s">
        <v>10019</v>
      </c>
      <c r="O5146" t="str">
        <f>HYPERLINK("Solo2\marker_730_820233.png", "Ver Imagen")</f>
        <v>Ver Imagen</v>
      </c>
      <c r="P5146" t="str">
        <f>HYPERLINK("NO\A-490\A-490__613.png", "Ver Imagen")</f>
        <v>Ver Imagen</v>
      </c>
    </row>
    <row r="5147" spans="1:16" x14ac:dyDescent="0.25">
      <c r="A5147">
        <v>4836</v>
      </c>
      <c r="B5147" t="s">
        <v>9677</v>
      </c>
      <c r="C5147">
        <v>37.307519867000003</v>
      </c>
      <c r="D5147">
        <v>-7.0569690639899996</v>
      </c>
      <c r="E5147">
        <v>2</v>
      </c>
      <c r="F5147">
        <v>2</v>
      </c>
      <c r="H5147">
        <v>2</v>
      </c>
      <c r="I5147">
        <v>2</v>
      </c>
      <c r="J5147" t="s">
        <v>8005</v>
      </c>
      <c r="K5147">
        <v>2</v>
      </c>
      <c r="L5147">
        <v>1.7629999999999999</v>
      </c>
      <c r="M5147">
        <v>0</v>
      </c>
      <c r="N5147" t="s">
        <v>10019</v>
      </c>
      <c r="O5147" t="str">
        <f>HYPERLINK("Solo2\marker_880_839070.png", "Ver Imagen")</f>
        <v>Ver Imagen</v>
      </c>
      <c r="P5147" t="str">
        <f>HYPERLINK("SE\A-492\A-492__393.png", "Ver Imagen")</f>
        <v>Ver Imagen</v>
      </c>
    </row>
    <row r="5148" spans="1:16" x14ac:dyDescent="0.25">
      <c r="A5148">
        <v>4837</v>
      </c>
      <c r="B5148" t="s">
        <v>9679</v>
      </c>
      <c r="C5148">
        <v>37.199138166099999</v>
      </c>
      <c r="D5148">
        <v>-7.00933115642</v>
      </c>
      <c r="E5148">
        <v>2</v>
      </c>
      <c r="F5148">
        <v>3</v>
      </c>
      <c r="H5148">
        <v>3</v>
      </c>
      <c r="I5148">
        <v>4</v>
      </c>
      <c r="J5148" t="s">
        <v>8005</v>
      </c>
      <c r="K5148">
        <v>3</v>
      </c>
      <c r="L5148">
        <v>3.1179999999999999</v>
      </c>
      <c r="M5148">
        <v>0</v>
      </c>
      <c r="N5148" t="s">
        <v>10019</v>
      </c>
      <c r="O5148" t="str">
        <f>HYPERLINK("Solo2\marker_335_947435.png", "Ver Imagen")</f>
        <v>Ver Imagen</v>
      </c>
      <c r="P5148" t="str">
        <f>HYPERLINK("SE\A-5050\A-5050__88.png", "Ver Imagen")</f>
        <v>Ver Imagen</v>
      </c>
    </row>
    <row r="5149" spans="1:16" x14ac:dyDescent="0.25">
      <c r="A5149">
        <v>4838</v>
      </c>
      <c r="B5149" t="s">
        <v>9681</v>
      </c>
      <c r="C5149">
        <v>37.260748379900001</v>
      </c>
      <c r="D5149">
        <v>-7.1294316355699996</v>
      </c>
      <c r="F5149">
        <v>3</v>
      </c>
      <c r="G5149">
        <v>2</v>
      </c>
      <c r="H5149">
        <v>3</v>
      </c>
      <c r="I5149">
        <v>3</v>
      </c>
      <c r="J5149" t="s">
        <v>8005</v>
      </c>
      <c r="K5149">
        <v>3</v>
      </c>
      <c r="L5149">
        <v>2.7130000000000001</v>
      </c>
      <c r="M5149">
        <v>0</v>
      </c>
      <c r="N5149" t="s">
        <v>10019</v>
      </c>
      <c r="O5149" t="str">
        <f>HYPERLINK("Solo2\marker_384_965769.png", "Ver Imagen")</f>
        <v>Ver Imagen</v>
      </c>
      <c r="P5149" t="str">
        <f>HYPERLINK("SO\A-5053\A-5053__212.png", "Ver Imagen")</f>
        <v>Ver Imagen</v>
      </c>
    </row>
    <row r="5150" spans="1:16" x14ac:dyDescent="0.25">
      <c r="A5150">
        <v>4839</v>
      </c>
      <c r="B5150" t="s">
        <v>9683</v>
      </c>
      <c r="C5150">
        <v>37.260541391799997</v>
      </c>
      <c r="D5150">
        <v>-7.1293228109499998</v>
      </c>
      <c r="F5150">
        <v>2</v>
      </c>
      <c r="G5150">
        <v>2</v>
      </c>
      <c r="H5150">
        <v>3</v>
      </c>
      <c r="I5150">
        <v>3</v>
      </c>
      <c r="J5150" t="s">
        <v>8005</v>
      </c>
      <c r="K5150">
        <v>2.5</v>
      </c>
      <c r="L5150">
        <v>1.966</v>
      </c>
      <c r="M5150">
        <v>0</v>
      </c>
      <c r="N5150" t="s">
        <v>10019</v>
      </c>
      <c r="O5150" t="str">
        <f>HYPERLINK("Solo2\marker_750_965779.png", "Ver Imagen")</f>
        <v>Ver Imagen</v>
      </c>
      <c r="P5150" t="str">
        <f>HYPERLINK("SO\A-5053\A-5053__211.png", "Ver Imagen")</f>
        <v>Ver Imagen</v>
      </c>
    </row>
    <row r="5151" spans="1:16" x14ac:dyDescent="0.25">
      <c r="A5151">
        <v>4840</v>
      </c>
      <c r="B5151" t="s">
        <v>9685</v>
      </c>
      <c r="C5151">
        <v>37.253531824100001</v>
      </c>
      <c r="D5151">
        <v>-7.1267444948299996</v>
      </c>
      <c r="E5151">
        <v>2</v>
      </c>
      <c r="F5151">
        <v>2</v>
      </c>
      <c r="H5151">
        <v>2</v>
      </c>
      <c r="I5151">
        <v>2</v>
      </c>
      <c r="J5151" t="s">
        <v>8005</v>
      </c>
      <c r="K5151">
        <v>2</v>
      </c>
      <c r="L5151">
        <v>2.218</v>
      </c>
      <c r="M5151">
        <v>0</v>
      </c>
      <c r="N5151" t="s">
        <v>10018</v>
      </c>
      <c r="O5151" t="str">
        <f>HYPERLINK("Solo2\marker_843_966152.png", "Ver Imagen")</f>
        <v>Ver Imagen</v>
      </c>
      <c r="P5151" t="str">
        <f>HYPERLINK("SO\A-5053\A-5053__174.png", "Ver Imagen")</f>
        <v>Ver Imagen</v>
      </c>
    </row>
    <row r="5152" spans="1:16" x14ac:dyDescent="0.25">
      <c r="A5152">
        <v>4841</v>
      </c>
      <c r="B5152" t="s">
        <v>9687</v>
      </c>
      <c r="C5152">
        <v>37.224624007199999</v>
      </c>
      <c r="D5152">
        <v>-7.0374968125999997</v>
      </c>
      <c r="E5152">
        <v>2</v>
      </c>
      <c r="F5152">
        <v>2</v>
      </c>
      <c r="H5152">
        <v>2</v>
      </c>
      <c r="I5152">
        <v>2</v>
      </c>
      <c r="J5152" t="s">
        <v>8005</v>
      </c>
      <c r="K5152">
        <v>2</v>
      </c>
      <c r="L5152">
        <v>2.0830000000000002</v>
      </c>
      <c r="M5152">
        <v>0</v>
      </c>
      <c r="N5152" t="s">
        <v>10019</v>
      </c>
      <c r="O5152" t="str">
        <f>HYPERLINK("Solo2\marker_185_380325.png", "Ver Imagen")</f>
        <v>Ver Imagen</v>
      </c>
      <c r="P5152" t="str">
        <f>HYPERLINK("SE\A-5058\A-5058__42.png", "Ver Imagen")</f>
        <v>Ver Imagen</v>
      </c>
    </row>
    <row r="5153" spans="1:16" x14ac:dyDescent="0.25">
      <c r="A5153">
        <v>4842</v>
      </c>
      <c r="B5153" t="s">
        <v>9689</v>
      </c>
      <c r="C5153">
        <v>37.498794250000003</v>
      </c>
      <c r="D5153">
        <v>-7.2675144115999997</v>
      </c>
      <c r="E5153">
        <v>2</v>
      </c>
      <c r="F5153">
        <v>2</v>
      </c>
      <c r="H5153">
        <v>2</v>
      </c>
      <c r="I5153">
        <v>1</v>
      </c>
      <c r="J5153" t="s">
        <v>8005</v>
      </c>
      <c r="K5153">
        <v>2</v>
      </c>
      <c r="L5153">
        <v>1.9430000000000001</v>
      </c>
      <c r="M5153">
        <v>0</v>
      </c>
      <c r="N5153" t="s">
        <v>10019</v>
      </c>
      <c r="O5153" t="str">
        <f>HYPERLINK("Solo2\marker_474_793233.png", "Ver Imagen")</f>
        <v>Ver Imagen</v>
      </c>
      <c r="P5153" t="str">
        <f>HYPERLINK("NO\A-499\A-499__100.png", "Ver Imagen")</f>
        <v>Ver Imagen</v>
      </c>
    </row>
    <row r="5154" spans="1:16" x14ac:dyDescent="0.25">
      <c r="A5154">
        <v>4843</v>
      </c>
      <c r="B5154" t="s">
        <v>9691</v>
      </c>
      <c r="C5154">
        <v>37.465215922299997</v>
      </c>
      <c r="D5154">
        <v>-7.1217571882600001</v>
      </c>
      <c r="E5154">
        <v>3</v>
      </c>
      <c r="F5154">
        <v>3</v>
      </c>
      <c r="H5154">
        <v>2</v>
      </c>
      <c r="I5154">
        <v>4</v>
      </c>
      <c r="J5154" t="s">
        <v>8005</v>
      </c>
      <c r="K5154">
        <v>3</v>
      </c>
      <c r="L5154">
        <v>2.927</v>
      </c>
      <c r="M5154">
        <v>0</v>
      </c>
      <c r="N5154" t="s">
        <v>10019</v>
      </c>
      <c r="O5154" t="str">
        <f>HYPERLINK("Solo2\marker_933_895406.png", "Ver Imagen")</f>
        <v>Ver Imagen</v>
      </c>
      <c r="P5154" t="str">
        <f>HYPERLINK("NE\A-495R\A-495R__118.png", "Ver Imagen")</f>
        <v>Ver Imagen</v>
      </c>
    </row>
    <row r="5155" spans="1:16" x14ac:dyDescent="0.25">
      <c r="A5155">
        <v>4844</v>
      </c>
      <c r="B5155" t="s">
        <v>9693</v>
      </c>
      <c r="C5155">
        <v>37.266804376300001</v>
      </c>
      <c r="D5155">
        <v>-6.9572794459200002</v>
      </c>
      <c r="E5155">
        <v>3</v>
      </c>
      <c r="F5155">
        <v>2</v>
      </c>
      <c r="H5155">
        <v>2</v>
      </c>
      <c r="I5155">
        <v>2</v>
      </c>
      <c r="J5155" t="s">
        <v>8005</v>
      </c>
      <c r="K5155">
        <v>2</v>
      </c>
      <c r="L5155">
        <v>2.0209999999999999</v>
      </c>
      <c r="M5155">
        <v>0</v>
      </c>
      <c r="N5155" t="s">
        <v>10019</v>
      </c>
      <c r="O5155" t="str">
        <f>HYPERLINK("Solo2\marker_478_944027.png", "Ver Imagen")</f>
        <v>Ver Imagen</v>
      </c>
      <c r="P5155" t="str">
        <f>HYPERLINK("SE\A-497\A-497__5.png", "Ver Imagen")</f>
        <v>Ver Imagen</v>
      </c>
    </row>
    <row r="5156" spans="1:16" x14ac:dyDescent="0.25">
      <c r="A5156">
        <v>4845</v>
      </c>
      <c r="B5156" t="s">
        <v>9695</v>
      </c>
      <c r="C5156">
        <v>37.270868372499997</v>
      </c>
      <c r="D5156">
        <v>-7.1402027265400001</v>
      </c>
      <c r="F5156">
        <v>4</v>
      </c>
      <c r="G5156">
        <v>3</v>
      </c>
      <c r="H5156">
        <v>3</v>
      </c>
      <c r="I5156">
        <v>4</v>
      </c>
      <c r="J5156" t="s">
        <v>8005</v>
      </c>
      <c r="K5156">
        <v>3.5</v>
      </c>
      <c r="L5156">
        <v>3.69</v>
      </c>
      <c r="M5156">
        <v>0</v>
      </c>
      <c r="N5156" t="s">
        <v>10019</v>
      </c>
      <c r="O5156" t="str">
        <f>HYPERLINK("Solo2\marker_903_965049.png", "Ver Imagen")</f>
        <v>Ver Imagen</v>
      </c>
      <c r="P5156" t="str">
        <f>HYPERLINK("SO\A-5053\A-5053__281.png", "Ver Imagen")</f>
        <v>Ver Imagen</v>
      </c>
    </row>
    <row r="5157" spans="1:16" x14ac:dyDescent="0.25">
      <c r="A5157">
        <v>4847</v>
      </c>
      <c r="B5157" t="s">
        <v>9699</v>
      </c>
      <c r="C5157">
        <v>37.451188428099996</v>
      </c>
      <c r="D5157">
        <v>-7.1544858362900001</v>
      </c>
      <c r="F5157">
        <v>4</v>
      </c>
      <c r="G5157">
        <v>4</v>
      </c>
      <c r="H5157">
        <v>4</v>
      </c>
      <c r="I5157">
        <v>5</v>
      </c>
      <c r="J5157" t="s">
        <v>8005</v>
      </c>
      <c r="K5157">
        <v>4</v>
      </c>
      <c r="L5157">
        <v>3.7360000000000002</v>
      </c>
      <c r="M5157">
        <v>0</v>
      </c>
      <c r="N5157" t="s">
        <v>10019</v>
      </c>
      <c r="O5157" t="str">
        <f>HYPERLINK("Solo2\marker_320_739948.png", "Ver Imagen")</f>
        <v>Ver Imagen</v>
      </c>
      <c r="P5157" t="str">
        <f>HYPERLINK("NE\A-490\A-490__118.png", "Ver Imagen")</f>
        <v>Ver Imagen</v>
      </c>
    </row>
    <row r="5158" spans="1:16" x14ac:dyDescent="0.25">
      <c r="A5158">
        <v>4848</v>
      </c>
      <c r="B5158" t="s">
        <v>9701</v>
      </c>
      <c r="C5158">
        <v>37.448751140200002</v>
      </c>
      <c r="D5158">
        <v>-7.1484957535199998</v>
      </c>
      <c r="E5158">
        <v>2</v>
      </c>
      <c r="F5158">
        <v>4</v>
      </c>
      <c r="H5158">
        <v>3</v>
      </c>
      <c r="I5158">
        <v>3</v>
      </c>
      <c r="J5158" t="s">
        <v>8005</v>
      </c>
      <c r="K5158">
        <v>3</v>
      </c>
      <c r="L5158">
        <v>2.8490000000000002</v>
      </c>
      <c r="M5158">
        <v>0</v>
      </c>
      <c r="N5158" t="s">
        <v>10019</v>
      </c>
      <c r="O5158" t="str">
        <f>HYPERLINK("Solo2\marker_132_738995.png", "Ver Imagen")</f>
        <v>Ver Imagen</v>
      </c>
      <c r="P5158" t="str">
        <f>HYPERLINK("NE\A-490\A-490__91.png", "Ver Imagen")</f>
        <v>Ver Imagen</v>
      </c>
    </row>
    <row r="5159" spans="1:16" x14ac:dyDescent="0.25">
      <c r="A5159">
        <v>4849</v>
      </c>
      <c r="B5159" t="s">
        <v>9703</v>
      </c>
      <c r="C5159">
        <v>37.451313319400001</v>
      </c>
      <c r="D5159">
        <v>-7.1550442096899998</v>
      </c>
      <c r="E5159">
        <v>2</v>
      </c>
      <c r="F5159">
        <v>3</v>
      </c>
      <c r="H5159">
        <v>4</v>
      </c>
      <c r="I5159">
        <v>4</v>
      </c>
      <c r="J5159" t="s">
        <v>8005</v>
      </c>
      <c r="K5159">
        <v>3.5</v>
      </c>
      <c r="L5159">
        <v>3.5409999999999999</v>
      </c>
      <c r="M5159">
        <v>0</v>
      </c>
      <c r="N5159" t="s">
        <v>10019</v>
      </c>
      <c r="O5159" t="str">
        <f>HYPERLINK("Solo2\marker_114_740016.png", "Ver Imagen")</f>
        <v>Ver Imagen</v>
      </c>
      <c r="P5159" t="str">
        <f>HYPERLINK("NE\A-490\A-490__120.png", "Ver Imagen")</f>
        <v>Ver Imagen</v>
      </c>
    </row>
    <row r="5160" spans="1:16" x14ac:dyDescent="0.25">
      <c r="A5160">
        <v>4850</v>
      </c>
      <c r="B5160" t="s">
        <v>9705</v>
      </c>
      <c r="C5160">
        <v>37.471901990299997</v>
      </c>
      <c r="D5160">
        <v>-7.1930247089700003</v>
      </c>
      <c r="E5160">
        <v>1</v>
      </c>
      <c r="F5160">
        <v>2</v>
      </c>
      <c r="H5160">
        <v>2</v>
      </c>
      <c r="I5160">
        <v>1</v>
      </c>
      <c r="J5160" t="s">
        <v>8005</v>
      </c>
      <c r="K5160">
        <v>1.5</v>
      </c>
      <c r="L5160">
        <v>1.601</v>
      </c>
      <c r="M5160">
        <v>0</v>
      </c>
      <c r="N5160" t="s">
        <v>10018</v>
      </c>
      <c r="O5160" t="str">
        <f>HYPERLINK("Solo2\marker_894_750623.png", "Ver Imagen")</f>
        <v>Ver Imagen</v>
      </c>
      <c r="P5160" t="str">
        <f>HYPERLINK("NE\A-490\A-490__303.png", "Ver Imagen")</f>
        <v>Ver Imagen</v>
      </c>
    </row>
    <row r="5161" spans="1:16" x14ac:dyDescent="0.25">
      <c r="A5161">
        <v>4850</v>
      </c>
      <c r="B5161" t="s">
        <v>9705</v>
      </c>
      <c r="C5161">
        <v>37.471901990299997</v>
      </c>
      <c r="D5161">
        <v>-7.1930247089700003</v>
      </c>
      <c r="E5161">
        <v>1</v>
      </c>
      <c r="F5161">
        <v>2</v>
      </c>
      <c r="H5161">
        <v>2</v>
      </c>
      <c r="I5161">
        <v>1</v>
      </c>
      <c r="J5161" t="s">
        <v>8005</v>
      </c>
      <c r="K5161">
        <v>1.5</v>
      </c>
      <c r="L5161">
        <v>1.726</v>
      </c>
      <c r="M5161">
        <v>0</v>
      </c>
      <c r="N5161" t="s">
        <v>10018</v>
      </c>
      <c r="O5161" t="str">
        <f>HYPERLINK("Solo2\marker_894_750623.png", "Ver Imagen")</f>
        <v>Ver Imagen</v>
      </c>
      <c r="P5161" t="str">
        <f>HYPERLINK("NO\A-490\A-490__303.png", "Ver Imagen")</f>
        <v>Ver Imagen</v>
      </c>
    </row>
    <row r="5162" spans="1:16" x14ac:dyDescent="0.25">
      <c r="A5162">
        <v>4851</v>
      </c>
      <c r="B5162" t="s">
        <v>9707</v>
      </c>
      <c r="C5162">
        <v>37.471983010400002</v>
      </c>
      <c r="D5162">
        <v>-7.1931602365599998</v>
      </c>
      <c r="E5162">
        <v>2</v>
      </c>
      <c r="F5162">
        <v>4</v>
      </c>
      <c r="H5162">
        <v>3</v>
      </c>
      <c r="I5162">
        <v>3</v>
      </c>
      <c r="J5162" t="s">
        <v>8005</v>
      </c>
      <c r="K5162">
        <v>3</v>
      </c>
      <c r="L5162">
        <v>2.653</v>
      </c>
      <c r="M5162">
        <v>0</v>
      </c>
      <c r="N5162" t="s">
        <v>10019</v>
      </c>
      <c r="O5162" t="str">
        <f>HYPERLINK("Solo2\marker_904_750639.png", "Ver Imagen")</f>
        <v>Ver Imagen</v>
      </c>
      <c r="P5162" t="str">
        <f>HYPERLINK("NE\A-490\A-490__304.png", "Ver Imagen")</f>
        <v>Ver Imagen</v>
      </c>
    </row>
    <row r="5163" spans="1:16" x14ac:dyDescent="0.25">
      <c r="A5163">
        <v>4852</v>
      </c>
      <c r="B5163" t="s">
        <v>9709</v>
      </c>
      <c r="C5163">
        <v>37.4755227156</v>
      </c>
      <c r="D5163">
        <v>-7.1999458964900001</v>
      </c>
      <c r="E5163">
        <v>1</v>
      </c>
      <c r="F5163">
        <v>3</v>
      </c>
      <c r="H5163">
        <v>3</v>
      </c>
      <c r="I5163">
        <v>3</v>
      </c>
      <c r="J5163" t="s">
        <v>8005</v>
      </c>
      <c r="K5163">
        <v>3</v>
      </c>
      <c r="L5163">
        <v>3.157</v>
      </c>
      <c r="M5163">
        <v>0</v>
      </c>
      <c r="N5163" t="s">
        <v>10019</v>
      </c>
      <c r="O5163" t="str">
        <f>HYPERLINK("Solo2\marker_903_751408.png", "Ver Imagen")</f>
        <v>Ver Imagen</v>
      </c>
      <c r="P5163" t="str">
        <f>HYPERLINK("NE\A-490\A-490__336.png", "Ver Imagen")</f>
        <v>Ver Imagen</v>
      </c>
    </row>
    <row r="5164" spans="1:16" x14ac:dyDescent="0.25">
      <c r="A5164">
        <v>4853</v>
      </c>
      <c r="B5164" t="s">
        <v>9711</v>
      </c>
      <c r="C5164">
        <v>37.460513194100002</v>
      </c>
      <c r="D5164">
        <v>-7.17267898329</v>
      </c>
      <c r="F5164">
        <v>3</v>
      </c>
      <c r="G5164">
        <v>2</v>
      </c>
      <c r="H5164">
        <v>3</v>
      </c>
      <c r="I5164">
        <v>3</v>
      </c>
      <c r="J5164" t="s">
        <v>8005</v>
      </c>
      <c r="K5164">
        <v>3</v>
      </c>
      <c r="L5164">
        <v>3.1</v>
      </c>
      <c r="M5164">
        <v>0</v>
      </c>
      <c r="N5164" t="s">
        <v>10019</v>
      </c>
      <c r="O5164" t="str">
        <f>HYPERLINK("Solo2\marker_158_742483.png", "Ver Imagen")</f>
        <v>Ver Imagen</v>
      </c>
      <c r="P5164" t="str">
        <f>HYPERLINK("NE\A-490\A-490__205.png", "Ver Imagen")</f>
        <v>Ver Imagen</v>
      </c>
    </row>
    <row r="5165" spans="1:16" x14ac:dyDescent="0.25">
      <c r="A5165">
        <v>4854</v>
      </c>
      <c r="B5165" t="s">
        <v>9713</v>
      </c>
      <c r="C5165">
        <v>37.468088832500001</v>
      </c>
      <c r="D5165">
        <v>-7.1861372640800001</v>
      </c>
      <c r="E5165">
        <v>1</v>
      </c>
      <c r="F5165">
        <v>3</v>
      </c>
      <c r="H5165">
        <v>2</v>
      </c>
      <c r="I5165">
        <v>1</v>
      </c>
      <c r="J5165" t="s">
        <v>8005</v>
      </c>
      <c r="K5165">
        <v>1.5</v>
      </c>
      <c r="L5165">
        <v>1.7529999999999999</v>
      </c>
      <c r="M5165">
        <v>0</v>
      </c>
      <c r="N5165" t="s">
        <v>10018</v>
      </c>
      <c r="O5165" t="str">
        <f>HYPERLINK("Solo2\marker_868_749899.png", "Ver Imagen")</f>
        <v>Ver Imagen</v>
      </c>
      <c r="P5165" t="str">
        <f>HYPERLINK("NE\A-490\A-490__270.png", "Ver Imagen")</f>
        <v>Ver Imagen</v>
      </c>
    </row>
    <row r="5166" spans="1:16" x14ac:dyDescent="0.25">
      <c r="A5166">
        <v>4854</v>
      </c>
      <c r="B5166" t="s">
        <v>9713</v>
      </c>
      <c r="C5166">
        <v>37.468088832500001</v>
      </c>
      <c r="D5166">
        <v>-7.1861372640800001</v>
      </c>
      <c r="E5166">
        <v>1</v>
      </c>
      <c r="F5166">
        <v>3</v>
      </c>
      <c r="H5166">
        <v>2</v>
      </c>
      <c r="I5166">
        <v>1</v>
      </c>
      <c r="J5166" t="s">
        <v>8005</v>
      </c>
      <c r="K5166">
        <v>1.5</v>
      </c>
      <c r="L5166">
        <v>1.8879999999999999</v>
      </c>
      <c r="M5166">
        <v>0</v>
      </c>
      <c r="N5166" t="s">
        <v>10018</v>
      </c>
      <c r="O5166" t="str">
        <f>HYPERLINK("Solo2\marker_868_749899.png", "Ver Imagen")</f>
        <v>Ver Imagen</v>
      </c>
      <c r="P5166" t="str">
        <f>HYPERLINK("NO\A-490\A-490__270.png", "Ver Imagen")</f>
        <v>Ver Imagen</v>
      </c>
    </row>
    <row r="5167" spans="1:16" x14ac:dyDescent="0.25">
      <c r="A5167">
        <v>4855</v>
      </c>
      <c r="B5167" t="s">
        <v>9715</v>
      </c>
      <c r="C5167">
        <v>37.468214177500002</v>
      </c>
      <c r="D5167">
        <v>-7.1863714814100002</v>
      </c>
      <c r="E5167">
        <v>1</v>
      </c>
      <c r="F5167">
        <v>3</v>
      </c>
      <c r="H5167">
        <v>2</v>
      </c>
      <c r="I5167">
        <v>2</v>
      </c>
      <c r="J5167" t="s">
        <v>8005</v>
      </c>
      <c r="K5167">
        <v>2</v>
      </c>
      <c r="L5167">
        <v>1.8759999999999999</v>
      </c>
      <c r="M5167">
        <v>0</v>
      </c>
      <c r="N5167" t="s">
        <v>10019</v>
      </c>
      <c r="O5167" t="str">
        <f>HYPERLINK("Solo2\marker_276_749922.png", "Ver Imagen")</f>
        <v>Ver Imagen</v>
      </c>
      <c r="P5167" t="str">
        <f>HYPERLINK("NE\A-490\A-490__271.png", "Ver Imagen")</f>
        <v>Ver Imagen</v>
      </c>
    </row>
    <row r="5168" spans="1:16" x14ac:dyDescent="0.25">
      <c r="A5168">
        <v>4855</v>
      </c>
      <c r="B5168" t="s">
        <v>9715</v>
      </c>
      <c r="C5168">
        <v>37.468214177500002</v>
      </c>
      <c r="D5168">
        <v>-7.1863714814100002</v>
      </c>
      <c r="E5168">
        <v>1</v>
      </c>
      <c r="F5168">
        <v>3</v>
      </c>
      <c r="H5168">
        <v>2</v>
      </c>
      <c r="I5168">
        <v>2</v>
      </c>
      <c r="J5168" t="s">
        <v>8005</v>
      </c>
      <c r="K5168">
        <v>2</v>
      </c>
      <c r="L5168">
        <v>1.974</v>
      </c>
      <c r="M5168">
        <v>0</v>
      </c>
      <c r="N5168" t="s">
        <v>10019</v>
      </c>
      <c r="O5168" t="str">
        <f>HYPERLINK("Solo2\marker_276_749922.png", "Ver Imagen")</f>
        <v>Ver Imagen</v>
      </c>
      <c r="P5168" t="str">
        <f>HYPERLINK("NO\A-490\A-490__271.png", "Ver Imagen")</f>
        <v>Ver Imagen</v>
      </c>
    </row>
    <row r="5169" spans="1:16" x14ac:dyDescent="0.25">
      <c r="A5169">
        <v>4856</v>
      </c>
      <c r="B5169" t="s">
        <v>9717</v>
      </c>
      <c r="C5169">
        <v>37.468330010599999</v>
      </c>
      <c r="D5169">
        <v>-7.1865873678699996</v>
      </c>
      <c r="E5169">
        <v>1</v>
      </c>
      <c r="F5169">
        <v>3</v>
      </c>
      <c r="H5169">
        <v>1</v>
      </c>
      <c r="I5169">
        <v>2</v>
      </c>
      <c r="J5169" t="s">
        <v>8005</v>
      </c>
      <c r="K5169">
        <v>1.5</v>
      </c>
      <c r="L5169">
        <v>1.859</v>
      </c>
      <c r="M5169">
        <v>0</v>
      </c>
      <c r="N5169" t="s">
        <v>10019</v>
      </c>
      <c r="O5169" t="str">
        <f>HYPERLINK("Solo2\marker_808_749944.png", "Ver Imagen")</f>
        <v>Ver Imagen</v>
      </c>
      <c r="P5169" t="str">
        <f>HYPERLINK("NE\A-490\A-490__272.png", "Ver Imagen")</f>
        <v>Ver Imagen</v>
      </c>
    </row>
    <row r="5170" spans="1:16" x14ac:dyDescent="0.25">
      <c r="A5170">
        <v>4856</v>
      </c>
      <c r="B5170" t="s">
        <v>9717</v>
      </c>
      <c r="C5170">
        <v>37.468330010599999</v>
      </c>
      <c r="D5170">
        <v>-7.1865873678699996</v>
      </c>
      <c r="E5170">
        <v>1</v>
      </c>
      <c r="F5170">
        <v>3</v>
      </c>
      <c r="H5170">
        <v>1</v>
      </c>
      <c r="I5170">
        <v>2</v>
      </c>
      <c r="J5170" t="s">
        <v>8005</v>
      </c>
      <c r="K5170">
        <v>1.5</v>
      </c>
      <c r="L5170">
        <v>1.944</v>
      </c>
      <c r="M5170">
        <v>0</v>
      </c>
      <c r="N5170" t="s">
        <v>10019</v>
      </c>
      <c r="O5170" t="str">
        <f>HYPERLINK("Solo2\marker_808_749944.png", "Ver Imagen")</f>
        <v>Ver Imagen</v>
      </c>
      <c r="P5170" t="str">
        <f>HYPERLINK("NO\A-490\A-490__272.png", "Ver Imagen")</f>
        <v>Ver Imagen</v>
      </c>
    </row>
    <row r="5171" spans="1:16" x14ac:dyDescent="0.25">
      <c r="A5171">
        <v>4857</v>
      </c>
      <c r="B5171" t="s">
        <v>9719</v>
      </c>
      <c r="C5171">
        <v>37.4684597786</v>
      </c>
      <c r="D5171">
        <v>-7.1868260913200004</v>
      </c>
      <c r="E5171">
        <v>1</v>
      </c>
      <c r="F5171">
        <v>2</v>
      </c>
      <c r="H5171">
        <v>2</v>
      </c>
      <c r="I5171">
        <v>1</v>
      </c>
      <c r="J5171" t="s">
        <v>8005</v>
      </c>
      <c r="K5171">
        <v>1.5</v>
      </c>
      <c r="L5171">
        <v>1.857</v>
      </c>
      <c r="M5171">
        <v>0</v>
      </c>
      <c r="N5171" t="s">
        <v>10019</v>
      </c>
      <c r="O5171" t="str">
        <f>HYPERLINK("Solo2\marker_284_749969.png", "Ver Imagen")</f>
        <v>Ver Imagen</v>
      </c>
      <c r="P5171" t="str">
        <f>HYPERLINK("NE\A-490\A-490__273.png", "Ver Imagen")</f>
        <v>Ver Imagen</v>
      </c>
    </row>
    <row r="5172" spans="1:16" x14ac:dyDescent="0.25">
      <c r="A5172">
        <v>4857</v>
      </c>
      <c r="B5172" t="s">
        <v>9719</v>
      </c>
      <c r="C5172">
        <v>37.4684597786</v>
      </c>
      <c r="D5172">
        <v>-7.1868260913200004</v>
      </c>
      <c r="E5172">
        <v>1</v>
      </c>
      <c r="F5172">
        <v>2</v>
      </c>
      <c r="H5172">
        <v>2</v>
      </c>
      <c r="I5172">
        <v>1</v>
      </c>
      <c r="J5172" t="s">
        <v>8005</v>
      </c>
      <c r="K5172">
        <v>1.5</v>
      </c>
      <c r="L5172">
        <v>1.79</v>
      </c>
      <c r="M5172">
        <v>0</v>
      </c>
      <c r="N5172" t="s">
        <v>10019</v>
      </c>
      <c r="O5172" t="str">
        <f>HYPERLINK("Solo2\marker_284_749969.png", "Ver Imagen")</f>
        <v>Ver Imagen</v>
      </c>
      <c r="P5172" t="str">
        <f>HYPERLINK("NO\A-490\A-490__273.png", "Ver Imagen")</f>
        <v>Ver Imagen</v>
      </c>
    </row>
    <row r="5173" spans="1:16" x14ac:dyDescent="0.25">
      <c r="A5173">
        <v>4858</v>
      </c>
      <c r="B5173" t="s">
        <v>9721</v>
      </c>
      <c r="C5173">
        <v>37.468554729700003</v>
      </c>
      <c r="D5173">
        <v>-7.1869994025599997</v>
      </c>
      <c r="E5173">
        <v>1</v>
      </c>
      <c r="F5173">
        <v>3</v>
      </c>
      <c r="H5173">
        <v>1</v>
      </c>
      <c r="I5173">
        <v>1</v>
      </c>
      <c r="J5173" t="s">
        <v>8005</v>
      </c>
      <c r="K5173">
        <v>1</v>
      </c>
      <c r="L5173">
        <v>1.196</v>
      </c>
      <c r="M5173">
        <v>0</v>
      </c>
      <c r="N5173" t="s">
        <v>10019</v>
      </c>
      <c r="O5173" t="str">
        <f>HYPERLINK("Solo2\marker_377_749984.png", "Ver Imagen")</f>
        <v>Ver Imagen</v>
      </c>
      <c r="P5173" t="str">
        <f>HYPERLINK("NE\A-490\A-490__274.png", "Ver Imagen")</f>
        <v>Ver Imagen</v>
      </c>
    </row>
    <row r="5174" spans="1:16" x14ac:dyDescent="0.25">
      <c r="A5174">
        <v>4858</v>
      </c>
      <c r="B5174" t="s">
        <v>9721</v>
      </c>
      <c r="C5174">
        <v>37.468554729700003</v>
      </c>
      <c r="D5174">
        <v>-7.1869994025599997</v>
      </c>
      <c r="E5174">
        <v>1</v>
      </c>
      <c r="F5174">
        <v>3</v>
      </c>
      <c r="H5174">
        <v>1</v>
      </c>
      <c r="I5174">
        <v>1</v>
      </c>
      <c r="J5174" t="s">
        <v>8005</v>
      </c>
      <c r="K5174">
        <v>1</v>
      </c>
      <c r="L5174">
        <v>1.24</v>
      </c>
      <c r="M5174">
        <v>0</v>
      </c>
      <c r="N5174" t="s">
        <v>10019</v>
      </c>
      <c r="O5174" t="str">
        <f>HYPERLINK("Solo2\marker_377_749984.png", "Ver Imagen")</f>
        <v>Ver Imagen</v>
      </c>
      <c r="P5174" t="str">
        <f>HYPERLINK("NO\A-490\A-490__274.png", "Ver Imagen")</f>
        <v>Ver Imagen</v>
      </c>
    </row>
    <row r="5175" spans="1:16" x14ac:dyDescent="0.25">
      <c r="A5175">
        <v>4859</v>
      </c>
      <c r="B5175" t="s">
        <v>9723</v>
      </c>
      <c r="C5175">
        <v>37.468650296</v>
      </c>
      <c r="D5175">
        <v>-7.1871739509700001</v>
      </c>
      <c r="E5175">
        <v>1</v>
      </c>
      <c r="F5175">
        <v>2</v>
      </c>
      <c r="H5175">
        <v>1</v>
      </c>
      <c r="I5175">
        <v>1</v>
      </c>
      <c r="J5175" t="s">
        <v>8005</v>
      </c>
      <c r="K5175">
        <v>1</v>
      </c>
      <c r="L5175">
        <v>1.1919999999999999</v>
      </c>
      <c r="M5175">
        <v>0</v>
      </c>
      <c r="N5175" t="s">
        <v>10017</v>
      </c>
      <c r="O5175" t="str">
        <f>HYPERLINK("Solo2\marker_978_750010.png", "Ver Imagen")</f>
        <v>Ver Imagen</v>
      </c>
      <c r="P5175" t="str">
        <f>HYPERLINK("NE\A-490\A-490__275.png", "Ver Imagen")</f>
        <v>Ver Imagen</v>
      </c>
    </row>
    <row r="5176" spans="1:16" x14ac:dyDescent="0.25">
      <c r="A5176">
        <v>4860</v>
      </c>
      <c r="B5176" t="s">
        <v>9725</v>
      </c>
      <c r="C5176">
        <v>37.468739917199997</v>
      </c>
      <c r="D5176">
        <v>-7.1873380062200001</v>
      </c>
      <c r="E5176">
        <v>1</v>
      </c>
      <c r="F5176">
        <v>3</v>
      </c>
      <c r="H5176">
        <v>2</v>
      </c>
      <c r="I5176">
        <v>2</v>
      </c>
      <c r="J5176" t="s">
        <v>8005</v>
      </c>
      <c r="K5176">
        <v>2</v>
      </c>
      <c r="L5176">
        <v>1.9850000000000001</v>
      </c>
      <c r="M5176">
        <v>0</v>
      </c>
      <c r="N5176" t="s">
        <v>10019</v>
      </c>
      <c r="O5176" t="str">
        <f>HYPERLINK("Solo2\marker_383_750024.png", "Ver Imagen")</f>
        <v>Ver Imagen</v>
      </c>
      <c r="P5176" t="str">
        <f>HYPERLINK("NE\A-490\A-490__276.png", "Ver Imagen")</f>
        <v>Ver Imagen</v>
      </c>
    </row>
    <row r="5177" spans="1:16" x14ac:dyDescent="0.25">
      <c r="A5177">
        <v>4860</v>
      </c>
      <c r="B5177" t="s">
        <v>9725</v>
      </c>
      <c r="C5177">
        <v>37.468739917199997</v>
      </c>
      <c r="D5177">
        <v>-7.1873380062200001</v>
      </c>
      <c r="E5177">
        <v>1</v>
      </c>
      <c r="F5177">
        <v>3</v>
      </c>
      <c r="H5177">
        <v>2</v>
      </c>
      <c r="I5177">
        <v>2</v>
      </c>
      <c r="J5177" t="s">
        <v>8005</v>
      </c>
      <c r="K5177">
        <v>2</v>
      </c>
      <c r="L5177">
        <v>1.948</v>
      </c>
      <c r="M5177">
        <v>0</v>
      </c>
      <c r="N5177" t="s">
        <v>10019</v>
      </c>
      <c r="O5177" t="str">
        <f>HYPERLINK("Solo2\marker_383_750024.png", "Ver Imagen")</f>
        <v>Ver Imagen</v>
      </c>
      <c r="P5177" t="str">
        <f>HYPERLINK("NO\A-490\A-490__276.png", "Ver Imagen")</f>
        <v>Ver Imagen</v>
      </c>
    </row>
    <row r="5178" spans="1:16" x14ac:dyDescent="0.25">
      <c r="A5178">
        <v>4862</v>
      </c>
      <c r="B5178" t="s">
        <v>9729</v>
      </c>
      <c r="C5178">
        <v>37.469005185900002</v>
      </c>
      <c r="D5178">
        <v>-7.1878256236300002</v>
      </c>
      <c r="E5178">
        <v>1</v>
      </c>
      <c r="F5178">
        <v>2</v>
      </c>
      <c r="H5178">
        <v>2</v>
      </c>
      <c r="I5178">
        <v>2</v>
      </c>
      <c r="J5178" t="s">
        <v>8005</v>
      </c>
      <c r="K5178">
        <v>2</v>
      </c>
      <c r="L5178">
        <v>1.9810000000000001</v>
      </c>
      <c r="M5178">
        <v>0</v>
      </c>
      <c r="N5178" t="s">
        <v>10019</v>
      </c>
      <c r="O5178" t="str">
        <f>HYPERLINK("Solo2\marker_577_750067.png", "Ver Imagen")</f>
        <v>Ver Imagen</v>
      </c>
      <c r="P5178" t="str">
        <f>HYPERLINK("NE\A-490\A-490__278.png", "Ver Imagen")</f>
        <v>Ver Imagen</v>
      </c>
    </row>
    <row r="5179" spans="1:16" x14ac:dyDescent="0.25">
      <c r="A5179">
        <v>4862</v>
      </c>
      <c r="B5179" t="s">
        <v>9729</v>
      </c>
      <c r="C5179">
        <v>37.469005185900002</v>
      </c>
      <c r="D5179">
        <v>-7.1878256236300002</v>
      </c>
      <c r="E5179">
        <v>1</v>
      </c>
      <c r="F5179">
        <v>2</v>
      </c>
      <c r="H5179">
        <v>2</v>
      </c>
      <c r="I5179">
        <v>2</v>
      </c>
      <c r="J5179" t="s">
        <v>8005</v>
      </c>
      <c r="K5179">
        <v>2</v>
      </c>
      <c r="L5179">
        <v>2.153</v>
      </c>
      <c r="M5179">
        <v>0</v>
      </c>
      <c r="N5179" t="s">
        <v>10019</v>
      </c>
      <c r="O5179" t="str">
        <f>HYPERLINK("Solo2\marker_577_750067.png", "Ver Imagen")</f>
        <v>Ver Imagen</v>
      </c>
      <c r="P5179" t="str">
        <f>HYPERLINK("NO\A-490\A-490__278.png", "Ver Imagen")</f>
        <v>Ver Imagen</v>
      </c>
    </row>
    <row r="5180" spans="1:16" x14ac:dyDescent="0.25">
      <c r="A5180">
        <v>4863</v>
      </c>
      <c r="B5180" t="s">
        <v>9731</v>
      </c>
      <c r="C5180">
        <v>37.469134721400003</v>
      </c>
      <c r="D5180">
        <v>-7.1880656913800003</v>
      </c>
      <c r="E5180">
        <v>1</v>
      </c>
      <c r="F5180">
        <v>2</v>
      </c>
      <c r="H5180">
        <v>2</v>
      </c>
      <c r="I5180">
        <v>1</v>
      </c>
      <c r="J5180" t="s">
        <v>8005</v>
      </c>
      <c r="K5180">
        <v>1.5</v>
      </c>
      <c r="L5180">
        <v>2.0169999999999999</v>
      </c>
      <c r="M5180">
        <v>0</v>
      </c>
      <c r="N5180" t="s">
        <v>10019</v>
      </c>
      <c r="O5180" t="str">
        <f>HYPERLINK("Solo2\marker_554_750095.png", "Ver Imagen")</f>
        <v>Ver Imagen</v>
      </c>
      <c r="P5180" t="str">
        <f>HYPERLINK("NE\A-490\A-490__279.png", "Ver Imagen")</f>
        <v>Ver Imagen</v>
      </c>
    </row>
    <row r="5181" spans="1:16" x14ac:dyDescent="0.25">
      <c r="A5181">
        <v>4863</v>
      </c>
      <c r="B5181" t="s">
        <v>9731</v>
      </c>
      <c r="C5181">
        <v>37.469134721400003</v>
      </c>
      <c r="D5181">
        <v>-7.1880656913800003</v>
      </c>
      <c r="E5181">
        <v>1</v>
      </c>
      <c r="F5181">
        <v>2</v>
      </c>
      <c r="H5181">
        <v>2</v>
      </c>
      <c r="I5181">
        <v>1</v>
      </c>
      <c r="J5181" t="s">
        <v>8005</v>
      </c>
      <c r="K5181">
        <v>1.5</v>
      </c>
      <c r="L5181">
        <v>1.8640000000000001</v>
      </c>
      <c r="M5181">
        <v>0</v>
      </c>
      <c r="N5181" t="s">
        <v>10019</v>
      </c>
      <c r="O5181" t="str">
        <f>HYPERLINK("Solo2\marker_554_750095.png", "Ver Imagen")</f>
        <v>Ver Imagen</v>
      </c>
      <c r="P5181" t="str">
        <f>HYPERLINK("NO\A-490\A-490__279.png", "Ver Imagen")</f>
        <v>Ver Imagen</v>
      </c>
    </row>
    <row r="5182" spans="1:16" x14ac:dyDescent="0.25">
      <c r="A5182">
        <v>4864</v>
      </c>
      <c r="B5182" t="s">
        <v>9733</v>
      </c>
      <c r="C5182">
        <v>37.469214662200002</v>
      </c>
      <c r="D5182">
        <v>-7.1882140792999998</v>
      </c>
      <c r="E5182">
        <v>2</v>
      </c>
      <c r="F5182">
        <v>3</v>
      </c>
      <c r="H5182">
        <v>2</v>
      </c>
      <c r="I5182">
        <v>2</v>
      </c>
      <c r="J5182" t="s">
        <v>8005</v>
      </c>
      <c r="K5182">
        <v>2</v>
      </c>
      <c r="L5182">
        <v>1.95</v>
      </c>
      <c r="M5182">
        <v>0</v>
      </c>
      <c r="N5182" t="s">
        <v>10019</v>
      </c>
      <c r="O5182" t="str">
        <f>HYPERLINK("Solo2\marker_348_750124.png", "Ver Imagen")</f>
        <v>Ver Imagen</v>
      </c>
      <c r="P5182" t="str">
        <f>HYPERLINK("NE\A-490\A-490__280.png", "Ver Imagen")</f>
        <v>Ver Imagen</v>
      </c>
    </row>
    <row r="5183" spans="1:16" x14ac:dyDescent="0.25">
      <c r="A5183">
        <v>4864</v>
      </c>
      <c r="B5183" t="s">
        <v>9733</v>
      </c>
      <c r="C5183">
        <v>37.469214662200002</v>
      </c>
      <c r="D5183">
        <v>-7.1882140792999998</v>
      </c>
      <c r="E5183">
        <v>2</v>
      </c>
      <c r="F5183">
        <v>3</v>
      </c>
      <c r="H5183">
        <v>2</v>
      </c>
      <c r="I5183">
        <v>2</v>
      </c>
      <c r="J5183" t="s">
        <v>8005</v>
      </c>
      <c r="K5183">
        <v>2</v>
      </c>
      <c r="L5183">
        <v>1.9910000000000001</v>
      </c>
      <c r="M5183">
        <v>0</v>
      </c>
      <c r="N5183" t="s">
        <v>10019</v>
      </c>
      <c r="O5183" t="str">
        <f>HYPERLINK("Solo2\marker_348_750124.png", "Ver Imagen")</f>
        <v>Ver Imagen</v>
      </c>
      <c r="P5183" t="str">
        <f>HYPERLINK("NO\A-490\A-490__280.png", "Ver Imagen")</f>
        <v>Ver Imagen</v>
      </c>
    </row>
    <row r="5184" spans="1:16" x14ac:dyDescent="0.25">
      <c r="A5184">
        <v>4865</v>
      </c>
      <c r="B5184" t="s">
        <v>9735</v>
      </c>
      <c r="C5184">
        <v>37.469316169400003</v>
      </c>
      <c r="D5184">
        <v>-7.1884021213500002</v>
      </c>
      <c r="E5184">
        <v>1</v>
      </c>
      <c r="F5184">
        <v>2</v>
      </c>
      <c r="H5184">
        <v>2</v>
      </c>
      <c r="I5184">
        <v>1</v>
      </c>
      <c r="J5184" t="s">
        <v>8005</v>
      </c>
      <c r="K5184">
        <v>1.5</v>
      </c>
      <c r="L5184">
        <v>1.85</v>
      </c>
      <c r="M5184">
        <v>0</v>
      </c>
      <c r="N5184" t="s">
        <v>10019</v>
      </c>
      <c r="O5184" t="str">
        <f>HYPERLINK("Solo2\marker_492_750142.png", "Ver Imagen")</f>
        <v>Ver Imagen</v>
      </c>
      <c r="P5184" t="str">
        <f>HYPERLINK("NE\A-490\A-490__281.png", "Ver Imagen")</f>
        <v>Ver Imagen</v>
      </c>
    </row>
    <row r="5185" spans="1:16" x14ac:dyDescent="0.25">
      <c r="A5185">
        <v>4865</v>
      </c>
      <c r="B5185" t="s">
        <v>9735</v>
      </c>
      <c r="C5185">
        <v>37.469316169400003</v>
      </c>
      <c r="D5185">
        <v>-7.1884021213500002</v>
      </c>
      <c r="E5185">
        <v>1</v>
      </c>
      <c r="F5185">
        <v>2</v>
      </c>
      <c r="H5185">
        <v>2</v>
      </c>
      <c r="I5185">
        <v>1</v>
      </c>
      <c r="J5185" t="s">
        <v>8005</v>
      </c>
      <c r="K5185">
        <v>1.5</v>
      </c>
      <c r="L5185">
        <v>1.909</v>
      </c>
      <c r="M5185">
        <v>0</v>
      </c>
      <c r="N5185" t="s">
        <v>10019</v>
      </c>
      <c r="O5185" t="str">
        <f>HYPERLINK("Solo2\marker_492_750142.png", "Ver Imagen")</f>
        <v>Ver Imagen</v>
      </c>
      <c r="P5185" t="str">
        <f>HYPERLINK("NO\A-490\A-490__281.png", "Ver Imagen")</f>
        <v>Ver Imagen</v>
      </c>
    </row>
    <row r="5186" spans="1:16" x14ac:dyDescent="0.25">
      <c r="A5186">
        <v>4866</v>
      </c>
      <c r="B5186" t="s">
        <v>9737</v>
      </c>
      <c r="C5186">
        <v>37.469422046399998</v>
      </c>
      <c r="D5186">
        <v>-7.1885978396199999</v>
      </c>
      <c r="E5186">
        <v>1</v>
      </c>
      <c r="F5186">
        <v>2</v>
      </c>
      <c r="H5186">
        <v>1</v>
      </c>
      <c r="I5186">
        <v>1</v>
      </c>
      <c r="J5186" t="s">
        <v>8005</v>
      </c>
      <c r="K5186">
        <v>1</v>
      </c>
      <c r="L5186">
        <v>1.0760000000000001</v>
      </c>
      <c r="M5186">
        <v>0</v>
      </c>
      <c r="N5186" t="s">
        <v>10019</v>
      </c>
      <c r="O5186" t="str">
        <f>HYPERLINK("Solo2\marker_237_750162.png", "Ver Imagen")</f>
        <v>Ver Imagen</v>
      </c>
      <c r="P5186" t="str">
        <f>HYPERLINK("NE\A-490\A-490__282.png", "Ver Imagen")</f>
        <v>Ver Imagen</v>
      </c>
    </row>
    <row r="5187" spans="1:16" x14ac:dyDescent="0.25">
      <c r="A5187">
        <v>4866</v>
      </c>
      <c r="B5187" t="s">
        <v>9737</v>
      </c>
      <c r="C5187">
        <v>37.469422046399998</v>
      </c>
      <c r="D5187">
        <v>-7.1885978396199999</v>
      </c>
      <c r="E5187">
        <v>1</v>
      </c>
      <c r="F5187">
        <v>2</v>
      </c>
      <c r="H5187">
        <v>1</v>
      </c>
      <c r="I5187">
        <v>1</v>
      </c>
      <c r="J5187" t="s">
        <v>8005</v>
      </c>
      <c r="K5187">
        <v>1</v>
      </c>
      <c r="L5187">
        <v>1.238</v>
      </c>
      <c r="M5187">
        <v>0</v>
      </c>
      <c r="N5187" t="s">
        <v>10019</v>
      </c>
      <c r="O5187" t="str">
        <f>HYPERLINK("Solo2\marker_237_750162.png", "Ver Imagen")</f>
        <v>Ver Imagen</v>
      </c>
      <c r="P5187" t="str">
        <f>HYPERLINK("NO\A-490\A-490__282.png", "Ver Imagen")</f>
        <v>Ver Imagen</v>
      </c>
    </row>
    <row r="5188" spans="1:16" x14ac:dyDescent="0.25">
      <c r="A5188">
        <v>4867</v>
      </c>
      <c r="B5188" t="s">
        <v>9739</v>
      </c>
      <c r="C5188">
        <v>37.469679519099998</v>
      </c>
      <c r="D5188">
        <v>-7.18907484006</v>
      </c>
      <c r="E5188">
        <v>1</v>
      </c>
      <c r="F5188">
        <v>1</v>
      </c>
      <c r="H5188">
        <v>1</v>
      </c>
      <c r="I5188">
        <v>1</v>
      </c>
      <c r="J5188" t="s">
        <v>8005</v>
      </c>
      <c r="K5188">
        <v>1</v>
      </c>
      <c r="L5188">
        <v>1.4039999999999999</v>
      </c>
      <c r="M5188">
        <v>0</v>
      </c>
      <c r="N5188" t="s">
        <v>10019</v>
      </c>
      <c r="O5188" t="str">
        <f>HYPERLINK("Solo2\marker_832_750233.png", "Ver Imagen")</f>
        <v>Ver Imagen</v>
      </c>
      <c r="P5188" t="str">
        <f>HYPERLINK("NE\A-490\A-490__284.png", "Ver Imagen")</f>
        <v>Ver Imagen</v>
      </c>
    </row>
    <row r="5189" spans="1:16" x14ac:dyDescent="0.25">
      <c r="A5189">
        <v>4867</v>
      </c>
      <c r="B5189" t="s">
        <v>9739</v>
      </c>
      <c r="C5189">
        <v>37.469679519099998</v>
      </c>
      <c r="D5189">
        <v>-7.18907484006</v>
      </c>
      <c r="E5189">
        <v>1</v>
      </c>
      <c r="F5189">
        <v>1</v>
      </c>
      <c r="H5189">
        <v>1</v>
      </c>
      <c r="I5189">
        <v>1</v>
      </c>
      <c r="J5189" t="s">
        <v>8005</v>
      </c>
      <c r="K5189">
        <v>1</v>
      </c>
      <c r="L5189">
        <v>1.4450000000000001</v>
      </c>
      <c r="M5189">
        <v>0</v>
      </c>
      <c r="N5189" t="s">
        <v>10019</v>
      </c>
      <c r="O5189" t="str">
        <f>HYPERLINK("Solo2\marker_832_750233.png", "Ver Imagen")</f>
        <v>Ver Imagen</v>
      </c>
      <c r="P5189" t="str">
        <f>HYPERLINK("NO\A-490\A-490__284.png", "Ver Imagen")</f>
        <v>Ver Imagen</v>
      </c>
    </row>
    <row r="5190" spans="1:16" x14ac:dyDescent="0.25">
      <c r="A5190">
        <v>4868</v>
      </c>
      <c r="B5190" t="s">
        <v>9741</v>
      </c>
      <c r="C5190">
        <v>37.469804185299999</v>
      </c>
      <c r="D5190">
        <v>-7.1893053178699997</v>
      </c>
      <c r="E5190">
        <v>1</v>
      </c>
      <c r="F5190">
        <v>2</v>
      </c>
      <c r="H5190">
        <v>1</v>
      </c>
      <c r="I5190">
        <v>1</v>
      </c>
      <c r="J5190" t="s">
        <v>8005</v>
      </c>
      <c r="K5190">
        <v>1</v>
      </c>
      <c r="L5190">
        <v>1.155</v>
      </c>
      <c r="M5190">
        <v>0</v>
      </c>
      <c r="N5190" t="s">
        <v>10018</v>
      </c>
      <c r="O5190" t="str">
        <f>HYPERLINK("Solo2\marker_426_750247.png", "Ver Imagen")</f>
        <v>Ver Imagen</v>
      </c>
      <c r="P5190" t="str">
        <f>HYPERLINK("NO\A-490\A-490__285.png", "Ver Imagen")</f>
        <v>Ver Imagen</v>
      </c>
    </row>
    <row r="5191" spans="1:16" x14ac:dyDescent="0.25">
      <c r="A5191">
        <v>4869</v>
      </c>
      <c r="B5191" t="s">
        <v>9743</v>
      </c>
      <c r="C5191">
        <v>37.4699132374</v>
      </c>
      <c r="D5191">
        <v>-7.18950816055</v>
      </c>
      <c r="E5191">
        <v>1</v>
      </c>
      <c r="F5191">
        <v>3</v>
      </c>
      <c r="H5191">
        <v>1</v>
      </c>
      <c r="I5191">
        <v>1</v>
      </c>
      <c r="J5191" t="s">
        <v>8005</v>
      </c>
      <c r="K5191">
        <v>1</v>
      </c>
      <c r="L5191">
        <v>1.2170000000000001</v>
      </c>
      <c r="M5191">
        <v>0</v>
      </c>
      <c r="N5191" t="s">
        <v>10019</v>
      </c>
      <c r="O5191" t="str">
        <f>HYPERLINK("Solo2\marker_194_750262.png", "Ver Imagen")</f>
        <v>Ver Imagen</v>
      </c>
      <c r="P5191" t="str">
        <f>HYPERLINK("NE\A-490\A-490__286.png", "Ver Imagen")</f>
        <v>Ver Imagen</v>
      </c>
    </row>
    <row r="5192" spans="1:16" x14ac:dyDescent="0.25">
      <c r="A5192">
        <v>4869</v>
      </c>
      <c r="B5192" t="s">
        <v>9743</v>
      </c>
      <c r="C5192">
        <v>37.4699132374</v>
      </c>
      <c r="D5192">
        <v>-7.18950816055</v>
      </c>
      <c r="E5192">
        <v>1</v>
      </c>
      <c r="F5192">
        <v>3</v>
      </c>
      <c r="H5192">
        <v>1</v>
      </c>
      <c r="I5192">
        <v>1</v>
      </c>
      <c r="J5192" t="s">
        <v>8005</v>
      </c>
      <c r="K5192">
        <v>1</v>
      </c>
      <c r="L5192">
        <v>1.1930000000000001</v>
      </c>
      <c r="M5192">
        <v>0</v>
      </c>
      <c r="N5192" t="s">
        <v>10019</v>
      </c>
      <c r="O5192" t="str">
        <f>HYPERLINK("Solo2\marker_194_750262.png", "Ver Imagen")</f>
        <v>Ver Imagen</v>
      </c>
      <c r="P5192" t="str">
        <f>HYPERLINK("NO\A-490\A-490__286.png", "Ver Imagen")</f>
        <v>Ver Imagen</v>
      </c>
    </row>
    <row r="5193" spans="1:16" x14ac:dyDescent="0.25">
      <c r="A5193">
        <v>4870</v>
      </c>
      <c r="B5193" t="s">
        <v>9745</v>
      </c>
      <c r="C5193">
        <v>37.4700108089</v>
      </c>
      <c r="D5193">
        <v>-7.1896899668499996</v>
      </c>
      <c r="E5193">
        <v>1</v>
      </c>
      <c r="F5193">
        <v>3</v>
      </c>
      <c r="H5193">
        <v>3</v>
      </c>
      <c r="I5193">
        <v>2</v>
      </c>
      <c r="J5193" t="s">
        <v>8005</v>
      </c>
      <c r="K5193">
        <v>2.5</v>
      </c>
      <c r="L5193">
        <v>2.1469999999999998</v>
      </c>
      <c r="M5193">
        <v>0</v>
      </c>
      <c r="N5193" t="s">
        <v>10019</v>
      </c>
      <c r="O5193" t="str">
        <f>HYPERLINK("Solo2\marker_752_750279.png", "Ver Imagen")</f>
        <v>Ver Imagen</v>
      </c>
      <c r="P5193" t="str">
        <f>HYPERLINK("NE\A-490\A-490__287.png", "Ver Imagen")</f>
        <v>Ver Imagen</v>
      </c>
    </row>
    <row r="5194" spans="1:16" x14ac:dyDescent="0.25">
      <c r="A5194">
        <v>4870</v>
      </c>
      <c r="B5194" t="s">
        <v>9745</v>
      </c>
      <c r="C5194">
        <v>37.4700108089</v>
      </c>
      <c r="D5194">
        <v>-7.1896899668499996</v>
      </c>
      <c r="E5194">
        <v>1</v>
      </c>
      <c r="F5194">
        <v>3</v>
      </c>
      <c r="H5194">
        <v>3</v>
      </c>
      <c r="I5194">
        <v>2</v>
      </c>
      <c r="J5194" t="s">
        <v>8005</v>
      </c>
      <c r="K5194">
        <v>2.5</v>
      </c>
      <c r="L5194">
        <v>2.13</v>
      </c>
      <c r="M5194">
        <v>0</v>
      </c>
      <c r="N5194" t="s">
        <v>10019</v>
      </c>
      <c r="O5194" t="str">
        <f>HYPERLINK("Solo2\marker_752_750279.png", "Ver Imagen")</f>
        <v>Ver Imagen</v>
      </c>
      <c r="P5194" t="str">
        <f>HYPERLINK("NO\A-490\A-490__287.png", "Ver Imagen")</f>
        <v>Ver Imagen</v>
      </c>
    </row>
    <row r="5195" spans="1:16" x14ac:dyDescent="0.25">
      <c r="A5195">
        <v>4871</v>
      </c>
      <c r="B5195" t="s">
        <v>9747</v>
      </c>
      <c r="C5195">
        <v>37.470119378600003</v>
      </c>
      <c r="D5195">
        <v>-7.1898915886500001</v>
      </c>
      <c r="E5195">
        <v>1</v>
      </c>
      <c r="F5195">
        <v>2</v>
      </c>
      <c r="H5195">
        <v>2</v>
      </c>
      <c r="I5195">
        <v>1</v>
      </c>
      <c r="J5195" t="s">
        <v>8005</v>
      </c>
      <c r="K5195">
        <v>1.5</v>
      </c>
      <c r="L5195">
        <v>1.8180000000000001</v>
      </c>
      <c r="M5195">
        <v>0</v>
      </c>
      <c r="N5195" t="s">
        <v>10018</v>
      </c>
      <c r="O5195" t="str">
        <f>HYPERLINK("Solo2\marker_342_750296.png", "Ver Imagen")</f>
        <v>Ver Imagen</v>
      </c>
      <c r="P5195" t="str">
        <f>HYPERLINK("NE\A-490\A-490__288.png", "Ver Imagen")</f>
        <v>Ver Imagen</v>
      </c>
    </row>
    <row r="5196" spans="1:16" x14ac:dyDescent="0.25">
      <c r="A5196">
        <v>4871</v>
      </c>
      <c r="B5196" t="s">
        <v>9747</v>
      </c>
      <c r="C5196">
        <v>37.470119378600003</v>
      </c>
      <c r="D5196">
        <v>-7.1898915886500001</v>
      </c>
      <c r="E5196">
        <v>1</v>
      </c>
      <c r="F5196">
        <v>2</v>
      </c>
      <c r="H5196">
        <v>2</v>
      </c>
      <c r="I5196">
        <v>1</v>
      </c>
      <c r="J5196" t="s">
        <v>8005</v>
      </c>
      <c r="K5196">
        <v>1.5</v>
      </c>
      <c r="L5196">
        <v>1.837</v>
      </c>
      <c r="M5196">
        <v>0</v>
      </c>
      <c r="N5196" t="s">
        <v>10018</v>
      </c>
      <c r="O5196" t="str">
        <f>HYPERLINK("Solo2\marker_342_750296.png", "Ver Imagen")</f>
        <v>Ver Imagen</v>
      </c>
      <c r="P5196" t="str">
        <f>HYPERLINK("NO\A-490\A-490__288.png", "Ver Imagen")</f>
        <v>Ver Imagen</v>
      </c>
    </row>
    <row r="5197" spans="1:16" x14ac:dyDescent="0.25">
      <c r="A5197">
        <v>4872</v>
      </c>
      <c r="B5197" t="s">
        <v>9749</v>
      </c>
      <c r="C5197">
        <v>37.470210404200003</v>
      </c>
      <c r="D5197">
        <v>-7.1900608261999999</v>
      </c>
      <c r="E5197">
        <v>1</v>
      </c>
      <c r="F5197">
        <v>2</v>
      </c>
      <c r="H5197">
        <v>2</v>
      </c>
      <c r="I5197">
        <v>1</v>
      </c>
      <c r="J5197" t="s">
        <v>8005</v>
      </c>
      <c r="K5197">
        <v>1.5</v>
      </c>
      <c r="L5197">
        <v>1.8089999999999999</v>
      </c>
      <c r="M5197">
        <v>0</v>
      </c>
      <c r="N5197" t="s">
        <v>10017</v>
      </c>
      <c r="O5197" t="str">
        <f>HYPERLINK("Solo2\marker_485_750312.png", "Ver Imagen")</f>
        <v>Ver Imagen</v>
      </c>
      <c r="P5197" t="str">
        <f>HYPERLINK("NE\A-490\A-490__289.png", "Ver Imagen")</f>
        <v>Ver Imagen</v>
      </c>
    </row>
    <row r="5198" spans="1:16" x14ac:dyDescent="0.25">
      <c r="A5198">
        <v>4872</v>
      </c>
      <c r="B5198" t="s">
        <v>9749</v>
      </c>
      <c r="C5198">
        <v>37.470210404200003</v>
      </c>
      <c r="D5198">
        <v>-7.1900608261999999</v>
      </c>
      <c r="E5198">
        <v>1</v>
      </c>
      <c r="F5198">
        <v>2</v>
      </c>
      <c r="H5198">
        <v>2</v>
      </c>
      <c r="I5198">
        <v>1</v>
      </c>
      <c r="J5198" t="s">
        <v>8005</v>
      </c>
      <c r="K5198">
        <v>1.5</v>
      </c>
      <c r="L5198">
        <v>2.3029999999999999</v>
      </c>
      <c r="M5198">
        <v>0</v>
      </c>
      <c r="N5198" t="s">
        <v>10017</v>
      </c>
      <c r="O5198" t="str">
        <f>HYPERLINK("Solo2\marker_485_750312.png", "Ver Imagen")</f>
        <v>Ver Imagen</v>
      </c>
      <c r="P5198" t="str">
        <f>HYPERLINK("NO\A-490\A-490__289.png", "Ver Imagen")</f>
        <v>Ver Imagen</v>
      </c>
    </row>
    <row r="5199" spans="1:16" x14ac:dyDescent="0.25">
      <c r="A5199">
        <v>4873</v>
      </c>
      <c r="B5199" t="s">
        <v>9751</v>
      </c>
      <c r="C5199">
        <v>37.4703605698</v>
      </c>
      <c r="D5199">
        <v>-7.1903414571899997</v>
      </c>
      <c r="E5199">
        <v>1</v>
      </c>
      <c r="F5199">
        <v>2</v>
      </c>
      <c r="H5199">
        <v>2</v>
      </c>
      <c r="I5199">
        <v>1</v>
      </c>
      <c r="J5199" t="s">
        <v>8005</v>
      </c>
      <c r="K5199">
        <v>1.5</v>
      </c>
      <c r="L5199">
        <v>1.9430000000000001</v>
      </c>
      <c r="M5199">
        <v>0</v>
      </c>
      <c r="N5199" t="s">
        <v>10017</v>
      </c>
      <c r="O5199" t="str">
        <f>HYPERLINK("Solo2\marker_644_750334.png", "Ver Imagen")</f>
        <v>Ver Imagen</v>
      </c>
      <c r="P5199" t="str">
        <f>HYPERLINK("NE\A-490\A-490__290.png", "Ver Imagen")</f>
        <v>Ver Imagen</v>
      </c>
    </row>
    <row r="5200" spans="1:16" x14ac:dyDescent="0.25">
      <c r="A5200">
        <v>4873</v>
      </c>
      <c r="B5200" t="s">
        <v>9751</v>
      </c>
      <c r="C5200">
        <v>37.4703605698</v>
      </c>
      <c r="D5200">
        <v>-7.1903414571899997</v>
      </c>
      <c r="E5200">
        <v>1</v>
      </c>
      <c r="F5200">
        <v>2</v>
      </c>
      <c r="H5200">
        <v>2</v>
      </c>
      <c r="I5200">
        <v>1</v>
      </c>
      <c r="J5200" t="s">
        <v>8005</v>
      </c>
      <c r="K5200">
        <v>1.5</v>
      </c>
      <c r="L5200">
        <v>1.869</v>
      </c>
      <c r="M5200">
        <v>0</v>
      </c>
      <c r="N5200" t="s">
        <v>10017</v>
      </c>
      <c r="O5200" t="str">
        <f>HYPERLINK("Solo2\marker_644_750334.png", "Ver Imagen")</f>
        <v>Ver Imagen</v>
      </c>
      <c r="P5200" t="str">
        <f>HYPERLINK("NO\A-490\A-490__290.png", "Ver Imagen")</f>
        <v>Ver Imagen</v>
      </c>
    </row>
    <row r="5201" spans="1:16" x14ac:dyDescent="0.25">
      <c r="A5201">
        <v>4874</v>
      </c>
      <c r="B5201" t="s">
        <v>9753</v>
      </c>
      <c r="C5201">
        <v>37.470463391700001</v>
      </c>
      <c r="D5201">
        <v>-7.1905333556400004</v>
      </c>
      <c r="E5201">
        <v>1</v>
      </c>
      <c r="F5201">
        <v>2</v>
      </c>
      <c r="H5201">
        <v>1</v>
      </c>
      <c r="I5201">
        <v>1</v>
      </c>
      <c r="J5201" t="s">
        <v>8005</v>
      </c>
      <c r="K5201">
        <v>1</v>
      </c>
      <c r="L5201">
        <v>1.048</v>
      </c>
      <c r="M5201">
        <v>0</v>
      </c>
      <c r="N5201" t="s">
        <v>10017</v>
      </c>
      <c r="O5201" t="str">
        <f>HYPERLINK("Solo2\marker_284_750358.png", "Ver Imagen")</f>
        <v>Ver Imagen</v>
      </c>
      <c r="P5201" t="str">
        <f>HYPERLINK("NE\A-490\A-490__291.png", "Ver Imagen")</f>
        <v>Ver Imagen</v>
      </c>
    </row>
    <row r="5202" spans="1:16" x14ac:dyDescent="0.25">
      <c r="A5202">
        <v>4875</v>
      </c>
      <c r="B5202" t="s">
        <v>9755</v>
      </c>
      <c r="C5202">
        <v>37.47058998</v>
      </c>
      <c r="D5202">
        <v>-7.1907675045400001</v>
      </c>
      <c r="E5202">
        <v>1</v>
      </c>
      <c r="F5202">
        <v>3</v>
      </c>
      <c r="H5202">
        <v>3</v>
      </c>
      <c r="I5202">
        <v>2</v>
      </c>
      <c r="J5202" t="s">
        <v>8005</v>
      </c>
      <c r="K5202">
        <v>2.5</v>
      </c>
      <c r="L5202">
        <v>2.2570000000000001</v>
      </c>
      <c r="M5202">
        <v>0</v>
      </c>
      <c r="N5202" t="s">
        <v>10018</v>
      </c>
      <c r="O5202" t="str">
        <f>HYPERLINK("Solo2\marker_266_750376.png", "Ver Imagen")</f>
        <v>Ver Imagen</v>
      </c>
      <c r="P5202" t="str">
        <f>HYPERLINK("NE\A-490\A-490__292.png", "Ver Imagen")</f>
        <v>Ver Imagen</v>
      </c>
    </row>
    <row r="5203" spans="1:16" x14ac:dyDescent="0.25">
      <c r="A5203">
        <v>4875</v>
      </c>
      <c r="B5203" t="s">
        <v>9755</v>
      </c>
      <c r="C5203">
        <v>37.47058998</v>
      </c>
      <c r="D5203">
        <v>-7.1907675045400001</v>
      </c>
      <c r="E5203">
        <v>1</v>
      </c>
      <c r="F5203">
        <v>3</v>
      </c>
      <c r="H5203">
        <v>3</v>
      </c>
      <c r="I5203">
        <v>2</v>
      </c>
      <c r="J5203" t="s">
        <v>8005</v>
      </c>
      <c r="K5203">
        <v>2.5</v>
      </c>
      <c r="L5203">
        <v>2.0059999999999998</v>
      </c>
      <c r="M5203">
        <v>0</v>
      </c>
      <c r="N5203" t="s">
        <v>10018</v>
      </c>
      <c r="O5203" t="str">
        <f>HYPERLINK("Solo2\marker_266_750376.png", "Ver Imagen")</f>
        <v>Ver Imagen</v>
      </c>
      <c r="P5203" t="str">
        <f>HYPERLINK("NO\A-490\A-490__292.png", "Ver Imagen")</f>
        <v>Ver Imagen</v>
      </c>
    </row>
    <row r="5204" spans="1:16" x14ac:dyDescent="0.25">
      <c r="A5204">
        <v>4876</v>
      </c>
      <c r="B5204" t="s">
        <v>9757</v>
      </c>
      <c r="C5204">
        <v>37.470700817000001</v>
      </c>
      <c r="D5204">
        <v>-7.1909699320499998</v>
      </c>
      <c r="E5204">
        <v>1</v>
      </c>
      <c r="F5204">
        <v>2</v>
      </c>
      <c r="H5204">
        <v>1</v>
      </c>
      <c r="I5204">
        <v>1</v>
      </c>
      <c r="J5204" t="s">
        <v>8005</v>
      </c>
      <c r="K5204">
        <v>1</v>
      </c>
      <c r="L5204">
        <v>1.355</v>
      </c>
      <c r="M5204">
        <v>0</v>
      </c>
      <c r="N5204" t="s">
        <v>10017</v>
      </c>
      <c r="O5204" t="str">
        <f>HYPERLINK("Solo2\marker_858_750393.png", "Ver Imagen")</f>
        <v>Ver Imagen</v>
      </c>
      <c r="P5204" t="str">
        <f>HYPERLINK("NO\A-490\A-490__293.png", "Ver Imagen")</f>
        <v>Ver Imagen</v>
      </c>
    </row>
    <row r="5205" spans="1:16" x14ac:dyDescent="0.25">
      <c r="A5205">
        <v>4877</v>
      </c>
      <c r="B5205" t="s">
        <v>9759</v>
      </c>
      <c r="C5205">
        <v>37.470826229799997</v>
      </c>
      <c r="D5205">
        <v>-7.1911954083499996</v>
      </c>
      <c r="E5205">
        <v>1</v>
      </c>
      <c r="F5205">
        <v>3</v>
      </c>
      <c r="H5205">
        <v>1</v>
      </c>
      <c r="I5205">
        <v>1</v>
      </c>
      <c r="J5205" t="s">
        <v>8005</v>
      </c>
      <c r="K5205">
        <v>1</v>
      </c>
      <c r="L5205">
        <v>1</v>
      </c>
      <c r="M5205">
        <v>0</v>
      </c>
      <c r="N5205" t="s">
        <v>10019</v>
      </c>
      <c r="O5205" t="str">
        <f>HYPERLINK("Solo2\marker_468_750410.png", "Ver Imagen")</f>
        <v>Ver Imagen</v>
      </c>
      <c r="P5205" t="str">
        <f>HYPERLINK("NE\A-490\A-490__294.png", "Ver Imagen")</f>
        <v>Ver Imagen</v>
      </c>
    </row>
    <row r="5206" spans="1:16" x14ac:dyDescent="0.25">
      <c r="A5206">
        <v>4877</v>
      </c>
      <c r="B5206" t="s">
        <v>9759</v>
      </c>
      <c r="C5206">
        <v>37.470826229799997</v>
      </c>
      <c r="D5206">
        <v>-7.1911954083499996</v>
      </c>
      <c r="E5206">
        <v>1</v>
      </c>
      <c r="F5206">
        <v>3</v>
      </c>
      <c r="H5206">
        <v>1</v>
      </c>
      <c r="I5206">
        <v>1</v>
      </c>
      <c r="J5206" t="s">
        <v>8005</v>
      </c>
      <c r="K5206">
        <v>1</v>
      </c>
      <c r="L5206">
        <v>1.204</v>
      </c>
      <c r="M5206">
        <v>0</v>
      </c>
      <c r="N5206" t="s">
        <v>10019</v>
      </c>
      <c r="O5206" t="str">
        <f>HYPERLINK("Solo2\marker_468_750410.png", "Ver Imagen")</f>
        <v>Ver Imagen</v>
      </c>
      <c r="P5206" t="str">
        <f>HYPERLINK("NO\A-490\A-490__294.png", "Ver Imagen")</f>
        <v>Ver Imagen</v>
      </c>
    </row>
    <row r="5207" spans="1:16" x14ac:dyDescent="0.25">
      <c r="A5207">
        <v>4878</v>
      </c>
      <c r="B5207" t="s">
        <v>9761</v>
      </c>
      <c r="C5207">
        <v>37.470913063099999</v>
      </c>
      <c r="D5207">
        <v>-7.1913491342200002</v>
      </c>
      <c r="E5207">
        <v>1</v>
      </c>
      <c r="F5207">
        <v>3</v>
      </c>
      <c r="H5207">
        <v>2</v>
      </c>
      <c r="I5207">
        <v>2</v>
      </c>
      <c r="J5207" t="s">
        <v>8005</v>
      </c>
      <c r="K5207">
        <v>2</v>
      </c>
      <c r="L5207">
        <v>1.871</v>
      </c>
      <c r="M5207">
        <v>0</v>
      </c>
      <c r="N5207" t="s">
        <v>10019</v>
      </c>
      <c r="O5207" t="str">
        <f>HYPERLINK("Solo2\marker_901_750424.png", "Ver Imagen")</f>
        <v>Ver Imagen</v>
      </c>
      <c r="P5207" t="str">
        <f>HYPERLINK("NE\A-490\A-490__295.png", "Ver Imagen")</f>
        <v>Ver Imagen</v>
      </c>
    </row>
    <row r="5208" spans="1:16" x14ac:dyDescent="0.25">
      <c r="A5208">
        <v>4878</v>
      </c>
      <c r="B5208" t="s">
        <v>9761</v>
      </c>
      <c r="C5208">
        <v>37.470913063099999</v>
      </c>
      <c r="D5208">
        <v>-7.1913491342200002</v>
      </c>
      <c r="E5208">
        <v>1</v>
      </c>
      <c r="F5208">
        <v>3</v>
      </c>
      <c r="H5208">
        <v>2</v>
      </c>
      <c r="I5208">
        <v>2</v>
      </c>
      <c r="J5208" t="s">
        <v>8005</v>
      </c>
      <c r="K5208">
        <v>2</v>
      </c>
      <c r="L5208">
        <v>2.2469999999999999</v>
      </c>
      <c r="M5208">
        <v>0</v>
      </c>
      <c r="N5208" t="s">
        <v>10019</v>
      </c>
      <c r="O5208" t="str">
        <f>HYPERLINK("Solo2\marker_901_750424.png", "Ver Imagen")</f>
        <v>Ver Imagen</v>
      </c>
      <c r="P5208" t="str">
        <f>HYPERLINK("NO\A-490\A-490__295.png", "Ver Imagen")</f>
        <v>Ver Imagen</v>
      </c>
    </row>
    <row r="5209" spans="1:16" x14ac:dyDescent="0.25">
      <c r="A5209">
        <v>4879</v>
      </c>
      <c r="B5209" t="s">
        <v>9763</v>
      </c>
      <c r="C5209">
        <v>37.471033564499997</v>
      </c>
      <c r="D5209">
        <v>-7.1915595840300002</v>
      </c>
      <c r="E5209">
        <v>1</v>
      </c>
      <c r="F5209">
        <v>2</v>
      </c>
      <c r="H5209">
        <v>1</v>
      </c>
      <c r="I5209">
        <v>1</v>
      </c>
      <c r="J5209" t="s">
        <v>8005</v>
      </c>
      <c r="K5209">
        <v>1</v>
      </c>
      <c r="L5209">
        <v>1.2150000000000001</v>
      </c>
      <c r="M5209">
        <v>0</v>
      </c>
      <c r="N5209" t="s">
        <v>10019</v>
      </c>
      <c r="O5209" t="str">
        <f>HYPERLINK("Solo2\marker_440_750485.png", "Ver Imagen")</f>
        <v>Ver Imagen</v>
      </c>
      <c r="P5209" t="str">
        <f>HYPERLINK("NE\A-490\A-490__296.png", "Ver Imagen")</f>
        <v>Ver Imagen</v>
      </c>
    </row>
    <row r="5210" spans="1:16" x14ac:dyDescent="0.25">
      <c r="A5210">
        <v>4879</v>
      </c>
      <c r="B5210" t="s">
        <v>9763</v>
      </c>
      <c r="C5210">
        <v>37.471033564499997</v>
      </c>
      <c r="D5210">
        <v>-7.1915595840300002</v>
      </c>
      <c r="E5210">
        <v>1</v>
      </c>
      <c r="F5210">
        <v>2</v>
      </c>
      <c r="H5210">
        <v>1</v>
      </c>
      <c r="I5210">
        <v>1</v>
      </c>
      <c r="J5210" t="s">
        <v>8005</v>
      </c>
      <c r="K5210">
        <v>1</v>
      </c>
      <c r="L5210">
        <v>1.194</v>
      </c>
      <c r="M5210">
        <v>0</v>
      </c>
      <c r="N5210" t="s">
        <v>10019</v>
      </c>
      <c r="O5210" t="str">
        <f>HYPERLINK("Solo2\marker_440_750485.png", "Ver Imagen")</f>
        <v>Ver Imagen</v>
      </c>
      <c r="P5210" t="str">
        <f>HYPERLINK("NO\A-490\A-490__296.png", "Ver Imagen")</f>
        <v>Ver Imagen</v>
      </c>
    </row>
    <row r="5211" spans="1:16" x14ac:dyDescent="0.25">
      <c r="A5211">
        <v>4880</v>
      </c>
      <c r="B5211" t="s">
        <v>9765</v>
      </c>
      <c r="C5211">
        <v>37.471143828899997</v>
      </c>
      <c r="D5211">
        <v>-7.1917481635699998</v>
      </c>
      <c r="E5211">
        <v>1</v>
      </c>
      <c r="F5211">
        <v>2</v>
      </c>
      <c r="H5211">
        <v>2</v>
      </c>
      <c r="I5211">
        <v>1</v>
      </c>
      <c r="J5211" t="s">
        <v>8005</v>
      </c>
      <c r="K5211">
        <v>1.5</v>
      </c>
      <c r="L5211">
        <v>2.0960000000000001</v>
      </c>
      <c r="M5211">
        <v>0</v>
      </c>
      <c r="N5211" t="s">
        <v>10019</v>
      </c>
      <c r="O5211" t="str">
        <f>HYPERLINK("Solo2\marker_678_750501.png", "Ver Imagen")</f>
        <v>Ver Imagen</v>
      </c>
      <c r="P5211" t="str">
        <f>HYPERLINK("NE\A-490\A-490__297.png", "Ver Imagen")</f>
        <v>Ver Imagen</v>
      </c>
    </row>
    <row r="5212" spans="1:16" x14ac:dyDescent="0.25">
      <c r="A5212">
        <v>4880</v>
      </c>
      <c r="B5212" t="s">
        <v>9765</v>
      </c>
      <c r="C5212">
        <v>37.471143828899997</v>
      </c>
      <c r="D5212">
        <v>-7.1917481635699998</v>
      </c>
      <c r="E5212">
        <v>1</v>
      </c>
      <c r="F5212">
        <v>2</v>
      </c>
      <c r="H5212">
        <v>2</v>
      </c>
      <c r="I5212">
        <v>1</v>
      </c>
      <c r="J5212" t="s">
        <v>8005</v>
      </c>
      <c r="K5212">
        <v>1.5</v>
      </c>
      <c r="L5212">
        <v>1.8919999999999999</v>
      </c>
      <c r="M5212">
        <v>0</v>
      </c>
      <c r="N5212" t="s">
        <v>10019</v>
      </c>
      <c r="O5212" t="str">
        <f>HYPERLINK("Solo2\marker_678_750501.png", "Ver Imagen")</f>
        <v>Ver Imagen</v>
      </c>
      <c r="P5212" t="str">
        <f>HYPERLINK("NO\A-490\A-490__297.png", "Ver Imagen")</f>
        <v>Ver Imagen</v>
      </c>
    </row>
    <row r="5213" spans="1:16" x14ac:dyDescent="0.25">
      <c r="A5213">
        <v>4881</v>
      </c>
      <c r="B5213" t="s">
        <v>9767</v>
      </c>
      <c r="C5213">
        <v>37.471271097500001</v>
      </c>
      <c r="D5213">
        <v>-7.1919631692700001</v>
      </c>
      <c r="E5213">
        <v>1</v>
      </c>
      <c r="F5213">
        <v>3</v>
      </c>
      <c r="H5213">
        <v>3</v>
      </c>
      <c r="I5213">
        <v>2</v>
      </c>
      <c r="J5213" t="s">
        <v>8005</v>
      </c>
      <c r="K5213">
        <v>2.5</v>
      </c>
      <c r="L5213">
        <v>1.5840000000000001</v>
      </c>
      <c r="M5213">
        <v>0</v>
      </c>
      <c r="N5213" t="s">
        <v>10017</v>
      </c>
      <c r="O5213" t="str">
        <f>HYPERLINK("Solo2\marker_572_750523.png", "Ver Imagen")</f>
        <v>Ver Imagen</v>
      </c>
      <c r="P5213" t="str">
        <f>HYPERLINK("NE\A-490\A-490__298.png", "Ver Imagen")</f>
        <v>Ver Imagen</v>
      </c>
    </row>
    <row r="5214" spans="1:16" x14ac:dyDescent="0.25">
      <c r="A5214">
        <v>4881</v>
      </c>
      <c r="B5214" t="s">
        <v>9767</v>
      </c>
      <c r="C5214">
        <v>37.471271097500001</v>
      </c>
      <c r="D5214">
        <v>-7.1919631692700001</v>
      </c>
      <c r="E5214">
        <v>1</v>
      </c>
      <c r="F5214">
        <v>3</v>
      </c>
      <c r="H5214">
        <v>3</v>
      </c>
      <c r="I5214">
        <v>2</v>
      </c>
      <c r="J5214" t="s">
        <v>8005</v>
      </c>
      <c r="K5214">
        <v>2.5</v>
      </c>
      <c r="L5214">
        <v>2.073</v>
      </c>
      <c r="M5214">
        <v>0</v>
      </c>
      <c r="N5214" t="s">
        <v>10017</v>
      </c>
      <c r="O5214" t="str">
        <f>HYPERLINK("Solo2\marker_572_750523.png", "Ver Imagen")</f>
        <v>Ver Imagen</v>
      </c>
      <c r="P5214" t="str">
        <f>HYPERLINK("NO\A-490\A-490__298.png", "Ver Imagen")</f>
        <v>Ver Imagen</v>
      </c>
    </row>
    <row r="5215" spans="1:16" x14ac:dyDescent="0.25">
      <c r="A5215">
        <v>4882</v>
      </c>
      <c r="B5215" t="s">
        <v>9769</v>
      </c>
      <c r="C5215">
        <v>37.471419285899998</v>
      </c>
      <c r="D5215">
        <v>-7.1922131334100001</v>
      </c>
      <c r="E5215">
        <v>1</v>
      </c>
      <c r="F5215">
        <v>3</v>
      </c>
      <c r="H5215">
        <v>2</v>
      </c>
      <c r="I5215">
        <v>2</v>
      </c>
      <c r="J5215" t="s">
        <v>8005</v>
      </c>
      <c r="K5215">
        <v>2</v>
      </c>
      <c r="L5215">
        <v>1.9890000000000001</v>
      </c>
      <c r="M5215">
        <v>0</v>
      </c>
      <c r="N5215" t="s">
        <v>10018</v>
      </c>
      <c r="O5215" t="str">
        <f>HYPERLINK("Solo2\marker_703_750544.png", "Ver Imagen")</f>
        <v>Ver Imagen</v>
      </c>
      <c r="P5215" t="str">
        <f>HYPERLINK("NE\A-490\A-490__299.png", "Ver Imagen")</f>
        <v>Ver Imagen</v>
      </c>
    </row>
    <row r="5216" spans="1:16" x14ac:dyDescent="0.25">
      <c r="A5216">
        <v>4882</v>
      </c>
      <c r="B5216" t="s">
        <v>9769</v>
      </c>
      <c r="C5216">
        <v>37.471419285899998</v>
      </c>
      <c r="D5216">
        <v>-7.1922131334100001</v>
      </c>
      <c r="E5216">
        <v>1</v>
      </c>
      <c r="F5216">
        <v>3</v>
      </c>
      <c r="H5216">
        <v>2</v>
      </c>
      <c r="I5216">
        <v>2</v>
      </c>
      <c r="J5216" t="s">
        <v>8005</v>
      </c>
      <c r="K5216">
        <v>2</v>
      </c>
      <c r="L5216">
        <v>1.8009999999999999</v>
      </c>
      <c r="M5216">
        <v>0</v>
      </c>
      <c r="N5216" t="s">
        <v>10018</v>
      </c>
      <c r="O5216" t="str">
        <f>HYPERLINK("Solo2\marker_703_750544.png", "Ver Imagen")</f>
        <v>Ver Imagen</v>
      </c>
      <c r="P5216" t="str">
        <f>HYPERLINK("NO\A-490\A-490__299.png", "Ver Imagen")</f>
        <v>Ver Imagen</v>
      </c>
    </row>
    <row r="5217" spans="1:16" x14ac:dyDescent="0.25">
      <c r="A5217">
        <v>4883</v>
      </c>
      <c r="B5217" t="s">
        <v>9771</v>
      </c>
      <c r="C5217">
        <v>37.471518539900003</v>
      </c>
      <c r="D5217">
        <v>-7.1923804736100001</v>
      </c>
      <c r="E5217">
        <v>1</v>
      </c>
      <c r="F5217">
        <v>3</v>
      </c>
      <c r="H5217">
        <v>3</v>
      </c>
      <c r="I5217">
        <v>2</v>
      </c>
      <c r="J5217" t="s">
        <v>8005</v>
      </c>
      <c r="K5217">
        <v>2.5</v>
      </c>
      <c r="L5217">
        <v>1.73</v>
      </c>
      <c r="M5217">
        <v>0</v>
      </c>
      <c r="N5217" t="s">
        <v>10017</v>
      </c>
      <c r="O5217" t="str">
        <f>HYPERLINK("Solo2\marker_365_750560.png", "Ver Imagen")</f>
        <v>Ver Imagen</v>
      </c>
      <c r="P5217" t="str">
        <f>HYPERLINK("NO\A-490\A-490__300.png", "Ver Imagen")</f>
        <v>Ver Imagen</v>
      </c>
    </row>
    <row r="5218" spans="1:16" x14ac:dyDescent="0.25">
      <c r="A5218">
        <v>4884</v>
      </c>
      <c r="B5218" t="s">
        <v>9773</v>
      </c>
      <c r="C5218">
        <v>37.471679360000003</v>
      </c>
      <c r="D5218">
        <v>-7.1926515899499996</v>
      </c>
      <c r="E5218">
        <v>1</v>
      </c>
      <c r="F5218">
        <v>2</v>
      </c>
      <c r="H5218">
        <v>2</v>
      </c>
      <c r="I5218">
        <v>2</v>
      </c>
      <c r="J5218" t="s">
        <v>8005</v>
      </c>
      <c r="K5218">
        <v>2</v>
      </c>
      <c r="L5218">
        <v>1.8340000000000001</v>
      </c>
      <c r="M5218">
        <v>0</v>
      </c>
      <c r="N5218" t="s">
        <v>10019</v>
      </c>
      <c r="O5218" t="str">
        <f>HYPERLINK("Solo2\marker_428_750588.png", "Ver Imagen")</f>
        <v>Ver Imagen</v>
      </c>
      <c r="P5218" t="str">
        <f>HYPERLINK("NE\A-490\A-490__301.png", "Ver Imagen")</f>
        <v>Ver Imagen</v>
      </c>
    </row>
    <row r="5219" spans="1:16" x14ac:dyDescent="0.25">
      <c r="A5219">
        <v>4884</v>
      </c>
      <c r="B5219" t="s">
        <v>9773</v>
      </c>
      <c r="C5219">
        <v>37.471679360000003</v>
      </c>
      <c r="D5219">
        <v>-7.1926515899499996</v>
      </c>
      <c r="E5219">
        <v>1</v>
      </c>
      <c r="F5219">
        <v>2</v>
      </c>
      <c r="H5219">
        <v>2</v>
      </c>
      <c r="I5219">
        <v>2</v>
      </c>
      <c r="J5219" t="s">
        <v>8005</v>
      </c>
      <c r="K5219">
        <v>2</v>
      </c>
      <c r="L5219">
        <v>2.1179999999999999</v>
      </c>
      <c r="M5219">
        <v>0</v>
      </c>
      <c r="N5219" t="s">
        <v>10019</v>
      </c>
      <c r="O5219" t="str">
        <f>HYPERLINK("Solo2\marker_428_750588.png", "Ver Imagen")</f>
        <v>Ver Imagen</v>
      </c>
      <c r="P5219" t="str">
        <f>HYPERLINK("NO\A-490\A-490__301.png", "Ver Imagen")</f>
        <v>Ver Imagen</v>
      </c>
    </row>
    <row r="5220" spans="1:16" x14ac:dyDescent="0.25">
      <c r="A5220">
        <v>4885</v>
      </c>
      <c r="B5220" t="s">
        <v>9775</v>
      </c>
      <c r="C5220">
        <v>37.4717770723</v>
      </c>
      <c r="D5220">
        <v>-7.1928157125299998</v>
      </c>
      <c r="E5220">
        <v>1</v>
      </c>
      <c r="F5220">
        <v>3</v>
      </c>
      <c r="H5220">
        <v>2</v>
      </c>
      <c r="I5220">
        <v>1</v>
      </c>
      <c r="J5220" t="s">
        <v>8005</v>
      </c>
      <c r="K5220">
        <v>1.5</v>
      </c>
      <c r="L5220">
        <v>2.0099999999999998</v>
      </c>
      <c r="M5220">
        <v>0</v>
      </c>
      <c r="N5220" t="s">
        <v>10019</v>
      </c>
      <c r="O5220" t="str">
        <f>HYPERLINK("Solo2\marker_325_750605.png", "Ver Imagen")</f>
        <v>Ver Imagen</v>
      </c>
      <c r="P5220" t="str">
        <f>HYPERLINK("NE\A-490\A-490__302.png", "Ver Imagen")</f>
        <v>Ver Imagen</v>
      </c>
    </row>
    <row r="5221" spans="1:16" x14ac:dyDescent="0.25">
      <c r="A5221">
        <v>4885</v>
      </c>
      <c r="B5221" t="s">
        <v>9775</v>
      </c>
      <c r="C5221">
        <v>37.4717770723</v>
      </c>
      <c r="D5221">
        <v>-7.1928157125299998</v>
      </c>
      <c r="E5221">
        <v>1</v>
      </c>
      <c r="F5221">
        <v>3</v>
      </c>
      <c r="H5221">
        <v>2</v>
      </c>
      <c r="I5221">
        <v>1</v>
      </c>
      <c r="J5221" t="s">
        <v>8005</v>
      </c>
      <c r="K5221">
        <v>1.5</v>
      </c>
      <c r="L5221">
        <v>1.8640000000000001</v>
      </c>
      <c r="M5221">
        <v>0</v>
      </c>
      <c r="N5221" t="s">
        <v>10019</v>
      </c>
      <c r="O5221" t="str">
        <f>HYPERLINK("Solo2\marker_325_750605.png", "Ver Imagen")</f>
        <v>Ver Imagen</v>
      </c>
      <c r="P5221" t="str">
        <f>HYPERLINK("NO\A-490\A-490__302.png", "Ver Imagen")</f>
        <v>Ver Imagen</v>
      </c>
    </row>
    <row r="5222" spans="1:16" x14ac:dyDescent="0.25">
      <c r="A5222">
        <v>4886</v>
      </c>
      <c r="B5222" t="s">
        <v>9777</v>
      </c>
      <c r="C5222">
        <v>37.472131966799999</v>
      </c>
      <c r="D5222">
        <v>-7.1934097158199997</v>
      </c>
      <c r="E5222">
        <v>2</v>
      </c>
      <c r="F5222">
        <v>4</v>
      </c>
      <c r="H5222">
        <v>3</v>
      </c>
      <c r="I5222">
        <v>2</v>
      </c>
      <c r="J5222" t="s">
        <v>8005</v>
      </c>
      <c r="K5222">
        <v>2.5</v>
      </c>
      <c r="L5222">
        <v>1.641</v>
      </c>
      <c r="M5222">
        <v>0</v>
      </c>
      <c r="N5222" t="s">
        <v>10019</v>
      </c>
      <c r="O5222" t="str">
        <f>HYPERLINK("Solo2\marker_590_750677.png", "Ver Imagen")</f>
        <v>Ver Imagen</v>
      </c>
      <c r="P5222" t="str">
        <f>HYPERLINK("NE\A-490\A-490__305.png", "Ver Imagen")</f>
        <v>Ver Imagen</v>
      </c>
    </row>
    <row r="5223" spans="1:16" x14ac:dyDescent="0.25">
      <c r="A5223">
        <v>4886</v>
      </c>
      <c r="B5223" t="s">
        <v>9777</v>
      </c>
      <c r="C5223">
        <v>37.472131966799999</v>
      </c>
      <c r="D5223">
        <v>-7.1934097158199997</v>
      </c>
      <c r="E5223">
        <v>2</v>
      </c>
      <c r="F5223">
        <v>4</v>
      </c>
      <c r="H5223">
        <v>3</v>
      </c>
      <c r="I5223">
        <v>2</v>
      </c>
      <c r="J5223" t="s">
        <v>8005</v>
      </c>
      <c r="K5223">
        <v>2.5</v>
      </c>
      <c r="L5223">
        <v>1.76</v>
      </c>
      <c r="M5223">
        <v>0</v>
      </c>
      <c r="N5223" t="s">
        <v>10019</v>
      </c>
      <c r="O5223" t="str">
        <f>HYPERLINK("Solo2\marker_590_750677.png", "Ver Imagen")</f>
        <v>Ver Imagen</v>
      </c>
      <c r="P5223" t="str">
        <f>HYPERLINK("NO\A-490\A-490__305.png", "Ver Imagen")</f>
        <v>Ver Imagen</v>
      </c>
    </row>
    <row r="5224" spans="1:16" x14ac:dyDescent="0.25">
      <c r="A5224">
        <v>4888</v>
      </c>
      <c r="B5224" t="s">
        <v>9781</v>
      </c>
      <c r="C5224">
        <v>37.472401614100001</v>
      </c>
      <c r="D5224">
        <v>-7.1938594473900004</v>
      </c>
      <c r="E5224">
        <v>2</v>
      </c>
      <c r="F5224">
        <v>2</v>
      </c>
      <c r="H5224">
        <v>2</v>
      </c>
      <c r="I5224">
        <v>1</v>
      </c>
      <c r="J5224" t="s">
        <v>8005</v>
      </c>
      <c r="K5224">
        <v>2</v>
      </c>
      <c r="L5224">
        <v>1.895</v>
      </c>
      <c r="M5224">
        <v>0</v>
      </c>
      <c r="N5224" t="s">
        <v>10019</v>
      </c>
      <c r="O5224" t="str">
        <f>HYPERLINK("Solo2\marker_312_750717.png", "Ver Imagen")</f>
        <v>Ver Imagen</v>
      </c>
      <c r="P5224" t="str">
        <f>HYPERLINK("NE\A-490\A-490__307.png", "Ver Imagen")</f>
        <v>Ver Imagen</v>
      </c>
    </row>
    <row r="5225" spans="1:16" x14ac:dyDescent="0.25">
      <c r="A5225">
        <v>4888</v>
      </c>
      <c r="B5225" t="s">
        <v>9781</v>
      </c>
      <c r="C5225">
        <v>37.472401614100001</v>
      </c>
      <c r="D5225">
        <v>-7.1938594473900004</v>
      </c>
      <c r="E5225">
        <v>2</v>
      </c>
      <c r="F5225">
        <v>2</v>
      </c>
      <c r="H5225">
        <v>2</v>
      </c>
      <c r="I5225">
        <v>1</v>
      </c>
      <c r="J5225" t="s">
        <v>8005</v>
      </c>
      <c r="K5225">
        <v>2</v>
      </c>
      <c r="L5225">
        <v>1.8420000000000001</v>
      </c>
      <c r="M5225">
        <v>0</v>
      </c>
      <c r="N5225" t="s">
        <v>10019</v>
      </c>
      <c r="O5225" t="str">
        <f>HYPERLINK("Solo2\marker_312_750717.png", "Ver Imagen")</f>
        <v>Ver Imagen</v>
      </c>
      <c r="P5225" t="str">
        <f>HYPERLINK("NO\A-490\A-490__307.png", "Ver Imagen")</f>
        <v>Ver Imagen</v>
      </c>
    </row>
    <row r="5226" spans="1:16" x14ac:dyDescent="0.25">
      <c r="A5226">
        <v>4889</v>
      </c>
      <c r="B5226" t="s">
        <v>9783</v>
      </c>
      <c r="C5226">
        <v>37.472470057000002</v>
      </c>
      <c r="D5226">
        <v>-7.1939736935200003</v>
      </c>
      <c r="E5226">
        <v>1</v>
      </c>
      <c r="F5226">
        <v>2</v>
      </c>
      <c r="H5226">
        <v>2</v>
      </c>
      <c r="I5226">
        <v>1</v>
      </c>
      <c r="J5226" t="s">
        <v>8005</v>
      </c>
      <c r="K5226">
        <v>1.5</v>
      </c>
      <c r="L5226">
        <v>1.8879999999999999</v>
      </c>
      <c r="M5226">
        <v>0</v>
      </c>
      <c r="N5226" t="s">
        <v>10019</v>
      </c>
      <c r="O5226" t="str">
        <f>HYPERLINK("Solo2\marker_129_750733.png", "Ver Imagen")</f>
        <v>Ver Imagen</v>
      </c>
      <c r="P5226" t="str">
        <f>HYPERLINK("NE\A-490\A-490__308.png", "Ver Imagen")</f>
        <v>Ver Imagen</v>
      </c>
    </row>
    <row r="5227" spans="1:16" x14ac:dyDescent="0.25">
      <c r="A5227">
        <v>4889</v>
      </c>
      <c r="B5227" t="s">
        <v>9783</v>
      </c>
      <c r="C5227">
        <v>37.472470057000002</v>
      </c>
      <c r="D5227">
        <v>-7.1939736935200003</v>
      </c>
      <c r="E5227">
        <v>1</v>
      </c>
      <c r="F5227">
        <v>2</v>
      </c>
      <c r="H5227">
        <v>2</v>
      </c>
      <c r="I5227">
        <v>1</v>
      </c>
      <c r="J5227" t="s">
        <v>8005</v>
      </c>
      <c r="K5227">
        <v>1.5</v>
      </c>
      <c r="L5227">
        <v>1.839</v>
      </c>
      <c r="M5227">
        <v>0</v>
      </c>
      <c r="N5227" t="s">
        <v>10019</v>
      </c>
      <c r="O5227" t="str">
        <f>HYPERLINK("Solo2\marker_129_750733.png", "Ver Imagen")</f>
        <v>Ver Imagen</v>
      </c>
      <c r="P5227" t="str">
        <f>HYPERLINK("NO\A-490\A-490__308.png", "Ver Imagen")</f>
        <v>Ver Imagen</v>
      </c>
    </row>
    <row r="5228" spans="1:16" x14ac:dyDescent="0.25">
      <c r="A5228">
        <v>4890</v>
      </c>
      <c r="B5228" t="s">
        <v>9785</v>
      </c>
      <c r="C5228">
        <v>37.472622378499999</v>
      </c>
      <c r="D5228">
        <v>-7.1942294370999997</v>
      </c>
      <c r="E5228">
        <v>1</v>
      </c>
      <c r="F5228">
        <v>2</v>
      </c>
      <c r="H5228">
        <v>3</v>
      </c>
      <c r="I5228">
        <v>2</v>
      </c>
      <c r="J5228" t="s">
        <v>8005</v>
      </c>
      <c r="K5228">
        <v>2</v>
      </c>
      <c r="L5228">
        <v>1.9139999999999999</v>
      </c>
      <c r="M5228">
        <v>0</v>
      </c>
      <c r="N5228" t="s">
        <v>10019</v>
      </c>
      <c r="O5228" t="str">
        <f>HYPERLINK("Solo2\marker_714_750749.png", "Ver Imagen")</f>
        <v>Ver Imagen</v>
      </c>
      <c r="P5228" t="str">
        <f>HYPERLINK("NE\A-490\A-490__309.png", "Ver Imagen")</f>
        <v>Ver Imagen</v>
      </c>
    </row>
    <row r="5229" spans="1:16" x14ac:dyDescent="0.25">
      <c r="A5229">
        <v>4890</v>
      </c>
      <c r="B5229" t="s">
        <v>9785</v>
      </c>
      <c r="C5229">
        <v>37.472622378499999</v>
      </c>
      <c r="D5229">
        <v>-7.1942294370999997</v>
      </c>
      <c r="E5229">
        <v>1</v>
      </c>
      <c r="F5229">
        <v>2</v>
      </c>
      <c r="H5229">
        <v>3</v>
      </c>
      <c r="I5229">
        <v>2</v>
      </c>
      <c r="J5229" t="s">
        <v>8005</v>
      </c>
      <c r="K5229">
        <v>2</v>
      </c>
      <c r="L5229">
        <v>1.885</v>
      </c>
      <c r="M5229">
        <v>0</v>
      </c>
      <c r="N5229" t="s">
        <v>10019</v>
      </c>
      <c r="O5229" t="str">
        <f>HYPERLINK("Solo2\marker_714_750749.png", "Ver Imagen")</f>
        <v>Ver Imagen</v>
      </c>
      <c r="P5229" t="str">
        <f>HYPERLINK("NO\A-490\A-490__309.png", "Ver Imagen")</f>
        <v>Ver Imagen</v>
      </c>
    </row>
    <row r="5230" spans="1:16" x14ac:dyDescent="0.25">
      <c r="A5230">
        <v>4891</v>
      </c>
      <c r="B5230" t="s">
        <v>9787</v>
      </c>
      <c r="C5230">
        <v>37.472732498900001</v>
      </c>
      <c r="D5230">
        <v>-7.1944166550300004</v>
      </c>
      <c r="E5230">
        <v>2</v>
      </c>
      <c r="F5230">
        <v>3</v>
      </c>
      <c r="H5230">
        <v>2</v>
      </c>
      <c r="I5230">
        <v>1</v>
      </c>
      <c r="J5230" t="s">
        <v>8005</v>
      </c>
      <c r="K5230">
        <v>2</v>
      </c>
      <c r="L5230">
        <v>1.944</v>
      </c>
      <c r="M5230">
        <v>0</v>
      </c>
      <c r="N5230" t="s">
        <v>10019</v>
      </c>
      <c r="O5230" t="str">
        <f>HYPERLINK("Solo2\marker_473_750773.png", "Ver Imagen")</f>
        <v>Ver Imagen</v>
      </c>
      <c r="P5230" t="str">
        <f>HYPERLINK("NE\A-490\A-490__310.png", "Ver Imagen")</f>
        <v>Ver Imagen</v>
      </c>
    </row>
    <row r="5231" spans="1:16" x14ac:dyDescent="0.25">
      <c r="A5231">
        <v>4891</v>
      </c>
      <c r="B5231" t="s">
        <v>9787</v>
      </c>
      <c r="C5231">
        <v>37.472732498900001</v>
      </c>
      <c r="D5231">
        <v>-7.1944166550300004</v>
      </c>
      <c r="E5231">
        <v>2</v>
      </c>
      <c r="F5231">
        <v>3</v>
      </c>
      <c r="H5231">
        <v>2</v>
      </c>
      <c r="I5231">
        <v>1</v>
      </c>
      <c r="J5231" t="s">
        <v>8005</v>
      </c>
      <c r="K5231">
        <v>2</v>
      </c>
      <c r="L5231">
        <v>2.0329999999999999</v>
      </c>
      <c r="M5231">
        <v>0</v>
      </c>
      <c r="N5231" t="s">
        <v>10019</v>
      </c>
      <c r="O5231" t="str">
        <f>HYPERLINK("Solo2\marker_473_750773.png", "Ver Imagen")</f>
        <v>Ver Imagen</v>
      </c>
      <c r="P5231" t="str">
        <f>HYPERLINK("NO\A-490\A-490__310.png", "Ver Imagen")</f>
        <v>Ver Imagen</v>
      </c>
    </row>
    <row r="5232" spans="1:16" x14ac:dyDescent="0.25">
      <c r="A5232">
        <v>4892</v>
      </c>
      <c r="B5232" t="s">
        <v>9789</v>
      </c>
      <c r="C5232">
        <v>37.472849890900001</v>
      </c>
      <c r="D5232">
        <v>-7.1946161343700004</v>
      </c>
      <c r="E5232">
        <v>2</v>
      </c>
      <c r="F5232">
        <v>3</v>
      </c>
      <c r="H5232">
        <v>3</v>
      </c>
      <c r="I5232">
        <v>2</v>
      </c>
      <c r="J5232" t="s">
        <v>8005</v>
      </c>
      <c r="K5232">
        <v>2.5</v>
      </c>
      <c r="L5232">
        <v>1.9319999999999999</v>
      </c>
      <c r="M5232">
        <v>0</v>
      </c>
      <c r="N5232" t="s">
        <v>10019</v>
      </c>
      <c r="O5232" t="str">
        <f>HYPERLINK("Solo2\marker_782_750795.png", "Ver Imagen")</f>
        <v>Ver Imagen</v>
      </c>
      <c r="P5232" t="str">
        <f>HYPERLINK("NE\A-490\A-490__311.png", "Ver Imagen")</f>
        <v>Ver Imagen</v>
      </c>
    </row>
    <row r="5233" spans="1:16" x14ac:dyDescent="0.25">
      <c r="A5233">
        <v>4892</v>
      </c>
      <c r="B5233" t="s">
        <v>9789</v>
      </c>
      <c r="C5233">
        <v>37.472849890900001</v>
      </c>
      <c r="D5233">
        <v>-7.1946161343700004</v>
      </c>
      <c r="E5233">
        <v>2</v>
      </c>
      <c r="F5233">
        <v>3</v>
      </c>
      <c r="H5233">
        <v>3</v>
      </c>
      <c r="I5233">
        <v>2</v>
      </c>
      <c r="J5233" t="s">
        <v>8005</v>
      </c>
      <c r="K5233">
        <v>2.5</v>
      </c>
      <c r="L5233">
        <v>2.008</v>
      </c>
      <c r="M5233">
        <v>0</v>
      </c>
      <c r="N5233" t="s">
        <v>10019</v>
      </c>
      <c r="O5233" t="str">
        <f>HYPERLINK("Solo2\marker_782_750795.png", "Ver Imagen")</f>
        <v>Ver Imagen</v>
      </c>
      <c r="P5233" t="str">
        <f>HYPERLINK("NO\A-490\A-490__311.png", "Ver Imagen")</f>
        <v>Ver Imagen</v>
      </c>
    </row>
    <row r="5234" spans="1:16" x14ac:dyDescent="0.25">
      <c r="A5234">
        <v>4893</v>
      </c>
      <c r="B5234" t="s">
        <v>9791</v>
      </c>
      <c r="C5234">
        <v>37.472955910000003</v>
      </c>
      <c r="D5234">
        <v>-7.1947934957499999</v>
      </c>
      <c r="E5234">
        <v>2</v>
      </c>
      <c r="F5234">
        <v>4</v>
      </c>
      <c r="H5234">
        <v>3</v>
      </c>
      <c r="I5234">
        <v>3</v>
      </c>
      <c r="J5234" t="s">
        <v>8005</v>
      </c>
      <c r="K5234">
        <v>3</v>
      </c>
      <c r="L5234">
        <v>2.9009999999999998</v>
      </c>
      <c r="M5234">
        <v>0</v>
      </c>
      <c r="N5234" t="s">
        <v>10019</v>
      </c>
      <c r="O5234" t="str">
        <f>HYPERLINK("Solo2\marker_265_750814.png", "Ver Imagen")</f>
        <v>Ver Imagen</v>
      </c>
      <c r="P5234" t="str">
        <f>HYPERLINK("NE\A-490\A-490__312.png", "Ver Imagen")</f>
        <v>Ver Imagen</v>
      </c>
    </row>
    <row r="5235" spans="1:16" x14ac:dyDescent="0.25">
      <c r="A5235">
        <v>4894</v>
      </c>
      <c r="B5235" t="s">
        <v>9793</v>
      </c>
      <c r="C5235">
        <v>37.473109006100003</v>
      </c>
      <c r="D5235">
        <v>-7.1950482884999998</v>
      </c>
      <c r="E5235">
        <v>2</v>
      </c>
      <c r="F5235">
        <v>4</v>
      </c>
      <c r="H5235">
        <v>3</v>
      </c>
      <c r="I5235">
        <v>3</v>
      </c>
      <c r="J5235" t="s">
        <v>8005</v>
      </c>
      <c r="K5235">
        <v>3</v>
      </c>
      <c r="L5235">
        <v>2.8809999999999998</v>
      </c>
      <c r="M5235">
        <v>0</v>
      </c>
      <c r="N5235" t="s">
        <v>10019</v>
      </c>
      <c r="O5235" t="str">
        <f>HYPERLINK("Solo2\marker_125_750832.png", "Ver Imagen")</f>
        <v>Ver Imagen</v>
      </c>
      <c r="P5235" t="str">
        <f>HYPERLINK("NE\A-490\A-490__313.png", "Ver Imagen")</f>
        <v>Ver Imagen</v>
      </c>
    </row>
    <row r="5236" spans="1:16" x14ac:dyDescent="0.25">
      <c r="A5236">
        <v>4895</v>
      </c>
      <c r="B5236" t="s">
        <v>9795</v>
      </c>
      <c r="C5236">
        <v>37.4732272834</v>
      </c>
      <c r="D5236">
        <v>-7.1952467598799998</v>
      </c>
      <c r="E5236">
        <v>2</v>
      </c>
      <c r="F5236">
        <v>3</v>
      </c>
      <c r="H5236">
        <v>3</v>
      </c>
      <c r="I5236">
        <v>3</v>
      </c>
      <c r="J5236" t="s">
        <v>8005</v>
      </c>
      <c r="K5236">
        <v>3</v>
      </c>
      <c r="L5236">
        <v>3.0579999999999998</v>
      </c>
      <c r="M5236">
        <v>0</v>
      </c>
      <c r="N5236" t="s">
        <v>10019</v>
      </c>
      <c r="O5236" t="str">
        <f>HYPERLINK("Solo2\marker_434_750849.png", "Ver Imagen")</f>
        <v>Ver Imagen</v>
      </c>
      <c r="P5236" t="str">
        <f>HYPERLINK("NE\A-490\A-490__314.png", "Ver Imagen")</f>
        <v>Ver Imagen</v>
      </c>
    </row>
    <row r="5237" spans="1:16" x14ac:dyDescent="0.25">
      <c r="A5237">
        <v>4895</v>
      </c>
      <c r="B5237" t="s">
        <v>9795</v>
      </c>
      <c r="C5237">
        <v>37.4732272834</v>
      </c>
      <c r="D5237">
        <v>-7.1952467598799998</v>
      </c>
      <c r="E5237">
        <v>2</v>
      </c>
      <c r="F5237">
        <v>3</v>
      </c>
      <c r="H5237">
        <v>3</v>
      </c>
      <c r="I5237">
        <v>3</v>
      </c>
      <c r="J5237" t="s">
        <v>8005</v>
      </c>
      <c r="K5237">
        <v>3</v>
      </c>
      <c r="L5237">
        <v>3.2810000000000001</v>
      </c>
      <c r="M5237">
        <v>0</v>
      </c>
      <c r="N5237" t="s">
        <v>10019</v>
      </c>
      <c r="O5237" t="str">
        <f>HYPERLINK("Solo2\marker_434_750849.png", "Ver Imagen")</f>
        <v>Ver Imagen</v>
      </c>
      <c r="P5237" t="str">
        <f>HYPERLINK("NO\A-490\A-490__314.png", "Ver Imagen")</f>
        <v>Ver Imagen</v>
      </c>
    </row>
    <row r="5238" spans="1:16" x14ac:dyDescent="0.25">
      <c r="A5238">
        <v>4896</v>
      </c>
      <c r="B5238" t="s">
        <v>9797</v>
      </c>
      <c r="C5238">
        <v>37.473326353499999</v>
      </c>
      <c r="D5238">
        <v>-7.1954132506499997</v>
      </c>
      <c r="E5238">
        <v>1</v>
      </c>
      <c r="F5238">
        <v>2</v>
      </c>
      <c r="H5238">
        <v>2</v>
      </c>
      <c r="I5238">
        <v>2</v>
      </c>
      <c r="J5238" t="s">
        <v>8005</v>
      </c>
      <c r="K5238">
        <v>2</v>
      </c>
      <c r="L5238">
        <v>2.238</v>
      </c>
      <c r="M5238">
        <v>0</v>
      </c>
      <c r="N5238" t="s">
        <v>10019</v>
      </c>
      <c r="O5238" t="str">
        <f>HYPERLINK("Solo2\marker_734_750865.png", "Ver Imagen")</f>
        <v>Ver Imagen</v>
      </c>
      <c r="P5238" t="str">
        <f>HYPERLINK("NE\A-490\A-490__315.png", "Ver Imagen")</f>
        <v>Ver Imagen</v>
      </c>
    </row>
    <row r="5239" spans="1:16" x14ac:dyDescent="0.25">
      <c r="A5239">
        <v>4896</v>
      </c>
      <c r="B5239" t="s">
        <v>9797</v>
      </c>
      <c r="C5239">
        <v>37.473326353499999</v>
      </c>
      <c r="D5239">
        <v>-7.1954132506499997</v>
      </c>
      <c r="E5239">
        <v>1</v>
      </c>
      <c r="F5239">
        <v>2</v>
      </c>
      <c r="H5239">
        <v>2</v>
      </c>
      <c r="I5239">
        <v>2</v>
      </c>
      <c r="J5239" t="s">
        <v>8005</v>
      </c>
      <c r="K5239">
        <v>2</v>
      </c>
      <c r="L5239">
        <v>2.363</v>
      </c>
      <c r="M5239">
        <v>0</v>
      </c>
      <c r="N5239" t="s">
        <v>10019</v>
      </c>
      <c r="O5239" t="str">
        <f>HYPERLINK("Solo2\marker_734_750865.png", "Ver Imagen")</f>
        <v>Ver Imagen</v>
      </c>
      <c r="P5239" t="str">
        <f>HYPERLINK("NO\A-490\A-490__315.png", "Ver Imagen")</f>
        <v>Ver Imagen</v>
      </c>
    </row>
    <row r="5240" spans="1:16" x14ac:dyDescent="0.25">
      <c r="A5240">
        <v>4897</v>
      </c>
      <c r="B5240" t="s">
        <v>9799</v>
      </c>
      <c r="C5240">
        <v>37.473462582700002</v>
      </c>
      <c r="D5240">
        <v>-7.1956410435900002</v>
      </c>
      <c r="E5240">
        <v>1</v>
      </c>
      <c r="F5240">
        <v>3</v>
      </c>
      <c r="H5240">
        <v>2</v>
      </c>
      <c r="I5240">
        <v>2</v>
      </c>
      <c r="J5240" t="s">
        <v>8005</v>
      </c>
      <c r="K5240">
        <v>2</v>
      </c>
      <c r="L5240">
        <v>2.113</v>
      </c>
      <c r="M5240">
        <v>0</v>
      </c>
      <c r="N5240" t="s">
        <v>10019</v>
      </c>
      <c r="O5240" t="str">
        <f>HYPERLINK("Solo2\marker_925_750983.png", "Ver Imagen")</f>
        <v>Ver Imagen</v>
      </c>
      <c r="P5240" t="str">
        <f>HYPERLINK("NE\A-490\A-490__316.png", "Ver Imagen")</f>
        <v>Ver Imagen</v>
      </c>
    </row>
    <row r="5241" spans="1:16" x14ac:dyDescent="0.25">
      <c r="A5241">
        <v>4897</v>
      </c>
      <c r="B5241" t="s">
        <v>9799</v>
      </c>
      <c r="C5241">
        <v>37.473462582700002</v>
      </c>
      <c r="D5241">
        <v>-7.1956410435900002</v>
      </c>
      <c r="E5241">
        <v>1</v>
      </c>
      <c r="F5241">
        <v>3</v>
      </c>
      <c r="H5241">
        <v>2</v>
      </c>
      <c r="I5241">
        <v>2</v>
      </c>
      <c r="J5241" t="s">
        <v>8005</v>
      </c>
      <c r="K5241">
        <v>2</v>
      </c>
      <c r="L5241">
        <v>2.105</v>
      </c>
      <c r="M5241">
        <v>0</v>
      </c>
      <c r="N5241" t="s">
        <v>10019</v>
      </c>
      <c r="O5241" t="str">
        <f>HYPERLINK("Solo2\marker_925_750983.png", "Ver Imagen")</f>
        <v>Ver Imagen</v>
      </c>
      <c r="P5241" t="str">
        <f>HYPERLINK("NO\A-490\A-490__316.png", "Ver Imagen")</f>
        <v>Ver Imagen</v>
      </c>
    </row>
    <row r="5242" spans="1:16" x14ac:dyDescent="0.25">
      <c r="A5242">
        <v>4898</v>
      </c>
      <c r="B5242" t="s">
        <v>9801</v>
      </c>
      <c r="C5242">
        <v>37.473602009799997</v>
      </c>
      <c r="D5242">
        <v>-7.1958724277200004</v>
      </c>
      <c r="E5242">
        <v>2</v>
      </c>
      <c r="F5242">
        <v>2</v>
      </c>
      <c r="H5242">
        <v>2</v>
      </c>
      <c r="I5242">
        <v>1</v>
      </c>
      <c r="J5242" t="s">
        <v>8005</v>
      </c>
      <c r="K5242">
        <v>2</v>
      </c>
      <c r="L5242">
        <v>1.8779999999999999</v>
      </c>
      <c r="M5242">
        <v>0</v>
      </c>
      <c r="N5242" t="s">
        <v>10019</v>
      </c>
      <c r="O5242" t="str">
        <f>HYPERLINK("Solo2\marker_437_751000.png", "Ver Imagen")</f>
        <v>Ver Imagen</v>
      </c>
      <c r="P5242" t="str">
        <f>HYPERLINK("NE\A-490\A-490__317.png", "Ver Imagen")</f>
        <v>Ver Imagen</v>
      </c>
    </row>
    <row r="5243" spans="1:16" x14ac:dyDescent="0.25">
      <c r="A5243">
        <v>4898</v>
      </c>
      <c r="B5243" t="s">
        <v>9801</v>
      </c>
      <c r="C5243">
        <v>37.473602009799997</v>
      </c>
      <c r="D5243">
        <v>-7.1958724277200004</v>
      </c>
      <c r="E5243">
        <v>2</v>
      </c>
      <c r="F5243">
        <v>2</v>
      </c>
      <c r="H5243">
        <v>2</v>
      </c>
      <c r="I5243">
        <v>1</v>
      </c>
      <c r="J5243" t="s">
        <v>8005</v>
      </c>
      <c r="K5243">
        <v>2</v>
      </c>
      <c r="L5243">
        <v>1.8819999999999999</v>
      </c>
      <c r="M5243">
        <v>0</v>
      </c>
      <c r="N5243" t="s">
        <v>10019</v>
      </c>
      <c r="O5243" t="str">
        <f>HYPERLINK("Solo2\marker_437_751000.png", "Ver Imagen")</f>
        <v>Ver Imagen</v>
      </c>
      <c r="P5243" t="str">
        <f>HYPERLINK("NO\A-490\A-490__317.png", "Ver Imagen")</f>
        <v>Ver Imagen</v>
      </c>
    </row>
    <row r="5244" spans="1:16" x14ac:dyDescent="0.25">
      <c r="A5244">
        <v>4899</v>
      </c>
      <c r="B5244" t="s">
        <v>9803</v>
      </c>
      <c r="C5244">
        <v>37.473682414199999</v>
      </c>
      <c r="D5244">
        <v>-7.1960053205700003</v>
      </c>
      <c r="E5244">
        <v>3</v>
      </c>
      <c r="F5244">
        <v>4</v>
      </c>
      <c r="H5244">
        <v>2</v>
      </c>
      <c r="I5244">
        <v>2</v>
      </c>
      <c r="J5244" t="s">
        <v>8005</v>
      </c>
      <c r="K5244">
        <v>2.5</v>
      </c>
      <c r="L5244">
        <v>2.3180000000000001</v>
      </c>
      <c r="M5244">
        <v>0</v>
      </c>
      <c r="N5244" t="s">
        <v>10018</v>
      </c>
      <c r="O5244" t="str">
        <f>HYPERLINK("Solo2\marker_786_751014.png", "Ver Imagen")</f>
        <v>Ver Imagen</v>
      </c>
      <c r="P5244" t="str">
        <f>HYPERLINK("NE\A-490\A-490__318.png", "Ver Imagen")</f>
        <v>Ver Imagen</v>
      </c>
    </row>
    <row r="5245" spans="1:16" x14ac:dyDescent="0.25">
      <c r="A5245">
        <v>4899</v>
      </c>
      <c r="B5245" t="s">
        <v>9803</v>
      </c>
      <c r="C5245">
        <v>37.473682414199999</v>
      </c>
      <c r="D5245">
        <v>-7.1960053205700003</v>
      </c>
      <c r="E5245">
        <v>3</v>
      </c>
      <c r="F5245">
        <v>4</v>
      </c>
      <c r="H5245">
        <v>2</v>
      </c>
      <c r="I5245">
        <v>2</v>
      </c>
      <c r="J5245" t="s">
        <v>8005</v>
      </c>
      <c r="K5245">
        <v>2.5</v>
      </c>
      <c r="L5245">
        <v>2.137</v>
      </c>
      <c r="M5245">
        <v>0</v>
      </c>
      <c r="N5245" t="s">
        <v>10018</v>
      </c>
      <c r="O5245" t="str">
        <f>HYPERLINK("Solo2\marker_786_751014.png", "Ver Imagen")</f>
        <v>Ver Imagen</v>
      </c>
      <c r="P5245" t="str">
        <f>HYPERLINK("NO\A-490\A-490__318.png", "Ver Imagen")</f>
        <v>Ver Imagen</v>
      </c>
    </row>
    <row r="5246" spans="1:16" x14ac:dyDescent="0.25">
      <c r="A5246">
        <v>4900</v>
      </c>
      <c r="B5246" t="s">
        <v>9805</v>
      </c>
      <c r="C5246">
        <v>37.473815066999997</v>
      </c>
      <c r="D5246">
        <v>-7.1962243046400003</v>
      </c>
      <c r="E5246">
        <v>2</v>
      </c>
      <c r="F5246">
        <v>3</v>
      </c>
      <c r="H5246">
        <v>3</v>
      </c>
      <c r="I5246">
        <v>3</v>
      </c>
      <c r="J5246" t="s">
        <v>8005</v>
      </c>
      <c r="K5246">
        <v>3</v>
      </c>
      <c r="L5246">
        <v>3.1469999999999998</v>
      </c>
      <c r="M5246">
        <v>0</v>
      </c>
      <c r="N5246" t="s">
        <v>10019</v>
      </c>
      <c r="O5246" t="str">
        <f>HYPERLINK("Solo2\marker_981_751034.png", "Ver Imagen")</f>
        <v>Ver Imagen</v>
      </c>
      <c r="P5246" t="str">
        <f>HYPERLINK("NE\A-490\A-490__319.png", "Ver Imagen")</f>
        <v>Ver Imagen</v>
      </c>
    </row>
    <row r="5247" spans="1:16" x14ac:dyDescent="0.25">
      <c r="A5247">
        <v>4900</v>
      </c>
      <c r="B5247" t="s">
        <v>9805</v>
      </c>
      <c r="C5247">
        <v>37.473815066999997</v>
      </c>
      <c r="D5247">
        <v>-7.1962243046400003</v>
      </c>
      <c r="E5247">
        <v>2</v>
      </c>
      <c r="F5247">
        <v>3</v>
      </c>
      <c r="H5247">
        <v>3</v>
      </c>
      <c r="I5247">
        <v>3</v>
      </c>
      <c r="J5247" t="s">
        <v>8005</v>
      </c>
      <c r="K5247">
        <v>3</v>
      </c>
      <c r="L5247">
        <v>2.8159999999999998</v>
      </c>
      <c r="M5247">
        <v>0</v>
      </c>
      <c r="N5247" t="s">
        <v>10019</v>
      </c>
      <c r="O5247" t="str">
        <f>HYPERLINK("Solo2\marker_981_751034.png", "Ver Imagen")</f>
        <v>Ver Imagen</v>
      </c>
      <c r="P5247" t="str">
        <f>HYPERLINK("NO\A-490\A-490__319.png", "Ver Imagen")</f>
        <v>Ver Imagen</v>
      </c>
    </row>
    <row r="5248" spans="1:16" x14ac:dyDescent="0.25">
      <c r="A5248">
        <v>4901</v>
      </c>
      <c r="B5248" t="s">
        <v>9807</v>
      </c>
      <c r="C5248">
        <v>37.473936827800003</v>
      </c>
      <c r="D5248">
        <v>-7.1964270983700001</v>
      </c>
      <c r="E5248">
        <v>2</v>
      </c>
      <c r="F5248">
        <v>2</v>
      </c>
      <c r="H5248">
        <v>2</v>
      </c>
      <c r="I5248">
        <v>2</v>
      </c>
      <c r="J5248" t="s">
        <v>8005</v>
      </c>
      <c r="K5248">
        <v>2</v>
      </c>
      <c r="L5248">
        <v>1.7949999999999999</v>
      </c>
      <c r="M5248">
        <v>0</v>
      </c>
      <c r="N5248" t="s">
        <v>10019</v>
      </c>
      <c r="O5248" t="str">
        <f>HYPERLINK("Solo2\marker_523_751056.png", "Ver Imagen")</f>
        <v>Ver Imagen</v>
      </c>
      <c r="P5248" t="str">
        <f>HYPERLINK("NE\A-490\A-490__320.png", "Ver Imagen")</f>
        <v>Ver Imagen</v>
      </c>
    </row>
    <row r="5249" spans="1:16" x14ac:dyDescent="0.25">
      <c r="A5249">
        <v>4901</v>
      </c>
      <c r="B5249" t="s">
        <v>9807</v>
      </c>
      <c r="C5249">
        <v>37.473936827800003</v>
      </c>
      <c r="D5249">
        <v>-7.1964270983700001</v>
      </c>
      <c r="E5249">
        <v>2</v>
      </c>
      <c r="F5249">
        <v>2</v>
      </c>
      <c r="H5249">
        <v>2</v>
      </c>
      <c r="I5249">
        <v>2</v>
      </c>
      <c r="J5249" t="s">
        <v>8005</v>
      </c>
      <c r="K5249">
        <v>2</v>
      </c>
      <c r="L5249">
        <v>2.1339999999999999</v>
      </c>
      <c r="M5249">
        <v>0</v>
      </c>
      <c r="N5249" t="s">
        <v>10019</v>
      </c>
      <c r="O5249" t="str">
        <f>HYPERLINK("Solo2\marker_523_751056.png", "Ver Imagen")</f>
        <v>Ver Imagen</v>
      </c>
      <c r="P5249" t="str">
        <f>HYPERLINK("NO\A-490\A-490__320.png", "Ver Imagen")</f>
        <v>Ver Imagen</v>
      </c>
    </row>
    <row r="5250" spans="1:16" x14ac:dyDescent="0.25">
      <c r="A5250">
        <v>4902</v>
      </c>
      <c r="B5250" t="s">
        <v>9809</v>
      </c>
      <c r="C5250">
        <v>37.474059290299998</v>
      </c>
      <c r="D5250">
        <v>-7.1966391300900003</v>
      </c>
      <c r="E5250">
        <v>1</v>
      </c>
      <c r="F5250">
        <v>2</v>
      </c>
      <c r="H5250">
        <v>3</v>
      </c>
      <c r="I5250">
        <v>2</v>
      </c>
      <c r="J5250" t="s">
        <v>8005</v>
      </c>
      <c r="K5250">
        <v>2</v>
      </c>
      <c r="L5250">
        <v>1.7110000000000001</v>
      </c>
      <c r="M5250">
        <v>0</v>
      </c>
      <c r="N5250" t="s">
        <v>10019</v>
      </c>
      <c r="O5250" t="str">
        <f>HYPERLINK("Solo2\marker_337_751077.png", "Ver Imagen")</f>
        <v>Ver Imagen</v>
      </c>
      <c r="P5250" t="str">
        <f>HYPERLINK("NE\A-490\A-490__321.png", "Ver Imagen")</f>
        <v>Ver Imagen</v>
      </c>
    </row>
    <row r="5251" spans="1:16" x14ac:dyDescent="0.25">
      <c r="A5251">
        <v>4902</v>
      </c>
      <c r="B5251" t="s">
        <v>9809</v>
      </c>
      <c r="C5251">
        <v>37.474059290299998</v>
      </c>
      <c r="D5251">
        <v>-7.1966391300900003</v>
      </c>
      <c r="E5251">
        <v>1</v>
      </c>
      <c r="F5251">
        <v>2</v>
      </c>
      <c r="H5251">
        <v>3</v>
      </c>
      <c r="I5251">
        <v>2</v>
      </c>
      <c r="J5251" t="s">
        <v>8005</v>
      </c>
      <c r="K5251">
        <v>2</v>
      </c>
      <c r="L5251">
        <v>1.673</v>
      </c>
      <c r="M5251">
        <v>0</v>
      </c>
      <c r="N5251" t="s">
        <v>10019</v>
      </c>
      <c r="O5251" t="str">
        <f>HYPERLINK("Solo2\marker_337_751077.png", "Ver Imagen")</f>
        <v>Ver Imagen</v>
      </c>
      <c r="P5251" t="str">
        <f>HYPERLINK("NO\A-490\A-490__321.png", "Ver Imagen")</f>
        <v>Ver Imagen</v>
      </c>
    </row>
    <row r="5252" spans="1:16" x14ac:dyDescent="0.25">
      <c r="A5252">
        <v>4903</v>
      </c>
      <c r="B5252" t="s">
        <v>9811</v>
      </c>
      <c r="C5252">
        <v>37.474186609</v>
      </c>
      <c r="D5252">
        <v>-7.1968843111699998</v>
      </c>
      <c r="E5252">
        <v>1</v>
      </c>
      <c r="F5252">
        <v>2</v>
      </c>
      <c r="H5252">
        <v>2</v>
      </c>
      <c r="I5252">
        <v>2</v>
      </c>
      <c r="J5252" t="s">
        <v>8005</v>
      </c>
      <c r="K5252">
        <v>2</v>
      </c>
      <c r="L5252">
        <v>1.8560000000000001</v>
      </c>
      <c r="M5252">
        <v>0</v>
      </c>
      <c r="N5252" t="s">
        <v>10019</v>
      </c>
      <c r="O5252" t="str">
        <f>HYPERLINK("Solo2\marker_583_751100.png", "Ver Imagen")</f>
        <v>Ver Imagen</v>
      </c>
      <c r="P5252" t="str">
        <f>HYPERLINK("NE\A-490\A-490__322.png", "Ver Imagen")</f>
        <v>Ver Imagen</v>
      </c>
    </row>
    <row r="5253" spans="1:16" x14ac:dyDescent="0.25">
      <c r="A5253">
        <v>4903</v>
      </c>
      <c r="B5253" t="s">
        <v>9811</v>
      </c>
      <c r="C5253">
        <v>37.474186609</v>
      </c>
      <c r="D5253">
        <v>-7.1968843111699998</v>
      </c>
      <c r="E5253">
        <v>1</v>
      </c>
      <c r="F5253">
        <v>2</v>
      </c>
      <c r="H5253">
        <v>2</v>
      </c>
      <c r="I5253">
        <v>2</v>
      </c>
      <c r="J5253" t="s">
        <v>8005</v>
      </c>
      <c r="K5253">
        <v>2</v>
      </c>
      <c r="L5253">
        <v>1.871</v>
      </c>
      <c r="M5253">
        <v>0</v>
      </c>
      <c r="N5253" t="s">
        <v>10019</v>
      </c>
      <c r="O5253" t="str">
        <f>HYPERLINK("Solo2\marker_583_751100.png", "Ver Imagen")</f>
        <v>Ver Imagen</v>
      </c>
      <c r="P5253" t="str">
        <f>HYPERLINK("NO\A-490\A-490__322.png", "Ver Imagen")</f>
        <v>Ver Imagen</v>
      </c>
    </row>
    <row r="5254" spans="1:16" x14ac:dyDescent="0.25">
      <c r="A5254">
        <v>4904</v>
      </c>
      <c r="B5254" t="s">
        <v>9813</v>
      </c>
      <c r="C5254">
        <v>37.4742876635</v>
      </c>
      <c r="D5254">
        <v>-7.1971033586699997</v>
      </c>
      <c r="E5254">
        <v>1</v>
      </c>
      <c r="F5254">
        <v>3</v>
      </c>
      <c r="H5254">
        <v>2</v>
      </c>
      <c r="I5254">
        <v>2</v>
      </c>
      <c r="J5254" t="s">
        <v>8005</v>
      </c>
      <c r="K5254">
        <v>2</v>
      </c>
      <c r="L5254">
        <v>2.0840000000000001</v>
      </c>
      <c r="M5254">
        <v>0</v>
      </c>
      <c r="N5254" t="s">
        <v>10019</v>
      </c>
      <c r="O5254" t="str">
        <f>HYPERLINK("Solo2\marker_357_751127.png", "Ver Imagen")</f>
        <v>Ver Imagen</v>
      </c>
      <c r="P5254" t="str">
        <f>HYPERLINK("NE\A-490\A-490__323.png", "Ver Imagen")</f>
        <v>Ver Imagen</v>
      </c>
    </row>
    <row r="5255" spans="1:16" x14ac:dyDescent="0.25">
      <c r="A5255">
        <v>4904</v>
      </c>
      <c r="B5255" t="s">
        <v>9813</v>
      </c>
      <c r="C5255">
        <v>37.4742876635</v>
      </c>
      <c r="D5255">
        <v>-7.1971033586699997</v>
      </c>
      <c r="E5255">
        <v>1</v>
      </c>
      <c r="F5255">
        <v>3</v>
      </c>
      <c r="H5255">
        <v>2</v>
      </c>
      <c r="I5255">
        <v>2</v>
      </c>
      <c r="J5255" t="s">
        <v>8005</v>
      </c>
      <c r="K5255">
        <v>2</v>
      </c>
      <c r="L5255">
        <v>2.028</v>
      </c>
      <c r="M5255">
        <v>0</v>
      </c>
      <c r="N5255" t="s">
        <v>10019</v>
      </c>
      <c r="O5255" t="str">
        <f>HYPERLINK("Solo2\marker_357_751127.png", "Ver Imagen")</f>
        <v>Ver Imagen</v>
      </c>
      <c r="P5255" t="str">
        <f>HYPERLINK("NO\A-490\A-490__323.png", "Ver Imagen")</f>
        <v>Ver Imagen</v>
      </c>
    </row>
    <row r="5256" spans="1:16" x14ac:dyDescent="0.25">
      <c r="A5256">
        <v>4905</v>
      </c>
      <c r="B5256" t="s">
        <v>9815</v>
      </c>
      <c r="C5256">
        <v>37.4743751305</v>
      </c>
      <c r="D5256">
        <v>-7.1973054913099999</v>
      </c>
      <c r="E5256">
        <v>1</v>
      </c>
      <c r="F5256">
        <v>2</v>
      </c>
      <c r="H5256">
        <v>2</v>
      </c>
      <c r="I5256">
        <v>2</v>
      </c>
      <c r="J5256" t="s">
        <v>8005</v>
      </c>
      <c r="K5256">
        <v>2</v>
      </c>
      <c r="L5256">
        <v>2.0369999999999999</v>
      </c>
      <c r="M5256">
        <v>0</v>
      </c>
      <c r="N5256" t="s">
        <v>10017</v>
      </c>
      <c r="O5256" t="str">
        <f>HYPERLINK("Solo2\marker_591_751148.png", "Ver Imagen")</f>
        <v>Ver Imagen</v>
      </c>
      <c r="P5256" t="str">
        <f>HYPERLINK("NE\A-490\A-490__324.png", "Ver Imagen")</f>
        <v>Ver Imagen</v>
      </c>
    </row>
    <row r="5257" spans="1:16" x14ac:dyDescent="0.25">
      <c r="A5257">
        <v>4905</v>
      </c>
      <c r="B5257" t="s">
        <v>9815</v>
      </c>
      <c r="C5257">
        <v>37.4743751305</v>
      </c>
      <c r="D5257">
        <v>-7.1973054913099999</v>
      </c>
      <c r="E5257">
        <v>1</v>
      </c>
      <c r="F5257">
        <v>2</v>
      </c>
      <c r="H5257">
        <v>2</v>
      </c>
      <c r="I5257">
        <v>2</v>
      </c>
      <c r="J5257" t="s">
        <v>8005</v>
      </c>
      <c r="K5257">
        <v>2</v>
      </c>
      <c r="L5257">
        <v>2.1589999999999998</v>
      </c>
      <c r="M5257">
        <v>0</v>
      </c>
      <c r="N5257" t="s">
        <v>10017</v>
      </c>
      <c r="O5257" t="str">
        <f>HYPERLINK("Solo2\marker_591_751148.png", "Ver Imagen")</f>
        <v>Ver Imagen</v>
      </c>
      <c r="P5257" t="str">
        <f>HYPERLINK("NO\A-490\A-490__324.png", "Ver Imagen")</f>
        <v>Ver Imagen</v>
      </c>
    </row>
    <row r="5258" spans="1:16" x14ac:dyDescent="0.25">
      <c r="A5258">
        <v>4906</v>
      </c>
      <c r="B5258" t="s">
        <v>9817</v>
      </c>
      <c r="C5258">
        <v>37.474474553100002</v>
      </c>
      <c r="D5258">
        <v>-7.1975405825400003</v>
      </c>
      <c r="E5258">
        <v>1</v>
      </c>
      <c r="F5258">
        <v>3</v>
      </c>
      <c r="H5258">
        <v>2</v>
      </c>
      <c r="I5258">
        <v>2</v>
      </c>
      <c r="J5258" t="s">
        <v>8005</v>
      </c>
      <c r="K5258">
        <v>2</v>
      </c>
      <c r="L5258">
        <v>1.927</v>
      </c>
      <c r="M5258">
        <v>0</v>
      </c>
      <c r="N5258" t="s">
        <v>10019</v>
      </c>
      <c r="O5258" t="str">
        <f>HYPERLINK("Solo2\marker_642_751168.png", "Ver Imagen")</f>
        <v>Ver Imagen</v>
      </c>
      <c r="P5258" t="str">
        <f>HYPERLINK("NE\A-490\A-490__325.png", "Ver Imagen")</f>
        <v>Ver Imagen</v>
      </c>
    </row>
    <row r="5259" spans="1:16" x14ac:dyDescent="0.25">
      <c r="A5259">
        <v>4906</v>
      </c>
      <c r="B5259" t="s">
        <v>9817</v>
      </c>
      <c r="C5259">
        <v>37.474474553100002</v>
      </c>
      <c r="D5259">
        <v>-7.1975405825400003</v>
      </c>
      <c r="E5259">
        <v>1</v>
      </c>
      <c r="F5259">
        <v>3</v>
      </c>
      <c r="H5259">
        <v>2</v>
      </c>
      <c r="I5259">
        <v>2</v>
      </c>
      <c r="J5259" t="s">
        <v>8005</v>
      </c>
      <c r="K5259">
        <v>2</v>
      </c>
      <c r="L5259">
        <v>2.16</v>
      </c>
      <c r="M5259">
        <v>0</v>
      </c>
      <c r="N5259" t="s">
        <v>10019</v>
      </c>
      <c r="O5259" t="str">
        <f>HYPERLINK("Solo2\marker_642_751168.png", "Ver Imagen")</f>
        <v>Ver Imagen</v>
      </c>
      <c r="P5259" t="str">
        <f>HYPERLINK("NO\A-490\A-490__325.png", "Ver Imagen")</f>
        <v>Ver Imagen</v>
      </c>
    </row>
    <row r="5260" spans="1:16" x14ac:dyDescent="0.25">
      <c r="A5260">
        <v>4907</v>
      </c>
      <c r="B5260" t="s">
        <v>9819</v>
      </c>
      <c r="C5260">
        <v>37.474590622299999</v>
      </c>
      <c r="D5260">
        <v>-7.1978134657800004</v>
      </c>
      <c r="E5260">
        <v>1</v>
      </c>
      <c r="F5260">
        <v>2</v>
      </c>
      <c r="H5260">
        <v>2</v>
      </c>
      <c r="I5260">
        <v>2</v>
      </c>
      <c r="J5260" t="s">
        <v>8005</v>
      </c>
      <c r="K5260">
        <v>2</v>
      </c>
      <c r="L5260">
        <v>2.1579999999999999</v>
      </c>
      <c r="M5260">
        <v>0</v>
      </c>
      <c r="N5260" t="s">
        <v>10019</v>
      </c>
      <c r="O5260" t="str">
        <f>HYPERLINK("Solo2\marker_845_751185.png", "Ver Imagen")</f>
        <v>Ver Imagen</v>
      </c>
      <c r="P5260" t="str">
        <f>HYPERLINK("NE\A-490\A-490__326.png", "Ver Imagen")</f>
        <v>Ver Imagen</v>
      </c>
    </row>
    <row r="5261" spans="1:16" x14ac:dyDescent="0.25">
      <c r="A5261">
        <v>4907</v>
      </c>
      <c r="B5261" t="s">
        <v>9819</v>
      </c>
      <c r="C5261">
        <v>37.474590622299999</v>
      </c>
      <c r="D5261">
        <v>-7.1978134657800004</v>
      </c>
      <c r="E5261">
        <v>1</v>
      </c>
      <c r="F5261">
        <v>2</v>
      </c>
      <c r="H5261">
        <v>2</v>
      </c>
      <c r="I5261">
        <v>2</v>
      </c>
      <c r="J5261" t="s">
        <v>8005</v>
      </c>
      <c r="K5261">
        <v>2</v>
      </c>
      <c r="L5261">
        <v>2.1589999999999998</v>
      </c>
      <c r="M5261">
        <v>0</v>
      </c>
      <c r="N5261" t="s">
        <v>10019</v>
      </c>
      <c r="O5261" t="str">
        <f>HYPERLINK("Solo2\marker_845_751185.png", "Ver Imagen")</f>
        <v>Ver Imagen</v>
      </c>
      <c r="P5261" t="str">
        <f>HYPERLINK("NO\A-490\A-490__326.png", "Ver Imagen")</f>
        <v>Ver Imagen</v>
      </c>
    </row>
    <row r="5262" spans="1:16" x14ac:dyDescent="0.25">
      <c r="A5262">
        <v>4908</v>
      </c>
      <c r="B5262" t="s">
        <v>9821</v>
      </c>
      <c r="C5262">
        <v>37.4746813008</v>
      </c>
      <c r="D5262">
        <v>-7.1980251067000003</v>
      </c>
      <c r="E5262">
        <v>1</v>
      </c>
      <c r="F5262">
        <v>2</v>
      </c>
      <c r="H5262">
        <v>2</v>
      </c>
      <c r="I5262">
        <v>2</v>
      </c>
      <c r="J5262" t="s">
        <v>8005</v>
      </c>
      <c r="K5262">
        <v>2</v>
      </c>
      <c r="L5262">
        <v>2.089</v>
      </c>
      <c r="M5262">
        <v>0</v>
      </c>
      <c r="N5262" t="s">
        <v>10019</v>
      </c>
      <c r="O5262" t="str">
        <f>HYPERLINK("Solo2\marker_733_751201.png", "Ver Imagen")</f>
        <v>Ver Imagen</v>
      </c>
      <c r="P5262" t="str">
        <f>HYPERLINK("NE\A-490\A-490__327.png", "Ver Imagen")</f>
        <v>Ver Imagen</v>
      </c>
    </row>
    <row r="5263" spans="1:16" x14ac:dyDescent="0.25">
      <c r="A5263">
        <v>4908</v>
      </c>
      <c r="B5263" t="s">
        <v>9821</v>
      </c>
      <c r="C5263">
        <v>37.4746813008</v>
      </c>
      <c r="D5263">
        <v>-7.1980251067000003</v>
      </c>
      <c r="E5263">
        <v>1</v>
      </c>
      <c r="F5263">
        <v>2</v>
      </c>
      <c r="H5263">
        <v>2</v>
      </c>
      <c r="I5263">
        <v>2</v>
      </c>
      <c r="J5263" t="s">
        <v>8005</v>
      </c>
      <c r="K5263">
        <v>2</v>
      </c>
      <c r="L5263">
        <v>2.3679999999999999</v>
      </c>
      <c r="M5263">
        <v>0</v>
      </c>
      <c r="N5263" t="s">
        <v>10019</v>
      </c>
      <c r="O5263" t="str">
        <f>HYPERLINK("Solo2\marker_733_751201.png", "Ver Imagen")</f>
        <v>Ver Imagen</v>
      </c>
      <c r="P5263" t="str">
        <f>HYPERLINK("NO\A-490\A-490__327.png", "Ver Imagen")</f>
        <v>Ver Imagen</v>
      </c>
    </row>
    <row r="5264" spans="1:16" x14ac:dyDescent="0.25">
      <c r="A5264">
        <v>4909</v>
      </c>
      <c r="B5264" t="s">
        <v>9823</v>
      </c>
      <c r="C5264">
        <v>37.474757126100002</v>
      </c>
      <c r="D5264">
        <v>-7.1982002436799997</v>
      </c>
      <c r="E5264">
        <v>1</v>
      </c>
      <c r="F5264">
        <v>3</v>
      </c>
      <c r="H5264">
        <v>2</v>
      </c>
      <c r="I5264">
        <v>2</v>
      </c>
      <c r="J5264" t="s">
        <v>8005</v>
      </c>
      <c r="K5264">
        <v>2</v>
      </c>
      <c r="L5264">
        <v>2.06</v>
      </c>
      <c r="M5264">
        <v>0</v>
      </c>
      <c r="N5264" t="s">
        <v>10019</v>
      </c>
      <c r="O5264" t="str">
        <f>HYPERLINK("Solo2\marker_587_751219.png", "Ver Imagen")</f>
        <v>Ver Imagen</v>
      </c>
      <c r="P5264" t="str">
        <f>HYPERLINK("NE\A-490\A-490__328.png", "Ver Imagen")</f>
        <v>Ver Imagen</v>
      </c>
    </row>
    <row r="5265" spans="1:16" x14ac:dyDescent="0.25">
      <c r="A5265">
        <v>4909</v>
      </c>
      <c r="B5265" t="s">
        <v>9823</v>
      </c>
      <c r="C5265">
        <v>37.474757126100002</v>
      </c>
      <c r="D5265">
        <v>-7.1982002436799997</v>
      </c>
      <c r="E5265">
        <v>1</v>
      </c>
      <c r="F5265">
        <v>3</v>
      </c>
      <c r="H5265">
        <v>2</v>
      </c>
      <c r="I5265">
        <v>2</v>
      </c>
      <c r="J5265" t="s">
        <v>8005</v>
      </c>
      <c r="K5265">
        <v>2</v>
      </c>
      <c r="L5265">
        <v>2.056</v>
      </c>
      <c r="M5265">
        <v>0</v>
      </c>
      <c r="N5265" t="s">
        <v>10019</v>
      </c>
      <c r="O5265" t="str">
        <f>HYPERLINK("Solo2\marker_587_751219.png", "Ver Imagen")</f>
        <v>Ver Imagen</v>
      </c>
      <c r="P5265" t="str">
        <f>HYPERLINK("NO\A-490\A-490__328.png", "Ver Imagen")</f>
        <v>Ver Imagen</v>
      </c>
    </row>
    <row r="5266" spans="1:16" x14ac:dyDescent="0.25">
      <c r="A5266">
        <v>4910</v>
      </c>
      <c r="B5266" t="s">
        <v>9825</v>
      </c>
      <c r="C5266">
        <v>37.4748492513</v>
      </c>
      <c r="D5266">
        <v>-7.1984092537800004</v>
      </c>
      <c r="E5266">
        <v>1</v>
      </c>
      <c r="F5266">
        <v>3</v>
      </c>
      <c r="H5266">
        <v>2</v>
      </c>
      <c r="I5266">
        <v>3</v>
      </c>
      <c r="J5266" t="s">
        <v>8005</v>
      </c>
      <c r="K5266">
        <v>2.5</v>
      </c>
      <c r="L5266">
        <v>2.2530000000000001</v>
      </c>
      <c r="M5266">
        <v>0</v>
      </c>
      <c r="N5266" t="s">
        <v>10019</v>
      </c>
      <c r="O5266" t="str">
        <f>HYPERLINK("Solo2\marker_430_751240.png", "Ver Imagen")</f>
        <v>Ver Imagen</v>
      </c>
      <c r="P5266" t="str">
        <f>HYPERLINK("NE\A-490\A-490__329.png", "Ver Imagen")</f>
        <v>Ver Imagen</v>
      </c>
    </row>
    <row r="5267" spans="1:16" x14ac:dyDescent="0.25">
      <c r="A5267">
        <v>4910</v>
      </c>
      <c r="B5267" t="s">
        <v>9825</v>
      </c>
      <c r="C5267">
        <v>37.4748492513</v>
      </c>
      <c r="D5267">
        <v>-7.1984092537800004</v>
      </c>
      <c r="E5267">
        <v>1</v>
      </c>
      <c r="F5267">
        <v>3</v>
      </c>
      <c r="H5267">
        <v>2</v>
      </c>
      <c r="I5267">
        <v>3</v>
      </c>
      <c r="J5267" t="s">
        <v>8005</v>
      </c>
      <c r="K5267">
        <v>2.5</v>
      </c>
      <c r="L5267">
        <v>1.599</v>
      </c>
      <c r="M5267">
        <v>0</v>
      </c>
      <c r="N5267" t="s">
        <v>10019</v>
      </c>
      <c r="O5267" t="str">
        <f>HYPERLINK("Solo2\marker_430_751240.png", "Ver Imagen")</f>
        <v>Ver Imagen</v>
      </c>
      <c r="P5267" t="str">
        <f>HYPERLINK("NO\A-490\A-490__329.png", "Ver Imagen")</f>
        <v>Ver Imagen</v>
      </c>
    </row>
    <row r="5268" spans="1:16" x14ac:dyDescent="0.25">
      <c r="A5268">
        <v>4911</v>
      </c>
      <c r="B5268" t="s">
        <v>9827</v>
      </c>
      <c r="C5268">
        <v>37.474963897199999</v>
      </c>
      <c r="D5268">
        <v>-7.1986678899500003</v>
      </c>
      <c r="E5268">
        <v>1</v>
      </c>
      <c r="F5268">
        <v>2</v>
      </c>
      <c r="H5268">
        <v>2</v>
      </c>
      <c r="I5268">
        <v>2</v>
      </c>
      <c r="J5268" t="s">
        <v>8005</v>
      </c>
      <c r="K5268">
        <v>2</v>
      </c>
      <c r="L5268">
        <v>2.0979999999999999</v>
      </c>
      <c r="M5268">
        <v>0</v>
      </c>
      <c r="N5268" t="s">
        <v>10019</v>
      </c>
      <c r="O5268" t="str">
        <f>HYPERLINK("Solo2\marker_714_751254.png", "Ver Imagen")</f>
        <v>Ver Imagen</v>
      </c>
      <c r="P5268" t="str">
        <f>HYPERLINK("NE\A-490\A-490__330.png", "Ver Imagen")</f>
        <v>Ver Imagen</v>
      </c>
    </row>
    <row r="5269" spans="1:16" x14ac:dyDescent="0.25">
      <c r="A5269">
        <v>4911</v>
      </c>
      <c r="B5269" t="s">
        <v>9827</v>
      </c>
      <c r="C5269">
        <v>37.474963897199999</v>
      </c>
      <c r="D5269">
        <v>-7.1986678899500003</v>
      </c>
      <c r="E5269">
        <v>1</v>
      </c>
      <c r="F5269">
        <v>2</v>
      </c>
      <c r="H5269">
        <v>2</v>
      </c>
      <c r="I5269">
        <v>2</v>
      </c>
      <c r="J5269" t="s">
        <v>8005</v>
      </c>
      <c r="K5269">
        <v>2</v>
      </c>
      <c r="L5269">
        <v>2.0249999999999999</v>
      </c>
      <c r="M5269">
        <v>0</v>
      </c>
      <c r="N5269" t="s">
        <v>10019</v>
      </c>
      <c r="O5269" t="str">
        <f>HYPERLINK("Solo2\marker_714_751254.png", "Ver Imagen")</f>
        <v>Ver Imagen</v>
      </c>
      <c r="P5269" t="str">
        <f>HYPERLINK("NO\A-490\A-490__330.png", "Ver Imagen")</f>
        <v>Ver Imagen</v>
      </c>
    </row>
    <row r="5270" spans="1:16" x14ac:dyDescent="0.25">
      <c r="A5270">
        <v>4912</v>
      </c>
      <c r="B5270" t="s">
        <v>9829</v>
      </c>
      <c r="C5270">
        <v>37.475067543500003</v>
      </c>
      <c r="D5270">
        <v>-7.1989047694300003</v>
      </c>
      <c r="E5270">
        <v>1</v>
      </c>
      <c r="F5270">
        <v>2</v>
      </c>
      <c r="H5270">
        <v>2</v>
      </c>
      <c r="I5270">
        <v>2</v>
      </c>
      <c r="J5270" t="s">
        <v>8005</v>
      </c>
      <c r="K5270">
        <v>2</v>
      </c>
      <c r="L5270">
        <v>1.819</v>
      </c>
      <c r="M5270">
        <v>0</v>
      </c>
      <c r="N5270" t="s">
        <v>10019</v>
      </c>
      <c r="O5270" t="str">
        <f>HYPERLINK("Solo2\marker_541_751279.png", "Ver Imagen")</f>
        <v>Ver Imagen</v>
      </c>
      <c r="P5270" t="str">
        <f>HYPERLINK("NE\A-490\A-490__331.png", "Ver Imagen")</f>
        <v>Ver Imagen</v>
      </c>
    </row>
    <row r="5271" spans="1:16" x14ac:dyDescent="0.25">
      <c r="A5271">
        <v>4912</v>
      </c>
      <c r="B5271" t="s">
        <v>9829</v>
      </c>
      <c r="C5271">
        <v>37.475067543500003</v>
      </c>
      <c r="D5271">
        <v>-7.1989047694300003</v>
      </c>
      <c r="E5271">
        <v>1</v>
      </c>
      <c r="F5271">
        <v>2</v>
      </c>
      <c r="H5271">
        <v>2</v>
      </c>
      <c r="I5271">
        <v>2</v>
      </c>
      <c r="J5271" t="s">
        <v>8005</v>
      </c>
      <c r="K5271">
        <v>2</v>
      </c>
      <c r="L5271">
        <v>2.129</v>
      </c>
      <c r="M5271">
        <v>0</v>
      </c>
      <c r="N5271" t="s">
        <v>10019</v>
      </c>
      <c r="O5271" t="str">
        <f>HYPERLINK("Solo2\marker_541_751279.png", "Ver Imagen")</f>
        <v>Ver Imagen</v>
      </c>
      <c r="P5271" t="str">
        <f>HYPERLINK("NO\A-490\A-490__331.png", "Ver Imagen")</f>
        <v>Ver Imagen</v>
      </c>
    </row>
    <row r="5272" spans="1:16" x14ac:dyDescent="0.25">
      <c r="A5272">
        <v>4913</v>
      </c>
      <c r="B5272" t="s">
        <v>9831</v>
      </c>
      <c r="C5272">
        <v>37.4751279424</v>
      </c>
      <c r="D5272">
        <v>-7.19904321954</v>
      </c>
      <c r="E5272">
        <v>2</v>
      </c>
      <c r="F5272">
        <v>3</v>
      </c>
      <c r="H5272">
        <v>3</v>
      </c>
      <c r="I5272">
        <v>3</v>
      </c>
      <c r="J5272" t="s">
        <v>8005</v>
      </c>
      <c r="K5272">
        <v>3</v>
      </c>
      <c r="L5272">
        <v>2.5760000000000001</v>
      </c>
      <c r="M5272">
        <v>0</v>
      </c>
      <c r="N5272" t="s">
        <v>10017</v>
      </c>
      <c r="O5272" t="str">
        <f>HYPERLINK("Solo2\marker_287_751295.png", "Ver Imagen")</f>
        <v>Ver Imagen</v>
      </c>
      <c r="P5272" t="str">
        <f>HYPERLINK("NE\A-490\A-490__332.png", "Ver Imagen")</f>
        <v>Ver Imagen</v>
      </c>
    </row>
    <row r="5273" spans="1:16" x14ac:dyDescent="0.25">
      <c r="A5273">
        <v>4914</v>
      </c>
      <c r="B5273" t="s">
        <v>9833</v>
      </c>
      <c r="C5273">
        <v>37.475245038300002</v>
      </c>
      <c r="D5273">
        <v>-7.1993097345899999</v>
      </c>
      <c r="E5273">
        <v>2</v>
      </c>
      <c r="F5273">
        <v>3</v>
      </c>
      <c r="H5273">
        <v>2</v>
      </c>
      <c r="I5273">
        <v>2</v>
      </c>
      <c r="J5273" t="s">
        <v>8005</v>
      </c>
      <c r="K5273">
        <v>2</v>
      </c>
      <c r="L5273">
        <v>2.1150000000000002</v>
      </c>
      <c r="M5273">
        <v>0</v>
      </c>
      <c r="N5273" t="s">
        <v>10018</v>
      </c>
      <c r="O5273" t="str">
        <f>HYPERLINK("Solo2\marker_417_751317.png", "Ver Imagen")</f>
        <v>Ver Imagen</v>
      </c>
      <c r="P5273" t="str">
        <f>HYPERLINK("NE\A-490\A-490__333.png", "Ver Imagen")</f>
        <v>Ver Imagen</v>
      </c>
    </row>
    <row r="5274" spans="1:16" x14ac:dyDescent="0.25">
      <c r="A5274">
        <v>4915</v>
      </c>
      <c r="B5274" t="s">
        <v>9835</v>
      </c>
      <c r="C5274">
        <v>37.475341051400001</v>
      </c>
      <c r="D5274">
        <v>-7.1995273724700004</v>
      </c>
      <c r="E5274">
        <v>1</v>
      </c>
      <c r="F5274">
        <v>1</v>
      </c>
      <c r="H5274">
        <v>2</v>
      </c>
      <c r="I5274">
        <v>2</v>
      </c>
      <c r="J5274" t="s">
        <v>8005</v>
      </c>
      <c r="K5274">
        <v>1.5</v>
      </c>
      <c r="L5274">
        <v>1.728</v>
      </c>
      <c r="M5274">
        <v>0</v>
      </c>
      <c r="N5274" t="s">
        <v>10019</v>
      </c>
      <c r="O5274" t="str">
        <f>HYPERLINK("Solo2\marker_850_751343.png", "Ver Imagen")</f>
        <v>Ver Imagen</v>
      </c>
      <c r="P5274" t="str">
        <f>HYPERLINK("NE\A-490\A-490__334.png", "Ver Imagen")</f>
        <v>Ver Imagen</v>
      </c>
    </row>
    <row r="5275" spans="1:16" x14ac:dyDescent="0.25">
      <c r="A5275">
        <v>4915</v>
      </c>
      <c r="B5275" t="s">
        <v>9835</v>
      </c>
      <c r="C5275">
        <v>37.475341051400001</v>
      </c>
      <c r="D5275">
        <v>-7.1995273724700004</v>
      </c>
      <c r="E5275">
        <v>1</v>
      </c>
      <c r="F5275">
        <v>1</v>
      </c>
      <c r="H5275">
        <v>2</v>
      </c>
      <c r="I5275">
        <v>2</v>
      </c>
      <c r="J5275" t="s">
        <v>8005</v>
      </c>
      <c r="K5275">
        <v>1.5</v>
      </c>
      <c r="L5275">
        <v>2.2450000000000001</v>
      </c>
      <c r="M5275">
        <v>0</v>
      </c>
      <c r="N5275" t="s">
        <v>10019</v>
      </c>
      <c r="O5275" t="str">
        <f>HYPERLINK("Solo2\marker_850_751343.png", "Ver Imagen")</f>
        <v>Ver Imagen</v>
      </c>
      <c r="P5275" t="str">
        <f>HYPERLINK("NO\A-490\A-490__334.png", "Ver Imagen")</f>
        <v>Ver Imagen</v>
      </c>
    </row>
    <row r="5276" spans="1:16" x14ac:dyDescent="0.25">
      <c r="A5276">
        <v>4916</v>
      </c>
      <c r="B5276" t="s">
        <v>9837</v>
      </c>
      <c r="C5276">
        <v>37.475465798999998</v>
      </c>
      <c r="D5276">
        <v>-7.1998132020699996</v>
      </c>
      <c r="E5276">
        <v>1</v>
      </c>
      <c r="F5276">
        <v>4</v>
      </c>
      <c r="H5276">
        <v>3</v>
      </c>
      <c r="I5276">
        <v>2</v>
      </c>
      <c r="J5276" t="s">
        <v>8005</v>
      </c>
      <c r="K5276">
        <v>2.5</v>
      </c>
      <c r="L5276">
        <v>1.64</v>
      </c>
      <c r="M5276">
        <v>0</v>
      </c>
      <c r="N5276" t="s">
        <v>10018</v>
      </c>
      <c r="O5276" t="str">
        <f>HYPERLINK("Solo2\marker_303_751366.png", "Ver Imagen")</f>
        <v>Ver Imagen</v>
      </c>
      <c r="P5276" t="str">
        <f>HYPERLINK("NE\A-490\A-490__335.png", "Ver Imagen")</f>
        <v>Ver Imagen</v>
      </c>
    </row>
    <row r="5277" spans="1:16" x14ac:dyDescent="0.25">
      <c r="A5277">
        <v>4916</v>
      </c>
      <c r="B5277" t="s">
        <v>9837</v>
      </c>
      <c r="C5277">
        <v>37.475465798999998</v>
      </c>
      <c r="D5277">
        <v>-7.1998132020699996</v>
      </c>
      <c r="E5277">
        <v>1</v>
      </c>
      <c r="F5277">
        <v>4</v>
      </c>
      <c r="H5277">
        <v>3</v>
      </c>
      <c r="I5277">
        <v>2</v>
      </c>
      <c r="J5277" t="s">
        <v>8005</v>
      </c>
      <c r="K5277">
        <v>2.5</v>
      </c>
      <c r="L5277">
        <v>2.0910000000000002</v>
      </c>
      <c r="M5277">
        <v>0</v>
      </c>
      <c r="N5277" t="s">
        <v>10018</v>
      </c>
      <c r="O5277" t="str">
        <f>HYPERLINK("Solo2\marker_303_751366.png", "Ver Imagen")</f>
        <v>Ver Imagen</v>
      </c>
      <c r="P5277" t="str">
        <f>HYPERLINK("NO\A-490\A-490__335.png", "Ver Imagen")</f>
        <v>Ver Imagen</v>
      </c>
    </row>
    <row r="5278" spans="1:16" x14ac:dyDescent="0.25">
      <c r="A5278">
        <v>4917</v>
      </c>
      <c r="B5278" t="s">
        <v>9839</v>
      </c>
      <c r="C5278">
        <v>37.475633336500003</v>
      </c>
      <c r="D5278">
        <v>-7.2002062167099998</v>
      </c>
      <c r="E5278">
        <v>2</v>
      </c>
      <c r="F5278">
        <v>4</v>
      </c>
      <c r="H5278">
        <v>3</v>
      </c>
      <c r="I5278">
        <v>3</v>
      </c>
      <c r="J5278" t="s">
        <v>8005</v>
      </c>
      <c r="K5278">
        <v>3</v>
      </c>
      <c r="L5278">
        <v>3.2080000000000002</v>
      </c>
      <c r="M5278">
        <v>0</v>
      </c>
      <c r="N5278" t="s">
        <v>10017</v>
      </c>
      <c r="O5278" t="str">
        <f>HYPERLINK("Solo2\marker_399_751429.png", "Ver Imagen")</f>
        <v>Ver Imagen</v>
      </c>
      <c r="P5278" t="str">
        <f>HYPERLINK("NO\A-490\A-490__337.png", "Ver Imagen")</f>
        <v>Ver Imagen</v>
      </c>
    </row>
    <row r="5279" spans="1:16" x14ac:dyDescent="0.25">
      <c r="A5279">
        <v>4918</v>
      </c>
      <c r="B5279" t="s">
        <v>9841</v>
      </c>
      <c r="C5279">
        <v>37.475731765799999</v>
      </c>
      <c r="D5279">
        <v>-7.2004369858499997</v>
      </c>
      <c r="E5279">
        <v>2</v>
      </c>
      <c r="F5279">
        <v>3</v>
      </c>
      <c r="H5279">
        <v>3</v>
      </c>
      <c r="I5279">
        <v>3</v>
      </c>
      <c r="J5279" t="s">
        <v>8005</v>
      </c>
      <c r="K5279">
        <v>3</v>
      </c>
      <c r="L5279">
        <v>2.6080000000000001</v>
      </c>
      <c r="M5279">
        <v>0</v>
      </c>
      <c r="N5279" t="s">
        <v>10017</v>
      </c>
      <c r="O5279" t="str">
        <f>HYPERLINK("Solo2\marker_629_751453.png", "Ver Imagen")</f>
        <v>Ver Imagen</v>
      </c>
      <c r="P5279" t="str">
        <f>HYPERLINK("NE\A-490\A-490__338.png", "Ver Imagen")</f>
        <v>Ver Imagen</v>
      </c>
    </row>
    <row r="5280" spans="1:16" x14ac:dyDescent="0.25">
      <c r="A5280">
        <v>4919</v>
      </c>
      <c r="B5280" t="s">
        <v>9843</v>
      </c>
      <c r="C5280">
        <v>37.475831348600003</v>
      </c>
      <c r="D5280">
        <v>-7.2006695098</v>
      </c>
      <c r="E5280">
        <v>1</v>
      </c>
      <c r="F5280">
        <v>2</v>
      </c>
      <c r="H5280">
        <v>2</v>
      </c>
      <c r="I5280">
        <v>1</v>
      </c>
      <c r="J5280" t="s">
        <v>8005</v>
      </c>
      <c r="K5280">
        <v>1.5</v>
      </c>
      <c r="L5280">
        <v>1.706</v>
      </c>
      <c r="M5280">
        <v>0</v>
      </c>
      <c r="N5280" t="s">
        <v>10018</v>
      </c>
      <c r="O5280" t="str">
        <f>HYPERLINK("Solo2\marker_224_751479.png", "Ver Imagen")</f>
        <v>Ver Imagen</v>
      </c>
      <c r="P5280" t="str">
        <f>HYPERLINK("NE\A-490\A-490__339.png", "Ver Imagen")</f>
        <v>Ver Imagen</v>
      </c>
    </row>
    <row r="5281" spans="1:16" x14ac:dyDescent="0.25">
      <c r="A5281">
        <v>4919</v>
      </c>
      <c r="B5281" t="s">
        <v>9843</v>
      </c>
      <c r="C5281">
        <v>37.475831348600003</v>
      </c>
      <c r="D5281">
        <v>-7.2006695098</v>
      </c>
      <c r="E5281">
        <v>1</v>
      </c>
      <c r="F5281">
        <v>2</v>
      </c>
      <c r="H5281">
        <v>2</v>
      </c>
      <c r="I5281">
        <v>1</v>
      </c>
      <c r="J5281" t="s">
        <v>8005</v>
      </c>
      <c r="K5281">
        <v>1.5</v>
      </c>
      <c r="L5281">
        <v>2.169</v>
      </c>
      <c r="M5281">
        <v>0</v>
      </c>
      <c r="N5281" t="s">
        <v>10018</v>
      </c>
      <c r="O5281" t="str">
        <f>HYPERLINK("Solo2\marker_224_751479.png", "Ver Imagen")</f>
        <v>Ver Imagen</v>
      </c>
      <c r="P5281" t="str">
        <f>HYPERLINK("NO\A-490\A-490__339.png", "Ver Imagen")</f>
        <v>Ver Imagen</v>
      </c>
    </row>
    <row r="5282" spans="1:16" x14ac:dyDescent="0.25">
      <c r="A5282">
        <v>4920</v>
      </c>
      <c r="B5282" t="s">
        <v>9845</v>
      </c>
      <c r="C5282">
        <v>37.475920133999999</v>
      </c>
      <c r="D5282">
        <v>-7.2008764871600004</v>
      </c>
      <c r="E5282">
        <v>1</v>
      </c>
      <c r="F5282">
        <v>2</v>
      </c>
      <c r="H5282">
        <v>2</v>
      </c>
      <c r="I5282">
        <v>1</v>
      </c>
      <c r="J5282" t="s">
        <v>8005</v>
      </c>
      <c r="K5282">
        <v>1.5</v>
      </c>
      <c r="L5282">
        <v>2.0369999999999999</v>
      </c>
      <c r="M5282">
        <v>0</v>
      </c>
      <c r="N5282" t="s">
        <v>10019</v>
      </c>
      <c r="O5282" t="str">
        <f>HYPERLINK("Solo2\marker_952_751503.png", "Ver Imagen")</f>
        <v>Ver Imagen</v>
      </c>
      <c r="P5282" t="str">
        <f>HYPERLINK("NE\A-490\A-490__340.png", "Ver Imagen")</f>
        <v>Ver Imagen</v>
      </c>
    </row>
    <row r="5283" spans="1:16" x14ac:dyDescent="0.25">
      <c r="A5283">
        <v>4920</v>
      </c>
      <c r="B5283" t="s">
        <v>9845</v>
      </c>
      <c r="C5283">
        <v>37.475920133999999</v>
      </c>
      <c r="D5283">
        <v>-7.2008764871600004</v>
      </c>
      <c r="E5283">
        <v>1</v>
      </c>
      <c r="F5283">
        <v>2</v>
      </c>
      <c r="H5283">
        <v>2</v>
      </c>
      <c r="I5283">
        <v>1</v>
      </c>
      <c r="J5283" t="s">
        <v>8005</v>
      </c>
      <c r="K5283">
        <v>1.5</v>
      </c>
      <c r="L5283">
        <v>2.1349999999999998</v>
      </c>
      <c r="M5283">
        <v>0</v>
      </c>
      <c r="N5283" t="s">
        <v>10019</v>
      </c>
      <c r="O5283" t="str">
        <f>HYPERLINK("Solo2\marker_952_751503.png", "Ver Imagen")</f>
        <v>Ver Imagen</v>
      </c>
      <c r="P5283" t="str">
        <f>HYPERLINK("NO\A-490\A-490__340.png", "Ver Imagen")</f>
        <v>Ver Imagen</v>
      </c>
    </row>
    <row r="5284" spans="1:16" x14ac:dyDescent="0.25">
      <c r="A5284">
        <v>4921</v>
      </c>
      <c r="B5284" t="s">
        <v>9847</v>
      </c>
      <c r="C5284">
        <v>37.476024483800003</v>
      </c>
      <c r="D5284">
        <v>-7.2011193850000002</v>
      </c>
      <c r="E5284">
        <v>2</v>
      </c>
      <c r="F5284">
        <v>3</v>
      </c>
      <c r="H5284">
        <v>3</v>
      </c>
      <c r="I5284">
        <v>3</v>
      </c>
      <c r="J5284" t="s">
        <v>8005</v>
      </c>
      <c r="K5284">
        <v>3</v>
      </c>
      <c r="L5284">
        <v>3.1040000000000001</v>
      </c>
      <c r="M5284">
        <v>0</v>
      </c>
      <c r="N5284" t="s">
        <v>10019</v>
      </c>
      <c r="O5284" t="str">
        <f>HYPERLINK("Solo2\marker_826_751521.png", "Ver Imagen")</f>
        <v>Ver Imagen</v>
      </c>
      <c r="P5284" t="str">
        <f>HYPERLINK("NE\A-490\A-490__341.png", "Ver Imagen")</f>
        <v>Ver Imagen</v>
      </c>
    </row>
    <row r="5285" spans="1:16" x14ac:dyDescent="0.25">
      <c r="A5285">
        <v>4921</v>
      </c>
      <c r="B5285" t="s">
        <v>9847</v>
      </c>
      <c r="C5285">
        <v>37.476024483800003</v>
      </c>
      <c r="D5285">
        <v>-7.2011193850000002</v>
      </c>
      <c r="E5285">
        <v>2</v>
      </c>
      <c r="F5285">
        <v>3</v>
      </c>
      <c r="H5285">
        <v>3</v>
      </c>
      <c r="I5285">
        <v>3</v>
      </c>
      <c r="J5285" t="s">
        <v>8005</v>
      </c>
      <c r="K5285">
        <v>3</v>
      </c>
      <c r="L5285">
        <v>3.0259999999999998</v>
      </c>
      <c r="M5285">
        <v>0</v>
      </c>
      <c r="N5285" t="s">
        <v>10019</v>
      </c>
      <c r="O5285" t="str">
        <f>HYPERLINK("Solo2\marker_826_751521.png", "Ver Imagen")</f>
        <v>Ver Imagen</v>
      </c>
      <c r="P5285" t="str">
        <f>HYPERLINK("NO\A-490\A-490__341.png", "Ver Imagen")</f>
        <v>Ver Imagen</v>
      </c>
    </row>
    <row r="5286" spans="1:16" x14ac:dyDescent="0.25">
      <c r="A5286">
        <v>4922</v>
      </c>
      <c r="B5286" t="s">
        <v>9849</v>
      </c>
      <c r="C5286">
        <v>37.476135102900002</v>
      </c>
      <c r="D5286">
        <v>-7.2013765617000001</v>
      </c>
      <c r="E5286">
        <v>1</v>
      </c>
      <c r="F5286">
        <v>3</v>
      </c>
      <c r="H5286">
        <v>2</v>
      </c>
      <c r="I5286">
        <v>2</v>
      </c>
      <c r="J5286" t="s">
        <v>8005</v>
      </c>
      <c r="K5286">
        <v>2</v>
      </c>
      <c r="L5286">
        <v>1.9359999999999999</v>
      </c>
      <c r="M5286">
        <v>0</v>
      </c>
      <c r="N5286" t="s">
        <v>10019</v>
      </c>
      <c r="O5286" t="str">
        <f>HYPERLINK("Solo2\marker_633_751536.png", "Ver Imagen")</f>
        <v>Ver Imagen</v>
      </c>
      <c r="P5286" t="str">
        <f>HYPERLINK("NE\A-490\A-490__342.png", "Ver Imagen")</f>
        <v>Ver Imagen</v>
      </c>
    </row>
    <row r="5287" spans="1:16" x14ac:dyDescent="0.25">
      <c r="A5287">
        <v>4922</v>
      </c>
      <c r="B5287" t="s">
        <v>9849</v>
      </c>
      <c r="C5287">
        <v>37.476135102900002</v>
      </c>
      <c r="D5287">
        <v>-7.2013765617000001</v>
      </c>
      <c r="E5287">
        <v>1</v>
      </c>
      <c r="F5287">
        <v>3</v>
      </c>
      <c r="H5287">
        <v>2</v>
      </c>
      <c r="I5287">
        <v>2</v>
      </c>
      <c r="J5287" t="s">
        <v>8005</v>
      </c>
      <c r="K5287">
        <v>2</v>
      </c>
      <c r="L5287">
        <v>2.2349999999999999</v>
      </c>
      <c r="M5287">
        <v>0</v>
      </c>
      <c r="N5287" t="s">
        <v>10019</v>
      </c>
      <c r="O5287" t="str">
        <f>HYPERLINK("Solo2\marker_633_751536.png", "Ver Imagen")</f>
        <v>Ver Imagen</v>
      </c>
      <c r="P5287" t="str">
        <f>HYPERLINK("NO\A-490\A-490__342.png", "Ver Imagen")</f>
        <v>Ver Imagen</v>
      </c>
    </row>
    <row r="5288" spans="1:16" x14ac:dyDescent="0.25">
      <c r="A5288">
        <v>4923</v>
      </c>
      <c r="B5288" t="s">
        <v>9851</v>
      </c>
      <c r="C5288">
        <v>37.476226089999997</v>
      </c>
      <c r="D5288">
        <v>-7.2015869737699996</v>
      </c>
      <c r="E5288">
        <v>1</v>
      </c>
      <c r="F5288">
        <v>2</v>
      </c>
      <c r="H5288">
        <v>1</v>
      </c>
      <c r="I5288">
        <v>1</v>
      </c>
      <c r="J5288" t="s">
        <v>8005</v>
      </c>
      <c r="K5288">
        <v>1</v>
      </c>
      <c r="L5288">
        <v>1.427</v>
      </c>
      <c r="M5288">
        <v>0</v>
      </c>
      <c r="N5288" t="s">
        <v>10017</v>
      </c>
      <c r="O5288" t="str">
        <f>HYPERLINK("Solo2\marker_114_751549.png", "Ver Imagen")</f>
        <v>Ver Imagen</v>
      </c>
      <c r="P5288" t="str">
        <f>HYPERLINK("NO\A-490\A-490__343.png", "Ver Imagen")</f>
        <v>Ver Imagen</v>
      </c>
    </row>
    <row r="5289" spans="1:16" x14ac:dyDescent="0.25">
      <c r="A5289">
        <v>4924</v>
      </c>
      <c r="B5289" t="s">
        <v>9853</v>
      </c>
      <c r="C5289">
        <v>37.476315762799999</v>
      </c>
      <c r="D5289">
        <v>-7.2017945205</v>
      </c>
      <c r="E5289">
        <v>1</v>
      </c>
      <c r="F5289">
        <v>2</v>
      </c>
      <c r="H5289">
        <v>2</v>
      </c>
      <c r="I5289">
        <v>2</v>
      </c>
      <c r="J5289" t="s">
        <v>8005</v>
      </c>
      <c r="K5289">
        <v>2</v>
      </c>
      <c r="L5289">
        <v>2.02</v>
      </c>
      <c r="M5289">
        <v>0</v>
      </c>
      <c r="N5289" t="s">
        <v>10019</v>
      </c>
      <c r="O5289" t="str">
        <f>HYPERLINK("Solo2\marker_125_751562.png", "Ver Imagen")</f>
        <v>Ver Imagen</v>
      </c>
      <c r="P5289" t="str">
        <f>HYPERLINK("NE\A-490\A-490__344.png", "Ver Imagen")</f>
        <v>Ver Imagen</v>
      </c>
    </row>
    <row r="5290" spans="1:16" x14ac:dyDescent="0.25">
      <c r="A5290">
        <v>4924</v>
      </c>
      <c r="B5290" t="s">
        <v>9853</v>
      </c>
      <c r="C5290">
        <v>37.476315762799999</v>
      </c>
      <c r="D5290">
        <v>-7.2017945205</v>
      </c>
      <c r="E5290">
        <v>1</v>
      </c>
      <c r="F5290">
        <v>2</v>
      </c>
      <c r="H5290">
        <v>2</v>
      </c>
      <c r="I5290">
        <v>2</v>
      </c>
      <c r="J5290" t="s">
        <v>8005</v>
      </c>
      <c r="K5290">
        <v>2</v>
      </c>
      <c r="L5290">
        <v>2.069</v>
      </c>
      <c r="M5290">
        <v>0</v>
      </c>
      <c r="N5290" t="s">
        <v>10019</v>
      </c>
      <c r="O5290" t="str">
        <f>HYPERLINK("Solo2\marker_125_751562.png", "Ver Imagen")</f>
        <v>Ver Imagen</v>
      </c>
      <c r="P5290" t="str">
        <f>HYPERLINK("NO\A-490\A-490__344.png", "Ver Imagen")</f>
        <v>Ver Imagen</v>
      </c>
    </row>
    <row r="5291" spans="1:16" x14ac:dyDescent="0.25">
      <c r="A5291">
        <v>4925</v>
      </c>
      <c r="B5291" t="s">
        <v>9855</v>
      </c>
      <c r="C5291">
        <v>37.476385745599998</v>
      </c>
      <c r="D5291">
        <v>-7.2019575572100001</v>
      </c>
      <c r="E5291">
        <v>1</v>
      </c>
      <c r="F5291">
        <v>2</v>
      </c>
      <c r="H5291">
        <v>2</v>
      </c>
      <c r="I5291">
        <v>1</v>
      </c>
      <c r="J5291" t="s">
        <v>8005</v>
      </c>
      <c r="K5291">
        <v>1.5</v>
      </c>
      <c r="L5291">
        <v>2.044</v>
      </c>
      <c r="M5291">
        <v>0</v>
      </c>
      <c r="N5291" t="s">
        <v>10019</v>
      </c>
      <c r="O5291" t="str">
        <f>HYPERLINK("Solo2\marker_796_751590.png", "Ver Imagen")</f>
        <v>Ver Imagen</v>
      </c>
      <c r="P5291" t="str">
        <f>HYPERLINK("NE\A-490\A-490__345.png", "Ver Imagen")</f>
        <v>Ver Imagen</v>
      </c>
    </row>
    <row r="5292" spans="1:16" x14ac:dyDescent="0.25">
      <c r="A5292">
        <v>4925</v>
      </c>
      <c r="B5292" t="s">
        <v>9855</v>
      </c>
      <c r="C5292">
        <v>37.476385745599998</v>
      </c>
      <c r="D5292">
        <v>-7.2019575572100001</v>
      </c>
      <c r="E5292">
        <v>1</v>
      </c>
      <c r="F5292">
        <v>2</v>
      </c>
      <c r="H5292">
        <v>2</v>
      </c>
      <c r="I5292">
        <v>1</v>
      </c>
      <c r="J5292" t="s">
        <v>8005</v>
      </c>
      <c r="K5292">
        <v>1.5</v>
      </c>
      <c r="L5292">
        <v>1.7430000000000001</v>
      </c>
      <c r="M5292">
        <v>0</v>
      </c>
      <c r="N5292" t="s">
        <v>10019</v>
      </c>
      <c r="O5292" t="str">
        <f>HYPERLINK("Solo2\marker_796_751590.png", "Ver Imagen")</f>
        <v>Ver Imagen</v>
      </c>
      <c r="P5292" t="str">
        <f>HYPERLINK("NO\A-490\A-490__345.png", "Ver Imagen")</f>
        <v>Ver Imagen</v>
      </c>
    </row>
    <row r="5293" spans="1:16" x14ac:dyDescent="0.25">
      <c r="A5293">
        <v>4926</v>
      </c>
      <c r="B5293" t="s">
        <v>9857</v>
      </c>
      <c r="C5293">
        <v>37.476690641899999</v>
      </c>
      <c r="D5293">
        <v>-7.2026721260000004</v>
      </c>
      <c r="E5293">
        <v>1</v>
      </c>
      <c r="F5293">
        <v>2</v>
      </c>
      <c r="H5293">
        <v>2</v>
      </c>
      <c r="I5293">
        <v>1</v>
      </c>
      <c r="J5293" t="s">
        <v>8005</v>
      </c>
      <c r="K5293">
        <v>1.5</v>
      </c>
      <c r="L5293">
        <v>1.883</v>
      </c>
      <c r="M5293">
        <v>0</v>
      </c>
      <c r="N5293" t="s">
        <v>10017</v>
      </c>
      <c r="O5293" t="str">
        <f>HYPERLINK("Solo2\marker_523_751645.png", "Ver Imagen")</f>
        <v>Ver Imagen</v>
      </c>
      <c r="P5293" t="str">
        <f>HYPERLINK("NE\A-490\A-490__348.png", "Ver Imagen")</f>
        <v>Ver Imagen</v>
      </c>
    </row>
    <row r="5294" spans="1:16" x14ac:dyDescent="0.25">
      <c r="A5294">
        <v>4926</v>
      </c>
      <c r="B5294" t="s">
        <v>9857</v>
      </c>
      <c r="C5294">
        <v>37.476690641899999</v>
      </c>
      <c r="D5294">
        <v>-7.2026721260000004</v>
      </c>
      <c r="E5294">
        <v>1</v>
      </c>
      <c r="F5294">
        <v>2</v>
      </c>
      <c r="H5294">
        <v>2</v>
      </c>
      <c r="I5294">
        <v>1</v>
      </c>
      <c r="J5294" t="s">
        <v>8005</v>
      </c>
      <c r="K5294">
        <v>1.5</v>
      </c>
      <c r="L5294">
        <v>2.294</v>
      </c>
      <c r="M5294">
        <v>0</v>
      </c>
      <c r="N5294" t="s">
        <v>10017</v>
      </c>
      <c r="O5294" t="str">
        <f>HYPERLINK("Solo2\marker_523_751645.png", "Ver Imagen")</f>
        <v>Ver Imagen</v>
      </c>
      <c r="P5294" t="str">
        <f>HYPERLINK("NO\A-490\A-490__348.png", "Ver Imagen")</f>
        <v>Ver Imagen</v>
      </c>
    </row>
    <row r="5295" spans="1:16" x14ac:dyDescent="0.25">
      <c r="A5295">
        <v>4927</v>
      </c>
      <c r="B5295" t="s">
        <v>9859</v>
      </c>
      <c r="C5295">
        <v>37.479970878000003</v>
      </c>
      <c r="D5295">
        <v>-7.2102886165599998</v>
      </c>
      <c r="F5295">
        <v>3</v>
      </c>
      <c r="G5295">
        <v>2</v>
      </c>
      <c r="H5295">
        <v>2</v>
      </c>
      <c r="I5295">
        <v>2</v>
      </c>
      <c r="J5295" t="s">
        <v>8005</v>
      </c>
      <c r="K5295">
        <v>2</v>
      </c>
      <c r="L5295">
        <v>2.2549999999999999</v>
      </c>
      <c r="M5295">
        <v>0</v>
      </c>
      <c r="N5295" t="s">
        <v>10019</v>
      </c>
      <c r="O5295" t="str">
        <f>HYPERLINK("Solo2\marker_919_752393.png", "Ver Imagen")</f>
        <v>Ver Imagen</v>
      </c>
      <c r="P5295" t="str">
        <f>HYPERLINK("NO\A-490\A-490__382.png", "Ver Imagen")</f>
        <v>Ver Imagen</v>
      </c>
    </row>
    <row r="5296" spans="1:16" x14ac:dyDescent="0.25">
      <c r="A5296">
        <v>4928</v>
      </c>
      <c r="B5296" t="s">
        <v>9861</v>
      </c>
      <c r="C5296">
        <v>37.480540338700003</v>
      </c>
      <c r="D5296">
        <v>-7.2116221556899998</v>
      </c>
      <c r="E5296">
        <v>2</v>
      </c>
      <c r="F5296">
        <v>3</v>
      </c>
      <c r="H5296">
        <v>2</v>
      </c>
      <c r="I5296">
        <v>2</v>
      </c>
      <c r="J5296" t="s">
        <v>8005</v>
      </c>
      <c r="K5296">
        <v>2</v>
      </c>
      <c r="L5296">
        <v>2.2309999999999999</v>
      </c>
      <c r="M5296">
        <v>0</v>
      </c>
      <c r="N5296" t="s">
        <v>10019</v>
      </c>
      <c r="O5296" t="str">
        <f>HYPERLINK("Solo2\marker_374_752494.png", "Ver Imagen")</f>
        <v>Ver Imagen</v>
      </c>
      <c r="P5296" t="str">
        <f>HYPERLINK("NO\A-490\A-490__388.png", "Ver Imagen")</f>
        <v>Ver Imagen</v>
      </c>
    </row>
    <row r="5297" spans="1:16" x14ac:dyDescent="0.25">
      <c r="A5297">
        <v>4929</v>
      </c>
      <c r="B5297" t="s">
        <v>9863</v>
      </c>
      <c r="C5297">
        <v>37.490639997700001</v>
      </c>
      <c r="D5297">
        <v>-7.2529858546100003</v>
      </c>
      <c r="E5297">
        <v>1</v>
      </c>
      <c r="F5297">
        <v>3</v>
      </c>
      <c r="H5297">
        <v>1</v>
      </c>
      <c r="I5297">
        <v>1</v>
      </c>
      <c r="J5297" t="s">
        <v>8005</v>
      </c>
      <c r="K5297">
        <v>1</v>
      </c>
      <c r="L5297">
        <v>1</v>
      </c>
      <c r="M5297">
        <v>0</v>
      </c>
      <c r="N5297" t="s">
        <v>10019</v>
      </c>
      <c r="O5297" t="str">
        <f>HYPERLINK("Solo2\marker_501_819189.png", "Ver Imagen")</f>
        <v>Ver Imagen</v>
      </c>
      <c r="P5297" t="str">
        <f>HYPERLINK("NO\A-490\A-490__561.png", "Ver Imagen")</f>
        <v>Ver Imagen</v>
      </c>
    </row>
    <row r="5298" spans="1:16" x14ac:dyDescent="0.25">
      <c r="A5298">
        <v>4930</v>
      </c>
      <c r="B5298" t="s">
        <v>9865</v>
      </c>
      <c r="C5298">
        <v>37.493399692300002</v>
      </c>
      <c r="D5298">
        <v>-7.26416615699</v>
      </c>
      <c r="F5298">
        <v>2</v>
      </c>
      <c r="G5298">
        <v>3</v>
      </c>
      <c r="H5298">
        <v>1</v>
      </c>
      <c r="I5298">
        <v>1</v>
      </c>
      <c r="J5298" t="s">
        <v>8005</v>
      </c>
      <c r="K5298">
        <v>1.5</v>
      </c>
      <c r="L5298">
        <v>1.841</v>
      </c>
      <c r="M5298">
        <v>0</v>
      </c>
      <c r="N5298" t="s">
        <v>10019</v>
      </c>
      <c r="O5298" t="str">
        <f>HYPERLINK("Solo2\marker_982_820224.png", "Ver Imagen")</f>
        <v>Ver Imagen</v>
      </c>
      <c r="P5298" t="str">
        <f>HYPERLINK("NO\A-490\A-490__612.png", "Ver Imagen")</f>
        <v>Ver Imagen</v>
      </c>
    </row>
    <row r="5299" spans="1:16" x14ac:dyDescent="0.25">
      <c r="A5299">
        <v>4931</v>
      </c>
      <c r="B5299" t="s">
        <v>9867</v>
      </c>
      <c r="C5299">
        <v>37.2722776966</v>
      </c>
      <c r="D5299">
        <v>-6.9908782624399999</v>
      </c>
      <c r="F5299">
        <v>4</v>
      </c>
      <c r="G5299">
        <v>5</v>
      </c>
      <c r="H5299">
        <v>4</v>
      </c>
      <c r="I5299">
        <v>5</v>
      </c>
      <c r="J5299" t="s">
        <v>8005</v>
      </c>
      <c r="K5299">
        <v>4.5</v>
      </c>
      <c r="L5299">
        <v>3.6339999999999999</v>
      </c>
      <c r="M5299">
        <v>0</v>
      </c>
      <c r="N5299" t="s">
        <v>10019</v>
      </c>
      <c r="O5299" t="str">
        <f>HYPERLINK("Solo2\marker_332_821520.png", "Ver Imagen")</f>
        <v>Ver Imagen</v>
      </c>
      <c r="P5299" t="str">
        <f>HYPERLINK("SE\A-492\A-492__4.png", "Ver Imagen")</f>
        <v>Ver Imagen</v>
      </c>
    </row>
    <row r="5300" spans="1:16" x14ac:dyDescent="0.25">
      <c r="A5300">
        <v>4932</v>
      </c>
      <c r="B5300" t="s">
        <v>9869</v>
      </c>
      <c r="C5300">
        <v>37.277067693799999</v>
      </c>
      <c r="D5300">
        <v>-6.9918169920100004</v>
      </c>
      <c r="F5300">
        <v>4</v>
      </c>
      <c r="G5300">
        <v>4</v>
      </c>
      <c r="H5300">
        <v>3</v>
      </c>
      <c r="I5300">
        <v>4</v>
      </c>
      <c r="J5300" t="s">
        <v>8005</v>
      </c>
      <c r="K5300">
        <v>4</v>
      </c>
      <c r="L5300">
        <v>3.5390000000000001</v>
      </c>
      <c r="M5300">
        <v>0</v>
      </c>
      <c r="N5300" t="s">
        <v>10019</v>
      </c>
      <c r="O5300" t="str">
        <f>HYPERLINK("Solo2\marker_643_822357.png", "Ver Imagen")</f>
        <v>Ver Imagen</v>
      </c>
      <c r="P5300" t="str">
        <f>HYPERLINK("SE\A-492\A-492__31.png", "Ver Imagen")</f>
        <v>Ver Imagen</v>
      </c>
    </row>
    <row r="5301" spans="1:16" x14ac:dyDescent="0.25">
      <c r="A5301">
        <v>4933</v>
      </c>
      <c r="B5301" t="s">
        <v>9871</v>
      </c>
      <c r="C5301">
        <v>37.279050150300002</v>
      </c>
      <c r="D5301">
        <v>-6.9946460693899999</v>
      </c>
      <c r="E5301">
        <v>2</v>
      </c>
      <c r="H5301">
        <v>3</v>
      </c>
      <c r="I5301">
        <v>3</v>
      </c>
      <c r="J5301" t="s">
        <v>8005</v>
      </c>
      <c r="K5301">
        <v>3</v>
      </c>
      <c r="L5301">
        <v>3.1909999999999998</v>
      </c>
      <c r="M5301">
        <v>0</v>
      </c>
      <c r="N5301" t="s">
        <v>10019</v>
      </c>
      <c r="O5301" t="str">
        <f>HYPERLINK("Solo2\marker_414_822951.png", "Ver Imagen")</f>
        <v>Ver Imagen</v>
      </c>
      <c r="P5301" t="str">
        <f>HYPERLINK("SE\A-492\A-492__46.png", "Ver Imagen")</f>
        <v>Ver Imagen</v>
      </c>
    </row>
    <row r="5302" spans="1:16" x14ac:dyDescent="0.25">
      <c r="A5302">
        <v>4934</v>
      </c>
      <c r="B5302" t="s">
        <v>9873</v>
      </c>
      <c r="C5302">
        <v>37.279852294999998</v>
      </c>
      <c r="D5302">
        <v>-6.9982803019000004</v>
      </c>
      <c r="E5302">
        <v>3</v>
      </c>
      <c r="F5302">
        <v>4</v>
      </c>
      <c r="H5302">
        <v>4</v>
      </c>
      <c r="I5302">
        <v>5</v>
      </c>
      <c r="J5302" t="s">
        <v>8005</v>
      </c>
      <c r="K5302">
        <v>4</v>
      </c>
      <c r="L5302">
        <v>3.8210000000000002</v>
      </c>
      <c r="M5302">
        <v>0</v>
      </c>
      <c r="N5302" t="s">
        <v>10019</v>
      </c>
      <c r="O5302" t="str">
        <f>HYPERLINK("Solo2\marker_300_823155.png", "Ver Imagen")</f>
        <v>Ver Imagen</v>
      </c>
      <c r="P5302" t="str">
        <f>HYPERLINK("SE\A-492\A-492__61.png", "Ver Imagen")</f>
        <v>Ver Imagen</v>
      </c>
    </row>
    <row r="5303" spans="1:16" x14ac:dyDescent="0.25">
      <c r="A5303">
        <v>4935</v>
      </c>
      <c r="B5303" t="s">
        <v>9875</v>
      </c>
      <c r="C5303">
        <v>37.2804967529</v>
      </c>
      <c r="D5303">
        <v>-7.0010482022999998</v>
      </c>
      <c r="E5303">
        <v>3</v>
      </c>
      <c r="F5303">
        <v>3</v>
      </c>
      <c r="H5303">
        <v>3</v>
      </c>
      <c r="I5303">
        <v>3</v>
      </c>
      <c r="J5303" t="s">
        <v>8005</v>
      </c>
      <c r="K5303">
        <v>3</v>
      </c>
      <c r="L5303">
        <v>3.3719999999999999</v>
      </c>
      <c r="M5303">
        <v>0</v>
      </c>
      <c r="N5303" t="s">
        <v>10017</v>
      </c>
      <c r="O5303" t="str">
        <f>HYPERLINK("Solo2\marker_196_823394.png", "Ver Imagen")</f>
        <v>Ver Imagen</v>
      </c>
      <c r="P5303" t="str">
        <f>HYPERLINK("SE\A-492\A-492__74.png", "Ver Imagen")</f>
        <v>Ver Imagen</v>
      </c>
    </row>
    <row r="5304" spans="1:16" x14ac:dyDescent="0.25">
      <c r="A5304">
        <v>4936</v>
      </c>
      <c r="B5304" t="s">
        <v>9877</v>
      </c>
      <c r="C5304">
        <v>37.2755487871</v>
      </c>
      <c r="D5304">
        <v>-7.0182715851399999</v>
      </c>
      <c r="E5304">
        <v>1</v>
      </c>
      <c r="F5304">
        <v>2</v>
      </c>
      <c r="H5304">
        <v>3</v>
      </c>
      <c r="I5304">
        <v>3</v>
      </c>
      <c r="J5304" t="s">
        <v>8005</v>
      </c>
      <c r="K5304">
        <v>2.5</v>
      </c>
      <c r="L5304">
        <v>1.847</v>
      </c>
      <c r="M5304">
        <v>0</v>
      </c>
      <c r="N5304" t="s">
        <v>10019</v>
      </c>
      <c r="O5304" t="str">
        <f>HYPERLINK("Solo2\marker_414_824802.png", "Ver Imagen")</f>
        <v>Ver Imagen</v>
      </c>
      <c r="P5304" t="str">
        <f>HYPERLINK("SE\A-492\A-492__150.png", "Ver Imagen")</f>
        <v>Ver Imagen</v>
      </c>
    </row>
    <row r="5305" spans="1:16" x14ac:dyDescent="0.25">
      <c r="A5305">
        <v>4937</v>
      </c>
      <c r="B5305" t="s">
        <v>9879</v>
      </c>
      <c r="C5305">
        <v>37.279341158000001</v>
      </c>
      <c r="D5305">
        <v>-7.0307469708500001</v>
      </c>
      <c r="F5305">
        <v>3</v>
      </c>
      <c r="G5305">
        <v>3</v>
      </c>
      <c r="H5305">
        <v>2</v>
      </c>
      <c r="I5305">
        <v>1</v>
      </c>
      <c r="J5305" t="s">
        <v>8052</v>
      </c>
      <c r="K5305">
        <v>2</v>
      </c>
      <c r="L5305">
        <v>2.0070000000000001</v>
      </c>
      <c r="M5305">
        <v>0</v>
      </c>
      <c r="N5305" t="s">
        <v>10019</v>
      </c>
      <c r="O5305" t="str">
        <f>HYPERLINK("Solo2\marker_923_831980.png", "Ver Imagen")</f>
        <v>Ver Imagen</v>
      </c>
      <c r="P5305" t="str">
        <f>HYPERLINK("SE\A-492\A-492__205.png", "Ver Imagen")</f>
        <v>Ver Imagen</v>
      </c>
    </row>
    <row r="5306" spans="1:16" x14ac:dyDescent="0.25">
      <c r="A5306">
        <v>4939</v>
      </c>
      <c r="B5306" t="s">
        <v>9883</v>
      </c>
      <c r="C5306">
        <v>37.293418712799998</v>
      </c>
      <c r="D5306">
        <v>-7.04649551285</v>
      </c>
      <c r="E5306">
        <v>1</v>
      </c>
      <c r="F5306">
        <v>2</v>
      </c>
      <c r="H5306">
        <v>2</v>
      </c>
      <c r="I5306">
        <v>1</v>
      </c>
      <c r="J5306" t="s">
        <v>8005</v>
      </c>
      <c r="K5306">
        <v>1.5</v>
      </c>
      <c r="L5306">
        <v>2.2229999999999999</v>
      </c>
      <c r="M5306">
        <v>0</v>
      </c>
      <c r="N5306" t="s">
        <v>10019</v>
      </c>
      <c r="O5306" t="str">
        <f>HYPERLINK("Solo2\marker_593_837622.png", "Ver Imagen")</f>
        <v>Ver Imagen</v>
      </c>
      <c r="P5306" t="str">
        <f>HYPERLINK("SE\A-492\A-492__306.png", "Ver Imagen")</f>
        <v>Ver Imagen</v>
      </c>
    </row>
    <row r="5307" spans="1:16" x14ac:dyDescent="0.25">
      <c r="A5307">
        <v>4940</v>
      </c>
      <c r="B5307" t="s">
        <v>9885</v>
      </c>
      <c r="C5307">
        <v>37.302069272399997</v>
      </c>
      <c r="D5307">
        <v>-7.0564792323200001</v>
      </c>
      <c r="F5307">
        <v>1</v>
      </c>
      <c r="G5307">
        <v>1</v>
      </c>
      <c r="H5307">
        <v>1</v>
      </c>
      <c r="I5307">
        <v>1</v>
      </c>
      <c r="J5307" t="s">
        <v>8005</v>
      </c>
      <c r="K5307">
        <v>1</v>
      </c>
      <c r="L5307">
        <v>1.1259999999999999</v>
      </c>
      <c r="M5307">
        <v>0</v>
      </c>
      <c r="N5307" t="s">
        <v>10019</v>
      </c>
      <c r="O5307" t="str">
        <f>HYPERLINK("Solo2\marker_386_838715.png", "Ver Imagen")</f>
        <v>Ver Imagen</v>
      </c>
      <c r="P5307" t="str">
        <f>HYPERLINK("SE\A-492\A-492__366.png", "Ver Imagen")</f>
        <v>Ver Imagen</v>
      </c>
    </row>
    <row r="5308" spans="1:16" x14ac:dyDescent="0.25">
      <c r="A5308">
        <v>4941</v>
      </c>
      <c r="B5308" t="s">
        <v>9887</v>
      </c>
      <c r="C5308">
        <v>37.308498126499998</v>
      </c>
      <c r="D5308">
        <v>-7.0572720040299997</v>
      </c>
      <c r="E5308">
        <v>3</v>
      </c>
      <c r="F5308">
        <v>2</v>
      </c>
      <c r="H5308">
        <v>2</v>
      </c>
      <c r="I5308">
        <v>1</v>
      </c>
      <c r="J5308" t="s">
        <v>8005</v>
      </c>
      <c r="K5308">
        <v>2</v>
      </c>
      <c r="L5308">
        <v>1.6419999999999999</v>
      </c>
      <c r="M5308">
        <v>0</v>
      </c>
      <c r="N5308" t="s">
        <v>10017</v>
      </c>
      <c r="O5308" t="str">
        <f>HYPERLINK("Solo2\marker_371_839125.png", "Ver Imagen")</f>
        <v>Ver Imagen</v>
      </c>
      <c r="P5308" t="str">
        <f>HYPERLINK("SE\A-492\A-492__398.png", "Ver Imagen")</f>
        <v>Ver Imagen</v>
      </c>
    </row>
    <row r="5309" spans="1:16" x14ac:dyDescent="0.25">
      <c r="A5309">
        <v>4942</v>
      </c>
      <c r="B5309" t="s">
        <v>9889</v>
      </c>
      <c r="C5309">
        <v>37.316631858299999</v>
      </c>
      <c r="D5309">
        <v>-7.0702194014700002</v>
      </c>
      <c r="E5309">
        <v>3</v>
      </c>
      <c r="F5309">
        <v>3</v>
      </c>
      <c r="H5309">
        <v>3</v>
      </c>
      <c r="I5309">
        <v>4</v>
      </c>
      <c r="J5309" t="s">
        <v>8005</v>
      </c>
      <c r="K5309">
        <v>3</v>
      </c>
      <c r="L5309">
        <v>3.089</v>
      </c>
      <c r="M5309">
        <v>0</v>
      </c>
      <c r="N5309" t="s">
        <v>10019</v>
      </c>
      <c r="O5309" t="str">
        <f>HYPERLINK("Solo2\marker_568_839982.png", "Ver Imagen")</f>
        <v>Ver Imagen</v>
      </c>
      <c r="P5309" t="str">
        <f>HYPERLINK("SE\A-492\A-492__465.png", "Ver Imagen")</f>
        <v>Ver Imagen</v>
      </c>
    </row>
    <row r="5310" spans="1:16" x14ac:dyDescent="0.25">
      <c r="A5310">
        <v>4944</v>
      </c>
      <c r="B5310" t="s">
        <v>9893</v>
      </c>
      <c r="C5310">
        <v>37.465297101499999</v>
      </c>
      <c r="D5310">
        <v>-7.1220079679300001</v>
      </c>
      <c r="E5310">
        <v>3</v>
      </c>
      <c r="F5310">
        <v>2</v>
      </c>
      <c r="H5310">
        <v>1</v>
      </c>
      <c r="I5310">
        <v>2</v>
      </c>
      <c r="J5310" t="s">
        <v>8005</v>
      </c>
      <c r="K5310">
        <v>2</v>
      </c>
      <c r="L5310">
        <v>2.1080000000000001</v>
      </c>
      <c r="M5310">
        <v>0</v>
      </c>
      <c r="N5310" t="s">
        <v>10019</v>
      </c>
      <c r="O5310" t="str">
        <f>HYPERLINK("Solo2\marker_901_895393.png", "Ver Imagen")</f>
        <v>Ver Imagen</v>
      </c>
      <c r="P5310" t="str">
        <f>HYPERLINK("NE\A-495R\A-495R__119.png", "Ver Imagen")</f>
        <v>Ver Imagen</v>
      </c>
    </row>
    <row r="5311" spans="1:16" x14ac:dyDescent="0.25">
      <c r="A5311">
        <v>4947</v>
      </c>
      <c r="B5311" t="s">
        <v>9897</v>
      </c>
      <c r="C5311">
        <v>37.2673502974</v>
      </c>
      <c r="D5311">
        <v>-6.9576838411999997</v>
      </c>
      <c r="E5311">
        <v>2</v>
      </c>
      <c r="H5311">
        <v>2</v>
      </c>
      <c r="I5311">
        <v>2</v>
      </c>
      <c r="J5311" t="s">
        <v>8005</v>
      </c>
      <c r="K5311">
        <v>2</v>
      </c>
      <c r="L5311">
        <v>2.2050000000000001</v>
      </c>
      <c r="M5311">
        <v>0</v>
      </c>
      <c r="N5311" t="s">
        <v>10019</v>
      </c>
      <c r="O5311" t="str">
        <f>HYPERLINK("Solo2\marker_364_773643.png", "Ver Imagen")</f>
        <v>Ver Imagen</v>
      </c>
      <c r="P5311" t="str">
        <f>HYPERLINK("SE\A-497\A-497__1.png", "Ver Imagen")</f>
        <v>Ver Imagen</v>
      </c>
    </row>
    <row r="5312" spans="1:16" x14ac:dyDescent="0.25">
      <c r="A5312">
        <v>4948</v>
      </c>
      <c r="B5312" t="s">
        <v>9899</v>
      </c>
      <c r="C5312">
        <v>37.194521220600002</v>
      </c>
      <c r="D5312">
        <v>-6.9989673438100004</v>
      </c>
      <c r="E5312">
        <v>2</v>
      </c>
      <c r="F5312">
        <v>2</v>
      </c>
      <c r="H5312">
        <v>2</v>
      </c>
      <c r="I5312">
        <v>1</v>
      </c>
      <c r="J5312" t="s">
        <v>8005</v>
      </c>
      <c r="K5312">
        <v>2</v>
      </c>
      <c r="L5312">
        <v>1.877</v>
      </c>
      <c r="M5312">
        <v>0</v>
      </c>
      <c r="N5312" t="s">
        <v>10019</v>
      </c>
      <c r="O5312" t="str">
        <f>HYPERLINK("Solo2\marker_896_945895.png", "Ver Imagen")</f>
        <v>Ver Imagen</v>
      </c>
      <c r="P5312" t="str">
        <f>HYPERLINK("SE\A-5050\A-5050__135.png", "Ver Imagen")</f>
        <v>Ver Imagen</v>
      </c>
    </row>
    <row r="5313" spans="1:16" x14ac:dyDescent="0.25">
      <c r="A5313">
        <v>4949</v>
      </c>
      <c r="B5313" t="s">
        <v>9901</v>
      </c>
      <c r="C5313">
        <v>37.217867857800002</v>
      </c>
      <c r="D5313">
        <v>-7.1167477464899997</v>
      </c>
      <c r="F5313">
        <v>2</v>
      </c>
      <c r="G5313">
        <v>2</v>
      </c>
      <c r="H5313">
        <v>1</v>
      </c>
      <c r="I5313">
        <v>2</v>
      </c>
      <c r="J5313" t="s">
        <v>8052</v>
      </c>
      <c r="K5313">
        <v>1</v>
      </c>
      <c r="L5313">
        <v>1.1319999999999999</v>
      </c>
      <c r="M5313">
        <v>0</v>
      </c>
      <c r="N5313" t="s">
        <v>10019</v>
      </c>
      <c r="O5313" t="str">
        <f>HYPERLINK("Solo2\marker_350_956770.png", "Ver Imagen")</f>
        <v>Ver Imagen</v>
      </c>
      <c r="P5313" t="str">
        <f>HYPERLINK("SO\A-5052\A-5052__37.png", "Ver Imagen")</f>
        <v>Ver Imagen</v>
      </c>
    </row>
    <row r="5314" spans="1:16" x14ac:dyDescent="0.25">
      <c r="A5314">
        <v>4951</v>
      </c>
      <c r="B5314" t="s">
        <v>9905</v>
      </c>
      <c r="C5314">
        <v>37.211695234099999</v>
      </c>
      <c r="D5314">
        <v>-7.0474461350700004</v>
      </c>
      <c r="F5314">
        <v>2</v>
      </c>
      <c r="G5314">
        <v>2</v>
      </c>
      <c r="H5314">
        <v>1</v>
      </c>
      <c r="I5314">
        <v>1</v>
      </c>
      <c r="J5314" t="s">
        <v>8052</v>
      </c>
      <c r="K5314">
        <v>1</v>
      </c>
      <c r="L5314">
        <v>1.1479999999999999</v>
      </c>
      <c r="M5314">
        <v>0</v>
      </c>
      <c r="N5314" t="s">
        <v>10019</v>
      </c>
      <c r="O5314" t="str">
        <f>HYPERLINK("Solo2\marker_562_961206.png", "Ver Imagen")</f>
        <v>Ver Imagen</v>
      </c>
      <c r="P5314" t="str">
        <f>HYPERLINK("SE\A-5052\A-5052__317.png", "Ver Imagen")</f>
        <v>Ver Imagen</v>
      </c>
    </row>
    <row r="5315" spans="1:16" x14ac:dyDescent="0.25">
      <c r="A5315">
        <v>4952</v>
      </c>
      <c r="B5315" t="s">
        <v>9907</v>
      </c>
      <c r="C5315">
        <v>37.211472704800002</v>
      </c>
      <c r="D5315">
        <v>-7.04624208205</v>
      </c>
      <c r="F5315">
        <v>3</v>
      </c>
      <c r="G5315">
        <v>2</v>
      </c>
      <c r="H5315">
        <v>2</v>
      </c>
      <c r="I5315">
        <v>2</v>
      </c>
      <c r="J5315" t="s">
        <v>8005</v>
      </c>
      <c r="K5315">
        <v>2</v>
      </c>
      <c r="L5315">
        <v>1.9179999999999999</v>
      </c>
      <c r="M5315">
        <v>0</v>
      </c>
      <c r="N5315" t="s">
        <v>10019</v>
      </c>
      <c r="O5315" t="str">
        <f>HYPERLINK("Solo2\marker_826_961290.png", "Ver Imagen")</f>
        <v>Ver Imagen</v>
      </c>
      <c r="P5315" t="str">
        <f>HYPERLINK("SE\A-5052\A-5052__322.png", "Ver Imagen")</f>
        <v>Ver Imagen</v>
      </c>
    </row>
    <row r="5316" spans="1:16" x14ac:dyDescent="0.25">
      <c r="A5316">
        <v>4953</v>
      </c>
      <c r="B5316" t="s">
        <v>9909</v>
      </c>
      <c r="C5316">
        <v>37.211334171399997</v>
      </c>
      <c r="D5316">
        <v>-7.0455115860599999</v>
      </c>
      <c r="F5316">
        <v>3</v>
      </c>
      <c r="G5316">
        <v>2</v>
      </c>
      <c r="H5316">
        <v>2</v>
      </c>
      <c r="I5316">
        <v>2</v>
      </c>
      <c r="J5316" t="s">
        <v>8005</v>
      </c>
      <c r="K5316">
        <v>2</v>
      </c>
      <c r="L5316">
        <v>2.0129999999999999</v>
      </c>
      <c r="M5316">
        <v>0</v>
      </c>
      <c r="N5316" t="s">
        <v>10019</v>
      </c>
      <c r="O5316" t="str">
        <f>HYPERLINK("Solo2\marker_674_961429.png", "Ver Imagen")</f>
        <v>Ver Imagen</v>
      </c>
      <c r="P5316" t="str">
        <f>HYPERLINK("SE\A-5052\A-5052__325.png", "Ver Imagen")</f>
        <v>Ver Imagen</v>
      </c>
    </row>
    <row r="5317" spans="1:16" x14ac:dyDescent="0.25">
      <c r="A5317">
        <v>4954</v>
      </c>
      <c r="B5317" t="s">
        <v>9911</v>
      </c>
      <c r="C5317">
        <v>37.211210597300003</v>
      </c>
      <c r="D5317">
        <v>-7.0450325819300001</v>
      </c>
      <c r="F5317">
        <v>3</v>
      </c>
      <c r="G5317">
        <v>5</v>
      </c>
      <c r="H5317">
        <v>3</v>
      </c>
      <c r="I5317">
        <v>3</v>
      </c>
      <c r="J5317" t="s">
        <v>8005</v>
      </c>
      <c r="K5317">
        <v>3</v>
      </c>
      <c r="L5317">
        <v>3.4609999999999999</v>
      </c>
      <c r="M5317">
        <v>0</v>
      </c>
      <c r="N5317" t="s">
        <v>10018</v>
      </c>
      <c r="O5317" t="str">
        <f>HYPERLINK("Solo2\marker_327_961449.png", "Ver Imagen")</f>
        <v>Ver Imagen</v>
      </c>
      <c r="P5317" t="str">
        <f>HYPERLINK("SE\A-5052\A-5052__327.png", "Ver Imagen")</f>
        <v>Ver Imagen</v>
      </c>
    </row>
    <row r="5318" spans="1:16" x14ac:dyDescent="0.25">
      <c r="A5318">
        <v>4955</v>
      </c>
      <c r="B5318" t="s">
        <v>9913</v>
      </c>
      <c r="C5318">
        <v>37.210954336900002</v>
      </c>
      <c r="D5318">
        <v>-7.0443065323700003</v>
      </c>
      <c r="F5318">
        <v>3</v>
      </c>
      <c r="G5318">
        <v>3</v>
      </c>
      <c r="H5318">
        <v>3</v>
      </c>
      <c r="I5318">
        <v>4</v>
      </c>
      <c r="J5318" t="s">
        <v>8005</v>
      </c>
      <c r="K5318">
        <v>3</v>
      </c>
      <c r="L5318">
        <v>2.8260000000000001</v>
      </c>
      <c r="M5318">
        <v>0</v>
      </c>
      <c r="N5318" t="s">
        <v>10019</v>
      </c>
      <c r="O5318" t="str">
        <f>HYPERLINK("Solo2\marker_807_961502.png", "Ver Imagen")</f>
        <v>Ver Imagen</v>
      </c>
      <c r="P5318" t="str">
        <f>HYPERLINK("SE\A-5052\A-5052__330.png", "Ver Imagen")</f>
        <v>Ver Imagen</v>
      </c>
    </row>
    <row r="5319" spans="1:16" x14ac:dyDescent="0.25">
      <c r="A5319">
        <v>4956</v>
      </c>
      <c r="B5319" t="s">
        <v>9915</v>
      </c>
      <c r="C5319">
        <v>37.210879001800002</v>
      </c>
      <c r="D5319">
        <v>-7.0441026864899996</v>
      </c>
      <c r="F5319">
        <v>2</v>
      </c>
      <c r="G5319">
        <v>3</v>
      </c>
      <c r="H5319">
        <v>2</v>
      </c>
      <c r="I5319">
        <v>1</v>
      </c>
      <c r="J5319" t="s">
        <v>8005</v>
      </c>
      <c r="K5319">
        <v>2</v>
      </c>
      <c r="L5319">
        <v>1.972</v>
      </c>
      <c r="M5319">
        <v>0</v>
      </c>
      <c r="N5319" t="s">
        <v>10019</v>
      </c>
      <c r="O5319" t="str">
        <f>HYPERLINK("Solo2\marker_226_961513.png", "Ver Imagen")</f>
        <v>Ver Imagen</v>
      </c>
      <c r="P5319" t="str">
        <f>HYPERLINK("SE\A-5052\A-5052__331.png", "Ver Imagen")</f>
        <v>Ver Imagen</v>
      </c>
    </row>
    <row r="5320" spans="1:16" x14ac:dyDescent="0.25">
      <c r="A5320">
        <v>4957</v>
      </c>
      <c r="B5320" t="s">
        <v>9917</v>
      </c>
      <c r="C5320">
        <v>37.2006641372</v>
      </c>
      <c r="D5320">
        <v>-7.0174261961299997</v>
      </c>
      <c r="F5320">
        <v>2</v>
      </c>
      <c r="G5320">
        <v>2</v>
      </c>
      <c r="H5320">
        <v>2</v>
      </c>
      <c r="I5320">
        <v>1</v>
      </c>
      <c r="J5320" t="s">
        <v>8005</v>
      </c>
      <c r="K5320">
        <v>2</v>
      </c>
      <c r="L5320">
        <v>2.137</v>
      </c>
      <c r="M5320">
        <v>0</v>
      </c>
      <c r="N5320" t="s">
        <v>10019</v>
      </c>
      <c r="O5320" t="str">
        <f>HYPERLINK("Solo2\marker_195_963156.png", "Ver Imagen")</f>
        <v>Ver Imagen</v>
      </c>
      <c r="P5320" t="str">
        <f>HYPERLINK("SE\A-5052\A-5052__448.png", "Ver Imagen")</f>
        <v>Ver Imagen</v>
      </c>
    </row>
    <row r="5321" spans="1:16" x14ac:dyDescent="0.25">
      <c r="A5321">
        <v>4958</v>
      </c>
      <c r="B5321" t="s">
        <v>9919</v>
      </c>
      <c r="C5321">
        <v>37.200047416499999</v>
      </c>
      <c r="D5321">
        <v>-7.01581934821</v>
      </c>
      <c r="F5321">
        <v>2</v>
      </c>
      <c r="G5321">
        <v>2</v>
      </c>
      <c r="H5321">
        <v>2</v>
      </c>
      <c r="I5321">
        <v>1</v>
      </c>
      <c r="J5321" t="s">
        <v>8005</v>
      </c>
      <c r="K5321">
        <v>2</v>
      </c>
      <c r="L5321">
        <v>2.13</v>
      </c>
      <c r="M5321">
        <v>0</v>
      </c>
      <c r="N5321" t="s">
        <v>10019</v>
      </c>
      <c r="O5321" t="str">
        <f>HYPERLINK("Solo2\marker_600_963234.png", "Ver Imagen")</f>
        <v>Ver Imagen</v>
      </c>
      <c r="P5321" t="str">
        <f>HYPERLINK("SE\A-5052\A-5052__455.png", "Ver Imagen")</f>
        <v>Ver Imagen</v>
      </c>
    </row>
    <row r="5322" spans="1:16" x14ac:dyDescent="0.25">
      <c r="A5322">
        <v>4960</v>
      </c>
      <c r="B5322" t="s">
        <v>9923</v>
      </c>
      <c r="C5322">
        <v>37.204078813999999</v>
      </c>
      <c r="D5322">
        <v>-7.0263388204900004</v>
      </c>
      <c r="F5322">
        <v>4</v>
      </c>
      <c r="G5322">
        <v>5</v>
      </c>
      <c r="H5322">
        <v>3</v>
      </c>
      <c r="I5322">
        <v>4</v>
      </c>
      <c r="J5322" t="s">
        <v>8005</v>
      </c>
      <c r="K5322">
        <v>4</v>
      </c>
      <c r="L5322">
        <v>3.7930000000000001</v>
      </c>
      <c r="M5322">
        <v>0</v>
      </c>
      <c r="N5322" t="s">
        <v>10019</v>
      </c>
      <c r="O5322" t="str">
        <f>HYPERLINK("Solo2\marker_371_962764.png", "Ver Imagen")</f>
        <v>Ver Imagen</v>
      </c>
      <c r="P5322" t="str">
        <f>HYPERLINK("SE\A-5052\A-5052__409.png", "Ver Imagen")</f>
        <v>Ver Imagen</v>
      </c>
    </row>
    <row r="5323" spans="1:16" x14ac:dyDescent="0.25">
      <c r="A5323">
        <v>4961</v>
      </c>
      <c r="B5323" t="s">
        <v>9925</v>
      </c>
      <c r="C5323">
        <v>37.228481501499999</v>
      </c>
      <c r="D5323">
        <v>-7.1267696305700001</v>
      </c>
      <c r="F5323">
        <v>3</v>
      </c>
      <c r="G5323">
        <v>3</v>
      </c>
      <c r="H5323">
        <v>3</v>
      </c>
      <c r="I5323">
        <v>3</v>
      </c>
      <c r="J5323" t="s">
        <v>8005</v>
      </c>
      <c r="K5323">
        <v>3</v>
      </c>
      <c r="L5323">
        <v>3.044</v>
      </c>
      <c r="M5323">
        <v>0</v>
      </c>
      <c r="N5323" t="s">
        <v>10019</v>
      </c>
      <c r="O5323" t="str">
        <f>HYPERLINK("Solo2\marker_725_021006.png", "Ver Imagen")</f>
        <v>Ver Imagen</v>
      </c>
      <c r="P5323" t="str">
        <f>HYPERLINK("SO\A-5053\A-5053__49.png", "Ver Imagen")</f>
        <v>Ver Imagen</v>
      </c>
    </row>
    <row r="5324" spans="1:16" x14ac:dyDescent="0.25">
      <c r="A5324">
        <v>4962</v>
      </c>
      <c r="B5324" t="s">
        <v>9927</v>
      </c>
      <c r="C5324">
        <v>37.220949448399999</v>
      </c>
      <c r="D5324">
        <v>-7.1257748546700004</v>
      </c>
      <c r="F5324">
        <v>2</v>
      </c>
      <c r="G5324">
        <v>3</v>
      </c>
      <c r="H5324">
        <v>2</v>
      </c>
      <c r="I5324">
        <v>2</v>
      </c>
      <c r="J5324" t="s">
        <v>8005</v>
      </c>
      <c r="K5324">
        <v>2</v>
      </c>
      <c r="L5324">
        <v>1.8169999999999999</v>
      </c>
      <c r="M5324">
        <v>0</v>
      </c>
      <c r="N5324" t="s">
        <v>10019</v>
      </c>
      <c r="O5324" t="str">
        <f>HYPERLINK("Solo2\marker_183_025106.png", "Ver Imagen")</f>
        <v>Ver Imagen</v>
      </c>
      <c r="P5324" t="str">
        <f>HYPERLINK("SO\A-5053\A-5053__10.png", "Ver Imagen")</f>
        <v>Ver Imagen</v>
      </c>
    </row>
    <row r="5325" spans="1:16" x14ac:dyDescent="0.25">
      <c r="A5325">
        <v>4963</v>
      </c>
      <c r="B5325" t="s">
        <v>9929</v>
      </c>
      <c r="C5325">
        <v>37.443880298300002</v>
      </c>
      <c r="D5325">
        <v>-7.0969589012699998</v>
      </c>
      <c r="E5325">
        <v>3</v>
      </c>
      <c r="F5325">
        <v>3</v>
      </c>
      <c r="H5325">
        <v>2</v>
      </c>
      <c r="I5325">
        <v>2</v>
      </c>
      <c r="J5325" t="s">
        <v>8052</v>
      </c>
      <c r="K5325">
        <v>2</v>
      </c>
      <c r="L5325">
        <v>1.895</v>
      </c>
      <c r="M5325">
        <v>0</v>
      </c>
      <c r="N5325" t="s">
        <v>10019</v>
      </c>
      <c r="O5325" t="str">
        <f>HYPERLINK("Solo2\marker_477_381202.png", "Ver Imagen")</f>
        <v>Ver Imagen</v>
      </c>
      <c r="P5325" t="str">
        <f>HYPERLINK("NE\A-495\A-495__14.png", "Ver Imagen")</f>
        <v>Ver Imagen</v>
      </c>
    </row>
    <row r="5326" spans="1:16" x14ac:dyDescent="0.25">
      <c r="A5326">
        <v>4964</v>
      </c>
      <c r="B5326" t="s">
        <v>9931</v>
      </c>
      <c r="C5326">
        <v>37.443588706500002</v>
      </c>
      <c r="D5326">
        <v>-7.09599159335</v>
      </c>
      <c r="E5326">
        <v>3</v>
      </c>
      <c r="F5326">
        <v>3</v>
      </c>
      <c r="H5326">
        <v>2</v>
      </c>
      <c r="I5326">
        <v>3</v>
      </c>
      <c r="J5326" t="s">
        <v>8005</v>
      </c>
      <c r="K5326">
        <v>3</v>
      </c>
      <c r="L5326">
        <v>2.7360000000000002</v>
      </c>
      <c r="M5326">
        <v>0</v>
      </c>
      <c r="N5326" t="s">
        <v>10019</v>
      </c>
      <c r="O5326" t="str">
        <f>HYPERLINK("Solo2\marker_169_381244.png", "Ver Imagen")</f>
        <v>Ver Imagen</v>
      </c>
      <c r="P5326" t="str">
        <f>HYPERLINK("NE\A-495\A-495__18.png", "Ver Imagen")</f>
        <v>Ver Imagen</v>
      </c>
    </row>
    <row r="5327" spans="1:16" x14ac:dyDescent="0.25">
      <c r="A5327">
        <v>4966</v>
      </c>
      <c r="B5327" t="s">
        <v>9935</v>
      </c>
      <c r="C5327">
        <v>37.222476350800001</v>
      </c>
      <c r="D5327">
        <v>-7.0555574938100003</v>
      </c>
      <c r="E5327">
        <v>2</v>
      </c>
      <c r="F5327">
        <v>3</v>
      </c>
      <c r="H5327">
        <v>2</v>
      </c>
      <c r="I5327">
        <v>2</v>
      </c>
      <c r="J5327" t="s">
        <v>8005</v>
      </c>
      <c r="K5327">
        <v>2</v>
      </c>
      <c r="L5327">
        <v>1.968</v>
      </c>
      <c r="M5327">
        <v>0</v>
      </c>
      <c r="N5327" t="s">
        <v>10019</v>
      </c>
      <c r="O5327" t="str">
        <f>HYPERLINK("Solo2\marker_378_378819.png", "Ver Imagen")</f>
        <v>Ver Imagen</v>
      </c>
      <c r="P5327" t="str">
        <f>HYPERLINK("SE\A-5059\A-5059__73.png", "Ver Imagen")</f>
        <v>Ver Imagen</v>
      </c>
    </row>
    <row r="5328" spans="1:16" x14ac:dyDescent="0.25">
      <c r="A5328">
        <v>4967</v>
      </c>
      <c r="B5328" t="s">
        <v>9937</v>
      </c>
      <c r="C5328">
        <v>37.2266193078</v>
      </c>
      <c r="D5328">
        <v>-7.0603877483300002</v>
      </c>
      <c r="E5328">
        <v>3</v>
      </c>
      <c r="F5328">
        <v>3</v>
      </c>
      <c r="H5328">
        <v>2</v>
      </c>
      <c r="I5328">
        <v>3</v>
      </c>
      <c r="J5328" t="s">
        <v>8005</v>
      </c>
      <c r="K5328">
        <v>3</v>
      </c>
      <c r="L5328">
        <v>2.512</v>
      </c>
      <c r="M5328">
        <v>0</v>
      </c>
      <c r="N5328" t="s">
        <v>10017</v>
      </c>
      <c r="O5328" t="str">
        <f>HYPERLINK("Solo2\marker_906_379257.png", "Ver Imagen")</f>
        <v>Ver Imagen</v>
      </c>
      <c r="P5328" t="str">
        <f>HYPERLINK("SE\A-5059\A-5059__44.png", "Ver Imagen")</f>
        <v>Ver Imagen</v>
      </c>
    </row>
    <row r="5329" spans="1:16" x14ac:dyDescent="0.25">
      <c r="A5329">
        <v>4968</v>
      </c>
      <c r="B5329" t="s">
        <v>9939</v>
      </c>
      <c r="C5329">
        <v>37.233124053499999</v>
      </c>
      <c r="D5329">
        <v>-7.0658273782799998</v>
      </c>
      <c r="E5329">
        <v>3</v>
      </c>
      <c r="F5329">
        <v>3</v>
      </c>
      <c r="H5329">
        <v>2</v>
      </c>
      <c r="I5329">
        <v>2</v>
      </c>
      <c r="J5329" t="s">
        <v>8052</v>
      </c>
      <c r="K5329">
        <v>2</v>
      </c>
      <c r="L5329">
        <v>2.2829999999999999</v>
      </c>
      <c r="M5329">
        <v>0</v>
      </c>
      <c r="N5329" t="s">
        <v>10019</v>
      </c>
      <c r="O5329" t="str">
        <f>HYPERLINK("Solo2\marker_270_379636.png", "Ver Imagen")</f>
        <v>Ver Imagen</v>
      </c>
      <c r="P5329" t="str">
        <f>HYPERLINK("SE\A-5059\A-5059__4.png", "Ver Imagen")</f>
        <v>Ver Imagen</v>
      </c>
    </row>
    <row r="5330" spans="1:16" x14ac:dyDescent="0.25">
      <c r="A5330">
        <v>4969</v>
      </c>
      <c r="B5330" t="s">
        <v>9941</v>
      </c>
      <c r="C5330">
        <v>37.233612006000001</v>
      </c>
      <c r="D5330">
        <v>-7.0662771895500001</v>
      </c>
      <c r="E5330">
        <v>3</v>
      </c>
      <c r="F5330">
        <v>3</v>
      </c>
      <c r="H5330">
        <v>2</v>
      </c>
      <c r="I5330">
        <v>3</v>
      </c>
      <c r="J5330" t="s">
        <v>8052</v>
      </c>
      <c r="K5330">
        <v>2</v>
      </c>
      <c r="L5330">
        <v>2.1230000000000002</v>
      </c>
      <c r="M5330">
        <v>0</v>
      </c>
      <c r="N5330" t="s">
        <v>10019</v>
      </c>
      <c r="O5330" t="str">
        <f>HYPERLINK("Solo2\marker_317_379667.png", "Ver Imagen")</f>
        <v>Ver Imagen</v>
      </c>
      <c r="P5330" t="str">
        <f>HYPERLINK("SE\A-5059\A-5059__1.png", "Ver Imagen")</f>
        <v>Ver Imagen</v>
      </c>
    </row>
    <row r="5331" spans="1:16" x14ac:dyDescent="0.25">
      <c r="A5331">
        <v>4970</v>
      </c>
      <c r="B5331" t="s">
        <v>9943</v>
      </c>
      <c r="C5331">
        <v>37.224975393699999</v>
      </c>
      <c r="D5331">
        <v>-7.0332881464600003</v>
      </c>
      <c r="E5331">
        <v>3</v>
      </c>
      <c r="F5331">
        <v>3</v>
      </c>
      <c r="H5331">
        <v>2</v>
      </c>
      <c r="I5331">
        <v>3</v>
      </c>
      <c r="J5331" t="s">
        <v>8052</v>
      </c>
      <c r="K5331">
        <v>2</v>
      </c>
      <c r="L5331">
        <v>1.9650000000000001</v>
      </c>
      <c r="M5331">
        <v>0</v>
      </c>
      <c r="N5331" t="s">
        <v>10019</v>
      </c>
      <c r="O5331" t="str">
        <f>HYPERLINK("Solo2\marker_772_380117.png", "Ver Imagen")</f>
        <v>Ver Imagen</v>
      </c>
      <c r="P5331" t="str">
        <f>HYPERLINK("SE\A-5058\A-5058__24.png", "Ver Imagen")</f>
        <v>Ver Imagen</v>
      </c>
    </row>
    <row r="5332" spans="1:16" x14ac:dyDescent="0.25">
      <c r="A5332">
        <v>4972</v>
      </c>
      <c r="B5332" t="s">
        <v>9947</v>
      </c>
      <c r="C5332">
        <v>37.225578364699999</v>
      </c>
      <c r="D5332">
        <v>-7.0418603080300004</v>
      </c>
      <c r="E5332">
        <v>2</v>
      </c>
      <c r="F5332">
        <v>2</v>
      </c>
      <c r="H5332">
        <v>2</v>
      </c>
      <c r="I5332">
        <v>2</v>
      </c>
      <c r="J5332" t="s">
        <v>8005</v>
      </c>
      <c r="K5332">
        <v>2</v>
      </c>
      <c r="L5332">
        <v>2.0059999999999998</v>
      </c>
      <c r="M5332">
        <v>0</v>
      </c>
      <c r="N5332" t="s">
        <v>10017</v>
      </c>
      <c r="O5332" t="str">
        <f>HYPERLINK("Solo2\marker_164_380645.png", "Ver Imagen")</f>
        <v>Ver Imagen</v>
      </c>
      <c r="P5332" t="str">
        <f>HYPERLINK("SE\A-5058\A-5058__60.png", "Ver Imagen")</f>
        <v>Ver Imagen</v>
      </c>
    </row>
    <row r="5333" spans="1:16" x14ac:dyDescent="0.25">
      <c r="A5333">
        <v>4973</v>
      </c>
      <c r="B5333" t="s">
        <v>9949</v>
      </c>
      <c r="C5333">
        <v>37.225777089200001</v>
      </c>
      <c r="D5333">
        <v>-7.0423091974999998</v>
      </c>
      <c r="E5333">
        <v>2</v>
      </c>
      <c r="F5333">
        <v>3</v>
      </c>
      <c r="H5333">
        <v>2</v>
      </c>
      <c r="I5333">
        <v>2</v>
      </c>
      <c r="J5333" t="s">
        <v>8005</v>
      </c>
      <c r="K5333">
        <v>2</v>
      </c>
      <c r="L5333">
        <v>2.11</v>
      </c>
      <c r="M5333">
        <v>0</v>
      </c>
      <c r="N5333" t="s">
        <v>10019</v>
      </c>
      <c r="O5333" t="str">
        <f>HYPERLINK("Solo2\marker_658_380663.png", "Ver Imagen")</f>
        <v>Ver Imagen</v>
      </c>
      <c r="P5333" t="str">
        <f>HYPERLINK("SE\A-5058\A-5058__62.png", "Ver Imagen")</f>
        <v>Ver Imagen</v>
      </c>
    </row>
    <row r="5334" spans="1:16" x14ac:dyDescent="0.25">
      <c r="A5334">
        <v>4974</v>
      </c>
      <c r="B5334" t="s">
        <v>9951</v>
      </c>
      <c r="C5334">
        <v>37.275750061300002</v>
      </c>
      <c r="D5334">
        <v>-6.9910850159100004</v>
      </c>
      <c r="G5334">
        <v>4</v>
      </c>
      <c r="H5334">
        <v>4</v>
      </c>
      <c r="I5334">
        <v>4</v>
      </c>
      <c r="J5334" t="s">
        <v>8005</v>
      </c>
      <c r="K5334">
        <v>4</v>
      </c>
      <c r="L5334">
        <v>3.57</v>
      </c>
      <c r="M5334">
        <v>0</v>
      </c>
      <c r="N5334" t="s">
        <v>10019</v>
      </c>
      <c r="O5334" t="str">
        <f>HYPERLINK("Solo2\marker_327_380692.png", "Ver Imagen")</f>
        <v>Ver Imagen</v>
      </c>
      <c r="P5334" t="str">
        <f>HYPERLINK("SE\A-492\A-492__22.png", "Ver Imagen")</f>
        <v>Ver Imagen</v>
      </c>
    </row>
    <row r="5335" spans="1:16" x14ac:dyDescent="0.25">
      <c r="A5335">
        <v>4975</v>
      </c>
      <c r="B5335" t="s">
        <v>9953</v>
      </c>
      <c r="C5335">
        <v>37.240914126900002</v>
      </c>
      <c r="D5335">
        <v>-7.0827860133299998</v>
      </c>
      <c r="E5335">
        <v>3</v>
      </c>
      <c r="F5335">
        <v>3</v>
      </c>
      <c r="H5335">
        <v>2</v>
      </c>
      <c r="I5335">
        <v>3</v>
      </c>
      <c r="J5335" t="s">
        <v>8005</v>
      </c>
      <c r="K5335">
        <v>3</v>
      </c>
      <c r="L5335">
        <v>3.4510000000000001</v>
      </c>
      <c r="M5335">
        <v>0</v>
      </c>
      <c r="N5335" t="s">
        <v>10018</v>
      </c>
      <c r="O5335" t="str">
        <f>HYPERLINK("Solo2\marker_117_383458.png", "Ver Imagen")</f>
        <v>Ver Imagen</v>
      </c>
      <c r="P5335" t="str">
        <f>HYPERLINK("SE\A-5058\A-5058__247.png", "Ver Imagen")</f>
        <v>Ver Imagen</v>
      </c>
    </row>
    <row r="5336" spans="1:16" x14ac:dyDescent="0.25">
      <c r="A5336">
        <v>4975</v>
      </c>
      <c r="B5336" t="s">
        <v>9953</v>
      </c>
      <c r="C5336">
        <v>37.240914126900002</v>
      </c>
      <c r="D5336">
        <v>-7.0827860133299998</v>
      </c>
      <c r="E5336">
        <v>3</v>
      </c>
      <c r="F5336">
        <v>3</v>
      </c>
      <c r="H5336">
        <v>2</v>
      </c>
      <c r="I5336">
        <v>3</v>
      </c>
      <c r="J5336" t="s">
        <v>8005</v>
      </c>
      <c r="K5336">
        <v>3</v>
      </c>
      <c r="L5336">
        <v>3.06</v>
      </c>
      <c r="M5336">
        <v>0</v>
      </c>
      <c r="N5336" t="s">
        <v>10018</v>
      </c>
      <c r="O5336" t="str">
        <f>HYPERLINK("Solo2\marker_117_383458.png", "Ver Imagen")</f>
        <v>Ver Imagen</v>
      </c>
      <c r="P5336" t="str">
        <f>HYPERLINK("SO\A-5058\A-5058__247.png", "Ver Imagen")</f>
        <v>Ver Imagen</v>
      </c>
    </row>
    <row r="5337" spans="1:16" x14ac:dyDescent="0.25">
      <c r="A5337">
        <v>4976</v>
      </c>
      <c r="B5337" t="s">
        <v>9955</v>
      </c>
      <c r="C5337">
        <v>37.253139269800002</v>
      </c>
      <c r="D5337">
        <v>-7.1062320790499998</v>
      </c>
      <c r="F5337">
        <v>3</v>
      </c>
      <c r="G5337">
        <v>3</v>
      </c>
      <c r="H5337">
        <v>2</v>
      </c>
      <c r="I5337">
        <v>2</v>
      </c>
      <c r="J5337" t="s">
        <v>8005</v>
      </c>
      <c r="K5337">
        <v>2.5</v>
      </c>
      <c r="L5337">
        <v>2.0779999999999998</v>
      </c>
      <c r="M5337">
        <v>0</v>
      </c>
      <c r="N5337" t="s">
        <v>10019</v>
      </c>
      <c r="O5337" t="str">
        <f>HYPERLINK("Solo2\marker_967_385002.png", "Ver Imagen")</f>
        <v>Ver Imagen</v>
      </c>
      <c r="P5337" t="str">
        <f>HYPERLINK("SO\A-5058\A-5058__363.png", "Ver Imagen")</f>
        <v>Ver Imagen</v>
      </c>
    </row>
    <row r="5338" spans="1:16" x14ac:dyDescent="0.25">
      <c r="A5338">
        <v>4977</v>
      </c>
      <c r="B5338" t="s">
        <v>9957</v>
      </c>
      <c r="C5338">
        <v>37.2568957266</v>
      </c>
      <c r="D5338">
        <v>-7.1190534785799997</v>
      </c>
      <c r="E5338">
        <v>3</v>
      </c>
      <c r="F5338">
        <v>3</v>
      </c>
      <c r="H5338">
        <v>2</v>
      </c>
      <c r="I5338">
        <v>2</v>
      </c>
      <c r="J5338" t="s">
        <v>8052</v>
      </c>
      <c r="K5338">
        <v>2</v>
      </c>
      <c r="L5338">
        <v>2.4649999999999999</v>
      </c>
      <c r="M5338">
        <v>0</v>
      </c>
      <c r="N5338" t="s">
        <v>10019</v>
      </c>
      <c r="O5338" t="str">
        <f>HYPERLINK("Solo2\marker_570_388794.png", "Ver Imagen")</f>
        <v>Ver Imagen</v>
      </c>
      <c r="P5338" t="str">
        <f>HYPERLINK("SO\A-5058\A-5058__424.png", "Ver Imagen")</f>
        <v>Ver Imagen</v>
      </c>
    </row>
    <row r="5339" spans="1:16" x14ac:dyDescent="0.25">
      <c r="A5339">
        <v>4979</v>
      </c>
      <c r="B5339" t="s">
        <v>9961</v>
      </c>
      <c r="C5339">
        <v>37.259733056899996</v>
      </c>
      <c r="D5339">
        <v>-7.1263205060899999</v>
      </c>
      <c r="E5339">
        <v>3</v>
      </c>
      <c r="F5339">
        <v>3</v>
      </c>
      <c r="H5339">
        <v>3</v>
      </c>
      <c r="I5339">
        <v>3</v>
      </c>
      <c r="J5339" t="s">
        <v>8005</v>
      </c>
      <c r="K5339">
        <v>3</v>
      </c>
      <c r="L5339">
        <v>2.9449999999999998</v>
      </c>
      <c r="M5339">
        <v>0</v>
      </c>
      <c r="N5339" t="s">
        <v>10019</v>
      </c>
      <c r="O5339" t="str">
        <f>HYPERLINK("Solo2\marker_416_389294.png", "Ver Imagen")</f>
        <v>Ver Imagen</v>
      </c>
      <c r="P5339" t="str">
        <f>HYPERLINK("SO\A-5058\A-5058__458.png", "Ver Imagen")</f>
        <v>Ver Imagen</v>
      </c>
    </row>
    <row r="5340" spans="1:16" x14ac:dyDescent="0.25">
      <c r="A5340">
        <v>4980</v>
      </c>
      <c r="B5340" t="s">
        <v>9963</v>
      </c>
      <c r="C5340">
        <v>37.269701576999999</v>
      </c>
      <c r="D5340">
        <v>-6.9784242160799996</v>
      </c>
      <c r="G5340">
        <v>2</v>
      </c>
      <c r="H5340">
        <v>2</v>
      </c>
      <c r="I5340">
        <v>2</v>
      </c>
      <c r="J5340" t="s">
        <v>8005</v>
      </c>
      <c r="K5340">
        <v>2</v>
      </c>
      <c r="L5340">
        <v>2.113</v>
      </c>
      <c r="M5340">
        <v>0</v>
      </c>
      <c r="N5340" t="s">
        <v>10019</v>
      </c>
      <c r="O5340" t="str">
        <f>HYPERLINK("Solo2\marker_320_393954.png", "Ver Imagen")</f>
        <v>Ver Imagen</v>
      </c>
      <c r="P5340" t="str">
        <f>HYPERLINK("SE\A-497\A-497__91.png", "Ver Imagen")</f>
        <v>Ver Imagen</v>
      </c>
    </row>
    <row r="5341" spans="1:16" x14ac:dyDescent="0.25">
      <c r="A5341">
        <v>4981</v>
      </c>
      <c r="B5341" t="s">
        <v>9965</v>
      </c>
      <c r="C5341">
        <v>37.189628045900001</v>
      </c>
      <c r="D5341">
        <v>-6.9879628794800004</v>
      </c>
      <c r="G5341">
        <v>4</v>
      </c>
      <c r="H5341">
        <v>3</v>
      </c>
      <c r="I5341">
        <v>3</v>
      </c>
      <c r="J5341" t="s">
        <v>8005</v>
      </c>
      <c r="K5341">
        <v>3</v>
      </c>
      <c r="L5341">
        <v>2.992</v>
      </c>
      <c r="M5341">
        <v>0</v>
      </c>
      <c r="N5341" t="s">
        <v>10019</v>
      </c>
      <c r="O5341" t="str">
        <f>HYPERLINK("Solo2\marker_282_394500.png", "Ver Imagen")</f>
        <v>Ver Imagen</v>
      </c>
      <c r="P5341" t="str">
        <f>HYPERLINK("SE\A-5050\A-5050__185.png", "Ver Imagen")</f>
        <v>Ver Imagen</v>
      </c>
    </row>
    <row r="5342" spans="1:16" x14ac:dyDescent="0.25">
      <c r="A5342">
        <v>4982</v>
      </c>
      <c r="B5342" t="s">
        <v>9967</v>
      </c>
      <c r="C5342">
        <v>37.482426035300001</v>
      </c>
      <c r="D5342">
        <v>-7.1285338579299999</v>
      </c>
      <c r="E5342">
        <v>2</v>
      </c>
      <c r="F5342">
        <v>2</v>
      </c>
      <c r="H5342">
        <v>1</v>
      </c>
      <c r="I5342">
        <v>1</v>
      </c>
      <c r="J5342" t="s">
        <v>8052</v>
      </c>
      <c r="K5342">
        <v>1</v>
      </c>
      <c r="L5342">
        <v>1.216</v>
      </c>
      <c r="M5342">
        <v>0</v>
      </c>
      <c r="N5342" t="s">
        <v>10019</v>
      </c>
      <c r="O5342" t="str">
        <f>HYPERLINK("Solo2\marker_190_383811.png", "Ver Imagen")</f>
        <v>Ver Imagen</v>
      </c>
      <c r="P5342" t="str">
        <f>HYPERLINK("NE\A-495_1\A-495_1__181.png", "Ver Imagen")</f>
        <v>Ver Imagen</v>
      </c>
    </row>
    <row r="5343" spans="1:16" x14ac:dyDescent="0.25">
      <c r="A5343">
        <v>4983</v>
      </c>
      <c r="B5343" t="s">
        <v>9969</v>
      </c>
      <c r="C5343">
        <v>37.495549330000003</v>
      </c>
      <c r="D5343">
        <v>-7.27299753508</v>
      </c>
      <c r="E5343">
        <v>3</v>
      </c>
      <c r="F5343">
        <v>2</v>
      </c>
      <c r="H5343">
        <v>1</v>
      </c>
      <c r="I5343">
        <v>1</v>
      </c>
      <c r="J5343" t="s">
        <v>8052</v>
      </c>
      <c r="K5343">
        <v>1</v>
      </c>
      <c r="L5343">
        <v>1</v>
      </c>
      <c r="M5343">
        <v>0</v>
      </c>
      <c r="N5343" t="s">
        <v>10019</v>
      </c>
      <c r="O5343" t="str">
        <f>HYPERLINK("Solo2\marker_987_534985.png", "Ver Imagen")</f>
        <v>Ver Imagen</v>
      </c>
      <c r="P5343" t="str">
        <f>HYPERLINK("NO\A-499\A-499__59.png", "Ver Imagen")</f>
        <v>Ver Imagen</v>
      </c>
    </row>
    <row r="5344" spans="1:16" x14ac:dyDescent="0.25">
      <c r="A5344">
        <v>4984</v>
      </c>
      <c r="B5344" t="s">
        <v>9971</v>
      </c>
      <c r="C5344">
        <v>37.187208720699999</v>
      </c>
      <c r="D5344">
        <v>-6.9793265368800004</v>
      </c>
      <c r="F5344">
        <v>5</v>
      </c>
      <c r="G5344">
        <v>5</v>
      </c>
      <c r="H5344">
        <v>3</v>
      </c>
      <c r="I5344">
        <v>4</v>
      </c>
      <c r="J5344" t="s">
        <v>8052</v>
      </c>
      <c r="K5344">
        <v>4</v>
      </c>
      <c r="L5344">
        <v>3.8959999999999999</v>
      </c>
      <c r="M5344">
        <v>0</v>
      </c>
      <c r="N5344" t="s">
        <v>10019</v>
      </c>
      <c r="O5344" t="str">
        <f>HYPERLINK("Solo2\marker_736_368460.png", "Ver Imagen")</f>
        <v>Ver Imagen</v>
      </c>
      <c r="P5344" t="str">
        <f>HYPERLINK("SE\A-497\A-497__768.png", "Ver Imagen")</f>
        <v>Ver Imagen</v>
      </c>
    </row>
    <row r="5345" spans="1:16" x14ac:dyDescent="0.25">
      <c r="A5345">
        <v>4985</v>
      </c>
      <c r="B5345" t="s">
        <v>9973</v>
      </c>
      <c r="C5345">
        <v>37.186565442700001</v>
      </c>
      <c r="D5345">
        <v>-6.9799716640599998</v>
      </c>
      <c r="F5345">
        <v>5</v>
      </c>
      <c r="G5345">
        <v>5</v>
      </c>
      <c r="H5345">
        <v>4</v>
      </c>
      <c r="I5345">
        <v>5</v>
      </c>
      <c r="J5345" t="s">
        <v>8005</v>
      </c>
      <c r="K5345">
        <v>5</v>
      </c>
      <c r="L5345">
        <v>5</v>
      </c>
      <c r="M5345">
        <v>0</v>
      </c>
      <c r="N5345" t="s">
        <v>10019</v>
      </c>
      <c r="O5345" t="str">
        <f>HYPERLINK("Solo2\marker_394_368520.png", "Ver Imagen")</f>
        <v>Ver Imagen</v>
      </c>
      <c r="P5345" t="str">
        <f>HYPERLINK("SE\A-497\A-497__764.png", "Ver Imagen")</f>
        <v>Ver Imagen</v>
      </c>
    </row>
    <row r="5346" spans="1:16" x14ac:dyDescent="0.25">
      <c r="A5346">
        <v>4987</v>
      </c>
      <c r="B5346" t="s">
        <v>9977</v>
      </c>
      <c r="C5346">
        <v>37.505059218500001</v>
      </c>
      <c r="D5346">
        <v>-7.2653769488800002</v>
      </c>
      <c r="E5346">
        <v>2</v>
      </c>
      <c r="F5346">
        <v>2</v>
      </c>
      <c r="H5346">
        <v>1</v>
      </c>
      <c r="I5346">
        <v>1</v>
      </c>
      <c r="J5346" t="s">
        <v>8005</v>
      </c>
      <c r="K5346">
        <v>1.5</v>
      </c>
      <c r="L5346">
        <v>2.262</v>
      </c>
      <c r="M5346">
        <v>0</v>
      </c>
      <c r="N5346" t="s">
        <v>10018</v>
      </c>
      <c r="O5346" t="str">
        <f>HYPERLINK("Solo2\marker_431_793824.png", "Ver Imagen")</f>
        <v>Ver Imagen</v>
      </c>
      <c r="P5346" t="str">
        <f>HYPERLINK("NO\A-499\A-499__132.png", "Ver Imagen")</f>
        <v>Ver Imagen</v>
      </c>
    </row>
    <row r="5347" spans="1:16" x14ac:dyDescent="0.25">
      <c r="A5347">
        <v>4988</v>
      </c>
      <c r="B5347" t="s">
        <v>9979</v>
      </c>
      <c r="C5347">
        <v>37.187386788700003</v>
      </c>
      <c r="D5347">
        <v>-6.9789014255700001</v>
      </c>
      <c r="F5347">
        <v>5</v>
      </c>
      <c r="G5347">
        <v>5</v>
      </c>
      <c r="H5347">
        <v>4</v>
      </c>
      <c r="I5347">
        <v>4</v>
      </c>
      <c r="J5347" t="s">
        <v>8005</v>
      </c>
      <c r="K5347">
        <v>4.5</v>
      </c>
      <c r="L5347">
        <v>3.7050000000000001</v>
      </c>
      <c r="M5347">
        <v>0</v>
      </c>
      <c r="N5347" t="s">
        <v>10019</v>
      </c>
      <c r="O5347" t="str">
        <f>HYPERLINK("Solo2\marker_581_368702.png", "Ver Imagen")</f>
        <v>Ver Imagen</v>
      </c>
      <c r="P5347" t="str">
        <f>HYPERLINK("SE\A-497\A-497__749.png", "Ver Imagen")</f>
        <v>Ver Imagen</v>
      </c>
    </row>
    <row r="5348" spans="1:16" x14ac:dyDescent="0.25">
      <c r="A5348">
        <v>4989</v>
      </c>
      <c r="B5348" t="s">
        <v>9981</v>
      </c>
      <c r="C5348">
        <v>37.260068072400003</v>
      </c>
      <c r="D5348">
        <v>-7.0116643816500002</v>
      </c>
      <c r="F5348">
        <v>3</v>
      </c>
      <c r="G5348">
        <v>3</v>
      </c>
      <c r="H5348">
        <v>2</v>
      </c>
      <c r="I5348">
        <v>2</v>
      </c>
      <c r="J5348" t="s">
        <v>8052</v>
      </c>
      <c r="K5348">
        <v>2</v>
      </c>
      <c r="L5348">
        <v>1.9370000000000001</v>
      </c>
      <c r="M5348">
        <v>0</v>
      </c>
      <c r="N5348" t="s">
        <v>10019</v>
      </c>
      <c r="O5348" t="str">
        <f>HYPERLINK("Solo2\marker_530_657044.png", "Ver Imagen")</f>
        <v>Ver Imagen</v>
      </c>
      <c r="P5348" t="str">
        <f>HYPERLINK("SE\A-497_2C\A-497_2C__242.png", "Ver Imagen")</f>
        <v>Ver Imagen</v>
      </c>
    </row>
    <row r="5349" spans="1:16" x14ac:dyDescent="0.25">
      <c r="A5349">
        <v>4990</v>
      </c>
      <c r="B5349" t="s">
        <v>9983</v>
      </c>
      <c r="C5349">
        <v>37.200347756699998</v>
      </c>
      <c r="D5349">
        <v>-6.9872739211399999</v>
      </c>
      <c r="E5349">
        <v>3</v>
      </c>
      <c r="F5349">
        <v>4</v>
      </c>
      <c r="H5349">
        <v>3</v>
      </c>
      <c r="I5349">
        <v>3</v>
      </c>
      <c r="J5349" t="s">
        <v>8005</v>
      </c>
      <c r="K5349">
        <v>3</v>
      </c>
      <c r="L5349">
        <v>3.0150000000000001</v>
      </c>
      <c r="M5349">
        <v>0</v>
      </c>
      <c r="N5349" t="s">
        <v>10019</v>
      </c>
      <c r="O5349" t="str">
        <f>HYPERLINK("Solo2\marker_722_371132.png", "Ver Imagen")</f>
        <v>Ver Imagen</v>
      </c>
      <c r="P5349" t="str">
        <f>HYPERLINK("SE\A-497\A-497__662.png", "Ver Imagen")</f>
        <v>Ver Imagen</v>
      </c>
    </row>
    <row r="5350" spans="1:16" x14ac:dyDescent="0.25">
      <c r="A5350">
        <v>4992</v>
      </c>
      <c r="B5350" t="s">
        <v>9987</v>
      </c>
      <c r="C5350">
        <v>37.202403385700002</v>
      </c>
      <c r="D5350">
        <v>-6.9981416324700003</v>
      </c>
      <c r="F5350">
        <v>4</v>
      </c>
      <c r="G5350">
        <v>5</v>
      </c>
      <c r="H5350">
        <v>4</v>
      </c>
      <c r="I5350">
        <v>4</v>
      </c>
      <c r="J5350" t="s">
        <v>8005</v>
      </c>
      <c r="K5350">
        <v>4</v>
      </c>
      <c r="L5350">
        <v>3.5680000000000001</v>
      </c>
      <c r="M5350">
        <v>0</v>
      </c>
      <c r="N5350" t="s">
        <v>10019</v>
      </c>
      <c r="O5350" t="str">
        <f>HYPERLINK("Solo2\marker_938_371546.png", "Ver Imagen")</f>
        <v>Ver Imagen</v>
      </c>
      <c r="P5350" t="str">
        <f>HYPERLINK("SE\A-497\A-497__618.png", "Ver Imagen")</f>
        <v>Ver Imagen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ALL</vt:lpstr>
      <vt:lpstr>FINAL</vt:lpstr>
      <vt:lpstr>PRED_E12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Jero Ramos Teodoro</cp:lastModifiedBy>
  <dcterms:created xsi:type="dcterms:W3CDTF">2026-01-18T22:17:35Z</dcterms:created>
  <dcterms:modified xsi:type="dcterms:W3CDTF">2026-04-29T18:17:40Z</dcterms:modified>
</cp:coreProperties>
</file>